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5" yWindow="135" windowWidth="25215" windowHeight="10725" tabRatio="680" firstSheet="15" activeTab="20"/>
  </bookViews>
  <sheets>
    <sheet name="Init" sheetId="11" r:id="rId1"/>
    <sheet name="TOCA_previous" sheetId="10" r:id="rId2"/>
    <sheet name="TOCA_current" sheetId="9" r:id="rId3"/>
    <sheet name="LS_previous" sheetId="8" r:id="rId4"/>
    <sheet name="LS_current" sheetId="7" r:id="rId5"/>
    <sheet name="Demand_previous" sheetId="6" r:id="rId6"/>
    <sheet name="Demand_current" sheetId="4" r:id="rId7"/>
    <sheet name="Rates_previous" sheetId="2" r:id="rId8"/>
    <sheet name="Rates_current" sheetId="3" r:id="rId9"/>
    <sheet name="IRD" sheetId="1" r:id="rId10"/>
    <sheet name="REP_previous" sheetId="29" r:id="rId11"/>
    <sheet name="REP_current" sheetId="28" r:id="rId12"/>
    <sheet name="RT1SC" sheetId="16" r:id="rId13"/>
    <sheet name="Staging Table" sheetId="27" r:id="rId14"/>
    <sheet name="LS_Demand_Rates_Restatement" sheetId="13" r:id="rId15"/>
    <sheet name="Charges_Including Slice and LS" sheetId="12" r:id="rId16"/>
    <sheet name="Charges_NonSlice" sheetId="18" r:id="rId17"/>
    <sheet name="Charges_NonSlice &amp; Excl LS" sheetId="19" r:id="rId18"/>
    <sheet name="Outputs" sheetId="20" r:id="rId19"/>
    <sheet name="Restatement" sheetId="23" r:id="rId20"/>
    <sheet name="NonSlice Chart" sheetId="24" r:id="rId21"/>
    <sheet name="NonSlice Chart Effective" sheetId="26" r:id="rId22"/>
    <sheet name="NonSlice - Ordered Chart" sheetId="25" r:id="rId23"/>
  </sheets>
  <externalReferences>
    <externalReference r:id="rId24"/>
  </externalReferences>
  <definedNames>
    <definedName name="DemandRateSelect">[1]Rates_TRM_12!#REF!</definedName>
    <definedName name="No">[1]Rates_TRM_12!#REF!</definedName>
  </definedNames>
  <calcPr calcId="145621"/>
</workbook>
</file>

<file path=xl/calcChain.xml><?xml version="1.0" encoding="utf-8"?>
<calcChain xmlns="http://schemas.openxmlformats.org/spreadsheetml/2006/main">
  <c r="K4" i="23" l="1"/>
  <c r="Z36" i="18"/>
  <c r="Z135" i="19"/>
  <c r="Z136" i="19"/>
  <c r="Z137" i="19"/>
  <c r="Z138" i="19"/>
  <c r="Z134" i="19"/>
  <c r="Z131" i="19"/>
  <c r="Z132" i="19"/>
  <c r="Z130" i="19"/>
  <c r="Z120" i="19"/>
  <c r="Z121" i="19"/>
  <c r="Z122" i="19"/>
  <c r="Z123" i="19"/>
  <c r="Z124" i="19"/>
  <c r="Z125" i="19"/>
  <c r="Z126" i="19"/>
  <c r="Z127" i="19"/>
  <c r="Z128" i="19"/>
  <c r="Z119" i="19"/>
  <c r="Z104" i="19"/>
  <c r="Z105" i="19"/>
  <c r="Z106" i="19"/>
  <c r="Z107" i="19"/>
  <c r="Z108" i="19"/>
  <c r="Z109" i="19"/>
  <c r="Z110" i="19"/>
  <c r="Z111" i="19"/>
  <c r="Z112" i="19"/>
  <c r="Z113" i="19"/>
  <c r="Z114" i="19"/>
  <c r="Z115" i="19"/>
  <c r="Z116" i="19"/>
  <c r="Z117" i="19"/>
  <c r="Z103" i="19"/>
  <c r="Z101" i="19"/>
  <c r="Z100" i="19"/>
  <c r="Z18" i="19"/>
  <c r="Z19" i="19"/>
  <c r="Z20" i="19"/>
  <c r="Z21" i="19"/>
  <c r="Z22" i="19"/>
  <c r="Z23" i="19"/>
  <c r="Z24" i="19"/>
  <c r="Z25" i="19"/>
  <c r="Z26" i="19"/>
  <c r="Z27" i="19"/>
  <c r="Z28" i="19"/>
  <c r="Z29" i="19"/>
  <c r="Z30" i="19"/>
  <c r="Z31" i="19"/>
  <c r="Z32" i="19"/>
  <c r="Z33" i="19"/>
  <c r="Z34" i="19"/>
  <c r="Z35" i="19"/>
  <c r="Z36" i="19"/>
  <c r="Z37" i="19"/>
  <c r="Z38" i="19"/>
  <c r="Z39" i="19"/>
  <c r="Z40" i="19"/>
  <c r="Z41" i="19"/>
  <c r="Z42" i="19"/>
  <c r="Z43" i="19"/>
  <c r="W9" i="18" l="1"/>
  <c r="W11" i="18"/>
  <c r="W44" i="18"/>
  <c r="W50" i="18"/>
  <c r="W51" i="18"/>
  <c r="W53" i="18"/>
  <c r="W61" i="18"/>
  <c r="W78" i="18"/>
  <c r="W80" i="18"/>
  <c r="W90" i="18"/>
  <c r="W93" i="18"/>
  <c r="W95" i="18"/>
  <c r="W102" i="18"/>
  <c r="W118" i="18"/>
  <c r="W129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8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4" i="18"/>
  <c r="V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113" i="18"/>
  <c r="V114" i="18"/>
  <c r="V115" i="18"/>
  <c r="V116" i="18"/>
  <c r="V117" i="18"/>
  <c r="V118" i="18"/>
  <c r="V119" i="18"/>
  <c r="V120" i="18"/>
  <c r="V121" i="18"/>
  <c r="V122" i="18"/>
  <c r="V123" i="18"/>
  <c r="V124" i="18"/>
  <c r="V125" i="18"/>
  <c r="V126" i="18"/>
  <c r="V127" i="18"/>
  <c r="V128" i="18"/>
  <c r="V129" i="18"/>
  <c r="V130" i="18"/>
  <c r="V131" i="18"/>
  <c r="V132" i="18"/>
  <c r="V133" i="18"/>
  <c r="V134" i="18"/>
  <c r="V135" i="18"/>
  <c r="V136" i="18"/>
  <c r="V137" i="18"/>
  <c r="V138" i="18"/>
  <c r="V139" i="18"/>
  <c r="V4" i="18"/>
  <c r="L9" i="18"/>
  <c r="L11" i="18"/>
  <c r="L44" i="18"/>
  <c r="L50" i="18"/>
  <c r="L51" i="18"/>
  <c r="L53" i="18"/>
  <c r="L61" i="18"/>
  <c r="L78" i="18"/>
  <c r="L80" i="18"/>
  <c r="L90" i="18"/>
  <c r="L93" i="18"/>
  <c r="L95" i="18"/>
  <c r="L102" i="18"/>
  <c r="L118" i="18"/>
  <c r="L129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4" i="18"/>
  <c r="T6" i="12"/>
  <c r="T42" i="12"/>
  <c r="T43" i="12"/>
  <c r="T52" i="12"/>
  <c r="T57" i="12"/>
  <c r="T59" i="12"/>
  <c r="T65" i="12"/>
  <c r="T68" i="12"/>
  <c r="T72" i="12"/>
  <c r="T79" i="12"/>
  <c r="T94" i="12"/>
  <c r="T97" i="12"/>
  <c r="T99" i="12"/>
  <c r="T107" i="12"/>
  <c r="T109" i="12"/>
  <c r="T113" i="12"/>
  <c r="W9" i="12"/>
  <c r="W11" i="12"/>
  <c r="W44" i="12"/>
  <c r="W50" i="12"/>
  <c r="W51" i="12"/>
  <c r="W53" i="12"/>
  <c r="W61" i="12"/>
  <c r="W78" i="12"/>
  <c r="W80" i="12"/>
  <c r="W90" i="12"/>
  <c r="W93" i="12"/>
  <c r="W95" i="12"/>
  <c r="W102" i="12"/>
  <c r="W118" i="12"/>
  <c r="W129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37" i="12"/>
  <c r="V138" i="12"/>
  <c r="V4" i="12"/>
  <c r="L9" i="12"/>
  <c r="L11" i="12"/>
  <c r="L44" i="12"/>
  <c r="L50" i="12"/>
  <c r="L51" i="12"/>
  <c r="L53" i="12"/>
  <c r="L61" i="12"/>
  <c r="L78" i="12"/>
  <c r="L80" i="12"/>
  <c r="L90" i="12"/>
  <c r="L93" i="12"/>
  <c r="L95" i="12"/>
  <c r="L102" i="12"/>
  <c r="L118" i="12"/>
  <c r="L129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4" i="12"/>
  <c r="T6" i="19" l="1"/>
  <c r="T42" i="19"/>
  <c r="T43" i="19"/>
  <c r="T52" i="19"/>
  <c r="T57" i="19"/>
  <c r="T59" i="19"/>
  <c r="T65" i="19"/>
  <c r="T68" i="19"/>
  <c r="T72" i="19"/>
  <c r="T79" i="19"/>
  <c r="T94" i="19"/>
  <c r="T97" i="19"/>
  <c r="T107" i="19"/>
  <c r="T109" i="19"/>
  <c r="T113" i="19"/>
  <c r="T6" i="18"/>
  <c r="T42" i="18"/>
  <c r="T43" i="18"/>
  <c r="T52" i="18"/>
  <c r="T57" i="18"/>
  <c r="T59" i="18"/>
  <c r="T65" i="18"/>
  <c r="T68" i="18"/>
  <c r="T72" i="18"/>
  <c r="T79" i="18"/>
  <c r="T94" i="18"/>
  <c r="T97" i="18"/>
  <c r="T107" i="18"/>
  <c r="T109" i="18"/>
  <c r="T113" i="18"/>
  <c r="CZ16" i="27" l="1"/>
  <c r="CZ17" i="27"/>
  <c r="CZ18" i="27"/>
  <c r="CZ19" i="27"/>
  <c r="CZ20" i="27"/>
  <c r="CZ21" i="27"/>
  <c r="CZ22" i="27"/>
  <c r="CZ23" i="27"/>
  <c r="CZ24" i="27"/>
  <c r="CZ25" i="27"/>
  <c r="CZ26" i="27"/>
  <c r="CZ27" i="27"/>
  <c r="CZ28" i="27"/>
  <c r="CZ29" i="27"/>
  <c r="CZ30" i="27"/>
  <c r="CZ31" i="27"/>
  <c r="CZ32" i="27"/>
  <c r="CZ33" i="27"/>
  <c r="CZ34" i="27"/>
  <c r="CZ35" i="27"/>
  <c r="CZ36" i="27"/>
  <c r="CZ37" i="27"/>
  <c r="CZ38" i="27"/>
  <c r="CZ39" i="27"/>
  <c r="CZ40" i="27"/>
  <c r="CZ41" i="27"/>
  <c r="CZ42" i="27"/>
  <c r="CZ43" i="27"/>
  <c r="CZ44" i="27"/>
  <c r="CZ45" i="27"/>
  <c r="CZ46" i="27"/>
  <c r="CZ47" i="27"/>
  <c r="CZ48" i="27"/>
  <c r="CZ49" i="27"/>
  <c r="CZ50" i="27"/>
  <c r="CZ51" i="27"/>
  <c r="CZ52" i="27"/>
  <c r="CZ53" i="27"/>
  <c r="CZ54" i="27"/>
  <c r="CZ55" i="27"/>
  <c r="CZ56" i="27"/>
  <c r="CZ57" i="27"/>
  <c r="CZ58" i="27"/>
  <c r="CZ59" i="27"/>
  <c r="CZ60" i="27"/>
  <c r="CZ61" i="27"/>
  <c r="CZ62" i="27"/>
  <c r="CZ63" i="27"/>
  <c r="CZ64" i="27"/>
  <c r="CZ65" i="27"/>
  <c r="CZ66" i="27"/>
  <c r="CZ67" i="27"/>
  <c r="CZ68" i="27"/>
  <c r="CZ69" i="27"/>
  <c r="CZ70" i="27"/>
  <c r="CZ71" i="27"/>
  <c r="CZ72" i="27"/>
  <c r="CZ73" i="27"/>
  <c r="CZ74" i="27"/>
  <c r="CZ75" i="27"/>
  <c r="CZ76" i="27"/>
  <c r="CZ77" i="27"/>
  <c r="CZ78" i="27"/>
  <c r="CZ79" i="27"/>
  <c r="CZ80" i="27"/>
  <c r="CZ81" i="27"/>
  <c r="CZ82" i="27"/>
  <c r="CZ83" i="27"/>
  <c r="CZ84" i="27"/>
  <c r="CZ85" i="27"/>
  <c r="CZ86" i="27"/>
  <c r="CZ87" i="27"/>
  <c r="CZ88" i="27"/>
  <c r="CZ89" i="27"/>
  <c r="CZ90" i="27"/>
  <c r="CZ91" i="27"/>
  <c r="CZ92" i="27"/>
  <c r="CZ93" i="27"/>
  <c r="CZ94" i="27"/>
  <c r="CZ95" i="27"/>
  <c r="CZ96" i="27"/>
  <c r="CZ97" i="27"/>
  <c r="CZ98" i="27"/>
  <c r="CZ99" i="27"/>
  <c r="CZ100" i="27"/>
  <c r="CZ101" i="27"/>
  <c r="CZ102" i="27"/>
  <c r="CZ103" i="27"/>
  <c r="CZ104" i="27"/>
  <c r="CZ105" i="27"/>
  <c r="CZ106" i="27"/>
  <c r="CZ107" i="27"/>
  <c r="CZ108" i="27"/>
  <c r="CZ109" i="27"/>
  <c r="CZ110" i="27"/>
  <c r="CZ111" i="27"/>
  <c r="CZ112" i="27"/>
  <c r="CZ113" i="27"/>
  <c r="CZ114" i="27"/>
  <c r="CZ115" i="27"/>
  <c r="CZ116" i="27"/>
  <c r="CZ117" i="27"/>
  <c r="CZ118" i="27"/>
  <c r="CZ119" i="27"/>
  <c r="CZ120" i="27"/>
  <c r="CZ121" i="27"/>
  <c r="CZ122" i="27"/>
  <c r="CZ123" i="27"/>
  <c r="CZ124" i="27"/>
  <c r="CZ125" i="27"/>
  <c r="CZ126" i="27"/>
  <c r="CZ127" i="27"/>
  <c r="CZ128" i="27"/>
  <c r="CZ129" i="27"/>
  <c r="CZ130" i="27"/>
  <c r="CZ131" i="27"/>
  <c r="CZ132" i="27"/>
  <c r="CZ133" i="27"/>
  <c r="CZ134" i="27"/>
  <c r="CZ135" i="27"/>
  <c r="CZ136" i="27"/>
  <c r="CZ137" i="27"/>
  <c r="CZ138" i="27"/>
  <c r="CZ139" i="27"/>
  <c r="CZ140" i="27"/>
  <c r="CZ15" i="27"/>
  <c r="CZ14" i="27"/>
  <c r="CZ13" i="27"/>
  <c r="CZ12" i="27"/>
  <c r="CZ11" i="27"/>
  <c r="CZ10" i="27"/>
  <c r="CZ9" i="27"/>
  <c r="CZ8" i="27"/>
  <c r="CZ7" i="27"/>
  <c r="CZ6" i="27"/>
  <c r="DB6" i="27"/>
  <c r="DB140" i="27" l="1"/>
  <c r="DB139" i="27"/>
  <c r="DB138" i="27"/>
  <c r="DB137" i="27"/>
  <c r="DB136" i="27"/>
  <c r="DB135" i="27"/>
  <c r="DB134" i="27"/>
  <c r="DB133" i="27"/>
  <c r="DB132" i="27"/>
  <c r="DB131" i="27"/>
  <c r="DB130" i="27"/>
  <c r="DB129" i="27"/>
  <c r="DB128" i="27"/>
  <c r="DB127" i="27"/>
  <c r="DB126" i="27"/>
  <c r="DB125" i="27"/>
  <c r="DB124" i="27"/>
  <c r="DB123" i="27"/>
  <c r="DB122" i="27"/>
  <c r="DB121" i="27"/>
  <c r="DB120" i="27"/>
  <c r="DB119" i="27"/>
  <c r="DB118" i="27"/>
  <c r="DB117" i="27"/>
  <c r="DB116" i="27"/>
  <c r="DB115" i="27"/>
  <c r="DB114" i="27"/>
  <c r="DB113" i="27"/>
  <c r="DB112" i="27"/>
  <c r="DB111" i="27"/>
  <c r="DB110" i="27"/>
  <c r="DB109" i="27"/>
  <c r="DB108" i="27"/>
  <c r="DB107" i="27"/>
  <c r="DB106" i="27"/>
  <c r="DB105" i="27"/>
  <c r="DB104" i="27"/>
  <c r="DB103" i="27"/>
  <c r="DB102" i="27"/>
  <c r="DB101" i="27"/>
  <c r="DB100" i="27"/>
  <c r="DB99" i="27"/>
  <c r="DB98" i="27"/>
  <c r="DB97" i="27"/>
  <c r="DB96" i="27"/>
  <c r="DB95" i="27"/>
  <c r="DB94" i="27"/>
  <c r="DB93" i="27"/>
  <c r="DB92" i="27"/>
  <c r="DB91" i="27"/>
  <c r="DB90" i="27"/>
  <c r="DB89" i="27"/>
  <c r="DB88" i="27"/>
  <c r="DB87" i="27"/>
  <c r="DB86" i="27"/>
  <c r="DB85" i="27"/>
  <c r="DB84" i="27"/>
  <c r="DB83" i="27"/>
  <c r="DB82" i="27"/>
  <c r="DB81" i="27"/>
  <c r="DB80" i="27"/>
  <c r="DB79" i="27"/>
  <c r="DB78" i="27"/>
  <c r="DB77" i="27"/>
  <c r="DB76" i="27"/>
  <c r="DB75" i="27"/>
  <c r="DB74" i="27"/>
  <c r="DB73" i="27"/>
  <c r="DB72" i="27"/>
  <c r="DB71" i="27"/>
  <c r="DB70" i="27"/>
  <c r="DB69" i="27"/>
  <c r="DB68" i="27"/>
  <c r="DB67" i="27"/>
  <c r="DB66" i="27"/>
  <c r="DB65" i="27"/>
  <c r="DB64" i="27"/>
  <c r="DB63" i="27"/>
  <c r="DB62" i="27"/>
  <c r="DB61" i="27"/>
  <c r="DB60" i="27"/>
  <c r="DB59" i="27"/>
  <c r="DB58" i="27"/>
  <c r="DB57" i="27"/>
  <c r="DB56" i="27"/>
  <c r="DB55" i="27"/>
  <c r="DB54" i="27"/>
  <c r="DB53" i="27"/>
  <c r="DB52" i="27"/>
  <c r="DB51" i="27"/>
  <c r="DB50" i="27"/>
  <c r="DB49" i="27"/>
  <c r="DB48" i="27"/>
  <c r="DB47" i="27"/>
  <c r="DB46" i="27"/>
  <c r="DB45" i="27"/>
  <c r="DB44" i="27"/>
  <c r="DB43" i="27"/>
  <c r="DB42" i="27"/>
  <c r="DB41" i="27"/>
  <c r="DB40" i="27"/>
  <c r="DB39" i="27"/>
  <c r="DB38" i="27"/>
  <c r="DB37" i="27"/>
  <c r="DB36" i="27"/>
  <c r="DB35" i="27"/>
  <c r="DB34" i="27"/>
  <c r="DB33" i="27"/>
  <c r="DB32" i="27"/>
  <c r="DB31" i="27"/>
  <c r="DB30" i="27"/>
  <c r="DB29" i="27"/>
  <c r="DB28" i="27"/>
  <c r="DB27" i="27"/>
  <c r="DB26" i="27"/>
  <c r="DB25" i="27"/>
  <c r="DB24" i="27"/>
  <c r="DB23" i="27"/>
  <c r="DB22" i="27"/>
  <c r="DB21" i="27"/>
  <c r="DB20" i="27"/>
  <c r="DB19" i="27"/>
  <c r="DB18" i="27"/>
  <c r="DB17" i="27"/>
  <c r="DB16" i="27"/>
  <c r="DB15" i="27"/>
  <c r="DB14" i="27"/>
  <c r="DB13" i="27"/>
  <c r="DB12" i="27"/>
  <c r="DB11" i="27"/>
  <c r="DB10" i="27"/>
  <c r="DB9" i="27"/>
  <c r="DB8" i="27"/>
  <c r="DB7" i="27"/>
  <c r="DB4" i="27"/>
  <c r="F1" i="6" l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AJ1" i="6" s="1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AU1" i="6" s="1"/>
  <c r="AV1" i="6" s="1"/>
  <c r="AW1" i="6" s="1"/>
  <c r="AX1" i="6" s="1"/>
  <c r="AY1" i="6" s="1"/>
  <c r="E1" i="6"/>
  <c r="Z1" i="10"/>
  <c r="AA1" i="10" s="1"/>
  <c r="AB1" i="10" s="1"/>
  <c r="AC1" i="10" s="1"/>
  <c r="AD1" i="10" s="1"/>
  <c r="AE1" i="10" s="1"/>
  <c r="AF1" i="10" s="1"/>
  <c r="AG1" i="10" s="1"/>
  <c r="AH1" i="10" s="1"/>
  <c r="AI1" i="10" s="1"/>
  <c r="Y1" i="10"/>
  <c r="G1" i="10"/>
  <c r="H1" i="10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F1" i="10"/>
  <c r="F1" i="8" l="1"/>
  <c r="G1" i="8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AG1" i="8" s="1"/>
  <c r="AH1" i="8" s="1"/>
  <c r="AI1" i="8" s="1"/>
  <c r="AJ1" i="8" s="1"/>
  <c r="AK1" i="8" s="1"/>
  <c r="AL1" i="8" s="1"/>
  <c r="AM1" i="8" s="1"/>
  <c r="AN1" i="8" s="1"/>
  <c r="AO1" i="8" s="1"/>
  <c r="AP1" i="8" s="1"/>
  <c r="AQ1" i="8" s="1"/>
  <c r="AR1" i="8" s="1"/>
  <c r="AS1" i="8" s="1"/>
  <c r="AT1" i="8" s="1"/>
  <c r="AU1" i="8" s="1"/>
  <c r="AV1" i="8" s="1"/>
  <c r="AW1" i="8" s="1"/>
  <c r="AX1" i="8" s="1"/>
  <c r="AY1" i="8" s="1"/>
  <c r="E1" i="8"/>
  <c r="F1" i="27" l="1"/>
  <c r="AZ4" i="27" l="1"/>
  <c r="BK7" i="27"/>
  <c r="BL7" i="27"/>
  <c r="BK8" i="27"/>
  <c r="BL8" i="27"/>
  <c r="BK9" i="27"/>
  <c r="BL9" i="27"/>
  <c r="BK10" i="27"/>
  <c r="BL10" i="27"/>
  <c r="BK12" i="27"/>
  <c r="BL12" i="27"/>
  <c r="BK14" i="27"/>
  <c r="BL14" i="27"/>
  <c r="BK15" i="27"/>
  <c r="BL15" i="27"/>
  <c r="BK16" i="27"/>
  <c r="BL16" i="27"/>
  <c r="BK17" i="27"/>
  <c r="BL17" i="27"/>
  <c r="BK18" i="27"/>
  <c r="BL18" i="27"/>
  <c r="BK19" i="27"/>
  <c r="BL19" i="27"/>
  <c r="BK20" i="27"/>
  <c r="BL20" i="27"/>
  <c r="BK21" i="27"/>
  <c r="BL21" i="27"/>
  <c r="BK22" i="27"/>
  <c r="BL22" i="27"/>
  <c r="BK23" i="27"/>
  <c r="BL23" i="27"/>
  <c r="BK24" i="27"/>
  <c r="BL24" i="27"/>
  <c r="BK25" i="27"/>
  <c r="BL25" i="27"/>
  <c r="BK26" i="27"/>
  <c r="BL26" i="27"/>
  <c r="BK27" i="27"/>
  <c r="BL27" i="27"/>
  <c r="BK28" i="27"/>
  <c r="BL28" i="27"/>
  <c r="BK29" i="27"/>
  <c r="BL29" i="27"/>
  <c r="BK30" i="27"/>
  <c r="BL30" i="27"/>
  <c r="BK31" i="27"/>
  <c r="BL31" i="27"/>
  <c r="BK32" i="27"/>
  <c r="BL32" i="27"/>
  <c r="BK33" i="27"/>
  <c r="BL33" i="27"/>
  <c r="BK34" i="27"/>
  <c r="BL34" i="27"/>
  <c r="BK35" i="27"/>
  <c r="BL35" i="27"/>
  <c r="BK36" i="27"/>
  <c r="BL36" i="27"/>
  <c r="BK37" i="27"/>
  <c r="BL37" i="27"/>
  <c r="BK38" i="27"/>
  <c r="BL38" i="27"/>
  <c r="BK39" i="27"/>
  <c r="BL39" i="27"/>
  <c r="BK40" i="27"/>
  <c r="BL40" i="27"/>
  <c r="BK41" i="27"/>
  <c r="BL41" i="27"/>
  <c r="BK42" i="27"/>
  <c r="BL42" i="27"/>
  <c r="BK43" i="27"/>
  <c r="BL43" i="27"/>
  <c r="BK44" i="27"/>
  <c r="BL44" i="27"/>
  <c r="BK45" i="27"/>
  <c r="BL45" i="27"/>
  <c r="BK47" i="27"/>
  <c r="BL47" i="27"/>
  <c r="BK48" i="27"/>
  <c r="BL48" i="27"/>
  <c r="BK49" i="27"/>
  <c r="BL49" i="27"/>
  <c r="BK50" i="27"/>
  <c r="BL50" i="27"/>
  <c r="BK51" i="27"/>
  <c r="BL51" i="27"/>
  <c r="BK54" i="27"/>
  <c r="BL54" i="27"/>
  <c r="BK56" i="27"/>
  <c r="BL56" i="27"/>
  <c r="BK57" i="27"/>
  <c r="BL57" i="27"/>
  <c r="BK58" i="27"/>
  <c r="BL58" i="27"/>
  <c r="BK59" i="27"/>
  <c r="BL59" i="27"/>
  <c r="BK60" i="27"/>
  <c r="BL60" i="27"/>
  <c r="BK61" i="27"/>
  <c r="BL61" i="27"/>
  <c r="BK62" i="27"/>
  <c r="BL62" i="27"/>
  <c r="BK64" i="27"/>
  <c r="BL64" i="27"/>
  <c r="BK65" i="27"/>
  <c r="BL65" i="27"/>
  <c r="BK66" i="27"/>
  <c r="BL66" i="27"/>
  <c r="BK67" i="27"/>
  <c r="BL67" i="27"/>
  <c r="BK68" i="27"/>
  <c r="BL68" i="27"/>
  <c r="BK69" i="27"/>
  <c r="BL69" i="27"/>
  <c r="BK70" i="27"/>
  <c r="BL70" i="27"/>
  <c r="BK71" i="27"/>
  <c r="BL71" i="27"/>
  <c r="BK72" i="27"/>
  <c r="BL72" i="27"/>
  <c r="BK73" i="27"/>
  <c r="BL73" i="27"/>
  <c r="BK74" i="27"/>
  <c r="BL74" i="27"/>
  <c r="BK75" i="27"/>
  <c r="BL75" i="27"/>
  <c r="BK76" i="27"/>
  <c r="BL76" i="27"/>
  <c r="BK77" i="27"/>
  <c r="BL77" i="27"/>
  <c r="BK78" i="27"/>
  <c r="BL78" i="27"/>
  <c r="BK79" i="27"/>
  <c r="BL79" i="27"/>
  <c r="BK81" i="27"/>
  <c r="BL81" i="27"/>
  <c r="BK83" i="27"/>
  <c r="BL83" i="27"/>
  <c r="BK84" i="27"/>
  <c r="BL84" i="27"/>
  <c r="BK85" i="27"/>
  <c r="BL85" i="27"/>
  <c r="BK86" i="27"/>
  <c r="BL86" i="27"/>
  <c r="BK87" i="27"/>
  <c r="BL87" i="27"/>
  <c r="BK88" i="27"/>
  <c r="BL88" i="27"/>
  <c r="BK89" i="27"/>
  <c r="BL89" i="27"/>
  <c r="BK90" i="27"/>
  <c r="BL90" i="27"/>
  <c r="BK91" i="27"/>
  <c r="BL91" i="27"/>
  <c r="BK93" i="27"/>
  <c r="BL93" i="27"/>
  <c r="BK94" i="27"/>
  <c r="BL94" i="27"/>
  <c r="BK96" i="27"/>
  <c r="BL96" i="27"/>
  <c r="BK98" i="27"/>
  <c r="BL98" i="27"/>
  <c r="BK99" i="27"/>
  <c r="BL99" i="27"/>
  <c r="BK100" i="27"/>
  <c r="BL100" i="27"/>
  <c r="BK101" i="27"/>
  <c r="BL101" i="27"/>
  <c r="BK102" i="27"/>
  <c r="BL102" i="27"/>
  <c r="BK103" i="27"/>
  <c r="BL103" i="27"/>
  <c r="BK105" i="27"/>
  <c r="BL105" i="27"/>
  <c r="BK106" i="27"/>
  <c r="BL106" i="27"/>
  <c r="BK107" i="27"/>
  <c r="BL107" i="27"/>
  <c r="BK108" i="27"/>
  <c r="BL108" i="27"/>
  <c r="BK109" i="27"/>
  <c r="BL109" i="27"/>
  <c r="BK110" i="27"/>
  <c r="BL110" i="27"/>
  <c r="BK111" i="27"/>
  <c r="BL111" i="27"/>
  <c r="BK112" i="27"/>
  <c r="BL112" i="27"/>
  <c r="BK113" i="27"/>
  <c r="BL113" i="27"/>
  <c r="BK114" i="27"/>
  <c r="BL114" i="27"/>
  <c r="BK115" i="27"/>
  <c r="BL115" i="27"/>
  <c r="BK116" i="27"/>
  <c r="BL116" i="27"/>
  <c r="BK117" i="27"/>
  <c r="BL117" i="27"/>
  <c r="BK118" i="27"/>
  <c r="BL118" i="27"/>
  <c r="BK119" i="27"/>
  <c r="BL119" i="27"/>
  <c r="BK121" i="27"/>
  <c r="BL121" i="27"/>
  <c r="BK122" i="27"/>
  <c r="BL122" i="27"/>
  <c r="BK123" i="27"/>
  <c r="BL123" i="27"/>
  <c r="BK124" i="27"/>
  <c r="BL124" i="27"/>
  <c r="BK125" i="27"/>
  <c r="BL125" i="27"/>
  <c r="BK126" i="27"/>
  <c r="BL126" i="27"/>
  <c r="BK127" i="27"/>
  <c r="BL127" i="27"/>
  <c r="BK128" i="27"/>
  <c r="BL128" i="27"/>
  <c r="BK129" i="27"/>
  <c r="BL129" i="27"/>
  <c r="BK130" i="27"/>
  <c r="BL130" i="27"/>
  <c r="BK132" i="27"/>
  <c r="BL132" i="27"/>
  <c r="BK133" i="27"/>
  <c r="BL133" i="27"/>
  <c r="BK134" i="27"/>
  <c r="BL134" i="27"/>
  <c r="BK135" i="27"/>
  <c r="BL135" i="27"/>
  <c r="BK136" i="27"/>
  <c r="BL136" i="27"/>
  <c r="BK137" i="27"/>
  <c r="BL137" i="27"/>
  <c r="BK138" i="27"/>
  <c r="BL138" i="27"/>
  <c r="BK139" i="27"/>
  <c r="BL139" i="27"/>
  <c r="BK140" i="27"/>
  <c r="BL140" i="27"/>
  <c r="BL6" i="27"/>
  <c r="BK6" i="27"/>
  <c r="J7" i="27"/>
  <c r="J8" i="27"/>
  <c r="J9" i="27"/>
  <c r="J10" i="27"/>
  <c r="J12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7" i="27"/>
  <c r="J48" i="27"/>
  <c r="J49" i="27"/>
  <c r="J50" i="27"/>
  <c r="J51" i="27"/>
  <c r="J54" i="27"/>
  <c r="J56" i="27"/>
  <c r="J57" i="27"/>
  <c r="J58" i="27"/>
  <c r="J59" i="27"/>
  <c r="J60" i="27"/>
  <c r="J61" i="27"/>
  <c r="J62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1" i="27"/>
  <c r="J83" i="27"/>
  <c r="J84" i="27"/>
  <c r="J85" i="27"/>
  <c r="J86" i="27"/>
  <c r="J87" i="27"/>
  <c r="J88" i="27"/>
  <c r="J89" i="27"/>
  <c r="J90" i="27"/>
  <c r="J91" i="27"/>
  <c r="J93" i="27"/>
  <c r="J94" i="27"/>
  <c r="J96" i="27"/>
  <c r="J98" i="27"/>
  <c r="J99" i="27"/>
  <c r="J100" i="27"/>
  <c r="J101" i="27"/>
  <c r="J102" i="27"/>
  <c r="J103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1" i="27"/>
  <c r="J122" i="27"/>
  <c r="J123" i="27"/>
  <c r="J124" i="27"/>
  <c r="J125" i="27"/>
  <c r="J126" i="27"/>
  <c r="J127" i="27"/>
  <c r="J128" i="27"/>
  <c r="J129" i="27"/>
  <c r="J130" i="27"/>
  <c r="J132" i="27"/>
  <c r="J133" i="27"/>
  <c r="J134" i="27"/>
  <c r="J135" i="27"/>
  <c r="J136" i="27"/>
  <c r="J137" i="27"/>
  <c r="J138" i="27"/>
  <c r="J139" i="27"/>
  <c r="J140" i="27"/>
  <c r="J6" i="27"/>
  <c r="I7" i="27"/>
  <c r="I8" i="27"/>
  <c r="I9" i="27"/>
  <c r="I10" i="27"/>
  <c r="I12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7" i="27"/>
  <c r="I48" i="27"/>
  <c r="I49" i="27"/>
  <c r="I50" i="27"/>
  <c r="I51" i="27"/>
  <c r="I54" i="27"/>
  <c r="I56" i="27"/>
  <c r="I57" i="27"/>
  <c r="I58" i="27"/>
  <c r="I59" i="27"/>
  <c r="I60" i="27"/>
  <c r="I61" i="27"/>
  <c r="I62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1" i="27"/>
  <c r="I83" i="27"/>
  <c r="I84" i="27"/>
  <c r="I85" i="27"/>
  <c r="I86" i="27"/>
  <c r="I87" i="27"/>
  <c r="I88" i="27"/>
  <c r="I89" i="27"/>
  <c r="I90" i="27"/>
  <c r="I91" i="27"/>
  <c r="I93" i="27"/>
  <c r="I94" i="27"/>
  <c r="I96" i="27"/>
  <c r="I98" i="27"/>
  <c r="I99" i="27"/>
  <c r="I100" i="27"/>
  <c r="I101" i="27"/>
  <c r="I102" i="27"/>
  <c r="I103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1" i="27"/>
  <c r="I122" i="27"/>
  <c r="I123" i="27"/>
  <c r="I124" i="27"/>
  <c r="I125" i="27"/>
  <c r="I126" i="27"/>
  <c r="I127" i="27"/>
  <c r="I128" i="27"/>
  <c r="I129" i="27"/>
  <c r="I130" i="27"/>
  <c r="I132" i="27"/>
  <c r="I133" i="27"/>
  <c r="I134" i="27"/>
  <c r="I135" i="27"/>
  <c r="I136" i="27"/>
  <c r="I137" i="27"/>
  <c r="I138" i="27"/>
  <c r="I139" i="27"/>
  <c r="I140" i="27"/>
  <c r="I6" i="27"/>
  <c r="X9" i="18" l="1"/>
  <c r="X11" i="18"/>
  <c r="X44" i="18"/>
  <c r="X50" i="18"/>
  <c r="X51" i="18"/>
  <c r="X53" i="18"/>
  <c r="X61" i="18"/>
  <c r="X78" i="18"/>
  <c r="X80" i="18"/>
  <c r="X90" i="18"/>
  <c r="X93" i="18"/>
  <c r="X95" i="18"/>
  <c r="X102" i="18"/>
  <c r="X118" i="18"/>
  <c r="X129" i="18"/>
  <c r="X9" i="12"/>
  <c r="X11" i="12"/>
  <c r="X44" i="12"/>
  <c r="X50" i="12"/>
  <c r="X51" i="12"/>
  <c r="X53" i="12"/>
  <c r="X61" i="12"/>
  <c r="X78" i="12"/>
  <c r="X80" i="12"/>
  <c r="X90" i="12"/>
  <c r="X93" i="12"/>
  <c r="X95" i="12"/>
  <c r="X102" i="12"/>
  <c r="X118" i="12"/>
  <c r="X129" i="12"/>
  <c r="A5" i="23" l="1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4" i="23"/>
  <c r="C4" i="23" s="1"/>
  <c r="Z9" i="19"/>
  <c r="AA9" i="19" s="1"/>
  <c r="Z11" i="19"/>
  <c r="AA11" i="19" s="1"/>
  <c r="Z44" i="19"/>
  <c r="AA44" i="19" s="1"/>
  <c r="Z50" i="19"/>
  <c r="AA50" i="19" s="1"/>
  <c r="Z51" i="19"/>
  <c r="AA51" i="19" s="1"/>
  <c r="Z53" i="19"/>
  <c r="AA53" i="19" s="1"/>
  <c r="Z61" i="19"/>
  <c r="AA61" i="19" s="1"/>
  <c r="Z78" i="19"/>
  <c r="AA78" i="19" s="1"/>
  <c r="Z80" i="19"/>
  <c r="AA80" i="19" s="1"/>
  <c r="Z90" i="19"/>
  <c r="AA90" i="19" s="1"/>
  <c r="Z93" i="19"/>
  <c r="AA93" i="19" s="1"/>
  <c r="Z95" i="19"/>
  <c r="AA95" i="19" s="1"/>
  <c r="X9" i="19"/>
  <c r="X11" i="19"/>
  <c r="X44" i="19"/>
  <c r="X50" i="19"/>
  <c r="X51" i="19"/>
  <c r="X53" i="19"/>
  <c r="X61" i="19"/>
  <c r="X78" i="19"/>
  <c r="X80" i="19"/>
  <c r="X90" i="19"/>
  <c r="X93" i="19"/>
  <c r="X95" i="19"/>
  <c r="X102" i="19"/>
  <c r="X118" i="19"/>
  <c r="X129" i="19"/>
  <c r="M9" i="19"/>
  <c r="M11" i="19"/>
  <c r="M44" i="19"/>
  <c r="M50" i="19"/>
  <c r="M51" i="19"/>
  <c r="M53" i="19"/>
  <c r="M61" i="19"/>
  <c r="M78" i="19"/>
  <c r="M80" i="19"/>
  <c r="M90" i="19"/>
  <c r="M93" i="19"/>
  <c r="M95" i="19"/>
  <c r="M102" i="19"/>
  <c r="M118" i="19"/>
  <c r="M129" i="19"/>
  <c r="K139" i="19"/>
  <c r="V133" i="19"/>
  <c r="K133" i="19"/>
  <c r="Z129" i="19"/>
  <c r="AA129" i="19" s="1"/>
  <c r="Y129" i="19"/>
  <c r="W129" i="19"/>
  <c r="N129" i="19"/>
  <c r="L129" i="19"/>
  <c r="Z118" i="19"/>
  <c r="AA118" i="19" s="1"/>
  <c r="Y118" i="19"/>
  <c r="W118" i="19"/>
  <c r="N118" i="19"/>
  <c r="L118" i="19"/>
  <c r="Z102" i="19"/>
  <c r="AA102" i="19" s="1"/>
  <c r="Y102" i="19"/>
  <c r="W102" i="19"/>
  <c r="N102" i="19"/>
  <c r="L102" i="19"/>
  <c r="AA99" i="19"/>
  <c r="Y95" i="19"/>
  <c r="W95" i="19"/>
  <c r="N95" i="19"/>
  <c r="L95" i="19"/>
  <c r="Y93" i="19"/>
  <c r="W93" i="19"/>
  <c r="N93" i="19"/>
  <c r="L93" i="19"/>
  <c r="Y90" i="19"/>
  <c r="W90" i="19"/>
  <c r="N90" i="19"/>
  <c r="L90" i="19"/>
  <c r="Y80" i="19"/>
  <c r="W80" i="19"/>
  <c r="N80" i="19"/>
  <c r="L80" i="19"/>
  <c r="Y78" i="19"/>
  <c r="W78" i="19"/>
  <c r="N78" i="19"/>
  <c r="L78" i="19"/>
  <c r="Y61" i="19"/>
  <c r="W61" i="19"/>
  <c r="N61" i="19"/>
  <c r="L61" i="19"/>
  <c r="Y53" i="19"/>
  <c r="W53" i="19"/>
  <c r="N53" i="19"/>
  <c r="L53" i="19"/>
  <c r="Y51" i="19"/>
  <c r="W51" i="19"/>
  <c r="N51" i="19"/>
  <c r="L51" i="19"/>
  <c r="Y50" i="19"/>
  <c r="W50" i="19"/>
  <c r="N50" i="19"/>
  <c r="L50" i="19"/>
  <c r="Y44" i="19"/>
  <c r="W44" i="19"/>
  <c r="N44" i="19"/>
  <c r="L44" i="19"/>
  <c r="Y11" i="19"/>
  <c r="W11" i="19"/>
  <c r="N11" i="19"/>
  <c r="L11" i="19"/>
  <c r="Y9" i="19"/>
  <c r="W9" i="19"/>
  <c r="N9" i="19"/>
  <c r="L9" i="19"/>
  <c r="M9" i="18" l="1"/>
  <c r="M11" i="18"/>
  <c r="M44" i="18"/>
  <c r="M50" i="18"/>
  <c r="M51" i="18"/>
  <c r="M53" i="18"/>
  <c r="M61" i="18"/>
  <c r="M78" i="18"/>
  <c r="M80" i="18"/>
  <c r="M90" i="18"/>
  <c r="M93" i="18"/>
  <c r="M95" i="18"/>
  <c r="M102" i="18"/>
  <c r="M118" i="18"/>
  <c r="M129" i="18"/>
  <c r="Z129" i="18"/>
  <c r="AA129" i="18" s="1"/>
  <c r="Y129" i="18"/>
  <c r="N129" i="18"/>
  <c r="Z118" i="18"/>
  <c r="AA118" i="18" s="1"/>
  <c r="Y118" i="18"/>
  <c r="N118" i="18"/>
  <c r="Z102" i="18"/>
  <c r="AA102" i="18" s="1"/>
  <c r="Y102" i="18"/>
  <c r="N102" i="18"/>
  <c r="AA99" i="18"/>
  <c r="Z95" i="18"/>
  <c r="AA95" i="18" s="1"/>
  <c r="Y95" i="18"/>
  <c r="N95" i="18"/>
  <c r="Z93" i="18"/>
  <c r="AA93" i="18" s="1"/>
  <c r="Y93" i="18"/>
  <c r="N93" i="18"/>
  <c r="Z90" i="18"/>
  <c r="AA90" i="18" s="1"/>
  <c r="Y90" i="18"/>
  <c r="N90" i="18"/>
  <c r="Z80" i="18"/>
  <c r="AA80" i="18" s="1"/>
  <c r="Y80" i="18"/>
  <c r="N80" i="18"/>
  <c r="Z78" i="18"/>
  <c r="AA78" i="18" s="1"/>
  <c r="Y78" i="18"/>
  <c r="N78" i="18"/>
  <c r="Z61" i="18"/>
  <c r="AA61" i="18" s="1"/>
  <c r="Y61" i="18"/>
  <c r="N61" i="18"/>
  <c r="Z53" i="18"/>
  <c r="AA53" i="18" s="1"/>
  <c r="Y53" i="18"/>
  <c r="N53" i="18"/>
  <c r="Z51" i="18"/>
  <c r="AA51" i="18" s="1"/>
  <c r="Y51" i="18"/>
  <c r="N51" i="18"/>
  <c r="Z50" i="18"/>
  <c r="AA50" i="18" s="1"/>
  <c r="Y50" i="18"/>
  <c r="N50" i="18"/>
  <c r="Z44" i="18"/>
  <c r="AA44" i="18" s="1"/>
  <c r="Y44" i="18"/>
  <c r="N44" i="18"/>
  <c r="Z11" i="18"/>
  <c r="AA11" i="18" s="1"/>
  <c r="Y11" i="18"/>
  <c r="N11" i="18"/>
  <c r="Z9" i="18"/>
  <c r="AA9" i="18" s="1"/>
  <c r="Y9" i="18"/>
  <c r="N9" i="18"/>
  <c r="M9" i="12"/>
  <c r="M11" i="12"/>
  <c r="M44" i="12"/>
  <c r="M50" i="12"/>
  <c r="M51" i="12"/>
  <c r="M53" i="12"/>
  <c r="M61" i="12"/>
  <c r="M78" i="12"/>
  <c r="M80" i="12"/>
  <c r="M90" i="12"/>
  <c r="M93" i="12"/>
  <c r="M95" i="12"/>
  <c r="M102" i="12"/>
  <c r="M118" i="12"/>
  <c r="M129" i="12"/>
  <c r="N9" i="12"/>
  <c r="N11" i="12"/>
  <c r="N44" i="12"/>
  <c r="N50" i="12"/>
  <c r="N51" i="12"/>
  <c r="N53" i="12"/>
  <c r="N61" i="12"/>
  <c r="N78" i="12"/>
  <c r="N80" i="12"/>
  <c r="N90" i="12"/>
  <c r="N93" i="12"/>
  <c r="N95" i="12"/>
  <c r="N102" i="12"/>
  <c r="N118" i="12"/>
  <c r="N129" i="12"/>
  <c r="Y9" i="12"/>
  <c r="Y11" i="12"/>
  <c r="Y44" i="12"/>
  <c r="Y50" i="12"/>
  <c r="Y51" i="12"/>
  <c r="Y53" i="12"/>
  <c r="Y61" i="12"/>
  <c r="Y78" i="12"/>
  <c r="Y80" i="12"/>
  <c r="Y90" i="12"/>
  <c r="Y93" i="12"/>
  <c r="Y95" i="12"/>
  <c r="Y102" i="12"/>
  <c r="Y118" i="12"/>
  <c r="Y129" i="12"/>
  <c r="Z9" i="12"/>
  <c r="AW7" i="27"/>
  <c r="K5" i="19" s="1"/>
  <c r="AW8" i="27"/>
  <c r="K6" i="19" s="1"/>
  <c r="AW9" i="27"/>
  <c r="AW10" i="27"/>
  <c r="AW11" i="27"/>
  <c r="AW12" i="27"/>
  <c r="AW13" i="27"/>
  <c r="AW14" i="27"/>
  <c r="AW15" i="27"/>
  <c r="AW16" i="27"/>
  <c r="AW17" i="27"/>
  <c r="AW18" i="27"/>
  <c r="AW19" i="27"/>
  <c r="AW20" i="27"/>
  <c r="AW21" i="27"/>
  <c r="AW22" i="27"/>
  <c r="AW23" i="27"/>
  <c r="AW24" i="27"/>
  <c r="AW25" i="27"/>
  <c r="AW26" i="27"/>
  <c r="AW27" i="27"/>
  <c r="AW28" i="27"/>
  <c r="AW29" i="27"/>
  <c r="AW30" i="27"/>
  <c r="AW31" i="27"/>
  <c r="AW32" i="27"/>
  <c r="AW33" i="27"/>
  <c r="AW34" i="27"/>
  <c r="AW35" i="27"/>
  <c r="AW36" i="27"/>
  <c r="AW37" i="27"/>
  <c r="AW38" i="27"/>
  <c r="AW39" i="27"/>
  <c r="AW40" i="27"/>
  <c r="AW41" i="27"/>
  <c r="AW42" i="27"/>
  <c r="AW43" i="27"/>
  <c r="AW44" i="27"/>
  <c r="AW45" i="27"/>
  <c r="AW46" i="27"/>
  <c r="AW47" i="27"/>
  <c r="AW48" i="27"/>
  <c r="AW49" i="27"/>
  <c r="AW50" i="27"/>
  <c r="AW51" i="27"/>
  <c r="AW52" i="27"/>
  <c r="AW53" i="27"/>
  <c r="AW54" i="27"/>
  <c r="AW55" i="27"/>
  <c r="AW56" i="27"/>
  <c r="AW57" i="27"/>
  <c r="AW58" i="27"/>
  <c r="AW59" i="27"/>
  <c r="AW60" i="27"/>
  <c r="AW61" i="27"/>
  <c r="AW62" i="27"/>
  <c r="AW63" i="27"/>
  <c r="AW64" i="27"/>
  <c r="AW65" i="27"/>
  <c r="AW66" i="27"/>
  <c r="AW67" i="27"/>
  <c r="AW68" i="27"/>
  <c r="AW69" i="27"/>
  <c r="AW70" i="27"/>
  <c r="AW71" i="27"/>
  <c r="AW72" i="27"/>
  <c r="AW73" i="27"/>
  <c r="AW74" i="27"/>
  <c r="AW75" i="27"/>
  <c r="AW76" i="27"/>
  <c r="AW77" i="27"/>
  <c r="AW78" i="27"/>
  <c r="AW79" i="27"/>
  <c r="AW80" i="27"/>
  <c r="AW81" i="27"/>
  <c r="AW82" i="27"/>
  <c r="AW83" i="27"/>
  <c r="AW84" i="27"/>
  <c r="AW85" i="27"/>
  <c r="AW86" i="27"/>
  <c r="AW87" i="27"/>
  <c r="AW88" i="27"/>
  <c r="AW89" i="27"/>
  <c r="AW90" i="27"/>
  <c r="AW91" i="27"/>
  <c r="AW92" i="27"/>
  <c r="AW93" i="27"/>
  <c r="AW94" i="27"/>
  <c r="AW95" i="27"/>
  <c r="AW96" i="27"/>
  <c r="AW97" i="27"/>
  <c r="AW98" i="27"/>
  <c r="AW99" i="27"/>
  <c r="AW100" i="27"/>
  <c r="AW101" i="27"/>
  <c r="AW102" i="27"/>
  <c r="AW103" i="27"/>
  <c r="AW104" i="27"/>
  <c r="AW105" i="27"/>
  <c r="AW106" i="27"/>
  <c r="AW107" i="27"/>
  <c r="AW108" i="27"/>
  <c r="AW109" i="27"/>
  <c r="AW110" i="27"/>
  <c r="AW111" i="27"/>
  <c r="AW112" i="27"/>
  <c r="AW113" i="27"/>
  <c r="AW114" i="27"/>
  <c r="AW115" i="27"/>
  <c r="AW116" i="27"/>
  <c r="AW117" i="27"/>
  <c r="AW118" i="27"/>
  <c r="AW119" i="27"/>
  <c r="AW120" i="27"/>
  <c r="AW121" i="27"/>
  <c r="AW122" i="27"/>
  <c r="AW123" i="27"/>
  <c r="AW124" i="27"/>
  <c r="AW125" i="27"/>
  <c r="AW126" i="27"/>
  <c r="AW127" i="27"/>
  <c r="AW128" i="27"/>
  <c r="AW129" i="27"/>
  <c r="AW130" i="27"/>
  <c r="AW131" i="27"/>
  <c r="AW132" i="27"/>
  <c r="AW133" i="27"/>
  <c r="AW134" i="27"/>
  <c r="AW136" i="27"/>
  <c r="AW137" i="27"/>
  <c r="AW138" i="27"/>
  <c r="AW139" i="27"/>
  <c r="AW140" i="27"/>
  <c r="AW6" i="27"/>
  <c r="K137" i="19" l="1"/>
  <c r="K136" i="19"/>
  <c r="K123" i="19"/>
  <c r="K135" i="19"/>
  <c r="K126" i="19"/>
  <c r="K118" i="19"/>
  <c r="K110" i="19"/>
  <c r="K102" i="19"/>
  <c r="K138" i="19"/>
  <c r="K134" i="19"/>
  <c r="K129" i="19"/>
  <c r="K125" i="19"/>
  <c r="K121" i="19"/>
  <c r="K117" i="19"/>
  <c r="K113" i="19"/>
  <c r="K109" i="19"/>
  <c r="K105" i="19"/>
  <c r="K101" i="19"/>
  <c r="K97" i="19"/>
  <c r="K93" i="19"/>
  <c r="K89" i="19"/>
  <c r="K85" i="19"/>
  <c r="K81" i="19"/>
  <c r="K77" i="19"/>
  <c r="K73" i="19"/>
  <c r="K69" i="19"/>
  <c r="K65" i="19"/>
  <c r="K61" i="19"/>
  <c r="K57" i="19"/>
  <c r="K53" i="19"/>
  <c r="K49" i="19"/>
  <c r="K45" i="19"/>
  <c r="K41" i="19"/>
  <c r="K37" i="19"/>
  <c r="K33" i="19"/>
  <c r="K29" i="19"/>
  <c r="K25" i="19"/>
  <c r="K21" i="19"/>
  <c r="K17" i="19"/>
  <c r="K13" i="19"/>
  <c r="K9" i="19"/>
  <c r="K124" i="19"/>
  <c r="K120" i="19"/>
  <c r="K116" i="19"/>
  <c r="K112" i="19"/>
  <c r="K108" i="19"/>
  <c r="K104" i="19"/>
  <c r="K100" i="19"/>
  <c r="K96" i="19"/>
  <c r="K92" i="19"/>
  <c r="K88" i="19"/>
  <c r="K84" i="19"/>
  <c r="K80" i="19"/>
  <c r="K76" i="19"/>
  <c r="K72" i="19"/>
  <c r="K68" i="19"/>
  <c r="K64" i="19"/>
  <c r="K60" i="19"/>
  <c r="K56" i="19"/>
  <c r="K52" i="19"/>
  <c r="K48" i="19"/>
  <c r="K44" i="19"/>
  <c r="K40" i="19"/>
  <c r="K36" i="19"/>
  <c r="K32" i="19"/>
  <c r="K28" i="19"/>
  <c r="K24" i="19"/>
  <c r="K20" i="19"/>
  <c r="K16" i="19"/>
  <c r="K12" i="19"/>
  <c r="K8" i="19"/>
  <c r="K128" i="19"/>
  <c r="K127" i="19"/>
  <c r="K115" i="19"/>
  <c r="K111" i="19"/>
  <c r="K107" i="19"/>
  <c r="K103" i="19"/>
  <c r="K99" i="19"/>
  <c r="K95" i="19"/>
  <c r="K91" i="19"/>
  <c r="K87" i="19"/>
  <c r="K83" i="19"/>
  <c r="K79" i="19"/>
  <c r="K75" i="19"/>
  <c r="K71" i="19"/>
  <c r="K67" i="19"/>
  <c r="K63" i="19"/>
  <c r="K59" i="19"/>
  <c r="K55" i="19"/>
  <c r="K51" i="19"/>
  <c r="K47" i="19"/>
  <c r="K43" i="19"/>
  <c r="K39" i="19"/>
  <c r="K35" i="19"/>
  <c r="K31" i="19"/>
  <c r="K27" i="19"/>
  <c r="K23" i="19"/>
  <c r="K19" i="19"/>
  <c r="K15" i="19"/>
  <c r="K11" i="19"/>
  <c r="K7" i="19"/>
  <c r="K132" i="19"/>
  <c r="K131" i="19"/>
  <c r="K119" i="19"/>
  <c r="K4" i="19"/>
  <c r="K130" i="19"/>
  <c r="K122" i="19"/>
  <c r="K114" i="19"/>
  <c r="K106" i="19"/>
  <c r="K98" i="19"/>
  <c r="K94" i="19"/>
  <c r="K90" i="19"/>
  <c r="K86" i="19"/>
  <c r="K82" i="19"/>
  <c r="K78" i="19"/>
  <c r="K74" i="19"/>
  <c r="K70" i="19"/>
  <c r="K66" i="19"/>
  <c r="K62" i="19"/>
  <c r="K58" i="19"/>
  <c r="K54" i="19"/>
  <c r="K50" i="19"/>
  <c r="K46" i="19"/>
  <c r="K42" i="19"/>
  <c r="K38" i="19"/>
  <c r="K34" i="19"/>
  <c r="K30" i="19"/>
  <c r="K26" i="19"/>
  <c r="K22" i="19"/>
  <c r="K18" i="19"/>
  <c r="K14" i="19"/>
  <c r="K10" i="19"/>
  <c r="Z102" i="12"/>
  <c r="Z118" i="12"/>
  <c r="Z129" i="12"/>
  <c r="Z11" i="12"/>
  <c r="Z44" i="12"/>
  <c r="Z50" i="12"/>
  <c r="Z51" i="12"/>
  <c r="Z53" i="12"/>
  <c r="Z61" i="12"/>
  <c r="Z78" i="12"/>
  <c r="Z80" i="12"/>
  <c r="Z90" i="12"/>
  <c r="Z93" i="12"/>
  <c r="Z95" i="12"/>
  <c r="CX120" i="27"/>
  <c r="CX131" i="27"/>
  <c r="CX109" i="27"/>
  <c r="CX111" i="27"/>
  <c r="CX115" i="27"/>
  <c r="CX92" i="27"/>
  <c r="CX95" i="27"/>
  <c r="CX96" i="27"/>
  <c r="CX97" i="27"/>
  <c r="CX99" i="27"/>
  <c r="CX101" i="27"/>
  <c r="CX104" i="27"/>
  <c r="CX74" i="27"/>
  <c r="CX80" i="27"/>
  <c r="CX81" i="27"/>
  <c r="CX82" i="27"/>
  <c r="CX70" i="27"/>
  <c r="CX59" i="27"/>
  <c r="CX61" i="27"/>
  <c r="CX63" i="27"/>
  <c r="CX67" i="27"/>
  <c r="CX44" i="27"/>
  <c r="CX45" i="27"/>
  <c r="CX46" i="27"/>
  <c r="CX52" i="27"/>
  <c r="CX53" i="27"/>
  <c r="CX54" i="27"/>
  <c r="CX55" i="27"/>
  <c r="CX13" i="27"/>
  <c r="CX8" i="27"/>
  <c r="CX11" i="27"/>
  <c r="AV131" i="27"/>
  <c r="AV109" i="27"/>
  <c r="AV111" i="27"/>
  <c r="AV115" i="27"/>
  <c r="AV120" i="27"/>
  <c r="AV96" i="27"/>
  <c r="AV97" i="27"/>
  <c r="AV99" i="27"/>
  <c r="AV101" i="27"/>
  <c r="AV104" i="27"/>
  <c r="AV92" i="27"/>
  <c r="AV95" i="27"/>
  <c r="AV70" i="27"/>
  <c r="AV74" i="27"/>
  <c r="AV80" i="27"/>
  <c r="AV81" i="27"/>
  <c r="AV82" i="27"/>
  <c r="AV61" i="27"/>
  <c r="AV63" i="27"/>
  <c r="AV67" i="27"/>
  <c r="AV52" i="27"/>
  <c r="AV53" i="27"/>
  <c r="AV54" i="27"/>
  <c r="AV55" i="27"/>
  <c r="AV59" i="27"/>
  <c r="AV44" i="27"/>
  <c r="AV45" i="27"/>
  <c r="AV46" i="27"/>
  <c r="AV13" i="27"/>
  <c r="AV11" i="27"/>
  <c r="AV8" i="27"/>
  <c r="D9" i="13" l="1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C9" i="13"/>
  <c r="Y10" i="13"/>
  <c r="Z10" i="13"/>
  <c r="Y12" i="13"/>
  <c r="Z12" i="13" s="1"/>
  <c r="U10" i="13"/>
  <c r="V10" i="13"/>
  <c r="W10" i="13"/>
  <c r="X10" i="13"/>
  <c r="S12" i="13"/>
  <c r="T12" i="13" s="1"/>
  <c r="R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C10" i="13"/>
  <c r="F12" i="13"/>
  <c r="G12" i="13"/>
  <c r="H12" i="13" s="1"/>
  <c r="I12" i="13" s="1"/>
  <c r="J12" i="13" s="1"/>
  <c r="K12" i="13" s="1"/>
  <c r="L12" i="13" s="1"/>
  <c r="M12" i="13" s="1"/>
  <c r="N12" i="13" s="1"/>
  <c r="O12" i="13" s="1"/>
  <c r="P12" i="13" s="1"/>
  <c r="Q12" i="13" s="1"/>
  <c r="R12" i="13" s="1"/>
  <c r="E12" i="13"/>
  <c r="DH8" i="27"/>
  <c r="DH44" i="27"/>
  <c r="DH45" i="27"/>
  <c r="DH54" i="27"/>
  <c r="DH59" i="27"/>
  <c r="DH61" i="27"/>
  <c r="DH67" i="27"/>
  <c r="DH70" i="27"/>
  <c r="DH74" i="27"/>
  <c r="DH81" i="27"/>
  <c r="DH96" i="27"/>
  <c r="DH99" i="27"/>
  <c r="DH101" i="27"/>
  <c r="DH109" i="27"/>
  <c r="DH111" i="27"/>
  <c r="DH115" i="27"/>
  <c r="BF8" i="27"/>
  <c r="BF44" i="27"/>
  <c r="BF45" i="27"/>
  <c r="BF54" i="27"/>
  <c r="BF59" i="27"/>
  <c r="BF61" i="27"/>
  <c r="BF67" i="27"/>
  <c r="BF70" i="27"/>
  <c r="BF74" i="27"/>
  <c r="BF81" i="27"/>
  <c r="BF96" i="27"/>
  <c r="BF99" i="27"/>
  <c r="BF101" i="27"/>
  <c r="BF109" i="27"/>
  <c r="BF111" i="27"/>
  <c r="BF115" i="27"/>
  <c r="S72" i="12" l="1"/>
  <c r="S72" i="18"/>
  <c r="S6" i="12"/>
  <c r="S6" i="18"/>
  <c r="S109" i="12"/>
  <c r="S109" i="18"/>
  <c r="S94" i="12"/>
  <c r="S94" i="18"/>
  <c r="S65" i="12"/>
  <c r="S65" i="18"/>
  <c r="S43" i="12"/>
  <c r="S43" i="18"/>
  <c r="S107" i="12"/>
  <c r="S107" i="18"/>
  <c r="S79" i="12"/>
  <c r="S79" i="18"/>
  <c r="S59" i="12"/>
  <c r="S59" i="18"/>
  <c r="S42" i="12"/>
  <c r="S42" i="18"/>
  <c r="S99" i="12"/>
  <c r="S99" i="18"/>
  <c r="S57" i="12"/>
  <c r="S57" i="18"/>
  <c r="S113" i="12"/>
  <c r="S113" i="18"/>
  <c r="S97" i="12"/>
  <c r="S97" i="18"/>
  <c r="S68" i="12"/>
  <c r="S68" i="18"/>
  <c r="S52" i="12"/>
  <c r="S52" i="18"/>
  <c r="H107" i="12"/>
  <c r="H107" i="18"/>
  <c r="H42" i="12"/>
  <c r="H42" i="18"/>
  <c r="H99" i="12"/>
  <c r="H99" i="18"/>
  <c r="H57" i="12"/>
  <c r="H57" i="18"/>
  <c r="H6" i="12"/>
  <c r="H6" i="18"/>
  <c r="H113" i="12"/>
  <c r="H113" i="18"/>
  <c r="H97" i="12"/>
  <c r="H97" i="18"/>
  <c r="H68" i="12"/>
  <c r="H68" i="18"/>
  <c r="H52" i="12"/>
  <c r="H52" i="18"/>
  <c r="H94" i="12"/>
  <c r="H94" i="18"/>
  <c r="H65" i="12"/>
  <c r="H65" i="18"/>
  <c r="H43" i="12"/>
  <c r="H43" i="18"/>
  <c r="H79" i="12"/>
  <c r="H79" i="18"/>
  <c r="H109" i="12"/>
  <c r="H109" i="18"/>
  <c r="H59" i="12"/>
  <c r="H59" i="18"/>
  <c r="H72" i="12"/>
  <c r="H72" i="18"/>
  <c r="U12" i="13"/>
  <c r="V12" i="13" s="1"/>
  <c r="W12" i="13" s="1"/>
  <c r="X12" i="13" s="1"/>
  <c r="T10" i="13"/>
  <c r="S10" i="13"/>
  <c r="F2" i="27" l="1"/>
  <c r="AX8" i="27" l="1"/>
  <c r="AX24" i="27"/>
  <c r="AX40" i="27"/>
  <c r="AX56" i="27"/>
  <c r="AX72" i="27"/>
  <c r="AX88" i="27"/>
  <c r="AX104" i="27"/>
  <c r="AX120" i="27"/>
  <c r="AX136" i="27"/>
  <c r="AX17" i="27"/>
  <c r="AX33" i="27"/>
  <c r="AX49" i="27"/>
  <c r="AX73" i="27"/>
  <c r="AX105" i="27"/>
  <c r="AX137" i="27"/>
  <c r="AX22" i="27"/>
  <c r="AX38" i="27"/>
  <c r="AX54" i="27"/>
  <c r="AX70" i="27"/>
  <c r="AX86" i="27"/>
  <c r="AX102" i="27"/>
  <c r="AX118" i="27"/>
  <c r="AX134" i="27"/>
  <c r="AX15" i="27"/>
  <c r="AX31" i="27"/>
  <c r="AX47" i="27"/>
  <c r="AX63" i="27"/>
  <c r="AX79" i="27"/>
  <c r="AX95" i="27"/>
  <c r="AX111" i="27"/>
  <c r="AX127" i="27"/>
  <c r="AX57" i="27"/>
  <c r="AX93" i="27"/>
  <c r="AX125" i="27"/>
  <c r="AZ9" i="27"/>
  <c r="AZ25" i="27"/>
  <c r="AZ41" i="27"/>
  <c r="AZ57" i="27"/>
  <c r="AZ73" i="27"/>
  <c r="AZ89" i="27"/>
  <c r="AZ105" i="27"/>
  <c r="AZ121" i="27"/>
  <c r="AZ137" i="27"/>
  <c r="AZ38" i="27"/>
  <c r="AZ70" i="27"/>
  <c r="AZ102" i="27"/>
  <c r="AZ134" i="27"/>
  <c r="AZ19" i="27"/>
  <c r="AZ35" i="27"/>
  <c r="AZ51" i="27"/>
  <c r="AZ67" i="27"/>
  <c r="AZ83" i="27"/>
  <c r="AZ99" i="27"/>
  <c r="AZ115" i="27"/>
  <c r="AZ131" i="27"/>
  <c r="AZ12" i="27"/>
  <c r="AZ28" i="27"/>
  <c r="AZ44" i="27"/>
  <c r="AZ60" i="27"/>
  <c r="AZ76" i="27"/>
  <c r="AZ92" i="27"/>
  <c r="AZ108" i="27"/>
  <c r="AZ124" i="27"/>
  <c r="AZ140" i="27"/>
  <c r="AZ30" i="27"/>
  <c r="AZ58" i="27"/>
  <c r="AZ90" i="27"/>
  <c r="AZ122" i="27"/>
  <c r="AX12" i="27"/>
  <c r="AX28" i="27"/>
  <c r="AX44" i="27"/>
  <c r="AX60" i="27"/>
  <c r="AX76" i="27"/>
  <c r="AX92" i="27"/>
  <c r="AX108" i="27"/>
  <c r="AX124" i="27"/>
  <c r="AX140" i="27"/>
  <c r="AX21" i="27"/>
  <c r="AX37" i="27"/>
  <c r="AX53" i="27"/>
  <c r="AX81" i="27"/>
  <c r="AX113" i="27"/>
  <c r="AX10" i="27"/>
  <c r="AX26" i="27"/>
  <c r="AX42" i="27"/>
  <c r="AX16" i="27"/>
  <c r="AX32" i="27"/>
  <c r="AX48" i="27"/>
  <c r="AX64" i="27"/>
  <c r="AX80" i="27"/>
  <c r="AX96" i="27"/>
  <c r="AX112" i="27"/>
  <c r="AX128" i="27"/>
  <c r="AX9" i="27"/>
  <c r="AX25" i="27"/>
  <c r="AX41" i="27"/>
  <c r="AX61" i="27"/>
  <c r="AX89" i="27"/>
  <c r="AX121" i="27"/>
  <c r="AX14" i="27"/>
  <c r="AX30" i="27"/>
  <c r="AX46" i="27"/>
  <c r="AX62" i="27"/>
  <c r="AX78" i="27"/>
  <c r="AX94" i="27"/>
  <c r="AX110" i="27"/>
  <c r="AX126" i="27"/>
  <c r="AX7" i="27"/>
  <c r="AX23" i="27"/>
  <c r="AX39" i="27"/>
  <c r="AX55" i="27"/>
  <c r="AX71" i="27"/>
  <c r="AX87" i="27"/>
  <c r="AX103" i="27"/>
  <c r="AX119" i="27"/>
  <c r="AX135" i="27"/>
  <c r="AX77" i="27"/>
  <c r="AX109" i="27"/>
  <c r="AX6" i="27"/>
  <c r="AZ17" i="27"/>
  <c r="AZ33" i="27"/>
  <c r="AZ49" i="27"/>
  <c r="AZ65" i="27"/>
  <c r="AZ81" i="27"/>
  <c r="AZ97" i="27"/>
  <c r="AZ113" i="27"/>
  <c r="AZ129" i="27"/>
  <c r="AZ18" i="27"/>
  <c r="AZ54" i="27"/>
  <c r="AZ86" i="27"/>
  <c r="AZ118" i="27"/>
  <c r="AZ11" i="27"/>
  <c r="AZ27" i="27"/>
  <c r="AZ43" i="27"/>
  <c r="AZ59" i="27"/>
  <c r="AZ75" i="27"/>
  <c r="AZ91" i="27"/>
  <c r="AZ107" i="27"/>
  <c r="AZ123" i="27"/>
  <c r="AZ139" i="27"/>
  <c r="AZ20" i="27"/>
  <c r="AZ36" i="27"/>
  <c r="AZ52" i="27"/>
  <c r="AZ68" i="27"/>
  <c r="AZ84" i="27"/>
  <c r="AZ100" i="27"/>
  <c r="AZ116" i="27"/>
  <c r="AZ132" i="27"/>
  <c r="AZ14" i="27"/>
  <c r="AZ42" i="27"/>
  <c r="AZ74" i="27"/>
  <c r="AZ106" i="27"/>
  <c r="AZ138" i="27"/>
  <c r="AX20" i="27"/>
  <c r="AX36" i="27"/>
  <c r="AX52" i="27"/>
  <c r="AX68" i="27"/>
  <c r="AX84" i="27"/>
  <c r="AX100" i="27"/>
  <c r="AX116" i="27"/>
  <c r="AX132" i="27"/>
  <c r="AX13" i="27"/>
  <c r="AX29" i="27"/>
  <c r="AX45" i="27"/>
  <c r="AX65" i="27"/>
  <c r="AX97" i="27"/>
  <c r="AX129" i="27"/>
  <c r="AX18" i="27"/>
  <c r="AX34" i="27"/>
  <c r="AX50" i="27"/>
  <c r="AX66" i="27"/>
  <c r="AX58" i="27"/>
  <c r="AX98" i="27"/>
  <c r="AX130" i="27"/>
  <c r="AX27" i="27"/>
  <c r="AX59" i="27"/>
  <c r="AX91" i="27"/>
  <c r="AX123" i="27"/>
  <c r="AX85" i="27"/>
  <c r="AZ6" i="27"/>
  <c r="AZ37" i="27"/>
  <c r="AZ69" i="27"/>
  <c r="AZ101" i="27"/>
  <c r="AZ133" i="27"/>
  <c r="AZ62" i="27"/>
  <c r="AZ126" i="27"/>
  <c r="AZ31" i="27"/>
  <c r="AZ63" i="27"/>
  <c r="AZ95" i="27"/>
  <c r="AZ127" i="27"/>
  <c r="AZ24" i="27"/>
  <c r="AZ56" i="27"/>
  <c r="AZ88" i="27"/>
  <c r="AZ120" i="27"/>
  <c r="AZ22" i="27"/>
  <c r="AZ82" i="27"/>
  <c r="AZ117" i="27"/>
  <c r="AZ15" i="27"/>
  <c r="AZ79" i="27"/>
  <c r="AZ72" i="27"/>
  <c r="AZ136" i="27"/>
  <c r="AX90" i="27"/>
  <c r="AX19" i="27"/>
  <c r="AX83" i="27"/>
  <c r="AX69" i="27"/>
  <c r="AZ29" i="27"/>
  <c r="AZ61" i="27"/>
  <c r="AZ125" i="27"/>
  <c r="AZ23" i="27"/>
  <c r="AZ55" i="27"/>
  <c r="AZ119" i="27"/>
  <c r="AZ48" i="27"/>
  <c r="AZ112" i="27"/>
  <c r="AZ130" i="27"/>
  <c r="AX74" i="27"/>
  <c r="AX106" i="27"/>
  <c r="AX138" i="27"/>
  <c r="AX35" i="27"/>
  <c r="AX67" i="27"/>
  <c r="AX99" i="27"/>
  <c r="AX131" i="27"/>
  <c r="AX101" i="27"/>
  <c r="AZ13" i="27"/>
  <c r="AZ45" i="27"/>
  <c r="AZ77" i="27"/>
  <c r="AZ109" i="27"/>
  <c r="AZ8" i="27"/>
  <c r="AZ78" i="27"/>
  <c r="AZ7" i="27"/>
  <c r="AZ39" i="27"/>
  <c r="AZ71" i="27"/>
  <c r="AZ103" i="27"/>
  <c r="AZ135" i="27"/>
  <c r="AZ32" i="27"/>
  <c r="AZ64" i="27"/>
  <c r="AZ96" i="27"/>
  <c r="AZ128" i="27"/>
  <c r="AZ34" i="27"/>
  <c r="AZ98" i="27"/>
  <c r="AX82" i="27"/>
  <c r="AX114" i="27"/>
  <c r="AX11" i="27"/>
  <c r="AX43" i="27"/>
  <c r="AX75" i="27"/>
  <c r="AX107" i="27"/>
  <c r="AX139" i="27"/>
  <c r="AX117" i="27"/>
  <c r="AZ21" i="27"/>
  <c r="AZ53" i="27"/>
  <c r="AZ85" i="27"/>
  <c r="AZ26" i="27"/>
  <c r="AZ94" i="27"/>
  <c r="AZ47" i="27"/>
  <c r="AZ111" i="27"/>
  <c r="AZ40" i="27"/>
  <c r="AZ104" i="27"/>
  <c r="AZ50" i="27"/>
  <c r="AZ114" i="27"/>
  <c r="AX122" i="27"/>
  <c r="AX51" i="27"/>
  <c r="AX115" i="27"/>
  <c r="AX133" i="27"/>
  <c r="AZ93" i="27"/>
  <c r="AZ46" i="27"/>
  <c r="AZ110" i="27"/>
  <c r="AZ87" i="27"/>
  <c r="AZ16" i="27"/>
  <c r="AZ80" i="27"/>
  <c r="AZ10" i="27"/>
  <c r="AZ66" i="27"/>
  <c r="AX4" i="27"/>
  <c r="AY4" i="27"/>
  <c r="BA4" i="27"/>
  <c r="BB4" i="27"/>
  <c r="C8" i="16"/>
  <c r="BF4" i="27"/>
  <c r="BM7" i="27" l="1"/>
  <c r="BM8" i="27"/>
  <c r="BM9" i="27"/>
  <c r="BM10" i="27"/>
  <c r="BM11" i="27"/>
  <c r="BM12" i="27"/>
  <c r="BM13" i="27"/>
  <c r="BM14" i="27"/>
  <c r="BM15" i="27"/>
  <c r="BM16" i="27"/>
  <c r="BM17" i="27"/>
  <c r="BM18" i="27"/>
  <c r="BM19" i="27"/>
  <c r="BM20" i="27"/>
  <c r="BM21" i="27"/>
  <c r="BM22" i="27"/>
  <c r="BM23" i="27"/>
  <c r="BM24" i="27"/>
  <c r="BM25" i="27"/>
  <c r="BM26" i="27"/>
  <c r="BM27" i="27"/>
  <c r="BM28" i="27"/>
  <c r="BM29" i="27"/>
  <c r="BM30" i="27"/>
  <c r="BM31" i="27"/>
  <c r="BM32" i="27"/>
  <c r="BM33" i="27"/>
  <c r="BM34" i="27"/>
  <c r="BM35" i="27"/>
  <c r="BM36" i="27"/>
  <c r="BM37" i="27"/>
  <c r="BM38" i="27"/>
  <c r="BM39" i="27"/>
  <c r="BM40" i="27"/>
  <c r="BM41" i="27"/>
  <c r="BM42" i="27"/>
  <c r="BM43" i="27"/>
  <c r="BM44" i="27"/>
  <c r="BM45" i="27"/>
  <c r="BM46" i="27"/>
  <c r="BM47" i="27"/>
  <c r="BM48" i="27"/>
  <c r="BM49" i="27"/>
  <c r="BM50" i="27"/>
  <c r="BM51" i="27"/>
  <c r="BM52" i="27"/>
  <c r="BM53" i="27"/>
  <c r="BM54" i="27"/>
  <c r="BM55" i="27"/>
  <c r="BM56" i="27"/>
  <c r="BM57" i="27"/>
  <c r="BM58" i="27"/>
  <c r="BM59" i="27"/>
  <c r="BM60" i="27"/>
  <c r="BM61" i="27"/>
  <c r="BM62" i="27"/>
  <c r="BM63" i="27"/>
  <c r="BM64" i="27"/>
  <c r="BM65" i="27"/>
  <c r="BM66" i="27"/>
  <c r="BM67" i="27"/>
  <c r="BM68" i="27"/>
  <c r="BM69" i="27"/>
  <c r="BM70" i="27"/>
  <c r="BM71" i="27"/>
  <c r="BM72" i="27"/>
  <c r="BM73" i="27"/>
  <c r="BM74" i="27"/>
  <c r="BM75" i="27"/>
  <c r="BM76" i="27"/>
  <c r="BM77" i="27"/>
  <c r="BM78" i="27"/>
  <c r="BM79" i="27"/>
  <c r="BM80" i="27"/>
  <c r="BM81" i="27"/>
  <c r="BM82" i="27"/>
  <c r="BM83" i="27"/>
  <c r="BM84" i="27"/>
  <c r="BM85" i="27"/>
  <c r="BM86" i="27"/>
  <c r="BM87" i="27"/>
  <c r="BM88" i="27"/>
  <c r="BM89" i="27"/>
  <c r="BM90" i="27"/>
  <c r="BM91" i="27"/>
  <c r="BM92" i="27"/>
  <c r="BM93" i="27"/>
  <c r="BM94" i="27"/>
  <c r="BM95" i="27"/>
  <c r="BM96" i="27"/>
  <c r="BM97" i="27"/>
  <c r="BM98" i="27"/>
  <c r="BM99" i="27"/>
  <c r="BM100" i="27"/>
  <c r="BM101" i="27"/>
  <c r="BM102" i="27"/>
  <c r="BM103" i="27"/>
  <c r="BM104" i="27"/>
  <c r="BM105" i="27"/>
  <c r="BM106" i="27"/>
  <c r="BM107" i="27"/>
  <c r="BM108" i="27"/>
  <c r="BM109" i="27"/>
  <c r="BM110" i="27"/>
  <c r="BM111" i="27"/>
  <c r="BM112" i="27"/>
  <c r="BM113" i="27"/>
  <c r="BM114" i="27"/>
  <c r="BM115" i="27"/>
  <c r="BM116" i="27"/>
  <c r="BM117" i="27"/>
  <c r="BM118" i="27"/>
  <c r="BM119" i="27"/>
  <c r="BM120" i="27"/>
  <c r="BM121" i="27"/>
  <c r="BM122" i="27"/>
  <c r="BM123" i="27"/>
  <c r="BM124" i="27"/>
  <c r="BM125" i="27"/>
  <c r="BM126" i="27"/>
  <c r="BM127" i="27"/>
  <c r="BM128" i="27"/>
  <c r="BM129" i="27"/>
  <c r="BM130" i="27"/>
  <c r="BM131" i="27"/>
  <c r="BM132" i="27"/>
  <c r="BM133" i="27"/>
  <c r="BM134" i="27"/>
  <c r="BM135" i="27"/>
  <c r="BM136" i="27"/>
  <c r="BM137" i="27"/>
  <c r="BM138" i="27"/>
  <c r="BM139" i="27"/>
  <c r="BM140" i="27"/>
  <c r="BM6" i="27"/>
  <c r="U136" i="19" l="1"/>
  <c r="U136" i="18"/>
  <c r="U132" i="19"/>
  <c r="U132" i="18"/>
  <c r="U128" i="19"/>
  <c r="U128" i="18"/>
  <c r="U124" i="19"/>
  <c r="U124" i="18"/>
  <c r="U120" i="19"/>
  <c r="U120" i="18"/>
  <c r="U116" i="19"/>
  <c r="U116" i="18"/>
  <c r="U112" i="19"/>
  <c r="U112" i="18"/>
  <c r="U108" i="19"/>
  <c r="U108" i="18"/>
  <c r="U104" i="19"/>
  <c r="U104" i="18"/>
  <c r="U100" i="19"/>
  <c r="U100" i="18"/>
  <c r="U96" i="19"/>
  <c r="U96" i="18"/>
  <c r="U92" i="19"/>
  <c r="U92" i="18"/>
  <c r="U88" i="19"/>
  <c r="U88" i="18"/>
  <c r="U84" i="19"/>
  <c r="U84" i="18"/>
  <c r="U80" i="19"/>
  <c r="U80" i="18"/>
  <c r="U76" i="19"/>
  <c r="U76" i="18"/>
  <c r="U72" i="19"/>
  <c r="U72" i="18"/>
  <c r="U68" i="19"/>
  <c r="U68" i="18"/>
  <c r="U64" i="19"/>
  <c r="U64" i="18"/>
  <c r="U60" i="19"/>
  <c r="U60" i="18"/>
  <c r="U56" i="19"/>
  <c r="U56" i="18"/>
  <c r="U52" i="19"/>
  <c r="U52" i="18"/>
  <c r="U48" i="19"/>
  <c r="U48" i="18"/>
  <c r="U44" i="19"/>
  <c r="U44" i="18"/>
  <c r="U40" i="19"/>
  <c r="U40" i="18"/>
  <c r="U36" i="19"/>
  <c r="U36" i="18"/>
  <c r="U32" i="19"/>
  <c r="U32" i="18"/>
  <c r="U28" i="19"/>
  <c r="U28" i="18"/>
  <c r="U24" i="19"/>
  <c r="U24" i="18"/>
  <c r="U20" i="19"/>
  <c r="U20" i="18"/>
  <c r="U16" i="19"/>
  <c r="U16" i="18"/>
  <c r="U12" i="19"/>
  <c r="U12" i="18"/>
  <c r="U8" i="19"/>
  <c r="U8" i="18"/>
  <c r="U4" i="12"/>
  <c r="U4" i="19"/>
  <c r="U4" i="18"/>
  <c r="U135" i="19"/>
  <c r="U135" i="18"/>
  <c r="U131" i="19"/>
  <c r="U131" i="18"/>
  <c r="U127" i="19"/>
  <c r="U127" i="18"/>
  <c r="U123" i="19"/>
  <c r="U123" i="18"/>
  <c r="U119" i="19"/>
  <c r="U119" i="18"/>
  <c r="U115" i="19"/>
  <c r="U115" i="18"/>
  <c r="U111" i="19"/>
  <c r="U111" i="18"/>
  <c r="U107" i="19"/>
  <c r="U107" i="18"/>
  <c r="U103" i="19"/>
  <c r="U103" i="18"/>
  <c r="U99" i="19"/>
  <c r="U99" i="18"/>
  <c r="U95" i="19"/>
  <c r="U95" i="18"/>
  <c r="U91" i="19"/>
  <c r="U91" i="18"/>
  <c r="U87" i="19"/>
  <c r="U87" i="18"/>
  <c r="U83" i="19"/>
  <c r="U83" i="18"/>
  <c r="U79" i="19"/>
  <c r="U79" i="18"/>
  <c r="U75" i="19"/>
  <c r="U75" i="18"/>
  <c r="U71" i="19"/>
  <c r="U71" i="18"/>
  <c r="U67" i="19"/>
  <c r="U67" i="18"/>
  <c r="U63" i="19"/>
  <c r="U63" i="18"/>
  <c r="U59" i="19"/>
  <c r="U59" i="18"/>
  <c r="U55" i="19"/>
  <c r="U55" i="18"/>
  <c r="U51" i="19"/>
  <c r="U51" i="18"/>
  <c r="U47" i="19"/>
  <c r="U47" i="18"/>
  <c r="U43" i="19"/>
  <c r="U43" i="18"/>
  <c r="U39" i="19"/>
  <c r="U39" i="18"/>
  <c r="U35" i="19"/>
  <c r="U35" i="18"/>
  <c r="U31" i="19"/>
  <c r="U31" i="18"/>
  <c r="U27" i="19"/>
  <c r="U27" i="18"/>
  <c r="U23" i="19"/>
  <c r="U23" i="18"/>
  <c r="U19" i="19"/>
  <c r="U19" i="18"/>
  <c r="U15" i="19"/>
  <c r="U15" i="18"/>
  <c r="U11" i="19"/>
  <c r="U11" i="18"/>
  <c r="U7" i="19"/>
  <c r="U7" i="18"/>
  <c r="U134" i="19"/>
  <c r="U134" i="18"/>
  <c r="U130" i="19"/>
  <c r="U130" i="18"/>
  <c r="U126" i="19"/>
  <c r="U126" i="18"/>
  <c r="U122" i="19"/>
  <c r="U122" i="18"/>
  <c r="U118" i="19"/>
  <c r="U118" i="18"/>
  <c r="U114" i="19"/>
  <c r="U114" i="18"/>
  <c r="U110" i="19"/>
  <c r="U110" i="18"/>
  <c r="U106" i="19"/>
  <c r="U106" i="18"/>
  <c r="U102" i="19"/>
  <c r="U102" i="18"/>
  <c r="U98" i="19"/>
  <c r="U98" i="18"/>
  <c r="U94" i="19"/>
  <c r="U94" i="18"/>
  <c r="U90" i="19"/>
  <c r="U90" i="18"/>
  <c r="U86" i="19"/>
  <c r="U86" i="18"/>
  <c r="U82" i="19"/>
  <c r="U82" i="18"/>
  <c r="U78" i="19"/>
  <c r="U78" i="18"/>
  <c r="U74" i="19"/>
  <c r="U74" i="18"/>
  <c r="U70" i="19"/>
  <c r="U70" i="18"/>
  <c r="U66" i="19"/>
  <c r="U66" i="18"/>
  <c r="U62" i="19"/>
  <c r="U62" i="18"/>
  <c r="U58" i="19"/>
  <c r="U58" i="18"/>
  <c r="U54" i="19"/>
  <c r="U54" i="18"/>
  <c r="U50" i="19"/>
  <c r="U50" i="18"/>
  <c r="U46" i="19"/>
  <c r="U46" i="18"/>
  <c r="U42" i="19"/>
  <c r="U42" i="18"/>
  <c r="U38" i="19"/>
  <c r="U38" i="18"/>
  <c r="U34" i="19"/>
  <c r="U34" i="18"/>
  <c r="U30" i="19"/>
  <c r="U30" i="18"/>
  <c r="U26" i="19"/>
  <c r="U26" i="18"/>
  <c r="U22" i="19"/>
  <c r="U22" i="18"/>
  <c r="U18" i="19"/>
  <c r="U18" i="18"/>
  <c r="U14" i="19"/>
  <c r="U14" i="18"/>
  <c r="U10" i="19"/>
  <c r="U10" i="18"/>
  <c r="U6" i="19"/>
  <c r="U6" i="18"/>
  <c r="U137" i="19"/>
  <c r="U137" i="18"/>
  <c r="U133" i="19"/>
  <c r="U133" i="18"/>
  <c r="U129" i="19"/>
  <c r="U129" i="18"/>
  <c r="U125" i="19"/>
  <c r="U125" i="18"/>
  <c r="U121" i="19"/>
  <c r="U121" i="18"/>
  <c r="U117" i="19"/>
  <c r="U117" i="18"/>
  <c r="U113" i="19"/>
  <c r="U113" i="18"/>
  <c r="U109" i="19"/>
  <c r="U109" i="18"/>
  <c r="U105" i="19"/>
  <c r="U105" i="18"/>
  <c r="U101" i="19"/>
  <c r="U101" i="18"/>
  <c r="U97" i="19"/>
  <c r="U97" i="18"/>
  <c r="U93" i="19"/>
  <c r="U93" i="18"/>
  <c r="U89" i="19"/>
  <c r="U89" i="18"/>
  <c r="U85" i="19"/>
  <c r="U85" i="18"/>
  <c r="U81" i="19"/>
  <c r="U81" i="18"/>
  <c r="U77" i="19"/>
  <c r="U77" i="18"/>
  <c r="U73" i="19"/>
  <c r="U73" i="18"/>
  <c r="U69" i="19"/>
  <c r="U69" i="18"/>
  <c r="U65" i="19"/>
  <c r="U65" i="18"/>
  <c r="U61" i="19"/>
  <c r="U61" i="18"/>
  <c r="U57" i="19"/>
  <c r="U57" i="18"/>
  <c r="U53" i="19"/>
  <c r="U53" i="18"/>
  <c r="U49" i="19"/>
  <c r="U49" i="18"/>
  <c r="U45" i="19"/>
  <c r="U45" i="18"/>
  <c r="U41" i="19"/>
  <c r="U41" i="18"/>
  <c r="U37" i="19"/>
  <c r="U37" i="18"/>
  <c r="U33" i="19"/>
  <c r="U33" i="18"/>
  <c r="U29" i="19"/>
  <c r="U29" i="18"/>
  <c r="U25" i="19"/>
  <c r="U25" i="18"/>
  <c r="U21" i="19"/>
  <c r="U21" i="18"/>
  <c r="U17" i="19"/>
  <c r="U17" i="18"/>
  <c r="U13" i="19"/>
  <c r="U13" i="18"/>
  <c r="U9" i="19"/>
  <c r="U9" i="18"/>
  <c r="U5" i="19"/>
  <c r="U5" i="18"/>
  <c r="U138" i="19"/>
  <c r="U138" i="18"/>
  <c r="U123" i="12"/>
  <c r="U99" i="12"/>
  <c r="U69" i="12"/>
  <c r="U39" i="12"/>
  <c r="U134" i="12"/>
  <c r="U128" i="12"/>
  <c r="U122" i="12"/>
  <c r="U116" i="12"/>
  <c r="U110" i="12"/>
  <c r="U104" i="12"/>
  <c r="U98" i="12"/>
  <c r="U92" i="12"/>
  <c r="U86" i="12"/>
  <c r="U80" i="12"/>
  <c r="U74" i="12"/>
  <c r="U68" i="12"/>
  <c r="U62" i="12"/>
  <c r="U56" i="12"/>
  <c r="U50" i="12"/>
  <c r="U44" i="12"/>
  <c r="U38" i="12"/>
  <c r="U32" i="12"/>
  <c r="U26" i="12"/>
  <c r="U20" i="12"/>
  <c r="U14" i="12"/>
  <c r="U8" i="12"/>
  <c r="U111" i="12"/>
  <c r="U87" i="12"/>
  <c r="U57" i="12"/>
  <c r="U27" i="12"/>
  <c r="U9" i="12"/>
  <c r="U115" i="12"/>
  <c r="U97" i="12"/>
  <c r="U73" i="12"/>
  <c r="U49" i="12"/>
  <c r="U31" i="12"/>
  <c r="U13" i="12"/>
  <c r="U138" i="12"/>
  <c r="U120" i="12"/>
  <c r="U102" i="12"/>
  <c r="U84" i="12"/>
  <c r="U66" i="12"/>
  <c r="U54" i="12"/>
  <c r="U36" i="12"/>
  <c r="U18" i="12"/>
  <c r="U6" i="12"/>
  <c r="U129" i="12"/>
  <c r="U117" i="12"/>
  <c r="U93" i="12"/>
  <c r="U81" i="12"/>
  <c r="U63" i="12"/>
  <c r="U45" i="12"/>
  <c r="U33" i="12"/>
  <c r="U15" i="12"/>
  <c r="U133" i="12"/>
  <c r="U121" i="12"/>
  <c r="U109" i="12"/>
  <c r="U91" i="12"/>
  <c r="U79" i="12"/>
  <c r="U67" i="12"/>
  <c r="U55" i="12"/>
  <c r="U43" i="12"/>
  <c r="U25" i="12"/>
  <c r="U19" i="12"/>
  <c r="U7" i="12"/>
  <c r="U132" i="12"/>
  <c r="U126" i="12"/>
  <c r="U114" i="12"/>
  <c r="U108" i="12"/>
  <c r="U96" i="12"/>
  <c r="U90" i="12"/>
  <c r="U78" i="12"/>
  <c r="U72" i="12"/>
  <c r="U60" i="12"/>
  <c r="U48" i="12"/>
  <c r="U42" i="12"/>
  <c r="U30" i="12"/>
  <c r="U24" i="12"/>
  <c r="U12" i="12"/>
  <c r="U137" i="12"/>
  <c r="U131" i="12"/>
  <c r="U125" i="12"/>
  <c r="U119" i="12"/>
  <c r="U113" i="12"/>
  <c r="U107" i="12"/>
  <c r="U101" i="12"/>
  <c r="U95" i="12"/>
  <c r="U89" i="12"/>
  <c r="U83" i="12"/>
  <c r="U77" i="12"/>
  <c r="U71" i="12"/>
  <c r="U65" i="12"/>
  <c r="U59" i="12"/>
  <c r="U53" i="12"/>
  <c r="U47" i="12"/>
  <c r="U41" i="12"/>
  <c r="U35" i="12"/>
  <c r="U29" i="12"/>
  <c r="U23" i="12"/>
  <c r="U17" i="12"/>
  <c r="U11" i="12"/>
  <c r="U5" i="12"/>
  <c r="U135" i="12"/>
  <c r="U105" i="12"/>
  <c r="U75" i="12"/>
  <c r="U51" i="12"/>
  <c r="U21" i="12"/>
  <c r="U127" i="12"/>
  <c r="U103" i="12"/>
  <c r="U85" i="12"/>
  <c r="U61" i="12"/>
  <c r="U37" i="12"/>
  <c r="U136" i="12"/>
  <c r="U130" i="12"/>
  <c r="U124" i="12"/>
  <c r="U118" i="12"/>
  <c r="U112" i="12"/>
  <c r="U106" i="12"/>
  <c r="U100" i="12"/>
  <c r="U94" i="12"/>
  <c r="U88" i="12"/>
  <c r="U82" i="12"/>
  <c r="U76" i="12"/>
  <c r="U70" i="12"/>
  <c r="U64" i="12"/>
  <c r="U58" i="12"/>
  <c r="U52" i="12"/>
  <c r="U46" i="12"/>
  <c r="U40" i="12"/>
  <c r="U34" i="12"/>
  <c r="U28" i="12"/>
  <c r="U22" i="12"/>
  <c r="U16" i="12"/>
  <c r="U10" i="12"/>
  <c r="AV4" i="27"/>
  <c r="K7" i="27" l="1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6" i="27"/>
  <c r="G139" i="1"/>
  <c r="BH1" i="27"/>
  <c r="H4" i="27"/>
  <c r="H6" i="27" s="1"/>
  <c r="J136" i="12" l="1"/>
  <c r="J136" i="19"/>
  <c r="J136" i="18"/>
  <c r="J132" i="12"/>
  <c r="J132" i="19"/>
  <c r="J132" i="18"/>
  <c r="J128" i="12"/>
  <c r="J128" i="19"/>
  <c r="J128" i="18"/>
  <c r="J124" i="12"/>
  <c r="J124" i="19"/>
  <c r="J124" i="18"/>
  <c r="J120" i="12"/>
  <c r="J120" i="19"/>
  <c r="J120" i="18"/>
  <c r="J116" i="12"/>
  <c r="J116" i="19"/>
  <c r="J116" i="18"/>
  <c r="J112" i="12"/>
  <c r="J112" i="19"/>
  <c r="J112" i="18"/>
  <c r="J108" i="12"/>
  <c r="J108" i="19"/>
  <c r="J108" i="18"/>
  <c r="J104" i="12"/>
  <c r="J104" i="19"/>
  <c r="J104" i="18"/>
  <c r="J100" i="12"/>
  <c r="J100" i="19"/>
  <c r="J100" i="18"/>
  <c r="J96" i="12"/>
  <c r="J96" i="19"/>
  <c r="J96" i="18"/>
  <c r="J92" i="12"/>
  <c r="J92" i="19"/>
  <c r="J92" i="18"/>
  <c r="J88" i="12"/>
  <c r="J88" i="19"/>
  <c r="J88" i="18"/>
  <c r="J84" i="12"/>
  <c r="J84" i="19"/>
  <c r="J84" i="18"/>
  <c r="J80" i="12"/>
  <c r="J80" i="19"/>
  <c r="J80" i="18"/>
  <c r="J76" i="12"/>
  <c r="J76" i="19"/>
  <c r="J76" i="18"/>
  <c r="J72" i="12"/>
  <c r="J72" i="19"/>
  <c r="J72" i="18"/>
  <c r="J68" i="12"/>
  <c r="J68" i="19"/>
  <c r="J68" i="18"/>
  <c r="J64" i="12"/>
  <c r="J64" i="19"/>
  <c r="J64" i="18"/>
  <c r="J60" i="12"/>
  <c r="J60" i="19"/>
  <c r="J60" i="18"/>
  <c r="J56" i="12"/>
  <c r="J56" i="19"/>
  <c r="J56" i="18"/>
  <c r="J52" i="12"/>
  <c r="J52" i="19"/>
  <c r="J52" i="18"/>
  <c r="J48" i="12"/>
  <c r="J48" i="19"/>
  <c r="J48" i="18"/>
  <c r="J44" i="12"/>
  <c r="J44" i="19"/>
  <c r="J44" i="18"/>
  <c r="J40" i="12"/>
  <c r="J40" i="19"/>
  <c r="J40" i="18"/>
  <c r="J36" i="12"/>
  <c r="J36" i="19"/>
  <c r="J36" i="18"/>
  <c r="J32" i="12"/>
  <c r="J32" i="19"/>
  <c r="J32" i="18"/>
  <c r="J28" i="12"/>
  <c r="J28" i="19"/>
  <c r="J28" i="18"/>
  <c r="J24" i="12"/>
  <c r="J24" i="19"/>
  <c r="J24" i="18"/>
  <c r="J20" i="12"/>
  <c r="J20" i="19"/>
  <c r="J20" i="18"/>
  <c r="J16" i="12"/>
  <c r="J16" i="19"/>
  <c r="J16" i="18"/>
  <c r="J12" i="12"/>
  <c r="J12" i="19"/>
  <c r="J12" i="18"/>
  <c r="J8" i="12"/>
  <c r="J8" i="19"/>
  <c r="J8" i="18"/>
  <c r="CY10" i="27"/>
  <c r="CY14" i="27"/>
  <c r="CY18" i="27"/>
  <c r="CY22" i="27"/>
  <c r="CY26" i="27"/>
  <c r="CY30" i="27"/>
  <c r="CY34" i="27"/>
  <c r="CY38" i="27"/>
  <c r="CY42" i="27"/>
  <c r="CY46" i="27"/>
  <c r="CY50" i="27"/>
  <c r="CY54" i="27"/>
  <c r="CY58" i="27"/>
  <c r="CY62" i="27"/>
  <c r="CY66" i="27"/>
  <c r="CY70" i="27"/>
  <c r="CY74" i="27"/>
  <c r="CY78" i="27"/>
  <c r="CY82" i="27"/>
  <c r="CY86" i="27"/>
  <c r="CY90" i="27"/>
  <c r="CY94" i="27"/>
  <c r="CY98" i="27"/>
  <c r="CY102" i="27"/>
  <c r="CY106" i="27"/>
  <c r="CY110" i="27"/>
  <c r="CY114" i="27"/>
  <c r="CY118" i="27"/>
  <c r="CY122" i="27"/>
  <c r="CY126" i="27"/>
  <c r="CY130" i="27"/>
  <c r="CY134" i="27"/>
  <c r="CY139" i="27"/>
  <c r="CY7" i="27"/>
  <c r="CY8" i="27"/>
  <c r="CY12" i="27"/>
  <c r="CY16" i="27"/>
  <c r="CY20" i="27"/>
  <c r="CY24" i="27"/>
  <c r="CY28" i="27"/>
  <c r="CY32" i="27"/>
  <c r="CY36" i="27"/>
  <c r="CY40" i="27"/>
  <c r="CY44" i="27"/>
  <c r="CY48" i="27"/>
  <c r="CY52" i="27"/>
  <c r="CY56" i="27"/>
  <c r="CY60" i="27"/>
  <c r="CY64" i="27"/>
  <c r="CY68" i="27"/>
  <c r="CY72" i="27"/>
  <c r="CY76" i="27"/>
  <c r="CY80" i="27"/>
  <c r="CY84" i="27"/>
  <c r="CY88" i="27"/>
  <c r="CY92" i="27"/>
  <c r="CY96" i="27"/>
  <c r="CY100" i="27"/>
  <c r="CY104" i="27"/>
  <c r="CY108" i="27"/>
  <c r="CY9" i="27"/>
  <c r="CY13" i="27"/>
  <c r="CY17" i="27"/>
  <c r="CY21" i="27"/>
  <c r="CY25" i="27"/>
  <c r="CY29" i="27"/>
  <c r="CY33" i="27"/>
  <c r="CY37" i="27"/>
  <c r="CY41" i="27"/>
  <c r="CY45" i="27"/>
  <c r="CY49" i="27"/>
  <c r="CY53" i="27"/>
  <c r="CY57" i="27"/>
  <c r="CY61" i="27"/>
  <c r="CY65" i="27"/>
  <c r="CY69" i="27"/>
  <c r="CY73" i="27"/>
  <c r="CY77" i="27"/>
  <c r="CY81" i="27"/>
  <c r="CY85" i="27"/>
  <c r="CY89" i="27"/>
  <c r="CY93" i="27"/>
  <c r="CY97" i="27"/>
  <c r="CY101" i="27"/>
  <c r="CY105" i="27"/>
  <c r="CY109" i="27"/>
  <c r="CY113" i="27"/>
  <c r="CY117" i="27"/>
  <c r="CY121" i="27"/>
  <c r="CY125" i="27"/>
  <c r="CY129" i="27"/>
  <c r="CY133" i="27"/>
  <c r="CY138" i="27"/>
  <c r="CY19" i="27"/>
  <c r="CY35" i="27"/>
  <c r="CY51" i="27"/>
  <c r="CY67" i="27"/>
  <c r="CY83" i="27"/>
  <c r="CY99" i="27"/>
  <c r="CY112" i="27"/>
  <c r="CY120" i="27"/>
  <c r="CY128" i="27"/>
  <c r="CY137" i="27"/>
  <c r="CY23" i="27"/>
  <c r="CY39" i="27"/>
  <c r="CY55" i="27"/>
  <c r="CY71" i="27"/>
  <c r="CY87" i="27"/>
  <c r="CY103" i="27"/>
  <c r="CY115" i="27"/>
  <c r="CY123" i="27"/>
  <c r="CY131" i="27"/>
  <c r="CY140" i="27"/>
  <c r="CY11" i="27"/>
  <c r="CY27" i="27"/>
  <c r="CY43" i="27"/>
  <c r="CY59" i="27"/>
  <c r="CY75" i="27"/>
  <c r="CY91" i="27"/>
  <c r="CY107" i="27"/>
  <c r="CY116" i="27"/>
  <c r="CY124" i="27"/>
  <c r="CY132" i="27"/>
  <c r="CY6" i="27"/>
  <c r="CY15" i="27"/>
  <c r="CY31" i="27"/>
  <c r="CY47" i="27"/>
  <c r="CY63" i="27"/>
  <c r="CY79" i="27"/>
  <c r="CY95" i="27"/>
  <c r="CY111" i="27"/>
  <c r="CY119" i="27"/>
  <c r="CY127" i="27"/>
  <c r="CY136" i="27"/>
  <c r="J135" i="12"/>
  <c r="J135" i="19"/>
  <c r="J135" i="18"/>
  <c r="J131" i="12"/>
  <c r="J131" i="19"/>
  <c r="J131" i="18"/>
  <c r="J127" i="12"/>
  <c r="J127" i="19"/>
  <c r="J127" i="18"/>
  <c r="J123" i="12"/>
  <c r="J123" i="19"/>
  <c r="J123" i="18"/>
  <c r="J119" i="12"/>
  <c r="J119" i="19"/>
  <c r="J119" i="18"/>
  <c r="J115" i="12"/>
  <c r="J115" i="19"/>
  <c r="J115" i="18"/>
  <c r="J111" i="12"/>
  <c r="J111" i="19"/>
  <c r="J111" i="18"/>
  <c r="J107" i="12"/>
  <c r="J107" i="19"/>
  <c r="J107" i="18"/>
  <c r="J103" i="12"/>
  <c r="J103" i="19"/>
  <c r="J103" i="18"/>
  <c r="J99" i="12"/>
  <c r="J99" i="19"/>
  <c r="J99" i="18"/>
  <c r="J95" i="12"/>
  <c r="J95" i="19"/>
  <c r="J95" i="18"/>
  <c r="J91" i="12"/>
  <c r="J91" i="19"/>
  <c r="J91" i="18"/>
  <c r="J87" i="12"/>
  <c r="J87" i="19"/>
  <c r="J87" i="18"/>
  <c r="J83" i="12"/>
  <c r="J83" i="19"/>
  <c r="J83" i="18"/>
  <c r="J79" i="12"/>
  <c r="J79" i="19"/>
  <c r="J79" i="18"/>
  <c r="J75" i="12"/>
  <c r="J75" i="19"/>
  <c r="J75" i="18"/>
  <c r="J71" i="12"/>
  <c r="J71" i="19"/>
  <c r="J71" i="18"/>
  <c r="J67" i="12"/>
  <c r="J67" i="19"/>
  <c r="J67" i="18"/>
  <c r="J63" i="12"/>
  <c r="J63" i="19"/>
  <c r="J63" i="18"/>
  <c r="J59" i="12"/>
  <c r="J59" i="19"/>
  <c r="J59" i="18"/>
  <c r="J55" i="12"/>
  <c r="J55" i="19"/>
  <c r="J55" i="18"/>
  <c r="J51" i="12"/>
  <c r="J51" i="19"/>
  <c r="J51" i="18"/>
  <c r="J47" i="12"/>
  <c r="J47" i="19"/>
  <c r="J47" i="18"/>
  <c r="J43" i="12"/>
  <c r="J43" i="19"/>
  <c r="J43" i="18"/>
  <c r="J39" i="12"/>
  <c r="J39" i="19"/>
  <c r="J39" i="18"/>
  <c r="J35" i="12"/>
  <c r="J35" i="19"/>
  <c r="J35" i="18"/>
  <c r="J31" i="12"/>
  <c r="J31" i="19"/>
  <c r="J31" i="18"/>
  <c r="J27" i="12"/>
  <c r="J27" i="19"/>
  <c r="J27" i="18"/>
  <c r="J23" i="12"/>
  <c r="J23" i="19"/>
  <c r="J23" i="18"/>
  <c r="J19" i="12"/>
  <c r="J19" i="19"/>
  <c r="J19" i="18"/>
  <c r="J15" i="12"/>
  <c r="J15" i="19"/>
  <c r="J15" i="18"/>
  <c r="J11" i="12"/>
  <c r="J11" i="19"/>
  <c r="J11" i="18"/>
  <c r="J7" i="12"/>
  <c r="J7" i="19"/>
  <c r="J7" i="18"/>
  <c r="J4" i="12"/>
  <c r="J4" i="19"/>
  <c r="J4" i="18"/>
  <c r="J134" i="12"/>
  <c r="J134" i="19"/>
  <c r="J134" i="18"/>
  <c r="J130" i="12"/>
  <c r="J130" i="19"/>
  <c r="J130" i="18"/>
  <c r="J126" i="12"/>
  <c r="J126" i="19"/>
  <c r="J126" i="18"/>
  <c r="J122" i="12"/>
  <c r="J122" i="19"/>
  <c r="J122" i="18"/>
  <c r="J118" i="12"/>
  <c r="J118" i="19"/>
  <c r="J118" i="18"/>
  <c r="J114" i="12"/>
  <c r="J114" i="19"/>
  <c r="J114" i="18"/>
  <c r="J110" i="12"/>
  <c r="J110" i="19"/>
  <c r="J110" i="18"/>
  <c r="J106" i="12"/>
  <c r="J106" i="19"/>
  <c r="J106" i="18"/>
  <c r="J102" i="12"/>
  <c r="J102" i="19"/>
  <c r="J102" i="18"/>
  <c r="J98" i="12"/>
  <c r="J98" i="19"/>
  <c r="J98" i="18"/>
  <c r="J94" i="12"/>
  <c r="J94" i="19"/>
  <c r="J94" i="18"/>
  <c r="J90" i="12"/>
  <c r="J90" i="19"/>
  <c r="J90" i="18"/>
  <c r="J86" i="12"/>
  <c r="J86" i="19"/>
  <c r="J86" i="18"/>
  <c r="J82" i="12"/>
  <c r="J82" i="19"/>
  <c r="J82" i="18"/>
  <c r="J78" i="12"/>
  <c r="J78" i="19"/>
  <c r="J78" i="18"/>
  <c r="J74" i="12"/>
  <c r="J74" i="19"/>
  <c r="J74" i="18"/>
  <c r="J70" i="12"/>
  <c r="J70" i="19"/>
  <c r="J70" i="18"/>
  <c r="J66" i="12"/>
  <c r="J66" i="19"/>
  <c r="J66" i="18"/>
  <c r="J62" i="12"/>
  <c r="J62" i="19"/>
  <c r="J62" i="18"/>
  <c r="J58" i="12"/>
  <c r="J58" i="19"/>
  <c r="J58" i="18"/>
  <c r="J54" i="12"/>
  <c r="J54" i="19"/>
  <c r="J54" i="18"/>
  <c r="J50" i="12"/>
  <c r="J50" i="19"/>
  <c r="J50" i="18"/>
  <c r="J46" i="12"/>
  <c r="J46" i="19"/>
  <c r="J46" i="18"/>
  <c r="J42" i="12"/>
  <c r="J42" i="19"/>
  <c r="J42" i="18"/>
  <c r="J38" i="12"/>
  <c r="J38" i="19"/>
  <c r="J38" i="18"/>
  <c r="J34" i="12"/>
  <c r="J34" i="19"/>
  <c r="J34" i="18"/>
  <c r="J30" i="12"/>
  <c r="J30" i="19"/>
  <c r="J30" i="18"/>
  <c r="J26" i="12"/>
  <c r="J26" i="19"/>
  <c r="J26" i="18"/>
  <c r="J22" i="12"/>
  <c r="J22" i="19"/>
  <c r="J22" i="18"/>
  <c r="J18" i="12"/>
  <c r="J18" i="19"/>
  <c r="J18" i="18"/>
  <c r="J14" i="12"/>
  <c r="J14" i="19"/>
  <c r="J14" i="18"/>
  <c r="J10" i="12"/>
  <c r="J10" i="19"/>
  <c r="J10" i="18"/>
  <c r="J6" i="12"/>
  <c r="J6" i="19"/>
  <c r="J6" i="18"/>
  <c r="J137" i="12"/>
  <c r="J137" i="19"/>
  <c r="J137" i="18"/>
  <c r="J133" i="12"/>
  <c r="J133" i="19"/>
  <c r="J133" i="18"/>
  <c r="J129" i="12"/>
  <c r="J129" i="19"/>
  <c r="J129" i="18"/>
  <c r="J125" i="12"/>
  <c r="J125" i="19"/>
  <c r="J125" i="18"/>
  <c r="J121" i="12"/>
  <c r="J121" i="19"/>
  <c r="J121" i="18"/>
  <c r="J117" i="12"/>
  <c r="J117" i="19"/>
  <c r="J117" i="18"/>
  <c r="J113" i="12"/>
  <c r="J113" i="19"/>
  <c r="J113" i="18"/>
  <c r="J109" i="12"/>
  <c r="J109" i="19"/>
  <c r="J109" i="18"/>
  <c r="J105" i="12"/>
  <c r="J105" i="19"/>
  <c r="J105" i="18"/>
  <c r="J101" i="12"/>
  <c r="J101" i="19"/>
  <c r="J101" i="18"/>
  <c r="J97" i="12"/>
  <c r="J97" i="19"/>
  <c r="J97" i="18"/>
  <c r="J93" i="12"/>
  <c r="J93" i="19"/>
  <c r="J93" i="18"/>
  <c r="J89" i="12"/>
  <c r="J89" i="19"/>
  <c r="J89" i="18"/>
  <c r="J85" i="12"/>
  <c r="J85" i="19"/>
  <c r="J85" i="18"/>
  <c r="J81" i="12"/>
  <c r="J81" i="19"/>
  <c r="J81" i="18"/>
  <c r="J77" i="12"/>
  <c r="J77" i="19"/>
  <c r="J77" i="18"/>
  <c r="J73" i="12"/>
  <c r="J73" i="19"/>
  <c r="J73" i="18"/>
  <c r="J69" i="12"/>
  <c r="J69" i="19"/>
  <c r="J69" i="18"/>
  <c r="J65" i="12"/>
  <c r="J65" i="19"/>
  <c r="J65" i="18"/>
  <c r="J61" i="12"/>
  <c r="J61" i="19"/>
  <c r="J61" i="18"/>
  <c r="J57" i="12"/>
  <c r="J57" i="19"/>
  <c r="J57" i="18"/>
  <c r="J53" i="12"/>
  <c r="J53" i="19"/>
  <c r="J53" i="18"/>
  <c r="J49" i="12"/>
  <c r="J49" i="19"/>
  <c r="J49" i="18"/>
  <c r="J45" i="12"/>
  <c r="J45" i="19"/>
  <c r="J45" i="18"/>
  <c r="J41" i="12"/>
  <c r="J41" i="19"/>
  <c r="J41" i="18"/>
  <c r="J37" i="12"/>
  <c r="J37" i="19"/>
  <c r="J37" i="18"/>
  <c r="J33" i="12"/>
  <c r="J33" i="19"/>
  <c r="J33" i="18"/>
  <c r="J29" i="12"/>
  <c r="J29" i="19"/>
  <c r="J29" i="18"/>
  <c r="J25" i="12"/>
  <c r="J25" i="19"/>
  <c r="J25" i="18"/>
  <c r="J21" i="12"/>
  <c r="J21" i="19"/>
  <c r="J21" i="18"/>
  <c r="J17" i="12"/>
  <c r="J17" i="19"/>
  <c r="J17" i="18"/>
  <c r="J13" i="12"/>
  <c r="J13" i="19"/>
  <c r="J13" i="18"/>
  <c r="J9" i="12"/>
  <c r="J9" i="19"/>
  <c r="J9" i="18"/>
  <c r="J5" i="12"/>
  <c r="J5" i="19"/>
  <c r="J5" i="18"/>
  <c r="CZ4" i="27"/>
  <c r="DH4" i="27"/>
  <c r="CX4" i="27"/>
  <c r="DD4" i="27"/>
  <c r="DA4" i="27"/>
  <c r="BH2" i="27"/>
  <c r="DC4" i="27"/>
  <c r="CH4" i="27"/>
  <c r="BV4" i="27"/>
  <c r="BJ4" i="27"/>
  <c r="CF4" i="27"/>
  <c r="CD4" i="27"/>
  <c r="BT4" i="27"/>
  <c r="CB4" i="27"/>
  <c r="BR4" i="27"/>
  <c r="BZ4" i="27"/>
  <c r="BP4" i="27"/>
  <c r="CJ4" i="27"/>
  <c r="BX4" i="27"/>
  <c r="BN4" i="27"/>
  <c r="BI4" i="27"/>
  <c r="BG4" i="27"/>
  <c r="BM4" i="27"/>
  <c r="BH4" i="27"/>
  <c r="BH135" i="27" s="1"/>
  <c r="K4" i="27"/>
  <c r="G4" i="27"/>
  <c r="R4" i="27"/>
  <c r="AM4" i="27" s="1"/>
  <c r="V4" i="27"/>
  <c r="AO4" i="27" s="1"/>
  <c r="AD4" i="27"/>
  <c r="AS4" i="27" s="1"/>
  <c r="X4" i="27"/>
  <c r="AP4" i="27" s="1"/>
  <c r="AF4" i="27"/>
  <c r="AT4" i="27" s="1"/>
  <c r="Z4" i="27"/>
  <c r="AQ4" i="27" s="1"/>
  <c r="AH4" i="27"/>
  <c r="AU4" i="27" s="1"/>
  <c r="T4" i="27"/>
  <c r="AN4" i="27" s="1"/>
  <c r="AB4" i="27"/>
  <c r="AR4" i="27" s="1"/>
  <c r="L4" i="27"/>
  <c r="AJ4" i="27" s="1"/>
  <c r="AJ6" i="27" s="1" a="1"/>
  <c r="AJ6" i="27" s="1"/>
  <c r="P4" i="27"/>
  <c r="AL4" i="27" s="1"/>
  <c r="N4" i="27"/>
  <c r="E4" i="27"/>
  <c r="E6" i="27" s="1"/>
  <c r="H10" i="27"/>
  <c r="H14" i="27"/>
  <c r="H18" i="27"/>
  <c r="H22" i="27"/>
  <c r="H26" i="27"/>
  <c r="H30" i="27"/>
  <c r="H34" i="27"/>
  <c r="H38" i="27"/>
  <c r="H42" i="27"/>
  <c r="H46" i="27"/>
  <c r="H50" i="27"/>
  <c r="H54" i="27"/>
  <c r="H58" i="27"/>
  <c r="H62" i="27"/>
  <c r="H66" i="27"/>
  <c r="H70" i="27"/>
  <c r="H74" i="27"/>
  <c r="H78" i="27"/>
  <c r="H82" i="27"/>
  <c r="H86" i="27"/>
  <c r="H90" i="27"/>
  <c r="H94" i="27"/>
  <c r="H98" i="27"/>
  <c r="H102" i="27"/>
  <c r="H106" i="27"/>
  <c r="H110" i="27"/>
  <c r="H114" i="27"/>
  <c r="H118" i="27"/>
  <c r="H122" i="27"/>
  <c r="H126" i="27"/>
  <c r="H130" i="27"/>
  <c r="H134" i="27"/>
  <c r="H138" i="27"/>
  <c r="H7" i="27"/>
  <c r="H11" i="27"/>
  <c r="H15" i="27"/>
  <c r="H19" i="27"/>
  <c r="H23" i="27"/>
  <c r="H27" i="27"/>
  <c r="H31" i="27"/>
  <c r="H35" i="27"/>
  <c r="H39" i="27"/>
  <c r="H43" i="27"/>
  <c r="H47" i="27"/>
  <c r="H51" i="27"/>
  <c r="H55" i="27"/>
  <c r="H59" i="27"/>
  <c r="H63" i="27"/>
  <c r="H67" i="27"/>
  <c r="H71" i="27"/>
  <c r="H75" i="27"/>
  <c r="H79" i="27"/>
  <c r="H83" i="27"/>
  <c r="H87" i="27"/>
  <c r="H91" i="27"/>
  <c r="H95" i="27"/>
  <c r="H99" i="27"/>
  <c r="H103" i="27"/>
  <c r="H107" i="27"/>
  <c r="H111" i="27"/>
  <c r="H115" i="27"/>
  <c r="H119" i="27"/>
  <c r="H123" i="27"/>
  <c r="H127" i="27"/>
  <c r="H131" i="27"/>
  <c r="H135" i="27"/>
  <c r="H139" i="27"/>
  <c r="H93" i="27"/>
  <c r="H101" i="27"/>
  <c r="I99" i="12" s="1"/>
  <c r="H109" i="27"/>
  <c r="H117" i="27"/>
  <c r="H125" i="27"/>
  <c r="H133" i="27"/>
  <c r="H8" i="27"/>
  <c r="H12" i="27"/>
  <c r="H16" i="27"/>
  <c r="H20" i="27"/>
  <c r="H24" i="27"/>
  <c r="H28" i="27"/>
  <c r="H32" i="27"/>
  <c r="H36" i="27"/>
  <c r="H40" i="27"/>
  <c r="H44" i="27"/>
  <c r="H48" i="27"/>
  <c r="H52" i="27"/>
  <c r="H56" i="27"/>
  <c r="H60" i="27"/>
  <c r="H64" i="27"/>
  <c r="H68" i="27"/>
  <c r="H72" i="27"/>
  <c r="H76" i="27"/>
  <c r="H80" i="27"/>
  <c r="H84" i="27"/>
  <c r="H88" i="27"/>
  <c r="H92" i="27"/>
  <c r="H96" i="27"/>
  <c r="H100" i="27"/>
  <c r="H104" i="27"/>
  <c r="H108" i="27"/>
  <c r="H112" i="27"/>
  <c r="H116" i="27"/>
  <c r="H120" i="27"/>
  <c r="H124" i="27"/>
  <c r="H128" i="27"/>
  <c r="H132" i="27"/>
  <c r="H136" i="27"/>
  <c r="H9" i="27"/>
  <c r="H13" i="27"/>
  <c r="H17" i="27"/>
  <c r="H21" i="27"/>
  <c r="H25" i="27"/>
  <c r="H29" i="27"/>
  <c r="H33" i="27"/>
  <c r="H37" i="27"/>
  <c r="H41" i="27"/>
  <c r="H45" i="27"/>
  <c r="H49" i="27"/>
  <c r="H53" i="27"/>
  <c r="H57" i="27"/>
  <c r="H61" i="27"/>
  <c r="H65" i="27"/>
  <c r="H69" i="27"/>
  <c r="H73" i="27"/>
  <c r="H77" i="27"/>
  <c r="H81" i="27"/>
  <c r="H85" i="27"/>
  <c r="H89" i="27"/>
  <c r="H97" i="27"/>
  <c r="H105" i="27"/>
  <c r="H113" i="27"/>
  <c r="H121" i="27"/>
  <c r="H129" i="27"/>
  <c r="H137" i="27"/>
  <c r="F4" i="27"/>
  <c r="F133" i="27" s="1"/>
  <c r="BG17" i="27"/>
  <c r="BG30" i="27"/>
  <c r="BG55" i="27"/>
  <c r="BL55" i="27" s="1"/>
  <c r="BG66" i="27"/>
  <c r="BG78" i="27"/>
  <c r="BG101" i="27"/>
  <c r="BG113" i="27"/>
  <c r="BG123" i="27"/>
  <c r="I6" i="12" l="1"/>
  <c r="I79" i="12"/>
  <c r="I59" i="12"/>
  <c r="I43" i="12"/>
  <c r="I94" i="12"/>
  <c r="I109" i="12"/>
  <c r="I68" i="12"/>
  <c r="I52" i="12"/>
  <c r="I42" i="12"/>
  <c r="I57" i="18"/>
  <c r="I57" i="12"/>
  <c r="I107" i="12"/>
  <c r="I113" i="12"/>
  <c r="I97" i="12"/>
  <c r="I65" i="12"/>
  <c r="I72" i="12"/>
  <c r="I95" i="27"/>
  <c r="I63" i="27"/>
  <c r="I82" i="27"/>
  <c r="I53" i="27"/>
  <c r="I120" i="27"/>
  <c r="I104" i="27"/>
  <c r="I55" i="27"/>
  <c r="I46" i="27"/>
  <c r="I97" i="27"/>
  <c r="I13" i="27"/>
  <c r="I80" i="27"/>
  <c r="I92" i="27"/>
  <c r="I11" i="27"/>
  <c r="I52" i="27"/>
  <c r="I131" i="27"/>
  <c r="E106" i="27"/>
  <c r="D104" i="12" s="1"/>
  <c r="E42" i="27"/>
  <c r="D40" i="12" s="1"/>
  <c r="E10" i="27"/>
  <c r="D8" i="12" s="1"/>
  <c r="E139" i="27"/>
  <c r="D137" i="12" s="1"/>
  <c r="F101" i="27"/>
  <c r="E99" i="12" s="1"/>
  <c r="V125" i="19"/>
  <c r="V77" i="19"/>
  <c r="V13" i="19"/>
  <c r="V114" i="19"/>
  <c r="V57" i="19"/>
  <c r="V138" i="19"/>
  <c r="V101" i="19"/>
  <c r="V37" i="19"/>
  <c r="V118" i="19"/>
  <c r="V65" i="19"/>
  <c r="V136" i="19"/>
  <c r="V119" i="19"/>
  <c r="V103" i="19"/>
  <c r="V87" i="19"/>
  <c r="V71" i="19"/>
  <c r="V55" i="19"/>
  <c r="V39" i="19"/>
  <c r="V23" i="19"/>
  <c r="V7" i="19"/>
  <c r="V94" i="19"/>
  <c r="V78" i="19"/>
  <c r="V62" i="19"/>
  <c r="V46" i="19"/>
  <c r="V30" i="19"/>
  <c r="V14" i="19"/>
  <c r="V137" i="19"/>
  <c r="V120" i="19"/>
  <c r="V104" i="19"/>
  <c r="V88" i="19"/>
  <c r="V72" i="19"/>
  <c r="V56" i="19"/>
  <c r="V40" i="19"/>
  <c r="V24" i="19"/>
  <c r="V8" i="19"/>
  <c r="E131" i="12"/>
  <c r="M131" i="19"/>
  <c r="E131" i="19"/>
  <c r="D131" i="19"/>
  <c r="D131" i="18"/>
  <c r="E131" i="18"/>
  <c r="V117" i="19"/>
  <c r="V61" i="19"/>
  <c r="V4" i="19"/>
  <c r="V105" i="19"/>
  <c r="V41" i="19"/>
  <c r="V129" i="19"/>
  <c r="V85" i="19"/>
  <c r="V21" i="19"/>
  <c r="V110" i="19"/>
  <c r="V49" i="19"/>
  <c r="V131" i="19"/>
  <c r="V115" i="19"/>
  <c r="V99" i="19"/>
  <c r="V83" i="19"/>
  <c r="V67" i="19"/>
  <c r="V51" i="19"/>
  <c r="V35" i="19"/>
  <c r="V19" i="19"/>
  <c r="V106" i="19"/>
  <c r="V90" i="19"/>
  <c r="V74" i="19"/>
  <c r="V58" i="19"/>
  <c r="V42" i="19"/>
  <c r="V26" i="19"/>
  <c r="V10" i="19"/>
  <c r="V132" i="19"/>
  <c r="V116" i="19"/>
  <c r="V100" i="19"/>
  <c r="V84" i="19"/>
  <c r="V68" i="19"/>
  <c r="V52" i="19"/>
  <c r="V36" i="19"/>
  <c r="V20" i="19"/>
  <c r="P133" i="12"/>
  <c r="X133" i="19"/>
  <c r="O133" i="19"/>
  <c r="T133" i="19" s="1"/>
  <c r="P133" i="19"/>
  <c r="O133" i="18"/>
  <c r="P133" i="18"/>
  <c r="V109" i="19"/>
  <c r="V45" i="19"/>
  <c r="V130" i="19"/>
  <c r="V89" i="19"/>
  <c r="V25" i="19"/>
  <c r="V121" i="19"/>
  <c r="V69" i="19"/>
  <c r="V135" i="19"/>
  <c r="V97" i="19"/>
  <c r="V33" i="19"/>
  <c r="V127" i="19"/>
  <c r="V111" i="19"/>
  <c r="V95" i="19"/>
  <c r="V79" i="19"/>
  <c r="V63" i="19"/>
  <c r="V47" i="19"/>
  <c r="V31" i="19"/>
  <c r="V15" i="19"/>
  <c r="V102" i="19"/>
  <c r="V86" i="19"/>
  <c r="V70" i="19"/>
  <c r="V54" i="19"/>
  <c r="V38" i="19"/>
  <c r="V22" i="19"/>
  <c r="V6" i="19"/>
  <c r="V128" i="19"/>
  <c r="V112" i="19"/>
  <c r="V96" i="19"/>
  <c r="V80" i="19"/>
  <c r="V64" i="19"/>
  <c r="V48" i="19"/>
  <c r="V32" i="19"/>
  <c r="V16" i="19"/>
  <c r="V134" i="19"/>
  <c r="V93" i="19"/>
  <c r="V29" i="19"/>
  <c r="V122" i="19"/>
  <c r="V73" i="19"/>
  <c r="V9" i="19"/>
  <c r="V113" i="19"/>
  <c r="V53" i="19"/>
  <c r="V126" i="19"/>
  <c r="V81" i="19"/>
  <c r="V17" i="19"/>
  <c r="V123" i="19"/>
  <c r="V107" i="19"/>
  <c r="V91" i="19"/>
  <c r="V75" i="19"/>
  <c r="V59" i="19"/>
  <c r="V43" i="19"/>
  <c r="V27" i="19"/>
  <c r="V11" i="19"/>
  <c r="V98" i="19"/>
  <c r="V82" i="19"/>
  <c r="V66" i="19"/>
  <c r="V50" i="19"/>
  <c r="V34" i="19"/>
  <c r="V18" i="19"/>
  <c r="V5" i="19"/>
  <c r="V124" i="19"/>
  <c r="V108" i="19"/>
  <c r="V92" i="19"/>
  <c r="V76" i="19"/>
  <c r="V60" i="19"/>
  <c r="V44" i="19"/>
  <c r="V28" i="19"/>
  <c r="V12" i="19"/>
  <c r="BG10" i="27"/>
  <c r="DD10" i="27" s="1"/>
  <c r="BG6" i="27"/>
  <c r="BG136" i="27"/>
  <c r="BG89" i="27"/>
  <c r="BG43" i="27"/>
  <c r="BH112" i="27"/>
  <c r="E74" i="27"/>
  <c r="BG132" i="27"/>
  <c r="BG98" i="27"/>
  <c r="DD98" i="27" s="1"/>
  <c r="BG63" i="27"/>
  <c r="BL63" i="27" s="1"/>
  <c r="BG139" i="27"/>
  <c r="BG127" i="27"/>
  <c r="BG115" i="27"/>
  <c r="O113" i="12" s="1"/>
  <c r="BG103" i="27"/>
  <c r="BG92" i="27"/>
  <c r="BL92" i="27" s="1"/>
  <c r="BG80" i="27"/>
  <c r="BL80" i="27" s="1"/>
  <c r="BG69" i="27"/>
  <c r="O67" i="12" s="1"/>
  <c r="BG57" i="27"/>
  <c r="BG45" i="27"/>
  <c r="BG35" i="27"/>
  <c r="BG19" i="27"/>
  <c r="DD19" i="27" s="1"/>
  <c r="BG121" i="27"/>
  <c r="BG109" i="27"/>
  <c r="BG86" i="27"/>
  <c r="BG74" i="27"/>
  <c r="BG51" i="27"/>
  <c r="BG41" i="27"/>
  <c r="BG27" i="27"/>
  <c r="BG12" i="27"/>
  <c r="DD12" i="27" s="1"/>
  <c r="BG129" i="27"/>
  <c r="BG117" i="27"/>
  <c r="BG107" i="27"/>
  <c r="BG95" i="27"/>
  <c r="BL95" i="27" s="1"/>
  <c r="BG84" i="27"/>
  <c r="BG72" i="27"/>
  <c r="BG60" i="27"/>
  <c r="BG49" i="27"/>
  <c r="BG37" i="27"/>
  <c r="BG24" i="27"/>
  <c r="BG9" i="27"/>
  <c r="BG140" i="27"/>
  <c r="BG134" i="27"/>
  <c r="BG128" i="27"/>
  <c r="BG122" i="27"/>
  <c r="BG116" i="27"/>
  <c r="DD116" i="27" s="1"/>
  <c r="BG110" i="27"/>
  <c r="BG105" i="27"/>
  <c r="BG99" i="27"/>
  <c r="DD99" i="27" s="1"/>
  <c r="BG93" i="27"/>
  <c r="DD93" i="27" s="1"/>
  <c r="BG87" i="27"/>
  <c r="BG81" i="27"/>
  <c r="BG77" i="27"/>
  <c r="BG71" i="27"/>
  <c r="DD71" i="27" s="1"/>
  <c r="BG65" i="27"/>
  <c r="BG59" i="27"/>
  <c r="BG53" i="27"/>
  <c r="BL53" i="27" s="1"/>
  <c r="BG48" i="27"/>
  <c r="O46" i="12" s="1"/>
  <c r="BG42" i="27"/>
  <c r="BG36" i="27"/>
  <c r="BG29" i="27"/>
  <c r="BG21" i="27"/>
  <c r="O19" i="12" s="1"/>
  <c r="BG15" i="27"/>
  <c r="BG7" i="27"/>
  <c r="BG138" i="27"/>
  <c r="BG131" i="27"/>
  <c r="BL131" i="27" s="1"/>
  <c r="BG125" i="27"/>
  <c r="BG120" i="27"/>
  <c r="BL120" i="27" s="1"/>
  <c r="BG114" i="27"/>
  <c r="BG108" i="27"/>
  <c r="DD108" i="27" s="1"/>
  <c r="BG102" i="27"/>
  <c r="BG96" i="27"/>
  <c r="BG91" i="27"/>
  <c r="BG85" i="27"/>
  <c r="BG79" i="27"/>
  <c r="BG73" i="27"/>
  <c r="BG67" i="27"/>
  <c r="BG62" i="27"/>
  <c r="DD62" i="27" s="1"/>
  <c r="BG56" i="27"/>
  <c r="BG50" i="27"/>
  <c r="BG44" i="27"/>
  <c r="BG38" i="27"/>
  <c r="DD38" i="27" s="1"/>
  <c r="BG33" i="27"/>
  <c r="BG25" i="27"/>
  <c r="BG18" i="27"/>
  <c r="BG11" i="27"/>
  <c r="BH40" i="27"/>
  <c r="O134" i="12"/>
  <c r="DD123" i="27"/>
  <c r="O121" i="12"/>
  <c r="DD117" i="27"/>
  <c r="DD113" i="27"/>
  <c r="O111" i="12"/>
  <c r="DD101" i="27"/>
  <c r="O99" i="12"/>
  <c r="DD89" i="27"/>
  <c r="O87" i="12"/>
  <c r="DD78" i="27"/>
  <c r="O76" i="12"/>
  <c r="DD66" i="27"/>
  <c r="O64" i="12"/>
  <c r="DD55" i="27"/>
  <c r="O53" i="12"/>
  <c r="DD30" i="27"/>
  <c r="O28" i="12"/>
  <c r="DD24" i="27"/>
  <c r="O22" i="12"/>
  <c r="DD17" i="27"/>
  <c r="O15" i="12"/>
  <c r="BH82" i="27"/>
  <c r="BH10" i="27"/>
  <c r="DD48" i="27"/>
  <c r="DD15" i="27"/>
  <c r="BH76" i="27"/>
  <c r="DD121" i="27"/>
  <c r="DD51" i="27"/>
  <c r="O17" i="12"/>
  <c r="BH118" i="27"/>
  <c r="BH46" i="27"/>
  <c r="D4" i="12"/>
  <c r="BH106" i="27"/>
  <c r="BH70" i="27"/>
  <c r="BH34" i="27"/>
  <c r="BH137" i="27"/>
  <c r="BH100" i="27"/>
  <c r="BH64" i="27"/>
  <c r="BH28" i="27"/>
  <c r="BG133" i="27"/>
  <c r="BG126" i="27"/>
  <c r="BG119" i="27"/>
  <c r="BG111" i="27"/>
  <c r="BG104" i="27"/>
  <c r="BL104" i="27" s="1"/>
  <c r="BG97" i="27"/>
  <c r="BL97" i="27" s="1"/>
  <c r="BG90" i="27"/>
  <c r="BG83" i="27"/>
  <c r="BG75" i="27"/>
  <c r="BG68" i="27"/>
  <c r="BG61" i="27"/>
  <c r="BG54" i="27"/>
  <c r="BG47" i="27"/>
  <c r="BG39" i="27"/>
  <c r="BG31" i="27"/>
  <c r="BG23" i="27"/>
  <c r="BG13" i="27"/>
  <c r="BL13" i="27" s="1"/>
  <c r="BH130" i="27"/>
  <c r="BH94" i="27"/>
  <c r="BH58" i="27"/>
  <c r="BH22" i="27"/>
  <c r="BH124" i="27"/>
  <c r="BH88" i="27"/>
  <c r="BH52" i="27"/>
  <c r="BH16" i="27"/>
  <c r="BG32" i="27"/>
  <c r="BG26" i="27"/>
  <c r="BG20" i="27"/>
  <c r="BG14" i="27"/>
  <c r="BG8" i="27"/>
  <c r="BG135" i="27"/>
  <c r="BG137" i="27"/>
  <c r="BG130" i="27"/>
  <c r="BG124" i="27"/>
  <c r="BG118" i="27"/>
  <c r="BG112" i="27"/>
  <c r="BG106" i="27"/>
  <c r="BG100" i="27"/>
  <c r="BG94" i="27"/>
  <c r="BG88" i="27"/>
  <c r="BG82" i="27"/>
  <c r="BL82" i="27" s="1"/>
  <c r="BG76" i="27"/>
  <c r="BG70" i="27"/>
  <c r="BG64" i="27"/>
  <c r="BG58" i="27"/>
  <c r="BG52" i="27"/>
  <c r="BL52" i="27" s="1"/>
  <c r="BG46" i="27"/>
  <c r="BL46" i="27" s="1"/>
  <c r="BG40" i="27"/>
  <c r="BG34" i="27"/>
  <c r="BG28" i="27"/>
  <c r="BG22" i="27"/>
  <c r="BG16" i="27"/>
  <c r="BH127" i="27"/>
  <c r="BH138" i="27"/>
  <c r="BH131" i="27"/>
  <c r="BH125" i="27"/>
  <c r="BH119" i="27"/>
  <c r="BH113" i="27"/>
  <c r="BH107" i="27"/>
  <c r="BH101" i="27"/>
  <c r="BH95" i="27"/>
  <c r="BH89" i="27"/>
  <c r="BH83" i="27"/>
  <c r="BH77" i="27"/>
  <c r="BH71" i="27"/>
  <c r="BH65" i="27"/>
  <c r="BH59" i="27"/>
  <c r="BH53" i="27"/>
  <c r="BH47" i="27"/>
  <c r="BH41" i="27"/>
  <c r="BH35" i="27"/>
  <c r="BH29" i="27"/>
  <c r="BH23" i="27"/>
  <c r="BH17" i="27"/>
  <c r="BH11" i="27"/>
  <c r="BH136" i="27"/>
  <c r="BH129" i="27"/>
  <c r="BH123" i="27"/>
  <c r="BH117" i="27"/>
  <c r="BH111" i="27"/>
  <c r="BH105" i="27"/>
  <c r="BH99" i="27"/>
  <c r="BH93" i="27"/>
  <c r="BH87" i="27"/>
  <c r="BH81" i="27"/>
  <c r="BH75" i="27"/>
  <c r="BH69" i="27"/>
  <c r="BH63" i="27"/>
  <c r="BH57" i="27"/>
  <c r="BH51" i="27"/>
  <c r="BH45" i="27"/>
  <c r="BH39" i="27"/>
  <c r="BH33" i="27"/>
  <c r="BH27" i="27"/>
  <c r="BH21" i="27"/>
  <c r="BH15" i="27"/>
  <c r="BH9" i="27"/>
  <c r="BH6" i="27"/>
  <c r="BH134" i="27"/>
  <c r="BH128" i="27"/>
  <c r="BH122" i="27"/>
  <c r="BH116" i="27"/>
  <c r="BH110" i="27"/>
  <c r="BH104" i="27"/>
  <c r="BH98" i="27"/>
  <c r="BH92" i="27"/>
  <c r="BH86" i="27"/>
  <c r="BH80" i="27"/>
  <c r="BH74" i="27"/>
  <c r="BH68" i="27"/>
  <c r="BH62" i="27"/>
  <c r="BH56" i="27"/>
  <c r="BH50" i="27"/>
  <c r="BH44" i="27"/>
  <c r="BH38" i="27"/>
  <c r="BH32" i="27"/>
  <c r="BH26" i="27"/>
  <c r="BH20" i="27"/>
  <c r="BH14" i="27"/>
  <c r="BH8" i="27"/>
  <c r="BH133" i="27"/>
  <c r="BH121" i="27"/>
  <c r="BH115" i="27"/>
  <c r="BH103" i="27"/>
  <c r="BH97" i="27"/>
  <c r="BH91" i="27"/>
  <c r="BH85" i="27"/>
  <c r="BH79" i="27"/>
  <c r="BH73" i="27"/>
  <c r="BH67" i="27"/>
  <c r="BH61" i="27"/>
  <c r="BH55" i="27"/>
  <c r="BH49" i="27"/>
  <c r="BH43" i="27"/>
  <c r="BH37" i="27"/>
  <c r="BH31" i="27"/>
  <c r="BH25" i="27"/>
  <c r="BH19" i="27"/>
  <c r="BH13" i="27"/>
  <c r="BH7" i="27"/>
  <c r="BH140" i="27"/>
  <c r="BH109" i="27"/>
  <c r="BH139" i="27"/>
  <c r="BH132" i="27"/>
  <c r="BH126" i="27"/>
  <c r="BH120" i="27"/>
  <c r="BH114" i="27"/>
  <c r="BH108" i="27"/>
  <c r="BH102" i="27"/>
  <c r="BH96" i="27"/>
  <c r="BH90" i="27"/>
  <c r="BH84" i="27"/>
  <c r="BH78" i="27"/>
  <c r="BH72" i="27"/>
  <c r="BH66" i="27"/>
  <c r="BH60" i="27"/>
  <c r="BH54" i="27"/>
  <c r="BH48" i="27"/>
  <c r="BH42" i="27"/>
  <c r="BH36" i="27"/>
  <c r="BH30" i="27"/>
  <c r="BH24" i="27"/>
  <c r="BH18" i="27"/>
  <c r="BH12" i="27"/>
  <c r="F69" i="27"/>
  <c r="E133" i="27"/>
  <c r="E101" i="27"/>
  <c r="E69" i="27"/>
  <c r="E37" i="27"/>
  <c r="E126" i="27"/>
  <c r="E94" i="27"/>
  <c r="E62" i="27"/>
  <c r="E30" i="27"/>
  <c r="E122" i="27"/>
  <c r="E90" i="27"/>
  <c r="E58" i="27"/>
  <c r="E26" i="27"/>
  <c r="E117" i="27"/>
  <c r="E85" i="27"/>
  <c r="E53" i="27"/>
  <c r="J53" i="27" s="1"/>
  <c r="E21" i="27"/>
  <c r="E110" i="27"/>
  <c r="E78" i="27"/>
  <c r="E46" i="27"/>
  <c r="J46" i="27" s="1"/>
  <c r="E14" i="27"/>
  <c r="BI17" i="27"/>
  <c r="BR17" i="27" s="1" a="1"/>
  <c r="BR17" i="27" s="1"/>
  <c r="BY4" i="27"/>
  <c r="CQ4" i="27"/>
  <c r="BU4" i="27"/>
  <c r="CO4" i="27"/>
  <c r="CW4" i="27"/>
  <c r="CK4" i="27"/>
  <c r="CT4" i="27"/>
  <c r="CE4" i="27"/>
  <c r="BQ4" i="27"/>
  <c r="CM4" i="27"/>
  <c r="CG4" i="27"/>
  <c r="CU4" i="27"/>
  <c r="CA4" i="27"/>
  <c r="CR4" i="27"/>
  <c r="BJ10" i="27"/>
  <c r="BJ16" i="27"/>
  <c r="BJ22" i="27"/>
  <c r="BJ28" i="27"/>
  <c r="BJ34" i="27"/>
  <c r="BJ40" i="27"/>
  <c r="BJ46" i="27"/>
  <c r="BJ52" i="27"/>
  <c r="BJ58" i="27"/>
  <c r="BJ64" i="27"/>
  <c r="BJ70" i="27"/>
  <c r="BJ76" i="27"/>
  <c r="BJ82" i="27"/>
  <c r="BJ88" i="27"/>
  <c r="BJ94" i="27"/>
  <c r="BJ100" i="27"/>
  <c r="BJ106" i="27"/>
  <c r="BJ112" i="27"/>
  <c r="BJ118" i="27"/>
  <c r="BJ124" i="27"/>
  <c r="BJ130" i="27"/>
  <c r="BJ136" i="27"/>
  <c r="BJ90" i="27"/>
  <c r="BJ132" i="27"/>
  <c r="BJ67" i="27"/>
  <c r="BJ97" i="27"/>
  <c r="BK97" i="27" s="1"/>
  <c r="BJ121" i="27"/>
  <c r="BJ11" i="27"/>
  <c r="BJ17" i="27"/>
  <c r="BJ23" i="27"/>
  <c r="BJ29" i="27"/>
  <c r="BJ35" i="27"/>
  <c r="BJ41" i="27"/>
  <c r="BJ47" i="27"/>
  <c r="BJ53" i="27"/>
  <c r="BJ59" i="27"/>
  <c r="BJ65" i="27"/>
  <c r="BJ71" i="27"/>
  <c r="BJ77" i="27"/>
  <c r="BJ83" i="27"/>
  <c r="BJ89" i="27"/>
  <c r="BJ95" i="27"/>
  <c r="BK95" i="27" s="1"/>
  <c r="BJ101" i="27"/>
  <c r="BJ107" i="27"/>
  <c r="BJ113" i="27"/>
  <c r="BJ119" i="27"/>
  <c r="BJ125" i="27"/>
  <c r="BJ131" i="27"/>
  <c r="BK131" i="27" s="1"/>
  <c r="BJ137" i="27"/>
  <c r="BJ12" i="27"/>
  <c r="BJ18" i="27"/>
  <c r="BJ30" i="27"/>
  <c r="BJ36" i="27"/>
  <c r="BJ48" i="27"/>
  <c r="BJ60" i="27"/>
  <c r="BJ78" i="27"/>
  <c r="BJ96" i="27"/>
  <c r="BJ120" i="27"/>
  <c r="BK120" i="27" s="1"/>
  <c r="BJ138" i="27"/>
  <c r="BJ49" i="27"/>
  <c r="BJ85" i="27"/>
  <c r="BJ109" i="27"/>
  <c r="BJ127" i="27"/>
  <c r="BJ24" i="27"/>
  <c r="BJ66" i="27"/>
  <c r="BJ108" i="27"/>
  <c r="BJ7" i="27"/>
  <c r="BJ13" i="27"/>
  <c r="BJ19" i="27"/>
  <c r="BJ25" i="27"/>
  <c r="BJ31" i="27"/>
  <c r="BJ37" i="27"/>
  <c r="BJ43" i="27"/>
  <c r="BJ61" i="27"/>
  <c r="BJ73" i="27"/>
  <c r="BJ79" i="27"/>
  <c r="BJ103" i="27"/>
  <c r="BJ139" i="27"/>
  <c r="BJ8" i="27"/>
  <c r="BJ14" i="27"/>
  <c r="BJ20" i="27"/>
  <c r="BJ26" i="27"/>
  <c r="BJ32" i="27"/>
  <c r="BJ38" i="27"/>
  <c r="BJ44" i="27"/>
  <c r="BJ50" i="27"/>
  <c r="BJ56" i="27"/>
  <c r="BJ62" i="27"/>
  <c r="BJ68" i="27"/>
  <c r="BJ74" i="27"/>
  <c r="BJ80" i="27"/>
  <c r="BJ86" i="27"/>
  <c r="BJ92" i="27"/>
  <c r="BK92" i="27" s="1"/>
  <c r="BJ98" i="27"/>
  <c r="BJ104" i="27"/>
  <c r="BK104" i="27" s="1"/>
  <c r="BJ110" i="27"/>
  <c r="BJ116" i="27"/>
  <c r="BJ122" i="27"/>
  <c r="BJ128" i="27"/>
  <c r="BJ134" i="27"/>
  <c r="BJ9" i="27"/>
  <c r="BJ15" i="27"/>
  <c r="BJ21" i="27"/>
  <c r="BJ27" i="27"/>
  <c r="BJ33" i="27"/>
  <c r="BJ39" i="27"/>
  <c r="BJ45" i="27"/>
  <c r="BJ51" i="27"/>
  <c r="BJ57" i="27"/>
  <c r="BJ63" i="27"/>
  <c r="BJ69" i="27"/>
  <c r="BJ75" i="27"/>
  <c r="BJ81" i="27"/>
  <c r="BJ87" i="27"/>
  <c r="BJ93" i="27"/>
  <c r="BJ99" i="27"/>
  <c r="BJ105" i="27"/>
  <c r="BJ111" i="27"/>
  <c r="BJ117" i="27"/>
  <c r="BJ123" i="27"/>
  <c r="BJ129" i="27"/>
  <c r="BJ135" i="27"/>
  <c r="BJ6" i="27"/>
  <c r="BJ42" i="27"/>
  <c r="BJ54" i="27"/>
  <c r="BJ72" i="27"/>
  <c r="BJ84" i="27"/>
  <c r="BJ102" i="27"/>
  <c r="BJ114" i="27"/>
  <c r="BJ126" i="27"/>
  <c r="BJ55" i="27"/>
  <c r="BJ91" i="27"/>
  <c r="BJ115" i="27"/>
  <c r="BJ133" i="27"/>
  <c r="CN4" i="27"/>
  <c r="BS4" i="27"/>
  <c r="CP4" i="27"/>
  <c r="BW4" i="27"/>
  <c r="CL4" i="27"/>
  <c r="BO4" i="27"/>
  <c r="CS4" i="27"/>
  <c r="CC4" i="27"/>
  <c r="CI4" i="27"/>
  <c r="CV4" i="27"/>
  <c r="AK4" i="27"/>
  <c r="F6" i="27"/>
  <c r="F37" i="27"/>
  <c r="AJ10" i="27" a="1"/>
  <c r="AJ10" i="27" s="1"/>
  <c r="AJ14" i="27" a="1"/>
  <c r="AJ14" i="27" s="1"/>
  <c r="AJ18" i="27" a="1"/>
  <c r="AJ18" i="27" s="1"/>
  <c r="AJ9" i="27" a="1"/>
  <c r="AJ9" i="27" s="1"/>
  <c r="AJ13" i="27" a="1"/>
  <c r="AJ13" i="27" s="1"/>
  <c r="AJ17" i="27" a="1"/>
  <c r="AJ17" i="27" s="1"/>
  <c r="AJ8" i="27" a="1"/>
  <c r="AJ8" i="27" s="1"/>
  <c r="AJ12" i="27" a="1"/>
  <c r="AJ12" i="27" s="1"/>
  <c r="AJ16" i="27" a="1"/>
  <c r="AJ16" i="27" s="1"/>
  <c r="AJ20" i="27" a="1"/>
  <c r="AJ20" i="27" s="1"/>
  <c r="AJ7" i="27" a="1"/>
  <c r="AJ7" i="27" s="1"/>
  <c r="AJ11" i="27" a="1"/>
  <c r="AJ11" i="27" s="1"/>
  <c r="AJ15" i="27" a="1"/>
  <c r="AJ15" i="27" s="1"/>
  <c r="AJ19" i="27" a="1"/>
  <c r="AJ19" i="27" s="1"/>
  <c r="AJ22" i="27" a="1"/>
  <c r="AJ22" i="27" s="1"/>
  <c r="AJ24" i="27" a="1"/>
  <c r="AJ24" i="27" s="1"/>
  <c r="AJ26" i="27" a="1"/>
  <c r="AJ26" i="27" s="1"/>
  <c r="AJ21" i="27" a="1"/>
  <c r="AJ21" i="27" s="1"/>
  <c r="AJ23" i="27" a="1"/>
  <c r="AJ23" i="27" s="1"/>
  <c r="AJ25" i="27" a="1"/>
  <c r="AJ25" i="27" s="1"/>
  <c r="AJ27" i="27" a="1"/>
  <c r="AJ27" i="27" s="1"/>
  <c r="AJ37" i="27" a="1"/>
  <c r="AJ37" i="27" s="1"/>
  <c r="AJ38" i="27" a="1"/>
  <c r="AJ38" i="27" s="1"/>
  <c r="AJ39" i="27" a="1"/>
  <c r="AJ39" i="27" s="1"/>
  <c r="AJ28" i="27" a="1"/>
  <c r="AJ28" i="27" s="1"/>
  <c r="AJ29" i="27" a="1"/>
  <c r="AJ29" i="27" s="1"/>
  <c r="AJ30" i="27" a="1"/>
  <c r="AJ30" i="27" s="1"/>
  <c r="AJ31" i="27" a="1"/>
  <c r="AJ31" i="27" s="1"/>
  <c r="AJ32" i="27" a="1"/>
  <c r="AJ32" i="27" s="1"/>
  <c r="AJ33" i="27" a="1"/>
  <c r="AJ33" i="27" s="1"/>
  <c r="AJ34" i="27" a="1"/>
  <c r="AJ34" i="27" s="1"/>
  <c r="AJ35" i="27" a="1"/>
  <c r="AJ35" i="27" s="1"/>
  <c r="AJ36" i="27" a="1"/>
  <c r="AJ36" i="27" s="1"/>
  <c r="AJ61" i="27" a="1"/>
  <c r="AJ61" i="27" s="1"/>
  <c r="AJ40" i="27" a="1"/>
  <c r="AJ40" i="27" s="1"/>
  <c r="AJ41" i="27" a="1"/>
  <c r="AJ41" i="27" s="1"/>
  <c r="AJ42" i="27" a="1"/>
  <c r="AJ42" i="27" s="1"/>
  <c r="AJ43" i="27" a="1"/>
  <c r="AJ43" i="27" s="1"/>
  <c r="AJ44" i="27" a="1"/>
  <c r="AJ44" i="27" s="1"/>
  <c r="AJ45" i="27" a="1"/>
  <c r="AJ45" i="27" s="1"/>
  <c r="AJ46" i="27" a="1"/>
  <c r="AJ46" i="27" s="1"/>
  <c r="AJ47" i="27" a="1"/>
  <c r="AJ47" i="27" s="1"/>
  <c r="AJ48" i="27" a="1"/>
  <c r="AJ48" i="27" s="1"/>
  <c r="AJ49" i="27" a="1"/>
  <c r="AJ49" i="27" s="1"/>
  <c r="AJ50" i="27" a="1"/>
  <c r="AJ50" i="27" s="1"/>
  <c r="AJ51" i="27" a="1"/>
  <c r="AJ51" i="27" s="1"/>
  <c r="AJ52" i="27" a="1"/>
  <c r="AJ52" i="27" s="1"/>
  <c r="AJ53" i="27" a="1"/>
  <c r="AJ53" i="27" s="1"/>
  <c r="AJ54" i="27" a="1"/>
  <c r="AJ54" i="27" s="1"/>
  <c r="AJ55" i="27" a="1"/>
  <c r="AJ55" i="27" s="1"/>
  <c r="AJ56" i="27" a="1"/>
  <c r="AJ56" i="27" s="1"/>
  <c r="AJ57" i="27" a="1"/>
  <c r="AJ57" i="27" s="1"/>
  <c r="AJ58" i="27" a="1"/>
  <c r="AJ58" i="27" s="1"/>
  <c r="AJ59" i="27" a="1"/>
  <c r="AJ59" i="27" s="1"/>
  <c r="AJ60" i="27" a="1"/>
  <c r="AJ60" i="27" s="1"/>
  <c r="AJ62" i="27" a="1"/>
  <c r="AJ62" i="27" s="1"/>
  <c r="AJ63" i="27" a="1"/>
  <c r="AJ63" i="27" s="1"/>
  <c r="AJ64" i="27" a="1"/>
  <c r="AJ64" i="27" s="1"/>
  <c r="AJ65" i="27" a="1"/>
  <c r="AJ65" i="27" s="1"/>
  <c r="AJ66" i="27" a="1"/>
  <c r="AJ66" i="27" s="1"/>
  <c r="AJ67" i="27" a="1"/>
  <c r="AJ67" i="27" s="1"/>
  <c r="AJ68" i="27" a="1"/>
  <c r="AJ68" i="27" s="1"/>
  <c r="AJ69" i="27" a="1"/>
  <c r="AJ69" i="27" s="1"/>
  <c r="AJ70" i="27" a="1"/>
  <c r="AJ70" i="27" s="1"/>
  <c r="AJ71" i="27" a="1"/>
  <c r="AJ71" i="27" s="1"/>
  <c r="AJ72" i="27" a="1"/>
  <c r="AJ72" i="27" s="1"/>
  <c r="AJ73" i="27" a="1"/>
  <c r="AJ73" i="27" s="1"/>
  <c r="AJ74" i="27" a="1"/>
  <c r="AJ74" i="27" s="1"/>
  <c r="AJ75" i="27" a="1"/>
  <c r="AJ75" i="27" s="1"/>
  <c r="AJ76" i="27" a="1"/>
  <c r="AJ76" i="27" s="1"/>
  <c r="AJ77" i="27" a="1"/>
  <c r="AJ77" i="27" s="1"/>
  <c r="AJ78" i="27" a="1"/>
  <c r="AJ78" i="27" s="1"/>
  <c r="AJ79" i="27" a="1"/>
  <c r="AJ79" i="27" s="1"/>
  <c r="AJ80" i="27" a="1"/>
  <c r="AJ80" i="27" s="1"/>
  <c r="AJ81" i="27" a="1"/>
  <c r="AJ81" i="27" s="1"/>
  <c r="AJ82" i="27" a="1"/>
  <c r="AJ82" i="27" s="1"/>
  <c r="AJ83" i="27" a="1"/>
  <c r="AJ83" i="27" s="1"/>
  <c r="AJ85" i="27" a="1"/>
  <c r="AJ85" i="27" s="1"/>
  <c r="AJ84" i="27" a="1"/>
  <c r="AJ84" i="27" s="1"/>
  <c r="AJ86" i="27" a="1"/>
  <c r="AJ86" i="27" s="1"/>
  <c r="AJ87" i="27" a="1"/>
  <c r="AJ87" i="27" s="1"/>
  <c r="AJ88" i="27" a="1"/>
  <c r="AJ88" i="27" s="1"/>
  <c r="AJ89" i="27" a="1"/>
  <c r="AJ89" i="27" s="1"/>
  <c r="AJ90" i="27" a="1"/>
  <c r="AJ90" i="27" s="1"/>
  <c r="AJ91" i="27" a="1"/>
  <c r="AJ91" i="27" s="1"/>
  <c r="AJ92" i="27" a="1"/>
  <c r="AJ92" i="27" s="1"/>
  <c r="AJ93" i="27" a="1"/>
  <c r="AJ93" i="27" s="1"/>
  <c r="AJ94" i="27" a="1"/>
  <c r="AJ94" i="27" s="1"/>
  <c r="AJ95" i="27" a="1"/>
  <c r="AJ95" i="27" s="1"/>
  <c r="AJ96" i="27" a="1"/>
  <c r="AJ96" i="27" s="1"/>
  <c r="AJ97" i="27" a="1"/>
  <c r="AJ97" i="27" s="1"/>
  <c r="AJ98" i="27" a="1"/>
  <c r="AJ98" i="27" s="1"/>
  <c r="AJ99" i="27" a="1"/>
  <c r="AJ99" i="27" s="1"/>
  <c r="AJ100" i="27" a="1"/>
  <c r="AJ100" i="27" s="1"/>
  <c r="AJ101" i="27" a="1"/>
  <c r="AJ101" i="27" s="1"/>
  <c r="AJ102" i="27" a="1"/>
  <c r="AJ102" i="27" s="1"/>
  <c r="AJ103" i="27" a="1"/>
  <c r="AJ103" i="27" s="1"/>
  <c r="AJ104" i="27" a="1"/>
  <c r="AJ104" i="27" s="1"/>
  <c r="AJ105" i="27" a="1"/>
  <c r="AJ105" i="27" s="1"/>
  <c r="AJ106" i="27" a="1"/>
  <c r="AJ106" i="27" s="1"/>
  <c r="AJ107" i="27" a="1"/>
  <c r="AJ107" i="27" s="1"/>
  <c r="AJ108" i="27" a="1"/>
  <c r="AJ108" i="27" s="1"/>
  <c r="AJ109" i="27" a="1"/>
  <c r="AJ109" i="27" s="1"/>
  <c r="AJ112" i="27" a="1"/>
  <c r="AJ112" i="27" s="1"/>
  <c r="AJ113" i="27" a="1"/>
  <c r="AJ113" i="27" s="1"/>
  <c r="AJ114" i="27" a="1"/>
  <c r="AJ114" i="27" s="1"/>
  <c r="AJ115" i="27" a="1"/>
  <c r="AJ115" i="27" s="1"/>
  <c r="AJ116" i="27" a="1"/>
  <c r="AJ116" i="27" s="1"/>
  <c r="AJ117" i="27" a="1"/>
  <c r="AJ117" i="27" s="1"/>
  <c r="AJ118" i="27" a="1"/>
  <c r="AJ118" i="27" s="1"/>
  <c r="AJ119" i="27" a="1"/>
  <c r="AJ119" i="27" s="1"/>
  <c r="AJ120" i="27" a="1"/>
  <c r="AJ120" i="27" s="1"/>
  <c r="AJ121" i="27" a="1"/>
  <c r="AJ121" i="27" s="1"/>
  <c r="AJ122" i="27" a="1"/>
  <c r="AJ122" i="27" s="1"/>
  <c r="AJ123" i="27" a="1"/>
  <c r="AJ123" i="27" s="1"/>
  <c r="AJ124" i="27" a="1"/>
  <c r="AJ124" i="27" s="1"/>
  <c r="AJ125" i="27" a="1"/>
  <c r="AJ125" i="27" s="1"/>
  <c r="AJ126" i="27" a="1"/>
  <c r="AJ126" i="27" s="1"/>
  <c r="AJ127" i="27" a="1"/>
  <c r="AJ127" i="27" s="1"/>
  <c r="AJ128" i="27" a="1"/>
  <c r="AJ128" i="27" s="1"/>
  <c r="AJ129" i="27" a="1"/>
  <c r="AJ129" i="27" s="1"/>
  <c r="AJ130" i="27" a="1"/>
  <c r="AJ130" i="27" s="1"/>
  <c r="AJ131" i="27" a="1"/>
  <c r="AJ131" i="27" s="1"/>
  <c r="AJ132" i="27" a="1"/>
  <c r="AJ132" i="27" s="1"/>
  <c r="AJ133" i="27" a="1"/>
  <c r="AJ133" i="27" s="1"/>
  <c r="AJ134" i="27" a="1"/>
  <c r="AJ134" i="27" s="1"/>
  <c r="AJ135" i="27" a="1"/>
  <c r="AJ135" i="27" s="1"/>
  <c r="AJ136" i="27" a="1"/>
  <c r="AJ136" i="27" s="1"/>
  <c r="AJ110" i="27" a="1"/>
  <c r="AJ110" i="27" s="1"/>
  <c r="AJ111" i="27" a="1"/>
  <c r="AJ111" i="27" s="1"/>
  <c r="AJ137" i="27" a="1"/>
  <c r="AJ137" i="27" s="1"/>
  <c r="AJ138" i="27" a="1"/>
  <c r="AJ138" i="27" s="1"/>
  <c r="AJ139" i="27" a="1"/>
  <c r="AJ139" i="27" s="1"/>
  <c r="AJ140" i="27" a="1"/>
  <c r="AJ140" i="27" s="1"/>
  <c r="AQ7" i="27" a="1"/>
  <c r="AQ7" i="27" s="1"/>
  <c r="AQ11" i="27" a="1"/>
  <c r="AQ11" i="27" s="1"/>
  <c r="AQ15" i="27" a="1"/>
  <c r="AQ15" i="27" s="1"/>
  <c r="AQ19" i="27" a="1"/>
  <c r="AQ19" i="27" s="1"/>
  <c r="AQ10" i="27" a="1"/>
  <c r="AQ10" i="27" s="1"/>
  <c r="AQ14" i="27" a="1"/>
  <c r="AQ14" i="27" s="1"/>
  <c r="AQ18" i="27" a="1"/>
  <c r="AQ18" i="27" s="1"/>
  <c r="AQ9" i="27" a="1"/>
  <c r="AQ9" i="27" s="1"/>
  <c r="AQ13" i="27" a="1"/>
  <c r="AQ13" i="27" s="1"/>
  <c r="AQ17" i="27" a="1"/>
  <c r="AQ17" i="27" s="1"/>
  <c r="AQ8" i="27" a="1"/>
  <c r="AQ8" i="27" s="1"/>
  <c r="AQ12" i="27" a="1"/>
  <c r="AQ12" i="27" s="1"/>
  <c r="AQ16" i="27" a="1"/>
  <c r="AQ16" i="27" s="1"/>
  <c r="AQ20" i="27" a="1"/>
  <c r="AQ20" i="27" s="1"/>
  <c r="AQ22" i="27" a="1"/>
  <c r="AQ22" i="27" s="1"/>
  <c r="AQ24" i="27" a="1"/>
  <c r="AQ24" i="27" s="1"/>
  <c r="AQ26" i="27" a="1"/>
  <c r="AQ26" i="27" s="1"/>
  <c r="AQ23" i="27" a="1"/>
  <c r="AQ23" i="27" s="1"/>
  <c r="AQ25" i="27" a="1"/>
  <c r="AQ25" i="27" s="1"/>
  <c r="AQ21" i="27" a="1"/>
  <c r="AQ21" i="27" s="1"/>
  <c r="AQ27" i="27" a="1"/>
  <c r="AQ27" i="27" s="1"/>
  <c r="AQ28" i="27" a="1"/>
  <c r="AQ28" i="27" s="1"/>
  <c r="AQ29" i="27" a="1"/>
  <c r="AQ29" i="27" s="1"/>
  <c r="AQ30" i="27" a="1"/>
  <c r="AQ30" i="27" s="1"/>
  <c r="AQ31" i="27" a="1"/>
  <c r="AQ31" i="27" s="1"/>
  <c r="AQ32" i="27" a="1"/>
  <c r="AQ32" i="27" s="1"/>
  <c r="AQ33" i="27" a="1"/>
  <c r="AQ33" i="27" s="1"/>
  <c r="AQ34" i="27" a="1"/>
  <c r="AQ34" i="27" s="1"/>
  <c r="AQ35" i="27" a="1"/>
  <c r="AQ35" i="27" s="1"/>
  <c r="AQ36" i="27" a="1"/>
  <c r="AQ36" i="27" s="1"/>
  <c r="AQ37" i="27" a="1"/>
  <c r="AQ37" i="27" s="1"/>
  <c r="AQ38" i="27" a="1"/>
  <c r="AQ38" i="27" s="1"/>
  <c r="AQ39" i="27" a="1"/>
  <c r="AQ39" i="27" s="1"/>
  <c r="AQ40" i="27" a="1"/>
  <c r="AQ40" i="27" s="1"/>
  <c r="AQ41" i="27" a="1"/>
  <c r="AQ41" i="27" s="1"/>
  <c r="AQ42" i="27" a="1"/>
  <c r="AQ42" i="27" s="1"/>
  <c r="AQ43" i="27" a="1"/>
  <c r="AQ43" i="27" s="1"/>
  <c r="AQ44" i="27" a="1"/>
  <c r="AQ44" i="27" s="1"/>
  <c r="AQ45" i="27" a="1"/>
  <c r="AQ45" i="27" s="1"/>
  <c r="AQ46" i="27" a="1"/>
  <c r="AQ46" i="27" s="1"/>
  <c r="AQ47" i="27" a="1"/>
  <c r="AQ47" i="27" s="1"/>
  <c r="AQ48" i="27" a="1"/>
  <c r="AQ48" i="27" s="1"/>
  <c r="AQ49" i="27" a="1"/>
  <c r="AQ49" i="27" s="1"/>
  <c r="AQ50" i="27" a="1"/>
  <c r="AQ50" i="27" s="1"/>
  <c r="AQ51" i="27" a="1"/>
  <c r="AQ51" i="27" s="1"/>
  <c r="AQ52" i="27" a="1"/>
  <c r="AQ52" i="27" s="1"/>
  <c r="AQ53" i="27" a="1"/>
  <c r="AQ53" i="27" s="1"/>
  <c r="AQ54" i="27" a="1"/>
  <c r="AQ54" i="27" s="1"/>
  <c r="AQ55" i="27" a="1"/>
  <c r="AQ55" i="27" s="1"/>
  <c r="AQ56" i="27" a="1"/>
  <c r="AQ56" i="27" s="1"/>
  <c r="AQ57" i="27" a="1"/>
  <c r="AQ57" i="27" s="1"/>
  <c r="AQ58" i="27" a="1"/>
  <c r="AQ58" i="27" s="1"/>
  <c r="AQ59" i="27" a="1"/>
  <c r="AQ59" i="27" s="1"/>
  <c r="AQ60" i="27" a="1"/>
  <c r="AQ60" i="27" s="1"/>
  <c r="AQ61" i="27" a="1"/>
  <c r="AQ61" i="27" s="1"/>
  <c r="AQ62" i="27" a="1"/>
  <c r="AQ62" i="27" s="1"/>
  <c r="AQ63" i="27" a="1"/>
  <c r="AQ63" i="27" s="1"/>
  <c r="AQ64" i="27" a="1"/>
  <c r="AQ64" i="27" s="1"/>
  <c r="AQ65" i="27" a="1"/>
  <c r="AQ65" i="27" s="1"/>
  <c r="AQ66" i="27" a="1"/>
  <c r="AQ66" i="27" s="1"/>
  <c r="AQ67" i="27" a="1"/>
  <c r="AQ67" i="27" s="1"/>
  <c r="AQ68" i="27" a="1"/>
  <c r="AQ68" i="27" s="1"/>
  <c r="AQ69" i="27" a="1"/>
  <c r="AQ69" i="27" s="1"/>
  <c r="AQ70" i="27" a="1"/>
  <c r="AQ70" i="27" s="1"/>
  <c r="AQ71" i="27" a="1"/>
  <c r="AQ71" i="27" s="1"/>
  <c r="AQ72" i="27" a="1"/>
  <c r="AQ72" i="27" s="1"/>
  <c r="AQ73" i="27" a="1"/>
  <c r="AQ73" i="27" s="1"/>
  <c r="AQ74" i="27" a="1"/>
  <c r="AQ74" i="27" s="1"/>
  <c r="AQ75" i="27" a="1"/>
  <c r="AQ75" i="27" s="1"/>
  <c r="AQ76" i="27" a="1"/>
  <c r="AQ76" i="27" s="1"/>
  <c r="AQ77" i="27" a="1"/>
  <c r="AQ77" i="27" s="1"/>
  <c r="AQ83" i="27" a="1"/>
  <c r="AQ83" i="27" s="1"/>
  <c r="AQ84" i="27" a="1"/>
  <c r="AQ84" i="27" s="1"/>
  <c r="AQ85" i="27" a="1"/>
  <c r="AQ85" i="27" s="1"/>
  <c r="AQ78" i="27" a="1"/>
  <c r="AQ78" i="27" s="1"/>
  <c r="AQ79" i="27" a="1"/>
  <c r="AQ79" i="27" s="1"/>
  <c r="AQ80" i="27" a="1"/>
  <c r="AQ80" i="27" s="1"/>
  <c r="AQ81" i="27" a="1"/>
  <c r="AQ81" i="27" s="1"/>
  <c r="AQ82" i="27" a="1"/>
  <c r="AQ82" i="27" s="1"/>
  <c r="AQ109" i="27" a="1"/>
  <c r="AQ109" i="27" s="1"/>
  <c r="AQ110" i="27" a="1"/>
  <c r="AQ110" i="27" s="1"/>
  <c r="AQ111" i="27" a="1"/>
  <c r="AQ111" i="27" s="1"/>
  <c r="AQ112" i="27" a="1"/>
  <c r="AQ112" i="27" s="1"/>
  <c r="AQ113" i="27" a="1"/>
  <c r="AQ113" i="27" s="1"/>
  <c r="AQ114" i="27" a="1"/>
  <c r="AQ114" i="27" s="1"/>
  <c r="AQ115" i="27" a="1"/>
  <c r="AQ115" i="27" s="1"/>
  <c r="AQ116" i="27" a="1"/>
  <c r="AQ116" i="27" s="1"/>
  <c r="AQ117" i="27" a="1"/>
  <c r="AQ117" i="27" s="1"/>
  <c r="AQ118" i="27" a="1"/>
  <c r="AQ118" i="27" s="1"/>
  <c r="AQ119" i="27" a="1"/>
  <c r="AQ119" i="27" s="1"/>
  <c r="AQ120" i="27" a="1"/>
  <c r="AQ120" i="27" s="1"/>
  <c r="AQ121" i="27" a="1"/>
  <c r="AQ121" i="27" s="1"/>
  <c r="AQ122" i="27" a="1"/>
  <c r="AQ122" i="27" s="1"/>
  <c r="AQ123" i="27" a="1"/>
  <c r="AQ123" i="27" s="1"/>
  <c r="AQ124" i="27" a="1"/>
  <c r="AQ124" i="27" s="1"/>
  <c r="AQ125" i="27" a="1"/>
  <c r="AQ125" i="27" s="1"/>
  <c r="AQ126" i="27" a="1"/>
  <c r="AQ126" i="27" s="1"/>
  <c r="AQ127" i="27" a="1"/>
  <c r="AQ127" i="27" s="1"/>
  <c r="AQ128" i="27" a="1"/>
  <c r="AQ128" i="27" s="1"/>
  <c r="AQ129" i="27" a="1"/>
  <c r="AQ129" i="27" s="1"/>
  <c r="AQ130" i="27" a="1"/>
  <c r="AQ130" i="27" s="1"/>
  <c r="AQ131" i="27" a="1"/>
  <c r="AQ131" i="27" s="1"/>
  <c r="AQ132" i="27" a="1"/>
  <c r="AQ132" i="27" s="1"/>
  <c r="AQ133" i="27" a="1"/>
  <c r="AQ133" i="27" s="1"/>
  <c r="AQ134" i="27" a="1"/>
  <c r="AQ134" i="27" s="1"/>
  <c r="AQ135" i="27" a="1"/>
  <c r="AQ135" i="27" s="1"/>
  <c r="AQ136" i="27" a="1"/>
  <c r="AQ136" i="27" s="1"/>
  <c r="AQ86" i="27" a="1"/>
  <c r="AQ86" i="27" s="1"/>
  <c r="AQ87" i="27" a="1"/>
  <c r="AQ87" i="27" s="1"/>
  <c r="AQ88" i="27" a="1"/>
  <c r="AQ88" i="27" s="1"/>
  <c r="AQ89" i="27" a="1"/>
  <c r="AQ89" i="27" s="1"/>
  <c r="AQ90" i="27" a="1"/>
  <c r="AQ90" i="27" s="1"/>
  <c r="AQ91" i="27" a="1"/>
  <c r="AQ91" i="27" s="1"/>
  <c r="AQ92" i="27" a="1"/>
  <c r="AQ92" i="27" s="1"/>
  <c r="AQ93" i="27" a="1"/>
  <c r="AQ93" i="27" s="1"/>
  <c r="AQ94" i="27" a="1"/>
  <c r="AQ94" i="27" s="1"/>
  <c r="AQ95" i="27" a="1"/>
  <c r="AQ95" i="27" s="1"/>
  <c r="AQ96" i="27" a="1"/>
  <c r="AQ96" i="27" s="1"/>
  <c r="AQ97" i="27" a="1"/>
  <c r="AQ97" i="27" s="1"/>
  <c r="AQ98" i="27" a="1"/>
  <c r="AQ98" i="27" s="1"/>
  <c r="AQ99" i="27" a="1"/>
  <c r="AQ99" i="27" s="1"/>
  <c r="AQ100" i="27" a="1"/>
  <c r="AQ100" i="27" s="1"/>
  <c r="AQ101" i="27" a="1"/>
  <c r="AQ101" i="27" s="1"/>
  <c r="AQ102" i="27" a="1"/>
  <c r="AQ102" i="27" s="1"/>
  <c r="AQ103" i="27" a="1"/>
  <c r="AQ103" i="27" s="1"/>
  <c r="AQ104" i="27" a="1"/>
  <c r="AQ104" i="27" s="1"/>
  <c r="AQ105" i="27" a="1"/>
  <c r="AQ105" i="27" s="1"/>
  <c r="AQ106" i="27" a="1"/>
  <c r="AQ106" i="27" s="1"/>
  <c r="AQ107" i="27" a="1"/>
  <c r="AQ107" i="27" s="1"/>
  <c r="AQ108" i="27" a="1"/>
  <c r="AQ108" i="27" s="1"/>
  <c r="AQ137" i="27" a="1"/>
  <c r="AQ137" i="27" s="1"/>
  <c r="AQ138" i="27" a="1"/>
  <c r="AQ138" i="27" s="1"/>
  <c r="AQ139" i="27" a="1"/>
  <c r="AQ139" i="27" s="1"/>
  <c r="AQ140" i="27" a="1"/>
  <c r="AQ140" i="27" s="1"/>
  <c r="AQ6" i="27" a="1"/>
  <c r="AQ6" i="27" s="1"/>
  <c r="AO8" i="27" a="1"/>
  <c r="AO8" i="27" s="1"/>
  <c r="AO12" i="27" a="1"/>
  <c r="AO12" i="27" s="1"/>
  <c r="AO16" i="27" a="1"/>
  <c r="AO16" i="27" s="1"/>
  <c r="AO20" i="27" a="1"/>
  <c r="AO20" i="27" s="1"/>
  <c r="AO7" i="27" a="1"/>
  <c r="AO7" i="27" s="1"/>
  <c r="AO11" i="27" a="1"/>
  <c r="AO11" i="27" s="1"/>
  <c r="AO15" i="27" a="1"/>
  <c r="AO15" i="27" s="1"/>
  <c r="AO19" i="27" a="1"/>
  <c r="AO19" i="27" s="1"/>
  <c r="AO10" i="27" a="1"/>
  <c r="AO10" i="27" s="1"/>
  <c r="AO14" i="27" a="1"/>
  <c r="AO14" i="27" s="1"/>
  <c r="AO18" i="27" a="1"/>
  <c r="AO18" i="27" s="1"/>
  <c r="AO21" i="27" a="1"/>
  <c r="AO21" i="27" s="1"/>
  <c r="AO9" i="27" a="1"/>
  <c r="AO9" i="27" s="1"/>
  <c r="AO13" i="27" a="1"/>
  <c r="AO13" i="27" s="1"/>
  <c r="AO17" i="27" a="1"/>
  <c r="AO17" i="27" s="1"/>
  <c r="AO22" i="27" a="1"/>
  <c r="AO22" i="27" s="1"/>
  <c r="AO24" i="27" a="1"/>
  <c r="AO24" i="27" s="1"/>
  <c r="AO26" i="27" a="1"/>
  <c r="AO26" i="27" s="1"/>
  <c r="AO27" i="27" a="1"/>
  <c r="AO27" i="27" s="1"/>
  <c r="AO23" i="27" a="1"/>
  <c r="AO23" i="27" s="1"/>
  <c r="AO25" i="27" a="1"/>
  <c r="AO25" i="27" s="1"/>
  <c r="AO28" i="27" a="1"/>
  <c r="AO28" i="27" s="1"/>
  <c r="AO29" i="27" a="1"/>
  <c r="AO29" i="27" s="1"/>
  <c r="AO30" i="27" a="1"/>
  <c r="AO30" i="27" s="1"/>
  <c r="AO31" i="27" a="1"/>
  <c r="AO31" i="27" s="1"/>
  <c r="AO32" i="27" a="1"/>
  <c r="AO32" i="27" s="1"/>
  <c r="AO33" i="27" a="1"/>
  <c r="AO33" i="27" s="1"/>
  <c r="AO34" i="27" a="1"/>
  <c r="AO34" i="27" s="1"/>
  <c r="AO35" i="27" a="1"/>
  <c r="AO35" i="27" s="1"/>
  <c r="AO36" i="27" a="1"/>
  <c r="AO36" i="27" s="1"/>
  <c r="AO37" i="27" a="1"/>
  <c r="AO37" i="27" s="1"/>
  <c r="AO38" i="27" a="1"/>
  <c r="AO38" i="27" s="1"/>
  <c r="AO39" i="27" a="1"/>
  <c r="AO39" i="27" s="1"/>
  <c r="AO40" i="27" a="1"/>
  <c r="AO40" i="27" s="1"/>
  <c r="AO41" i="27" a="1"/>
  <c r="AO41" i="27" s="1"/>
  <c r="AO42" i="27" a="1"/>
  <c r="AO42" i="27" s="1"/>
  <c r="AO43" i="27" a="1"/>
  <c r="AO43" i="27" s="1"/>
  <c r="AO44" i="27" a="1"/>
  <c r="AO44" i="27" s="1"/>
  <c r="AO45" i="27" a="1"/>
  <c r="AO45" i="27" s="1"/>
  <c r="AO46" i="27" a="1"/>
  <c r="AO46" i="27" s="1"/>
  <c r="AO47" i="27" a="1"/>
  <c r="AO47" i="27" s="1"/>
  <c r="AO48" i="27" a="1"/>
  <c r="AO48" i="27" s="1"/>
  <c r="AO49" i="27" a="1"/>
  <c r="AO49" i="27" s="1"/>
  <c r="AO50" i="27" a="1"/>
  <c r="AO50" i="27" s="1"/>
  <c r="AO51" i="27" a="1"/>
  <c r="AO51" i="27" s="1"/>
  <c r="AO52" i="27" a="1"/>
  <c r="AO52" i="27" s="1"/>
  <c r="AO53" i="27" a="1"/>
  <c r="AO53" i="27" s="1"/>
  <c r="AO54" i="27" a="1"/>
  <c r="AO54" i="27" s="1"/>
  <c r="AO55" i="27" a="1"/>
  <c r="AO55" i="27" s="1"/>
  <c r="AO56" i="27" a="1"/>
  <c r="AO56" i="27" s="1"/>
  <c r="AO57" i="27" a="1"/>
  <c r="AO57" i="27" s="1"/>
  <c r="AO58" i="27" a="1"/>
  <c r="AO58" i="27" s="1"/>
  <c r="AO59" i="27" a="1"/>
  <c r="AO59" i="27" s="1"/>
  <c r="AO60" i="27" a="1"/>
  <c r="AO60" i="27" s="1"/>
  <c r="AO61" i="27" a="1"/>
  <c r="AO61" i="27" s="1"/>
  <c r="AO78" i="27" a="1"/>
  <c r="AO78" i="27" s="1"/>
  <c r="AO62" i="27" a="1"/>
  <c r="AO62" i="27" s="1"/>
  <c r="AO63" i="27" a="1"/>
  <c r="AO63" i="27" s="1"/>
  <c r="AO64" i="27" a="1"/>
  <c r="AO64" i="27" s="1"/>
  <c r="AO65" i="27" a="1"/>
  <c r="AO65" i="27" s="1"/>
  <c r="AO66" i="27" a="1"/>
  <c r="AO66" i="27" s="1"/>
  <c r="AO67" i="27" a="1"/>
  <c r="AO67" i="27" s="1"/>
  <c r="AO68" i="27" a="1"/>
  <c r="AO68" i="27" s="1"/>
  <c r="AO69" i="27" a="1"/>
  <c r="AO69" i="27" s="1"/>
  <c r="AO70" i="27" a="1"/>
  <c r="AO70" i="27" s="1"/>
  <c r="AO71" i="27" a="1"/>
  <c r="AO71" i="27" s="1"/>
  <c r="AO72" i="27" a="1"/>
  <c r="AO72" i="27" s="1"/>
  <c r="AO73" i="27" a="1"/>
  <c r="AO73" i="27" s="1"/>
  <c r="AO74" i="27" a="1"/>
  <c r="AO74" i="27" s="1"/>
  <c r="AO75" i="27" a="1"/>
  <c r="AO75" i="27" s="1"/>
  <c r="AO76" i="27" a="1"/>
  <c r="AO76" i="27" s="1"/>
  <c r="AO77" i="27" a="1"/>
  <c r="AO77" i="27" s="1"/>
  <c r="AO79" i="27" a="1"/>
  <c r="AO79" i="27" s="1"/>
  <c r="AO80" i="27" a="1"/>
  <c r="AO80" i="27" s="1"/>
  <c r="AO81" i="27" a="1"/>
  <c r="AO81" i="27" s="1"/>
  <c r="AO82" i="27" a="1"/>
  <c r="AO82" i="27" s="1"/>
  <c r="AO83" i="27" a="1"/>
  <c r="AO83" i="27" s="1"/>
  <c r="AO84" i="27" a="1"/>
  <c r="AO84" i="27" s="1"/>
  <c r="AO85" i="27" a="1"/>
  <c r="AO85" i="27" s="1"/>
  <c r="AO111" i="27" a="1"/>
  <c r="AO111" i="27" s="1"/>
  <c r="AO112" i="27" a="1"/>
  <c r="AO112" i="27" s="1"/>
  <c r="AO113" i="27" a="1"/>
  <c r="AO113" i="27" s="1"/>
  <c r="AO114" i="27" a="1"/>
  <c r="AO114" i="27" s="1"/>
  <c r="AO115" i="27" a="1"/>
  <c r="AO115" i="27" s="1"/>
  <c r="AO116" i="27" a="1"/>
  <c r="AO116" i="27" s="1"/>
  <c r="AO117" i="27" a="1"/>
  <c r="AO117" i="27" s="1"/>
  <c r="AO118" i="27" a="1"/>
  <c r="AO118" i="27" s="1"/>
  <c r="AO119" i="27" a="1"/>
  <c r="AO119" i="27" s="1"/>
  <c r="AO120" i="27" a="1"/>
  <c r="AO120" i="27" s="1"/>
  <c r="AO121" i="27" a="1"/>
  <c r="AO121" i="27" s="1"/>
  <c r="AO122" i="27" a="1"/>
  <c r="AO122" i="27" s="1"/>
  <c r="AO123" i="27" a="1"/>
  <c r="AO123" i="27" s="1"/>
  <c r="AO124" i="27" a="1"/>
  <c r="AO124" i="27" s="1"/>
  <c r="AO125" i="27" a="1"/>
  <c r="AO125" i="27" s="1"/>
  <c r="AO126" i="27" a="1"/>
  <c r="AO126" i="27" s="1"/>
  <c r="AO127" i="27" a="1"/>
  <c r="AO127" i="27" s="1"/>
  <c r="AO128" i="27" a="1"/>
  <c r="AO128" i="27" s="1"/>
  <c r="AO129" i="27" a="1"/>
  <c r="AO129" i="27" s="1"/>
  <c r="AO130" i="27" a="1"/>
  <c r="AO130" i="27" s="1"/>
  <c r="AO131" i="27" a="1"/>
  <c r="AO131" i="27" s="1"/>
  <c r="AO132" i="27" a="1"/>
  <c r="AO132" i="27" s="1"/>
  <c r="AO133" i="27" a="1"/>
  <c r="AO133" i="27" s="1"/>
  <c r="AO134" i="27" a="1"/>
  <c r="AO134" i="27" s="1"/>
  <c r="AO135" i="27" a="1"/>
  <c r="AO135" i="27" s="1"/>
  <c r="AO136" i="27" a="1"/>
  <c r="AO136" i="27" s="1"/>
  <c r="AO86" i="27" a="1"/>
  <c r="AO86" i="27" s="1"/>
  <c r="AO87" i="27" a="1"/>
  <c r="AO87" i="27" s="1"/>
  <c r="AO88" i="27" a="1"/>
  <c r="AO88" i="27" s="1"/>
  <c r="AO89" i="27" a="1"/>
  <c r="AO89" i="27" s="1"/>
  <c r="AO90" i="27" a="1"/>
  <c r="AO90" i="27" s="1"/>
  <c r="AO91" i="27" a="1"/>
  <c r="AO91" i="27" s="1"/>
  <c r="AO92" i="27" a="1"/>
  <c r="AO92" i="27" s="1"/>
  <c r="AO93" i="27" a="1"/>
  <c r="AO93" i="27" s="1"/>
  <c r="AO94" i="27" a="1"/>
  <c r="AO94" i="27" s="1"/>
  <c r="AO95" i="27" a="1"/>
  <c r="AO95" i="27" s="1"/>
  <c r="AO96" i="27" a="1"/>
  <c r="AO96" i="27" s="1"/>
  <c r="AO97" i="27" a="1"/>
  <c r="AO97" i="27" s="1"/>
  <c r="AO98" i="27" a="1"/>
  <c r="AO98" i="27" s="1"/>
  <c r="AO99" i="27" a="1"/>
  <c r="AO99" i="27" s="1"/>
  <c r="AO100" i="27" a="1"/>
  <c r="AO100" i="27" s="1"/>
  <c r="AO101" i="27" a="1"/>
  <c r="AO101" i="27" s="1"/>
  <c r="AO102" i="27" a="1"/>
  <c r="AO102" i="27" s="1"/>
  <c r="AO103" i="27" a="1"/>
  <c r="AO103" i="27" s="1"/>
  <c r="AO104" i="27" a="1"/>
  <c r="AO104" i="27" s="1"/>
  <c r="AO105" i="27" a="1"/>
  <c r="AO105" i="27" s="1"/>
  <c r="AO106" i="27" a="1"/>
  <c r="AO106" i="27" s="1"/>
  <c r="AO107" i="27" a="1"/>
  <c r="AO107" i="27" s="1"/>
  <c r="AO108" i="27" a="1"/>
  <c r="AO108" i="27" s="1"/>
  <c r="AO109" i="27" a="1"/>
  <c r="AO109" i="27" s="1"/>
  <c r="AO110" i="27" a="1"/>
  <c r="AO110" i="27" s="1"/>
  <c r="AO137" i="27" a="1"/>
  <c r="AO137" i="27" s="1"/>
  <c r="AO138" i="27" a="1"/>
  <c r="AO138" i="27" s="1"/>
  <c r="AO139" i="27" a="1"/>
  <c r="AO139" i="27" s="1"/>
  <c r="AO140" i="27" a="1"/>
  <c r="AO140" i="27" s="1"/>
  <c r="AO6" i="27" a="1"/>
  <c r="AO6" i="27" s="1"/>
  <c r="AR8" i="27" a="1"/>
  <c r="AR8" i="27" s="1"/>
  <c r="AR12" i="27" a="1"/>
  <c r="AR12" i="27" s="1"/>
  <c r="AR16" i="27" a="1"/>
  <c r="AR16" i="27" s="1"/>
  <c r="AR20" i="27" a="1"/>
  <c r="AR20" i="27" s="1"/>
  <c r="AR21" i="27" a="1"/>
  <c r="AR21" i="27" s="1"/>
  <c r="AR7" i="27" a="1"/>
  <c r="AR7" i="27" s="1"/>
  <c r="AR11" i="27" a="1"/>
  <c r="AR11" i="27" s="1"/>
  <c r="AR15" i="27" a="1"/>
  <c r="AR15" i="27" s="1"/>
  <c r="AR19" i="27" a="1"/>
  <c r="AR19" i="27" s="1"/>
  <c r="AR10" i="27" a="1"/>
  <c r="AR10" i="27" s="1"/>
  <c r="AR14" i="27" a="1"/>
  <c r="AR14" i="27" s="1"/>
  <c r="AR18" i="27" a="1"/>
  <c r="AR18" i="27" s="1"/>
  <c r="AR9" i="27" a="1"/>
  <c r="AR9" i="27" s="1"/>
  <c r="AR13" i="27" a="1"/>
  <c r="AR13" i="27" s="1"/>
  <c r="AR17" i="27" a="1"/>
  <c r="AR17" i="27" s="1"/>
  <c r="AR22" i="27" a="1"/>
  <c r="AR22" i="27" s="1"/>
  <c r="AR24" i="27" a="1"/>
  <c r="AR24" i="27" s="1"/>
  <c r="AR23" i="27" a="1"/>
  <c r="AR23" i="27" s="1"/>
  <c r="AR25" i="27" a="1"/>
  <c r="AR25" i="27" s="1"/>
  <c r="AR26" i="27" a="1"/>
  <c r="AR26" i="27" s="1"/>
  <c r="AR37" i="27" a="1"/>
  <c r="AR37" i="27" s="1"/>
  <c r="AR38" i="27" a="1"/>
  <c r="AR38" i="27" s="1"/>
  <c r="AR27" i="27" a="1"/>
  <c r="AR27" i="27" s="1"/>
  <c r="AR28" i="27" a="1"/>
  <c r="AR28" i="27" s="1"/>
  <c r="AR29" i="27" a="1"/>
  <c r="AR29" i="27" s="1"/>
  <c r="AR30" i="27" a="1"/>
  <c r="AR30" i="27" s="1"/>
  <c r="AR31" i="27" a="1"/>
  <c r="AR31" i="27" s="1"/>
  <c r="AR32" i="27" a="1"/>
  <c r="AR32" i="27" s="1"/>
  <c r="AR33" i="27" a="1"/>
  <c r="AR33" i="27" s="1"/>
  <c r="AR34" i="27" a="1"/>
  <c r="AR34" i="27" s="1"/>
  <c r="AR35" i="27" a="1"/>
  <c r="AR35" i="27" s="1"/>
  <c r="AR36" i="27" a="1"/>
  <c r="AR36" i="27" s="1"/>
  <c r="AR60" i="27" a="1"/>
  <c r="AR60" i="27" s="1"/>
  <c r="AR61" i="27" a="1"/>
  <c r="AR61" i="27" s="1"/>
  <c r="AR39" i="27" a="1"/>
  <c r="AR39" i="27" s="1"/>
  <c r="AR40" i="27" a="1"/>
  <c r="AR40" i="27" s="1"/>
  <c r="AR41" i="27" a="1"/>
  <c r="AR41" i="27" s="1"/>
  <c r="AR42" i="27" a="1"/>
  <c r="AR42" i="27" s="1"/>
  <c r="AR43" i="27" a="1"/>
  <c r="AR43" i="27" s="1"/>
  <c r="AR44" i="27" a="1"/>
  <c r="AR44" i="27" s="1"/>
  <c r="AR45" i="27" a="1"/>
  <c r="AR45" i="27" s="1"/>
  <c r="AR46" i="27" a="1"/>
  <c r="AR46" i="27" s="1"/>
  <c r="AR47" i="27" a="1"/>
  <c r="AR47" i="27" s="1"/>
  <c r="AR48" i="27" a="1"/>
  <c r="AR48" i="27" s="1"/>
  <c r="AR49" i="27" a="1"/>
  <c r="AR49" i="27" s="1"/>
  <c r="AR50" i="27" a="1"/>
  <c r="AR50" i="27" s="1"/>
  <c r="AR51" i="27" a="1"/>
  <c r="AR51" i="27" s="1"/>
  <c r="AR52" i="27" a="1"/>
  <c r="AR52" i="27" s="1"/>
  <c r="AR53" i="27" a="1"/>
  <c r="AR53" i="27" s="1"/>
  <c r="AR54" i="27" a="1"/>
  <c r="AR54" i="27" s="1"/>
  <c r="AR55" i="27" a="1"/>
  <c r="AR55" i="27" s="1"/>
  <c r="AR56" i="27" a="1"/>
  <c r="AR56" i="27" s="1"/>
  <c r="AR57" i="27" a="1"/>
  <c r="AR57" i="27" s="1"/>
  <c r="AR58" i="27" a="1"/>
  <c r="AR58" i="27" s="1"/>
  <c r="AR59" i="27" a="1"/>
  <c r="AR59" i="27" s="1"/>
  <c r="AR62" i="27" a="1"/>
  <c r="AR62" i="27" s="1"/>
  <c r="AR63" i="27" a="1"/>
  <c r="AR63" i="27" s="1"/>
  <c r="AR64" i="27" a="1"/>
  <c r="AR64" i="27" s="1"/>
  <c r="AR65" i="27" a="1"/>
  <c r="AR65" i="27" s="1"/>
  <c r="AR66" i="27" a="1"/>
  <c r="AR66" i="27" s="1"/>
  <c r="AR67" i="27" a="1"/>
  <c r="AR67" i="27" s="1"/>
  <c r="AR68" i="27" a="1"/>
  <c r="AR68" i="27" s="1"/>
  <c r="AR69" i="27" a="1"/>
  <c r="AR69" i="27" s="1"/>
  <c r="AR70" i="27" a="1"/>
  <c r="AR70" i="27" s="1"/>
  <c r="AR71" i="27" a="1"/>
  <c r="AR71" i="27" s="1"/>
  <c r="AR72" i="27" a="1"/>
  <c r="AR72" i="27" s="1"/>
  <c r="AR73" i="27" a="1"/>
  <c r="AR73" i="27" s="1"/>
  <c r="AR74" i="27" a="1"/>
  <c r="AR74" i="27" s="1"/>
  <c r="AR75" i="27" a="1"/>
  <c r="AR75" i="27" s="1"/>
  <c r="AR76" i="27" a="1"/>
  <c r="AR76" i="27" s="1"/>
  <c r="AR77" i="27" a="1"/>
  <c r="AR77" i="27" s="1"/>
  <c r="AR78" i="27" a="1"/>
  <c r="AR78" i="27" s="1"/>
  <c r="AR79" i="27" a="1"/>
  <c r="AR79" i="27" s="1"/>
  <c r="AR80" i="27" a="1"/>
  <c r="AR80" i="27" s="1"/>
  <c r="AR81" i="27" a="1"/>
  <c r="AR81" i="27" s="1"/>
  <c r="AR82" i="27" a="1"/>
  <c r="AR82" i="27" s="1"/>
  <c r="AR84" i="27" a="1"/>
  <c r="AR84" i="27" s="1"/>
  <c r="AR85" i="27" a="1"/>
  <c r="AR85" i="27" s="1"/>
  <c r="AR83" i="27" a="1"/>
  <c r="AR83" i="27" s="1"/>
  <c r="AR86" i="27" a="1"/>
  <c r="AR86" i="27" s="1"/>
  <c r="AR87" i="27" a="1"/>
  <c r="AR87" i="27" s="1"/>
  <c r="AR88" i="27" a="1"/>
  <c r="AR88" i="27" s="1"/>
  <c r="AR89" i="27" a="1"/>
  <c r="AR89" i="27" s="1"/>
  <c r="AR90" i="27" a="1"/>
  <c r="AR90" i="27" s="1"/>
  <c r="AR91" i="27" a="1"/>
  <c r="AR91" i="27" s="1"/>
  <c r="AR92" i="27" a="1"/>
  <c r="AR92" i="27" s="1"/>
  <c r="AR93" i="27" a="1"/>
  <c r="AR93" i="27" s="1"/>
  <c r="AR94" i="27" a="1"/>
  <c r="AR94" i="27" s="1"/>
  <c r="AR95" i="27" a="1"/>
  <c r="AR95" i="27" s="1"/>
  <c r="AR96" i="27" a="1"/>
  <c r="AR96" i="27" s="1"/>
  <c r="AR97" i="27" a="1"/>
  <c r="AR97" i="27" s="1"/>
  <c r="AR98" i="27" a="1"/>
  <c r="AR98" i="27" s="1"/>
  <c r="AR99" i="27" a="1"/>
  <c r="AR99" i="27" s="1"/>
  <c r="AR100" i="27" a="1"/>
  <c r="AR100" i="27" s="1"/>
  <c r="AR101" i="27" a="1"/>
  <c r="AR101" i="27" s="1"/>
  <c r="AR102" i="27" a="1"/>
  <c r="AR102" i="27" s="1"/>
  <c r="AR103" i="27" a="1"/>
  <c r="AR103" i="27" s="1"/>
  <c r="AR104" i="27" a="1"/>
  <c r="AR104" i="27" s="1"/>
  <c r="AR105" i="27" a="1"/>
  <c r="AR105" i="27" s="1"/>
  <c r="AR106" i="27" a="1"/>
  <c r="AR106" i="27" s="1"/>
  <c r="AR107" i="27" a="1"/>
  <c r="AR107" i="27" s="1"/>
  <c r="AR108" i="27" a="1"/>
  <c r="AR108" i="27" s="1"/>
  <c r="AR6" i="27" a="1"/>
  <c r="AR6" i="27" s="1"/>
  <c r="AR111" i="27" a="1"/>
  <c r="AR111" i="27" s="1"/>
  <c r="AR112" i="27" a="1"/>
  <c r="AR112" i="27" s="1"/>
  <c r="AR113" i="27" a="1"/>
  <c r="AR113" i="27" s="1"/>
  <c r="AR114" i="27" a="1"/>
  <c r="AR114" i="27" s="1"/>
  <c r="AR115" i="27" a="1"/>
  <c r="AR115" i="27" s="1"/>
  <c r="AR116" i="27" a="1"/>
  <c r="AR116" i="27" s="1"/>
  <c r="AR117" i="27" a="1"/>
  <c r="AR117" i="27" s="1"/>
  <c r="AR118" i="27" a="1"/>
  <c r="AR118" i="27" s="1"/>
  <c r="AR119" i="27" a="1"/>
  <c r="AR119" i="27" s="1"/>
  <c r="AR120" i="27" a="1"/>
  <c r="AR120" i="27" s="1"/>
  <c r="AR121" i="27" a="1"/>
  <c r="AR121" i="27" s="1"/>
  <c r="AR122" i="27" a="1"/>
  <c r="AR122" i="27" s="1"/>
  <c r="AR123" i="27" a="1"/>
  <c r="AR123" i="27" s="1"/>
  <c r="AR124" i="27" a="1"/>
  <c r="AR124" i="27" s="1"/>
  <c r="AR125" i="27" a="1"/>
  <c r="AR125" i="27" s="1"/>
  <c r="AR126" i="27" a="1"/>
  <c r="AR126" i="27" s="1"/>
  <c r="AR127" i="27" a="1"/>
  <c r="AR127" i="27" s="1"/>
  <c r="AR128" i="27" a="1"/>
  <c r="AR128" i="27" s="1"/>
  <c r="AR129" i="27" a="1"/>
  <c r="AR129" i="27" s="1"/>
  <c r="AR130" i="27" a="1"/>
  <c r="AR130" i="27" s="1"/>
  <c r="AR131" i="27" a="1"/>
  <c r="AR131" i="27" s="1"/>
  <c r="AR132" i="27" a="1"/>
  <c r="AR132" i="27" s="1"/>
  <c r="AR133" i="27" a="1"/>
  <c r="AR133" i="27" s="1"/>
  <c r="AR134" i="27" a="1"/>
  <c r="AR134" i="27" s="1"/>
  <c r="AR135" i="27" a="1"/>
  <c r="AR135" i="27" s="1"/>
  <c r="AR109" i="27" a="1"/>
  <c r="AR109" i="27" s="1"/>
  <c r="AR110" i="27" a="1"/>
  <c r="AR110" i="27" s="1"/>
  <c r="AR137" i="27" a="1"/>
  <c r="AR137" i="27" s="1"/>
  <c r="AR138" i="27" a="1"/>
  <c r="AR138" i="27" s="1"/>
  <c r="AR139" i="27" a="1"/>
  <c r="AR139" i="27" s="1"/>
  <c r="AR140" i="27" a="1"/>
  <c r="AR140" i="27" s="1"/>
  <c r="AR136" i="27" a="1"/>
  <c r="AR136" i="27" s="1"/>
  <c r="AT7" i="27" a="1"/>
  <c r="AT7" i="27" s="1"/>
  <c r="AT11" i="27" a="1"/>
  <c r="AT11" i="27" s="1"/>
  <c r="AT15" i="27" a="1"/>
  <c r="AT15" i="27" s="1"/>
  <c r="AT19" i="27" a="1"/>
  <c r="AT19" i="27" s="1"/>
  <c r="AT10" i="27" a="1"/>
  <c r="AT10" i="27" s="1"/>
  <c r="AT14" i="27" a="1"/>
  <c r="AT14" i="27" s="1"/>
  <c r="AT18" i="27" a="1"/>
  <c r="AT18" i="27" s="1"/>
  <c r="AT9" i="27" a="1"/>
  <c r="AT9" i="27" s="1"/>
  <c r="AT13" i="27" a="1"/>
  <c r="AT13" i="27" s="1"/>
  <c r="AT17" i="27" a="1"/>
  <c r="AT17" i="27" s="1"/>
  <c r="AT8" i="27" a="1"/>
  <c r="AT8" i="27" s="1"/>
  <c r="AT12" i="27" a="1"/>
  <c r="AT12" i="27" s="1"/>
  <c r="AT16" i="27" a="1"/>
  <c r="AT16" i="27" s="1"/>
  <c r="AT20" i="27" a="1"/>
  <c r="AT20" i="27" s="1"/>
  <c r="AT22" i="27" a="1"/>
  <c r="AT22" i="27" s="1"/>
  <c r="AT24" i="27" a="1"/>
  <c r="AT24" i="27" s="1"/>
  <c r="AT21" i="27" a="1"/>
  <c r="AT21" i="27" s="1"/>
  <c r="AT23" i="27" a="1"/>
  <c r="AT23" i="27" s="1"/>
  <c r="AT25" i="27" a="1"/>
  <c r="AT25" i="27" s="1"/>
  <c r="AT26" i="27" a="1"/>
  <c r="AT26" i="27" s="1"/>
  <c r="AT27" i="27" a="1"/>
  <c r="AT27" i="27" s="1"/>
  <c r="AT28" i="27" a="1"/>
  <c r="AT28" i="27" s="1"/>
  <c r="AT29" i="27" a="1"/>
  <c r="AT29" i="27" s="1"/>
  <c r="AT30" i="27" a="1"/>
  <c r="AT30" i="27" s="1"/>
  <c r="AT31" i="27" a="1"/>
  <c r="AT31" i="27" s="1"/>
  <c r="AT32" i="27" a="1"/>
  <c r="AT32" i="27" s="1"/>
  <c r="AT33" i="27" a="1"/>
  <c r="AT33" i="27" s="1"/>
  <c r="AT34" i="27" a="1"/>
  <c r="AT34" i="27" s="1"/>
  <c r="AT35" i="27" a="1"/>
  <c r="AT35" i="27" s="1"/>
  <c r="AT36" i="27" a="1"/>
  <c r="AT36" i="27" s="1"/>
  <c r="AT37" i="27" a="1"/>
  <c r="AT37" i="27" s="1"/>
  <c r="AT38" i="27" a="1"/>
  <c r="AT38" i="27" s="1"/>
  <c r="AT39" i="27" a="1"/>
  <c r="AT39" i="27" s="1"/>
  <c r="AT40" i="27" a="1"/>
  <c r="AT40" i="27" s="1"/>
  <c r="AT41" i="27" a="1"/>
  <c r="AT41" i="27" s="1"/>
  <c r="AT42" i="27" a="1"/>
  <c r="AT42" i="27" s="1"/>
  <c r="AT43" i="27" a="1"/>
  <c r="AT43" i="27" s="1"/>
  <c r="AT44" i="27" a="1"/>
  <c r="AT44" i="27" s="1"/>
  <c r="AT45" i="27" a="1"/>
  <c r="AT45" i="27" s="1"/>
  <c r="AT46" i="27" a="1"/>
  <c r="AT46" i="27" s="1"/>
  <c r="AT47" i="27" a="1"/>
  <c r="AT47" i="27" s="1"/>
  <c r="AT48" i="27" a="1"/>
  <c r="AT48" i="27" s="1"/>
  <c r="AT49" i="27" a="1"/>
  <c r="AT49" i="27" s="1"/>
  <c r="AT50" i="27" a="1"/>
  <c r="AT50" i="27" s="1"/>
  <c r="AT51" i="27" a="1"/>
  <c r="AT51" i="27" s="1"/>
  <c r="AT52" i="27" a="1"/>
  <c r="AT52" i="27" s="1"/>
  <c r="AT53" i="27" a="1"/>
  <c r="AT53" i="27" s="1"/>
  <c r="AT54" i="27" a="1"/>
  <c r="AT54" i="27" s="1"/>
  <c r="AT55" i="27" a="1"/>
  <c r="AT55" i="27" s="1"/>
  <c r="AT56" i="27" a="1"/>
  <c r="AT56" i="27" s="1"/>
  <c r="AT57" i="27" a="1"/>
  <c r="AT57" i="27" s="1"/>
  <c r="AT58" i="27" a="1"/>
  <c r="AT58" i="27" s="1"/>
  <c r="AT59" i="27" a="1"/>
  <c r="AT59" i="27" s="1"/>
  <c r="AT60" i="27" a="1"/>
  <c r="AT60" i="27" s="1"/>
  <c r="AT61" i="27" a="1"/>
  <c r="AT61" i="27" s="1"/>
  <c r="AT62" i="27" a="1"/>
  <c r="AT62" i="27" s="1"/>
  <c r="AT63" i="27" a="1"/>
  <c r="AT63" i="27" s="1"/>
  <c r="AT64" i="27" a="1"/>
  <c r="AT64" i="27" s="1"/>
  <c r="AT65" i="27" a="1"/>
  <c r="AT65" i="27" s="1"/>
  <c r="AT66" i="27" a="1"/>
  <c r="AT66" i="27" s="1"/>
  <c r="AT67" i="27" a="1"/>
  <c r="AT67" i="27" s="1"/>
  <c r="AT68" i="27" a="1"/>
  <c r="AT68" i="27" s="1"/>
  <c r="AT69" i="27" a="1"/>
  <c r="AT69" i="27" s="1"/>
  <c r="AT70" i="27" a="1"/>
  <c r="AT70" i="27" s="1"/>
  <c r="AT71" i="27" a="1"/>
  <c r="AT71" i="27" s="1"/>
  <c r="AT72" i="27" a="1"/>
  <c r="AT72" i="27" s="1"/>
  <c r="AT73" i="27" a="1"/>
  <c r="AT73" i="27" s="1"/>
  <c r="AT74" i="27" a="1"/>
  <c r="AT74" i="27" s="1"/>
  <c r="AT75" i="27" a="1"/>
  <c r="AT75" i="27" s="1"/>
  <c r="AT76" i="27" a="1"/>
  <c r="AT76" i="27" s="1"/>
  <c r="AT77" i="27" a="1"/>
  <c r="AT77" i="27" s="1"/>
  <c r="AT84" i="27" a="1"/>
  <c r="AT84" i="27" s="1"/>
  <c r="AT85" i="27" a="1"/>
  <c r="AT85" i="27" s="1"/>
  <c r="AT78" i="27" a="1"/>
  <c r="AT78" i="27" s="1"/>
  <c r="AT79" i="27" a="1"/>
  <c r="AT79" i="27" s="1"/>
  <c r="AT80" i="27" a="1"/>
  <c r="AT80" i="27" s="1"/>
  <c r="AT81" i="27" a="1"/>
  <c r="AT81" i="27" s="1"/>
  <c r="AT82" i="27" a="1"/>
  <c r="AT82" i="27" s="1"/>
  <c r="AT83" i="27" a="1"/>
  <c r="AT83" i="27" s="1"/>
  <c r="AT6" i="27" a="1"/>
  <c r="AT6" i="27" s="1"/>
  <c r="AT86" i="27" a="1"/>
  <c r="AT86" i="27" s="1"/>
  <c r="AT87" i="27" a="1"/>
  <c r="AT87" i="27" s="1"/>
  <c r="AT88" i="27" a="1"/>
  <c r="AT88" i="27" s="1"/>
  <c r="AT89" i="27" a="1"/>
  <c r="AT89" i="27" s="1"/>
  <c r="AT90" i="27" a="1"/>
  <c r="AT90" i="27" s="1"/>
  <c r="AT91" i="27" a="1"/>
  <c r="AT91" i="27" s="1"/>
  <c r="AT92" i="27" a="1"/>
  <c r="AT92" i="27" s="1"/>
  <c r="AT93" i="27" a="1"/>
  <c r="AT93" i="27" s="1"/>
  <c r="AT94" i="27" a="1"/>
  <c r="AT94" i="27" s="1"/>
  <c r="AT95" i="27" a="1"/>
  <c r="AT95" i="27" s="1"/>
  <c r="AT96" i="27" a="1"/>
  <c r="AT96" i="27" s="1"/>
  <c r="AT97" i="27" a="1"/>
  <c r="AT97" i="27" s="1"/>
  <c r="AT98" i="27" a="1"/>
  <c r="AT98" i="27" s="1"/>
  <c r="AT99" i="27" a="1"/>
  <c r="AT99" i="27" s="1"/>
  <c r="AT100" i="27" a="1"/>
  <c r="AT100" i="27" s="1"/>
  <c r="AT101" i="27" a="1"/>
  <c r="AT101" i="27" s="1"/>
  <c r="AT102" i="27" a="1"/>
  <c r="AT102" i="27" s="1"/>
  <c r="AT103" i="27" a="1"/>
  <c r="AT103" i="27" s="1"/>
  <c r="AT104" i="27" a="1"/>
  <c r="AT104" i="27" s="1"/>
  <c r="AT105" i="27" a="1"/>
  <c r="AT105" i="27" s="1"/>
  <c r="AT106" i="27" a="1"/>
  <c r="AT106" i="27" s="1"/>
  <c r="AT107" i="27" a="1"/>
  <c r="AT107" i="27" s="1"/>
  <c r="AT108" i="27" a="1"/>
  <c r="AT108" i="27" s="1"/>
  <c r="AT109" i="27" a="1"/>
  <c r="AT109" i="27" s="1"/>
  <c r="AT110" i="27" a="1"/>
  <c r="AT110" i="27" s="1"/>
  <c r="AT111" i="27" a="1"/>
  <c r="AT111" i="27" s="1"/>
  <c r="AT112" i="27" a="1"/>
  <c r="AT112" i="27" s="1"/>
  <c r="AT113" i="27" a="1"/>
  <c r="AT113" i="27" s="1"/>
  <c r="AT114" i="27" a="1"/>
  <c r="AT114" i="27" s="1"/>
  <c r="AT115" i="27" a="1"/>
  <c r="AT115" i="27" s="1"/>
  <c r="AT116" i="27" a="1"/>
  <c r="AT116" i="27" s="1"/>
  <c r="AT117" i="27" a="1"/>
  <c r="AT117" i="27" s="1"/>
  <c r="AT118" i="27" a="1"/>
  <c r="AT118" i="27" s="1"/>
  <c r="AT119" i="27" a="1"/>
  <c r="AT119" i="27" s="1"/>
  <c r="AT120" i="27" a="1"/>
  <c r="AT120" i="27" s="1"/>
  <c r="AT121" i="27" a="1"/>
  <c r="AT121" i="27" s="1"/>
  <c r="AT122" i="27" a="1"/>
  <c r="AT122" i="27" s="1"/>
  <c r="AT123" i="27" a="1"/>
  <c r="AT123" i="27" s="1"/>
  <c r="AT124" i="27" a="1"/>
  <c r="AT124" i="27" s="1"/>
  <c r="AT125" i="27" a="1"/>
  <c r="AT125" i="27" s="1"/>
  <c r="AT126" i="27" a="1"/>
  <c r="AT126" i="27" s="1"/>
  <c r="AT127" i="27" a="1"/>
  <c r="AT127" i="27" s="1"/>
  <c r="AT128" i="27" a="1"/>
  <c r="AT128" i="27" s="1"/>
  <c r="AT129" i="27" a="1"/>
  <c r="AT129" i="27" s="1"/>
  <c r="AT130" i="27" a="1"/>
  <c r="AT130" i="27" s="1"/>
  <c r="AT131" i="27" a="1"/>
  <c r="AT131" i="27" s="1"/>
  <c r="AT132" i="27" a="1"/>
  <c r="AT132" i="27" s="1"/>
  <c r="AT133" i="27" a="1"/>
  <c r="AT133" i="27" s="1"/>
  <c r="AT134" i="27" a="1"/>
  <c r="AT134" i="27" s="1"/>
  <c r="AT135" i="27" a="1"/>
  <c r="AT135" i="27" s="1"/>
  <c r="AT136" i="27" a="1"/>
  <c r="AT136" i="27" s="1"/>
  <c r="AT137" i="27" a="1"/>
  <c r="AT137" i="27" s="1"/>
  <c r="AT138" i="27" a="1"/>
  <c r="AT138" i="27" s="1"/>
  <c r="AT139" i="27" a="1"/>
  <c r="AT139" i="27" s="1"/>
  <c r="AT140" i="27" a="1"/>
  <c r="AT140" i="27" s="1"/>
  <c r="AM10" i="27" a="1"/>
  <c r="AM10" i="27" s="1"/>
  <c r="AM14" i="27" a="1"/>
  <c r="AM14" i="27" s="1"/>
  <c r="AM18" i="27" a="1"/>
  <c r="AM18" i="27" s="1"/>
  <c r="AM9" i="27" a="1"/>
  <c r="AM9" i="27" s="1"/>
  <c r="AM13" i="27" a="1"/>
  <c r="AM13" i="27" s="1"/>
  <c r="AM17" i="27" a="1"/>
  <c r="AM17" i="27" s="1"/>
  <c r="AM8" i="27" a="1"/>
  <c r="AM8" i="27" s="1"/>
  <c r="AM12" i="27" a="1"/>
  <c r="AM12" i="27" s="1"/>
  <c r="AM16" i="27" a="1"/>
  <c r="AM16" i="27" s="1"/>
  <c r="AM20" i="27" a="1"/>
  <c r="AM20" i="27" s="1"/>
  <c r="AM21" i="27" a="1"/>
  <c r="AM21" i="27" s="1"/>
  <c r="AM7" i="27" a="1"/>
  <c r="AM7" i="27" s="1"/>
  <c r="AM11" i="27" a="1"/>
  <c r="AM11" i="27" s="1"/>
  <c r="AM15" i="27" a="1"/>
  <c r="AM15" i="27" s="1"/>
  <c r="AM19" i="27" a="1"/>
  <c r="AM19" i="27" s="1"/>
  <c r="AM23" i="27" a="1"/>
  <c r="AM23" i="27" s="1"/>
  <c r="AM25" i="27" a="1"/>
  <c r="AM25" i="27" s="1"/>
  <c r="AM27" i="27" a="1"/>
  <c r="AM27" i="27" s="1"/>
  <c r="AM22" i="27" a="1"/>
  <c r="AM22" i="27" s="1"/>
  <c r="AM24" i="27" a="1"/>
  <c r="AM24" i="27" s="1"/>
  <c r="AM26" i="27" a="1"/>
  <c r="AM26" i="27" s="1"/>
  <c r="AM28" i="27" a="1"/>
  <c r="AM28" i="27" s="1"/>
  <c r="AM29" i="27" a="1"/>
  <c r="AM29" i="27" s="1"/>
  <c r="AM30" i="27" a="1"/>
  <c r="AM30" i="27" s="1"/>
  <c r="AM31" i="27" a="1"/>
  <c r="AM31" i="27" s="1"/>
  <c r="AM32" i="27" a="1"/>
  <c r="AM32" i="27" s="1"/>
  <c r="AM33" i="27" a="1"/>
  <c r="AM33" i="27" s="1"/>
  <c r="AM34" i="27" a="1"/>
  <c r="AM34" i="27" s="1"/>
  <c r="AM35" i="27" a="1"/>
  <c r="AM35" i="27" s="1"/>
  <c r="AM36" i="27" a="1"/>
  <c r="AM36" i="27" s="1"/>
  <c r="AM37" i="27" a="1"/>
  <c r="AM37" i="27" s="1"/>
  <c r="AM38" i="27" a="1"/>
  <c r="AM38" i="27" s="1"/>
  <c r="AM39" i="27" a="1"/>
  <c r="AM39" i="27" s="1"/>
  <c r="AM40" i="27" a="1"/>
  <c r="AM40" i="27" s="1"/>
  <c r="AM41" i="27" a="1"/>
  <c r="AM41" i="27" s="1"/>
  <c r="AM42" i="27" a="1"/>
  <c r="AM42" i="27" s="1"/>
  <c r="AM43" i="27" a="1"/>
  <c r="AM43" i="27" s="1"/>
  <c r="AM44" i="27" a="1"/>
  <c r="AM44" i="27" s="1"/>
  <c r="AM45" i="27" a="1"/>
  <c r="AM45" i="27" s="1"/>
  <c r="AM46" i="27" a="1"/>
  <c r="AM46" i="27" s="1"/>
  <c r="AM47" i="27" a="1"/>
  <c r="AM47" i="27" s="1"/>
  <c r="AM48" i="27" a="1"/>
  <c r="AM48" i="27" s="1"/>
  <c r="AM49" i="27" a="1"/>
  <c r="AM49" i="27" s="1"/>
  <c r="AM50" i="27" a="1"/>
  <c r="AM50" i="27" s="1"/>
  <c r="AM51" i="27" a="1"/>
  <c r="AM51" i="27" s="1"/>
  <c r="AM52" i="27" a="1"/>
  <c r="AM52" i="27" s="1"/>
  <c r="AM53" i="27" a="1"/>
  <c r="AM53" i="27" s="1"/>
  <c r="AM54" i="27" a="1"/>
  <c r="AM54" i="27" s="1"/>
  <c r="AM55" i="27" a="1"/>
  <c r="AM55" i="27" s="1"/>
  <c r="AM56" i="27" a="1"/>
  <c r="AM56" i="27" s="1"/>
  <c r="AM57" i="27" a="1"/>
  <c r="AM57" i="27" s="1"/>
  <c r="AM58" i="27" a="1"/>
  <c r="AM58" i="27" s="1"/>
  <c r="AM59" i="27" a="1"/>
  <c r="AM59" i="27" s="1"/>
  <c r="AM60" i="27" a="1"/>
  <c r="AM60" i="27" s="1"/>
  <c r="AM61" i="27" a="1"/>
  <c r="AM61" i="27" s="1"/>
  <c r="AM62" i="27" a="1"/>
  <c r="AM62" i="27" s="1"/>
  <c r="AM63" i="27" a="1"/>
  <c r="AM63" i="27" s="1"/>
  <c r="AM64" i="27" a="1"/>
  <c r="AM64" i="27" s="1"/>
  <c r="AM65" i="27" a="1"/>
  <c r="AM65" i="27" s="1"/>
  <c r="AM66" i="27" a="1"/>
  <c r="AM66" i="27" s="1"/>
  <c r="AM67" i="27" a="1"/>
  <c r="AM67" i="27" s="1"/>
  <c r="AM68" i="27" a="1"/>
  <c r="AM68" i="27" s="1"/>
  <c r="AM69" i="27" a="1"/>
  <c r="AM69" i="27" s="1"/>
  <c r="AM70" i="27" a="1"/>
  <c r="AM70" i="27" s="1"/>
  <c r="AM71" i="27" a="1"/>
  <c r="AM71" i="27" s="1"/>
  <c r="AM72" i="27" a="1"/>
  <c r="AM72" i="27" s="1"/>
  <c r="AM73" i="27" a="1"/>
  <c r="AM73" i="27" s="1"/>
  <c r="AM74" i="27" a="1"/>
  <c r="AM74" i="27" s="1"/>
  <c r="AM75" i="27" a="1"/>
  <c r="AM75" i="27" s="1"/>
  <c r="AM76" i="27" a="1"/>
  <c r="AM76" i="27" s="1"/>
  <c r="AM77" i="27" a="1"/>
  <c r="AM77" i="27" s="1"/>
  <c r="AM78" i="27" a="1"/>
  <c r="AM78" i="27" s="1"/>
  <c r="AM84" i="27" a="1"/>
  <c r="AM84" i="27" s="1"/>
  <c r="AM85" i="27" a="1"/>
  <c r="AM85" i="27" s="1"/>
  <c r="AM79" i="27" a="1"/>
  <c r="AM79" i="27" s="1"/>
  <c r="AM80" i="27" a="1"/>
  <c r="AM80" i="27" s="1"/>
  <c r="AM81" i="27" a="1"/>
  <c r="AM81" i="27" s="1"/>
  <c r="AM82" i="27" a="1"/>
  <c r="AM82" i="27" s="1"/>
  <c r="AM83" i="27" a="1"/>
  <c r="AM83" i="27" s="1"/>
  <c r="AM110" i="27" a="1"/>
  <c r="AM110" i="27" s="1"/>
  <c r="AM111" i="27" a="1"/>
  <c r="AM111" i="27" s="1"/>
  <c r="AM112" i="27" a="1"/>
  <c r="AM112" i="27" s="1"/>
  <c r="AM113" i="27" a="1"/>
  <c r="AM113" i="27" s="1"/>
  <c r="AM114" i="27" a="1"/>
  <c r="AM114" i="27" s="1"/>
  <c r="AM115" i="27" a="1"/>
  <c r="AM115" i="27" s="1"/>
  <c r="AM116" i="27" a="1"/>
  <c r="AM116" i="27" s="1"/>
  <c r="AM117" i="27" a="1"/>
  <c r="AM117" i="27" s="1"/>
  <c r="AM118" i="27" a="1"/>
  <c r="AM118" i="27" s="1"/>
  <c r="AM119" i="27" a="1"/>
  <c r="AM119" i="27" s="1"/>
  <c r="AM120" i="27" a="1"/>
  <c r="AM120" i="27" s="1"/>
  <c r="AM121" i="27" a="1"/>
  <c r="AM121" i="27" s="1"/>
  <c r="AM122" i="27" a="1"/>
  <c r="AM122" i="27" s="1"/>
  <c r="AM123" i="27" a="1"/>
  <c r="AM123" i="27" s="1"/>
  <c r="AM124" i="27" a="1"/>
  <c r="AM124" i="27" s="1"/>
  <c r="AM125" i="27" a="1"/>
  <c r="AM125" i="27" s="1"/>
  <c r="AM126" i="27" a="1"/>
  <c r="AM126" i="27" s="1"/>
  <c r="AM127" i="27" a="1"/>
  <c r="AM127" i="27" s="1"/>
  <c r="AM128" i="27" a="1"/>
  <c r="AM128" i="27" s="1"/>
  <c r="AM129" i="27" a="1"/>
  <c r="AM129" i="27" s="1"/>
  <c r="AM130" i="27" a="1"/>
  <c r="AM130" i="27" s="1"/>
  <c r="AM131" i="27" a="1"/>
  <c r="AM131" i="27" s="1"/>
  <c r="AM132" i="27" a="1"/>
  <c r="AM132" i="27" s="1"/>
  <c r="AM133" i="27" a="1"/>
  <c r="AM133" i="27" s="1"/>
  <c r="AM134" i="27" a="1"/>
  <c r="AM134" i="27" s="1"/>
  <c r="AM135" i="27" a="1"/>
  <c r="AM135" i="27" s="1"/>
  <c r="AM136" i="27" a="1"/>
  <c r="AM136" i="27" s="1"/>
  <c r="AM86" i="27" a="1"/>
  <c r="AM86" i="27" s="1"/>
  <c r="AM87" i="27" a="1"/>
  <c r="AM87" i="27" s="1"/>
  <c r="AM88" i="27" a="1"/>
  <c r="AM88" i="27" s="1"/>
  <c r="AM89" i="27" a="1"/>
  <c r="AM89" i="27" s="1"/>
  <c r="AM90" i="27" a="1"/>
  <c r="AM90" i="27" s="1"/>
  <c r="AM91" i="27" a="1"/>
  <c r="AM91" i="27" s="1"/>
  <c r="AM92" i="27" a="1"/>
  <c r="AM92" i="27" s="1"/>
  <c r="AM93" i="27" a="1"/>
  <c r="AM93" i="27" s="1"/>
  <c r="AM94" i="27" a="1"/>
  <c r="AM94" i="27" s="1"/>
  <c r="AM95" i="27" a="1"/>
  <c r="AM95" i="27" s="1"/>
  <c r="AM96" i="27" a="1"/>
  <c r="AM96" i="27" s="1"/>
  <c r="AM97" i="27" a="1"/>
  <c r="AM97" i="27" s="1"/>
  <c r="AM98" i="27" a="1"/>
  <c r="AM98" i="27" s="1"/>
  <c r="AM99" i="27" a="1"/>
  <c r="AM99" i="27" s="1"/>
  <c r="AM100" i="27" a="1"/>
  <c r="AM100" i="27" s="1"/>
  <c r="AM101" i="27" a="1"/>
  <c r="AM101" i="27" s="1"/>
  <c r="AM102" i="27" a="1"/>
  <c r="AM102" i="27" s="1"/>
  <c r="AM103" i="27" a="1"/>
  <c r="AM103" i="27" s="1"/>
  <c r="AM104" i="27" a="1"/>
  <c r="AM104" i="27" s="1"/>
  <c r="AM105" i="27" a="1"/>
  <c r="AM105" i="27" s="1"/>
  <c r="AM106" i="27" a="1"/>
  <c r="AM106" i="27" s="1"/>
  <c r="AM107" i="27" a="1"/>
  <c r="AM107" i="27" s="1"/>
  <c r="AM108" i="27" a="1"/>
  <c r="AM108" i="27" s="1"/>
  <c r="AM109" i="27" a="1"/>
  <c r="AM109" i="27" s="1"/>
  <c r="AM137" i="27" a="1"/>
  <c r="AM137" i="27" s="1"/>
  <c r="AM138" i="27" a="1"/>
  <c r="AM138" i="27" s="1"/>
  <c r="AM139" i="27" a="1"/>
  <c r="AM139" i="27" s="1"/>
  <c r="AM140" i="27" a="1"/>
  <c r="AM140" i="27" s="1"/>
  <c r="AM6" i="27" a="1"/>
  <c r="AM6" i="27" s="1"/>
  <c r="AK10" i="27" a="1"/>
  <c r="AK10" i="27" s="1"/>
  <c r="AK114" i="27" a="1"/>
  <c r="AK114" i="27" s="1"/>
  <c r="AN7" i="27" a="1"/>
  <c r="AN7" i="27" s="1"/>
  <c r="AN11" i="27" a="1"/>
  <c r="AN11" i="27" s="1"/>
  <c r="AN15" i="27" a="1"/>
  <c r="AN15" i="27" s="1"/>
  <c r="AN19" i="27" a="1"/>
  <c r="AN19" i="27" s="1"/>
  <c r="AN21" i="27" a="1"/>
  <c r="AN21" i="27" s="1"/>
  <c r="AN10" i="27" a="1"/>
  <c r="AN10" i="27" s="1"/>
  <c r="AN14" i="27" a="1"/>
  <c r="AN14" i="27" s="1"/>
  <c r="AN18" i="27" a="1"/>
  <c r="AN18" i="27" s="1"/>
  <c r="AN9" i="27" a="1"/>
  <c r="AN9" i="27" s="1"/>
  <c r="AN13" i="27" a="1"/>
  <c r="AN13" i="27" s="1"/>
  <c r="AN17" i="27" a="1"/>
  <c r="AN17" i="27" s="1"/>
  <c r="AN8" i="27" a="1"/>
  <c r="AN8" i="27" s="1"/>
  <c r="AN12" i="27" a="1"/>
  <c r="AN12" i="27" s="1"/>
  <c r="AN16" i="27" a="1"/>
  <c r="AN16" i="27" s="1"/>
  <c r="AN20" i="27" a="1"/>
  <c r="AN20" i="27" s="1"/>
  <c r="AN23" i="27" a="1"/>
  <c r="AN23" i="27" s="1"/>
  <c r="AN25" i="27" a="1"/>
  <c r="AN25" i="27" s="1"/>
  <c r="AN22" i="27" a="1"/>
  <c r="AN22" i="27" s="1"/>
  <c r="AN24" i="27" a="1"/>
  <c r="AN24" i="27" s="1"/>
  <c r="AN26" i="27" a="1"/>
  <c r="AN26" i="27" s="1"/>
  <c r="AN27" i="27" a="1"/>
  <c r="AN27" i="27" s="1"/>
  <c r="AN37" i="27" a="1"/>
  <c r="AN37" i="27" s="1"/>
  <c r="AN38" i="27" a="1"/>
  <c r="AN38" i="27" s="1"/>
  <c r="AN28" i="27" a="1"/>
  <c r="AN28" i="27" s="1"/>
  <c r="AN29" i="27" a="1"/>
  <c r="AN29" i="27" s="1"/>
  <c r="AN30" i="27" a="1"/>
  <c r="AN30" i="27" s="1"/>
  <c r="AN31" i="27" a="1"/>
  <c r="AN31" i="27" s="1"/>
  <c r="AN32" i="27" a="1"/>
  <c r="AN32" i="27" s="1"/>
  <c r="AN33" i="27" a="1"/>
  <c r="AN33" i="27" s="1"/>
  <c r="AN34" i="27" a="1"/>
  <c r="AN34" i="27" s="1"/>
  <c r="AN35" i="27" a="1"/>
  <c r="AN35" i="27" s="1"/>
  <c r="AN36" i="27" a="1"/>
  <c r="AN36" i="27" s="1"/>
  <c r="AN61" i="27" a="1"/>
  <c r="AN61" i="27" s="1"/>
  <c r="AN39" i="27" a="1"/>
  <c r="AN39" i="27" s="1"/>
  <c r="AN40" i="27" a="1"/>
  <c r="AN40" i="27" s="1"/>
  <c r="AN41" i="27" a="1"/>
  <c r="AN41" i="27" s="1"/>
  <c r="AN42" i="27" a="1"/>
  <c r="AN42" i="27" s="1"/>
  <c r="AN43" i="27" a="1"/>
  <c r="AN43" i="27" s="1"/>
  <c r="AN44" i="27" a="1"/>
  <c r="AN44" i="27" s="1"/>
  <c r="AN45" i="27" a="1"/>
  <c r="AN45" i="27" s="1"/>
  <c r="AN46" i="27" a="1"/>
  <c r="AN46" i="27" s="1"/>
  <c r="AN47" i="27" a="1"/>
  <c r="AN47" i="27" s="1"/>
  <c r="AN48" i="27" a="1"/>
  <c r="AN48" i="27" s="1"/>
  <c r="AN49" i="27" a="1"/>
  <c r="AN49" i="27" s="1"/>
  <c r="AN50" i="27" a="1"/>
  <c r="AN50" i="27" s="1"/>
  <c r="AN51" i="27" a="1"/>
  <c r="AN51" i="27" s="1"/>
  <c r="AN52" i="27" a="1"/>
  <c r="AN52" i="27" s="1"/>
  <c r="AN53" i="27" a="1"/>
  <c r="AN53" i="27" s="1"/>
  <c r="AN54" i="27" a="1"/>
  <c r="AN54" i="27" s="1"/>
  <c r="AN55" i="27" a="1"/>
  <c r="AN55" i="27" s="1"/>
  <c r="AN56" i="27" a="1"/>
  <c r="AN56" i="27" s="1"/>
  <c r="AN57" i="27" a="1"/>
  <c r="AN57" i="27" s="1"/>
  <c r="AN58" i="27" a="1"/>
  <c r="AN58" i="27" s="1"/>
  <c r="AN59" i="27" a="1"/>
  <c r="AN59" i="27" s="1"/>
  <c r="AN60" i="27" a="1"/>
  <c r="AN60" i="27" s="1"/>
  <c r="AN78" i="27" a="1"/>
  <c r="AN78" i="27" s="1"/>
  <c r="AN62" i="27" a="1"/>
  <c r="AN62" i="27" s="1"/>
  <c r="AN63" i="27" a="1"/>
  <c r="AN63" i="27" s="1"/>
  <c r="AN64" i="27" a="1"/>
  <c r="AN64" i="27" s="1"/>
  <c r="AN65" i="27" a="1"/>
  <c r="AN65" i="27" s="1"/>
  <c r="AN66" i="27" a="1"/>
  <c r="AN66" i="27" s="1"/>
  <c r="AN67" i="27" a="1"/>
  <c r="AN67" i="27" s="1"/>
  <c r="AN68" i="27" a="1"/>
  <c r="AN68" i="27" s="1"/>
  <c r="AN69" i="27" a="1"/>
  <c r="AN69" i="27" s="1"/>
  <c r="AN70" i="27" a="1"/>
  <c r="AN70" i="27" s="1"/>
  <c r="AN71" i="27" a="1"/>
  <c r="AN71" i="27" s="1"/>
  <c r="AN72" i="27" a="1"/>
  <c r="AN72" i="27" s="1"/>
  <c r="AN73" i="27" a="1"/>
  <c r="AN73" i="27" s="1"/>
  <c r="AN74" i="27" a="1"/>
  <c r="AN74" i="27" s="1"/>
  <c r="AN75" i="27" a="1"/>
  <c r="AN75" i="27" s="1"/>
  <c r="AN76" i="27" a="1"/>
  <c r="AN76" i="27" s="1"/>
  <c r="AN77" i="27" a="1"/>
  <c r="AN77" i="27" s="1"/>
  <c r="AN79" i="27" a="1"/>
  <c r="AN79" i="27" s="1"/>
  <c r="AN80" i="27" a="1"/>
  <c r="AN80" i="27" s="1"/>
  <c r="AN81" i="27" a="1"/>
  <c r="AN81" i="27" s="1"/>
  <c r="AN82" i="27" a="1"/>
  <c r="AN82" i="27" s="1"/>
  <c r="AN84" i="27" a="1"/>
  <c r="AN84" i="27" s="1"/>
  <c r="AN85" i="27" a="1"/>
  <c r="AN85" i="27" s="1"/>
  <c r="AN83" i="27" a="1"/>
  <c r="AN83" i="27" s="1"/>
  <c r="AN86" i="27" a="1"/>
  <c r="AN86" i="27" s="1"/>
  <c r="AN87" i="27" a="1"/>
  <c r="AN87" i="27" s="1"/>
  <c r="AN88" i="27" a="1"/>
  <c r="AN88" i="27" s="1"/>
  <c r="AN89" i="27" a="1"/>
  <c r="AN89" i="27" s="1"/>
  <c r="AN90" i="27" a="1"/>
  <c r="AN90" i="27" s="1"/>
  <c r="AN91" i="27" a="1"/>
  <c r="AN91" i="27" s="1"/>
  <c r="AN92" i="27" a="1"/>
  <c r="AN92" i="27" s="1"/>
  <c r="AN93" i="27" a="1"/>
  <c r="AN93" i="27" s="1"/>
  <c r="AN94" i="27" a="1"/>
  <c r="AN94" i="27" s="1"/>
  <c r="AN95" i="27" a="1"/>
  <c r="AN95" i="27" s="1"/>
  <c r="AN96" i="27" a="1"/>
  <c r="AN96" i="27" s="1"/>
  <c r="AN97" i="27" a="1"/>
  <c r="AN97" i="27" s="1"/>
  <c r="AN98" i="27" a="1"/>
  <c r="AN98" i="27" s="1"/>
  <c r="AN99" i="27" a="1"/>
  <c r="AN99" i="27" s="1"/>
  <c r="AN100" i="27" a="1"/>
  <c r="AN100" i="27" s="1"/>
  <c r="AN101" i="27" a="1"/>
  <c r="AN101" i="27" s="1"/>
  <c r="AN102" i="27" a="1"/>
  <c r="AN102" i="27" s="1"/>
  <c r="AN103" i="27" a="1"/>
  <c r="AN103" i="27" s="1"/>
  <c r="AN104" i="27" a="1"/>
  <c r="AN104" i="27" s="1"/>
  <c r="AN105" i="27" a="1"/>
  <c r="AN105" i="27" s="1"/>
  <c r="AN106" i="27" a="1"/>
  <c r="AN106" i="27" s="1"/>
  <c r="AN107" i="27" a="1"/>
  <c r="AN107" i="27" s="1"/>
  <c r="AN108" i="27" a="1"/>
  <c r="AN108" i="27" s="1"/>
  <c r="AN109" i="27" a="1"/>
  <c r="AN109" i="27" s="1"/>
  <c r="AN6" i="27" a="1"/>
  <c r="AN6" i="27" s="1"/>
  <c r="AN112" i="27" a="1"/>
  <c r="AN112" i="27" s="1"/>
  <c r="AN113" i="27" a="1"/>
  <c r="AN113" i="27" s="1"/>
  <c r="AN114" i="27" a="1"/>
  <c r="AN114" i="27" s="1"/>
  <c r="AN115" i="27" a="1"/>
  <c r="AN115" i="27" s="1"/>
  <c r="AN116" i="27" a="1"/>
  <c r="AN116" i="27" s="1"/>
  <c r="AN117" i="27" a="1"/>
  <c r="AN117" i="27" s="1"/>
  <c r="AN118" i="27" a="1"/>
  <c r="AN118" i="27" s="1"/>
  <c r="AN119" i="27" a="1"/>
  <c r="AN119" i="27" s="1"/>
  <c r="AN120" i="27" a="1"/>
  <c r="AN120" i="27" s="1"/>
  <c r="AN121" i="27" a="1"/>
  <c r="AN121" i="27" s="1"/>
  <c r="AN122" i="27" a="1"/>
  <c r="AN122" i="27" s="1"/>
  <c r="AN123" i="27" a="1"/>
  <c r="AN123" i="27" s="1"/>
  <c r="AN124" i="27" a="1"/>
  <c r="AN124" i="27" s="1"/>
  <c r="AN125" i="27" a="1"/>
  <c r="AN125" i="27" s="1"/>
  <c r="AN126" i="27" a="1"/>
  <c r="AN126" i="27" s="1"/>
  <c r="AN127" i="27" a="1"/>
  <c r="AN127" i="27" s="1"/>
  <c r="AN128" i="27" a="1"/>
  <c r="AN128" i="27" s="1"/>
  <c r="AN129" i="27" a="1"/>
  <c r="AN129" i="27" s="1"/>
  <c r="AN130" i="27" a="1"/>
  <c r="AN130" i="27" s="1"/>
  <c r="AN131" i="27" a="1"/>
  <c r="AN131" i="27" s="1"/>
  <c r="AN132" i="27" a="1"/>
  <c r="AN132" i="27" s="1"/>
  <c r="AN133" i="27" a="1"/>
  <c r="AN133" i="27" s="1"/>
  <c r="AN134" i="27" a="1"/>
  <c r="AN134" i="27" s="1"/>
  <c r="AN135" i="27" a="1"/>
  <c r="AN135" i="27" s="1"/>
  <c r="AN136" i="27" a="1"/>
  <c r="AN136" i="27" s="1"/>
  <c r="AN110" i="27" a="1"/>
  <c r="AN110" i="27" s="1"/>
  <c r="AN111" i="27" a="1"/>
  <c r="AN111" i="27" s="1"/>
  <c r="AN137" i="27" a="1"/>
  <c r="AN137" i="27" s="1"/>
  <c r="AN138" i="27" a="1"/>
  <c r="AN138" i="27" s="1"/>
  <c r="AN139" i="27" a="1"/>
  <c r="AN139" i="27" s="1"/>
  <c r="AN140" i="27" a="1"/>
  <c r="AN140" i="27" s="1"/>
  <c r="AP10" i="27" a="1"/>
  <c r="AP10" i="27" s="1"/>
  <c r="AP14" i="27" a="1"/>
  <c r="AP14" i="27" s="1"/>
  <c r="AP18" i="27" a="1"/>
  <c r="AP18" i="27" s="1"/>
  <c r="AP21" i="27" a="1"/>
  <c r="AP21" i="27" s="1"/>
  <c r="AP9" i="27" a="1"/>
  <c r="AP9" i="27" s="1"/>
  <c r="AP13" i="27" a="1"/>
  <c r="AP13" i="27" s="1"/>
  <c r="AP17" i="27" a="1"/>
  <c r="AP17" i="27" s="1"/>
  <c r="AP8" i="27" a="1"/>
  <c r="AP8" i="27" s="1"/>
  <c r="AP12" i="27" a="1"/>
  <c r="AP12" i="27" s="1"/>
  <c r="AP16" i="27" a="1"/>
  <c r="AP16" i="27" s="1"/>
  <c r="AP20" i="27" a="1"/>
  <c r="AP20" i="27" s="1"/>
  <c r="AP7" i="27" a="1"/>
  <c r="AP7" i="27" s="1"/>
  <c r="AP11" i="27" a="1"/>
  <c r="AP11" i="27" s="1"/>
  <c r="AP15" i="27" a="1"/>
  <c r="AP15" i="27" s="1"/>
  <c r="AP19" i="27" a="1"/>
  <c r="AP19" i="27" s="1"/>
  <c r="AP23" i="27" a="1"/>
  <c r="AP23" i="27" s="1"/>
  <c r="AP25" i="27" a="1"/>
  <c r="AP25" i="27" s="1"/>
  <c r="AP22" i="27" a="1"/>
  <c r="AP22" i="27" s="1"/>
  <c r="AP24" i="27" a="1"/>
  <c r="AP24" i="27" s="1"/>
  <c r="AP26" i="27" a="1"/>
  <c r="AP26" i="27" s="1"/>
  <c r="AP27" i="27" a="1"/>
  <c r="AP27" i="27" s="1"/>
  <c r="AP28" i="27" a="1"/>
  <c r="AP28" i="27" s="1"/>
  <c r="AP29" i="27" a="1"/>
  <c r="AP29" i="27" s="1"/>
  <c r="AP30" i="27" a="1"/>
  <c r="AP30" i="27" s="1"/>
  <c r="AP31" i="27" a="1"/>
  <c r="AP31" i="27" s="1"/>
  <c r="AP32" i="27" a="1"/>
  <c r="AP32" i="27" s="1"/>
  <c r="AP33" i="27" a="1"/>
  <c r="AP33" i="27" s="1"/>
  <c r="AP34" i="27" a="1"/>
  <c r="AP34" i="27" s="1"/>
  <c r="AP35" i="27" a="1"/>
  <c r="AP35" i="27" s="1"/>
  <c r="AP36" i="27" a="1"/>
  <c r="AP36" i="27" s="1"/>
  <c r="AP37" i="27" a="1"/>
  <c r="AP37" i="27" s="1"/>
  <c r="AP38" i="27" a="1"/>
  <c r="AP38" i="27" s="1"/>
  <c r="AP39" i="27" a="1"/>
  <c r="AP39" i="27" s="1"/>
  <c r="AP40" i="27" a="1"/>
  <c r="AP40" i="27" s="1"/>
  <c r="AP41" i="27" a="1"/>
  <c r="AP41" i="27" s="1"/>
  <c r="AP42" i="27" a="1"/>
  <c r="AP42" i="27" s="1"/>
  <c r="AP43" i="27" a="1"/>
  <c r="AP43" i="27" s="1"/>
  <c r="AP44" i="27" a="1"/>
  <c r="AP44" i="27" s="1"/>
  <c r="AP45" i="27" a="1"/>
  <c r="AP45" i="27" s="1"/>
  <c r="AP46" i="27" a="1"/>
  <c r="AP46" i="27" s="1"/>
  <c r="AP47" i="27" a="1"/>
  <c r="AP47" i="27" s="1"/>
  <c r="AP48" i="27" a="1"/>
  <c r="AP48" i="27" s="1"/>
  <c r="AP49" i="27" a="1"/>
  <c r="AP49" i="27" s="1"/>
  <c r="AP50" i="27" a="1"/>
  <c r="AP50" i="27" s="1"/>
  <c r="AP51" i="27" a="1"/>
  <c r="AP51" i="27" s="1"/>
  <c r="AP52" i="27" a="1"/>
  <c r="AP52" i="27" s="1"/>
  <c r="AP53" i="27" a="1"/>
  <c r="AP53" i="27" s="1"/>
  <c r="AP54" i="27" a="1"/>
  <c r="AP54" i="27" s="1"/>
  <c r="AP55" i="27" a="1"/>
  <c r="AP55" i="27" s="1"/>
  <c r="AP56" i="27" a="1"/>
  <c r="AP56" i="27" s="1"/>
  <c r="AP57" i="27" a="1"/>
  <c r="AP57" i="27" s="1"/>
  <c r="AP58" i="27" a="1"/>
  <c r="AP58" i="27" s="1"/>
  <c r="AP59" i="27" a="1"/>
  <c r="AP59" i="27" s="1"/>
  <c r="AP60" i="27" a="1"/>
  <c r="AP60" i="27" s="1"/>
  <c r="AP61" i="27" a="1"/>
  <c r="AP61" i="27" s="1"/>
  <c r="AP62" i="27" a="1"/>
  <c r="AP62" i="27" s="1"/>
  <c r="AP63" i="27" a="1"/>
  <c r="AP63" i="27" s="1"/>
  <c r="AP64" i="27" a="1"/>
  <c r="AP64" i="27" s="1"/>
  <c r="AP65" i="27" a="1"/>
  <c r="AP65" i="27" s="1"/>
  <c r="AP66" i="27" a="1"/>
  <c r="AP66" i="27" s="1"/>
  <c r="AP67" i="27" a="1"/>
  <c r="AP67" i="27" s="1"/>
  <c r="AP68" i="27" a="1"/>
  <c r="AP68" i="27" s="1"/>
  <c r="AP69" i="27" a="1"/>
  <c r="AP69" i="27" s="1"/>
  <c r="AP70" i="27" a="1"/>
  <c r="AP70" i="27" s="1"/>
  <c r="AP71" i="27" a="1"/>
  <c r="AP71" i="27" s="1"/>
  <c r="AP72" i="27" a="1"/>
  <c r="AP72" i="27" s="1"/>
  <c r="AP73" i="27" a="1"/>
  <c r="AP73" i="27" s="1"/>
  <c r="AP74" i="27" a="1"/>
  <c r="AP74" i="27" s="1"/>
  <c r="AP75" i="27" a="1"/>
  <c r="AP75" i="27" s="1"/>
  <c r="AP76" i="27" a="1"/>
  <c r="AP76" i="27" s="1"/>
  <c r="AP77" i="27" a="1"/>
  <c r="AP77" i="27" s="1"/>
  <c r="AP78" i="27" a="1"/>
  <c r="AP78" i="27" s="1"/>
  <c r="AP83" i="27" a="1"/>
  <c r="AP83" i="27" s="1"/>
  <c r="AP84" i="27" a="1"/>
  <c r="AP84" i="27" s="1"/>
  <c r="AP85" i="27" a="1"/>
  <c r="AP85" i="27" s="1"/>
  <c r="AP79" i="27" a="1"/>
  <c r="AP79" i="27" s="1"/>
  <c r="AP80" i="27" a="1"/>
  <c r="AP80" i="27" s="1"/>
  <c r="AP81" i="27" a="1"/>
  <c r="AP81" i="27" s="1"/>
  <c r="AP82" i="27" a="1"/>
  <c r="AP82" i="27" s="1"/>
  <c r="AP6" i="27" a="1"/>
  <c r="AP6" i="27" s="1"/>
  <c r="AP86" i="27" a="1"/>
  <c r="AP86" i="27" s="1"/>
  <c r="AP87" i="27" a="1"/>
  <c r="AP87" i="27" s="1"/>
  <c r="AP88" i="27" a="1"/>
  <c r="AP88" i="27" s="1"/>
  <c r="AP89" i="27" a="1"/>
  <c r="AP89" i="27" s="1"/>
  <c r="AP90" i="27" a="1"/>
  <c r="AP90" i="27" s="1"/>
  <c r="AP91" i="27" a="1"/>
  <c r="AP91" i="27" s="1"/>
  <c r="AP92" i="27" a="1"/>
  <c r="AP92" i="27" s="1"/>
  <c r="AP93" i="27" a="1"/>
  <c r="AP93" i="27" s="1"/>
  <c r="AP94" i="27" a="1"/>
  <c r="AP94" i="27" s="1"/>
  <c r="AP95" i="27" a="1"/>
  <c r="AP95" i="27" s="1"/>
  <c r="AP96" i="27" a="1"/>
  <c r="AP96" i="27" s="1"/>
  <c r="AP97" i="27" a="1"/>
  <c r="AP97" i="27" s="1"/>
  <c r="AP98" i="27" a="1"/>
  <c r="AP98" i="27" s="1"/>
  <c r="AP99" i="27" a="1"/>
  <c r="AP99" i="27" s="1"/>
  <c r="AP100" i="27" a="1"/>
  <c r="AP100" i="27" s="1"/>
  <c r="AP101" i="27" a="1"/>
  <c r="AP101" i="27" s="1"/>
  <c r="AP102" i="27" a="1"/>
  <c r="AP102" i="27" s="1"/>
  <c r="AP103" i="27" a="1"/>
  <c r="AP103" i="27" s="1"/>
  <c r="AP104" i="27" a="1"/>
  <c r="AP104" i="27" s="1"/>
  <c r="AP105" i="27" a="1"/>
  <c r="AP105" i="27" s="1"/>
  <c r="AP106" i="27" a="1"/>
  <c r="AP106" i="27" s="1"/>
  <c r="AP107" i="27" a="1"/>
  <c r="AP107" i="27" s="1"/>
  <c r="AP108" i="27" a="1"/>
  <c r="AP108" i="27" s="1"/>
  <c r="AP109" i="27" a="1"/>
  <c r="AP109" i="27" s="1"/>
  <c r="AP110" i="27" a="1"/>
  <c r="AP110" i="27" s="1"/>
  <c r="AP111" i="27" a="1"/>
  <c r="AP111" i="27" s="1"/>
  <c r="AP112" i="27" a="1"/>
  <c r="AP112" i="27" s="1"/>
  <c r="AP113" i="27" a="1"/>
  <c r="AP113" i="27" s="1"/>
  <c r="AP114" i="27" a="1"/>
  <c r="AP114" i="27" s="1"/>
  <c r="AP115" i="27" a="1"/>
  <c r="AP115" i="27" s="1"/>
  <c r="AP116" i="27" a="1"/>
  <c r="AP116" i="27" s="1"/>
  <c r="AP117" i="27" a="1"/>
  <c r="AP117" i="27" s="1"/>
  <c r="AP118" i="27" a="1"/>
  <c r="AP118" i="27" s="1"/>
  <c r="AP119" i="27" a="1"/>
  <c r="AP119" i="27" s="1"/>
  <c r="AP120" i="27" a="1"/>
  <c r="AP120" i="27" s="1"/>
  <c r="AP121" i="27" a="1"/>
  <c r="AP121" i="27" s="1"/>
  <c r="AP122" i="27" a="1"/>
  <c r="AP122" i="27" s="1"/>
  <c r="AP123" i="27" a="1"/>
  <c r="AP123" i="27" s="1"/>
  <c r="AP124" i="27" a="1"/>
  <c r="AP124" i="27" s="1"/>
  <c r="AP125" i="27" a="1"/>
  <c r="AP125" i="27" s="1"/>
  <c r="AP126" i="27" a="1"/>
  <c r="AP126" i="27" s="1"/>
  <c r="AP127" i="27" a="1"/>
  <c r="AP127" i="27" s="1"/>
  <c r="AP128" i="27" a="1"/>
  <c r="AP128" i="27" s="1"/>
  <c r="AP129" i="27" a="1"/>
  <c r="AP129" i="27" s="1"/>
  <c r="AP130" i="27" a="1"/>
  <c r="AP130" i="27" s="1"/>
  <c r="AP131" i="27" a="1"/>
  <c r="AP131" i="27" s="1"/>
  <c r="AP132" i="27" a="1"/>
  <c r="AP132" i="27" s="1"/>
  <c r="AP133" i="27" a="1"/>
  <c r="AP133" i="27" s="1"/>
  <c r="AP134" i="27" a="1"/>
  <c r="AP134" i="27" s="1"/>
  <c r="AP135" i="27" a="1"/>
  <c r="AP135" i="27" s="1"/>
  <c r="AP136" i="27" a="1"/>
  <c r="AP136" i="27" s="1"/>
  <c r="AP137" i="27" a="1"/>
  <c r="AP137" i="27" s="1"/>
  <c r="AP138" i="27" a="1"/>
  <c r="AP138" i="27" s="1"/>
  <c r="AP139" i="27" a="1"/>
  <c r="AP139" i="27" s="1"/>
  <c r="AP140" i="27" a="1"/>
  <c r="AP140" i="27" s="1"/>
  <c r="AL9" i="27" a="1"/>
  <c r="AL9" i="27" s="1"/>
  <c r="AL13" i="27" a="1"/>
  <c r="AL13" i="27" s="1"/>
  <c r="AL17" i="27" a="1"/>
  <c r="AL17" i="27" s="1"/>
  <c r="AL21" i="27" a="1"/>
  <c r="AL21" i="27" s="1"/>
  <c r="AL8" i="27" a="1"/>
  <c r="AL8" i="27" s="1"/>
  <c r="AL12" i="27" a="1"/>
  <c r="AL12" i="27" s="1"/>
  <c r="AL16" i="27" a="1"/>
  <c r="AL16" i="27" s="1"/>
  <c r="AL20" i="27" a="1"/>
  <c r="AL20" i="27" s="1"/>
  <c r="AL7" i="27" a="1"/>
  <c r="AL7" i="27" s="1"/>
  <c r="AL11" i="27" a="1"/>
  <c r="AL11" i="27" s="1"/>
  <c r="AL15" i="27" a="1"/>
  <c r="AL15" i="27" s="1"/>
  <c r="AL19" i="27" a="1"/>
  <c r="AL19" i="27" s="1"/>
  <c r="AL10" i="27" a="1"/>
  <c r="AL10" i="27" s="1"/>
  <c r="AL14" i="27" a="1"/>
  <c r="AL14" i="27" s="1"/>
  <c r="AL18" i="27" a="1"/>
  <c r="AL18" i="27" s="1"/>
  <c r="AL22" i="27" a="1"/>
  <c r="AL22" i="27" s="1"/>
  <c r="AL24" i="27" a="1"/>
  <c r="AL24" i="27" s="1"/>
  <c r="AL26" i="27" a="1"/>
  <c r="AL26" i="27" s="1"/>
  <c r="AL23" i="27" a="1"/>
  <c r="AL23" i="27" s="1"/>
  <c r="AL25" i="27" a="1"/>
  <c r="AL25" i="27" s="1"/>
  <c r="AL28" i="27" a="1"/>
  <c r="AL28" i="27" s="1"/>
  <c r="AL29" i="27" a="1"/>
  <c r="AL29" i="27" s="1"/>
  <c r="AL30" i="27" a="1"/>
  <c r="AL30" i="27" s="1"/>
  <c r="AL31" i="27" a="1"/>
  <c r="AL31" i="27" s="1"/>
  <c r="AL32" i="27" a="1"/>
  <c r="AL32" i="27" s="1"/>
  <c r="AL33" i="27" a="1"/>
  <c r="AL33" i="27" s="1"/>
  <c r="AL34" i="27" a="1"/>
  <c r="AL34" i="27" s="1"/>
  <c r="AL35" i="27" a="1"/>
  <c r="AL35" i="27" s="1"/>
  <c r="AL36" i="27" a="1"/>
  <c r="AL36" i="27" s="1"/>
  <c r="AL37" i="27" a="1"/>
  <c r="AL37" i="27" s="1"/>
  <c r="AL38" i="27" a="1"/>
  <c r="AL38" i="27" s="1"/>
  <c r="AL27" i="27" a="1"/>
  <c r="AL27" i="27" s="1"/>
  <c r="AL39" i="27" a="1"/>
  <c r="AL39" i="27" s="1"/>
  <c r="AL40" i="27" a="1"/>
  <c r="AL40" i="27" s="1"/>
  <c r="AL41" i="27" a="1"/>
  <c r="AL41" i="27" s="1"/>
  <c r="AL42" i="27" a="1"/>
  <c r="AL42" i="27" s="1"/>
  <c r="AL43" i="27" a="1"/>
  <c r="AL43" i="27" s="1"/>
  <c r="AL44" i="27" a="1"/>
  <c r="AL44" i="27" s="1"/>
  <c r="AL45" i="27" a="1"/>
  <c r="AL45" i="27" s="1"/>
  <c r="AL46" i="27" a="1"/>
  <c r="AL46" i="27" s="1"/>
  <c r="AL47" i="27" a="1"/>
  <c r="AL47" i="27" s="1"/>
  <c r="AL48" i="27" a="1"/>
  <c r="AL48" i="27" s="1"/>
  <c r="AL49" i="27" a="1"/>
  <c r="AL49" i="27" s="1"/>
  <c r="AL50" i="27" a="1"/>
  <c r="AL50" i="27" s="1"/>
  <c r="AL51" i="27" a="1"/>
  <c r="AL51" i="27" s="1"/>
  <c r="AL52" i="27" a="1"/>
  <c r="AL52" i="27" s="1"/>
  <c r="AL53" i="27" a="1"/>
  <c r="AL53" i="27" s="1"/>
  <c r="AL54" i="27" a="1"/>
  <c r="AL54" i="27" s="1"/>
  <c r="AL55" i="27" a="1"/>
  <c r="AL55" i="27" s="1"/>
  <c r="AL56" i="27" a="1"/>
  <c r="AL56" i="27" s="1"/>
  <c r="AL57" i="27" a="1"/>
  <c r="AL57" i="27" s="1"/>
  <c r="AL58" i="27" a="1"/>
  <c r="AL58" i="27" s="1"/>
  <c r="AL59" i="27" a="1"/>
  <c r="AL59" i="27" s="1"/>
  <c r="AL60" i="27" a="1"/>
  <c r="AL60" i="27" s="1"/>
  <c r="AL61" i="27" a="1"/>
  <c r="AL61" i="27" s="1"/>
  <c r="AL62" i="27" a="1"/>
  <c r="AL62" i="27" s="1"/>
  <c r="AL63" i="27" a="1"/>
  <c r="AL63" i="27" s="1"/>
  <c r="AL64" i="27" a="1"/>
  <c r="AL64" i="27" s="1"/>
  <c r="AL65" i="27" a="1"/>
  <c r="AL65" i="27" s="1"/>
  <c r="AL66" i="27" a="1"/>
  <c r="AL66" i="27" s="1"/>
  <c r="AL67" i="27" a="1"/>
  <c r="AL67" i="27" s="1"/>
  <c r="AL68" i="27" a="1"/>
  <c r="AL68" i="27" s="1"/>
  <c r="AL69" i="27" a="1"/>
  <c r="AL69" i="27" s="1"/>
  <c r="AL70" i="27" a="1"/>
  <c r="AL70" i="27" s="1"/>
  <c r="AL71" i="27" a="1"/>
  <c r="AL71" i="27" s="1"/>
  <c r="AL72" i="27" a="1"/>
  <c r="AL72" i="27" s="1"/>
  <c r="AL73" i="27" a="1"/>
  <c r="AL73" i="27" s="1"/>
  <c r="AL74" i="27" a="1"/>
  <c r="AL74" i="27" s="1"/>
  <c r="AL75" i="27" a="1"/>
  <c r="AL75" i="27" s="1"/>
  <c r="AL76" i="27" a="1"/>
  <c r="AL76" i="27" s="1"/>
  <c r="AL77" i="27" a="1"/>
  <c r="AL77" i="27" s="1"/>
  <c r="AL78" i="27" a="1"/>
  <c r="AL78" i="27" s="1"/>
  <c r="AL84" i="27" a="1"/>
  <c r="AL84" i="27" s="1"/>
  <c r="AL85" i="27" a="1"/>
  <c r="AL85" i="27" s="1"/>
  <c r="AL79" i="27" a="1"/>
  <c r="AL79" i="27" s="1"/>
  <c r="AL80" i="27" a="1"/>
  <c r="AL80" i="27" s="1"/>
  <c r="AL81" i="27" a="1"/>
  <c r="AL81" i="27" s="1"/>
  <c r="AL82" i="27" a="1"/>
  <c r="AL82" i="27" s="1"/>
  <c r="AL83" i="27" a="1"/>
  <c r="AL83" i="27" s="1"/>
  <c r="AL6" i="27" a="1"/>
  <c r="AL6" i="27" s="1"/>
  <c r="AL86" i="27" a="1"/>
  <c r="AL86" i="27" s="1"/>
  <c r="AL87" i="27" a="1"/>
  <c r="AL87" i="27" s="1"/>
  <c r="AL88" i="27" a="1"/>
  <c r="AL88" i="27" s="1"/>
  <c r="AL89" i="27" a="1"/>
  <c r="AL89" i="27" s="1"/>
  <c r="AL90" i="27" a="1"/>
  <c r="AL90" i="27" s="1"/>
  <c r="AL91" i="27" a="1"/>
  <c r="AL91" i="27" s="1"/>
  <c r="AL92" i="27" a="1"/>
  <c r="AL92" i="27" s="1"/>
  <c r="AL93" i="27" a="1"/>
  <c r="AL93" i="27" s="1"/>
  <c r="AL94" i="27" a="1"/>
  <c r="AL94" i="27" s="1"/>
  <c r="AL95" i="27" a="1"/>
  <c r="AL95" i="27" s="1"/>
  <c r="AL96" i="27" a="1"/>
  <c r="AL96" i="27" s="1"/>
  <c r="AL97" i="27" a="1"/>
  <c r="AL97" i="27" s="1"/>
  <c r="AL98" i="27" a="1"/>
  <c r="AL98" i="27" s="1"/>
  <c r="AL99" i="27" a="1"/>
  <c r="AL99" i="27" s="1"/>
  <c r="AL100" i="27" a="1"/>
  <c r="AL100" i="27" s="1"/>
  <c r="AL101" i="27" a="1"/>
  <c r="AL101" i="27" s="1"/>
  <c r="AL102" i="27" a="1"/>
  <c r="AL102" i="27" s="1"/>
  <c r="AL103" i="27" a="1"/>
  <c r="AL103" i="27" s="1"/>
  <c r="AL104" i="27" a="1"/>
  <c r="AL104" i="27" s="1"/>
  <c r="AL105" i="27" a="1"/>
  <c r="AL105" i="27" s="1"/>
  <c r="AL106" i="27" a="1"/>
  <c r="AL106" i="27" s="1"/>
  <c r="AL107" i="27" a="1"/>
  <c r="AL107" i="27" s="1"/>
  <c r="AL108" i="27" a="1"/>
  <c r="AL108" i="27" s="1"/>
  <c r="AL109" i="27" a="1"/>
  <c r="AL109" i="27" s="1"/>
  <c r="AL111" i="27" a="1"/>
  <c r="AL111" i="27" s="1"/>
  <c r="AL110" i="27" a="1"/>
  <c r="AL110" i="27" s="1"/>
  <c r="AL112" i="27" a="1"/>
  <c r="AL112" i="27" s="1"/>
  <c r="AL113" i="27" a="1"/>
  <c r="AL113" i="27" s="1"/>
  <c r="AL114" i="27" a="1"/>
  <c r="AL114" i="27" s="1"/>
  <c r="AL115" i="27" a="1"/>
  <c r="AL115" i="27" s="1"/>
  <c r="AL116" i="27" a="1"/>
  <c r="AL116" i="27" s="1"/>
  <c r="AL117" i="27" a="1"/>
  <c r="AL117" i="27" s="1"/>
  <c r="AL118" i="27" a="1"/>
  <c r="AL118" i="27" s="1"/>
  <c r="AL119" i="27" a="1"/>
  <c r="AL119" i="27" s="1"/>
  <c r="AL120" i="27" a="1"/>
  <c r="AL120" i="27" s="1"/>
  <c r="AL121" i="27" a="1"/>
  <c r="AL121" i="27" s="1"/>
  <c r="AL122" i="27" a="1"/>
  <c r="AL122" i="27" s="1"/>
  <c r="AL123" i="27" a="1"/>
  <c r="AL123" i="27" s="1"/>
  <c r="AL124" i="27" a="1"/>
  <c r="AL124" i="27" s="1"/>
  <c r="AL125" i="27" a="1"/>
  <c r="AL125" i="27" s="1"/>
  <c r="AL126" i="27" a="1"/>
  <c r="AL126" i="27" s="1"/>
  <c r="AL127" i="27" a="1"/>
  <c r="AL127" i="27" s="1"/>
  <c r="AL128" i="27" a="1"/>
  <c r="AL128" i="27" s="1"/>
  <c r="AL129" i="27" a="1"/>
  <c r="AL129" i="27" s="1"/>
  <c r="AL130" i="27" a="1"/>
  <c r="AL130" i="27" s="1"/>
  <c r="AL131" i="27" a="1"/>
  <c r="AL131" i="27" s="1"/>
  <c r="AL132" i="27" a="1"/>
  <c r="AL132" i="27" s="1"/>
  <c r="AL133" i="27" a="1"/>
  <c r="AL133" i="27" s="1"/>
  <c r="AL134" i="27" a="1"/>
  <c r="AL134" i="27" s="1"/>
  <c r="AL135" i="27" a="1"/>
  <c r="AL135" i="27" s="1"/>
  <c r="AL136" i="27" a="1"/>
  <c r="AL136" i="27" s="1"/>
  <c r="AL137" i="27" a="1"/>
  <c r="AL137" i="27" s="1"/>
  <c r="AL138" i="27" a="1"/>
  <c r="AL138" i="27" s="1"/>
  <c r="AL139" i="27" a="1"/>
  <c r="AL139" i="27" s="1"/>
  <c r="AL140" i="27" a="1"/>
  <c r="AL140" i="27" s="1"/>
  <c r="AU8" i="27" a="1"/>
  <c r="AU8" i="27" s="1"/>
  <c r="AU12" i="27" a="1"/>
  <c r="AU12" i="27" s="1"/>
  <c r="AU16" i="27" a="1"/>
  <c r="AU16" i="27" s="1"/>
  <c r="AU20" i="27" a="1"/>
  <c r="AU20" i="27" s="1"/>
  <c r="AU7" i="27" a="1"/>
  <c r="AU7" i="27" s="1"/>
  <c r="AU11" i="27" a="1"/>
  <c r="AU11" i="27" s="1"/>
  <c r="AU15" i="27" a="1"/>
  <c r="AU15" i="27" s="1"/>
  <c r="AU19" i="27" a="1"/>
  <c r="AU19" i="27" s="1"/>
  <c r="AU10" i="27" a="1"/>
  <c r="AU10" i="27" s="1"/>
  <c r="AU14" i="27" a="1"/>
  <c r="AU14" i="27" s="1"/>
  <c r="AU18" i="27" a="1"/>
  <c r="AU18" i="27" s="1"/>
  <c r="AU9" i="27" a="1"/>
  <c r="AU9" i="27" s="1"/>
  <c r="AU13" i="27" a="1"/>
  <c r="AU13" i="27" s="1"/>
  <c r="AU17" i="27" a="1"/>
  <c r="AU17" i="27" s="1"/>
  <c r="AU21" i="27" a="1"/>
  <c r="AU21" i="27" s="1"/>
  <c r="AU23" i="27" a="1"/>
  <c r="AU23" i="27" s="1"/>
  <c r="AU25" i="27" a="1"/>
  <c r="AU25" i="27" s="1"/>
  <c r="AU26" i="27" a="1"/>
  <c r="AU26" i="27" s="1"/>
  <c r="AU22" i="27" a="1"/>
  <c r="AU22" i="27" s="1"/>
  <c r="AU24" i="27" a="1"/>
  <c r="AU24" i="27" s="1"/>
  <c r="AU27" i="27" a="1"/>
  <c r="AU27" i="27" s="1"/>
  <c r="AU28" i="27" a="1"/>
  <c r="AU28" i="27" s="1"/>
  <c r="AU29" i="27" a="1"/>
  <c r="AU29" i="27" s="1"/>
  <c r="AU30" i="27" a="1"/>
  <c r="AU30" i="27" s="1"/>
  <c r="AU31" i="27" a="1"/>
  <c r="AU31" i="27" s="1"/>
  <c r="AU32" i="27" a="1"/>
  <c r="AU32" i="27" s="1"/>
  <c r="AU33" i="27" a="1"/>
  <c r="AU33" i="27" s="1"/>
  <c r="AU34" i="27" a="1"/>
  <c r="AU34" i="27" s="1"/>
  <c r="AU35" i="27" a="1"/>
  <c r="AU35" i="27" s="1"/>
  <c r="AU36" i="27" a="1"/>
  <c r="AU36" i="27" s="1"/>
  <c r="AU37" i="27" a="1"/>
  <c r="AU37" i="27" s="1"/>
  <c r="AU38" i="27" a="1"/>
  <c r="AU38" i="27" s="1"/>
  <c r="AU39" i="27" a="1"/>
  <c r="AU39" i="27" s="1"/>
  <c r="AU40" i="27" a="1"/>
  <c r="AU40" i="27" s="1"/>
  <c r="AU41" i="27" a="1"/>
  <c r="AU41" i="27" s="1"/>
  <c r="AU42" i="27" a="1"/>
  <c r="AU42" i="27" s="1"/>
  <c r="AU43" i="27" a="1"/>
  <c r="AU43" i="27" s="1"/>
  <c r="AU44" i="27" a="1"/>
  <c r="AU44" i="27" s="1"/>
  <c r="AU45" i="27" a="1"/>
  <c r="AU45" i="27" s="1"/>
  <c r="AU46" i="27" a="1"/>
  <c r="AU46" i="27" s="1"/>
  <c r="AU47" i="27" a="1"/>
  <c r="AU47" i="27" s="1"/>
  <c r="AU48" i="27" a="1"/>
  <c r="AU48" i="27" s="1"/>
  <c r="AU49" i="27" a="1"/>
  <c r="AU49" i="27" s="1"/>
  <c r="AU50" i="27" a="1"/>
  <c r="AU50" i="27" s="1"/>
  <c r="AU51" i="27" a="1"/>
  <c r="AU51" i="27" s="1"/>
  <c r="AU52" i="27" a="1"/>
  <c r="AU52" i="27" s="1"/>
  <c r="AU53" i="27" a="1"/>
  <c r="AU53" i="27" s="1"/>
  <c r="AU54" i="27" a="1"/>
  <c r="AU54" i="27" s="1"/>
  <c r="AU55" i="27" a="1"/>
  <c r="AU55" i="27" s="1"/>
  <c r="AU56" i="27" a="1"/>
  <c r="AU56" i="27" s="1"/>
  <c r="AU57" i="27" a="1"/>
  <c r="AU57" i="27" s="1"/>
  <c r="AU58" i="27" a="1"/>
  <c r="AU58" i="27" s="1"/>
  <c r="AU59" i="27" a="1"/>
  <c r="AU59" i="27" s="1"/>
  <c r="AU60" i="27" a="1"/>
  <c r="AU60" i="27" s="1"/>
  <c r="AU61" i="27" a="1"/>
  <c r="AU61" i="27" s="1"/>
  <c r="AU62" i="27" a="1"/>
  <c r="AU62" i="27" s="1"/>
  <c r="AU63" i="27" a="1"/>
  <c r="AU63" i="27" s="1"/>
  <c r="AU64" i="27" a="1"/>
  <c r="AU64" i="27" s="1"/>
  <c r="AU65" i="27" a="1"/>
  <c r="AU65" i="27" s="1"/>
  <c r="AU66" i="27" a="1"/>
  <c r="AU66" i="27" s="1"/>
  <c r="AU67" i="27" a="1"/>
  <c r="AU67" i="27" s="1"/>
  <c r="AU68" i="27" a="1"/>
  <c r="AU68" i="27" s="1"/>
  <c r="AU69" i="27" a="1"/>
  <c r="AU69" i="27" s="1"/>
  <c r="AU70" i="27" a="1"/>
  <c r="AU70" i="27" s="1"/>
  <c r="AU71" i="27" a="1"/>
  <c r="AU71" i="27" s="1"/>
  <c r="AU72" i="27" a="1"/>
  <c r="AU72" i="27" s="1"/>
  <c r="AU73" i="27" a="1"/>
  <c r="AU73" i="27" s="1"/>
  <c r="AU74" i="27" a="1"/>
  <c r="AU74" i="27" s="1"/>
  <c r="AU75" i="27" a="1"/>
  <c r="AU75" i="27" s="1"/>
  <c r="AU76" i="27" a="1"/>
  <c r="AU76" i="27" s="1"/>
  <c r="AU77" i="27" a="1"/>
  <c r="AU77" i="27" s="1"/>
  <c r="AU84" i="27" a="1"/>
  <c r="AU84" i="27" s="1"/>
  <c r="AU78" i="27" a="1"/>
  <c r="AU78" i="27" s="1"/>
  <c r="AU79" i="27" a="1"/>
  <c r="AU79" i="27" s="1"/>
  <c r="AU80" i="27" a="1"/>
  <c r="AU80" i="27" s="1"/>
  <c r="AU81" i="27" a="1"/>
  <c r="AU81" i="27" s="1"/>
  <c r="AU82" i="27" a="1"/>
  <c r="AU82" i="27" s="1"/>
  <c r="AU83" i="27" a="1"/>
  <c r="AU83" i="27" s="1"/>
  <c r="AU110" i="27" a="1"/>
  <c r="AU110" i="27" s="1"/>
  <c r="AU109" i="27" a="1"/>
  <c r="AU109" i="27" s="1"/>
  <c r="AU111" i="27" a="1"/>
  <c r="AU111" i="27" s="1"/>
  <c r="AU112" i="27" a="1"/>
  <c r="AU112" i="27" s="1"/>
  <c r="AU113" i="27" a="1"/>
  <c r="AU113" i="27" s="1"/>
  <c r="AU114" i="27" a="1"/>
  <c r="AU114" i="27" s="1"/>
  <c r="AU115" i="27" a="1"/>
  <c r="AU115" i="27" s="1"/>
  <c r="AU116" i="27" a="1"/>
  <c r="AU116" i="27" s="1"/>
  <c r="AU117" i="27" a="1"/>
  <c r="AU117" i="27" s="1"/>
  <c r="AU118" i="27" a="1"/>
  <c r="AU118" i="27" s="1"/>
  <c r="AU119" i="27" a="1"/>
  <c r="AU119" i="27" s="1"/>
  <c r="AU120" i="27" a="1"/>
  <c r="AU120" i="27" s="1"/>
  <c r="AU121" i="27" a="1"/>
  <c r="AU121" i="27" s="1"/>
  <c r="AU122" i="27" a="1"/>
  <c r="AU122" i="27" s="1"/>
  <c r="AU123" i="27" a="1"/>
  <c r="AU123" i="27" s="1"/>
  <c r="AU124" i="27" a="1"/>
  <c r="AU124" i="27" s="1"/>
  <c r="AU125" i="27" a="1"/>
  <c r="AU125" i="27" s="1"/>
  <c r="AU126" i="27" a="1"/>
  <c r="AU126" i="27" s="1"/>
  <c r="AU127" i="27" a="1"/>
  <c r="AU127" i="27" s="1"/>
  <c r="AU128" i="27" a="1"/>
  <c r="AU128" i="27" s="1"/>
  <c r="AU129" i="27" a="1"/>
  <c r="AU129" i="27" s="1"/>
  <c r="AU130" i="27" a="1"/>
  <c r="AU130" i="27" s="1"/>
  <c r="AU131" i="27" a="1"/>
  <c r="AU131" i="27" s="1"/>
  <c r="AU132" i="27" a="1"/>
  <c r="AU132" i="27" s="1"/>
  <c r="AU133" i="27" a="1"/>
  <c r="AU133" i="27" s="1"/>
  <c r="AU134" i="27" a="1"/>
  <c r="AU134" i="27" s="1"/>
  <c r="AU135" i="27" a="1"/>
  <c r="AU135" i="27" s="1"/>
  <c r="AU136" i="27" a="1"/>
  <c r="AU136" i="27" s="1"/>
  <c r="AU85" i="27" a="1"/>
  <c r="AU85" i="27" s="1"/>
  <c r="AU86" i="27" a="1"/>
  <c r="AU86" i="27" s="1"/>
  <c r="AU87" i="27" a="1"/>
  <c r="AU87" i="27" s="1"/>
  <c r="AU88" i="27" a="1"/>
  <c r="AU88" i="27" s="1"/>
  <c r="AU89" i="27" a="1"/>
  <c r="AU89" i="27" s="1"/>
  <c r="AU90" i="27" a="1"/>
  <c r="AU90" i="27" s="1"/>
  <c r="AU91" i="27" a="1"/>
  <c r="AU91" i="27" s="1"/>
  <c r="AU92" i="27" a="1"/>
  <c r="AU92" i="27" s="1"/>
  <c r="AU93" i="27" a="1"/>
  <c r="AU93" i="27" s="1"/>
  <c r="AU94" i="27" a="1"/>
  <c r="AU94" i="27" s="1"/>
  <c r="AU95" i="27" a="1"/>
  <c r="AU95" i="27" s="1"/>
  <c r="AU96" i="27" a="1"/>
  <c r="AU96" i="27" s="1"/>
  <c r="AU97" i="27" a="1"/>
  <c r="AU97" i="27" s="1"/>
  <c r="AU98" i="27" a="1"/>
  <c r="AU98" i="27" s="1"/>
  <c r="AU99" i="27" a="1"/>
  <c r="AU99" i="27" s="1"/>
  <c r="AU100" i="27" a="1"/>
  <c r="AU100" i="27" s="1"/>
  <c r="AU101" i="27" a="1"/>
  <c r="AU101" i="27" s="1"/>
  <c r="AU102" i="27" a="1"/>
  <c r="AU102" i="27" s="1"/>
  <c r="AU103" i="27" a="1"/>
  <c r="AU103" i="27" s="1"/>
  <c r="AU104" i="27" a="1"/>
  <c r="AU104" i="27" s="1"/>
  <c r="AU105" i="27" a="1"/>
  <c r="AU105" i="27" s="1"/>
  <c r="AU106" i="27" a="1"/>
  <c r="AU106" i="27" s="1"/>
  <c r="AU107" i="27" a="1"/>
  <c r="AU107" i="27" s="1"/>
  <c r="AU108" i="27" a="1"/>
  <c r="AU108" i="27" s="1"/>
  <c r="AU137" i="27" a="1"/>
  <c r="AU137" i="27" s="1"/>
  <c r="AU138" i="27" a="1"/>
  <c r="AU138" i="27" s="1"/>
  <c r="AU139" i="27" a="1"/>
  <c r="AU139" i="27" s="1"/>
  <c r="AU140" i="27" a="1"/>
  <c r="AU140" i="27" s="1"/>
  <c r="AU6" i="27" a="1"/>
  <c r="AU6" i="27" s="1"/>
  <c r="AS9" i="27" a="1"/>
  <c r="AS9" i="27" s="1"/>
  <c r="AS13" i="27" a="1"/>
  <c r="AS13" i="27" s="1"/>
  <c r="AS17" i="27" a="1"/>
  <c r="AS17" i="27" s="1"/>
  <c r="AS8" i="27" a="1"/>
  <c r="AS8" i="27" s="1"/>
  <c r="AS12" i="27" a="1"/>
  <c r="AS12" i="27" s="1"/>
  <c r="AS16" i="27" a="1"/>
  <c r="AS16" i="27" s="1"/>
  <c r="AS20" i="27" a="1"/>
  <c r="AS20" i="27" s="1"/>
  <c r="AS7" i="27" a="1"/>
  <c r="AS7" i="27" s="1"/>
  <c r="AS11" i="27" a="1"/>
  <c r="AS11" i="27" s="1"/>
  <c r="AS15" i="27" a="1"/>
  <c r="AS15" i="27" s="1"/>
  <c r="AS19" i="27" a="1"/>
  <c r="AS19" i="27" s="1"/>
  <c r="AS10" i="27" a="1"/>
  <c r="AS10" i="27" s="1"/>
  <c r="AS14" i="27" a="1"/>
  <c r="AS14" i="27" s="1"/>
  <c r="AS18" i="27" a="1"/>
  <c r="AS18" i="27" s="1"/>
  <c r="AS21" i="27" a="1"/>
  <c r="AS21" i="27" s="1"/>
  <c r="AS23" i="27" a="1"/>
  <c r="AS23" i="27" s="1"/>
  <c r="AS25" i="27" a="1"/>
  <c r="AS25" i="27" s="1"/>
  <c r="AS26" i="27" a="1"/>
  <c r="AS26" i="27" s="1"/>
  <c r="AS22" i="27" a="1"/>
  <c r="AS22" i="27" s="1"/>
  <c r="AS24" i="27" a="1"/>
  <c r="AS24" i="27" s="1"/>
  <c r="AS27" i="27" a="1"/>
  <c r="AS27" i="27" s="1"/>
  <c r="AS28" i="27" a="1"/>
  <c r="AS28" i="27" s="1"/>
  <c r="AS29" i="27" a="1"/>
  <c r="AS29" i="27" s="1"/>
  <c r="AS30" i="27" a="1"/>
  <c r="AS30" i="27" s="1"/>
  <c r="AS31" i="27" a="1"/>
  <c r="AS31" i="27" s="1"/>
  <c r="AS32" i="27" a="1"/>
  <c r="AS32" i="27" s="1"/>
  <c r="AS33" i="27" a="1"/>
  <c r="AS33" i="27" s="1"/>
  <c r="AS34" i="27" a="1"/>
  <c r="AS34" i="27" s="1"/>
  <c r="AS35" i="27" a="1"/>
  <c r="AS35" i="27" s="1"/>
  <c r="AS36" i="27" a="1"/>
  <c r="AS36" i="27" s="1"/>
  <c r="AS37" i="27" a="1"/>
  <c r="AS37" i="27" s="1"/>
  <c r="AS38" i="27" a="1"/>
  <c r="AS38" i="27" s="1"/>
  <c r="AS39" i="27" a="1"/>
  <c r="AS39" i="27" s="1"/>
  <c r="AS40" i="27" a="1"/>
  <c r="AS40" i="27" s="1"/>
  <c r="AS41" i="27" a="1"/>
  <c r="AS41" i="27" s="1"/>
  <c r="AS42" i="27" a="1"/>
  <c r="AS42" i="27" s="1"/>
  <c r="AS43" i="27" a="1"/>
  <c r="AS43" i="27" s="1"/>
  <c r="AS44" i="27" a="1"/>
  <c r="AS44" i="27" s="1"/>
  <c r="AS45" i="27" a="1"/>
  <c r="AS45" i="27" s="1"/>
  <c r="AS46" i="27" a="1"/>
  <c r="AS46" i="27" s="1"/>
  <c r="AS47" i="27" a="1"/>
  <c r="AS47" i="27" s="1"/>
  <c r="AS48" i="27" a="1"/>
  <c r="AS48" i="27" s="1"/>
  <c r="AS49" i="27" a="1"/>
  <c r="AS49" i="27" s="1"/>
  <c r="AS50" i="27" a="1"/>
  <c r="AS50" i="27" s="1"/>
  <c r="AS51" i="27" a="1"/>
  <c r="AS51" i="27" s="1"/>
  <c r="AS52" i="27" a="1"/>
  <c r="AS52" i="27" s="1"/>
  <c r="AS53" i="27" a="1"/>
  <c r="AS53" i="27" s="1"/>
  <c r="AS54" i="27" a="1"/>
  <c r="AS54" i="27" s="1"/>
  <c r="AS55" i="27" a="1"/>
  <c r="AS55" i="27" s="1"/>
  <c r="AS56" i="27" a="1"/>
  <c r="AS56" i="27" s="1"/>
  <c r="AS57" i="27" a="1"/>
  <c r="AS57" i="27" s="1"/>
  <c r="AS58" i="27" a="1"/>
  <c r="AS58" i="27" s="1"/>
  <c r="AS59" i="27" a="1"/>
  <c r="AS59" i="27" s="1"/>
  <c r="AS60" i="27" a="1"/>
  <c r="AS60" i="27" s="1"/>
  <c r="AS61" i="27" a="1"/>
  <c r="AS61" i="27" s="1"/>
  <c r="AS62" i="27" a="1"/>
  <c r="AS62" i="27" s="1"/>
  <c r="AS63" i="27" a="1"/>
  <c r="AS63" i="27" s="1"/>
  <c r="AS64" i="27" a="1"/>
  <c r="AS64" i="27" s="1"/>
  <c r="AS65" i="27" a="1"/>
  <c r="AS65" i="27" s="1"/>
  <c r="AS66" i="27" a="1"/>
  <c r="AS66" i="27" s="1"/>
  <c r="AS67" i="27" a="1"/>
  <c r="AS67" i="27" s="1"/>
  <c r="AS68" i="27" a="1"/>
  <c r="AS68" i="27" s="1"/>
  <c r="AS69" i="27" a="1"/>
  <c r="AS69" i="27" s="1"/>
  <c r="AS70" i="27" a="1"/>
  <c r="AS70" i="27" s="1"/>
  <c r="AS71" i="27" a="1"/>
  <c r="AS71" i="27" s="1"/>
  <c r="AS72" i="27" a="1"/>
  <c r="AS72" i="27" s="1"/>
  <c r="AS73" i="27" a="1"/>
  <c r="AS73" i="27" s="1"/>
  <c r="AS74" i="27" a="1"/>
  <c r="AS74" i="27" s="1"/>
  <c r="AS75" i="27" a="1"/>
  <c r="AS75" i="27" s="1"/>
  <c r="AS76" i="27" a="1"/>
  <c r="AS76" i="27" s="1"/>
  <c r="AS77" i="27" a="1"/>
  <c r="AS77" i="27" s="1"/>
  <c r="AS83" i="27" a="1"/>
  <c r="AS83" i="27" s="1"/>
  <c r="AS78" i="27" a="1"/>
  <c r="AS78" i="27" s="1"/>
  <c r="AS79" i="27" a="1"/>
  <c r="AS79" i="27" s="1"/>
  <c r="AS80" i="27" a="1"/>
  <c r="AS80" i="27" s="1"/>
  <c r="AS81" i="27" a="1"/>
  <c r="AS81" i="27" s="1"/>
  <c r="AS82" i="27" a="1"/>
  <c r="AS82" i="27" s="1"/>
  <c r="AS84" i="27" a="1"/>
  <c r="AS84" i="27" s="1"/>
  <c r="AS85" i="27" a="1"/>
  <c r="AS85" i="27" s="1"/>
  <c r="AS111" i="27" a="1"/>
  <c r="AS111" i="27" s="1"/>
  <c r="AS112" i="27" a="1"/>
  <c r="AS112" i="27" s="1"/>
  <c r="AS113" i="27" a="1"/>
  <c r="AS113" i="27" s="1"/>
  <c r="AS114" i="27" a="1"/>
  <c r="AS114" i="27" s="1"/>
  <c r="AS115" i="27" a="1"/>
  <c r="AS115" i="27" s="1"/>
  <c r="AS116" i="27" a="1"/>
  <c r="AS116" i="27" s="1"/>
  <c r="AS117" i="27" a="1"/>
  <c r="AS117" i="27" s="1"/>
  <c r="AS118" i="27" a="1"/>
  <c r="AS118" i="27" s="1"/>
  <c r="AS119" i="27" a="1"/>
  <c r="AS119" i="27" s="1"/>
  <c r="AS120" i="27" a="1"/>
  <c r="AS120" i="27" s="1"/>
  <c r="AS121" i="27" a="1"/>
  <c r="AS121" i="27" s="1"/>
  <c r="AS122" i="27" a="1"/>
  <c r="AS122" i="27" s="1"/>
  <c r="AS123" i="27" a="1"/>
  <c r="AS123" i="27" s="1"/>
  <c r="AS124" i="27" a="1"/>
  <c r="AS124" i="27" s="1"/>
  <c r="AS125" i="27" a="1"/>
  <c r="AS125" i="27" s="1"/>
  <c r="AS126" i="27" a="1"/>
  <c r="AS126" i="27" s="1"/>
  <c r="AS127" i="27" a="1"/>
  <c r="AS127" i="27" s="1"/>
  <c r="AS128" i="27" a="1"/>
  <c r="AS128" i="27" s="1"/>
  <c r="AS129" i="27" a="1"/>
  <c r="AS129" i="27" s="1"/>
  <c r="AS130" i="27" a="1"/>
  <c r="AS130" i="27" s="1"/>
  <c r="AS131" i="27" a="1"/>
  <c r="AS131" i="27" s="1"/>
  <c r="AS132" i="27" a="1"/>
  <c r="AS132" i="27" s="1"/>
  <c r="AS133" i="27" a="1"/>
  <c r="AS133" i="27" s="1"/>
  <c r="AS134" i="27" a="1"/>
  <c r="AS134" i="27" s="1"/>
  <c r="AS135" i="27" a="1"/>
  <c r="AS135" i="27" s="1"/>
  <c r="AS136" i="27" a="1"/>
  <c r="AS136" i="27" s="1"/>
  <c r="AS86" i="27" a="1"/>
  <c r="AS86" i="27" s="1"/>
  <c r="AS87" i="27" a="1"/>
  <c r="AS87" i="27" s="1"/>
  <c r="AS88" i="27" a="1"/>
  <c r="AS88" i="27" s="1"/>
  <c r="AS89" i="27" a="1"/>
  <c r="AS89" i="27" s="1"/>
  <c r="AS90" i="27" a="1"/>
  <c r="AS90" i="27" s="1"/>
  <c r="AS91" i="27" a="1"/>
  <c r="AS91" i="27" s="1"/>
  <c r="AS92" i="27" a="1"/>
  <c r="AS92" i="27" s="1"/>
  <c r="AS93" i="27" a="1"/>
  <c r="AS93" i="27" s="1"/>
  <c r="AS94" i="27" a="1"/>
  <c r="AS94" i="27" s="1"/>
  <c r="AS95" i="27" a="1"/>
  <c r="AS95" i="27" s="1"/>
  <c r="AS96" i="27" a="1"/>
  <c r="AS96" i="27" s="1"/>
  <c r="AS97" i="27" a="1"/>
  <c r="AS97" i="27" s="1"/>
  <c r="AS98" i="27" a="1"/>
  <c r="AS98" i="27" s="1"/>
  <c r="AS99" i="27" a="1"/>
  <c r="AS99" i="27" s="1"/>
  <c r="AS100" i="27" a="1"/>
  <c r="AS100" i="27" s="1"/>
  <c r="AS101" i="27" a="1"/>
  <c r="AS101" i="27" s="1"/>
  <c r="AS102" i="27" a="1"/>
  <c r="AS102" i="27" s="1"/>
  <c r="AS103" i="27" a="1"/>
  <c r="AS103" i="27" s="1"/>
  <c r="AS104" i="27" a="1"/>
  <c r="AS104" i="27" s="1"/>
  <c r="AS105" i="27" a="1"/>
  <c r="AS105" i="27" s="1"/>
  <c r="AS106" i="27" a="1"/>
  <c r="AS106" i="27" s="1"/>
  <c r="AS107" i="27" a="1"/>
  <c r="AS107" i="27" s="1"/>
  <c r="AS108" i="27" a="1"/>
  <c r="AS108" i="27" s="1"/>
  <c r="AS109" i="27" a="1"/>
  <c r="AS109" i="27" s="1"/>
  <c r="AS110" i="27" a="1"/>
  <c r="AS110" i="27" s="1"/>
  <c r="AS6" i="27" a="1"/>
  <c r="AS6" i="27" s="1"/>
  <c r="AS137" i="27" a="1"/>
  <c r="AS137" i="27" s="1"/>
  <c r="AS138" i="27" a="1"/>
  <c r="AS138" i="27" s="1"/>
  <c r="AS139" i="27" a="1"/>
  <c r="AS139" i="27" s="1"/>
  <c r="AS140" i="27" a="1"/>
  <c r="AS140" i="27" s="1"/>
  <c r="Q4" i="27"/>
  <c r="AI4" i="27"/>
  <c r="AE4" i="27"/>
  <c r="E130" i="27"/>
  <c r="E118" i="27"/>
  <c r="E109" i="27"/>
  <c r="E98" i="27"/>
  <c r="E86" i="27"/>
  <c r="E77" i="27"/>
  <c r="E66" i="27"/>
  <c r="E54" i="27"/>
  <c r="E45" i="27"/>
  <c r="E34" i="27"/>
  <c r="E22" i="27"/>
  <c r="E13" i="27"/>
  <c r="J13" i="27" s="1"/>
  <c r="F105" i="27"/>
  <c r="F41" i="27"/>
  <c r="M4" i="27"/>
  <c r="AA4" i="27"/>
  <c r="W4" i="27"/>
  <c r="AC4" i="27"/>
  <c r="AG4" i="27"/>
  <c r="S4" i="27"/>
  <c r="E134" i="27"/>
  <c r="E125" i="27"/>
  <c r="E114" i="27"/>
  <c r="E102" i="27"/>
  <c r="E93" i="27"/>
  <c r="E82" i="27"/>
  <c r="J82" i="27" s="1"/>
  <c r="E70" i="27"/>
  <c r="E61" i="27"/>
  <c r="E50" i="27"/>
  <c r="E38" i="27"/>
  <c r="E29" i="27"/>
  <c r="E18" i="27"/>
  <c r="F138" i="27"/>
  <c r="F73" i="27"/>
  <c r="F9" i="27"/>
  <c r="O4" i="27"/>
  <c r="U4" i="27"/>
  <c r="Y4" i="27"/>
  <c r="F121" i="27"/>
  <c r="F89" i="27"/>
  <c r="F57" i="27"/>
  <c r="F25" i="27"/>
  <c r="E138" i="27"/>
  <c r="E129" i="27"/>
  <c r="E121" i="27"/>
  <c r="E113" i="27"/>
  <c r="E105" i="27"/>
  <c r="E97" i="27"/>
  <c r="J97" i="27" s="1"/>
  <c r="E89" i="27"/>
  <c r="E81" i="27"/>
  <c r="E73" i="27"/>
  <c r="E65" i="27"/>
  <c r="E57" i="27"/>
  <c r="E49" i="27"/>
  <c r="E41" i="27"/>
  <c r="E33" i="27"/>
  <c r="E25" i="27"/>
  <c r="E17" i="27"/>
  <c r="E9" i="27"/>
  <c r="F117" i="27"/>
  <c r="F85" i="27"/>
  <c r="F53" i="27"/>
  <c r="F21" i="27"/>
  <c r="E124" i="27"/>
  <c r="E140" i="27"/>
  <c r="E136" i="27"/>
  <c r="E131" i="27"/>
  <c r="J131" i="27" s="1"/>
  <c r="E127" i="27"/>
  <c r="E123" i="27"/>
  <c r="E119" i="27"/>
  <c r="E115" i="27"/>
  <c r="E111" i="27"/>
  <c r="E107" i="27"/>
  <c r="E103" i="27"/>
  <c r="E99" i="27"/>
  <c r="E95" i="27"/>
  <c r="J95" i="27" s="1"/>
  <c r="E91" i="27"/>
  <c r="E87" i="27"/>
  <c r="E83" i="27"/>
  <c r="E79" i="27"/>
  <c r="E75" i="27"/>
  <c r="E71" i="27"/>
  <c r="E67" i="27"/>
  <c r="E63" i="27"/>
  <c r="J63" i="27" s="1"/>
  <c r="E59" i="27"/>
  <c r="E55" i="27"/>
  <c r="J55" i="27" s="1"/>
  <c r="E51" i="27"/>
  <c r="E47" i="27"/>
  <c r="E43" i="27"/>
  <c r="E39" i="27"/>
  <c r="E35" i="27"/>
  <c r="E31" i="27"/>
  <c r="E27" i="27"/>
  <c r="E23" i="27"/>
  <c r="E19" i="27"/>
  <c r="E15" i="27"/>
  <c r="E11" i="27"/>
  <c r="J11" i="27" s="1"/>
  <c r="E7" i="27"/>
  <c r="D5" i="12" s="1"/>
  <c r="F125" i="27"/>
  <c r="F109" i="27"/>
  <c r="F93" i="27"/>
  <c r="F77" i="27"/>
  <c r="F61" i="27"/>
  <c r="F45" i="27"/>
  <c r="F29" i="27"/>
  <c r="F13" i="27"/>
  <c r="E135" i="27"/>
  <c r="E137" i="27"/>
  <c r="E132" i="27"/>
  <c r="E128" i="27"/>
  <c r="E120" i="27"/>
  <c r="J120" i="27" s="1"/>
  <c r="E116" i="27"/>
  <c r="E112" i="27"/>
  <c r="E108" i="27"/>
  <c r="E104" i="27"/>
  <c r="J104" i="27" s="1"/>
  <c r="E100" i="27"/>
  <c r="E96" i="27"/>
  <c r="E92" i="27"/>
  <c r="J92" i="27" s="1"/>
  <c r="E88" i="27"/>
  <c r="E84" i="27"/>
  <c r="E80" i="27"/>
  <c r="J80" i="27" s="1"/>
  <c r="E76" i="27"/>
  <c r="E72" i="27"/>
  <c r="E68" i="27"/>
  <c r="E64" i="27"/>
  <c r="E60" i="27"/>
  <c r="E56" i="27"/>
  <c r="E52" i="27"/>
  <c r="J52" i="27" s="1"/>
  <c r="E48" i="27"/>
  <c r="E44" i="27"/>
  <c r="E40" i="27"/>
  <c r="E36" i="27"/>
  <c r="E32" i="27"/>
  <c r="E28" i="27"/>
  <c r="E24" i="27"/>
  <c r="E20" i="27"/>
  <c r="E16" i="27"/>
  <c r="E12" i="27"/>
  <c r="E8" i="27"/>
  <c r="F129" i="27"/>
  <c r="F113" i="27"/>
  <c r="F97" i="27"/>
  <c r="F81" i="27"/>
  <c r="I79" i="19" s="1"/>
  <c r="F65" i="27"/>
  <c r="F49" i="27"/>
  <c r="F33" i="27"/>
  <c r="F17" i="27"/>
  <c r="F132" i="27"/>
  <c r="F124" i="27"/>
  <c r="F116" i="27"/>
  <c r="F108" i="27"/>
  <c r="F100" i="27"/>
  <c r="F92" i="27"/>
  <c r="F84" i="27"/>
  <c r="F76" i="27"/>
  <c r="F68" i="27"/>
  <c r="F56" i="27"/>
  <c r="F44" i="27"/>
  <c r="I42" i="18" s="1"/>
  <c r="F135" i="27"/>
  <c r="F140" i="27"/>
  <c r="F136" i="27"/>
  <c r="F131" i="27"/>
  <c r="F127" i="27"/>
  <c r="F123" i="27"/>
  <c r="F119" i="27"/>
  <c r="F115" i="27"/>
  <c r="I113" i="19" s="1"/>
  <c r="F111" i="27"/>
  <c r="F107" i="27"/>
  <c r="F103" i="27"/>
  <c r="F99" i="27"/>
  <c r="I97" i="18" s="1"/>
  <c r="F95" i="27"/>
  <c r="F91" i="27"/>
  <c r="F87" i="27"/>
  <c r="F83" i="27"/>
  <c r="F79" i="27"/>
  <c r="F75" i="27"/>
  <c r="F71" i="27"/>
  <c r="F67" i="27"/>
  <c r="I65" i="19" s="1"/>
  <c r="F63" i="27"/>
  <c r="F59" i="27"/>
  <c r="F55" i="27"/>
  <c r="F51" i="27"/>
  <c r="F47" i="27"/>
  <c r="F43" i="27"/>
  <c r="F39" i="27"/>
  <c r="F35" i="27"/>
  <c r="F31" i="27"/>
  <c r="F27" i="27"/>
  <c r="F23" i="27"/>
  <c r="F19" i="27"/>
  <c r="F15" i="27"/>
  <c r="F11" i="27"/>
  <c r="F7" i="27"/>
  <c r="F137" i="27"/>
  <c r="F128" i="27"/>
  <c r="F120" i="27"/>
  <c r="F112" i="27"/>
  <c r="F104" i="27"/>
  <c r="F96" i="27"/>
  <c r="F88" i="27"/>
  <c r="F80" i="27"/>
  <c r="F72" i="27"/>
  <c r="F64" i="27"/>
  <c r="F60" i="27"/>
  <c r="F52" i="27"/>
  <c r="F48" i="27"/>
  <c r="F40" i="27"/>
  <c r="F36" i="27"/>
  <c r="F32" i="27"/>
  <c r="F28" i="27"/>
  <c r="F24" i="27"/>
  <c r="F20" i="27"/>
  <c r="F16" i="27"/>
  <c r="F12" i="27"/>
  <c r="F8" i="27"/>
  <c r="F139" i="27"/>
  <c r="F134" i="27"/>
  <c r="F130" i="27"/>
  <c r="F126" i="27"/>
  <c r="F122" i="27"/>
  <c r="F118" i="27"/>
  <c r="F114" i="27"/>
  <c r="F110" i="27"/>
  <c r="F106" i="27"/>
  <c r="F102" i="27"/>
  <c r="F98" i="27"/>
  <c r="F94" i="27"/>
  <c r="F90" i="27"/>
  <c r="F86" i="27"/>
  <c r="F82" i="27"/>
  <c r="F78" i="27"/>
  <c r="F74" i="27"/>
  <c r="F70" i="27"/>
  <c r="F66" i="27"/>
  <c r="F62" i="27"/>
  <c r="F58" i="27"/>
  <c r="F54" i="27"/>
  <c r="I52" i="18" s="1"/>
  <c r="F50" i="27"/>
  <c r="F46" i="27"/>
  <c r="F42" i="27"/>
  <c r="F38" i="27"/>
  <c r="F34" i="27"/>
  <c r="F30" i="27"/>
  <c r="F26" i="27"/>
  <c r="F22" i="27"/>
  <c r="F18" i="27"/>
  <c r="E16" i="12" s="1"/>
  <c r="F14" i="27"/>
  <c r="F10" i="27"/>
  <c r="P91" i="23"/>
  <c r="N91" i="23"/>
  <c r="L91" i="23"/>
  <c r="F91" i="23"/>
  <c r="C91" i="23"/>
  <c r="I52" i="19" l="1"/>
  <c r="I57" i="19"/>
  <c r="I43" i="18"/>
  <c r="I94" i="18"/>
  <c r="I109" i="19"/>
  <c r="I79" i="18"/>
  <c r="I65" i="18"/>
  <c r="I97" i="19"/>
  <c r="I113" i="18"/>
  <c r="I68" i="18"/>
  <c r="I107" i="18"/>
  <c r="I6" i="18"/>
  <c r="I6" i="19"/>
  <c r="I59" i="18"/>
  <c r="I59" i="19"/>
  <c r="I68" i="19"/>
  <c r="AK7" i="27" a="1"/>
  <c r="AK7" i="27" s="1"/>
  <c r="G5" i="19" s="1"/>
  <c r="AK48" i="27" a="1"/>
  <c r="AK48" i="27" s="1"/>
  <c r="AK100" i="27" a="1"/>
  <c r="AK100" i="27" s="1"/>
  <c r="AK101" i="27" a="1"/>
  <c r="AK101" i="27" s="1"/>
  <c r="G99" i="19" s="1"/>
  <c r="AK14" i="27" a="1"/>
  <c r="AK14" i="27" s="1"/>
  <c r="G12" i="18" s="1"/>
  <c r="AK115" i="27" a="1"/>
  <c r="AK115" i="27" s="1"/>
  <c r="AK52" i="27" a="1"/>
  <c r="AK52" i="27" s="1"/>
  <c r="I72" i="18"/>
  <c r="I107" i="19"/>
  <c r="I109" i="18"/>
  <c r="I94" i="19"/>
  <c r="I42" i="19"/>
  <c r="I43" i="19"/>
  <c r="I72" i="19"/>
  <c r="BK52" i="27"/>
  <c r="BK63" i="27"/>
  <c r="BK13" i="27"/>
  <c r="BK11" i="27"/>
  <c r="BK55" i="27"/>
  <c r="BK80" i="27"/>
  <c r="BK53" i="27"/>
  <c r="BK46" i="27"/>
  <c r="BK82" i="27"/>
  <c r="BI74" i="27"/>
  <c r="BQ74" i="27" s="1" a="1"/>
  <c r="BQ74" i="27" s="1"/>
  <c r="O106" i="12"/>
  <c r="O72" i="12"/>
  <c r="DD115" i="27"/>
  <c r="O96" i="12"/>
  <c r="O8" i="12"/>
  <c r="O114" i="12"/>
  <c r="DD11" i="27"/>
  <c r="BL11" i="27"/>
  <c r="BJ140" i="27" s="1"/>
  <c r="AK133" i="27" a="1"/>
  <c r="AK133" i="27" s="1"/>
  <c r="G131" i="18" s="1"/>
  <c r="AK66" i="27" a="1"/>
  <c r="AK66" i="27" s="1"/>
  <c r="G64" i="18" s="1"/>
  <c r="AK29" i="27" a="1"/>
  <c r="AK29" i="27" s="1"/>
  <c r="G27" i="19" s="1"/>
  <c r="AK134" i="27" a="1"/>
  <c r="AK134" i="27" s="1"/>
  <c r="G132" i="19" s="1"/>
  <c r="AK71" i="27" a="1"/>
  <c r="AK71" i="27" s="1"/>
  <c r="G69" i="12" s="1"/>
  <c r="AK30" i="27" a="1"/>
  <c r="AK30" i="27" s="1"/>
  <c r="G28" i="12" s="1"/>
  <c r="AK6" i="27" a="1"/>
  <c r="AK6" i="27" s="1"/>
  <c r="G4" i="19" s="1"/>
  <c r="AK94" i="27" a="1"/>
  <c r="AK94" i="27" s="1"/>
  <c r="G92" i="19" s="1"/>
  <c r="AK126" i="27" a="1"/>
  <c r="AK126" i="27" s="1"/>
  <c r="G124" i="19" s="1"/>
  <c r="AK78" i="27" a="1"/>
  <c r="AK78" i="27" s="1"/>
  <c r="G76" i="12" s="1"/>
  <c r="AK60" i="27" a="1"/>
  <c r="AK60" i="27" s="1"/>
  <c r="G58" i="19" s="1"/>
  <c r="AK41" i="27" a="1"/>
  <c r="AK41" i="27" s="1"/>
  <c r="G39" i="19" s="1"/>
  <c r="AK25" i="27" a="1"/>
  <c r="AK25" i="27" s="1"/>
  <c r="G23" i="19" s="1"/>
  <c r="AK111" i="27" a="1"/>
  <c r="AK111" i="27" s="1"/>
  <c r="G109" i="19" s="1"/>
  <c r="AK89" i="27" a="1"/>
  <c r="AK89" i="27" s="1"/>
  <c r="G87" i="12" s="1"/>
  <c r="AK122" i="27" a="1"/>
  <c r="AK122" i="27" s="1"/>
  <c r="G120" i="19" s="1"/>
  <c r="AK77" i="27" a="1"/>
  <c r="AK77" i="27" s="1"/>
  <c r="G75" i="19" s="1"/>
  <c r="AK59" i="27" a="1"/>
  <c r="AK59" i="27" s="1"/>
  <c r="G57" i="18" s="1"/>
  <c r="AK40" i="27" a="1"/>
  <c r="AK40" i="27" s="1"/>
  <c r="G38" i="19" s="1"/>
  <c r="AK8" i="27" a="1"/>
  <c r="AK8" i="27" s="1"/>
  <c r="G6" i="19" s="1"/>
  <c r="AK107" i="27" a="1"/>
  <c r="AK107" i="27" s="1"/>
  <c r="G105" i="18" s="1"/>
  <c r="AK99" i="27" a="1"/>
  <c r="AK99" i="27" s="1"/>
  <c r="G97" i="12" s="1"/>
  <c r="AK88" i="27" a="1"/>
  <c r="AK88" i="27" s="1"/>
  <c r="G86" i="19" s="1"/>
  <c r="AK128" i="27" a="1"/>
  <c r="AK128" i="27" s="1"/>
  <c r="G126" i="19" s="1"/>
  <c r="AK121" i="27" a="1"/>
  <c r="AK121" i="27" s="1"/>
  <c r="G119" i="12" s="1"/>
  <c r="AK84" i="27" a="1"/>
  <c r="AK84" i="27" s="1"/>
  <c r="G82" i="19" s="1"/>
  <c r="AK76" i="27" a="1"/>
  <c r="AK76" i="27" s="1"/>
  <c r="G74" i="12" s="1"/>
  <c r="AK65" i="27" a="1"/>
  <c r="AK65" i="27" s="1"/>
  <c r="G63" i="19" s="1"/>
  <c r="AK54" i="27" a="1"/>
  <c r="AK54" i="27" s="1"/>
  <c r="G52" i="18" s="1"/>
  <c r="AK47" i="27" a="1"/>
  <c r="AK47" i="27" s="1"/>
  <c r="G45" i="12" s="1"/>
  <c r="AK36" i="27" a="1"/>
  <c r="AK36" i="27" s="1"/>
  <c r="G34" i="19" s="1"/>
  <c r="AK28" i="27" a="1"/>
  <c r="AK28" i="27" s="1"/>
  <c r="G26" i="12" s="1"/>
  <c r="AK21" i="27" a="1"/>
  <c r="AK21" i="27" s="1"/>
  <c r="G19" i="19" s="1"/>
  <c r="AK137" i="27" a="1"/>
  <c r="AK137" i="27" s="1"/>
  <c r="G135" i="19" s="1"/>
  <c r="AK106" i="27" a="1"/>
  <c r="AK106" i="27" s="1"/>
  <c r="G104" i="12" s="1"/>
  <c r="AK95" i="27" a="1"/>
  <c r="AK95" i="27" s="1"/>
  <c r="G93" i="19" s="1"/>
  <c r="AK87" i="27" a="1"/>
  <c r="AK87" i="27" s="1"/>
  <c r="G85" i="12" s="1"/>
  <c r="AK127" i="27" a="1"/>
  <c r="AK127" i="27" s="1"/>
  <c r="G125" i="19" s="1"/>
  <c r="AK116" i="27" a="1"/>
  <c r="AK116" i="27" s="1"/>
  <c r="G114" i="19" s="1"/>
  <c r="AK83" i="27" a="1"/>
  <c r="AK83" i="27" s="1"/>
  <c r="G81" i="19" s="1"/>
  <c r="AK72" i="27" a="1"/>
  <c r="AK72" i="27" s="1"/>
  <c r="G70" i="18" s="1"/>
  <c r="AK64" i="27" a="1"/>
  <c r="AK64" i="27" s="1"/>
  <c r="G62" i="18" s="1"/>
  <c r="AK53" i="27" a="1"/>
  <c r="AK53" i="27" s="1"/>
  <c r="G51" i="12" s="1"/>
  <c r="AK42" i="27" a="1"/>
  <c r="AK42" i="27" s="1"/>
  <c r="G40" i="19" s="1"/>
  <c r="AK35" i="27" a="1"/>
  <c r="AK35" i="27" s="1"/>
  <c r="G33" i="12" s="1"/>
  <c r="AK27" i="27" a="1"/>
  <c r="AK27" i="27" s="1"/>
  <c r="G25" i="18" s="1"/>
  <c r="AK17" i="27" a="1"/>
  <c r="AK17" i="27" s="1"/>
  <c r="G15" i="19" s="1"/>
  <c r="E99" i="18"/>
  <c r="E99" i="19"/>
  <c r="D99" i="19"/>
  <c r="M99" i="19"/>
  <c r="N99" i="19" s="1"/>
  <c r="D99" i="18"/>
  <c r="H140" i="27"/>
  <c r="D72" i="12"/>
  <c r="E72" i="12"/>
  <c r="M72" i="19"/>
  <c r="E72" i="19"/>
  <c r="D72" i="19"/>
  <c r="D72" i="18"/>
  <c r="E72" i="18"/>
  <c r="E137" i="12"/>
  <c r="D137" i="19"/>
  <c r="E137" i="19"/>
  <c r="M137" i="19"/>
  <c r="D137" i="18"/>
  <c r="E137" i="18"/>
  <c r="E58" i="12"/>
  <c r="M58" i="19"/>
  <c r="D58" i="19"/>
  <c r="E58" i="19"/>
  <c r="D58" i="18"/>
  <c r="E58" i="18"/>
  <c r="E41" i="12"/>
  <c r="M41" i="19"/>
  <c r="E41" i="19"/>
  <c r="D41" i="19"/>
  <c r="D41" i="18"/>
  <c r="E41" i="18"/>
  <c r="E105" i="12"/>
  <c r="M105" i="19"/>
  <c r="E105" i="19"/>
  <c r="D105" i="19"/>
  <c r="E105" i="18"/>
  <c r="D105" i="18"/>
  <c r="E98" i="12"/>
  <c r="M98" i="19"/>
  <c r="E98" i="19"/>
  <c r="D98" i="19"/>
  <c r="I98" i="19" s="1"/>
  <c r="D98" i="18"/>
  <c r="E98" i="18"/>
  <c r="E107" i="12"/>
  <c r="M107" i="19"/>
  <c r="E107" i="19"/>
  <c r="D107" i="19"/>
  <c r="D107" i="18"/>
  <c r="E107" i="18"/>
  <c r="G112" i="19"/>
  <c r="G112" i="18"/>
  <c r="G98" i="19"/>
  <c r="G98" i="18"/>
  <c r="X16" i="19"/>
  <c r="O16" i="19"/>
  <c r="T16" i="19" s="1"/>
  <c r="P16" i="19"/>
  <c r="O16" i="18"/>
  <c r="P16" i="18"/>
  <c r="P40" i="12"/>
  <c r="X40" i="19"/>
  <c r="P40" i="19"/>
  <c r="O40" i="19"/>
  <c r="O40" i="18"/>
  <c r="P40" i="18"/>
  <c r="X64" i="19"/>
  <c r="P64" i="19"/>
  <c r="O64" i="19"/>
  <c r="T64" i="19" s="1"/>
  <c r="O64" i="18"/>
  <c r="P64" i="18"/>
  <c r="P88" i="12"/>
  <c r="X88" i="19"/>
  <c r="P88" i="19"/>
  <c r="O88" i="19"/>
  <c r="T88" i="19" s="1"/>
  <c r="O88" i="18"/>
  <c r="P88" i="18"/>
  <c r="P112" i="12"/>
  <c r="X112" i="19"/>
  <c r="P112" i="19"/>
  <c r="O112" i="19"/>
  <c r="T112" i="19" s="1"/>
  <c r="O112" i="18"/>
  <c r="P112" i="18"/>
  <c r="X137" i="19"/>
  <c r="P137" i="19"/>
  <c r="O137" i="19"/>
  <c r="O137" i="18"/>
  <c r="P137" i="18"/>
  <c r="P11" i="19"/>
  <c r="O11" i="19"/>
  <c r="O11" i="18"/>
  <c r="P11" i="18"/>
  <c r="X35" i="19"/>
  <c r="O35" i="19"/>
  <c r="P35" i="19"/>
  <c r="O35" i="18"/>
  <c r="P35" i="18"/>
  <c r="X59" i="19"/>
  <c r="O59" i="19"/>
  <c r="P59" i="19"/>
  <c r="O59" i="18"/>
  <c r="P59" i="18"/>
  <c r="X83" i="19"/>
  <c r="P83" i="19"/>
  <c r="O83" i="19"/>
  <c r="T83" i="19" s="1"/>
  <c r="O83" i="18"/>
  <c r="P83" i="18"/>
  <c r="P113" i="12"/>
  <c r="X113" i="19"/>
  <c r="P113" i="19"/>
  <c r="O113" i="19"/>
  <c r="P113" i="18"/>
  <c r="O113" i="18"/>
  <c r="P6" i="12"/>
  <c r="X6" i="19"/>
  <c r="P6" i="19"/>
  <c r="O6" i="19"/>
  <c r="O6" i="18"/>
  <c r="P6" i="18"/>
  <c r="X30" i="19"/>
  <c r="P30" i="19"/>
  <c r="O30" i="19"/>
  <c r="O30" i="18"/>
  <c r="P30" i="18"/>
  <c r="P54" i="12"/>
  <c r="X54" i="19"/>
  <c r="P54" i="19"/>
  <c r="O54" i="19"/>
  <c r="O54" i="18"/>
  <c r="P54" i="18"/>
  <c r="P78" i="19"/>
  <c r="O78" i="19"/>
  <c r="O78" i="18"/>
  <c r="P78" i="18"/>
  <c r="P102" i="19"/>
  <c r="O102" i="19"/>
  <c r="O102" i="18"/>
  <c r="P102" i="18"/>
  <c r="P126" i="12"/>
  <c r="X126" i="19"/>
  <c r="P126" i="19"/>
  <c r="O126" i="19"/>
  <c r="P126" i="18"/>
  <c r="O126" i="18"/>
  <c r="P13" i="12"/>
  <c r="X13" i="19"/>
  <c r="O13" i="19"/>
  <c r="T13" i="19" s="1"/>
  <c r="P13" i="19"/>
  <c r="O13" i="18"/>
  <c r="P13" i="18"/>
  <c r="X37" i="19"/>
  <c r="O37" i="19"/>
  <c r="P37" i="19"/>
  <c r="O37" i="18"/>
  <c r="P37" i="18"/>
  <c r="P61" i="19"/>
  <c r="O61" i="19"/>
  <c r="T61" i="19" s="1"/>
  <c r="O61" i="18"/>
  <c r="P61" i="18"/>
  <c r="P85" i="12"/>
  <c r="X85" i="19"/>
  <c r="P85" i="19"/>
  <c r="O85" i="19"/>
  <c r="T85" i="19" s="1"/>
  <c r="O85" i="18"/>
  <c r="P85" i="18"/>
  <c r="P109" i="12"/>
  <c r="X109" i="19"/>
  <c r="O109" i="19"/>
  <c r="P109" i="19"/>
  <c r="P109" i="18"/>
  <c r="O109" i="18"/>
  <c r="X134" i="19"/>
  <c r="P134" i="19"/>
  <c r="O134" i="19"/>
  <c r="P134" i="18"/>
  <c r="O134" i="18"/>
  <c r="X27" i="19"/>
  <c r="P27" i="19"/>
  <c r="O27" i="19"/>
  <c r="T27" i="19" s="1"/>
  <c r="O27" i="18"/>
  <c r="P27" i="18"/>
  <c r="P51" i="12"/>
  <c r="O51" i="19"/>
  <c r="T51" i="19" s="1"/>
  <c r="P51" i="19"/>
  <c r="O51" i="18"/>
  <c r="P51" i="18"/>
  <c r="X75" i="19"/>
  <c r="P75" i="19"/>
  <c r="O75" i="19"/>
  <c r="T75" i="19" s="1"/>
  <c r="O75" i="18"/>
  <c r="P75" i="18"/>
  <c r="X99" i="19"/>
  <c r="Y99" i="19" s="1"/>
  <c r="P99" i="19"/>
  <c r="O99" i="19"/>
  <c r="O99" i="18"/>
  <c r="P99" i="18"/>
  <c r="P123" i="12"/>
  <c r="X123" i="19"/>
  <c r="P123" i="19"/>
  <c r="O123" i="19"/>
  <c r="O123" i="18"/>
  <c r="P123" i="18"/>
  <c r="P50" i="12"/>
  <c r="O50" i="19"/>
  <c r="P50" i="19"/>
  <c r="O50" i="18"/>
  <c r="P50" i="18"/>
  <c r="P56" i="12"/>
  <c r="X56" i="19"/>
  <c r="P56" i="19"/>
  <c r="O56" i="19"/>
  <c r="T56" i="19" s="1"/>
  <c r="O56" i="18"/>
  <c r="P56" i="18"/>
  <c r="P26" i="12"/>
  <c r="X26" i="19"/>
  <c r="P26" i="19"/>
  <c r="O26" i="19"/>
  <c r="T26" i="19" s="1"/>
  <c r="O26" i="18"/>
  <c r="P26" i="18"/>
  <c r="P32" i="12"/>
  <c r="X32" i="19"/>
  <c r="P32" i="19"/>
  <c r="O32" i="19"/>
  <c r="T32" i="19" s="1"/>
  <c r="O32" i="18"/>
  <c r="P32" i="18"/>
  <c r="P8" i="12"/>
  <c r="X8" i="19"/>
  <c r="O8" i="19"/>
  <c r="P8" i="19"/>
  <c r="O8" i="18"/>
  <c r="P8" i="18"/>
  <c r="O115" i="12"/>
  <c r="E56" i="12"/>
  <c r="M56" i="19"/>
  <c r="E56" i="19"/>
  <c r="D56" i="19"/>
  <c r="D56" i="18"/>
  <c r="E56" i="18"/>
  <c r="E120" i="12"/>
  <c r="E120" i="19"/>
  <c r="M120" i="19"/>
  <c r="D120" i="19"/>
  <c r="D120" i="18"/>
  <c r="E120" i="18"/>
  <c r="E118" i="12"/>
  <c r="E118" i="19"/>
  <c r="D118" i="19"/>
  <c r="E118" i="18"/>
  <c r="D118" i="18"/>
  <c r="E25" i="12"/>
  <c r="M25" i="19"/>
  <c r="E25" i="19"/>
  <c r="D25" i="19"/>
  <c r="D25" i="18"/>
  <c r="E25" i="18"/>
  <c r="E89" i="12"/>
  <c r="M89" i="19"/>
  <c r="E89" i="19"/>
  <c r="D89" i="19"/>
  <c r="D89" i="18"/>
  <c r="E89" i="18"/>
  <c r="E66" i="12"/>
  <c r="M66" i="19"/>
  <c r="E66" i="19"/>
  <c r="D66" i="19"/>
  <c r="D66" i="18"/>
  <c r="E66" i="18"/>
  <c r="E63" i="12"/>
  <c r="M63" i="19"/>
  <c r="E63" i="19"/>
  <c r="D63" i="19"/>
  <c r="D63" i="18"/>
  <c r="E63" i="18"/>
  <c r="E115" i="12"/>
  <c r="M115" i="19"/>
  <c r="E115" i="19"/>
  <c r="D115" i="19"/>
  <c r="D115" i="18"/>
  <c r="E115" i="18"/>
  <c r="E44" i="12"/>
  <c r="E44" i="19"/>
  <c r="D44" i="19"/>
  <c r="D44" i="18"/>
  <c r="E44" i="18"/>
  <c r="E108" i="12"/>
  <c r="M108" i="19"/>
  <c r="D108" i="19"/>
  <c r="E108" i="19"/>
  <c r="D108" i="18"/>
  <c r="E108" i="18"/>
  <c r="E22" i="12"/>
  <c r="M22" i="19"/>
  <c r="E22" i="19"/>
  <c r="D22" i="19"/>
  <c r="D22" i="18"/>
  <c r="E22" i="18"/>
  <c r="E126" i="12"/>
  <c r="D126" i="19"/>
  <c r="M126" i="19"/>
  <c r="E126" i="19"/>
  <c r="E126" i="18"/>
  <c r="D126" i="18"/>
  <c r="E45" i="12"/>
  <c r="M45" i="19"/>
  <c r="E45" i="19"/>
  <c r="D45" i="19"/>
  <c r="D45" i="18"/>
  <c r="E45" i="18"/>
  <c r="E93" i="12"/>
  <c r="E93" i="19"/>
  <c r="D93" i="19"/>
  <c r="D93" i="18"/>
  <c r="E93" i="18"/>
  <c r="E133" i="12"/>
  <c r="D133" i="19"/>
  <c r="E133" i="19"/>
  <c r="M133" i="19"/>
  <c r="D133" i="18"/>
  <c r="E133" i="18"/>
  <c r="E79" i="12"/>
  <c r="M79" i="19"/>
  <c r="D79" i="19"/>
  <c r="E79" i="19"/>
  <c r="D79" i="18"/>
  <c r="E79" i="18"/>
  <c r="E119" i="12"/>
  <c r="M119" i="19"/>
  <c r="E119" i="19"/>
  <c r="D119" i="19"/>
  <c r="D119" i="18"/>
  <c r="E119" i="18"/>
  <c r="G8" i="19"/>
  <c r="G8" i="18"/>
  <c r="X22" i="19"/>
  <c r="P22" i="19"/>
  <c r="O22" i="19"/>
  <c r="O22" i="18"/>
  <c r="P22" i="18"/>
  <c r="P46" i="12"/>
  <c r="X46" i="19"/>
  <c r="P46" i="19"/>
  <c r="O46" i="19"/>
  <c r="O46" i="18"/>
  <c r="P46" i="18"/>
  <c r="X70" i="19"/>
  <c r="P70" i="19"/>
  <c r="O70" i="19"/>
  <c r="T70" i="19" s="1"/>
  <c r="O70" i="18"/>
  <c r="P70" i="18"/>
  <c r="X94" i="19"/>
  <c r="P94" i="19"/>
  <c r="O94" i="19"/>
  <c r="O94" i="18"/>
  <c r="P94" i="18"/>
  <c r="P118" i="12"/>
  <c r="P118" i="19"/>
  <c r="O118" i="19"/>
  <c r="T118" i="19" s="1"/>
  <c r="P118" i="18"/>
  <c r="O118" i="18"/>
  <c r="P107" i="12"/>
  <c r="X107" i="19"/>
  <c r="P107" i="19"/>
  <c r="O107" i="19"/>
  <c r="P107" i="18"/>
  <c r="O107" i="18"/>
  <c r="X17" i="19"/>
  <c r="P17" i="19"/>
  <c r="O17" i="19"/>
  <c r="O17" i="18"/>
  <c r="P17" i="18"/>
  <c r="X41" i="19"/>
  <c r="O41" i="19"/>
  <c r="P41" i="19"/>
  <c r="O41" i="18"/>
  <c r="P41" i="18"/>
  <c r="X65" i="19"/>
  <c r="O65" i="19"/>
  <c r="P65" i="19"/>
  <c r="O65" i="18"/>
  <c r="P65" i="18"/>
  <c r="X89" i="19"/>
  <c r="P89" i="19"/>
  <c r="O89" i="19"/>
  <c r="T89" i="19" s="1"/>
  <c r="O89" i="18"/>
  <c r="P89" i="18"/>
  <c r="X119" i="19"/>
  <c r="P119" i="19"/>
  <c r="O119" i="19"/>
  <c r="O119" i="18"/>
  <c r="P119" i="18"/>
  <c r="P12" i="12"/>
  <c r="X12" i="19"/>
  <c r="P12" i="19"/>
  <c r="O12" i="19"/>
  <c r="O12" i="18"/>
  <c r="P12" i="18"/>
  <c r="X36" i="19"/>
  <c r="P36" i="19"/>
  <c r="O36" i="19"/>
  <c r="T36" i="19" s="1"/>
  <c r="O36" i="18"/>
  <c r="P36" i="18"/>
  <c r="X60" i="19"/>
  <c r="P60" i="19"/>
  <c r="O60" i="19"/>
  <c r="O60" i="18"/>
  <c r="P60" i="18"/>
  <c r="X84" i="19"/>
  <c r="P84" i="19"/>
  <c r="O84" i="19"/>
  <c r="T84" i="19" s="1"/>
  <c r="O84" i="18"/>
  <c r="P84" i="18"/>
  <c r="X108" i="19"/>
  <c r="P108" i="19"/>
  <c r="O108" i="19"/>
  <c r="O108" i="18"/>
  <c r="P108" i="18"/>
  <c r="X132" i="19"/>
  <c r="P132" i="19"/>
  <c r="O132" i="19"/>
  <c r="T132" i="19" s="1"/>
  <c r="O132" i="18"/>
  <c r="P132" i="18"/>
  <c r="P19" i="12"/>
  <c r="X19" i="19"/>
  <c r="P19" i="19"/>
  <c r="O19" i="19"/>
  <c r="T19" i="19" s="1"/>
  <c r="O19" i="18"/>
  <c r="P19" i="18"/>
  <c r="X43" i="19"/>
  <c r="O43" i="19"/>
  <c r="P43" i="19"/>
  <c r="O43" i="18"/>
  <c r="P43" i="18"/>
  <c r="X67" i="19"/>
  <c r="O67" i="19"/>
  <c r="P67" i="19"/>
  <c r="O67" i="18"/>
  <c r="P67" i="18"/>
  <c r="X91" i="19"/>
  <c r="O91" i="19"/>
  <c r="T91" i="19" s="1"/>
  <c r="P91" i="19"/>
  <c r="O91" i="18"/>
  <c r="P91" i="18"/>
  <c r="X115" i="19"/>
  <c r="P115" i="19"/>
  <c r="O115" i="19"/>
  <c r="T115" i="19" s="1"/>
  <c r="P115" i="18"/>
  <c r="O115" i="18"/>
  <c r="P9" i="12"/>
  <c r="P9" i="19"/>
  <c r="O9" i="19"/>
  <c r="O9" i="18"/>
  <c r="P9" i="18"/>
  <c r="X33" i="19"/>
  <c r="O33" i="19"/>
  <c r="P33" i="19"/>
  <c r="O33" i="18"/>
  <c r="P33" i="18"/>
  <c r="X57" i="19"/>
  <c r="O57" i="19"/>
  <c r="P57" i="19"/>
  <c r="O57" i="18"/>
  <c r="P57" i="18"/>
  <c r="X81" i="19"/>
  <c r="P81" i="19"/>
  <c r="O81" i="19"/>
  <c r="T81" i="19" s="1"/>
  <c r="O81" i="18"/>
  <c r="P81" i="18"/>
  <c r="X105" i="19"/>
  <c r="O105" i="19"/>
  <c r="T105" i="19" s="1"/>
  <c r="P105" i="19"/>
  <c r="P105" i="18"/>
  <c r="O105" i="18"/>
  <c r="P129" i="19"/>
  <c r="O129" i="19"/>
  <c r="O129" i="18"/>
  <c r="P129" i="18"/>
  <c r="P86" i="12"/>
  <c r="X86" i="19"/>
  <c r="P86" i="19"/>
  <c r="O86" i="19"/>
  <c r="O86" i="18"/>
  <c r="P86" i="18"/>
  <c r="P92" i="12"/>
  <c r="X92" i="19"/>
  <c r="P92" i="19"/>
  <c r="O92" i="19"/>
  <c r="O92" i="18"/>
  <c r="P92" i="18"/>
  <c r="P62" i="12"/>
  <c r="X62" i="19"/>
  <c r="P62" i="19"/>
  <c r="O62" i="19"/>
  <c r="O62" i="18"/>
  <c r="P62" i="18"/>
  <c r="P68" i="12"/>
  <c r="X68" i="19"/>
  <c r="O68" i="19"/>
  <c r="P68" i="19"/>
  <c r="O68" i="18"/>
  <c r="P68" i="18"/>
  <c r="P74" i="12"/>
  <c r="X74" i="19"/>
  <c r="P74" i="19"/>
  <c r="O74" i="19"/>
  <c r="O74" i="18"/>
  <c r="P74" i="18"/>
  <c r="P80" i="12"/>
  <c r="P80" i="19"/>
  <c r="O80" i="19"/>
  <c r="T80" i="19" s="1"/>
  <c r="O80" i="18"/>
  <c r="P80" i="18"/>
  <c r="P38" i="12"/>
  <c r="X38" i="19"/>
  <c r="O38" i="19"/>
  <c r="P38" i="19"/>
  <c r="O38" i="18"/>
  <c r="P38" i="18"/>
  <c r="DD65" i="27"/>
  <c r="DG65" i="27" s="1"/>
  <c r="O82" i="12"/>
  <c r="P110" i="12"/>
  <c r="X110" i="19"/>
  <c r="P110" i="19"/>
  <c r="O110" i="19"/>
  <c r="T110" i="19" s="1"/>
  <c r="O110" i="18"/>
  <c r="P110" i="18"/>
  <c r="E24" i="12"/>
  <c r="M24" i="19"/>
  <c r="E24" i="19"/>
  <c r="D24" i="19"/>
  <c r="D24" i="18"/>
  <c r="E24" i="18"/>
  <c r="E88" i="12"/>
  <c r="M88" i="19"/>
  <c r="D88" i="19"/>
  <c r="E88" i="19"/>
  <c r="D88" i="18"/>
  <c r="E88" i="18"/>
  <c r="E18" i="12"/>
  <c r="M18" i="19"/>
  <c r="E18" i="19"/>
  <c r="D18" i="19"/>
  <c r="D18" i="18"/>
  <c r="E18" i="18"/>
  <c r="E86" i="12"/>
  <c r="M86" i="19"/>
  <c r="D86" i="19"/>
  <c r="E86" i="19"/>
  <c r="D86" i="18"/>
  <c r="E86" i="18"/>
  <c r="E57" i="12"/>
  <c r="M57" i="19"/>
  <c r="E57" i="19"/>
  <c r="D57" i="19"/>
  <c r="D57" i="18"/>
  <c r="E57" i="18"/>
  <c r="E121" i="12"/>
  <c r="E121" i="19"/>
  <c r="M121" i="19"/>
  <c r="D121" i="19"/>
  <c r="D121" i="18"/>
  <c r="E121" i="18"/>
  <c r="E130" i="12"/>
  <c r="E130" i="19"/>
  <c r="M130" i="19"/>
  <c r="D130" i="19"/>
  <c r="E130" i="18"/>
  <c r="D130" i="18"/>
  <c r="E43" i="12"/>
  <c r="M43" i="19"/>
  <c r="E43" i="19"/>
  <c r="D43" i="19"/>
  <c r="D43" i="18"/>
  <c r="E43" i="18"/>
  <c r="E28" i="12"/>
  <c r="M28" i="19"/>
  <c r="E28" i="19"/>
  <c r="D28" i="19"/>
  <c r="D28" i="18"/>
  <c r="E28" i="18"/>
  <c r="E60" i="12"/>
  <c r="M60" i="19"/>
  <c r="E60" i="19"/>
  <c r="D60" i="19"/>
  <c r="D60" i="18"/>
  <c r="E60" i="18"/>
  <c r="E92" i="12"/>
  <c r="M92" i="19"/>
  <c r="E92" i="19"/>
  <c r="D92" i="19"/>
  <c r="D92" i="18"/>
  <c r="E92" i="18"/>
  <c r="E6" i="12"/>
  <c r="M6" i="19"/>
  <c r="D6" i="19"/>
  <c r="E6" i="19"/>
  <c r="D6" i="18"/>
  <c r="E6" i="18"/>
  <c r="E94" i="12"/>
  <c r="M94" i="19"/>
  <c r="E94" i="19"/>
  <c r="D94" i="19"/>
  <c r="D94" i="18"/>
  <c r="E94" i="18"/>
  <c r="E29" i="12"/>
  <c r="M29" i="19"/>
  <c r="E29" i="19"/>
  <c r="D29" i="19"/>
  <c r="D29" i="18"/>
  <c r="E29" i="18"/>
  <c r="E77" i="12"/>
  <c r="M77" i="19"/>
  <c r="D77" i="19"/>
  <c r="E77" i="19"/>
  <c r="D77" i="18"/>
  <c r="E77" i="18"/>
  <c r="E125" i="12"/>
  <c r="M125" i="19"/>
  <c r="E125" i="19"/>
  <c r="D125" i="19"/>
  <c r="D125" i="18"/>
  <c r="E125" i="18"/>
  <c r="E106" i="12"/>
  <c r="M106" i="19"/>
  <c r="E106" i="19"/>
  <c r="D106" i="19"/>
  <c r="E106" i="18"/>
  <c r="D106" i="18"/>
  <c r="E59" i="12"/>
  <c r="M59" i="19"/>
  <c r="E59" i="19"/>
  <c r="D59" i="19"/>
  <c r="D59" i="18"/>
  <c r="E59" i="18"/>
  <c r="E7" i="12"/>
  <c r="M7" i="19"/>
  <c r="D7" i="19"/>
  <c r="E7" i="19"/>
  <c r="D7" i="18"/>
  <c r="E7" i="18"/>
  <c r="M16" i="19"/>
  <c r="E16" i="19"/>
  <c r="D16" i="19"/>
  <c r="D16" i="18"/>
  <c r="E16" i="18"/>
  <c r="E48" i="12"/>
  <c r="M48" i="19"/>
  <c r="E48" i="19"/>
  <c r="D48" i="19"/>
  <c r="D48" i="18"/>
  <c r="E48" i="18"/>
  <c r="E80" i="12"/>
  <c r="E80" i="19"/>
  <c r="D80" i="19"/>
  <c r="D80" i="18"/>
  <c r="E80" i="18"/>
  <c r="E112" i="12"/>
  <c r="E112" i="19"/>
  <c r="M112" i="19"/>
  <c r="D112" i="19"/>
  <c r="D112" i="18"/>
  <c r="E112" i="18"/>
  <c r="E10" i="12"/>
  <c r="M10" i="19"/>
  <c r="E10" i="19"/>
  <c r="D10" i="19"/>
  <c r="D10" i="18"/>
  <c r="E10" i="18"/>
  <c r="E46" i="12"/>
  <c r="M46" i="19"/>
  <c r="E46" i="19"/>
  <c r="D46" i="19"/>
  <c r="D46" i="18"/>
  <c r="E46" i="18"/>
  <c r="E135" i="12"/>
  <c r="M135" i="19"/>
  <c r="D135" i="19"/>
  <c r="E135" i="19"/>
  <c r="D135" i="18"/>
  <c r="E135" i="18"/>
  <c r="E33" i="12"/>
  <c r="M33" i="19"/>
  <c r="E33" i="19"/>
  <c r="D33" i="19"/>
  <c r="D33" i="18"/>
  <c r="E33" i="18"/>
  <c r="E65" i="12"/>
  <c r="M65" i="19"/>
  <c r="E65" i="19"/>
  <c r="D65" i="19"/>
  <c r="D65" i="18"/>
  <c r="E65" i="18"/>
  <c r="E97" i="12"/>
  <c r="M97" i="19"/>
  <c r="D97" i="19"/>
  <c r="E97" i="19"/>
  <c r="D97" i="18"/>
  <c r="E97" i="18"/>
  <c r="E129" i="12"/>
  <c r="E129" i="19"/>
  <c r="D129" i="19"/>
  <c r="D129" i="18"/>
  <c r="E129" i="18"/>
  <c r="E82" i="12"/>
  <c r="M82" i="19"/>
  <c r="D82" i="19"/>
  <c r="E82" i="19"/>
  <c r="D82" i="18"/>
  <c r="E82" i="18"/>
  <c r="E31" i="12"/>
  <c r="M31" i="19"/>
  <c r="E31" i="19"/>
  <c r="D31" i="19"/>
  <c r="D31" i="18"/>
  <c r="E31" i="18"/>
  <c r="E11" i="12"/>
  <c r="D11" i="19"/>
  <c r="E11" i="19"/>
  <c r="D11" i="18"/>
  <c r="E11" i="18"/>
  <c r="E75" i="12"/>
  <c r="M75" i="19"/>
  <c r="D75" i="19"/>
  <c r="E75" i="19"/>
  <c r="D75" i="18"/>
  <c r="E75" i="18"/>
  <c r="E23" i="12"/>
  <c r="M23" i="19"/>
  <c r="D23" i="19"/>
  <c r="E23" i="19"/>
  <c r="D23" i="18"/>
  <c r="E23" i="18"/>
  <c r="G104" i="18"/>
  <c r="G64" i="19"/>
  <c r="E35" i="12"/>
  <c r="M35" i="19"/>
  <c r="E35" i="19"/>
  <c r="D35" i="19"/>
  <c r="D35" i="18"/>
  <c r="E35" i="18"/>
  <c r="E67" i="12"/>
  <c r="M67" i="19"/>
  <c r="E67" i="19"/>
  <c r="D67" i="19"/>
  <c r="D67" i="18"/>
  <c r="E67" i="18"/>
  <c r="X28" i="19"/>
  <c r="O28" i="19"/>
  <c r="T28" i="19" s="1"/>
  <c r="P28" i="19"/>
  <c r="O28" i="18"/>
  <c r="P28" i="18"/>
  <c r="X52" i="19"/>
  <c r="P52" i="19"/>
  <c r="O52" i="19"/>
  <c r="O52" i="18"/>
  <c r="P52" i="18"/>
  <c r="P76" i="12"/>
  <c r="X76" i="19"/>
  <c r="P76" i="19"/>
  <c r="O76" i="19"/>
  <c r="T76" i="19" s="1"/>
  <c r="O76" i="18"/>
  <c r="P76" i="18"/>
  <c r="X100" i="19"/>
  <c r="P100" i="19"/>
  <c r="O100" i="19"/>
  <c r="O100" i="18"/>
  <c r="P100" i="18"/>
  <c r="X124" i="19"/>
  <c r="O124" i="19"/>
  <c r="P124" i="19"/>
  <c r="O124" i="18"/>
  <c r="P124" i="18"/>
  <c r="X23" i="19"/>
  <c r="P23" i="19"/>
  <c r="O23" i="19"/>
  <c r="O23" i="18"/>
  <c r="P23" i="18"/>
  <c r="X47" i="19"/>
  <c r="O47" i="19"/>
  <c r="P47" i="19"/>
  <c r="O47" i="18"/>
  <c r="P47" i="18"/>
  <c r="P71" i="12"/>
  <c r="X71" i="19"/>
  <c r="P71" i="19"/>
  <c r="O71" i="19"/>
  <c r="T71" i="19" s="1"/>
  <c r="O71" i="18"/>
  <c r="P71" i="18"/>
  <c r="P95" i="19"/>
  <c r="O95" i="19"/>
  <c r="T95" i="19" s="1"/>
  <c r="O95" i="18"/>
  <c r="P95" i="18"/>
  <c r="P131" i="12"/>
  <c r="X131" i="19"/>
  <c r="O131" i="19"/>
  <c r="P131" i="19"/>
  <c r="P131" i="18"/>
  <c r="O131" i="18"/>
  <c r="X18" i="19"/>
  <c r="P18" i="19"/>
  <c r="O18" i="19"/>
  <c r="O18" i="18"/>
  <c r="P18" i="18"/>
  <c r="X42" i="19"/>
  <c r="P42" i="19"/>
  <c r="O42" i="19"/>
  <c r="O42" i="18"/>
  <c r="P42" i="18"/>
  <c r="P66" i="12"/>
  <c r="X66" i="19"/>
  <c r="P66" i="19"/>
  <c r="O66" i="19"/>
  <c r="T66" i="19" s="1"/>
  <c r="O66" i="18"/>
  <c r="P66" i="18"/>
  <c r="O90" i="19"/>
  <c r="P90" i="19"/>
  <c r="O90" i="18"/>
  <c r="P90" i="18"/>
  <c r="X114" i="19"/>
  <c r="P114" i="19"/>
  <c r="O114" i="19"/>
  <c r="O114" i="18"/>
  <c r="P114" i="18"/>
  <c r="X4" i="19"/>
  <c r="P4" i="19"/>
  <c r="O4" i="19"/>
  <c r="T4" i="19" s="1"/>
  <c r="O4" i="18"/>
  <c r="P4" i="18"/>
  <c r="X25" i="19"/>
  <c r="P25" i="19"/>
  <c r="O25" i="19"/>
  <c r="O25" i="18"/>
  <c r="P25" i="18"/>
  <c r="P49" i="12"/>
  <c r="X49" i="19"/>
  <c r="O49" i="19"/>
  <c r="T49" i="19" s="1"/>
  <c r="P49" i="19"/>
  <c r="O49" i="18"/>
  <c r="P49" i="18"/>
  <c r="P73" i="12"/>
  <c r="X73" i="19"/>
  <c r="P73" i="19"/>
  <c r="O73" i="19"/>
  <c r="O73" i="18"/>
  <c r="P73" i="18"/>
  <c r="X97" i="19"/>
  <c r="P97" i="19"/>
  <c r="O97" i="19"/>
  <c r="O97" i="18"/>
  <c r="P97" i="18"/>
  <c r="X121" i="19"/>
  <c r="P121" i="19"/>
  <c r="O121" i="19"/>
  <c r="O121" i="18"/>
  <c r="P121" i="18"/>
  <c r="P15" i="12"/>
  <c r="X15" i="19"/>
  <c r="P15" i="19"/>
  <c r="O15" i="19"/>
  <c r="O15" i="18"/>
  <c r="P15" i="18"/>
  <c r="X39" i="19"/>
  <c r="O39" i="19"/>
  <c r="P39" i="19"/>
  <c r="O39" i="18"/>
  <c r="P39" i="18"/>
  <c r="X63" i="19"/>
  <c r="O63" i="19"/>
  <c r="T63" i="19" s="1"/>
  <c r="P63" i="19"/>
  <c r="O63" i="18"/>
  <c r="P63" i="18"/>
  <c r="X87" i="19"/>
  <c r="P87" i="19"/>
  <c r="O87" i="19"/>
  <c r="T87" i="19" s="1"/>
  <c r="O87" i="18"/>
  <c r="P87" i="18"/>
  <c r="X111" i="19"/>
  <c r="O111" i="19"/>
  <c r="T111" i="19" s="1"/>
  <c r="P111" i="19"/>
  <c r="P111" i="18"/>
  <c r="O111" i="18"/>
  <c r="X136" i="19"/>
  <c r="P136" i="19"/>
  <c r="O136" i="19"/>
  <c r="T136" i="19" s="1"/>
  <c r="O136" i="18"/>
  <c r="P136" i="18"/>
  <c r="P122" i="12"/>
  <c r="X122" i="19"/>
  <c r="P122" i="19"/>
  <c r="O122" i="19"/>
  <c r="T122" i="19" s="1"/>
  <c r="P122" i="18"/>
  <c r="O122" i="18"/>
  <c r="P128" i="12"/>
  <c r="X128" i="19"/>
  <c r="O128" i="19"/>
  <c r="P128" i="19"/>
  <c r="O128" i="18"/>
  <c r="P128" i="18"/>
  <c r="P98" i="12"/>
  <c r="X98" i="19"/>
  <c r="P98" i="19"/>
  <c r="O98" i="19"/>
  <c r="T98" i="19" s="1"/>
  <c r="O98" i="18"/>
  <c r="P98" i="18"/>
  <c r="P104" i="12"/>
  <c r="X104" i="19"/>
  <c r="O104" i="19"/>
  <c r="P104" i="19"/>
  <c r="O104" i="18"/>
  <c r="P104" i="18"/>
  <c r="P44" i="12"/>
  <c r="O44" i="19"/>
  <c r="T44" i="19" s="1"/>
  <c r="P44" i="19"/>
  <c r="O44" i="18"/>
  <c r="P44" i="18"/>
  <c r="O36" i="12"/>
  <c r="O83" i="12"/>
  <c r="DD21" i="27"/>
  <c r="DG21" i="27" s="1"/>
  <c r="O91" i="12"/>
  <c r="O138" i="12"/>
  <c r="DD74" i="27"/>
  <c r="DG74" i="27" s="1"/>
  <c r="E8" i="12"/>
  <c r="M8" i="19"/>
  <c r="E8" i="19"/>
  <c r="D8" i="19"/>
  <c r="D8" i="18"/>
  <c r="E8" i="18"/>
  <c r="E40" i="12"/>
  <c r="M40" i="19"/>
  <c r="E40" i="19"/>
  <c r="D40" i="19"/>
  <c r="D40" i="18"/>
  <c r="E40" i="18"/>
  <c r="E104" i="12"/>
  <c r="M104" i="19"/>
  <c r="D104" i="19"/>
  <c r="E104" i="19"/>
  <c r="D104" i="18"/>
  <c r="E104" i="18"/>
  <c r="E34" i="12"/>
  <c r="M34" i="19"/>
  <c r="E34" i="19"/>
  <c r="D34" i="19"/>
  <c r="D34" i="18"/>
  <c r="E34" i="18"/>
  <c r="E9" i="12"/>
  <c r="D9" i="19"/>
  <c r="E9" i="19"/>
  <c r="D9" i="18"/>
  <c r="E9" i="18"/>
  <c r="E73" i="12"/>
  <c r="M73" i="19"/>
  <c r="D73" i="19"/>
  <c r="E73" i="19"/>
  <c r="D73" i="18"/>
  <c r="E73" i="18"/>
  <c r="E127" i="12"/>
  <c r="M127" i="19"/>
  <c r="E127" i="19"/>
  <c r="D127" i="19"/>
  <c r="D127" i="18"/>
  <c r="E127" i="18"/>
  <c r="E87" i="12"/>
  <c r="M87" i="19"/>
  <c r="E87" i="19"/>
  <c r="D87" i="19"/>
  <c r="D87" i="18"/>
  <c r="E87" i="18"/>
  <c r="E12" i="12"/>
  <c r="M12" i="19"/>
  <c r="D12" i="19"/>
  <c r="E12" i="19"/>
  <c r="D12" i="18"/>
  <c r="E12" i="18"/>
  <c r="E76" i="12"/>
  <c r="M76" i="19"/>
  <c r="E76" i="19"/>
  <c r="D76" i="19"/>
  <c r="D76" i="18"/>
  <c r="E76" i="18"/>
  <c r="E124" i="12"/>
  <c r="M124" i="19"/>
  <c r="E124" i="19"/>
  <c r="D124" i="19"/>
  <c r="D124" i="18"/>
  <c r="E124" i="18"/>
  <c r="E38" i="12"/>
  <c r="M38" i="19"/>
  <c r="D38" i="19"/>
  <c r="E38" i="19"/>
  <c r="D38" i="18"/>
  <c r="E38" i="18"/>
  <c r="E62" i="12"/>
  <c r="M62" i="19"/>
  <c r="E62" i="19"/>
  <c r="D62" i="19"/>
  <c r="D62" i="18"/>
  <c r="E62" i="18"/>
  <c r="E13" i="12"/>
  <c r="M13" i="19"/>
  <c r="E13" i="19"/>
  <c r="D13" i="19"/>
  <c r="D13" i="18"/>
  <c r="E13" i="18"/>
  <c r="E61" i="12"/>
  <c r="E61" i="19"/>
  <c r="D61" i="19"/>
  <c r="D61" i="18"/>
  <c r="E61" i="18"/>
  <c r="E109" i="12"/>
  <c r="E109" i="19"/>
  <c r="M109" i="19"/>
  <c r="D109" i="19"/>
  <c r="E109" i="18"/>
  <c r="D109" i="18"/>
  <c r="E74" i="12"/>
  <c r="M74" i="19"/>
  <c r="E74" i="19"/>
  <c r="D74" i="19"/>
  <c r="D74" i="18"/>
  <c r="E74" i="18"/>
  <c r="E15" i="12"/>
  <c r="M15" i="19"/>
  <c r="D15" i="19"/>
  <c r="E15" i="19"/>
  <c r="D15" i="18"/>
  <c r="E15" i="18"/>
  <c r="E123" i="12"/>
  <c r="M123" i="19"/>
  <c r="D123" i="19"/>
  <c r="E123" i="19"/>
  <c r="D123" i="18"/>
  <c r="E123" i="18"/>
  <c r="E19" i="12"/>
  <c r="M19" i="19"/>
  <c r="D19" i="19"/>
  <c r="E19" i="19"/>
  <c r="D19" i="18"/>
  <c r="E19" i="18"/>
  <c r="E32" i="12"/>
  <c r="M32" i="19"/>
  <c r="E32" i="19"/>
  <c r="D32" i="19"/>
  <c r="D32" i="18"/>
  <c r="E32" i="18"/>
  <c r="E64" i="12"/>
  <c r="M64" i="19"/>
  <c r="E64" i="19"/>
  <c r="D64" i="19"/>
  <c r="D64" i="18"/>
  <c r="E64" i="18"/>
  <c r="E96" i="12"/>
  <c r="M96" i="19"/>
  <c r="E96" i="19"/>
  <c r="D96" i="19"/>
  <c r="D96" i="18"/>
  <c r="E96" i="18"/>
  <c r="E128" i="12"/>
  <c r="D128" i="19"/>
  <c r="M128" i="19"/>
  <c r="E128" i="19"/>
  <c r="D128" i="18"/>
  <c r="E128" i="18"/>
  <c r="E26" i="12"/>
  <c r="M26" i="19"/>
  <c r="E26" i="19"/>
  <c r="D26" i="19"/>
  <c r="D26" i="18"/>
  <c r="E26" i="18"/>
  <c r="E70" i="12"/>
  <c r="M70" i="19"/>
  <c r="E70" i="19"/>
  <c r="D70" i="19"/>
  <c r="D70" i="18"/>
  <c r="E70" i="18"/>
  <c r="E102" i="12"/>
  <c r="E102" i="19"/>
  <c r="D102" i="19"/>
  <c r="D102" i="18"/>
  <c r="E102" i="18"/>
  <c r="E17" i="12"/>
  <c r="M17" i="19"/>
  <c r="E17" i="19"/>
  <c r="D17" i="19"/>
  <c r="D17" i="18"/>
  <c r="E17" i="18"/>
  <c r="E49" i="12"/>
  <c r="M49" i="19"/>
  <c r="E49" i="19"/>
  <c r="D49" i="19"/>
  <c r="D49" i="18"/>
  <c r="E49" i="18"/>
  <c r="E81" i="12"/>
  <c r="M81" i="19"/>
  <c r="E81" i="19"/>
  <c r="D81" i="19"/>
  <c r="D81" i="18"/>
  <c r="E81" i="18"/>
  <c r="E113" i="12"/>
  <c r="M113" i="19"/>
  <c r="D113" i="19"/>
  <c r="E113" i="19"/>
  <c r="E113" i="18"/>
  <c r="D113" i="18"/>
  <c r="E42" i="12"/>
  <c r="M42" i="19"/>
  <c r="E42" i="19"/>
  <c r="D42" i="19"/>
  <c r="D42" i="18"/>
  <c r="E42" i="18"/>
  <c r="E114" i="12"/>
  <c r="M114" i="19"/>
  <c r="E114" i="19"/>
  <c r="D114" i="19"/>
  <c r="E114" i="18"/>
  <c r="D114" i="18"/>
  <c r="E95" i="12"/>
  <c r="D95" i="19"/>
  <c r="E95" i="19"/>
  <c r="D95" i="18"/>
  <c r="E95" i="18"/>
  <c r="E51" i="12"/>
  <c r="E51" i="19"/>
  <c r="D51" i="19"/>
  <c r="D51" i="18"/>
  <c r="E51" i="18"/>
  <c r="E71" i="12"/>
  <c r="M71" i="19"/>
  <c r="D71" i="19"/>
  <c r="E71" i="19"/>
  <c r="D71" i="18"/>
  <c r="E71" i="18"/>
  <c r="E39" i="12"/>
  <c r="M39" i="19"/>
  <c r="E39" i="19"/>
  <c r="D39" i="19"/>
  <c r="D39" i="18"/>
  <c r="E39" i="18"/>
  <c r="E20" i="12"/>
  <c r="M20" i="19"/>
  <c r="E20" i="19"/>
  <c r="D20" i="19"/>
  <c r="D20" i="18"/>
  <c r="E20" i="18"/>
  <c r="E36" i="12"/>
  <c r="M36" i="19"/>
  <c r="E36" i="19"/>
  <c r="D36" i="19"/>
  <c r="D36" i="18"/>
  <c r="E36" i="18"/>
  <c r="E52" i="12"/>
  <c r="M52" i="19"/>
  <c r="E52" i="19"/>
  <c r="D52" i="19"/>
  <c r="D52" i="18"/>
  <c r="E52" i="18"/>
  <c r="E68" i="12"/>
  <c r="M68" i="19"/>
  <c r="D68" i="19"/>
  <c r="E68" i="19"/>
  <c r="D68" i="18"/>
  <c r="E68" i="18"/>
  <c r="E84" i="12"/>
  <c r="M84" i="19"/>
  <c r="D84" i="19"/>
  <c r="E84" i="19"/>
  <c r="D84" i="18"/>
  <c r="E84" i="18"/>
  <c r="E100" i="12"/>
  <c r="M100" i="19"/>
  <c r="E100" i="19"/>
  <c r="D100" i="19"/>
  <c r="D100" i="18"/>
  <c r="E100" i="18"/>
  <c r="E116" i="12"/>
  <c r="D116" i="19"/>
  <c r="M116" i="19"/>
  <c r="E116" i="19"/>
  <c r="D116" i="18"/>
  <c r="E116" i="18"/>
  <c r="E132" i="12"/>
  <c r="D132" i="19"/>
  <c r="M132" i="19"/>
  <c r="E132" i="19"/>
  <c r="E132" i="18"/>
  <c r="D132" i="18"/>
  <c r="E14" i="12"/>
  <c r="M14" i="19"/>
  <c r="E14" i="19"/>
  <c r="D14" i="19"/>
  <c r="D14" i="18"/>
  <c r="E14" i="18"/>
  <c r="E30" i="12"/>
  <c r="M30" i="19"/>
  <c r="D30" i="19"/>
  <c r="E30" i="19"/>
  <c r="D30" i="18"/>
  <c r="E30" i="18"/>
  <c r="E50" i="12"/>
  <c r="E50" i="19"/>
  <c r="D50" i="19"/>
  <c r="D50" i="18"/>
  <c r="E50" i="18"/>
  <c r="E78" i="12"/>
  <c r="E78" i="19"/>
  <c r="D78" i="19"/>
  <c r="D78" i="18"/>
  <c r="E78" i="18"/>
  <c r="E110" i="12"/>
  <c r="M110" i="19"/>
  <c r="E110" i="19"/>
  <c r="D110" i="19"/>
  <c r="E110" i="18"/>
  <c r="D110" i="18"/>
  <c r="E5" i="12"/>
  <c r="M5" i="19"/>
  <c r="E5" i="19"/>
  <c r="D5" i="19"/>
  <c r="D5" i="18"/>
  <c r="E5" i="18"/>
  <c r="E21" i="12"/>
  <c r="M21" i="19"/>
  <c r="E21" i="19"/>
  <c r="D21" i="19"/>
  <c r="D21" i="18"/>
  <c r="E21" i="18"/>
  <c r="E37" i="12"/>
  <c r="M37" i="19"/>
  <c r="E37" i="19"/>
  <c r="D37" i="19"/>
  <c r="D37" i="18"/>
  <c r="E37" i="18"/>
  <c r="E53" i="12"/>
  <c r="E53" i="19"/>
  <c r="D53" i="19"/>
  <c r="D53" i="18"/>
  <c r="E53" i="18"/>
  <c r="E69" i="12"/>
  <c r="M69" i="19"/>
  <c r="E69" i="19"/>
  <c r="D69" i="19"/>
  <c r="D69" i="18"/>
  <c r="E69" i="18"/>
  <c r="E85" i="12"/>
  <c r="M85" i="19"/>
  <c r="E85" i="19"/>
  <c r="D85" i="19"/>
  <c r="D85" i="18"/>
  <c r="E85" i="18"/>
  <c r="E101" i="12"/>
  <c r="M101" i="19"/>
  <c r="E101" i="19"/>
  <c r="D101" i="19"/>
  <c r="D101" i="18"/>
  <c r="E101" i="18"/>
  <c r="E117" i="12"/>
  <c r="E117" i="19"/>
  <c r="D117" i="19"/>
  <c r="M117" i="19"/>
  <c r="E117" i="18"/>
  <c r="D117" i="18"/>
  <c r="E134" i="12"/>
  <c r="M134" i="19"/>
  <c r="D134" i="19"/>
  <c r="E134" i="19"/>
  <c r="E134" i="18"/>
  <c r="D134" i="18"/>
  <c r="E54" i="12"/>
  <c r="M54" i="19"/>
  <c r="E54" i="19"/>
  <c r="D54" i="19"/>
  <c r="D54" i="18"/>
  <c r="E54" i="18"/>
  <c r="E90" i="12"/>
  <c r="D90" i="19"/>
  <c r="E90" i="19"/>
  <c r="D90" i="18"/>
  <c r="E90" i="18"/>
  <c r="E122" i="12"/>
  <c r="E122" i="19"/>
  <c r="M122" i="19"/>
  <c r="D122" i="19"/>
  <c r="E122" i="18"/>
  <c r="D122" i="18"/>
  <c r="E47" i="12"/>
  <c r="M47" i="19"/>
  <c r="E47" i="19"/>
  <c r="D47" i="19"/>
  <c r="D47" i="18"/>
  <c r="E47" i="18"/>
  <c r="E111" i="12"/>
  <c r="M111" i="19"/>
  <c r="E111" i="19"/>
  <c r="D111" i="19"/>
  <c r="D111" i="18"/>
  <c r="E111" i="18"/>
  <c r="E27" i="12"/>
  <c r="M27" i="19"/>
  <c r="D27" i="19"/>
  <c r="E27" i="19"/>
  <c r="D27" i="18"/>
  <c r="E27" i="18"/>
  <c r="E91" i="12"/>
  <c r="M91" i="19"/>
  <c r="E91" i="19"/>
  <c r="D91" i="19"/>
  <c r="D91" i="18"/>
  <c r="E91" i="18"/>
  <c r="E83" i="12"/>
  <c r="M83" i="19"/>
  <c r="E83" i="19"/>
  <c r="D83" i="19"/>
  <c r="D83" i="18"/>
  <c r="E83" i="18"/>
  <c r="E55" i="12"/>
  <c r="M55" i="19"/>
  <c r="E55" i="19"/>
  <c r="D55" i="19"/>
  <c r="D55" i="18"/>
  <c r="E55" i="18"/>
  <c r="E136" i="12"/>
  <c r="E136" i="19"/>
  <c r="M136" i="19"/>
  <c r="D136" i="19"/>
  <c r="E136" i="18"/>
  <c r="D136" i="18"/>
  <c r="E103" i="12"/>
  <c r="M103" i="19"/>
  <c r="E103" i="19"/>
  <c r="D103" i="19"/>
  <c r="D103" i="18"/>
  <c r="E103" i="18"/>
  <c r="G113" i="19"/>
  <c r="G113" i="18"/>
  <c r="G99" i="18"/>
  <c r="G87" i="18"/>
  <c r="G58" i="18"/>
  <c r="G50" i="19"/>
  <c r="G50" i="18"/>
  <c r="G46" i="19"/>
  <c r="G46" i="18"/>
  <c r="G5" i="18"/>
  <c r="E4" i="12"/>
  <c r="M4" i="19"/>
  <c r="D4" i="19"/>
  <c r="E4" i="19"/>
  <c r="D4" i="18"/>
  <c r="E4" i="18"/>
  <c r="X10" i="19"/>
  <c r="P10" i="19"/>
  <c r="O10" i="19"/>
  <c r="O10" i="18"/>
  <c r="P10" i="18"/>
  <c r="X34" i="19"/>
  <c r="P34" i="19"/>
  <c r="O34" i="19"/>
  <c r="T34" i="19" s="1"/>
  <c r="O34" i="18"/>
  <c r="P34" i="18"/>
  <c r="X58" i="19"/>
  <c r="O58" i="19"/>
  <c r="T58" i="19" s="1"/>
  <c r="P58" i="19"/>
  <c r="O58" i="18"/>
  <c r="P58" i="18"/>
  <c r="X82" i="19"/>
  <c r="P82" i="19"/>
  <c r="O82" i="19"/>
  <c r="T82" i="19" s="1"/>
  <c r="O82" i="18"/>
  <c r="P82" i="18"/>
  <c r="X106" i="19"/>
  <c r="P106" i="19"/>
  <c r="O106" i="19"/>
  <c r="O106" i="18"/>
  <c r="P106" i="18"/>
  <c r="X130" i="19"/>
  <c r="O130" i="19"/>
  <c r="P130" i="19"/>
  <c r="P130" i="18"/>
  <c r="O130" i="18"/>
  <c r="X5" i="19"/>
  <c r="P5" i="19"/>
  <c r="O5" i="19"/>
  <c r="O5" i="18"/>
  <c r="P5" i="18"/>
  <c r="P29" i="12"/>
  <c r="X29" i="19"/>
  <c r="P29" i="19"/>
  <c r="O29" i="19"/>
  <c r="O29" i="18"/>
  <c r="P29" i="18"/>
  <c r="O53" i="19"/>
  <c r="T53" i="19" s="1"/>
  <c r="P53" i="19"/>
  <c r="O53" i="18"/>
  <c r="P53" i="18"/>
  <c r="X77" i="19"/>
  <c r="P77" i="19"/>
  <c r="O77" i="19"/>
  <c r="T77" i="19" s="1"/>
  <c r="O77" i="18"/>
  <c r="P77" i="18"/>
  <c r="X101" i="19"/>
  <c r="O101" i="19"/>
  <c r="T101" i="19" s="1"/>
  <c r="P101" i="19"/>
  <c r="O101" i="18"/>
  <c r="P101" i="18"/>
  <c r="X24" i="19"/>
  <c r="O24" i="19"/>
  <c r="P24" i="19"/>
  <c r="O24" i="18"/>
  <c r="P24" i="18"/>
  <c r="X48" i="19"/>
  <c r="P48" i="19"/>
  <c r="O48" i="19"/>
  <c r="O48" i="18"/>
  <c r="P48" i="18"/>
  <c r="P72" i="12"/>
  <c r="X72" i="19"/>
  <c r="P72" i="19"/>
  <c r="O72" i="19"/>
  <c r="O72" i="18"/>
  <c r="P72" i="18"/>
  <c r="X96" i="19"/>
  <c r="P96" i="19"/>
  <c r="O96" i="19"/>
  <c r="T96" i="19" s="1"/>
  <c r="O96" i="18"/>
  <c r="P96" i="18"/>
  <c r="X120" i="19"/>
  <c r="O120" i="19"/>
  <c r="T120" i="19" s="1"/>
  <c r="P120" i="19"/>
  <c r="O120" i="18"/>
  <c r="P120" i="18"/>
  <c r="P7" i="12"/>
  <c r="X7" i="19"/>
  <c r="P7" i="19"/>
  <c r="O7" i="19"/>
  <c r="O7" i="18"/>
  <c r="P7" i="18"/>
  <c r="X31" i="19"/>
  <c r="P31" i="19"/>
  <c r="O31" i="19"/>
  <c r="T31" i="19" s="1"/>
  <c r="O31" i="18"/>
  <c r="P31" i="18"/>
  <c r="X55" i="19"/>
  <c r="O55" i="19"/>
  <c r="T55" i="19" s="1"/>
  <c r="P55" i="19"/>
  <c r="O55" i="18"/>
  <c r="P55" i="18"/>
  <c r="X79" i="19"/>
  <c r="P79" i="19"/>
  <c r="O79" i="19"/>
  <c r="O79" i="18"/>
  <c r="P79" i="18"/>
  <c r="X103" i="19"/>
  <c r="P103" i="19"/>
  <c r="O103" i="19"/>
  <c r="P103" i="18"/>
  <c r="O103" i="18"/>
  <c r="P127" i="12"/>
  <c r="X127" i="19"/>
  <c r="O127" i="19"/>
  <c r="T127" i="19" s="1"/>
  <c r="P127" i="19"/>
  <c r="O127" i="18"/>
  <c r="P127" i="18"/>
  <c r="P21" i="12"/>
  <c r="X21" i="19"/>
  <c r="P21" i="19"/>
  <c r="O21" i="19"/>
  <c r="O21" i="18"/>
  <c r="P21" i="18"/>
  <c r="P45" i="12"/>
  <c r="X45" i="19"/>
  <c r="O45" i="19"/>
  <c r="T45" i="19" s="1"/>
  <c r="P45" i="19"/>
  <c r="O45" i="18"/>
  <c r="P45" i="18"/>
  <c r="X69" i="19"/>
  <c r="O69" i="19"/>
  <c r="P69" i="19"/>
  <c r="O69" i="18"/>
  <c r="P69" i="18"/>
  <c r="P93" i="19"/>
  <c r="O93" i="19"/>
  <c r="T93" i="19" s="1"/>
  <c r="O93" i="18"/>
  <c r="P93" i="18"/>
  <c r="P117" i="12"/>
  <c r="X117" i="19"/>
  <c r="O117" i="19"/>
  <c r="P117" i="19"/>
  <c r="P117" i="18"/>
  <c r="O117" i="18"/>
  <c r="P125" i="12"/>
  <c r="X125" i="19"/>
  <c r="P125" i="19"/>
  <c r="O125" i="19"/>
  <c r="T125" i="19" s="1"/>
  <c r="O125" i="18"/>
  <c r="P125" i="18"/>
  <c r="P14" i="12"/>
  <c r="X14" i="19"/>
  <c r="P14" i="19"/>
  <c r="O14" i="19"/>
  <c r="T14" i="19" s="1"/>
  <c r="O14" i="18"/>
  <c r="P14" i="18"/>
  <c r="P20" i="12"/>
  <c r="X20" i="19"/>
  <c r="O20" i="19"/>
  <c r="P20" i="19"/>
  <c r="O20" i="18"/>
  <c r="P20" i="18"/>
  <c r="P135" i="12"/>
  <c r="X135" i="19"/>
  <c r="P135" i="19"/>
  <c r="O135" i="19"/>
  <c r="T135" i="19" s="1"/>
  <c r="P135" i="18"/>
  <c r="O135" i="18"/>
  <c r="P116" i="12"/>
  <c r="X116" i="19"/>
  <c r="P116" i="19"/>
  <c r="O116" i="19"/>
  <c r="T116" i="19" s="1"/>
  <c r="O116" i="18"/>
  <c r="P116" i="18"/>
  <c r="DD85" i="27"/>
  <c r="P138" i="19"/>
  <c r="O138" i="19"/>
  <c r="X138" i="19"/>
  <c r="O138" i="18"/>
  <c r="P138" i="18"/>
  <c r="E138" i="12"/>
  <c r="E138" i="19"/>
  <c r="M138" i="19"/>
  <c r="D138" i="19"/>
  <c r="D138" i="18"/>
  <c r="E138" i="18"/>
  <c r="O16" i="12"/>
  <c r="O54" i="12"/>
  <c r="O89" i="12"/>
  <c r="O123" i="12"/>
  <c r="O27" i="12"/>
  <c r="O63" i="12"/>
  <c r="O97" i="12"/>
  <c r="O132" i="12"/>
  <c r="O58" i="12"/>
  <c r="DD129" i="27"/>
  <c r="DG129" i="27" s="1"/>
  <c r="DD86" i="27"/>
  <c r="DG86" i="27" s="1"/>
  <c r="DD127" i="27"/>
  <c r="O23" i="12"/>
  <c r="O103" i="12"/>
  <c r="DD109" i="27"/>
  <c r="DD139" i="27"/>
  <c r="DG139" i="27" s="1"/>
  <c r="DD43" i="27"/>
  <c r="BI124" i="27"/>
  <c r="O10" i="12"/>
  <c r="DD69" i="27"/>
  <c r="DD140" i="27"/>
  <c r="DD125" i="27"/>
  <c r="DG125" i="27" s="1"/>
  <c r="O129" i="12"/>
  <c r="O31" i="12"/>
  <c r="O65" i="12"/>
  <c r="O100" i="12"/>
  <c r="O136" i="12"/>
  <c r="O40" i="12"/>
  <c r="O75" i="12"/>
  <c r="O108" i="12"/>
  <c r="O7" i="12"/>
  <c r="DD84" i="27"/>
  <c r="O25" i="12"/>
  <c r="O119" i="12"/>
  <c r="DD80" i="27"/>
  <c r="DG80" i="27" s="1"/>
  <c r="DD63" i="27"/>
  <c r="BI94" i="27"/>
  <c r="BV94" i="27" s="1" a="1"/>
  <c r="BV94" i="27" s="1"/>
  <c r="O9" i="12"/>
  <c r="O70" i="12"/>
  <c r="DD131" i="27"/>
  <c r="DD73" i="27"/>
  <c r="DG73" i="27" s="1"/>
  <c r="O5" i="12"/>
  <c r="O93" i="12"/>
  <c r="DD41" i="27"/>
  <c r="DG41" i="27" s="1"/>
  <c r="DD136" i="27"/>
  <c r="DG136" i="27" s="1"/>
  <c r="BI137" i="27"/>
  <c r="CB137" i="27" s="1" a="1"/>
  <c r="CB137" i="27" s="1"/>
  <c r="O69" i="12"/>
  <c r="O60" i="12"/>
  <c r="DD72" i="27"/>
  <c r="DG72" i="27" s="1"/>
  <c r="O42" i="12"/>
  <c r="O77" i="12"/>
  <c r="O112" i="12"/>
  <c r="O13" i="12"/>
  <c r="O51" i="12"/>
  <c r="O85" i="12"/>
  <c r="O120" i="12"/>
  <c r="DD37" i="27"/>
  <c r="DG37" i="27" s="1"/>
  <c r="O105" i="12"/>
  <c r="O49" i="12"/>
  <c r="DD35" i="27"/>
  <c r="DD103" i="27"/>
  <c r="DG103" i="27" s="1"/>
  <c r="O130" i="12"/>
  <c r="DG19" i="27"/>
  <c r="O57" i="12"/>
  <c r="O47" i="12"/>
  <c r="DD27" i="27"/>
  <c r="DG27" i="27" s="1"/>
  <c r="BI114" i="27"/>
  <c r="BZ114" i="27" s="1" a="1"/>
  <c r="BZ114" i="27" s="1"/>
  <c r="DG117" i="27"/>
  <c r="DD67" i="27"/>
  <c r="O78" i="12"/>
  <c r="O35" i="12"/>
  <c r="O127" i="12"/>
  <c r="O33" i="12"/>
  <c r="O125" i="12"/>
  <c r="DD122" i="27"/>
  <c r="DD138" i="27"/>
  <c r="BI28" i="27"/>
  <c r="CB28" i="27" s="1" a="1"/>
  <c r="CB28" i="27" s="1"/>
  <c r="O84" i="12"/>
  <c r="DD44" i="27"/>
  <c r="DG44" i="27" s="1"/>
  <c r="O41" i="12"/>
  <c r="BI115" i="27"/>
  <c r="CJ115" i="27" s="1" a="1"/>
  <c r="CJ115" i="27" s="1"/>
  <c r="DD77" i="27"/>
  <c r="BI82" i="27"/>
  <c r="DD29" i="27"/>
  <c r="DG101" i="27"/>
  <c r="O107" i="12"/>
  <c r="BI21" i="27"/>
  <c r="CE21" i="27" s="1" a="1"/>
  <c r="CE21" i="27" s="1"/>
  <c r="BI34" i="27"/>
  <c r="CJ34" i="27" s="1" a="1"/>
  <c r="CJ34" i="27" s="1"/>
  <c r="DG55" i="27"/>
  <c r="O61" i="12"/>
  <c r="DD95" i="27"/>
  <c r="BI11" i="27"/>
  <c r="BI40" i="27"/>
  <c r="CF11" i="27" a="1"/>
  <c r="CF11" i="27" s="1"/>
  <c r="BI100" i="27"/>
  <c r="BI76" i="27"/>
  <c r="CC76" i="27" s="1" a="1"/>
  <c r="CC76" i="27" s="1"/>
  <c r="DD9" i="27"/>
  <c r="DD105" i="27"/>
  <c r="BI51" i="27"/>
  <c r="BW51" i="27" s="1" a="1"/>
  <c r="BW51" i="27" s="1"/>
  <c r="BP74" i="27" a="1"/>
  <c r="BP74" i="27" s="1"/>
  <c r="BI9" i="27"/>
  <c r="BI23" i="27"/>
  <c r="CG23" i="27" s="1" a="1"/>
  <c r="CG23" i="27" s="1"/>
  <c r="BI46" i="27"/>
  <c r="BU46" i="27" s="1" a="1"/>
  <c r="BU46" i="27" s="1"/>
  <c r="O39" i="12"/>
  <c r="DG48" i="27"/>
  <c r="DD25" i="27"/>
  <c r="G112" i="12"/>
  <c r="G50" i="12"/>
  <c r="G46" i="12"/>
  <c r="P25" i="12"/>
  <c r="BI27" i="27"/>
  <c r="CI27" i="27" s="1" a="1"/>
  <c r="CI27" i="27" s="1"/>
  <c r="P121" i="12"/>
  <c r="BI123" i="27"/>
  <c r="P87" i="12"/>
  <c r="BI89" i="27"/>
  <c r="CG89" i="27" s="1" a="1"/>
  <c r="CG89" i="27" s="1"/>
  <c r="O48" i="12"/>
  <c r="O71" i="12"/>
  <c r="BI73" i="27"/>
  <c r="CA73" i="27" s="1" a="1"/>
  <c r="CA73" i="27" s="1"/>
  <c r="O94" i="12"/>
  <c r="DD120" i="27"/>
  <c r="BI120" i="27"/>
  <c r="CB120" i="27" s="1" a="1"/>
  <c r="CB120" i="27" s="1"/>
  <c r="O118" i="12"/>
  <c r="O34" i="12"/>
  <c r="O79" i="12"/>
  <c r="BI128" i="27"/>
  <c r="O126" i="12"/>
  <c r="O43" i="12"/>
  <c r="O90" i="12"/>
  <c r="G98" i="12"/>
  <c r="G15" i="12"/>
  <c r="CA28" i="27" a="1"/>
  <c r="CA28" i="27" s="1"/>
  <c r="CF28" i="27" a="1"/>
  <c r="CF28" i="27" s="1"/>
  <c r="DD7" i="27"/>
  <c r="G8" i="12"/>
  <c r="O55" i="12"/>
  <c r="O101" i="12"/>
  <c r="O137" i="12"/>
  <c r="DD56" i="27"/>
  <c r="G113" i="12"/>
  <c r="G23" i="12"/>
  <c r="BI125" i="27"/>
  <c r="BI10" i="27"/>
  <c r="BI119" i="27"/>
  <c r="BO119" i="27" s="1" a="1"/>
  <c r="BO119" i="27" s="1"/>
  <c r="DG108" i="27"/>
  <c r="DG131" i="27"/>
  <c r="DD42" i="27"/>
  <c r="BT94" i="27" a="1"/>
  <c r="BT94" i="27" s="1"/>
  <c r="BN28" i="27" a="1"/>
  <c r="BN28" i="27" s="1"/>
  <c r="BY28" i="27" a="1"/>
  <c r="BY28" i="27" s="1"/>
  <c r="BV11" i="27" a="1"/>
  <c r="BV11" i="27" s="1"/>
  <c r="BI87" i="27"/>
  <c r="BX87" i="27" s="1" a="1"/>
  <c r="BX87" i="27" s="1"/>
  <c r="BI53" i="27"/>
  <c r="BI78" i="27"/>
  <c r="BI109" i="27"/>
  <c r="DG123" i="27"/>
  <c r="DG89" i="27"/>
  <c r="BI129" i="27"/>
  <c r="BI15" i="27"/>
  <c r="CB15" i="27" s="1" a="1"/>
  <c r="CB15" i="27" s="1"/>
  <c r="BI127" i="27"/>
  <c r="DG62" i="27"/>
  <c r="DG99" i="27"/>
  <c r="BI56" i="27"/>
  <c r="CE56" i="27" s="1" a="1"/>
  <c r="CE56" i="27" s="1"/>
  <c r="BI25" i="27"/>
  <c r="P23" i="12"/>
  <c r="BI49" i="27"/>
  <c r="P47" i="12"/>
  <c r="BI97" i="27"/>
  <c r="P95" i="12"/>
  <c r="BI20" i="27"/>
  <c r="P18" i="12"/>
  <c r="BI44" i="27"/>
  <c r="CK44" i="27" s="1" a="1"/>
  <c r="CK44" i="27" s="1"/>
  <c r="P42" i="12"/>
  <c r="BI92" i="27"/>
  <c r="CF92" i="27" s="1" a="1"/>
  <c r="CF92" i="27" s="1"/>
  <c r="P90" i="12"/>
  <c r="BI116" i="27"/>
  <c r="CG116" i="27" s="1" a="1"/>
  <c r="CG116" i="27" s="1"/>
  <c r="P114" i="12"/>
  <c r="BI6" i="27"/>
  <c r="BX6" i="27" s="1" a="1"/>
  <c r="BX6" i="27" s="1"/>
  <c r="P4" i="12"/>
  <c r="BI99" i="27"/>
  <c r="P97" i="12"/>
  <c r="BI41" i="27"/>
  <c r="P39" i="12"/>
  <c r="BI65" i="27"/>
  <c r="CG65" i="27" s="1" a="1"/>
  <c r="CG65" i="27" s="1"/>
  <c r="P63" i="12"/>
  <c r="BI113" i="27"/>
  <c r="P111" i="12"/>
  <c r="BI138" i="27"/>
  <c r="P136" i="12"/>
  <c r="O26" i="12"/>
  <c r="O50" i="12"/>
  <c r="O74" i="12"/>
  <c r="O98" i="12"/>
  <c r="O122" i="12"/>
  <c r="DD8" i="27"/>
  <c r="O6" i="12"/>
  <c r="DD32" i="27"/>
  <c r="O30" i="12"/>
  <c r="DD39" i="27"/>
  <c r="O37" i="12"/>
  <c r="DD68" i="27"/>
  <c r="O66" i="12"/>
  <c r="DD97" i="27"/>
  <c r="O95" i="12"/>
  <c r="DD126" i="27"/>
  <c r="O124" i="12"/>
  <c r="DG24" i="27"/>
  <c r="BI12" i="27"/>
  <c r="P10" i="12"/>
  <c r="BI36" i="27"/>
  <c r="BS36" i="27" s="1" a="1"/>
  <c r="BS36" i="27" s="1"/>
  <c r="P34" i="12"/>
  <c r="BI60" i="27"/>
  <c r="CB60" i="27" s="1" a="1"/>
  <c r="CB60" i="27" s="1"/>
  <c r="P58" i="12"/>
  <c r="BI84" i="27"/>
  <c r="CC84" i="27" s="1" a="1"/>
  <c r="CC84" i="27" s="1"/>
  <c r="P82" i="12"/>
  <c r="BI108" i="27"/>
  <c r="CG108" i="27" s="1" a="1"/>
  <c r="CG108" i="27" s="1"/>
  <c r="P106" i="12"/>
  <c r="BI132" i="27"/>
  <c r="BU132" i="27" s="1" a="1"/>
  <c r="BU132" i="27" s="1"/>
  <c r="P130" i="12"/>
  <c r="BI18" i="27"/>
  <c r="P16" i="12"/>
  <c r="BI66" i="27"/>
  <c r="CI66" i="27" s="1" a="1"/>
  <c r="CI66" i="27" s="1"/>
  <c r="P64" i="12"/>
  <c r="BI139" i="27"/>
  <c r="P137" i="12"/>
  <c r="BI7" i="27"/>
  <c r="BW7" i="27" s="1" a="1"/>
  <c r="BW7" i="27" s="1"/>
  <c r="P5" i="12"/>
  <c r="BI55" i="27"/>
  <c r="P53" i="12"/>
  <c r="BI79" i="27"/>
  <c r="BS79" i="27" s="1" a="1"/>
  <c r="BS79" i="27" s="1"/>
  <c r="P77" i="12"/>
  <c r="BI103" i="27"/>
  <c r="P101" i="12"/>
  <c r="BI26" i="27"/>
  <c r="CE26" i="27" s="1" a="1"/>
  <c r="CE26" i="27" s="1"/>
  <c r="P24" i="12"/>
  <c r="BI50" i="27"/>
  <c r="P48" i="12"/>
  <c r="BI98" i="27"/>
  <c r="BY98" i="27" s="1" a="1"/>
  <c r="BY98" i="27" s="1"/>
  <c r="P96" i="12"/>
  <c r="BI122" i="27"/>
  <c r="P120" i="12"/>
  <c r="BI33" i="27"/>
  <c r="BR33" i="27" s="1" a="1"/>
  <c r="BR33" i="27" s="1"/>
  <c r="P31" i="12"/>
  <c r="BI57" i="27"/>
  <c r="P55" i="12"/>
  <c r="BI81" i="27"/>
  <c r="CF81" i="27" s="1" a="1"/>
  <c r="CF81" i="27" s="1"/>
  <c r="P79" i="12"/>
  <c r="BI105" i="27"/>
  <c r="CI105" i="27" s="1" a="1"/>
  <c r="CI105" i="27" s="1"/>
  <c r="P103" i="12"/>
  <c r="BI71" i="27"/>
  <c r="BV71" i="27" s="1" a="1"/>
  <c r="BV71" i="27" s="1"/>
  <c r="P69" i="12"/>
  <c r="BI95" i="27"/>
  <c r="P93" i="12"/>
  <c r="O32" i="12"/>
  <c r="O56" i="12"/>
  <c r="O80" i="12"/>
  <c r="O104" i="12"/>
  <c r="O128" i="12"/>
  <c r="O12" i="12"/>
  <c r="O11" i="12"/>
  <c r="O45" i="12"/>
  <c r="O73" i="12"/>
  <c r="DD104" i="27"/>
  <c r="DG104" i="27" s="1"/>
  <c r="O102" i="12"/>
  <c r="O131" i="12"/>
  <c r="BI42" i="27"/>
  <c r="BO42" i="27" s="1" a="1"/>
  <c r="BO42" i="27" s="1"/>
  <c r="BI24" i="27"/>
  <c r="BW24" i="27" s="1" a="1"/>
  <c r="BW24" i="27" s="1"/>
  <c r="P22" i="12"/>
  <c r="BI72" i="27"/>
  <c r="P70" i="12"/>
  <c r="BI96" i="27"/>
  <c r="P94" i="12"/>
  <c r="BI13" i="27"/>
  <c r="P11" i="12"/>
  <c r="BI37" i="27"/>
  <c r="BZ37" i="27" s="1" a="1"/>
  <c r="BZ37" i="27" s="1"/>
  <c r="P35" i="12"/>
  <c r="BI61" i="27"/>
  <c r="P59" i="12"/>
  <c r="BI85" i="27"/>
  <c r="P83" i="12"/>
  <c r="BI32" i="27"/>
  <c r="P30" i="12"/>
  <c r="BI80" i="27"/>
  <c r="BV80" i="27" s="1" a="1"/>
  <c r="BV80" i="27" s="1"/>
  <c r="P78" i="12"/>
  <c r="BI104" i="27"/>
  <c r="P102" i="12"/>
  <c r="BI39" i="27"/>
  <c r="P37" i="12"/>
  <c r="BI63" i="27"/>
  <c r="P61" i="12"/>
  <c r="BI136" i="27"/>
  <c r="CA136" i="27" s="1" a="1"/>
  <c r="CA136" i="27" s="1"/>
  <c r="P134" i="12"/>
  <c r="BI29" i="27"/>
  <c r="P27" i="12"/>
  <c r="BI77" i="27"/>
  <c r="BP77" i="27" s="1" a="1"/>
  <c r="BP77" i="27" s="1"/>
  <c r="P75" i="12"/>
  <c r="BI101" i="27"/>
  <c r="P99" i="12"/>
  <c r="O14" i="12"/>
  <c r="DD40" i="27"/>
  <c r="O38" i="12"/>
  <c r="DD64" i="27"/>
  <c r="DG64" i="27" s="1"/>
  <c r="O62" i="12"/>
  <c r="O86" i="12"/>
  <c r="O110" i="12"/>
  <c r="DD137" i="27"/>
  <c r="O135" i="12"/>
  <c r="O18" i="12"/>
  <c r="DD23" i="27"/>
  <c r="O21" i="12"/>
  <c r="O52" i="12"/>
  <c r="O81" i="12"/>
  <c r="O109" i="12"/>
  <c r="O4" i="12"/>
  <c r="BI48" i="27"/>
  <c r="BI30" i="27"/>
  <c r="P28" i="12"/>
  <c r="BI54" i="27"/>
  <c r="P52" i="12"/>
  <c r="BI102" i="27"/>
  <c r="BW102" i="27" s="1" a="1"/>
  <c r="BW102" i="27" s="1"/>
  <c r="P100" i="12"/>
  <c r="BI126" i="27"/>
  <c r="CC126" i="27" s="1" a="1"/>
  <c r="CC126" i="27" s="1"/>
  <c r="P124" i="12"/>
  <c r="BI64" i="27"/>
  <c r="BU64" i="27" s="1" a="1"/>
  <c r="BU64" i="27" s="1"/>
  <c r="BI140" i="27"/>
  <c r="BQ140" i="27" s="1" a="1"/>
  <c r="BQ140" i="27" s="1"/>
  <c r="P138" i="12"/>
  <c r="BI19" i="27"/>
  <c r="P17" i="12"/>
  <c r="BI43" i="27"/>
  <c r="CE43" i="27" s="1" a="1"/>
  <c r="CE43" i="27" s="1"/>
  <c r="P41" i="12"/>
  <c r="BI67" i="27"/>
  <c r="P65" i="12"/>
  <c r="BI91" i="27"/>
  <c r="BU91" i="27" s="1" a="1"/>
  <c r="BU91" i="27" s="1"/>
  <c r="P89" i="12"/>
  <c r="BI121" i="27"/>
  <c r="P119" i="12"/>
  <c r="BI38" i="27"/>
  <c r="P36" i="12"/>
  <c r="BI62" i="27"/>
  <c r="P60" i="12"/>
  <c r="BI86" i="27"/>
  <c r="P84" i="12"/>
  <c r="BI110" i="27"/>
  <c r="P108" i="12"/>
  <c r="BI134" i="27"/>
  <c r="P132" i="12"/>
  <c r="BI45" i="27"/>
  <c r="P43" i="12"/>
  <c r="BI69" i="27"/>
  <c r="CH69" i="27" s="1" a="1"/>
  <c r="CH69" i="27" s="1"/>
  <c r="P67" i="12"/>
  <c r="BI93" i="27"/>
  <c r="P91" i="12"/>
  <c r="BI117" i="27"/>
  <c r="BZ117" i="27" s="1" a="1"/>
  <c r="BZ117" i="27" s="1"/>
  <c r="P115" i="12"/>
  <c r="BI35" i="27"/>
  <c r="BP35" i="27" s="1" a="1"/>
  <c r="BP35" i="27" s="1"/>
  <c r="P33" i="12"/>
  <c r="BI59" i="27"/>
  <c r="P57" i="12"/>
  <c r="BI83" i="27"/>
  <c r="P81" i="12"/>
  <c r="BI107" i="27"/>
  <c r="CI107" i="27" s="1" a="1"/>
  <c r="CI107" i="27" s="1"/>
  <c r="P105" i="12"/>
  <c r="BI131" i="27"/>
  <c r="P129" i="12"/>
  <c r="O20" i="12"/>
  <c r="DD46" i="27"/>
  <c r="O44" i="12"/>
  <c r="O68" i="12"/>
  <c r="O92" i="12"/>
  <c r="O116" i="12"/>
  <c r="O133" i="12"/>
  <c r="O24" i="12"/>
  <c r="O29" i="12"/>
  <c r="O59" i="12"/>
  <c r="O88" i="12"/>
  <c r="O117" i="12"/>
  <c r="DG17" i="27"/>
  <c r="D86" i="12"/>
  <c r="D65" i="12"/>
  <c r="D89" i="12"/>
  <c r="D7" i="12"/>
  <c r="D112" i="12"/>
  <c r="D115" i="12"/>
  <c r="D18" i="12"/>
  <c r="D42" i="12"/>
  <c r="D66" i="12"/>
  <c r="D90" i="12"/>
  <c r="D114" i="12"/>
  <c r="D21" i="12"/>
  <c r="D45" i="12"/>
  <c r="D69" i="12"/>
  <c r="D93" i="12"/>
  <c r="D117" i="12"/>
  <c r="D122" i="12"/>
  <c r="D15" i="12"/>
  <c r="D63" i="12"/>
  <c r="D111" i="12"/>
  <c r="D59" i="12"/>
  <c r="D123" i="12"/>
  <c r="D32" i="12"/>
  <c r="D96" i="12"/>
  <c r="D76" i="12"/>
  <c r="D24" i="12"/>
  <c r="D92" i="12"/>
  <c r="D62" i="12"/>
  <c r="D133" i="12"/>
  <c r="D17" i="12"/>
  <c r="D113" i="12"/>
  <c r="D55" i="12"/>
  <c r="D84" i="12"/>
  <c r="D131" i="12"/>
  <c r="D22" i="12"/>
  <c r="D46" i="12"/>
  <c r="D70" i="12"/>
  <c r="D94" i="12"/>
  <c r="D118" i="12"/>
  <c r="D25" i="12"/>
  <c r="D49" i="12"/>
  <c r="D73" i="12"/>
  <c r="D97" i="12"/>
  <c r="D121" i="12"/>
  <c r="D23" i="12"/>
  <c r="D71" i="12"/>
  <c r="D119" i="12"/>
  <c r="D68" i="12"/>
  <c r="D132" i="12"/>
  <c r="D43" i="12"/>
  <c r="D107" i="12"/>
  <c r="D108" i="12"/>
  <c r="D56" i="12"/>
  <c r="D124" i="12"/>
  <c r="D38" i="12"/>
  <c r="D110" i="12"/>
  <c r="D41" i="12"/>
  <c r="D138" i="12"/>
  <c r="D103" i="12"/>
  <c r="D48" i="12"/>
  <c r="D20" i="12"/>
  <c r="D44" i="12"/>
  <c r="D60" i="12"/>
  <c r="D26" i="12"/>
  <c r="D50" i="12"/>
  <c r="D74" i="12"/>
  <c r="D98" i="12"/>
  <c r="D126" i="12"/>
  <c r="D29" i="12"/>
  <c r="D53" i="12"/>
  <c r="D77" i="12"/>
  <c r="D101" i="12"/>
  <c r="D125" i="12"/>
  <c r="D31" i="12"/>
  <c r="D79" i="12"/>
  <c r="D127" i="12"/>
  <c r="D16" i="12"/>
  <c r="D80" i="12"/>
  <c r="D52" i="12"/>
  <c r="D116" i="12"/>
  <c r="D19" i="12"/>
  <c r="D88" i="12"/>
  <c r="D35" i="12"/>
  <c r="D14" i="12"/>
  <c r="D6" i="12"/>
  <c r="D30" i="12"/>
  <c r="D54" i="12"/>
  <c r="D78" i="12"/>
  <c r="D102" i="12"/>
  <c r="D130" i="12"/>
  <c r="D9" i="12"/>
  <c r="D33" i="12"/>
  <c r="D57" i="12"/>
  <c r="D81" i="12"/>
  <c r="D105" i="12"/>
  <c r="D129" i="12"/>
  <c r="D39" i="12"/>
  <c r="D87" i="12"/>
  <c r="D136" i="12"/>
  <c r="D27" i="12"/>
  <c r="D91" i="12"/>
  <c r="D64" i="12"/>
  <c r="D128" i="12"/>
  <c r="D51" i="12"/>
  <c r="D120" i="12"/>
  <c r="D67" i="12"/>
  <c r="D10" i="12"/>
  <c r="D34" i="12"/>
  <c r="D58" i="12"/>
  <c r="D82" i="12"/>
  <c r="D106" i="12"/>
  <c r="D135" i="12"/>
  <c r="D13" i="12"/>
  <c r="D37" i="12"/>
  <c r="D61" i="12"/>
  <c r="D85" i="12"/>
  <c r="D109" i="12"/>
  <c r="D134" i="12"/>
  <c r="D47" i="12"/>
  <c r="D95" i="12"/>
  <c r="D36" i="12"/>
  <c r="D100" i="12"/>
  <c r="D11" i="12"/>
  <c r="D75" i="12"/>
  <c r="D12" i="12"/>
  <c r="D83" i="12"/>
  <c r="D28" i="12"/>
  <c r="D99" i="12"/>
  <c r="BP17" i="27" a="1"/>
  <c r="BP17" i="27" s="1"/>
  <c r="DG51" i="27"/>
  <c r="DG113" i="27"/>
  <c r="BT17" i="27" a="1"/>
  <c r="BT17" i="27" s="1"/>
  <c r="BI70" i="27"/>
  <c r="BQ70" i="27" s="1" a="1"/>
  <c r="BQ70" i="27" s="1"/>
  <c r="DD70" i="27"/>
  <c r="BI106" i="27"/>
  <c r="DD106" i="27"/>
  <c r="BI135" i="27"/>
  <c r="CI135" i="27" s="1" a="1"/>
  <c r="CI135" i="27" s="1"/>
  <c r="DD135" i="27"/>
  <c r="BI47" i="27"/>
  <c r="DD47" i="27"/>
  <c r="DG47" i="27" s="1"/>
  <c r="BI90" i="27"/>
  <c r="BY90" i="27" s="1" a="1"/>
  <c r="BY90" i="27" s="1"/>
  <c r="BI112" i="27"/>
  <c r="BI118" i="27"/>
  <c r="DG12" i="27"/>
  <c r="BI52" i="27"/>
  <c r="DD52" i="27"/>
  <c r="BI88" i="27"/>
  <c r="CK88" i="27" s="1" a="1"/>
  <c r="CK88" i="27" s="1"/>
  <c r="DG121" i="27"/>
  <c r="DG15" i="27"/>
  <c r="DG93" i="27"/>
  <c r="BI22" i="27"/>
  <c r="DD22" i="27"/>
  <c r="BI58" i="27"/>
  <c r="CG58" i="27" s="1" a="1"/>
  <c r="CG58" i="27" s="1"/>
  <c r="BI130" i="27"/>
  <c r="DD130" i="27"/>
  <c r="BI31" i="27"/>
  <c r="BT95" i="27" a="1"/>
  <c r="BT95" i="27" s="1"/>
  <c r="CJ11" i="27" a="1"/>
  <c r="CJ11" i="27" s="1"/>
  <c r="CH95" i="27" a="1"/>
  <c r="CH95" i="27" s="1"/>
  <c r="BR74" i="27" a="1"/>
  <c r="BR74" i="27" s="1"/>
  <c r="BI16" i="27"/>
  <c r="CB95" i="27" a="1"/>
  <c r="CB95" i="27" s="1"/>
  <c r="BZ74" i="27" a="1"/>
  <c r="BZ74" i="27" s="1"/>
  <c r="BZ10" i="27" a="1"/>
  <c r="BZ10" i="27" s="1"/>
  <c r="BP11" i="27" a="1"/>
  <c r="BP11" i="27" s="1"/>
  <c r="CH28" i="27" a="1"/>
  <c r="CH28" i="27" s="1"/>
  <c r="BV119" i="27" a="1"/>
  <c r="BV119" i="27" s="1"/>
  <c r="BO74" i="27" a="1"/>
  <c r="BO74" i="27" s="1"/>
  <c r="BV74" i="27" a="1"/>
  <c r="BV74" i="27" s="1"/>
  <c r="CC74" i="27" a="1"/>
  <c r="CC74" i="27" s="1"/>
  <c r="CF74" i="27" a="1"/>
  <c r="CF74" i="27" s="1"/>
  <c r="CD74" i="27" a="1"/>
  <c r="CD74" i="27" s="1"/>
  <c r="CG74" i="27" a="1"/>
  <c r="CG74" i="27" s="1"/>
  <c r="CD95" i="27" a="1"/>
  <c r="CD95" i="27" s="1"/>
  <c r="BX74" i="27" a="1"/>
  <c r="BX74" i="27" s="1"/>
  <c r="CB100" i="27" a="1"/>
  <c r="CB100" i="27" s="1"/>
  <c r="BX36" i="27" a="1"/>
  <c r="BX36" i="27" s="1"/>
  <c r="BP95" i="27" a="1"/>
  <c r="BP95" i="27" s="1"/>
  <c r="BN74" i="27" a="1"/>
  <c r="BN74" i="27" s="1"/>
  <c r="BI133" i="27"/>
  <c r="BX133" i="27" s="1" a="1"/>
  <c r="BX133" i="27" s="1"/>
  <c r="BI68" i="27"/>
  <c r="BI75" i="27"/>
  <c r="BI111" i="27"/>
  <c r="BY111" i="27" s="1" a="1"/>
  <c r="BY111" i="27" s="1"/>
  <c r="CK28" i="27" a="1"/>
  <c r="CK28" i="27" s="1"/>
  <c r="BT55" i="27" a="1"/>
  <c r="BT55" i="27" s="1"/>
  <c r="CD85" i="27" a="1"/>
  <c r="CD85" i="27" s="1"/>
  <c r="CJ82" i="27" a="1"/>
  <c r="CJ82" i="27" s="1"/>
  <c r="BI8" i="27"/>
  <c r="BP8" i="27" s="1" a="1"/>
  <c r="BP8" i="27" s="1"/>
  <c r="CH46" i="27" a="1"/>
  <c r="CH46" i="27" s="1"/>
  <c r="CF36" i="27" a="1"/>
  <c r="CF36" i="27" s="1"/>
  <c r="BI14" i="27"/>
  <c r="CK14" i="27" s="1" a="1"/>
  <c r="CK14" i="27" s="1"/>
  <c r="BV6" i="27" a="1"/>
  <c r="BV6" i="27" s="1"/>
  <c r="CJ139" i="27" a="1"/>
  <c r="CJ139" i="27" s="1"/>
  <c r="CF139" i="27" a="1"/>
  <c r="CF139" i="27" s="1"/>
  <c r="CF50" i="27" a="1"/>
  <c r="CF50" i="27" s="1"/>
  <c r="BT50" i="27" a="1"/>
  <c r="BT50" i="27" s="1"/>
  <c r="CE28" i="27" a="1"/>
  <c r="CE28" i="27" s="1"/>
  <c r="CG17" i="27" a="1"/>
  <c r="CG17" i="27" s="1"/>
  <c r="CH17" i="27" a="1"/>
  <c r="CH17" i="27" s="1"/>
  <c r="CJ50" i="27" a="1"/>
  <c r="CJ50" i="27" s="1"/>
  <c r="BP122" i="27" a="1"/>
  <c r="BP122" i="27" s="1"/>
  <c r="BV122" i="27" a="1"/>
  <c r="BV122" i="27" s="1"/>
  <c r="CJ17" i="27" a="1"/>
  <c r="CJ17" i="27" s="1"/>
  <c r="CB17" i="27" a="1"/>
  <c r="CB17" i="27" s="1"/>
  <c r="BX17" i="27" a="1"/>
  <c r="BX17" i="27" s="1"/>
  <c r="CB55" i="27" a="1"/>
  <c r="CB55" i="27" s="1"/>
  <c r="BZ17" i="27" a="1"/>
  <c r="BZ17" i="27" s="1"/>
  <c r="CF17" i="27" a="1"/>
  <c r="CF17" i="27" s="1"/>
  <c r="BN17" i="27" a="1"/>
  <c r="BN17" i="27" s="1"/>
  <c r="BY55" i="27" a="1"/>
  <c r="BY55" i="27" s="1"/>
  <c r="BR55" i="27" a="1"/>
  <c r="BR55" i="27" s="1"/>
  <c r="CJ8" i="27" a="1"/>
  <c r="CJ8" i="27" s="1"/>
  <c r="BR139" i="27" a="1"/>
  <c r="BR139" i="27" s="1"/>
  <c r="BP49" i="27" a="1"/>
  <c r="BP49" i="27" s="1"/>
  <c r="BU17" i="27" a="1"/>
  <c r="BU17" i="27" s="1"/>
  <c r="BV17" i="27" a="1"/>
  <c r="BV17" i="27" s="1"/>
  <c r="BV50" i="27" a="1"/>
  <c r="BV50" i="27" s="1"/>
  <c r="CE100" i="27" a="1"/>
  <c r="CE100" i="27" s="1"/>
  <c r="CD17" i="27" a="1"/>
  <c r="CD17" i="27" s="1"/>
  <c r="BX50" i="27" a="1"/>
  <c r="BX50" i="27" s="1"/>
  <c r="CH74" i="27" a="1"/>
  <c r="CH74" i="27" s="1"/>
  <c r="BU74" i="27" a="1"/>
  <c r="BU74" i="27" s="1"/>
  <c r="CJ74" i="27" a="1"/>
  <c r="CJ74" i="27" s="1"/>
  <c r="BS74" i="27" a="1"/>
  <c r="BS74" i="27" s="1"/>
  <c r="BT74" i="27" a="1"/>
  <c r="BT74" i="27" s="1"/>
  <c r="CE74" i="27" a="1"/>
  <c r="CE74" i="27" s="1"/>
  <c r="BW74" i="27" a="1"/>
  <c r="BW74" i="27" s="1"/>
  <c r="CB74" i="27" a="1"/>
  <c r="CB74" i="27" s="1"/>
  <c r="BY74" i="27" a="1"/>
  <c r="BY74" i="27" s="1"/>
  <c r="CI74" i="27" a="1"/>
  <c r="CI74" i="27" s="1"/>
  <c r="CA74" i="27" a="1"/>
  <c r="CA74" i="27" s="1"/>
  <c r="CK74" i="27" a="1"/>
  <c r="CK74" i="27" s="1"/>
  <c r="BU15" i="27" a="1"/>
  <c r="BU15" i="27" s="1"/>
  <c r="BP103" i="27" a="1"/>
  <c r="BP103" i="27" s="1"/>
  <c r="BU94" i="27" a="1"/>
  <c r="BU94" i="27" s="1"/>
  <c r="CF138" i="27" a="1"/>
  <c r="CF138" i="27" s="1"/>
  <c r="BZ103" i="27" a="1"/>
  <c r="BZ103" i="27" s="1"/>
  <c r="BU28" i="27" a="1"/>
  <c r="BU28" i="27" s="1"/>
  <c r="BV65" i="27" a="1"/>
  <c r="BV65" i="27" s="1"/>
  <c r="BN103" i="27" a="1"/>
  <c r="BN103" i="27" s="1"/>
  <c r="BP65" i="27" a="1"/>
  <c r="BP65" i="27" s="1"/>
  <c r="BZ41" i="27" a="1"/>
  <c r="BZ41" i="27" s="1"/>
  <c r="CF115" i="27" a="1"/>
  <c r="CF115" i="27" s="1"/>
  <c r="BP15" i="27" a="1"/>
  <c r="BP15" i="27" s="1"/>
  <c r="BZ118" i="27" a="1"/>
  <c r="BZ118" i="27" s="1"/>
  <c r="CK11" i="27" a="1"/>
  <c r="CK11" i="27" s="1"/>
  <c r="CK94" i="27" a="1"/>
  <c r="CK94" i="27" s="1"/>
  <c r="BW137" i="27" a="1"/>
  <c r="BW137" i="27" s="1"/>
  <c r="CK17" i="27" a="1"/>
  <c r="CK17" i="27" s="1"/>
  <c r="G133" i="27"/>
  <c r="AF133" i="27" s="1" a="1"/>
  <c r="AF133" i="27" s="1"/>
  <c r="CK10" i="27" a="1"/>
  <c r="CK10" i="27" s="1"/>
  <c r="BW82" i="27" a="1"/>
  <c r="BW82" i="27" s="1"/>
  <c r="BN77" i="27" a="1"/>
  <c r="BN77" i="27" s="1"/>
  <c r="CK41" i="27" a="1"/>
  <c r="CK41" i="27" s="1"/>
  <c r="CJ18" i="27" a="1"/>
  <c r="CJ18" i="27" s="1"/>
  <c r="CH73" i="27" a="1"/>
  <c r="CH73" i="27" s="1"/>
  <c r="G101" i="27"/>
  <c r="Q101" i="27" s="1" a="1"/>
  <c r="Q101" i="27" s="1"/>
  <c r="AK105" i="27" a="1"/>
  <c r="AK105" i="27" s="1"/>
  <c r="AK93" i="27" a="1"/>
  <c r="AK93" i="27" s="1"/>
  <c r="AK132" i="27" a="1"/>
  <c r="AK132" i="27" s="1"/>
  <c r="AK120" i="27" a="1"/>
  <c r="AK120" i="27" s="1"/>
  <c r="AK82" i="27" a="1"/>
  <c r="AK82" i="27" s="1"/>
  <c r="AK70" i="27" a="1"/>
  <c r="AK70" i="27" s="1"/>
  <c r="AK58" i="27" a="1"/>
  <c r="AK58" i="27" s="1"/>
  <c r="AK46" i="27" a="1"/>
  <c r="AK46" i="27" s="1"/>
  <c r="AK34" i="27" a="1"/>
  <c r="AK34" i="27" s="1"/>
  <c r="AK23" i="27" a="1"/>
  <c r="AK23" i="27" s="1"/>
  <c r="AK19" i="27" a="1"/>
  <c r="AK19" i="27" s="1"/>
  <c r="G69" i="27"/>
  <c r="O69" i="27" s="1" a="1"/>
  <c r="O69" i="27" s="1"/>
  <c r="AK140" i="27" a="1"/>
  <c r="AK140" i="27" s="1"/>
  <c r="G138" i="12" s="1"/>
  <c r="AK110" i="27" a="1"/>
  <c r="AK110" i="27" s="1"/>
  <c r="AK104" i="27" a="1"/>
  <c r="AK104" i="27" s="1"/>
  <c r="AK98" i="27" a="1"/>
  <c r="AK98" i="27" s="1"/>
  <c r="AK92" i="27" a="1"/>
  <c r="AK92" i="27" s="1"/>
  <c r="AK86" i="27" a="1"/>
  <c r="AK86" i="27" s="1"/>
  <c r="AK131" i="27" a="1"/>
  <c r="AK131" i="27" s="1"/>
  <c r="AK125" i="27" a="1"/>
  <c r="AK125" i="27" s="1"/>
  <c r="AK119" i="27" a="1"/>
  <c r="AK119" i="27" s="1"/>
  <c r="AK113" i="27" a="1"/>
  <c r="AK113" i="27" s="1"/>
  <c r="AK81" i="27" a="1"/>
  <c r="AK81" i="27" s="1"/>
  <c r="AK75" i="27" a="1"/>
  <c r="AK75" i="27" s="1"/>
  <c r="AK69" i="27" a="1"/>
  <c r="AK69" i="27" s="1"/>
  <c r="AK63" i="27" a="1"/>
  <c r="AK63" i="27" s="1"/>
  <c r="AK57" i="27" a="1"/>
  <c r="AK57" i="27" s="1"/>
  <c r="AK51" i="27" a="1"/>
  <c r="AK51" i="27" s="1"/>
  <c r="AK45" i="27" a="1"/>
  <c r="AK45" i="27" s="1"/>
  <c r="AK39" i="27" a="1"/>
  <c r="AK39" i="27" s="1"/>
  <c r="AK33" i="27" a="1"/>
  <c r="AK33" i="27" s="1"/>
  <c r="AK26" i="27" a="1"/>
  <c r="AK26" i="27" s="1"/>
  <c r="AK20" i="27" a="1"/>
  <c r="AK20" i="27" s="1"/>
  <c r="AK13" i="27" a="1"/>
  <c r="AK13" i="27" s="1"/>
  <c r="AK15" i="27" a="1"/>
  <c r="AK15" i="27" s="1"/>
  <c r="AK139" i="27" a="1"/>
  <c r="AK139" i="27" s="1"/>
  <c r="AK109" i="27" a="1"/>
  <c r="AK109" i="27" s="1"/>
  <c r="AK103" i="27" a="1"/>
  <c r="AK103" i="27" s="1"/>
  <c r="AK97" i="27" a="1"/>
  <c r="AK97" i="27" s="1"/>
  <c r="AK91" i="27" a="1"/>
  <c r="AK91" i="27" s="1"/>
  <c r="AK136" i="27" a="1"/>
  <c r="AK136" i="27" s="1"/>
  <c r="AK130" i="27" a="1"/>
  <c r="AK130" i="27" s="1"/>
  <c r="AK124" i="27" a="1"/>
  <c r="AK124" i="27" s="1"/>
  <c r="AK118" i="27" a="1"/>
  <c r="AK118" i="27" s="1"/>
  <c r="AK112" i="27" a="1"/>
  <c r="AK112" i="27" s="1"/>
  <c r="AK80" i="27" a="1"/>
  <c r="AK80" i="27" s="1"/>
  <c r="AK74" i="27" a="1"/>
  <c r="AK74" i="27" s="1"/>
  <c r="AK68" i="27" a="1"/>
  <c r="AK68" i="27" s="1"/>
  <c r="AK62" i="27" a="1"/>
  <c r="AK62" i="27" s="1"/>
  <c r="AK56" i="27" a="1"/>
  <c r="AK56" i="27" s="1"/>
  <c r="AK50" i="27" a="1"/>
  <c r="AK50" i="27" s="1"/>
  <c r="AK44" i="27" a="1"/>
  <c r="AK44" i="27" s="1"/>
  <c r="AK38" i="27" a="1"/>
  <c r="AK38" i="27" s="1"/>
  <c r="AK32" i="27" a="1"/>
  <c r="AK32" i="27" s="1"/>
  <c r="AK24" i="27" a="1"/>
  <c r="AK24" i="27" s="1"/>
  <c r="AK16" i="27" a="1"/>
  <c r="AK16" i="27" s="1"/>
  <c r="AK9" i="27" a="1"/>
  <c r="AK9" i="27" s="1"/>
  <c r="AK11" i="27" a="1"/>
  <c r="AK11" i="27" s="1"/>
  <c r="AK138" i="27" a="1"/>
  <c r="AK138" i="27" s="1"/>
  <c r="AK108" i="27" a="1"/>
  <c r="AK108" i="27" s="1"/>
  <c r="AK102" i="27" a="1"/>
  <c r="AK102" i="27" s="1"/>
  <c r="AK96" i="27" a="1"/>
  <c r="AK96" i="27" s="1"/>
  <c r="AK90" i="27" a="1"/>
  <c r="AK90" i="27" s="1"/>
  <c r="AK135" i="27" a="1"/>
  <c r="AK135" i="27" s="1"/>
  <c r="AK129" i="27" a="1"/>
  <c r="AK129" i="27" s="1"/>
  <c r="AK123" i="27" a="1"/>
  <c r="AK123" i="27" s="1"/>
  <c r="AK117" i="27" a="1"/>
  <c r="AK117" i="27" s="1"/>
  <c r="AK85" i="27" a="1"/>
  <c r="AK85" i="27" s="1"/>
  <c r="AK79" i="27" a="1"/>
  <c r="AK79" i="27" s="1"/>
  <c r="AK73" i="27" a="1"/>
  <c r="AK73" i="27" s="1"/>
  <c r="AK67" i="27" a="1"/>
  <c r="AK67" i="27" s="1"/>
  <c r="AK61" i="27" a="1"/>
  <c r="AK61" i="27" s="1"/>
  <c r="AK55" i="27" a="1"/>
  <c r="AK55" i="27" s="1"/>
  <c r="AK49" i="27" a="1"/>
  <c r="AK49" i="27" s="1"/>
  <c r="AK43" i="27" a="1"/>
  <c r="AK43" i="27" s="1"/>
  <c r="AK37" i="27" a="1"/>
  <c r="AK37" i="27" s="1"/>
  <c r="AK31" i="27" a="1"/>
  <c r="AK31" i="27" s="1"/>
  <c r="AK22" i="27" a="1"/>
  <c r="AK22" i="27" s="1"/>
  <c r="AK12" i="27" a="1"/>
  <c r="AK12" i="27" s="1"/>
  <c r="AK18" i="27" a="1"/>
  <c r="AK18" i="27" s="1"/>
  <c r="BY95" i="27" a="1"/>
  <c r="BY95" i="27" s="1"/>
  <c r="BY16" i="27" a="1"/>
  <c r="BY16" i="27" s="1"/>
  <c r="CG73" i="27" a="1"/>
  <c r="CG73" i="27" s="1"/>
  <c r="BO73" i="27" a="1"/>
  <c r="BO73" i="27" s="1"/>
  <c r="CD112" i="27" a="1"/>
  <c r="CD112" i="27" s="1"/>
  <c r="BT37" i="27" a="1"/>
  <c r="BT37" i="27" s="1"/>
  <c r="CD73" i="27" a="1"/>
  <c r="CD73" i="27" s="1"/>
  <c r="BZ109" i="27" a="1"/>
  <c r="BZ109" i="27" s="1"/>
  <c r="BY125" i="27" a="1"/>
  <c r="BY125" i="27" s="1"/>
  <c r="CE84" i="27" a="1"/>
  <c r="CE84" i="27" s="1"/>
  <c r="BR37" i="27" a="1"/>
  <c r="BR37" i="27" s="1"/>
  <c r="BV21" i="27" a="1"/>
  <c r="BV21" i="27" s="1"/>
  <c r="BT73" i="27" a="1"/>
  <c r="BT73" i="27" s="1"/>
  <c r="BN12" i="27" a="1"/>
  <c r="BN12" i="27" s="1"/>
  <c r="BY17" i="27" a="1"/>
  <c r="BY17" i="27" s="1"/>
  <c r="BX71" i="27" a="1"/>
  <c r="BX71" i="27" s="1"/>
  <c r="CJ73" i="27" a="1"/>
  <c r="CJ73" i="27" s="1"/>
  <c r="BS137" i="27" a="1"/>
  <c r="BS137" i="27" s="1"/>
  <c r="BQ17" i="27" a="1"/>
  <c r="BQ17" i="27" s="1"/>
  <c r="BY88" i="27" a="1"/>
  <c r="BY88" i="27" s="1"/>
  <c r="BU124" i="27" a="1"/>
  <c r="BU124" i="27" s="1"/>
  <c r="BQ16" i="27" a="1"/>
  <c r="BQ16" i="27" s="1"/>
  <c r="BQ58" i="27" a="1"/>
  <c r="BQ58" i="27" s="1"/>
  <c r="BU88" i="27" a="1"/>
  <c r="BU88" i="27" s="1"/>
  <c r="BQ112" i="27" a="1"/>
  <c r="BQ112" i="27" s="1"/>
  <c r="BQ11" i="27" a="1"/>
  <c r="BQ11" i="27" s="1"/>
  <c r="BQ29" i="27" a="1"/>
  <c r="BQ29" i="27" s="1"/>
  <c r="BT88" i="27" a="1"/>
  <c r="BT88" i="27" s="1"/>
  <c r="BQ125" i="27" a="1"/>
  <c r="BQ125" i="27" s="1"/>
  <c r="CB132" i="27" a="1"/>
  <c r="CB132" i="27" s="1"/>
  <c r="BQ10" i="27" a="1"/>
  <c r="BQ10" i="27" s="1"/>
  <c r="BS84" i="27" a="1"/>
  <c r="BS84" i="27" s="1"/>
  <c r="G6" i="27"/>
  <c r="AD6" i="27" s="1" a="1"/>
  <c r="AD6" i="27" s="1"/>
  <c r="CG11" i="27" a="1"/>
  <c r="CG11" i="27" s="1"/>
  <c r="CG94" i="27" a="1"/>
  <c r="CG94" i="27" s="1"/>
  <c r="BW118" i="27" a="1"/>
  <c r="BW118" i="27" s="1"/>
  <c r="CE17" i="27" a="1"/>
  <c r="CE17" i="27" s="1"/>
  <c r="BW17" i="27" a="1"/>
  <c r="BW17" i="27" s="1"/>
  <c r="BW77" i="27" a="1"/>
  <c r="BW77" i="27" s="1"/>
  <c r="BW95" i="27" a="1"/>
  <c r="BW95" i="27" s="1"/>
  <c r="BQ113" i="27" a="1"/>
  <c r="BQ113" i="27" s="1"/>
  <c r="CE95" i="27" a="1"/>
  <c r="CE95" i="27" s="1"/>
  <c r="CG95" i="27" a="1"/>
  <c r="CG95" i="27" s="1"/>
  <c r="BO138" i="27" a="1"/>
  <c r="BO138" i="27" s="1"/>
  <c r="BQ72" i="27" a="1"/>
  <c r="BQ72" i="27" s="1"/>
  <c r="G37" i="27"/>
  <c r="CL7" i="27" a="1"/>
  <c r="CL7" i="27" s="1"/>
  <c r="CL9" i="27" a="1"/>
  <c r="CL9" i="27" s="1"/>
  <c r="CL11" i="27" a="1"/>
  <c r="CL11" i="27" s="1"/>
  <c r="CL13" i="27" a="1"/>
  <c r="CL13" i="27" s="1"/>
  <c r="CL15" i="27" a="1"/>
  <c r="CL15" i="27" s="1"/>
  <c r="CL17" i="27" a="1"/>
  <c r="CL17" i="27" s="1"/>
  <c r="CL19" i="27" a="1"/>
  <c r="CL19" i="27" s="1"/>
  <c r="CL21" i="27" a="1"/>
  <c r="CL21" i="27" s="1"/>
  <c r="CL22" i="27" a="1"/>
  <c r="CL22" i="27" s="1"/>
  <c r="CL24" i="27" a="1"/>
  <c r="CL24" i="27" s="1"/>
  <c r="CL26" i="27" a="1"/>
  <c r="CL26" i="27" s="1"/>
  <c r="CL28" i="27" a="1"/>
  <c r="CL28" i="27" s="1"/>
  <c r="CL30" i="27" a="1"/>
  <c r="CL30" i="27" s="1"/>
  <c r="CL32" i="27" a="1"/>
  <c r="CL32" i="27" s="1"/>
  <c r="CL36" i="27" a="1"/>
  <c r="CL36" i="27" s="1"/>
  <c r="CL38" i="27" a="1"/>
  <c r="CL38" i="27" s="1"/>
  <c r="CL40" i="27" a="1"/>
  <c r="CL40" i="27" s="1"/>
  <c r="CL34" i="27" a="1"/>
  <c r="CL34" i="27" s="1"/>
  <c r="CL8" i="27" a="1"/>
  <c r="CL8" i="27" s="1"/>
  <c r="CL10" i="27" a="1"/>
  <c r="CL10" i="27" s="1"/>
  <c r="CL12" i="27" a="1"/>
  <c r="CL12" i="27" s="1"/>
  <c r="CL14" i="27" a="1"/>
  <c r="CL14" i="27" s="1"/>
  <c r="CL16" i="27" a="1"/>
  <c r="CL16" i="27" s="1"/>
  <c r="CL18" i="27" a="1"/>
  <c r="CL18" i="27" s="1"/>
  <c r="CL20" i="27" a="1"/>
  <c r="CL20" i="27" s="1"/>
  <c r="CL23" i="27" a="1"/>
  <c r="CL23" i="27" s="1"/>
  <c r="CL25" i="27" a="1"/>
  <c r="CL25" i="27" s="1"/>
  <c r="CL27" i="27" a="1"/>
  <c r="CL27" i="27" s="1"/>
  <c r="CL29" i="27" a="1"/>
  <c r="CL29" i="27" s="1"/>
  <c r="CL31" i="27" a="1"/>
  <c r="CL31" i="27" s="1"/>
  <c r="CL33" i="27" a="1"/>
  <c r="CL33" i="27" s="1"/>
  <c r="CL37" i="27" a="1"/>
  <c r="CL37" i="27" s="1"/>
  <c r="CL39" i="27" a="1"/>
  <c r="CL39" i="27" s="1"/>
  <c r="CL56" i="27" a="1"/>
  <c r="CL56" i="27" s="1"/>
  <c r="CL60" i="27" a="1"/>
  <c r="CL60" i="27" s="1"/>
  <c r="CL62" i="27" a="1"/>
  <c r="CL62" i="27" s="1"/>
  <c r="CL64" i="27" a="1"/>
  <c r="CL64" i="27" s="1"/>
  <c r="CL66" i="27" a="1"/>
  <c r="CL66" i="27" s="1"/>
  <c r="CL68" i="27" a="1"/>
  <c r="CL68" i="27" s="1"/>
  <c r="CL70" i="27" a="1"/>
  <c r="CL70" i="27" s="1"/>
  <c r="CL42" i="27" a="1"/>
  <c r="CL42" i="27" s="1"/>
  <c r="CL44" i="27" a="1"/>
  <c r="CL44" i="27" s="1"/>
  <c r="CL46" i="27" a="1"/>
  <c r="CL46" i="27" s="1"/>
  <c r="CL48" i="27" a="1"/>
  <c r="CL48" i="27" s="1"/>
  <c r="CL50" i="27" a="1"/>
  <c r="CL50" i="27" s="1"/>
  <c r="CL52" i="27" a="1"/>
  <c r="CL52" i="27" s="1"/>
  <c r="CL54" i="27" a="1"/>
  <c r="CL54" i="27" s="1"/>
  <c r="CL35" i="27" a="1"/>
  <c r="CL35" i="27" s="1"/>
  <c r="CL57" i="27" a="1"/>
  <c r="CL57" i="27" s="1"/>
  <c r="CL59" i="27" a="1"/>
  <c r="CL59" i="27" s="1"/>
  <c r="CL41" i="27" a="1"/>
  <c r="CL41" i="27" s="1"/>
  <c r="CL43" i="27" a="1"/>
  <c r="CL43" i="27" s="1"/>
  <c r="CL45" i="27" a="1"/>
  <c r="CL45" i="27" s="1"/>
  <c r="CL47" i="27" a="1"/>
  <c r="CL47" i="27" s="1"/>
  <c r="CL49" i="27" a="1"/>
  <c r="CL49" i="27" s="1"/>
  <c r="CL51" i="27" a="1"/>
  <c r="CL51" i="27" s="1"/>
  <c r="CL53" i="27" a="1"/>
  <c r="CL53" i="27" s="1"/>
  <c r="CL55" i="27" a="1"/>
  <c r="CL55" i="27" s="1"/>
  <c r="CL58" i="27" a="1"/>
  <c r="CL58" i="27" s="1"/>
  <c r="CL63" i="27" a="1"/>
  <c r="CL63" i="27" s="1"/>
  <c r="CL71" i="27" a="1"/>
  <c r="CL71" i="27" s="1"/>
  <c r="CL61" i="27" a="1"/>
  <c r="CL61" i="27" s="1"/>
  <c r="CL67" i="27" a="1"/>
  <c r="CL67" i="27" s="1"/>
  <c r="CL72" i="27" a="1"/>
  <c r="CL72" i="27" s="1"/>
  <c r="CL74" i="27" a="1"/>
  <c r="CL74" i="27" s="1"/>
  <c r="CL76" i="27" a="1"/>
  <c r="CL76" i="27" s="1"/>
  <c r="CL78" i="27" a="1"/>
  <c r="CL78" i="27" s="1"/>
  <c r="CL80" i="27" a="1"/>
  <c r="CL80" i="27" s="1"/>
  <c r="CL82" i="27" a="1"/>
  <c r="CL82" i="27" s="1"/>
  <c r="CL84" i="27" a="1"/>
  <c r="CL84" i="27" s="1"/>
  <c r="CL86" i="27" a="1"/>
  <c r="CL86" i="27" s="1"/>
  <c r="CL88" i="27" a="1"/>
  <c r="CL88" i="27" s="1"/>
  <c r="CL65" i="27" a="1"/>
  <c r="CL65" i="27" s="1"/>
  <c r="CL69" i="27" a="1"/>
  <c r="CL69" i="27" s="1"/>
  <c r="CL73" i="27" a="1"/>
  <c r="CL73" i="27" s="1"/>
  <c r="CL75" i="27" a="1"/>
  <c r="CL75" i="27" s="1"/>
  <c r="CL77" i="27" a="1"/>
  <c r="CL77" i="27" s="1"/>
  <c r="CL79" i="27" a="1"/>
  <c r="CL79" i="27" s="1"/>
  <c r="CL81" i="27" a="1"/>
  <c r="CL81" i="27" s="1"/>
  <c r="CL83" i="27" a="1"/>
  <c r="CL83" i="27" s="1"/>
  <c r="CL85" i="27" a="1"/>
  <c r="CL85" i="27" s="1"/>
  <c r="CL87" i="27" a="1"/>
  <c r="CL87" i="27" s="1"/>
  <c r="CL89" i="27" a="1"/>
  <c r="CL89" i="27" s="1"/>
  <c r="CL91" i="27" a="1"/>
  <c r="CL91" i="27" s="1"/>
  <c r="CL93" i="27" a="1"/>
  <c r="CL93" i="27" s="1"/>
  <c r="CL95" i="27" a="1"/>
  <c r="CL95" i="27" s="1"/>
  <c r="CL97" i="27" a="1"/>
  <c r="CL97" i="27" s="1"/>
  <c r="CL99" i="27" a="1"/>
  <c r="CL99" i="27" s="1"/>
  <c r="CL118" i="27" a="1"/>
  <c r="CL118" i="27" s="1"/>
  <c r="CL122" i="27" a="1"/>
  <c r="CL122" i="27" s="1"/>
  <c r="CL90" i="27" a="1"/>
  <c r="CL90" i="27" s="1"/>
  <c r="CL92" i="27" a="1"/>
  <c r="CL92" i="27" s="1"/>
  <c r="CL96" i="27" a="1"/>
  <c r="CL96" i="27" s="1"/>
  <c r="CL100" i="27" a="1"/>
  <c r="CL100" i="27" s="1"/>
  <c r="CL103" i="27" a="1"/>
  <c r="CL103" i="27" s="1"/>
  <c r="CL105" i="27" a="1"/>
  <c r="CL105" i="27" s="1"/>
  <c r="CL107" i="27" a="1"/>
  <c r="CL107" i="27" s="1"/>
  <c r="CL109" i="27" a="1"/>
  <c r="CL109" i="27" s="1"/>
  <c r="CL111" i="27" a="1"/>
  <c r="CL111" i="27" s="1"/>
  <c r="CL112" i="27" a="1"/>
  <c r="CL112" i="27" s="1"/>
  <c r="CL113" i="27" a="1"/>
  <c r="CL113" i="27" s="1"/>
  <c r="CL114" i="27" a="1"/>
  <c r="CL114" i="27" s="1"/>
  <c r="CL115" i="27" a="1"/>
  <c r="CL115" i="27" s="1"/>
  <c r="CL94" i="27" a="1"/>
  <c r="CL94" i="27" s="1"/>
  <c r="CL98" i="27" a="1"/>
  <c r="CL98" i="27" s="1"/>
  <c r="CL101" i="27" a="1"/>
  <c r="CL101" i="27" s="1"/>
  <c r="CL124" i="27" a="1"/>
  <c r="CL124" i="27" s="1"/>
  <c r="CL126" i="27" a="1"/>
  <c r="CL126" i="27" s="1"/>
  <c r="CL102" i="27" a="1"/>
  <c r="CL102" i="27" s="1"/>
  <c r="CL104" i="27" a="1"/>
  <c r="CL104" i="27" s="1"/>
  <c r="CL106" i="27" a="1"/>
  <c r="CL106" i="27" s="1"/>
  <c r="CL108" i="27" a="1"/>
  <c r="CL108" i="27" s="1"/>
  <c r="CL110" i="27" a="1"/>
  <c r="CL110" i="27" s="1"/>
  <c r="CL121" i="27" a="1"/>
  <c r="CL121" i="27" s="1"/>
  <c r="CL127" i="27" a="1"/>
  <c r="CL127" i="27" s="1"/>
  <c r="CL120" i="27" a="1"/>
  <c r="CL120" i="27" s="1"/>
  <c r="CL139" i="27" a="1"/>
  <c r="CL139" i="27" s="1"/>
  <c r="CL119" i="27" a="1"/>
  <c r="CL119" i="27" s="1"/>
  <c r="CL123" i="27" a="1"/>
  <c r="CL123" i="27" s="1"/>
  <c r="CL128" i="27" a="1"/>
  <c r="CL128" i="27" s="1"/>
  <c r="CL129" i="27" a="1"/>
  <c r="CL129" i="27" s="1"/>
  <c r="CL133" i="27" a="1"/>
  <c r="CL133" i="27" s="1"/>
  <c r="CL130" i="27" a="1"/>
  <c r="CL130" i="27" s="1"/>
  <c r="CL132" i="27" a="1"/>
  <c r="CL132" i="27" s="1"/>
  <c r="CL140" i="27" a="1"/>
  <c r="CL140" i="27" s="1"/>
  <c r="CL116" i="27" a="1"/>
  <c r="CL116" i="27" s="1"/>
  <c r="CL117" i="27" a="1"/>
  <c r="CL117" i="27" s="1"/>
  <c r="CL125" i="27" a="1"/>
  <c r="CL125" i="27" s="1"/>
  <c r="CL131" i="27" a="1"/>
  <c r="CL131" i="27" s="1"/>
  <c r="CL134" i="27" a="1"/>
  <c r="CL134" i="27" s="1"/>
  <c r="CL135" i="27" a="1"/>
  <c r="CL135" i="27" s="1"/>
  <c r="CL136" i="27" a="1"/>
  <c r="CL136" i="27" s="1"/>
  <c r="CL137" i="27" a="1"/>
  <c r="CL137" i="27" s="1"/>
  <c r="CL138" i="27" a="1"/>
  <c r="CL138" i="27" s="1"/>
  <c r="CL6" i="27" a="1"/>
  <c r="CL6" i="27" s="1"/>
  <c r="BS16" i="27" a="1"/>
  <c r="BS16" i="27" s="1"/>
  <c r="BS40" i="27" a="1"/>
  <c r="BS40" i="27" s="1"/>
  <c r="BO88" i="27" a="1"/>
  <c r="BO88" i="27" s="1"/>
  <c r="BO124" i="27" a="1"/>
  <c r="BO124" i="27" s="1"/>
  <c r="CA17" i="27" a="1"/>
  <c r="CA17" i="27" s="1"/>
  <c r="BO17" i="27" a="1"/>
  <c r="BO17" i="27" s="1"/>
  <c r="CI47" i="27" a="1"/>
  <c r="CI47" i="27" s="1"/>
  <c r="CC95" i="27" a="1"/>
  <c r="CC95" i="27" s="1"/>
  <c r="BS24" i="27" a="1"/>
  <c r="BS24" i="27" s="1"/>
  <c r="BW55" i="27" a="1"/>
  <c r="BW55" i="27" s="1"/>
  <c r="CA103" i="27" a="1"/>
  <c r="CA103" i="27" s="1"/>
  <c r="CM7" i="27" a="1"/>
  <c r="CM7" i="27" s="1"/>
  <c r="CM9" i="27" a="1"/>
  <c r="CM9" i="27" s="1"/>
  <c r="CM11" i="27" a="1"/>
  <c r="CM11" i="27" s="1"/>
  <c r="CM13" i="27" a="1"/>
  <c r="CM13" i="27" s="1"/>
  <c r="CM15" i="27" a="1"/>
  <c r="CM15" i="27" s="1"/>
  <c r="CM17" i="27" a="1"/>
  <c r="CM17" i="27" s="1"/>
  <c r="CM19" i="27" a="1"/>
  <c r="CM19" i="27" s="1"/>
  <c r="CM21" i="27" a="1"/>
  <c r="CM21" i="27" s="1"/>
  <c r="CM22" i="27" a="1"/>
  <c r="CM22" i="27" s="1"/>
  <c r="CM24" i="27" a="1"/>
  <c r="CM24" i="27" s="1"/>
  <c r="CM26" i="27" a="1"/>
  <c r="CM26" i="27" s="1"/>
  <c r="CM28" i="27" a="1"/>
  <c r="CM28" i="27" s="1"/>
  <c r="CM30" i="27" a="1"/>
  <c r="CM30" i="27" s="1"/>
  <c r="CM32" i="27" a="1"/>
  <c r="CM32" i="27" s="1"/>
  <c r="CM36" i="27" a="1"/>
  <c r="CM36" i="27" s="1"/>
  <c r="CM38" i="27" a="1"/>
  <c r="CM38" i="27" s="1"/>
  <c r="CM40" i="27" a="1"/>
  <c r="CM40" i="27" s="1"/>
  <c r="CM8" i="27" a="1"/>
  <c r="CM8" i="27" s="1"/>
  <c r="CM10" i="27" a="1"/>
  <c r="CM10" i="27" s="1"/>
  <c r="CM12" i="27" a="1"/>
  <c r="CM12" i="27" s="1"/>
  <c r="CM14" i="27" a="1"/>
  <c r="CM14" i="27" s="1"/>
  <c r="CM16" i="27" a="1"/>
  <c r="CM16" i="27" s="1"/>
  <c r="CM18" i="27" a="1"/>
  <c r="CM18" i="27" s="1"/>
  <c r="CM20" i="27" a="1"/>
  <c r="CM20" i="27" s="1"/>
  <c r="CM23" i="27" a="1"/>
  <c r="CM23" i="27" s="1"/>
  <c r="CM25" i="27" a="1"/>
  <c r="CM25" i="27" s="1"/>
  <c r="CM27" i="27" a="1"/>
  <c r="CM27" i="27" s="1"/>
  <c r="CM29" i="27" a="1"/>
  <c r="CM29" i="27" s="1"/>
  <c r="CM31" i="27" a="1"/>
  <c r="CM31" i="27" s="1"/>
  <c r="CM35" i="27" a="1"/>
  <c r="CM35" i="27" s="1"/>
  <c r="CM33" i="27" a="1"/>
  <c r="CM33" i="27" s="1"/>
  <c r="CM37" i="27" a="1"/>
  <c r="CM37" i="27" s="1"/>
  <c r="CM39" i="27" a="1"/>
  <c r="CM39" i="27" s="1"/>
  <c r="CM41" i="27" a="1"/>
  <c r="CM41" i="27" s="1"/>
  <c r="CM43" i="27" a="1"/>
  <c r="CM43" i="27" s="1"/>
  <c r="CM45" i="27" a="1"/>
  <c r="CM45" i="27" s="1"/>
  <c r="CM47" i="27" a="1"/>
  <c r="CM47" i="27" s="1"/>
  <c r="CM49" i="27" a="1"/>
  <c r="CM49" i="27" s="1"/>
  <c r="CM51" i="27" a="1"/>
  <c r="CM51" i="27" s="1"/>
  <c r="CM53" i="27" a="1"/>
  <c r="CM53" i="27" s="1"/>
  <c r="CM55" i="27" a="1"/>
  <c r="CM55" i="27" s="1"/>
  <c r="CM58" i="27" a="1"/>
  <c r="CM58" i="27" s="1"/>
  <c r="CM56" i="27" a="1"/>
  <c r="CM56" i="27" s="1"/>
  <c r="CM60" i="27" a="1"/>
  <c r="CM60" i="27" s="1"/>
  <c r="CM42" i="27" a="1"/>
  <c r="CM42" i="27" s="1"/>
  <c r="CM44" i="27" a="1"/>
  <c r="CM44" i="27" s="1"/>
  <c r="CM46" i="27" a="1"/>
  <c r="CM46" i="27" s="1"/>
  <c r="CM48" i="27" a="1"/>
  <c r="CM48" i="27" s="1"/>
  <c r="CM50" i="27" a="1"/>
  <c r="CM50" i="27" s="1"/>
  <c r="CM52" i="27" a="1"/>
  <c r="CM52" i="27" s="1"/>
  <c r="CM54" i="27" a="1"/>
  <c r="CM54" i="27" s="1"/>
  <c r="CM61" i="27" a="1"/>
  <c r="CM61" i="27" s="1"/>
  <c r="CM63" i="27" a="1"/>
  <c r="CM63" i="27" s="1"/>
  <c r="CM65" i="27" a="1"/>
  <c r="CM65" i="27" s="1"/>
  <c r="CM67" i="27" a="1"/>
  <c r="CM67" i="27" s="1"/>
  <c r="CM34" i="27" a="1"/>
  <c r="CM34" i="27" s="1"/>
  <c r="CM57" i="27" a="1"/>
  <c r="CM57" i="27" s="1"/>
  <c r="CM59" i="27" a="1"/>
  <c r="CM59" i="27" s="1"/>
  <c r="CM69" i="27" a="1"/>
  <c r="CM69" i="27" s="1"/>
  <c r="CM73" i="27" a="1"/>
  <c r="CM73" i="27" s="1"/>
  <c r="CM75" i="27" a="1"/>
  <c r="CM75" i="27" s="1"/>
  <c r="CM77" i="27" a="1"/>
  <c r="CM77" i="27" s="1"/>
  <c r="CM79" i="27" a="1"/>
  <c r="CM79" i="27" s="1"/>
  <c r="CM81" i="27" a="1"/>
  <c r="CM81" i="27" s="1"/>
  <c r="CM83" i="27" a="1"/>
  <c r="CM83" i="27" s="1"/>
  <c r="CM85" i="27" a="1"/>
  <c r="CM85" i="27" s="1"/>
  <c r="CM87" i="27" a="1"/>
  <c r="CM87" i="27" s="1"/>
  <c r="CM89" i="27" a="1"/>
  <c r="CM89" i="27" s="1"/>
  <c r="CM91" i="27" a="1"/>
  <c r="CM91" i="27" s="1"/>
  <c r="CM93" i="27" a="1"/>
  <c r="CM93" i="27" s="1"/>
  <c r="CM95" i="27" a="1"/>
  <c r="CM95" i="27" s="1"/>
  <c r="CM97" i="27" a="1"/>
  <c r="CM97" i="27" s="1"/>
  <c r="CM99" i="27" a="1"/>
  <c r="CM99" i="27" s="1"/>
  <c r="CM101" i="27" a="1"/>
  <c r="CM101" i="27" s="1"/>
  <c r="CM62" i="27" a="1"/>
  <c r="CM62" i="27" s="1"/>
  <c r="CM71" i="27" a="1"/>
  <c r="CM71" i="27" s="1"/>
  <c r="CM66" i="27" a="1"/>
  <c r="CM66" i="27" s="1"/>
  <c r="CM68" i="27" a="1"/>
  <c r="CM68" i="27" s="1"/>
  <c r="CM70" i="27" a="1"/>
  <c r="CM70" i="27" s="1"/>
  <c r="CM72" i="27" a="1"/>
  <c r="CM72" i="27" s="1"/>
  <c r="CM74" i="27" a="1"/>
  <c r="CM74" i="27" s="1"/>
  <c r="CM76" i="27" a="1"/>
  <c r="CM76" i="27" s="1"/>
  <c r="CM78" i="27" a="1"/>
  <c r="CM78" i="27" s="1"/>
  <c r="CM80" i="27" a="1"/>
  <c r="CM80" i="27" s="1"/>
  <c r="CM82" i="27" a="1"/>
  <c r="CM82" i="27" s="1"/>
  <c r="CM84" i="27" a="1"/>
  <c r="CM84" i="27" s="1"/>
  <c r="CM86" i="27" a="1"/>
  <c r="CM86" i="27" s="1"/>
  <c r="CM88" i="27" a="1"/>
  <c r="CM88" i="27" s="1"/>
  <c r="CM90" i="27" a="1"/>
  <c r="CM90" i="27" s="1"/>
  <c r="CM64" i="27" a="1"/>
  <c r="CM64" i="27" s="1"/>
  <c r="CM94" i="27" a="1"/>
  <c r="CM94" i="27" s="1"/>
  <c r="CM98" i="27" a="1"/>
  <c r="CM98" i="27" s="1"/>
  <c r="CM121" i="27" a="1"/>
  <c r="CM121" i="27" s="1"/>
  <c r="CM124" i="27" a="1"/>
  <c r="CM124" i="27" s="1"/>
  <c r="CM127" i="27" a="1"/>
  <c r="CM127" i="27" s="1"/>
  <c r="CM128" i="27" a="1"/>
  <c r="CM128" i="27" s="1"/>
  <c r="CM129" i="27" a="1"/>
  <c r="CM129" i="27" s="1"/>
  <c r="CM130" i="27" a="1"/>
  <c r="CM130" i="27" s="1"/>
  <c r="CM102" i="27" a="1"/>
  <c r="CM102" i="27" s="1"/>
  <c r="CM104" i="27" a="1"/>
  <c r="CM104" i="27" s="1"/>
  <c r="CM106" i="27" a="1"/>
  <c r="CM106" i="27" s="1"/>
  <c r="CM108" i="27" a="1"/>
  <c r="CM108" i="27" s="1"/>
  <c r="CM110" i="27" a="1"/>
  <c r="CM110" i="27" s="1"/>
  <c r="CM118" i="27" a="1"/>
  <c r="CM118" i="27" s="1"/>
  <c r="CM122" i="27" a="1"/>
  <c r="CM122" i="27" s="1"/>
  <c r="CM92" i="27" a="1"/>
  <c r="CM92" i="27" s="1"/>
  <c r="CM96" i="27" a="1"/>
  <c r="CM96" i="27" s="1"/>
  <c r="CM100" i="27" a="1"/>
  <c r="CM100" i="27" s="1"/>
  <c r="CM103" i="27" a="1"/>
  <c r="CM103" i="27" s="1"/>
  <c r="CM105" i="27" a="1"/>
  <c r="CM105" i="27" s="1"/>
  <c r="CM107" i="27" a="1"/>
  <c r="CM107" i="27" s="1"/>
  <c r="CM109" i="27" a="1"/>
  <c r="CM109" i="27" s="1"/>
  <c r="CM120" i="27" a="1"/>
  <c r="CM120" i="27" s="1"/>
  <c r="CM111" i="27" a="1"/>
  <c r="CM111" i="27" s="1"/>
  <c r="CM112" i="27" a="1"/>
  <c r="CM112" i="27" s="1"/>
  <c r="CM113" i="27" a="1"/>
  <c r="CM113" i="27" s="1"/>
  <c r="CM114" i="27" a="1"/>
  <c r="CM114" i="27" s="1"/>
  <c r="CM115" i="27" a="1"/>
  <c r="CM115" i="27" s="1"/>
  <c r="CM116" i="27" a="1"/>
  <c r="CM116" i="27" s="1"/>
  <c r="CM117" i="27" a="1"/>
  <c r="CM117" i="27" s="1"/>
  <c r="CM126" i="27" a="1"/>
  <c r="CM126" i="27" s="1"/>
  <c r="CM125" i="27" a="1"/>
  <c r="CM125" i="27" s="1"/>
  <c r="CM131" i="27" a="1"/>
  <c r="CM131" i="27" s="1"/>
  <c r="CM134" i="27" a="1"/>
  <c r="CM134" i="27" s="1"/>
  <c r="CM135" i="27" a="1"/>
  <c r="CM135" i="27" s="1"/>
  <c r="CM136" i="27" a="1"/>
  <c r="CM136" i="27" s="1"/>
  <c r="CM137" i="27" a="1"/>
  <c r="CM137" i="27" s="1"/>
  <c r="CM138" i="27" a="1"/>
  <c r="CM138" i="27" s="1"/>
  <c r="CM6" i="27" a="1"/>
  <c r="CM6" i="27" s="1"/>
  <c r="CM119" i="27" a="1"/>
  <c r="CM119" i="27" s="1"/>
  <c r="CM123" i="27" a="1"/>
  <c r="CM123" i="27" s="1"/>
  <c r="CM133" i="27" a="1"/>
  <c r="CM133" i="27" s="1"/>
  <c r="CM139" i="27" a="1"/>
  <c r="CM139" i="27" s="1"/>
  <c r="CM132" i="27" a="1"/>
  <c r="CM132" i="27" s="1"/>
  <c r="CM140" i="27" a="1"/>
  <c r="CM140" i="27" s="1"/>
  <c r="CC31" i="27" a="1"/>
  <c r="CC31" i="27" s="1"/>
  <c r="CC32" i="27" a="1"/>
  <c r="CC32" i="27" s="1"/>
  <c r="CG50" i="27" a="1"/>
  <c r="CG50" i="27" s="1"/>
  <c r="BU116" i="27" a="1"/>
  <c r="BU116" i="27" s="1"/>
  <c r="CI122" i="27" a="1"/>
  <c r="CI122" i="27" s="1"/>
  <c r="BY37" i="27" a="1"/>
  <c r="BY37" i="27" s="1"/>
  <c r="BS9" i="27" a="1"/>
  <c r="BS9" i="27" s="1"/>
  <c r="BZ69" i="27" a="1"/>
  <c r="BZ69" i="27" s="1"/>
  <c r="CE69" i="27" a="1"/>
  <c r="CE69" i="27" s="1"/>
  <c r="BT105" i="27" a="1"/>
  <c r="BT105" i="27" s="1"/>
  <c r="CD105" i="27" a="1"/>
  <c r="CD105" i="27" s="1"/>
  <c r="BU105" i="27" a="1"/>
  <c r="BU105" i="27" s="1"/>
  <c r="BZ105" i="27" a="1"/>
  <c r="BZ105" i="27" s="1"/>
  <c r="CA105" i="27" a="1"/>
  <c r="CA105" i="27" s="1"/>
  <c r="CF105" i="27" a="1"/>
  <c r="CF105" i="27" s="1"/>
  <c r="BW105" i="27" a="1"/>
  <c r="BW105" i="27" s="1"/>
  <c r="CG105" i="27" a="1"/>
  <c r="CG105" i="27" s="1"/>
  <c r="BS105" i="27" a="1"/>
  <c r="BS105" i="27" s="1"/>
  <c r="BX105" i="27" a="1"/>
  <c r="BX105" i="27" s="1"/>
  <c r="BY105" i="27" a="1"/>
  <c r="BY105" i="27" s="1"/>
  <c r="CC105" i="27" a="1"/>
  <c r="CC105" i="27" s="1"/>
  <c r="BU18" i="27" a="1"/>
  <c r="BU18" i="27" s="1"/>
  <c r="BS18" i="27" a="1"/>
  <c r="BS18" i="27" s="1"/>
  <c r="BU60" i="27" a="1"/>
  <c r="BU60" i="27" s="1"/>
  <c r="BY139" i="27" a="1"/>
  <c r="BY139" i="27" s="1"/>
  <c r="BU139" i="27" a="1"/>
  <c r="BU139" i="27" s="1"/>
  <c r="CE73" i="27" a="1"/>
  <c r="CE73" i="27" s="1"/>
  <c r="CE133" i="27" a="1"/>
  <c r="CE133" i="27" s="1"/>
  <c r="CV7" i="27" a="1"/>
  <c r="CV7" i="27" s="1"/>
  <c r="CV9" i="27" a="1"/>
  <c r="CV9" i="27" s="1"/>
  <c r="CV11" i="27" a="1"/>
  <c r="CV11" i="27" s="1"/>
  <c r="CV13" i="27" a="1"/>
  <c r="CV13" i="27" s="1"/>
  <c r="CV15" i="27" a="1"/>
  <c r="CV15" i="27" s="1"/>
  <c r="CV17" i="27" a="1"/>
  <c r="CV17" i="27" s="1"/>
  <c r="CV19" i="27" a="1"/>
  <c r="CV19" i="27" s="1"/>
  <c r="CV34" i="27" a="1"/>
  <c r="CV34" i="27" s="1"/>
  <c r="CV22" i="27" a="1"/>
  <c r="CV22" i="27" s="1"/>
  <c r="CV24" i="27" a="1"/>
  <c r="CV24" i="27" s="1"/>
  <c r="CV26" i="27" a="1"/>
  <c r="CV26" i="27" s="1"/>
  <c r="CV28" i="27" a="1"/>
  <c r="CV28" i="27" s="1"/>
  <c r="CV30" i="27" a="1"/>
  <c r="CV30" i="27" s="1"/>
  <c r="CV32" i="27" a="1"/>
  <c r="CV32" i="27" s="1"/>
  <c r="CV36" i="27" a="1"/>
  <c r="CV36" i="27" s="1"/>
  <c r="CV38" i="27" a="1"/>
  <c r="CV38" i="27" s="1"/>
  <c r="CV8" i="27" a="1"/>
  <c r="CV8" i="27" s="1"/>
  <c r="CV10" i="27" a="1"/>
  <c r="CV10" i="27" s="1"/>
  <c r="CV12" i="27" a="1"/>
  <c r="CV12" i="27" s="1"/>
  <c r="CV14" i="27" a="1"/>
  <c r="CV14" i="27" s="1"/>
  <c r="CV16" i="27" a="1"/>
  <c r="CV16" i="27" s="1"/>
  <c r="CV18" i="27" a="1"/>
  <c r="CV18" i="27" s="1"/>
  <c r="CV20" i="27" a="1"/>
  <c r="CV20" i="27" s="1"/>
  <c r="CV21" i="27" a="1"/>
  <c r="CV21" i="27" s="1"/>
  <c r="CV23" i="27" a="1"/>
  <c r="CV23" i="27" s="1"/>
  <c r="CV25" i="27" a="1"/>
  <c r="CV25" i="27" s="1"/>
  <c r="CV27" i="27" a="1"/>
  <c r="CV27" i="27" s="1"/>
  <c r="CV29" i="27" a="1"/>
  <c r="CV29" i="27" s="1"/>
  <c r="CV31" i="27" a="1"/>
  <c r="CV31" i="27" s="1"/>
  <c r="CV35" i="27" a="1"/>
  <c r="CV35" i="27" s="1"/>
  <c r="CV37" i="27" a="1"/>
  <c r="CV37" i="27" s="1"/>
  <c r="CV33" i="27" a="1"/>
  <c r="CV33" i="27" s="1"/>
  <c r="CV39" i="27" a="1"/>
  <c r="CV39" i="27" s="1"/>
  <c r="CV56" i="27" a="1"/>
  <c r="CV56" i="27" s="1"/>
  <c r="CV58" i="27" a="1"/>
  <c r="CV58" i="27" s="1"/>
  <c r="CV60" i="27" a="1"/>
  <c r="CV60" i="27" s="1"/>
  <c r="CV62" i="27" a="1"/>
  <c r="CV62" i="27" s="1"/>
  <c r="CV64" i="27" a="1"/>
  <c r="CV64" i="27" s="1"/>
  <c r="CV66" i="27" a="1"/>
  <c r="CV66" i="27" s="1"/>
  <c r="CV68" i="27" a="1"/>
  <c r="CV68" i="27" s="1"/>
  <c r="CV70" i="27" a="1"/>
  <c r="CV70" i="27" s="1"/>
  <c r="CV40" i="27" a="1"/>
  <c r="CV40" i="27" s="1"/>
  <c r="CV42" i="27" a="1"/>
  <c r="CV42" i="27" s="1"/>
  <c r="CV44" i="27" a="1"/>
  <c r="CV44" i="27" s="1"/>
  <c r="CV46" i="27" a="1"/>
  <c r="CV46" i="27" s="1"/>
  <c r="CV48" i="27" a="1"/>
  <c r="CV48" i="27" s="1"/>
  <c r="CV50" i="27" a="1"/>
  <c r="CV50" i="27" s="1"/>
  <c r="CV52" i="27" a="1"/>
  <c r="CV52" i="27" s="1"/>
  <c r="CV54" i="27" a="1"/>
  <c r="CV54" i="27" s="1"/>
  <c r="CV57" i="27" a="1"/>
  <c r="CV57" i="27" s="1"/>
  <c r="CV55" i="27" a="1"/>
  <c r="CV55" i="27" s="1"/>
  <c r="CV59" i="27" a="1"/>
  <c r="CV59" i="27" s="1"/>
  <c r="CV41" i="27" a="1"/>
  <c r="CV41" i="27" s="1"/>
  <c r="CV43" i="27" a="1"/>
  <c r="CV43" i="27" s="1"/>
  <c r="CV45" i="27" a="1"/>
  <c r="CV45" i="27" s="1"/>
  <c r="CV47" i="27" a="1"/>
  <c r="CV47" i="27" s="1"/>
  <c r="CV49" i="27" a="1"/>
  <c r="CV49" i="27" s="1"/>
  <c r="CV51" i="27" a="1"/>
  <c r="CV51" i="27" s="1"/>
  <c r="CV53" i="27" a="1"/>
  <c r="CV53" i="27" s="1"/>
  <c r="CV61" i="27" a="1"/>
  <c r="CV61" i="27" s="1"/>
  <c r="CV67" i="27" a="1"/>
  <c r="CV67" i="27" s="1"/>
  <c r="CV69" i="27" a="1"/>
  <c r="CV69" i="27" s="1"/>
  <c r="CV65" i="27" a="1"/>
  <c r="CV65" i="27" s="1"/>
  <c r="CV72" i="27" a="1"/>
  <c r="CV72" i="27" s="1"/>
  <c r="CV74" i="27" a="1"/>
  <c r="CV74" i="27" s="1"/>
  <c r="CV76" i="27" a="1"/>
  <c r="CV76" i="27" s="1"/>
  <c r="CV78" i="27" a="1"/>
  <c r="CV78" i="27" s="1"/>
  <c r="CV80" i="27" a="1"/>
  <c r="CV80" i="27" s="1"/>
  <c r="CV82" i="27" a="1"/>
  <c r="CV82" i="27" s="1"/>
  <c r="CV84" i="27" a="1"/>
  <c r="CV84" i="27" s="1"/>
  <c r="CV86" i="27" a="1"/>
  <c r="CV86" i="27" s="1"/>
  <c r="CV88" i="27" a="1"/>
  <c r="CV88" i="27" s="1"/>
  <c r="CV63" i="27" a="1"/>
  <c r="CV63" i="27" s="1"/>
  <c r="CV71" i="27" a="1"/>
  <c r="CV71" i="27" s="1"/>
  <c r="CV73" i="27" a="1"/>
  <c r="CV73" i="27" s="1"/>
  <c r="CV75" i="27" a="1"/>
  <c r="CV75" i="27" s="1"/>
  <c r="CV77" i="27" a="1"/>
  <c r="CV77" i="27" s="1"/>
  <c r="CV79" i="27" a="1"/>
  <c r="CV79" i="27" s="1"/>
  <c r="CV81" i="27" a="1"/>
  <c r="CV81" i="27" s="1"/>
  <c r="CV83" i="27" a="1"/>
  <c r="CV83" i="27" s="1"/>
  <c r="CV85" i="27" a="1"/>
  <c r="CV85" i="27" s="1"/>
  <c r="CV87" i="27" a="1"/>
  <c r="CV87" i="27" s="1"/>
  <c r="CV89" i="27" a="1"/>
  <c r="CV89" i="27" s="1"/>
  <c r="CV91" i="27" a="1"/>
  <c r="CV91" i="27" s="1"/>
  <c r="CV93" i="27" a="1"/>
  <c r="CV93" i="27" s="1"/>
  <c r="CV95" i="27" a="1"/>
  <c r="CV95" i="27" s="1"/>
  <c r="CV97" i="27" a="1"/>
  <c r="CV97" i="27" s="1"/>
  <c r="CV99" i="27" a="1"/>
  <c r="CV99" i="27" s="1"/>
  <c r="CV90" i="27" a="1"/>
  <c r="CV90" i="27" s="1"/>
  <c r="CV102" i="27" a="1"/>
  <c r="CV102" i="27" s="1"/>
  <c r="CV104" i="27" a="1"/>
  <c r="CV104" i="27" s="1"/>
  <c r="CV106" i="27" a="1"/>
  <c r="CV106" i="27" s="1"/>
  <c r="CV108" i="27" a="1"/>
  <c r="CV108" i="27" s="1"/>
  <c r="CV110" i="27" a="1"/>
  <c r="CV110" i="27" s="1"/>
  <c r="CV111" i="27" a="1"/>
  <c r="CV111" i="27" s="1"/>
  <c r="CV112" i="27" a="1"/>
  <c r="CV112" i="27" s="1"/>
  <c r="CV113" i="27" a="1"/>
  <c r="CV113" i="27" s="1"/>
  <c r="CV114" i="27" a="1"/>
  <c r="CV114" i="27" s="1"/>
  <c r="CV115" i="27" a="1"/>
  <c r="CV115" i="27" s="1"/>
  <c r="CV116" i="27" a="1"/>
  <c r="CV116" i="27" s="1"/>
  <c r="CV119" i="27" a="1"/>
  <c r="CV119" i="27" s="1"/>
  <c r="CV92" i="27" a="1"/>
  <c r="CV92" i="27" s="1"/>
  <c r="CV96" i="27" a="1"/>
  <c r="CV96" i="27" s="1"/>
  <c r="CV100" i="27" a="1"/>
  <c r="CV100" i="27" s="1"/>
  <c r="CV101" i="27" a="1"/>
  <c r="CV101" i="27" s="1"/>
  <c r="CV103" i="27" a="1"/>
  <c r="CV103" i="27" s="1"/>
  <c r="CV105" i="27" a="1"/>
  <c r="CV105" i="27" s="1"/>
  <c r="CV107" i="27" a="1"/>
  <c r="CV107" i="27" s="1"/>
  <c r="CV109" i="27" a="1"/>
  <c r="CV109" i="27" s="1"/>
  <c r="CV117" i="27" a="1"/>
  <c r="CV117" i="27" s="1"/>
  <c r="CV121" i="27" a="1"/>
  <c r="CV121" i="27" s="1"/>
  <c r="CV94" i="27" a="1"/>
  <c r="CV94" i="27" s="1"/>
  <c r="CV98" i="27" a="1"/>
  <c r="CV98" i="27" s="1"/>
  <c r="CV118" i="27" a="1"/>
  <c r="CV118" i="27" s="1"/>
  <c r="CV122" i="27" a="1"/>
  <c r="CV122" i="27" s="1"/>
  <c r="CV124" i="27" a="1"/>
  <c r="CV124" i="27" s="1"/>
  <c r="CV127" i="27" a="1"/>
  <c r="CV127" i="27" s="1"/>
  <c r="CV128" i="27" a="1"/>
  <c r="CV128" i="27" s="1"/>
  <c r="CV129" i="27" a="1"/>
  <c r="CV129" i="27" s="1"/>
  <c r="CV131" i="27" a="1"/>
  <c r="CV131" i="27" s="1"/>
  <c r="CV139" i="27" a="1"/>
  <c r="CV139" i="27" s="1"/>
  <c r="CV126" i="27" a="1"/>
  <c r="CV126" i="27" s="1"/>
  <c r="CV120" i="27" a="1"/>
  <c r="CV120" i="27" s="1"/>
  <c r="CV125" i="27" a="1"/>
  <c r="CV125" i="27" s="1"/>
  <c r="CV130" i="27" a="1"/>
  <c r="CV130" i="27" s="1"/>
  <c r="CV133" i="27" a="1"/>
  <c r="CV133" i="27" s="1"/>
  <c r="CV134" i="27" a="1"/>
  <c r="CV134" i="27" s="1"/>
  <c r="CV135" i="27" a="1"/>
  <c r="CV135" i="27" s="1"/>
  <c r="CV136" i="27" a="1"/>
  <c r="CV136" i="27" s="1"/>
  <c r="CV137" i="27" a="1"/>
  <c r="CV137" i="27" s="1"/>
  <c r="CV138" i="27" a="1"/>
  <c r="CV138" i="27" s="1"/>
  <c r="CV140" i="27" a="1"/>
  <c r="CV140" i="27" s="1"/>
  <c r="CV6" i="27" a="1"/>
  <c r="CV6" i="27" s="1"/>
  <c r="CV123" i="27" a="1"/>
  <c r="CV123" i="27" s="1"/>
  <c r="CV132" i="27" a="1"/>
  <c r="CV132" i="27" s="1"/>
  <c r="CI28" i="27" a="1"/>
  <c r="CI28" i="27" s="1"/>
  <c r="CI125" i="27" a="1"/>
  <c r="CI125" i="27" s="1"/>
  <c r="BS108" i="27" a="1"/>
  <c r="BS108" i="27" s="1"/>
  <c r="BS78" i="27" a="1"/>
  <c r="BS78" i="27" s="1"/>
  <c r="CC72" i="27" a="1"/>
  <c r="CC72" i="27" s="1"/>
  <c r="BW32" i="27" a="1"/>
  <c r="BW32" i="27" s="1"/>
  <c r="BW50" i="27" a="1"/>
  <c r="BW50" i="27" s="1"/>
  <c r="BQ116" i="27" a="1"/>
  <c r="BQ116" i="27" s="1"/>
  <c r="CE122" i="27" a="1"/>
  <c r="CE122" i="27" s="1"/>
  <c r="CG37" i="27" a="1"/>
  <c r="CG37" i="27" s="1"/>
  <c r="BY27" i="27" a="1"/>
  <c r="BY27" i="27" s="1"/>
  <c r="BQ27" i="27" a="1"/>
  <c r="BQ27" i="27" s="1"/>
  <c r="CB39" i="27" a="1"/>
  <c r="CB39" i="27" s="1"/>
  <c r="BZ39" i="27" a="1"/>
  <c r="BZ39" i="27" s="1"/>
  <c r="CD39" i="27" a="1"/>
  <c r="CD39" i="27" s="1"/>
  <c r="BO75" i="27" a="1"/>
  <c r="BO75" i="27" s="1"/>
  <c r="CB75" i="27" a="1"/>
  <c r="CB75" i="27" s="1"/>
  <c r="BU111" i="27" a="1"/>
  <c r="BU111" i="27" s="1"/>
  <c r="BW111" i="27" a="1"/>
  <c r="BW111" i="27" s="1"/>
  <c r="CE18" i="27" a="1"/>
  <c r="CE18" i="27" s="1"/>
  <c r="CC114" i="27" a="1"/>
  <c r="CC114" i="27" s="1"/>
  <c r="BO139" i="27" a="1"/>
  <c r="BO139" i="27" s="1"/>
  <c r="CC52" i="27" a="1"/>
  <c r="CC52" i="27" s="1"/>
  <c r="CC94" i="27" a="1"/>
  <c r="CC94" i="27" s="1"/>
  <c r="CI48" i="27" a="1"/>
  <c r="CI48" i="27" s="1"/>
  <c r="CC108" i="27" a="1"/>
  <c r="CC108" i="27" s="1"/>
  <c r="CP21" i="27" a="1"/>
  <c r="CP21" i="27" s="1"/>
  <c r="CP36" i="27" a="1"/>
  <c r="CP36" i="27" s="1"/>
  <c r="CP38" i="27" a="1"/>
  <c r="CP38" i="27" s="1"/>
  <c r="CP40" i="27" a="1"/>
  <c r="CP40" i="27" s="1"/>
  <c r="CP8" i="27" a="1"/>
  <c r="CP8" i="27" s="1"/>
  <c r="CP10" i="27" a="1"/>
  <c r="CP10" i="27" s="1"/>
  <c r="CP12" i="27" a="1"/>
  <c r="CP12" i="27" s="1"/>
  <c r="CP14" i="27" a="1"/>
  <c r="CP14" i="27" s="1"/>
  <c r="CP16" i="27" a="1"/>
  <c r="CP16" i="27" s="1"/>
  <c r="CP18" i="27" a="1"/>
  <c r="CP18" i="27" s="1"/>
  <c r="CP20" i="27" a="1"/>
  <c r="CP20" i="27" s="1"/>
  <c r="CP23" i="27" a="1"/>
  <c r="CP23" i="27" s="1"/>
  <c r="CP25" i="27" a="1"/>
  <c r="CP25" i="27" s="1"/>
  <c r="CP27" i="27" a="1"/>
  <c r="CP27" i="27" s="1"/>
  <c r="CP29" i="27" a="1"/>
  <c r="CP29" i="27" s="1"/>
  <c r="CP33" i="27" a="1"/>
  <c r="CP33" i="27" s="1"/>
  <c r="CP7" i="27" a="1"/>
  <c r="CP7" i="27" s="1"/>
  <c r="CP9" i="27" a="1"/>
  <c r="CP9" i="27" s="1"/>
  <c r="CP11" i="27" a="1"/>
  <c r="CP11" i="27" s="1"/>
  <c r="CP13" i="27" a="1"/>
  <c r="CP13" i="27" s="1"/>
  <c r="CP15" i="27" a="1"/>
  <c r="CP15" i="27" s="1"/>
  <c r="CP17" i="27" a="1"/>
  <c r="CP17" i="27" s="1"/>
  <c r="CP19" i="27" a="1"/>
  <c r="CP19" i="27" s="1"/>
  <c r="CP22" i="27" a="1"/>
  <c r="CP22" i="27" s="1"/>
  <c r="CP24" i="27" a="1"/>
  <c r="CP24" i="27" s="1"/>
  <c r="CP26" i="27" a="1"/>
  <c r="CP26" i="27" s="1"/>
  <c r="CP28" i="27" a="1"/>
  <c r="CP28" i="27" s="1"/>
  <c r="CP30" i="27" a="1"/>
  <c r="CP30" i="27" s="1"/>
  <c r="CP32" i="27" a="1"/>
  <c r="CP32" i="27" s="1"/>
  <c r="CP34" i="27" a="1"/>
  <c r="CP34" i="27" s="1"/>
  <c r="CP56" i="27" a="1"/>
  <c r="CP56" i="27" s="1"/>
  <c r="CP39" i="27" a="1"/>
  <c r="CP39" i="27" s="1"/>
  <c r="CP42" i="27" a="1"/>
  <c r="CP42" i="27" s="1"/>
  <c r="CP44" i="27" a="1"/>
  <c r="CP44" i="27" s="1"/>
  <c r="CP46" i="27" a="1"/>
  <c r="CP46" i="27" s="1"/>
  <c r="CP48" i="27" a="1"/>
  <c r="CP48" i="27" s="1"/>
  <c r="CP50" i="27" a="1"/>
  <c r="CP50" i="27" s="1"/>
  <c r="CP52" i="27" a="1"/>
  <c r="CP52" i="27" s="1"/>
  <c r="CP54" i="27" a="1"/>
  <c r="CP54" i="27" s="1"/>
  <c r="CP37" i="27" a="1"/>
  <c r="CP37" i="27" s="1"/>
  <c r="CP57" i="27" a="1"/>
  <c r="CP57" i="27" s="1"/>
  <c r="CP41" i="27" a="1"/>
  <c r="CP41" i="27" s="1"/>
  <c r="CP43" i="27" a="1"/>
  <c r="CP43" i="27" s="1"/>
  <c r="CP45" i="27" a="1"/>
  <c r="CP45" i="27" s="1"/>
  <c r="CP47" i="27" a="1"/>
  <c r="CP47" i="27" s="1"/>
  <c r="CP49" i="27" a="1"/>
  <c r="CP49" i="27" s="1"/>
  <c r="CP51" i="27" a="1"/>
  <c r="CP51" i="27" s="1"/>
  <c r="CP53" i="27" a="1"/>
  <c r="CP53" i="27" s="1"/>
  <c r="CP55" i="27" a="1"/>
  <c r="CP55" i="27" s="1"/>
  <c r="CP59" i="27" a="1"/>
  <c r="CP59" i="27" s="1"/>
  <c r="CP31" i="27" a="1"/>
  <c r="CP31" i="27" s="1"/>
  <c r="CP35" i="27" a="1"/>
  <c r="CP35" i="27" s="1"/>
  <c r="CP58" i="27" a="1"/>
  <c r="CP58" i="27" s="1"/>
  <c r="CP60" i="27" a="1"/>
  <c r="CP60" i="27" s="1"/>
  <c r="CP62" i="27" a="1"/>
  <c r="CP62" i="27" s="1"/>
  <c r="CP64" i="27" a="1"/>
  <c r="CP64" i="27" s="1"/>
  <c r="CP66" i="27" a="1"/>
  <c r="CP66" i="27" s="1"/>
  <c r="CP68" i="27" a="1"/>
  <c r="CP68" i="27" s="1"/>
  <c r="CP63" i="27" a="1"/>
  <c r="CP63" i="27" s="1"/>
  <c r="CP70" i="27" a="1"/>
  <c r="CP70" i="27" s="1"/>
  <c r="CP72" i="27" a="1"/>
  <c r="CP72" i="27" s="1"/>
  <c r="CP74" i="27" a="1"/>
  <c r="CP74" i="27" s="1"/>
  <c r="CP76" i="27" a="1"/>
  <c r="CP76" i="27" s="1"/>
  <c r="CP78" i="27" a="1"/>
  <c r="CP78" i="27" s="1"/>
  <c r="CP80" i="27" a="1"/>
  <c r="CP80" i="27" s="1"/>
  <c r="CP82" i="27" a="1"/>
  <c r="CP82" i="27" s="1"/>
  <c r="CP84" i="27" a="1"/>
  <c r="CP84" i="27" s="1"/>
  <c r="CP86" i="27" a="1"/>
  <c r="CP86" i="27" s="1"/>
  <c r="CP88" i="27" a="1"/>
  <c r="CP88" i="27" s="1"/>
  <c r="CP90" i="27" a="1"/>
  <c r="CP90" i="27" s="1"/>
  <c r="CP92" i="27" a="1"/>
  <c r="CP92" i="27" s="1"/>
  <c r="CP94" i="27" a="1"/>
  <c r="CP94" i="27" s="1"/>
  <c r="CP96" i="27" a="1"/>
  <c r="CP96" i="27" s="1"/>
  <c r="CP98" i="27" a="1"/>
  <c r="CP98" i="27" s="1"/>
  <c r="CP100" i="27" a="1"/>
  <c r="CP100" i="27" s="1"/>
  <c r="CP69" i="27" a="1"/>
  <c r="CP69" i="27" s="1"/>
  <c r="CP61" i="27" a="1"/>
  <c r="CP61" i="27" s="1"/>
  <c r="CP67" i="27" a="1"/>
  <c r="CP67" i="27" s="1"/>
  <c r="CP71" i="27" a="1"/>
  <c r="CP71" i="27" s="1"/>
  <c r="CP73" i="27" a="1"/>
  <c r="CP73" i="27" s="1"/>
  <c r="CP75" i="27" a="1"/>
  <c r="CP75" i="27" s="1"/>
  <c r="CP77" i="27" a="1"/>
  <c r="CP77" i="27" s="1"/>
  <c r="CP79" i="27" a="1"/>
  <c r="CP79" i="27" s="1"/>
  <c r="CP81" i="27" a="1"/>
  <c r="CP81" i="27" s="1"/>
  <c r="CP83" i="27" a="1"/>
  <c r="CP83" i="27" s="1"/>
  <c r="CP85" i="27" a="1"/>
  <c r="CP85" i="27" s="1"/>
  <c r="CP87" i="27" a="1"/>
  <c r="CP87" i="27" s="1"/>
  <c r="CP89" i="27" a="1"/>
  <c r="CP89" i="27" s="1"/>
  <c r="CP65" i="27" a="1"/>
  <c r="CP65" i="27" s="1"/>
  <c r="CP93" i="27" a="1"/>
  <c r="CP93" i="27" s="1"/>
  <c r="CP97" i="27" a="1"/>
  <c r="CP97" i="27" s="1"/>
  <c r="CP119" i="27" a="1"/>
  <c r="CP119" i="27" s="1"/>
  <c r="CP123" i="27" a="1"/>
  <c r="CP123" i="27" s="1"/>
  <c r="CP125" i="27" a="1"/>
  <c r="CP125" i="27" s="1"/>
  <c r="CP101" i="27" a="1"/>
  <c r="CP101" i="27" s="1"/>
  <c r="CP103" i="27" a="1"/>
  <c r="CP103" i="27" s="1"/>
  <c r="CP105" i="27" a="1"/>
  <c r="CP105" i="27" s="1"/>
  <c r="CP107" i="27" a="1"/>
  <c r="CP107" i="27" s="1"/>
  <c r="CP109" i="27" a="1"/>
  <c r="CP109" i="27" s="1"/>
  <c r="CP91" i="27" a="1"/>
  <c r="CP91" i="27" s="1"/>
  <c r="CP95" i="27" a="1"/>
  <c r="CP95" i="27" s="1"/>
  <c r="CP99" i="27" a="1"/>
  <c r="CP99" i="27" s="1"/>
  <c r="CP111" i="27" a="1"/>
  <c r="CP111" i="27" s="1"/>
  <c r="CP112" i="27" a="1"/>
  <c r="CP112" i="27" s="1"/>
  <c r="CP113" i="27" a="1"/>
  <c r="CP113" i="27" s="1"/>
  <c r="CP114" i="27" a="1"/>
  <c r="CP114" i="27" s="1"/>
  <c r="CP102" i="27" a="1"/>
  <c r="CP102" i="27" s="1"/>
  <c r="CP104" i="27" a="1"/>
  <c r="CP104" i="27" s="1"/>
  <c r="CP106" i="27" a="1"/>
  <c r="CP106" i="27" s="1"/>
  <c r="CP108" i="27" a="1"/>
  <c r="CP108" i="27" s="1"/>
  <c r="CP110" i="27" a="1"/>
  <c r="CP110" i="27" s="1"/>
  <c r="CP124" i="27" a="1"/>
  <c r="CP124" i="27" s="1"/>
  <c r="CP118" i="27" a="1"/>
  <c r="CP118" i="27" s="1"/>
  <c r="CP122" i="27" a="1"/>
  <c r="CP122" i="27" s="1"/>
  <c r="CP115" i="27" a="1"/>
  <c r="CP115" i="27" s="1"/>
  <c r="CP116" i="27" a="1"/>
  <c r="CP116" i="27" s="1"/>
  <c r="CP117" i="27" a="1"/>
  <c r="CP117" i="27" s="1"/>
  <c r="CP121" i="27" a="1"/>
  <c r="CP121" i="27" s="1"/>
  <c r="CP126" i="27" a="1"/>
  <c r="CP126" i="27" s="1"/>
  <c r="CP132" i="27" a="1"/>
  <c r="CP132" i="27" s="1"/>
  <c r="CP120" i="27" a="1"/>
  <c r="CP120" i="27" s="1"/>
  <c r="CP131" i="27" a="1"/>
  <c r="CP131" i="27" s="1"/>
  <c r="CP140" i="27" a="1"/>
  <c r="CP140" i="27" s="1"/>
  <c r="CP128" i="27" a="1"/>
  <c r="CP128" i="27" s="1"/>
  <c r="CP129" i="27" a="1"/>
  <c r="CP129" i="27" s="1"/>
  <c r="CP134" i="27" a="1"/>
  <c r="CP134" i="27" s="1"/>
  <c r="CP135" i="27" a="1"/>
  <c r="CP135" i="27" s="1"/>
  <c r="CP136" i="27" a="1"/>
  <c r="CP136" i="27" s="1"/>
  <c r="CP137" i="27" a="1"/>
  <c r="CP137" i="27" s="1"/>
  <c r="CP138" i="27" a="1"/>
  <c r="CP138" i="27" s="1"/>
  <c r="CP6" i="27" a="1"/>
  <c r="CP6" i="27" s="1"/>
  <c r="CP127" i="27" a="1"/>
  <c r="CP127" i="27" s="1"/>
  <c r="CP130" i="27" a="1"/>
  <c r="CP130" i="27" s="1"/>
  <c r="CP133" i="27" a="1"/>
  <c r="CP133" i="27" s="1"/>
  <c r="CP139" i="27" a="1"/>
  <c r="CP139" i="27" s="1"/>
  <c r="CC17" i="27" a="1"/>
  <c r="CC17" i="27" s="1"/>
  <c r="CC89" i="27" a="1"/>
  <c r="CC89" i="27" s="1"/>
  <c r="BO95" i="27" a="1"/>
  <c r="BO95" i="27" s="1"/>
  <c r="BS127" i="27" a="1"/>
  <c r="BS127" i="27" s="1"/>
  <c r="CC127" i="27" a="1"/>
  <c r="CC127" i="27" s="1"/>
  <c r="CR33" i="27" a="1"/>
  <c r="CR33" i="27" s="1"/>
  <c r="CR7" i="27" a="1"/>
  <c r="CR7" i="27" s="1"/>
  <c r="CR9" i="27" a="1"/>
  <c r="CR9" i="27" s="1"/>
  <c r="CR11" i="27" a="1"/>
  <c r="CR11" i="27" s="1"/>
  <c r="CR13" i="27" a="1"/>
  <c r="CR13" i="27" s="1"/>
  <c r="CR15" i="27" a="1"/>
  <c r="CR15" i="27" s="1"/>
  <c r="CR17" i="27" a="1"/>
  <c r="CR17" i="27" s="1"/>
  <c r="CR19" i="27" a="1"/>
  <c r="CR19" i="27" s="1"/>
  <c r="CR22" i="27" a="1"/>
  <c r="CR22" i="27" s="1"/>
  <c r="CR24" i="27" a="1"/>
  <c r="CR24" i="27" s="1"/>
  <c r="CR26" i="27" a="1"/>
  <c r="CR26" i="27" s="1"/>
  <c r="CR28" i="27" a="1"/>
  <c r="CR28" i="27" s="1"/>
  <c r="CR8" i="27" a="1"/>
  <c r="CR8" i="27" s="1"/>
  <c r="CR10" i="27" a="1"/>
  <c r="CR10" i="27" s="1"/>
  <c r="CR12" i="27" a="1"/>
  <c r="CR12" i="27" s="1"/>
  <c r="CR14" i="27" a="1"/>
  <c r="CR14" i="27" s="1"/>
  <c r="CR16" i="27" a="1"/>
  <c r="CR16" i="27" s="1"/>
  <c r="CR18" i="27" a="1"/>
  <c r="CR18" i="27" s="1"/>
  <c r="CR20" i="27" a="1"/>
  <c r="CR20" i="27" s="1"/>
  <c r="CR21" i="27" a="1"/>
  <c r="CR21" i="27" s="1"/>
  <c r="CR23" i="27" a="1"/>
  <c r="CR23" i="27" s="1"/>
  <c r="CR25" i="27" a="1"/>
  <c r="CR25" i="27" s="1"/>
  <c r="CR27" i="27" a="1"/>
  <c r="CR27" i="27" s="1"/>
  <c r="CR29" i="27" a="1"/>
  <c r="CR29" i="27" s="1"/>
  <c r="CR31" i="27" a="1"/>
  <c r="CR31" i="27" s="1"/>
  <c r="CR35" i="27" a="1"/>
  <c r="CR35" i="27" s="1"/>
  <c r="CR37" i="27" a="1"/>
  <c r="CR37" i="27" s="1"/>
  <c r="CR39" i="27" a="1"/>
  <c r="CR39" i="27" s="1"/>
  <c r="CR34" i="27" a="1"/>
  <c r="CR34" i="27" s="1"/>
  <c r="CR41" i="27" a="1"/>
  <c r="CR41" i="27" s="1"/>
  <c r="CR43" i="27" a="1"/>
  <c r="CR43" i="27" s="1"/>
  <c r="CR45" i="27" a="1"/>
  <c r="CR45" i="27" s="1"/>
  <c r="CR47" i="27" a="1"/>
  <c r="CR47" i="27" s="1"/>
  <c r="CR49" i="27" a="1"/>
  <c r="CR49" i="27" s="1"/>
  <c r="CR51" i="27" a="1"/>
  <c r="CR51" i="27" s="1"/>
  <c r="CR53" i="27" a="1"/>
  <c r="CR53" i="27" s="1"/>
  <c r="CR32" i="27" a="1"/>
  <c r="CR32" i="27" s="1"/>
  <c r="CR58" i="27" a="1"/>
  <c r="CR58" i="27" s="1"/>
  <c r="CR60" i="27" a="1"/>
  <c r="CR60" i="27" s="1"/>
  <c r="CR62" i="27" a="1"/>
  <c r="CR62" i="27" s="1"/>
  <c r="CR64" i="27" a="1"/>
  <c r="CR64" i="27" s="1"/>
  <c r="CR66" i="27" a="1"/>
  <c r="CR66" i="27" s="1"/>
  <c r="CR68" i="27" a="1"/>
  <c r="CR68" i="27" s="1"/>
  <c r="CR70" i="27" a="1"/>
  <c r="CR70" i="27" s="1"/>
  <c r="CR30" i="27" a="1"/>
  <c r="CR30" i="27" s="1"/>
  <c r="CR38" i="27" a="1"/>
  <c r="CR38" i="27" s="1"/>
  <c r="CR56" i="27" a="1"/>
  <c r="CR56" i="27" s="1"/>
  <c r="CR42" i="27" a="1"/>
  <c r="CR42" i="27" s="1"/>
  <c r="CR44" i="27" a="1"/>
  <c r="CR44" i="27" s="1"/>
  <c r="CR46" i="27" a="1"/>
  <c r="CR46" i="27" s="1"/>
  <c r="CR48" i="27" a="1"/>
  <c r="CR48" i="27" s="1"/>
  <c r="CR50" i="27" a="1"/>
  <c r="CR50" i="27" s="1"/>
  <c r="CR52" i="27" a="1"/>
  <c r="CR52" i="27" s="1"/>
  <c r="CR54" i="27" a="1"/>
  <c r="CR54" i="27" s="1"/>
  <c r="CR36" i="27" a="1"/>
  <c r="CR36" i="27" s="1"/>
  <c r="CR40" i="27" a="1"/>
  <c r="CR40" i="27" s="1"/>
  <c r="CR57" i="27" a="1"/>
  <c r="CR57" i="27" s="1"/>
  <c r="CR55" i="27" a="1"/>
  <c r="CR55" i="27" s="1"/>
  <c r="CR59" i="27" a="1"/>
  <c r="CR59" i="27" s="1"/>
  <c r="CR61" i="27" a="1"/>
  <c r="CR61" i="27" s="1"/>
  <c r="CR63" i="27" a="1"/>
  <c r="CR63" i="27" s="1"/>
  <c r="CR65" i="27" a="1"/>
  <c r="CR65" i="27" s="1"/>
  <c r="CR67" i="27" a="1"/>
  <c r="CR67" i="27" s="1"/>
  <c r="CR71" i="27" a="1"/>
  <c r="CR71" i="27" s="1"/>
  <c r="CR73" i="27" a="1"/>
  <c r="CR73" i="27" s="1"/>
  <c r="CR75" i="27" a="1"/>
  <c r="CR75" i="27" s="1"/>
  <c r="CR77" i="27" a="1"/>
  <c r="CR77" i="27" s="1"/>
  <c r="CR79" i="27" a="1"/>
  <c r="CR79" i="27" s="1"/>
  <c r="CR81" i="27" a="1"/>
  <c r="CR81" i="27" s="1"/>
  <c r="CR83" i="27" a="1"/>
  <c r="CR83" i="27" s="1"/>
  <c r="CR85" i="27" a="1"/>
  <c r="CR85" i="27" s="1"/>
  <c r="CR87" i="27" a="1"/>
  <c r="CR87" i="27" s="1"/>
  <c r="CR89" i="27" a="1"/>
  <c r="CR89" i="27" s="1"/>
  <c r="CR91" i="27" a="1"/>
  <c r="CR91" i="27" s="1"/>
  <c r="CR93" i="27" a="1"/>
  <c r="CR93" i="27" s="1"/>
  <c r="CR95" i="27" a="1"/>
  <c r="CR95" i="27" s="1"/>
  <c r="CR97" i="27" a="1"/>
  <c r="CR97" i="27" s="1"/>
  <c r="CR99" i="27" a="1"/>
  <c r="CR99" i="27" s="1"/>
  <c r="CR72" i="27" a="1"/>
  <c r="CR72" i="27" s="1"/>
  <c r="CR74" i="27" a="1"/>
  <c r="CR74" i="27" s="1"/>
  <c r="CR76" i="27" a="1"/>
  <c r="CR76" i="27" s="1"/>
  <c r="CR78" i="27" a="1"/>
  <c r="CR78" i="27" s="1"/>
  <c r="CR80" i="27" a="1"/>
  <c r="CR80" i="27" s="1"/>
  <c r="CR82" i="27" a="1"/>
  <c r="CR82" i="27" s="1"/>
  <c r="CR84" i="27" a="1"/>
  <c r="CR84" i="27" s="1"/>
  <c r="CR86" i="27" a="1"/>
  <c r="CR86" i="27" s="1"/>
  <c r="CR88" i="27" a="1"/>
  <c r="CR88" i="27" s="1"/>
  <c r="CR69" i="27" a="1"/>
  <c r="CR69" i="27" s="1"/>
  <c r="CR102" i="27" a="1"/>
  <c r="CR102" i="27" s="1"/>
  <c r="CR104" i="27" a="1"/>
  <c r="CR104" i="27" s="1"/>
  <c r="CR106" i="27" a="1"/>
  <c r="CR106" i="27" s="1"/>
  <c r="CR108" i="27" a="1"/>
  <c r="CR108" i="27" s="1"/>
  <c r="CR110" i="27" a="1"/>
  <c r="CR110" i="27" s="1"/>
  <c r="CR111" i="27" a="1"/>
  <c r="CR111" i="27" s="1"/>
  <c r="CR112" i="27" a="1"/>
  <c r="CR112" i="27" s="1"/>
  <c r="CR113" i="27" a="1"/>
  <c r="CR113" i="27" s="1"/>
  <c r="CR114" i="27" a="1"/>
  <c r="CR114" i="27" s="1"/>
  <c r="CR115" i="27" a="1"/>
  <c r="CR115" i="27" s="1"/>
  <c r="CR116" i="27" a="1"/>
  <c r="CR116" i="27" s="1"/>
  <c r="CR124" i="27" a="1"/>
  <c r="CR124" i="27" s="1"/>
  <c r="CR118" i="27" a="1"/>
  <c r="CR118" i="27" s="1"/>
  <c r="CR122" i="27" a="1"/>
  <c r="CR122" i="27" s="1"/>
  <c r="CR94" i="27" a="1"/>
  <c r="CR94" i="27" s="1"/>
  <c r="CR98" i="27" a="1"/>
  <c r="CR98" i="27" s="1"/>
  <c r="CR90" i="27" a="1"/>
  <c r="CR90" i="27" s="1"/>
  <c r="CR101" i="27" a="1"/>
  <c r="CR101" i="27" s="1"/>
  <c r="CR103" i="27" a="1"/>
  <c r="CR103" i="27" s="1"/>
  <c r="CR105" i="27" a="1"/>
  <c r="CR105" i="27" s="1"/>
  <c r="CR107" i="27" a="1"/>
  <c r="CR107" i="27" s="1"/>
  <c r="CR109" i="27" a="1"/>
  <c r="CR109" i="27" s="1"/>
  <c r="CR120" i="27" a="1"/>
  <c r="CR120" i="27" s="1"/>
  <c r="CR92" i="27" a="1"/>
  <c r="CR92" i="27" s="1"/>
  <c r="CR96" i="27" a="1"/>
  <c r="CR96" i="27" s="1"/>
  <c r="CR100" i="27" a="1"/>
  <c r="CR100" i="27" s="1"/>
  <c r="CR117" i="27" a="1"/>
  <c r="CR117" i="27" s="1"/>
  <c r="CR121" i="27" a="1"/>
  <c r="CR121" i="27" s="1"/>
  <c r="CR126" i="27" a="1"/>
  <c r="CR126" i="27" s="1"/>
  <c r="CR127" i="27" a="1"/>
  <c r="CR127" i="27" s="1"/>
  <c r="CR130" i="27" a="1"/>
  <c r="CR130" i="27" s="1"/>
  <c r="CR133" i="27" a="1"/>
  <c r="CR133" i="27" s="1"/>
  <c r="CR139" i="27" a="1"/>
  <c r="CR139" i="27" s="1"/>
  <c r="CR125" i="27" a="1"/>
  <c r="CR125" i="27" s="1"/>
  <c r="CR132" i="27" a="1"/>
  <c r="CR132" i="27" s="1"/>
  <c r="CR119" i="27" a="1"/>
  <c r="CR119" i="27" s="1"/>
  <c r="CR123" i="27" a="1"/>
  <c r="CR123" i="27" s="1"/>
  <c r="CR128" i="27" a="1"/>
  <c r="CR128" i="27" s="1"/>
  <c r="CR129" i="27" a="1"/>
  <c r="CR129" i="27" s="1"/>
  <c r="CR131" i="27" a="1"/>
  <c r="CR131" i="27" s="1"/>
  <c r="CR134" i="27" a="1"/>
  <c r="CR134" i="27" s="1"/>
  <c r="CR135" i="27" a="1"/>
  <c r="CR135" i="27" s="1"/>
  <c r="CR136" i="27" a="1"/>
  <c r="CR136" i="27" s="1"/>
  <c r="CR137" i="27" a="1"/>
  <c r="CR137" i="27" s="1"/>
  <c r="CR138" i="27" a="1"/>
  <c r="CR138" i="27" s="1"/>
  <c r="CR140" i="27" a="1"/>
  <c r="CR140" i="27" s="1"/>
  <c r="CR6" i="27" a="1"/>
  <c r="CR6" i="27" s="1"/>
  <c r="CA72" i="27" a="1"/>
  <c r="CA72" i="27" s="1"/>
  <c r="CA25" i="27" a="1"/>
  <c r="CA25" i="27" s="1"/>
  <c r="BS49" i="27" a="1"/>
  <c r="BS49" i="27" s="1"/>
  <c r="CA104" i="27" a="1"/>
  <c r="CA104" i="27" s="1"/>
  <c r="CI104" i="27" a="1"/>
  <c r="CI104" i="27" s="1"/>
  <c r="CC122" i="27" a="1"/>
  <c r="CC122" i="27" s="1"/>
  <c r="CK6" i="27" a="1"/>
  <c r="CK6" i="27" s="1"/>
  <c r="BQ120" i="27" a="1"/>
  <c r="BQ120" i="27" s="1"/>
  <c r="CE37" i="27" a="1"/>
  <c r="CE37" i="27" s="1"/>
  <c r="CO8" i="27" a="1"/>
  <c r="CO8" i="27" s="1"/>
  <c r="CO10" i="27" a="1"/>
  <c r="CO10" i="27" s="1"/>
  <c r="CO12" i="27" a="1"/>
  <c r="CO12" i="27" s="1"/>
  <c r="CO14" i="27" a="1"/>
  <c r="CO14" i="27" s="1"/>
  <c r="CO16" i="27" a="1"/>
  <c r="CO16" i="27" s="1"/>
  <c r="CO18" i="27" a="1"/>
  <c r="CO18" i="27" s="1"/>
  <c r="CO20" i="27" a="1"/>
  <c r="CO20" i="27" s="1"/>
  <c r="CO23" i="27" a="1"/>
  <c r="CO23" i="27" s="1"/>
  <c r="CO25" i="27" a="1"/>
  <c r="CO25" i="27" s="1"/>
  <c r="CO27" i="27" a="1"/>
  <c r="CO27" i="27" s="1"/>
  <c r="CO29" i="27" a="1"/>
  <c r="CO29" i="27" s="1"/>
  <c r="CO31" i="27" a="1"/>
  <c r="CO31" i="27" s="1"/>
  <c r="CO35" i="27" a="1"/>
  <c r="CO35" i="27" s="1"/>
  <c r="CO37" i="27" a="1"/>
  <c r="CO37" i="27" s="1"/>
  <c r="CO39" i="27" a="1"/>
  <c r="CO39" i="27" s="1"/>
  <c r="CO7" i="27" a="1"/>
  <c r="CO7" i="27" s="1"/>
  <c r="CO9" i="27" a="1"/>
  <c r="CO9" i="27" s="1"/>
  <c r="CO11" i="27" a="1"/>
  <c r="CO11" i="27" s="1"/>
  <c r="CO13" i="27" a="1"/>
  <c r="CO13" i="27" s="1"/>
  <c r="CO15" i="27" a="1"/>
  <c r="CO15" i="27" s="1"/>
  <c r="CO17" i="27" a="1"/>
  <c r="CO17" i="27" s="1"/>
  <c r="CO19" i="27" a="1"/>
  <c r="CO19" i="27" s="1"/>
  <c r="CO21" i="27" a="1"/>
  <c r="CO21" i="27" s="1"/>
  <c r="CO22" i="27" a="1"/>
  <c r="CO22" i="27" s="1"/>
  <c r="CO24" i="27" a="1"/>
  <c r="CO24" i="27" s="1"/>
  <c r="CO26" i="27" a="1"/>
  <c r="CO26" i="27" s="1"/>
  <c r="CO28" i="27" a="1"/>
  <c r="CO28" i="27" s="1"/>
  <c r="CO30" i="27" a="1"/>
  <c r="CO30" i="27" s="1"/>
  <c r="CO32" i="27" a="1"/>
  <c r="CO32" i="27" s="1"/>
  <c r="CO34" i="27" a="1"/>
  <c r="CO34" i="27" s="1"/>
  <c r="CO36" i="27" a="1"/>
  <c r="CO36" i="27" s="1"/>
  <c r="CO38" i="27" a="1"/>
  <c r="CO38" i="27" s="1"/>
  <c r="CO57" i="27" a="1"/>
  <c r="CO57" i="27" s="1"/>
  <c r="CO59" i="27" a="1"/>
  <c r="CO59" i="27" s="1"/>
  <c r="CO61" i="27" a="1"/>
  <c r="CO61" i="27" s="1"/>
  <c r="CO63" i="27" a="1"/>
  <c r="CO63" i="27" s="1"/>
  <c r="CO65" i="27" a="1"/>
  <c r="CO65" i="27" s="1"/>
  <c r="CO67" i="27" a="1"/>
  <c r="CO67" i="27" s="1"/>
  <c r="CO69" i="27" a="1"/>
  <c r="CO69" i="27" s="1"/>
  <c r="CO71" i="27" a="1"/>
  <c r="CO71" i="27" s="1"/>
  <c r="CO41" i="27" a="1"/>
  <c r="CO41" i="27" s="1"/>
  <c r="CO43" i="27" a="1"/>
  <c r="CO43" i="27" s="1"/>
  <c r="CO45" i="27" a="1"/>
  <c r="CO45" i="27" s="1"/>
  <c r="CO47" i="27" a="1"/>
  <c r="CO47" i="27" s="1"/>
  <c r="CO49" i="27" a="1"/>
  <c r="CO49" i="27" s="1"/>
  <c r="CO51" i="27" a="1"/>
  <c r="CO51" i="27" s="1"/>
  <c r="CO53" i="27" a="1"/>
  <c r="CO53" i="27" s="1"/>
  <c r="CO55" i="27" a="1"/>
  <c r="CO55" i="27" s="1"/>
  <c r="CO33" i="27" a="1"/>
  <c r="CO33" i="27" s="1"/>
  <c r="CO40" i="27" a="1"/>
  <c r="CO40" i="27" s="1"/>
  <c r="CO58" i="27" a="1"/>
  <c r="CO58" i="27" s="1"/>
  <c r="CO60" i="27" a="1"/>
  <c r="CO60" i="27" s="1"/>
  <c r="CO56" i="27" a="1"/>
  <c r="CO56" i="27" s="1"/>
  <c r="CO62" i="27" a="1"/>
  <c r="CO62" i="27" s="1"/>
  <c r="CO64" i="27" a="1"/>
  <c r="CO64" i="27" s="1"/>
  <c r="CO66" i="27" a="1"/>
  <c r="CO66" i="27" s="1"/>
  <c r="CO42" i="27" a="1"/>
  <c r="CO42" i="27" s="1"/>
  <c r="CO44" i="27" a="1"/>
  <c r="CO44" i="27" s="1"/>
  <c r="CO46" i="27" a="1"/>
  <c r="CO46" i="27" s="1"/>
  <c r="CO48" i="27" a="1"/>
  <c r="CO48" i="27" s="1"/>
  <c r="CO50" i="27" a="1"/>
  <c r="CO50" i="27" s="1"/>
  <c r="CO52" i="27" a="1"/>
  <c r="CO52" i="27" s="1"/>
  <c r="CO54" i="27" a="1"/>
  <c r="CO54" i="27" s="1"/>
  <c r="CO70" i="27" a="1"/>
  <c r="CO70" i="27" s="1"/>
  <c r="CO72" i="27" a="1"/>
  <c r="CO72" i="27" s="1"/>
  <c r="CO74" i="27" a="1"/>
  <c r="CO74" i="27" s="1"/>
  <c r="CO76" i="27" a="1"/>
  <c r="CO76" i="27" s="1"/>
  <c r="CO78" i="27" a="1"/>
  <c r="CO78" i="27" s="1"/>
  <c r="CO80" i="27" a="1"/>
  <c r="CO80" i="27" s="1"/>
  <c r="CO82" i="27" a="1"/>
  <c r="CO82" i="27" s="1"/>
  <c r="CO84" i="27" a="1"/>
  <c r="CO84" i="27" s="1"/>
  <c r="CO86" i="27" a="1"/>
  <c r="CO86" i="27" s="1"/>
  <c r="CO88" i="27" a="1"/>
  <c r="CO88" i="27" s="1"/>
  <c r="CO90" i="27" a="1"/>
  <c r="CO90" i="27" s="1"/>
  <c r="CO92" i="27" a="1"/>
  <c r="CO92" i="27" s="1"/>
  <c r="CO94" i="27" a="1"/>
  <c r="CO94" i="27" s="1"/>
  <c r="CO96" i="27" a="1"/>
  <c r="CO96" i="27" s="1"/>
  <c r="CO98" i="27" a="1"/>
  <c r="CO98" i="27" s="1"/>
  <c r="CO100" i="27" a="1"/>
  <c r="CO100" i="27" s="1"/>
  <c r="CO73" i="27" a="1"/>
  <c r="CO73" i="27" s="1"/>
  <c r="CO75" i="27" a="1"/>
  <c r="CO75" i="27" s="1"/>
  <c r="CO77" i="27" a="1"/>
  <c r="CO77" i="27" s="1"/>
  <c r="CO79" i="27" a="1"/>
  <c r="CO79" i="27" s="1"/>
  <c r="CO81" i="27" a="1"/>
  <c r="CO81" i="27" s="1"/>
  <c r="CO83" i="27" a="1"/>
  <c r="CO83" i="27" s="1"/>
  <c r="CO85" i="27" a="1"/>
  <c r="CO85" i="27" s="1"/>
  <c r="CO87" i="27" a="1"/>
  <c r="CO87" i="27" s="1"/>
  <c r="CO89" i="27" a="1"/>
  <c r="CO89" i="27" s="1"/>
  <c r="CO68" i="27" a="1"/>
  <c r="CO68" i="27" s="1"/>
  <c r="CO101" i="27" a="1"/>
  <c r="CO101" i="27" s="1"/>
  <c r="CO103" i="27" a="1"/>
  <c r="CO103" i="27" s="1"/>
  <c r="CO105" i="27" a="1"/>
  <c r="CO105" i="27" s="1"/>
  <c r="CO107" i="27" a="1"/>
  <c r="CO107" i="27" s="1"/>
  <c r="CO109" i="27" a="1"/>
  <c r="CO109" i="27" s="1"/>
  <c r="CO120" i="27" a="1"/>
  <c r="CO120" i="27" s="1"/>
  <c r="CO91" i="27" a="1"/>
  <c r="CO91" i="27" s="1"/>
  <c r="CO95" i="27" a="1"/>
  <c r="CO95" i="27" s="1"/>
  <c r="CO99" i="27" a="1"/>
  <c r="CO99" i="27" s="1"/>
  <c r="CO111" i="27" a="1"/>
  <c r="CO111" i="27" s="1"/>
  <c r="CO112" i="27" a="1"/>
  <c r="CO112" i="27" s="1"/>
  <c r="CO113" i="27" a="1"/>
  <c r="CO113" i="27" s="1"/>
  <c r="CO114" i="27" a="1"/>
  <c r="CO114" i="27" s="1"/>
  <c r="CO115" i="27" a="1"/>
  <c r="CO115" i="27" s="1"/>
  <c r="CO102" i="27" a="1"/>
  <c r="CO102" i="27" s="1"/>
  <c r="CO104" i="27" a="1"/>
  <c r="CO104" i="27" s="1"/>
  <c r="CO106" i="27" a="1"/>
  <c r="CO106" i="27" s="1"/>
  <c r="CO108" i="27" a="1"/>
  <c r="CO108" i="27" s="1"/>
  <c r="CO110" i="27" a="1"/>
  <c r="CO110" i="27" s="1"/>
  <c r="CO118" i="27" a="1"/>
  <c r="CO118" i="27" s="1"/>
  <c r="CO122" i="27" a="1"/>
  <c r="CO122" i="27" s="1"/>
  <c r="CO93" i="27" a="1"/>
  <c r="CO93" i="27" s="1"/>
  <c r="CO97" i="27" a="1"/>
  <c r="CO97" i="27" s="1"/>
  <c r="CO119" i="27" a="1"/>
  <c r="CO119" i="27" s="1"/>
  <c r="CO123" i="27" a="1"/>
  <c r="CO123" i="27" s="1"/>
  <c r="CO125" i="27" a="1"/>
  <c r="CO125" i="27" s="1"/>
  <c r="CO131" i="27" a="1"/>
  <c r="CO131" i="27" s="1"/>
  <c r="CO140" i="27" a="1"/>
  <c r="CO140" i="27" s="1"/>
  <c r="CO124" i="27" a="1"/>
  <c r="CO124" i="27" s="1"/>
  <c r="CO128" i="27" a="1"/>
  <c r="CO128" i="27" s="1"/>
  <c r="CO129" i="27" a="1"/>
  <c r="CO129" i="27" s="1"/>
  <c r="CO134" i="27" a="1"/>
  <c r="CO134" i="27" s="1"/>
  <c r="CO135" i="27" a="1"/>
  <c r="CO135" i="27" s="1"/>
  <c r="CO136" i="27" a="1"/>
  <c r="CO136" i="27" s="1"/>
  <c r="CO137" i="27" a="1"/>
  <c r="CO137" i="27" s="1"/>
  <c r="CO138" i="27" a="1"/>
  <c r="CO138" i="27" s="1"/>
  <c r="CO6" i="27" a="1"/>
  <c r="CO6" i="27" s="1"/>
  <c r="CO127" i="27" a="1"/>
  <c r="CO127" i="27" s="1"/>
  <c r="CO130" i="27" a="1"/>
  <c r="CO130" i="27" s="1"/>
  <c r="CO133" i="27" a="1"/>
  <c r="CO133" i="27" s="1"/>
  <c r="CO139" i="27" a="1"/>
  <c r="CO139" i="27" s="1"/>
  <c r="CO116" i="27" a="1"/>
  <c r="CO116" i="27" s="1"/>
  <c r="CO117" i="27" a="1"/>
  <c r="CO117" i="27" s="1"/>
  <c r="CO121" i="27" a="1"/>
  <c r="CO121" i="27" s="1"/>
  <c r="CO126" i="27" a="1"/>
  <c r="CO126" i="27" s="1"/>
  <c r="CO132" i="27" a="1"/>
  <c r="CO132" i="27" s="1"/>
  <c r="BY9" i="27" a="1"/>
  <c r="BY9" i="27" s="1"/>
  <c r="CE9" i="27" a="1"/>
  <c r="CE9" i="27" s="1"/>
  <c r="CK15" i="27" a="1"/>
  <c r="CK15" i="27" s="1"/>
  <c r="CI21" i="27" a="1"/>
  <c r="CI21" i="27" s="1"/>
  <c r="CK45" i="27" a="1"/>
  <c r="CK45" i="27" s="1"/>
  <c r="CG45" i="27" a="1"/>
  <c r="CG45" i="27" s="1"/>
  <c r="BR117" i="27" a="1"/>
  <c r="BR117" i="27" s="1"/>
  <c r="BN117" i="27" a="1"/>
  <c r="BN117" i="27" s="1"/>
  <c r="BQ18" i="27" a="1"/>
  <c r="BQ18" i="27" s="1"/>
  <c r="BO18" i="27" a="1"/>
  <c r="BO18" i="27" s="1"/>
  <c r="BQ60" i="27" a="1"/>
  <c r="BQ60" i="27" s="1"/>
  <c r="BY60" i="27" a="1"/>
  <c r="BY60" i="27" s="1"/>
  <c r="CK60" i="27" a="1"/>
  <c r="CK60" i="27" s="1"/>
  <c r="BY114" i="27" a="1"/>
  <c r="BY114" i="27" s="1"/>
  <c r="CI139" i="27" a="1"/>
  <c r="CI139" i="27" s="1"/>
  <c r="BS73" i="27" a="1"/>
  <c r="BS73" i="27" s="1"/>
  <c r="BU73" i="27" a="1"/>
  <c r="BU73" i="27" s="1"/>
  <c r="BY109" i="27" a="1"/>
  <c r="BY109" i="27" s="1"/>
  <c r="CK109" i="27" a="1"/>
  <c r="CK109" i="27" s="1"/>
  <c r="CI106" i="27" a="1"/>
  <c r="CI106" i="27" s="1"/>
  <c r="CI112" i="27" a="1"/>
  <c r="CI112" i="27" s="1"/>
  <c r="CC125" i="27" a="1"/>
  <c r="CC125" i="27" s="1"/>
  <c r="CI108" i="27" a="1"/>
  <c r="CI108" i="27" s="1"/>
  <c r="CC121" i="27" a="1"/>
  <c r="CC121" i="27" s="1"/>
  <c r="BS11" i="27" a="1"/>
  <c r="BS11" i="27" s="1"/>
  <c r="CI17" i="27" a="1"/>
  <c r="CI17" i="27" s="1"/>
  <c r="BS65" i="27" a="1"/>
  <c r="BS65" i="27" s="1"/>
  <c r="CI89" i="27" a="1"/>
  <c r="CI89" i="27" s="1"/>
  <c r="BS55" i="27" a="1"/>
  <c r="BS55" i="27" s="1"/>
  <c r="BO72" i="27" a="1"/>
  <c r="BO72" i="27" s="1"/>
  <c r="CT8" i="27" a="1"/>
  <c r="CT8" i="27" s="1"/>
  <c r="CT10" i="27" a="1"/>
  <c r="CT10" i="27" s="1"/>
  <c r="CT12" i="27" a="1"/>
  <c r="CT12" i="27" s="1"/>
  <c r="CT14" i="27" a="1"/>
  <c r="CT14" i="27" s="1"/>
  <c r="CT16" i="27" a="1"/>
  <c r="CT16" i="27" s="1"/>
  <c r="CT18" i="27" a="1"/>
  <c r="CT18" i="27" s="1"/>
  <c r="CT20" i="27" a="1"/>
  <c r="CT20" i="27" s="1"/>
  <c r="CT21" i="27" a="1"/>
  <c r="CT21" i="27" s="1"/>
  <c r="CT23" i="27" a="1"/>
  <c r="CT23" i="27" s="1"/>
  <c r="CT25" i="27" a="1"/>
  <c r="CT25" i="27" s="1"/>
  <c r="CT27" i="27" a="1"/>
  <c r="CT27" i="27" s="1"/>
  <c r="CT29" i="27" a="1"/>
  <c r="CT29" i="27" s="1"/>
  <c r="CT31" i="27" a="1"/>
  <c r="CT31" i="27" s="1"/>
  <c r="CT7" i="27" a="1"/>
  <c r="CT7" i="27" s="1"/>
  <c r="CT9" i="27" a="1"/>
  <c r="CT9" i="27" s="1"/>
  <c r="CT11" i="27" a="1"/>
  <c r="CT11" i="27" s="1"/>
  <c r="CT13" i="27" a="1"/>
  <c r="CT13" i="27" s="1"/>
  <c r="CT15" i="27" a="1"/>
  <c r="CT15" i="27" s="1"/>
  <c r="CT17" i="27" a="1"/>
  <c r="CT17" i="27" s="1"/>
  <c r="CT19" i="27" a="1"/>
  <c r="CT19" i="27" s="1"/>
  <c r="CT22" i="27" a="1"/>
  <c r="CT22" i="27" s="1"/>
  <c r="CT24" i="27" a="1"/>
  <c r="CT24" i="27" s="1"/>
  <c r="CT26" i="27" a="1"/>
  <c r="CT26" i="27" s="1"/>
  <c r="CT28" i="27" a="1"/>
  <c r="CT28" i="27" s="1"/>
  <c r="CT30" i="27" a="1"/>
  <c r="CT30" i="27" s="1"/>
  <c r="CT32" i="27" a="1"/>
  <c r="CT32" i="27" s="1"/>
  <c r="CT34" i="27" a="1"/>
  <c r="CT34" i="27" s="1"/>
  <c r="CT36" i="27" a="1"/>
  <c r="CT36" i="27" s="1"/>
  <c r="CT38" i="27" a="1"/>
  <c r="CT38" i="27" s="1"/>
  <c r="CT35" i="27" a="1"/>
  <c r="CT35" i="27" s="1"/>
  <c r="CT40" i="27" a="1"/>
  <c r="CT40" i="27" s="1"/>
  <c r="CT57" i="27" a="1"/>
  <c r="CT57" i="27" s="1"/>
  <c r="CT61" i="27" a="1"/>
  <c r="CT61" i="27" s="1"/>
  <c r="CT63" i="27" a="1"/>
  <c r="CT63" i="27" s="1"/>
  <c r="CT65" i="27" a="1"/>
  <c r="CT65" i="27" s="1"/>
  <c r="CT67" i="27" a="1"/>
  <c r="CT67" i="27" s="1"/>
  <c r="CT69" i="27" a="1"/>
  <c r="CT69" i="27" s="1"/>
  <c r="CT55" i="27" a="1"/>
  <c r="CT55" i="27" s="1"/>
  <c r="CT59" i="27" a="1"/>
  <c r="CT59" i="27" s="1"/>
  <c r="CT41" i="27" a="1"/>
  <c r="CT41" i="27" s="1"/>
  <c r="CT43" i="27" a="1"/>
  <c r="CT43" i="27" s="1"/>
  <c r="CT45" i="27" a="1"/>
  <c r="CT45" i="27" s="1"/>
  <c r="CT47" i="27" a="1"/>
  <c r="CT47" i="27" s="1"/>
  <c r="CT49" i="27" a="1"/>
  <c r="CT49" i="27" s="1"/>
  <c r="CT51" i="27" a="1"/>
  <c r="CT51" i="27" s="1"/>
  <c r="CT53" i="27" a="1"/>
  <c r="CT53" i="27" s="1"/>
  <c r="CT33" i="27" a="1"/>
  <c r="CT33" i="27" s="1"/>
  <c r="CT37" i="27" a="1"/>
  <c r="CT37" i="27" s="1"/>
  <c r="CT39" i="27" a="1"/>
  <c r="CT39" i="27" s="1"/>
  <c r="CT58" i="27" a="1"/>
  <c r="CT58" i="27" s="1"/>
  <c r="CT60" i="27" a="1"/>
  <c r="CT60" i="27" s="1"/>
  <c r="CT62" i="27" a="1"/>
  <c r="CT62" i="27" s="1"/>
  <c r="CT64" i="27" a="1"/>
  <c r="CT64" i="27" s="1"/>
  <c r="CT66" i="27" a="1"/>
  <c r="CT66" i="27" s="1"/>
  <c r="CT42" i="27" a="1"/>
  <c r="CT42" i="27" s="1"/>
  <c r="CT44" i="27" a="1"/>
  <c r="CT44" i="27" s="1"/>
  <c r="CT46" i="27" a="1"/>
  <c r="CT46" i="27" s="1"/>
  <c r="CT48" i="27" a="1"/>
  <c r="CT48" i="27" s="1"/>
  <c r="CT50" i="27" a="1"/>
  <c r="CT50" i="27" s="1"/>
  <c r="CT52" i="27" a="1"/>
  <c r="CT52" i="27" s="1"/>
  <c r="CT54" i="27" a="1"/>
  <c r="CT54" i="27" s="1"/>
  <c r="CT56" i="27" a="1"/>
  <c r="CT56" i="27" s="1"/>
  <c r="CT72" i="27" a="1"/>
  <c r="CT72" i="27" s="1"/>
  <c r="CT74" i="27" a="1"/>
  <c r="CT74" i="27" s="1"/>
  <c r="CT76" i="27" a="1"/>
  <c r="CT76" i="27" s="1"/>
  <c r="CT78" i="27" a="1"/>
  <c r="CT78" i="27" s="1"/>
  <c r="CT80" i="27" a="1"/>
  <c r="CT80" i="27" s="1"/>
  <c r="CT82" i="27" a="1"/>
  <c r="CT82" i="27" s="1"/>
  <c r="CT84" i="27" a="1"/>
  <c r="CT84" i="27" s="1"/>
  <c r="CT86" i="27" a="1"/>
  <c r="CT86" i="27" s="1"/>
  <c r="CT88" i="27" a="1"/>
  <c r="CT88" i="27" s="1"/>
  <c r="CT90" i="27" a="1"/>
  <c r="CT90" i="27" s="1"/>
  <c r="CT92" i="27" a="1"/>
  <c r="CT92" i="27" s="1"/>
  <c r="CT94" i="27" a="1"/>
  <c r="CT94" i="27" s="1"/>
  <c r="CT96" i="27" a="1"/>
  <c r="CT96" i="27" s="1"/>
  <c r="CT98" i="27" a="1"/>
  <c r="CT98" i="27" s="1"/>
  <c r="CT100" i="27" a="1"/>
  <c r="CT100" i="27" s="1"/>
  <c r="CT68" i="27" a="1"/>
  <c r="CT68" i="27" s="1"/>
  <c r="CT71" i="27" a="1"/>
  <c r="CT71" i="27" s="1"/>
  <c r="CT73" i="27" a="1"/>
  <c r="CT73" i="27" s="1"/>
  <c r="CT75" i="27" a="1"/>
  <c r="CT75" i="27" s="1"/>
  <c r="CT77" i="27" a="1"/>
  <c r="CT77" i="27" s="1"/>
  <c r="CT79" i="27" a="1"/>
  <c r="CT79" i="27" s="1"/>
  <c r="CT81" i="27" a="1"/>
  <c r="CT81" i="27" s="1"/>
  <c r="CT83" i="27" a="1"/>
  <c r="CT83" i="27" s="1"/>
  <c r="CT85" i="27" a="1"/>
  <c r="CT85" i="27" s="1"/>
  <c r="CT87" i="27" a="1"/>
  <c r="CT87" i="27" s="1"/>
  <c r="CT70" i="27" a="1"/>
  <c r="CT70" i="27" s="1"/>
  <c r="CT89" i="27" a="1"/>
  <c r="CT89" i="27" s="1"/>
  <c r="CT101" i="27" a="1"/>
  <c r="CT101" i="27" s="1"/>
  <c r="CT103" i="27" a="1"/>
  <c r="CT103" i="27" s="1"/>
  <c r="CT105" i="27" a="1"/>
  <c r="CT105" i="27" s="1"/>
  <c r="CT107" i="27" a="1"/>
  <c r="CT107" i="27" s="1"/>
  <c r="CT109" i="27" a="1"/>
  <c r="CT109" i="27" s="1"/>
  <c r="CT120" i="27" a="1"/>
  <c r="CT120" i="27" s="1"/>
  <c r="CT123" i="27" a="1"/>
  <c r="CT123" i="27" s="1"/>
  <c r="CT125" i="27" a="1"/>
  <c r="CT125" i="27" s="1"/>
  <c r="CT126" i="27" a="1"/>
  <c r="CT126" i="27" s="1"/>
  <c r="CT127" i="27" a="1"/>
  <c r="CT127" i="27" s="1"/>
  <c r="CT128" i="27" a="1"/>
  <c r="CT128" i="27" s="1"/>
  <c r="CT129" i="27" a="1"/>
  <c r="CT129" i="27" s="1"/>
  <c r="CT130" i="27" a="1"/>
  <c r="CT130" i="27" s="1"/>
  <c r="CT131" i="27" a="1"/>
  <c r="CT131" i="27" s="1"/>
  <c r="CT132" i="27" a="1"/>
  <c r="CT132" i="27" s="1"/>
  <c r="CT133" i="27" a="1"/>
  <c r="CT133" i="27" s="1"/>
  <c r="CT93" i="27" a="1"/>
  <c r="CT93" i="27" s="1"/>
  <c r="CT97" i="27" a="1"/>
  <c r="CT97" i="27" s="1"/>
  <c r="CT102" i="27" a="1"/>
  <c r="CT102" i="27" s="1"/>
  <c r="CT104" i="27" a="1"/>
  <c r="CT104" i="27" s="1"/>
  <c r="CT106" i="27" a="1"/>
  <c r="CT106" i="27" s="1"/>
  <c r="CT108" i="27" a="1"/>
  <c r="CT108" i="27" s="1"/>
  <c r="CT110" i="27" a="1"/>
  <c r="CT110" i="27" s="1"/>
  <c r="CT111" i="27" a="1"/>
  <c r="CT111" i="27" s="1"/>
  <c r="CT112" i="27" a="1"/>
  <c r="CT112" i="27" s="1"/>
  <c r="CT113" i="27" a="1"/>
  <c r="CT113" i="27" s="1"/>
  <c r="CT114" i="27" a="1"/>
  <c r="CT114" i="27" s="1"/>
  <c r="CT91" i="27" a="1"/>
  <c r="CT91" i="27" s="1"/>
  <c r="CT95" i="27" a="1"/>
  <c r="CT95" i="27" s="1"/>
  <c r="CT99" i="27" a="1"/>
  <c r="CT99" i="27" s="1"/>
  <c r="CT119" i="27" a="1"/>
  <c r="CT119" i="27" s="1"/>
  <c r="CT118" i="27" a="1"/>
  <c r="CT118" i="27" s="1"/>
  <c r="CT122" i="27" a="1"/>
  <c r="CT122" i="27" s="1"/>
  <c r="CT117" i="27" a="1"/>
  <c r="CT117" i="27" s="1"/>
  <c r="CT121" i="27" a="1"/>
  <c r="CT121" i="27" s="1"/>
  <c r="CT134" i="27" a="1"/>
  <c r="CT134" i="27" s="1"/>
  <c r="CT135" i="27" a="1"/>
  <c r="CT135" i="27" s="1"/>
  <c r="CT136" i="27" a="1"/>
  <c r="CT136" i="27" s="1"/>
  <c r="CT137" i="27" a="1"/>
  <c r="CT137" i="27" s="1"/>
  <c r="CT138" i="27" a="1"/>
  <c r="CT138" i="27" s="1"/>
  <c r="CT140" i="27" a="1"/>
  <c r="CT140" i="27" s="1"/>
  <c r="CT6" i="27" a="1"/>
  <c r="CT6" i="27" s="1"/>
  <c r="CT115" i="27" a="1"/>
  <c r="CT115" i="27" s="1"/>
  <c r="CT116" i="27" a="1"/>
  <c r="CT116" i="27" s="1"/>
  <c r="CT124" i="27" a="1"/>
  <c r="CT124" i="27" s="1"/>
  <c r="CT139" i="27" a="1"/>
  <c r="CT139" i="27" s="1"/>
  <c r="CE32" i="27" a="1"/>
  <c r="CE32" i="27" s="1"/>
  <c r="CG38" i="27" a="1"/>
  <c r="CG38" i="27" s="1"/>
  <c r="BO50" i="27" a="1"/>
  <c r="BO50" i="27" s="1"/>
  <c r="CA50" i="27" a="1"/>
  <c r="CA50" i="27" s="1"/>
  <c r="CA56" i="27" a="1"/>
  <c r="CA56" i="27" s="1"/>
  <c r="BO104" i="27" a="1"/>
  <c r="BO104" i="27" s="1"/>
  <c r="BW116" i="27" a="1"/>
  <c r="BW116" i="27" s="1"/>
  <c r="BO116" i="27" a="1"/>
  <c r="BO116" i="27" s="1"/>
  <c r="BW122" i="27" a="1"/>
  <c r="BW122" i="27" s="1"/>
  <c r="CE6" i="27" a="1"/>
  <c r="CE6" i="27" s="1"/>
  <c r="CA120" i="27" a="1"/>
  <c r="CA120" i="27" s="1"/>
  <c r="CE120" i="27" a="1"/>
  <c r="CE120" i="27" s="1"/>
  <c r="CA9" i="27" a="1"/>
  <c r="CA9" i="27" s="1"/>
  <c r="CI15" i="27" a="1"/>
  <c r="CI15" i="27" s="1"/>
  <c r="CE15" i="27" a="1"/>
  <c r="CE15" i="27" s="1"/>
  <c r="BO27" i="27" a="1"/>
  <c r="BO27" i="27" s="1"/>
  <c r="BR51" i="27" a="1"/>
  <c r="BR51" i="27" s="1"/>
  <c r="BZ51" i="27" a="1"/>
  <c r="BZ51" i="27" s="1"/>
  <c r="CF87" i="27" a="1"/>
  <c r="CF87" i="27" s="1"/>
  <c r="BP123" i="27" a="1"/>
  <c r="BP123" i="27" s="1"/>
  <c r="CC123" i="27" a="1"/>
  <c r="CC123" i="27" s="1"/>
  <c r="CD123" i="27" a="1"/>
  <c r="CD123" i="27" s="1"/>
  <c r="CI18" i="27" a="1"/>
  <c r="CI18" i="27" s="1"/>
  <c r="CI60" i="27" a="1"/>
  <c r="CI60" i="27" s="1"/>
  <c r="BS60" i="27" a="1"/>
  <c r="BS60" i="27" s="1"/>
  <c r="BO114" i="27" a="1"/>
  <c r="BO114" i="27" s="1"/>
  <c r="CC139" i="27" a="1"/>
  <c r="CC139" i="27" s="1"/>
  <c r="BQ73" i="27" a="1"/>
  <c r="BQ73" i="27" s="1"/>
  <c r="CC73" i="27" a="1"/>
  <c r="CC73" i="27" s="1"/>
  <c r="CG109" i="27" a="1"/>
  <c r="CG109" i="27" s="1"/>
  <c r="CS8" i="27" a="1"/>
  <c r="CS8" i="27" s="1"/>
  <c r="CS10" i="27" a="1"/>
  <c r="CS10" i="27" s="1"/>
  <c r="CS12" i="27" a="1"/>
  <c r="CS12" i="27" s="1"/>
  <c r="CS14" i="27" a="1"/>
  <c r="CS14" i="27" s="1"/>
  <c r="CS16" i="27" a="1"/>
  <c r="CS16" i="27" s="1"/>
  <c r="CS18" i="27" a="1"/>
  <c r="CS18" i="27" s="1"/>
  <c r="CS20" i="27" a="1"/>
  <c r="CS20" i="27" s="1"/>
  <c r="CS23" i="27" a="1"/>
  <c r="CS23" i="27" s="1"/>
  <c r="CS25" i="27" a="1"/>
  <c r="CS25" i="27" s="1"/>
  <c r="CS27" i="27" a="1"/>
  <c r="CS27" i="27" s="1"/>
  <c r="CS29" i="27" a="1"/>
  <c r="CS29" i="27" s="1"/>
  <c r="CS31" i="27" a="1"/>
  <c r="CS31" i="27" s="1"/>
  <c r="CS35" i="27" a="1"/>
  <c r="CS35" i="27" s="1"/>
  <c r="CS37" i="27" a="1"/>
  <c r="CS37" i="27" s="1"/>
  <c r="CS39" i="27" a="1"/>
  <c r="CS39" i="27" s="1"/>
  <c r="CS33" i="27" a="1"/>
  <c r="CS33" i="27" s="1"/>
  <c r="CS7" i="27" a="1"/>
  <c r="CS7" i="27" s="1"/>
  <c r="CS9" i="27" a="1"/>
  <c r="CS9" i="27" s="1"/>
  <c r="CS11" i="27" a="1"/>
  <c r="CS11" i="27" s="1"/>
  <c r="CS13" i="27" a="1"/>
  <c r="CS13" i="27" s="1"/>
  <c r="CS15" i="27" a="1"/>
  <c r="CS15" i="27" s="1"/>
  <c r="CS17" i="27" a="1"/>
  <c r="CS17" i="27" s="1"/>
  <c r="CS19" i="27" a="1"/>
  <c r="CS19" i="27" s="1"/>
  <c r="CS22" i="27" a="1"/>
  <c r="CS22" i="27" s="1"/>
  <c r="CS24" i="27" a="1"/>
  <c r="CS24" i="27" s="1"/>
  <c r="CS26" i="27" a="1"/>
  <c r="CS26" i="27" s="1"/>
  <c r="CS28" i="27" a="1"/>
  <c r="CS28" i="27" s="1"/>
  <c r="CS30" i="27" a="1"/>
  <c r="CS30" i="27" s="1"/>
  <c r="CS32" i="27" a="1"/>
  <c r="CS32" i="27" s="1"/>
  <c r="CS21" i="27" a="1"/>
  <c r="CS21" i="27" s="1"/>
  <c r="CS55" i="27" a="1"/>
  <c r="CS55" i="27" s="1"/>
  <c r="CS59" i="27" a="1"/>
  <c r="CS59" i="27" s="1"/>
  <c r="CS61" i="27" a="1"/>
  <c r="CS61" i="27" s="1"/>
  <c r="CS63" i="27" a="1"/>
  <c r="CS63" i="27" s="1"/>
  <c r="CS65" i="27" a="1"/>
  <c r="CS65" i="27" s="1"/>
  <c r="CS67" i="27" a="1"/>
  <c r="CS67" i="27" s="1"/>
  <c r="CS69" i="27" a="1"/>
  <c r="CS69" i="27" s="1"/>
  <c r="CS34" i="27" a="1"/>
  <c r="CS34" i="27" s="1"/>
  <c r="CS41" i="27" a="1"/>
  <c r="CS41" i="27" s="1"/>
  <c r="CS43" i="27" a="1"/>
  <c r="CS43" i="27" s="1"/>
  <c r="CS45" i="27" a="1"/>
  <c r="CS45" i="27" s="1"/>
  <c r="CS47" i="27" a="1"/>
  <c r="CS47" i="27" s="1"/>
  <c r="CS49" i="27" a="1"/>
  <c r="CS49" i="27" s="1"/>
  <c r="CS51" i="27" a="1"/>
  <c r="CS51" i="27" s="1"/>
  <c r="CS53" i="27" a="1"/>
  <c r="CS53" i="27" s="1"/>
  <c r="CS58" i="27" a="1"/>
  <c r="CS58" i="27" s="1"/>
  <c r="CS38" i="27" a="1"/>
  <c r="CS38" i="27" s="1"/>
  <c r="CS56" i="27" a="1"/>
  <c r="CS56" i="27" s="1"/>
  <c r="CS60" i="27" a="1"/>
  <c r="CS60" i="27" s="1"/>
  <c r="CS42" i="27" a="1"/>
  <c r="CS42" i="27" s="1"/>
  <c r="CS44" i="27" a="1"/>
  <c r="CS44" i="27" s="1"/>
  <c r="CS46" i="27" a="1"/>
  <c r="CS46" i="27" s="1"/>
  <c r="CS48" i="27" a="1"/>
  <c r="CS48" i="27" s="1"/>
  <c r="CS50" i="27" a="1"/>
  <c r="CS50" i="27" s="1"/>
  <c r="CS52" i="27" a="1"/>
  <c r="CS52" i="27" s="1"/>
  <c r="CS54" i="27" a="1"/>
  <c r="CS54" i="27" s="1"/>
  <c r="CS36" i="27" a="1"/>
  <c r="CS36" i="27" s="1"/>
  <c r="CS40" i="27" a="1"/>
  <c r="CS40" i="27" s="1"/>
  <c r="CS57" i="27" a="1"/>
  <c r="CS57" i="27" s="1"/>
  <c r="CS66" i="27" a="1"/>
  <c r="CS66" i="27" s="1"/>
  <c r="CS68" i="27" a="1"/>
  <c r="CS68" i="27" s="1"/>
  <c r="CS64" i="27" a="1"/>
  <c r="CS64" i="27" s="1"/>
  <c r="CS71" i="27" a="1"/>
  <c r="CS71" i="27" s="1"/>
  <c r="CS73" i="27" a="1"/>
  <c r="CS73" i="27" s="1"/>
  <c r="CS75" i="27" a="1"/>
  <c r="CS75" i="27" s="1"/>
  <c r="CS77" i="27" a="1"/>
  <c r="CS77" i="27" s="1"/>
  <c r="CS79" i="27" a="1"/>
  <c r="CS79" i="27" s="1"/>
  <c r="CS81" i="27" a="1"/>
  <c r="CS81" i="27" s="1"/>
  <c r="CS83" i="27" a="1"/>
  <c r="CS83" i="27" s="1"/>
  <c r="CS85" i="27" a="1"/>
  <c r="CS85" i="27" s="1"/>
  <c r="CS87" i="27" a="1"/>
  <c r="CS87" i="27" s="1"/>
  <c r="CS89" i="27" a="1"/>
  <c r="CS89" i="27" s="1"/>
  <c r="CS70" i="27" a="1"/>
  <c r="CS70" i="27" s="1"/>
  <c r="CS62" i="27" a="1"/>
  <c r="CS62" i="27" s="1"/>
  <c r="CS72" i="27" a="1"/>
  <c r="CS72" i="27" s="1"/>
  <c r="CS74" i="27" a="1"/>
  <c r="CS74" i="27" s="1"/>
  <c r="CS76" i="27" a="1"/>
  <c r="CS76" i="27" s="1"/>
  <c r="CS78" i="27" a="1"/>
  <c r="CS78" i="27" s="1"/>
  <c r="CS80" i="27" a="1"/>
  <c r="CS80" i="27" s="1"/>
  <c r="CS82" i="27" a="1"/>
  <c r="CS82" i="27" s="1"/>
  <c r="CS84" i="27" a="1"/>
  <c r="CS84" i="27" s="1"/>
  <c r="CS86" i="27" a="1"/>
  <c r="CS86" i="27" s="1"/>
  <c r="CS88" i="27" a="1"/>
  <c r="CS88" i="27" s="1"/>
  <c r="CS90" i="27" a="1"/>
  <c r="CS90" i="27" s="1"/>
  <c r="CS92" i="27" a="1"/>
  <c r="CS92" i="27" s="1"/>
  <c r="CS94" i="27" a="1"/>
  <c r="CS94" i="27" s="1"/>
  <c r="CS96" i="27" a="1"/>
  <c r="CS96" i="27" s="1"/>
  <c r="CS98" i="27" a="1"/>
  <c r="CS98" i="27" s="1"/>
  <c r="CS100" i="27" a="1"/>
  <c r="CS100" i="27" s="1"/>
  <c r="CS126" i="27" a="1"/>
  <c r="CS126" i="27" s="1"/>
  <c r="CS127" i="27" a="1"/>
  <c r="CS127" i="27" s="1"/>
  <c r="CS128" i="27" a="1"/>
  <c r="CS128" i="27" s="1"/>
  <c r="CS129" i="27" a="1"/>
  <c r="CS129" i="27" s="1"/>
  <c r="CS93" i="27" a="1"/>
  <c r="CS93" i="27" s="1"/>
  <c r="CS97" i="27" a="1"/>
  <c r="CS97" i="27" s="1"/>
  <c r="CS117" i="27" a="1"/>
  <c r="CS117" i="27" s="1"/>
  <c r="CS121" i="27" a="1"/>
  <c r="CS121" i="27" s="1"/>
  <c r="CS124" i="27" a="1"/>
  <c r="CS124" i="27" s="1"/>
  <c r="CS102" i="27" a="1"/>
  <c r="CS102" i="27" s="1"/>
  <c r="CS104" i="27" a="1"/>
  <c r="CS104" i="27" s="1"/>
  <c r="CS106" i="27" a="1"/>
  <c r="CS106" i="27" s="1"/>
  <c r="CS108" i="27" a="1"/>
  <c r="CS108" i="27" s="1"/>
  <c r="CS110" i="27" a="1"/>
  <c r="CS110" i="27" s="1"/>
  <c r="CS111" i="27" a="1"/>
  <c r="CS111" i="27" s="1"/>
  <c r="CS112" i="27" a="1"/>
  <c r="CS112" i="27" s="1"/>
  <c r="CS113" i="27" a="1"/>
  <c r="CS113" i="27" s="1"/>
  <c r="CS114" i="27" a="1"/>
  <c r="CS114" i="27" s="1"/>
  <c r="CS91" i="27" a="1"/>
  <c r="CS91" i="27" s="1"/>
  <c r="CS95" i="27" a="1"/>
  <c r="CS95" i="27" s="1"/>
  <c r="CS99" i="27" a="1"/>
  <c r="CS99" i="27" s="1"/>
  <c r="CS119" i="27" a="1"/>
  <c r="CS119" i="27" s="1"/>
  <c r="CS101" i="27" a="1"/>
  <c r="CS101" i="27" s="1"/>
  <c r="CS103" i="27" a="1"/>
  <c r="CS103" i="27" s="1"/>
  <c r="CS105" i="27" a="1"/>
  <c r="CS105" i="27" s="1"/>
  <c r="CS107" i="27" a="1"/>
  <c r="CS107" i="27" s="1"/>
  <c r="CS109" i="27" a="1"/>
  <c r="CS109" i="27" s="1"/>
  <c r="CS120" i="27" a="1"/>
  <c r="CS120" i="27" s="1"/>
  <c r="CS123" i="27" a="1"/>
  <c r="CS123" i="27" s="1"/>
  <c r="CS125" i="27" a="1"/>
  <c r="CS125" i="27" s="1"/>
  <c r="CS134" i="27" a="1"/>
  <c r="CS134" i="27" s="1"/>
  <c r="CS135" i="27" a="1"/>
  <c r="CS135" i="27" s="1"/>
  <c r="CS136" i="27" a="1"/>
  <c r="CS136" i="27" s="1"/>
  <c r="CS137" i="27" a="1"/>
  <c r="CS137" i="27" s="1"/>
  <c r="CS138" i="27" a="1"/>
  <c r="CS138" i="27" s="1"/>
  <c r="CS140" i="27" a="1"/>
  <c r="CS140" i="27" s="1"/>
  <c r="CS6" i="27" a="1"/>
  <c r="CS6" i="27" s="1"/>
  <c r="CS115" i="27" a="1"/>
  <c r="CS115" i="27" s="1"/>
  <c r="CS116" i="27" a="1"/>
  <c r="CS116" i="27" s="1"/>
  <c r="CS130" i="27" a="1"/>
  <c r="CS130" i="27" s="1"/>
  <c r="CS133" i="27" a="1"/>
  <c r="CS133" i="27" s="1"/>
  <c r="CS132" i="27" a="1"/>
  <c r="CS132" i="27" s="1"/>
  <c r="CS139" i="27" a="1"/>
  <c r="CS139" i="27" s="1"/>
  <c r="CS118" i="27" a="1"/>
  <c r="CS118" i="27" s="1"/>
  <c r="CS122" i="27" a="1"/>
  <c r="CS122" i="27" s="1"/>
  <c r="CS131" i="27" a="1"/>
  <c r="CS131" i="27" s="1"/>
  <c r="BS28" i="27" a="1"/>
  <c r="BS28" i="27" s="1"/>
  <c r="BO28" i="27" a="1"/>
  <c r="BO28" i="27" s="1"/>
  <c r="BO46" i="27" a="1"/>
  <c r="BO46" i="27" s="1"/>
  <c r="CC82" i="27" a="1"/>
  <c r="CC82" i="27" s="1"/>
  <c r="BO118" i="27" a="1"/>
  <c r="BO118" i="27" s="1"/>
  <c r="BO101" i="27" a="1"/>
  <c r="BO101" i="27" s="1"/>
  <c r="BO12" i="27" a="1"/>
  <c r="BO12" i="27" s="1"/>
  <c r="BO48" i="27" a="1"/>
  <c r="BO48" i="27" s="1"/>
  <c r="BO108" i="27" a="1"/>
  <c r="BO108" i="27" s="1"/>
  <c r="CN23" i="27" a="1"/>
  <c r="CN23" i="27" s="1"/>
  <c r="CN25" i="27" a="1"/>
  <c r="CN25" i="27" s="1"/>
  <c r="CN27" i="27" a="1"/>
  <c r="CN27" i="27" s="1"/>
  <c r="CN29" i="27" a="1"/>
  <c r="CN29" i="27" s="1"/>
  <c r="CN31" i="27" a="1"/>
  <c r="CN31" i="27" s="1"/>
  <c r="CN35" i="27" a="1"/>
  <c r="CN35" i="27" s="1"/>
  <c r="CN37" i="27" a="1"/>
  <c r="CN37" i="27" s="1"/>
  <c r="CN39" i="27" a="1"/>
  <c r="CN39" i="27" s="1"/>
  <c r="CN33" i="27" a="1"/>
  <c r="CN33" i="27" s="1"/>
  <c r="CN7" i="27" a="1"/>
  <c r="CN7" i="27" s="1"/>
  <c r="CN9" i="27" a="1"/>
  <c r="CN9" i="27" s="1"/>
  <c r="CN11" i="27" a="1"/>
  <c r="CN11" i="27" s="1"/>
  <c r="CN13" i="27" a="1"/>
  <c r="CN13" i="27" s="1"/>
  <c r="CN15" i="27" a="1"/>
  <c r="CN15" i="27" s="1"/>
  <c r="CN17" i="27" a="1"/>
  <c r="CN17" i="27" s="1"/>
  <c r="CN19" i="27" a="1"/>
  <c r="CN19" i="27" s="1"/>
  <c r="CN21" i="27" a="1"/>
  <c r="CN21" i="27" s="1"/>
  <c r="CN22" i="27" a="1"/>
  <c r="CN22" i="27" s="1"/>
  <c r="CN24" i="27" a="1"/>
  <c r="CN24" i="27" s="1"/>
  <c r="CN26" i="27" a="1"/>
  <c r="CN26" i="27" s="1"/>
  <c r="CN28" i="27" a="1"/>
  <c r="CN28" i="27" s="1"/>
  <c r="CN30" i="27" a="1"/>
  <c r="CN30" i="27" s="1"/>
  <c r="CN32" i="27" a="1"/>
  <c r="CN32" i="27" s="1"/>
  <c r="CN34" i="27" a="1"/>
  <c r="CN34" i="27" s="1"/>
  <c r="CN8" i="27" a="1"/>
  <c r="CN8" i="27" s="1"/>
  <c r="CN10" i="27" a="1"/>
  <c r="CN10" i="27" s="1"/>
  <c r="CN12" i="27" a="1"/>
  <c r="CN12" i="27" s="1"/>
  <c r="CN14" i="27" a="1"/>
  <c r="CN14" i="27" s="1"/>
  <c r="CN16" i="27" a="1"/>
  <c r="CN16" i="27" s="1"/>
  <c r="CN18" i="27" a="1"/>
  <c r="CN18" i="27" s="1"/>
  <c r="CN20" i="27" a="1"/>
  <c r="CN20" i="27" s="1"/>
  <c r="CN57" i="27" a="1"/>
  <c r="CN57" i="27" s="1"/>
  <c r="CN59" i="27" a="1"/>
  <c r="CN59" i="27" s="1"/>
  <c r="CN38" i="27" a="1"/>
  <c r="CN38" i="27" s="1"/>
  <c r="CN41" i="27" a="1"/>
  <c r="CN41" i="27" s="1"/>
  <c r="CN43" i="27" a="1"/>
  <c r="CN43" i="27" s="1"/>
  <c r="CN45" i="27" a="1"/>
  <c r="CN45" i="27" s="1"/>
  <c r="CN47" i="27" a="1"/>
  <c r="CN47" i="27" s="1"/>
  <c r="CN49" i="27" a="1"/>
  <c r="CN49" i="27" s="1"/>
  <c r="CN51" i="27" a="1"/>
  <c r="CN51" i="27" s="1"/>
  <c r="CN53" i="27" a="1"/>
  <c r="CN53" i="27" s="1"/>
  <c r="CN55" i="27" a="1"/>
  <c r="CN55" i="27" s="1"/>
  <c r="CN40" i="27" a="1"/>
  <c r="CN40" i="27" s="1"/>
  <c r="CN58" i="27" a="1"/>
  <c r="CN58" i="27" s="1"/>
  <c r="CN60" i="27" a="1"/>
  <c r="CN60" i="27" s="1"/>
  <c r="CN36" i="27" a="1"/>
  <c r="CN36" i="27" s="1"/>
  <c r="CN56" i="27" a="1"/>
  <c r="CN56" i="27" s="1"/>
  <c r="CN42" i="27" a="1"/>
  <c r="CN42" i="27" s="1"/>
  <c r="CN44" i="27" a="1"/>
  <c r="CN44" i="27" s="1"/>
  <c r="CN46" i="27" a="1"/>
  <c r="CN46" i="27" s="1"/>
  <c r="CN48" i="27" a="1"/>
  <c r="CN48" i="27" s="1"/>
  <c r="CN50" i="27" a="1"/>
  <c r="CN50" i="27" s="1"/>
  <c r="CN52" i="27" a="1"/>
  <c r="CN52" i="27" s="1"/>
  <c r="CN54" i="27" a="1"/>
  <c r="CN54" i="27" s="1"/>
  <c r="CN61" i="27" a="1"/>
  <c r="CN61" i="27" s="1"/>
  <c r="CN63" i="27" a="1"/>
  <c r="CN63" i="27" s="1"/>
  <c r="CN65" i="27" a="1"/>
  <c r="CN65" i="27" s="1"/>
  <c r="CN67" i="27" a="1"/>
  <c r="CN67" i="27" s="1"/>
  <c r="CN64" i="27" a="1"/>
  <c r="CN64" i="27" s="1"/>
  <c r="CN69" i="27" a="1"/>
  <c r="CN69" i="27" s="1"/>
  <c r="CN73" i="27" a="1"/>
  <c r="CN73" i="27" s="1"/>
  <c r="CN75" i="27" a="1"/>
  <c r="CN75" i="27" s="1"/>
  <c r="CN77" i="27" a="1"/>
  <c r="CN77" i="27" s="1"/>
  <c r="CN79" i="27" a="1"/>
  <c r="CN79" i="27" s="1"/>
  <c r="CN81" i="27" a="1"/>
  <c r="CN81" i="27" s="1"/>
  <c r="CN83" i="27" a="1"/>
  <c r="CN83" i="27" s="1"/>
  <c r="CN85" i="27" a="1"/>
  <c r="CN85" i="27" s="1"/>
  <c r="CN87" i="27" a="1"/>
  <c r="CN87" i="27" s="1"/>
  <c r="CN89" i="27" a="1"/>
  <c r="CN89" i="27" s="1"/>
  <c r="CN91" i="27" a="1"/>
  <c r="CN91" i="27" s="1"/>
  <c r="CN93" i="27" a="1"/>
  <c r="CN93" i="27" s="1"/>
  <c r="CN95" i="27" a="1"/>
  <c r="CN95" i="27" s="1"/>
  <c r="CN97" i="27" a="1"/>
  <c r="CN97" i="27" s="1"/>
  <c r="CN99" i="27" a="1"/>
  <c r="CN99" i="27" s="1"/>
  <c r="CN101" i="27" a="1"/>
  <c r="CN101" i="27" s="1"/>
  <c r="CN62" i="27" a="1"/>
  <c r="CN62" i="27" s="1"/>
  <c r="CN71" i="27" a="1"/>
  <c r="CN71" i="27" s="1"/>
  <c r="CN66" i="27" a="1"/>
  <c r="CN66" i="27" s="1"/>
  <c r="CN68" i="27" a="1"/>
  <c r="CN68" i="27" s="1"/>
  <c r="CN70" i="27" a="1"/>
  <c r="CN70" i="27" s="1"/>
  <c r="CN72" i="27" a="1"/>
  <c r="CN72" i="27" s="1"/>
  <c r="CN74" i="27" a="1"/>
  <c r="CN74" i="27" s="1"/>
  <c r="CN76" i="27" a="1"/>
  <c r="CN76" i="27" s="1"/>
  <c r="CN78" i="27" a="1"/>
  <c r="CN78" i="27" s="1"/>
  <c r="CN80" i="27" a="1"/>
  <c r="CN80" i="27" s="1"/>
  <c r="CN82" i="27" a="1"/>
  <c r="CN82" i="27" s="1"/>
  <c r="CN84" i="27" a="1"/>
  <c r="CN84" i="27" s="1"/>
  <c r="CN86" i="27" a="1"/>
  <c r="CN86" i="27" s="1"/>
  <c r="CN88" i="27" a="1"/>
  <c r="CN88" i="27" s="1"/>
  <c r="CN90" i="27" a="1"/>
  <c r="CN90" i="27" s="1"/>
  <c r="CN92" i="27" a="1"/>
  <c r="CN92" i="27" s="1"/>
  <c r="CN94" i="27" a="1"/>
  <c r="CN94" i="27" s="1"/>
  <c r="CN96" i="27" a="1"/>
  <c r="CN96" i="27" s="1"/>
  <c r="CN98" i="27" a="1"/>
  <c r="CN98" i="27" s="1"/>
  <c r="CN100" i="27" a="1"/>
  <c r="CN100" i="27" s="1"/>
  <c r="CN111" i="27" a="1"/>
  <c r="CN111" i="27" s="1"/>
  <c r="CN112" i="27" a="1"/>
  <c r="CN112" i="27" s="1"/>
  <c r="CN113" i="27" a="1"/>
  <c r="CN113" i="27" s="1"/>
  <c r="CN114" i="27" a="1"/>
  <c r="CN114" i="27" s="1"/>
  <c r="CN115" i="27" a="1"/>
  <c r="CN115" i="27" s="1"/>
  <c r="CN116" i="27" a="1"/>
  <c r="CN116" i="27" s="1"/>
  <c r="CN117" i="27" a="1"/>
  <c r="CN117" i="27" s="1"/>
  <c r="CN126" i="27" a="1"/>
  <c r="CN126" i="27" s="1"/>
  <c r="CN121" i="27" a="1"/>
  <c r="CN121" i="27" s="1"/>
  <c r="CN124" i="27" a="1"/>
  <c r="CN124" i="27" s="1"/>
  <c r="CN127" i="27" a="1"/>
  <c r="CN127" i="27" s="1"/>
  <c r="CN128" i="27" a="1"/>
  <c r="CN128" i="27" s="1"/>
  <c r="CN129" i="27" a="1"/>
  <c r="CN129" i="27" s="1"/>
  <c r="CN130" i="27" a="1"/>
  <c r="CN130" i="27" s="1"/>
  <c r="CN131" i="27" a="1"/>
  <c r="CN131" i="27" s="1"/>
  <c r="CN132" i="27" a="1"/>
  <c r="CN132" i="27" s="1"/>
  <c r="CN133" i="27" a="1"/>
  <c r="CN133" i="27" s="1"/>
  <c r="CN102" i="27" a="1"/>
  <c r="CN102" i="27" s="1"/>
  <c r="CN104" i="27" a="1"/>
  <c r="CN104" i="27" s="1"/>
  <c r="CN106" i="27" a="1"/>
  <c r="CN106" i="27" s="1"/>
  <c r="CN108" i="27" a="1"/>
  <c r="CN108" i="27" s="1"/>
  <c r="CN110" i="27" a="1"/>
  <c r="CN110" i="27" s="1"/>
  <c r="CN103" i="27" a="1"/>
  <c r="CN103" i="27" s="1"/>
  <c r="CN105" i="27" a="1"/>
  <c r="CN105" i="27" s="1"/>
  <c r="CN107" i="27" a="1"/>
  <c r="CN107" i="27" s="1"/>
  <c r="CN109" i="27" a="1"/>
  <c r="CN109" i="27" s="1"/>
  <c r="CN119" i="27" a="1"/>
  <c r="CN119" i="27" s="1"/>
  <c r="CN123" i="27" a="1"/>
  <c r="CN123" i="27" s="1"/>
  <c r="CN125" i="27" a="1"/>
  <c r="CN125" i="27" s="1"/>
  <c r="CN120" i="27" a="1"/>
  <c r="CN120" i="27" s="1"/>
  <c r="CN134" i="27" a="1"/>
  <c r="CN134" i="27" s="1"/>
  <c r="CN135" i="27" a="1"/>
  <c r="CN135" i="27" s="1"/>
  <c r="CN136" i="27" a="1"/>
  <c r="CN136" i="27" s="1"/>
  <c r="CN137" i="27" a="1"/>
  <c r="CN137" i="27" s="1"/>
  <c r="CN138" i="27" a="1"/>
  <c r="CN138" i="27" s="1"/>
  <c r="CN6" i="27" a="1"/>
  <c r="CN6" i="27" s="1"/>
  <c r="CN118" i="27" a="1"/>
  <c r="CN118" i="27" s="1"/>
  <c r="CN122" i="27" a="1"/>
  <c r="CN122" i="27" s="1"/>
  <c r="CN139" i="27" a="1"/>
  <c r="CN139" i="27" s="1"/>
  <c r="CN140" i="27" a="1"/>
  <c r="CN140" i="27" s="1"/>
  <c r="CC11" i="27" a="1"/>
  <c r="CC11" i="27" s="1"/>
  <c r="BS17" i="27" a="1"/>
  <c r="BS17" i="27" s="1"/>
  <c r="BO23" i="27" a="1"/>
  <c r="BO23" i="27" s="1"/>
  <c r="BS35" i="27" a="1"/>
  <c r="BS35" i="27" s="1"/>
  <c r="BO89" i="27" a="1"/>
  <c r="BO89" i="27" s="1"/>
  <c r="CA119" i="27" a="1"/>
  <c r="CA119" i="27" s="1"/>
  <c r="BO24" i="27" a="1"/>
  <c r="BO24" i="27" s="1"/>
  <c r="CE55" i="27" a="1"/>
  <c r="CE55" i="27" s="1"/>
  <c r="CC55" i="27" a="1"/>
  <c r="CC55" i="27" s="1"/>
  <c r="CA127" i="27" a="1"/>
  <c r="CA127" i="27" s="1"/>
  <c r="CI30" i="27" a="1"/>
  <c r="CI30" i="27" s="1"/>
  <c r="BW72" i="27" a="1"/>
  <c r="BW72" i="27" s="1"/>
  <c r="CE72" i="27" a="1"/>
  <c r="CE72" i="27" s="1"/>
  <c r="BS102" i="27" a="1"/>
  <c r="BS102" i="27" s="1"/>
  <c r="BS103" i="27" a="1"/>
  <c r="BS103" i="27" s="1"/>
  <c r="CU8" i="27" a="1"/>
  <c r="CU8" i="27" s="1"/>
  <c r="CU10" i="27" a="1"/>
  <c r="CU10" i="27" s="1"/>
  <c r="CU12" i="27" a="1"/>
  <c r="CU12" i="27" s="1"/>
  <c r="CU14" i="27" a="1"/>
  <c r="CU14" i="27" s="1"/>
  <c r="CU16" i="27" a="1"/>
  <c r="CU16" i="27" s="1"/>
  <c r="CU18" i="27" a="1"/>
  <c r="CU18" i="27" s="1"/>
  <c r="CU20" i="27" a="1"/>
  <c r="CU20" i="27" s="1"/>
  <c r="CU21" i="27" a="1"/>
  <c r="CU21" i="27" s="1"/>
  <c r="CU23" i="27" a="1"/>
  <c r="CU23" i="27" s="1"/>
  <c r="CU25" i="27" a="1"/>
  <c r="CU25" i="27" s="1"/>
  <c r="CU27" i="27" a="1"/>
  <c r="CU27" i="27" s="1"/>
  <c r="CU33" i="27" a="1"/>
  <c r="CU33" i="27" s="1"/>
  <c r="CU7" i="27" a="1"/>
  <c r="CU7" i="27" s="1"/>
  <c r="CU9" i="27" a="1"/>
  <c r="CU9" i="27" s="1"/>
  <c r="CU11" i="27" a="1"/>
  <c r="CU11" i="27" s="1"/>
  <c r="CU13" i="27" a="1"/>
  <c r="CU13" i="27" s="1"/>
  <c r="CU15" i="27" a="1"/>
  <c r="CU15" i="27" s="1"/>
  <c r="CU17" i="27" a="1"/>
  <c r="CU17" i="27" s="1"/>
  <c r="CU19" i="27" a="1"/>
  <c r="CU19" i="27" s="1"/>
  <c r="CU22" i="27" a="1"/>
  <c r="CU22" i="27" s="1"/>
  <c r="CU24" i="27" a="1"/>
  <c r="CU24" i="27" s="1"/>
  <c r="CU26" i="27" a="1"/>
  <c r="CU26" i="27" s="1"/>
  <c r="CU28" i="27" a="1"/>
  <c r="CU28" i="27" s="1"/>
  <c r="CU30" i="27" a="1"/>
  <c r="CU30" i="27" s="1"/>
  <c r="CU32" i="27" a="1"/>
  <c r="CU32" i="27" s="1"/>
  <c r="CU34" i="27" a="1"/>
  <c r="CU34" i="27" s="1"/>
  <c r="CU36" i="27" a="1"/>
  <c r="CU36" i="27" s="1"/>
  <c r="CU38" i="27" a="1"/>
  <c r="CU38" i="27" s="1"/>
  <c r="CU40" i="27" a="1"/>
  <c r="CU40" i="27" s="1"/>
  <c r="CU29" i="27" a="1"/>
  <c r="CU29" i="27" s="1"/>
  <c r="CU42" i="27" a="1"/>
  <c r="CU42" i="27" s="1"/>
  <c r="CU44" i="27" a="1"/>
  <c r="CU44" i="27" s="1"/>
  <c r="CU46" i="27" a="1"/>
  <c r="CU46" i="27" s="1"/>
  <c r="CU48" i="27" a="1"/>
  <c r="CU48" i="27" s="1"/>
  <c r="CU50" i="27" a="1"/>
  <c r="CU50" i="27" s="1"/>
  <c r="CU52" i="27" a="1"/>
  <c r="CU52" i="27" s="1"/>
  <c r="CU54" i="27" a="1"/>
  <c r="CU54" i="27" s="1"/>
  <c r="CU56" i="27" a="1"/>
  <c r="CU56" i="27" s="1"/>
  <c r="CU60" i="27" a="1"/>
  <c r="CU60" i="27" s="1"/>
  <c r="CU62" i="27" a="1"/>
  <c r="CU62" i="27" s="1"/>
  <c r="CU64" i="27" a="1"/>
  <c r="CU64" i="27" s="1"/>
  <c r="CU66" i="27" a="1"/>
  <c r="CU66" i="27" s="1"/>
  <c r="CU68" i="27" a="1"/>
  <c r="CU68" i="27" s="1"/>
  <c r="CU70" i="27" a="1"/>
  <c r="CU70" i="27" s="1"/>
  <c r="CU35" i="27" a="1"/>
  <c r="CU35" i="27" s="1"/>
  <c r="CU57" i="27" a="1"/>
  <c r="CU57" i="27" s="1"/>
  <c r="CU55" i="27" a="1"/>
  <c r="CU55" i="27" s="1"/>
  <c r="CU59" i="27" a="1"/>
  <c r="CU59" i="27" s="1"/>
  <c r="CU41" i="27" a="1"/>
  <c r="CU41" i="27" s="1"/>
  <c r="CU43" i="27" a="1"/>
  <c r="CU43" i="27" s="1"/>
  <c r="CU45" i="27" a="1"/>
  <c r="CU45" i="27" s="1"/>
  <c r="CU47" i="27" a="1"/>
  <c r="CU47" i="27" s="1"/>
  <c r="CU49" i="27" a="1"/>
  <c r="CU49" i="27" s="1"/>
  <c r="CU51" i="27" a="1"/>
  <c r="CU51" i="27" s="1"/>
  <c r="CU53" i="27" a="1"/>
  <c r="CU53" i="27" s="1"/>
  <c r="CU31" i="27" a="1"/>
  <c r="CU31" i="27" s="1"/>
  <c r="CU37" i="27" a="1"/>
  <c r="CU37" i="27" s="1"/>
  <c r="CU39" i="27" a="1"/>
  <c r="CU39" i="27" s="1"/>
  <c r="CU58" i="27" a="1"/>
  <c r="CU58" i="27" s="1"/>
  <c r="CU67" i="27" a="1"/>
  <c r="CU67" i="27" s="1"/>
  <c r="CU69" i="27" a="1"/>
  <c r="CU69" i="27" s="1"/>
  <c r="CU65" i="27" a="1"/>
  <c r="CU65" i="27" s="1"/>
  <c r="CU72" i="27" a="1"/>
  <c r="CU72" i="27" s="1"/>
  <c r="CU74" i="27" a="1"/>
  <c r="CU74" i="27" s="1"/>
  <c r="CU76" i="27" a="1"/>
  <c r="CU76" i="27" s="1"/>
  <c r="CU78" i="27" a="1"/>
  <c r="CU78" i="27" s="1"/>
  <c r="CU80" i="27" a="1"/>
  <c r="CU80" i="27" s="1"/>
  <c r="CU82" i="27" a="1"/>
  <c r="CU82" i="27" s="1"/>
  <c r="CU84" i="27" a="1"/>
  <c r="CU84" i="27" s="1"/>
  <c r="CU86" i="27" a="1"/>
  <c r="CU86" i="27" s="1"/>
  <c r="CU88" i="27" a="1"/>
  <c r="CU88" i="27" s="1"/>
  <c r="CU63" i="27" a="1"/>
  <c r="CU63" i="27" s="1"/>
  <c r="CU71" i="27" a="1"/>
  <c r="CU71" i="27" s="1"/>
  <c r="CU73" i="27" a="1"/>
  <c r="CU73" i="27" s="1"/>
  <c r="CU75" i="27" a="1"/>
  <c r="CU75" i="27" s="1"/>
  <c r="CU77" i="27" a="1"/>
  <c r="CU77" i="27" s="1"/>
  <c r="CU79" i="27" a="1"/>
  <c r="CU79" i="27" s="1"/>
  <c r="CU81" i="27" a="1"/>
  <c r="CU81" i="27" s="1"/>
  <c r="CU83" i="27" a="1"/>
  <c r="CU83" i="27" s="1"/>
  <c r="CU85" i="27" a="1"/>
  <c r="CU85" i="27" s="1"/>
  <c r="CU87" i="27" a="1"/>
  <c r="CU87" i="27" s="1"/>
  <c r="CU89" i="27" a="1"/>
  <c r="CU89" i="27" s="1"/>
  <c r="CU61" i="27" a="1"/>
  <c r="CU61" i="27" s="1"/>
  <c r="CU91" i="27" a="1"/>
  <c r="CU91" i="27" s="1"/>
  <c r="CU95" i="27" a="1"/>
  <c r="CU95" i="27" s="1"/>
  <c r="CU99" i="27" a="1"/>
  <c r="CU99" i="27" s="1"/>
  <c r="CU119" i="27" a="1"/>
  <c r="CU119" i="27" s="1"/>
  <c r="CU92" i="27" a="1"/>
  <c r="CU92" i="27" s="1"/>
  <c r="CU96" i="27" a="1"/>
  <c r="CU96" i="27" s="1"/>
  <c r="CU100" i="27" a="1"/>
  <c r="CU100" i="27" s="1"/>
  <c r="CU101" i="27" a="1"/>
  <c r="CU101" i="27" s="1"/>
  <c r="CU103" i="27" a="1"/>
  <c r="CU103" i="27" s="1"/>
  <c r="CU105" i="27" a="1"/>
  <c r="CU105" i="27" s="1"/>
  <c r="CU107" i="27" a="1"/>
  <c r="CU107" i="27" s="1"/>
  <c r="CU109" i="27" a="1"/>
  <c r="CU109" i="27" s="1"/>
  <c r="CU120" i="27" a="1"/>
  <c r="CU120" i="27" s="1"/>
  <c r="CU123" i="27" a="1"/>
  <c r="CU123" i="27" s="1"/>
  <c r="CU125" i="27" a="1"/>
  <c r="CU125" i="27" s="1"/>
  <c r="CU93" i="27" a="1"/>
  <c r="CU93" i="27" s="1"/>
  <c r="CU97" i="27" a="1"/>
  <c r="CU97" i="27" s="1"/>
  <c r="CU94" i="27" a="1"/>
  <c r="CU94" i="27" s="1"/>
  <c r="CU98" i="27" a="1"/>
  <c r="CU98" i="27" s="1"/>
  <c r="CU118" i="27" a="1"/>
  <c r="CU118" i="27" s="1"/>
  <c r="CU122" i="27" a="1"/>
  <c r="CU122" i="27" s="1"/>
  <c r="CU124" i="27" a="1"/>
  <c r="CU124" i="27" s="1"/>
  <c r="CU90" i="27" a="1"/>
  <c r="CU90" i="27" s="1"/>
  <c r="CU102" i="27" a="1"/>
  <c r="CU102" i="27" s="1"/>
  <c r="CU104" i="27" a="1"/>
  <c r="CU104" i="27" s="1"/>
  <c r="CU106" i="27" a="1"/>
  <c r="CU106" i="27" s="1"/>
  <c r="CU108" i="27" a="1"/>
  <c r="CU108" i="27" s="1"/>
  <c r="CU110" i="27" a="1"/>
  <c r="CU110" i="27" s="1"/>
  <c r="CU111" i="27" a="1"/>
  <c r="CU111" i="27" s="1"/>
  <c r="CU112" i="27" a="1"/>
  <c r="CU112" i="27" s="1"/>
  <c r="CU113" i="27" a="1"/>
  <c r="CU113" i="27" s="1"/>
  <c r="CU114" i="27" a="1"/>
  <c r="CU114" i="27" s="1"/>
  <c r="CU115" i="27" a="1"/>
  <c r="CU115" i="27" s="1"/>
  <c r="CU116" i="27" a="1"/>
  <c r="CU116" i="27" s="1"/>
  <c r="CU131" i="27" a="1"/>
  <c r="CU131" i="27" s="1"/>
  <c r="CU139" i="27" a="1"/>
  <c r="CU139" i="27" s="1"/>
  <c r="CU126" i="27" a="1"/>
  <c r="CU126" i="27" s="1"/>
  <c r="CU117" i="27" a="1"/>
  <c r="CU117" i="27" s="1"/>
  <c r="CU121" i="27" a="1"/>
  <c r="CU121" i="27" s="1"/>
  <c r="CU130" i="27" a="1"/>
  <c r="CU130" i="27" s="1"/>
  <c r="CU133" i="27" a="1"/>
  <c r="CU133" i="27" s="1"/>
  <c r="CU134" i="27" a="1"/>
  <c r="CU134" i="27" s="1"/>
  <c r="CU135" i="27" a="1"/>
  <c r="CU135" i="27" s="1"/>
  <c r="CU136" i="27" a="1"/>
  <c r="CU136" i="27" s="1"/>
  <c r="CU137" i="27" a="1"/>
  <c r="CU137" i="27" s="1"/>
  <c r="CU138" i="27" a="1"/>
  <c r="CU138" i="27" s="1"/>
  <c r="CU140" i="27" a="1"/>
  <c r="CU140" i="27" s="1"/>
  <c r="CU6" i="27" a="1"/>
  <c r="CU6" i="27" s="1"/>
  <c r="CU132" i="27" a="1"/>
  <c r="CU132" i="27" s="1"/>
  <c r="CU127" i="27" a="1"/>
  <c r="CU127" i="27" s="1"/>
  <c r="CU128" i="27" a="1"/>
  <c r="CU128" i="27" s="1"/>
  <c r="CU129" i="27" a="1"/>
  <c r="CU129" i="27" s="1"/>
  <c r="CI31" i="27" a="1"/>
  <c r="CI31" i="27" s="1"/>
  <c r="BQ31" i="27" a="1"/>
  <c r="BQ31" i="27" s="1"/>
  <c r="CI97" i="27" a="1"/>
  <c r="CI97" i="27" s="1"/>
  <c r="CI20" i="27" a="1"/>
  <c r="CI20" i="27" s="1"/>
  <c r="CC50" i="27" a="1"/>
  <c r="CC50" i="27" s="1"/>
  <c r="CK50" i="27" a="1"/>
  <c r="CK50" i="27" s="1"/>
  <c r="CA86" i="27" a="1"/>
  <c r="CA86" i="27" s="1"/>
  <c r="BW98" i="27" a="1"/>
  <c r="BW98" i="27" s="1"/>
  <c r="CE116" i="27" a="1"/>
  <c r="CE116" i="27" s="1"/>
  <c r="BS122" i="27" a="1"/>
  <c r="BS122" i="27" s="1"/>
  <c r="BU122" i="27" a="1"/>
  <c r="BU122" i="27" s="1"/>
  <c r="BS120" i="27" a="1"/>
  <c r="BS120" i="27" s="1"/>
  <c r="BW120" i="27" a="1"/>
  <c r="BW120" i="27" s="1"/>
  <c r="CC37" i="27" a="1"/>
  <c r="CC37" i="27" s="1"/>
  <c r="CQ7" i="27" a="1"/>
  <c r="CQ7" i="27" s="1"/>
  <c r="CQ9" i="27" a="1"/>
  <c r="CQ9" i="27" s="1"/>
  <c r="CQ11" i="27" a="1"/>
  <c r="CQ11" i="27" s="1"/>
  <c r="CQ13" i="27" a="1"/>
  <c r="CQ13" i="27" s="1"/>
  <c r="CQ15" i="27" a="1"/>
  <c r="CQ15" i="27" s="1"/>
  <c r="CQ17" i="27" a="1"/>
  <c r="CQ17" i="27" s="1"/>
  <c r="CQ19" i="27" a="1"/>
  <c r="CQ19" i="27" s="1"/>
  <c r="CQ22" i="27" a="1"/>
  <c r="CQ22" i="27" s="1"/>
  <c r="CQ24" i="27" a="1"/>
  <c r="CQ24" i="27" s="1"/>
  <c r="CQ26" i="27" a="1"/>
  <c r="CQ26" i="27" s="1"/>
  <c r="CQ28" i="27" a="1"/>
  <c r="CQ28" i="27" s="1"/>
  <c r="CQ30" i="27" a="1"/>
  <c r="CQ30" i="27" s="1"/>
  <c r="CQ32" i="27" a="1"/>
  <c r="CQ32" i="27" s="1"/>
  <c r="CQ34" i="27" a="1"/>
  <c r="CQ34" i="27" s="1"/>
  <c r="CQ36" i="27" a="1"/>
  <c r="CQ36" i="27" s="1"/>
  <c r="CQ38" i="27" a="1"/>
  <c r="CQ38" i="27" s="1"/>
  <c r="CQ40" i="27" a="1"/>
  <c r="CQ40" i="27" s="1"/>
  <c r="CQ21" i="27" a="1"/>
  <c r="CQ21" i="27" s="1"/>
  <c r="CQ8" i="27" a="1"/>
  <c r="CQ8" i="27" s="1"/>
  <c r="CQ10" i="27" a="1"/>
  <c r="CQ10" i="27" s="1"/>
  <c r="CQ12" i="27" a="1"/>
  <c r="CQ12" i="27" s="1"/>
  <c r="CQ14" i="27" a="1"/>
  <c r="CQ14" i="27" s="1"/>
  <c r="CQ16" i="27" a="1"/>
  <c r="CQ16" i="27" s="1"/>
  <c r="CQ18" i="27" a="1"/>
  <c r="CQ18" i="27" s="1"/>
  <c r="CQ20" i="27" a="1"/>
  <c r="CQ20" i="27" s="1"/>
  <c r="CQ23" i="27" a="1"/>
  <c r="CQ23" i="27" s="1"/>
  <c r="CQ25" i="27" a="1"/>
  <c r="CQ25" i="27" s="1"/>
  <c r="CQ27" i="27" a="1"/>
  <c r="CQ27" i="27" s="1"/>
  <c r="CQ29" i="27" a="1"/>
  <c r="CQ29" i="27" s="1"/>
  <c r="CQ31" i="27" a="1"/>
  <c r="CQ31" i="27" s="1"/>
  <c r="CQ33" i="27" a="1"/>
  <c r="CQ33" i="27" s="1"/>
  <c r="CQ58" i="27" a="1"/>
  <c r="CQ58" i="27" s="1"/>
  <c r="CQ60" i="27" a="1"/>
  <c r="CQ60" i="27" s="1"/>
  <c r="CQ62" i="27" a="1"/>
  <c r="CQ62" i="27" s="1"/>
  <c r="CQ64" i="27" a="1"/>
  <c r="CQ64" i="27" s="1"/>
  <c r="CQ66" i="27" a="1"/>
  <c r="CQ66" i="27" s="1"/>
  <c r="CQ68" i="27" a="1"/>
  <c r="CQ68" i="27" s="1"/>
  <c r="CQ70" i="27" a="1"/>
  <c r="CQ70" i="27" s="1"/>
  <c r="CQ56" i="27" a="1"/>
  <c r="CQ56" i="27" s="1"/>
  <c r="CQ39" i="27" a="1"/>
  <c r="CQ39" i="27" s="1"/>
  <c r="CQ42" i="27" a="1"/>
  <c r="CQ42" i="27" s="1"/>
  <c r="CQ44" i="27" a="1"/>
  <c r="CQ44" i="27" s="1"/>
  <c r="CQ46" i="27" a="1"/>
  <c r="CQ46" i="27" s="1"/>
  <c r="CQ48" i="27" a="1"/>
  <c r="CQ48" i="27" s="1"/>
  <c r="CQ50" i="27" a="1"/>
  <c r="CQ50" i="27" s="1"/>
  <c r="CQ52" i="27" a="1"/>
  <c r="CQ52" i="27" s="1"/>
  <c r="CQ54" i="27" a="1"/>
  <c r="CQ54" i="27" s="1"/>
  <c r="CQ37" i="27" a="1"/>
  <c r="CQ37" i="27" s="1"/>
  <c r="CQ57" i="27" a="1"/>
  <c r="CQ57" i="27" s="1"/>
  <c r="CQ41" i="27" a="1"/>
  <c r="CQ41" i="27" s="1"/>
  <c r="CQ43" i="27" a="1"/>
  <c r="CQ43" i="27" s="1"/>
  <c r="CQ45" i="27" a="1"/>
  <c r="CQ45" i="27" s="1"/>
  <c r="CQ47" i="27" a="1"/>
  <c r="CQ47" i="27" s="1"/>
  <c r="CQ49" i="27" a="1"/>
  <c r="CQ49" i="27" s="1"/>
  <c r="CQ51" i="27" a="1"/>
  <c r="CQ51" i="27" s="1"/>
  <c r="CQ53" i="27" a="1"/>
  <c r="CQ53" i="27" s="1"/>
  <c r="CQ55" i="27" a="1"/>
  <c r="CQ55" i="27" s="1"/>
  <c r="CQ59" i="27" a="1"/>
  <c r="CQ59" i="27" s="1"/>
  <c r="CQ61" i="27" a="1"/>
  <c r="CQ61" i="27" s="1"/>
  <c r="CQ63" i="27" a="1"/>
  <c r="CQ63" i="27" s="1"/>
  <c r="CQ65" i="27" a="1"/>
  <c r="CQ65" i="27" s="1"/>
  <c r="CQ35" i="27" a="1"/>
  <c r="CQ35" i="27" s="1"/>
  <c r="CQ71" i="27" a="1"/>
  <c r="CQ71" i="27" s="1"/>
  <c r="CQ73" i="27" a="1"/>
  <c r="CQ73" i="27" s="1"/>
  <c r="CQ75" i="27" a="1"/>
  <c r="CQ75" i="27" s="1"/>
  <c r="CQ77" i="27" a="1"/>
  <c r="CQ77" i="27" s="1"/>
  <c r="CQ79" i="27" a="1"/>
  <c r="CQ79" i="27" s="1"/>
  <c r="CQ81" i="27" a="1"/>
  <c r="CQ81" i="27" s="1"/>
  <c r="CQ83" i="27" a="1"/>
  <c r="CQ83" i="27" s="1"/>
  <c r="CQ85" i="27" a="1"/>
  <c r="CQ85" i="27" s="1"/>
  <c r="CQ87" i="27" a="1"/>
  <c r="CQ87" i="27" s="1"/>
  <c r="CQ89" i="27" a="1"/>
  <c r="CQ89" i="27" s="1"/>
  <c r="CQ91" i="27" a="1"/>
  <c r="CQ91" i="27" s="1"/>
  <c r="CQ93" i="27" a="1"/>
  <c r="CQ93" i="27" s="1"/>
  <c r="CQ95" i="27" a="1"/>
  <c r="CQ95" i="27" s="1"/>
  <c r="CQ97" i="27" a="1"/>
  <c r="CQ97" i="27" s="1"/>
  <c r="CQ99" i="27" a="1"/>
  <c r="CQ99" i="27" s="1"/>
  <c r="CQ72" i="27" a="1"/>
  <c r="CQ72" i="27" s="1"/>
  <c r="CQ74" i="27" a="1"/>
  <c r="CQ74" i="27" s="1"/>
  <c r="CQ76" i="27" a="1"/>
  <c r="CQ76" i="27" s="1"/>
  <c r="CQ78" i="27" a="1"/>
  <c r="CQ78" i="27" s="1"/>
  <c r="CQ80" i="27" a="1"/>
  <c r="CQ80" i="27" s="1"/>
  <c r="CQ82" i="27" a="1"/>
  <c r="CQ82" i="27" s="1"/>
  <c r="CQ84" i="27" a="1"/>
  <c r="CQ84" i="27" s="1"/>
  <c r="CQ86" i="27" a="1"/>
  <c r="CQ86" i="27" s="1"/>
  <c r="CQ88" i="27" a="1"/>
  <c r="CQ88" i="27" s="1"/>
  <c r="CQ69" i="27" a="1"/>
  <c r="CQ69" i="27" s="1"/>
  <c r="CQ67" i="27" a="1"/>
  <c r="CQ67" i="27" s="1"/>
  <c r="CQ118" i="27" a="1"/>
  <c r="CQ118" i="27" s="1"/>
  <c r="CQ122" i="27" a="1"/>
  <c r="CQ122" i="27" s="1"/>
  <c r="CQ94" i="27" a="1"/>
  <c r="CQ94" i="27" s="1"/>
  <c r="CQ98" i="27" a="1"/>
  <c r="CQ98" i="27" s="1"/>
  <c r="CQ119" i="27" a="1"/>
  <c r="CQ119" i="27" s="1"/>
  <c r="CQ90" i="27" a="1"/>
  <c r="CQ90" i="27" s="1"/>
  <c r="CQ101" i="27" a="1"/>
  <c r="CQ101" i="27" s="1"/>
  <c r="CQ103" i="27" a="1"/>
  <c r="CQ103" i="27" s="1"/>
  <c r="CQ105" i="27" a="1"/>
  <c r="CQ105" i="27" s="1"/>
  <c r="CQ107" i="27" a="1"/>
  <c r="CQ107" i="27" s="1"/>
  <c r="CQ109" i="27" a="1"/>
  <c r="CQ109" i="27" s="1"/>
  <c r="CQ92" i="27" a="1"/>
  <c r="CQ92" i="27" s="1"/>
  <c r="CQ96" i="27" a="1"/>
  <c r="CQ96" i="27" s="1"/>
  <c r="CQ100" i="27" a="1"/>
  <c r="CQ100" i="27" s="1"/>
  <c r="CQ117" i="27" a="1"/>
  <c r="CQ117" i="27" s="1"/>
  <c r="CQ121" i="27" a="1"/>
  <c r="CQ121" i="27" s="1"/>
  <c r="CQ126" i="27" a="1"/>
  <c r="CQ126" i="27" s="1"/>
  <c r="CQ127" i="27" a="1"/>
  <c r="CQ127" i="27" s="1"/>
  <c r="CQ128" i="27" a="1"/>
  <c r="CQ128" i="27" s="1"/>
  <c r="CQ129" i="27" a="1"/>
  <c r="CQ129" i="27" s="1"/>
  <c r="CQ102" i="27" a="1"/>
  <c r="CQ102" i="27" s="1"/>
  <c r="CQ104" i="27" a="1"/>
  <c r="CQ104" i="27" s="1"/>
  <c r="CQ106" i="27" a="1"/>
  <c r="CQ106" i="27" s="1"/>
  <c r="CQ108" i="27" a="1"/>
  <c r="CQ108" i="27" s="1"/>
  <c r="CQ110" i="27" a="1"/>
  <c r="CQ110" i="27" s="1"/>
  <c r="CQ111" i="27" a="1"/>
  <c r="CQ111" i="27" s="1"/>
  <c r="CQ112" i="27" a="1"/>
  <c r="CQ112" i="27" s="1"/>
  <c r="CQ113" i="27" a="1"/>
  <c r="CQ113" i="27" s="1"/>
  <c r="CQ114" i="27" a="1"/>
  <c r="CQ114" i="27" s="1"/>
  <c r="CQ115" i="27" a="1"/>
  <c r="CQ115" i="27" s="1"/>
  <c r="CQ116" i="27" a="1"/>
  <c r="CQ116" i="27" s="1"/>
  <c r="CQ124" i="27" a="1"/>
  <c r="CQ124" i="27" s="1"/>
  <c r="CQ139" i="27" a="1"/>
  <c r="CQ139" i="27" s="1"/>
  <c r="CQ125" i="27" a="1"/>
  <c r="CQ125" i="27" s="1"/>
  <c r="CQ132" i="27" a="1"/>
  <c r="CQ132" i="27" s="1"/>
  <c r="CQ120" i="27" a="1"/>
  <c r="CQ120" i="27" s="1"/>
  <c r="CQ123" i="27" a="1"/>
  <c r="CQ123" i="27" s="1"/>
  <c r="CQ131" i="27" a="1"/>
  <c r="CQ131" i="27" s="1"/>
  <c r="CQ134" i="27" a="1"/>
  <c r="CQ134" i="27" s="1"/>
  <c r="CQ135" i="27" a="1"/>
  <c r="CQ135" i="27" s="1"/>
  <c r="CQ136" i="27" a="1"/>
  <c r="CQ136" i="27" s="1"/>
  <c r="CQ137" i="27" a="1"/>
  <c r="CQ137" i="27" s="1"/>
  <c r="CQ138" i="27" a="1"/>
  <c r="CQ138" i="27" s="1"/>
  <c r="CQ140" i="27" a="1"/>
  <c r="CQ140" i="27" s="1"/>
  <c r="CQ6" i="27" a="1"/>
  <c r="CQ6" i="27" s="1"/>
  <c r="CQ130" i="27" a="1"/>
  <c r="CQ130" i="27" s="1"/>
  <c r="CQ133" i="27" a="1"/>
  <c r="CQ133" i="27" s="1"/>
  <c r="CK9" i="27" a="1"/>
  <c r="CK9" i="27" s="1"/>
  <c r="CA15" i="27" a="1"/>
  <c r="CA15" i="27" s="1"/>
  <c r="BU27" i="27" a="1"/>
  <c r="BU27" i="27" s="1"/>
  <c r="BR57" i="27" a="1"/>
  <c r="BR57" i="27" s="1"/>
  <c r="CB57" i="27" a="1"/>
  <c r="CB57" i="27" s="1"/>
  <c r="CF57" i="27" a="1"/>
  <c r="CF57" i="27" s="1"/>
  <c r="CK57" i="27" a="1"/>
  <c r="CK57" i="27" s="1"/>
  <c r="BT57" i="27" a="1"/>
  <c r="BT57" i="27" s="1"/>
  <c r="BX57" i="27" a="1"/>
  <c r="BX57" i="27" s="1"/>
  <c r="CC57" i="27" a="1"/>
  <c r="CC57" i="27" s="1"/>
  <c r="CH57" i="27" a="1"/>
  <c r="CH57" i="27" s="1"/>
  <c r="BO57" i="27" a="1"/>
  <c r="BO57" i="27" s="1"/>
  <c r="BY57" i="27" a="1"/>
  <c r="BY57" i="27" s="1"/>
  <c r="CD57" i="27" a="1"/>
  <c r="CD57" i="27" s="1"/>
  <c r="CI57" i="27" a="1"/>
  <c r="CI57" i="27" s="1"/>
  <c r="BP57" i="27" a="1"/>
  <c r="BP57" i="27" s="1"/>
  <c r="BU57" i="27" a="1"/>
  <c r="BU57" i="27" s="1"/>
  <c r="BZ57" i="27" a="1"/>
  <c r="BZ57" i="27" s="1"/>
  <c r="CJ57" i="27" a="1"/>
  <c r="CJ57" i="27" s="1"/>
  <c r="BW57" i="27" a="1"/>
  <c r="BW57" i="27" s="1"/>
  <c r="CA57" i="27" a="1"/>
  <c r="CA57" i="27" s="1"/>
  <c r="BN57" i="27" a="1"/>
  <c r="BN57" i="27" s="1"/>
  <c r="BQ57" i="27" a="1"/>
  <c r="BQ57" i="27" s="1"/>
  <c r="CE57" i="27" a="1"/>
  <c r="CE57" i="27" s="1"/>
  <c r="BS57" i="27" a="1"/>
  <c r="BS57" i="27" s="1"/>
  <c r="CG57" i="27" a="1"/>
  <c r="CG57" i="27" s="1"/>
  <c r="BV57" i="27" a="1"/>
  <c r="BV57" i="27" s="1"/>
  <c r="BW93" i="27" a="1"/>
  <c r="BW93" i="27" s="1"/>
  <c r="CC93" i="27" a="1"/>
  <c r="CC93" i="27" s="1"/>
  <c r="CA93" i="27" a="1"/>
  <c r="CA93" i="27" s="1"/>
  <c r="BQ129" i="27" a="1"/>
  <c r="BQ129" i="27" s="1"/>
  <c r="BW129" i="27" a="1"/>
  <c r="BW129" i="27" s="1"/>
  <c r="CC129" i="27" a="1"/>
  <c r="CC129" i="27" s="1"/>
  <c r="CI129" i="27" a="1"/>
  <c r="CI129" i="27" s="1"/>
  <c r="BR129" i="27" a="1"/>
  <c r="BR129" i="27" s="1"/>
  <c r="BX129" i="27" a="1"/>
  <c r="BX129" i="27" s="1"/>
  <c r="CD129" i="27" a="1"/>
  <c r="CD129" i="27" s="1"/>
  <c r="CJ129" i="27" a="1"/>
  <c r="CJ129" i="27" s="1"/>
  <c r="BS129" i="27" a="1"/>
  <c r="BS129" i="27" s="1"/>
  <c r="BY129" i="27" a="1"/>
  <c r="BY129" i="27" s="1"/>
  <c r="CE129" i="27" a="1"/>
  <c r="CE129" i="27" s="1"/>
  <c r="CK129" i="27" a="1"/>
  <c r="CK129" i="27" s="1"/>
  <c r="BN129" i="27" a="1"/>
  <c r="BN129" i="27" s="1"/>
  <c r="BT129" i="27" a="1"/>
  <c r="BT129" i="27" s="1"/>
  <c r="BZ129" i="27" a="1"/>
  <c r="BZ129" i="27" s="1"/>
  <c r="CF129" i="27" a="1"/>
  <c r="CF129" i="27" s="1"/>
  <c r="BO129" i="27" a="1"/>
  <c r="BO129" i="27" s="1"/>
  <c r="BU129" i="27" a="1"/>
  <c r="BU129" i="27" s="1"/>
  <c r="CA129" i="27" a="1"/>
  <c r="CA129" i="27" s="1"/>
  <c r="CG129" i="27" a="1"/>
  <c r="CG129" i="27" s="1"/>
  <c r="BP129" i="27" a="1"/>
  <c r="BP129" i="27" s="1"/>
  <c r="BV129" i="27" a="1"/>
  <c r="BV129" i="27" s="1"/>
  <c r="CB129" i="27" a="1"/>
  <c r="CB129" i="27" s="1"/>
  <c r="CH129" i="27" a="1"/>
  <c r="CH129" i="27" s="1"/>
  <c r="CK18" i="27" a="1"/>
  <c r="CK18" i="27" s="1"/>
  <c r="CC18" i="27" a="1"/>
  <c r="CC18" i="27" s="1"/>
  <c r="BW60" i="27" a="1"/>
  <c r="BW60" i="27" s="1"/>
  <c r="CE114" i="27" a="1"/>
  <c r="CE114" i="27" s="1"/>
  <c r="CK139" i="27" a="1"/>
  <c r="CK139" i="27" s="1"/>
  <c r="CG139" i="27" a="1"/>
  <c r="CG139" i="27" s="1"/>
  <c r="CC43" i="27" a="1"/>
  <c r="CC43" i="27" s="1"/>
  <c r="CK73" i="27" a="1"/>
  <c r="CK73" i="27" s="1"/>
  <c r="BW109" i="27" a="1"/>
  <c r="BW109" i="27" s="1"/>
  <c r="CE109" i="27" a="1"/>
  <c r="CE109" i="27" s="1"/>
  <c r="CI133" i="27" a="1"/>
  <c r="CI133" i="27" s="1"/>
  <c r="BO16" i="27" a="1"/>
  <c r="BO16" i="27" s="1"/>
  <c r="CI16" i="27" a="1"/>
  <c r="CI16" i="27" s="1"/>
  <c r="CI34" i="27" a="1"/>
  <c r="CI34" i="27" s="1"/>
  <c r="CI137" i="27" a="1"/>
  <c r="CI137" i="27" s="1"/>
  <c r="BS125" i="27" a="1"/>
  <c r="BS125" i="27" s="1"/>
  <c r="BW11" i="27" a="1"/>
  <c r="BW11" i="27" s="1"/>
  <c r="CI11" i="27" a="1"/>
  <c r="CI11" i="27" s="1"/>
  <c r="BS47" i="27" a="1"/>
  <c r="BS47" i="27" s="1"/>
  <c r="BW83" i="27" a="1"/>
  <c r="BW83" i="27" s="1"/>
  <c r="CI95" i="27" a="1"/>
  <c r="CI95" i="27" s="1"/>
  <c r="CA55" i="27" a="1"/>
  <c r="CA55" i="27" s="1"/>
  <c r="CI55" i="27" a="1"/>
  <c r="CI55" i="27" s="1"/>
  <c r="BW30" i="27" a="1"/>
  <c r="BW30" i="27" s="1"/>
  <c r="BQ102" i="27" a="1"/>
  <c r="BQ102" i="27" s="1"/>
  <c r="CC103" i="27" a="1"/>
  <c r="CC103" i="27" s="1"/>
  <c r="BQ103" i="27" a="1"/>
  <c r="BQ103" i="27" s="1"/>
  <c r="CE19" i="27" a="1"/>
  <c r="CE19" i="27" s="1"/>
  <c r="CG25" i="27" a="1"/>
  <c r="CG25" i="27" s="1"/>
  <c r="CW33" i="27" a="1"/>
  <c r="CW33" i="27" s="1"/>
  <c r="CW34" i="27" a="1"/>
  <c r="CW34" i="27" s="1"/>
  <c r="CW7" i="27" a="1"/>
  <c r="CW7" i="27" s="1"/>
  <c r="CW9" i="27" a="1"/>
  <c r="CW9" i="27" s="1"/>
  <c r="CW11" i="27" a="1"/>
  <c r="CW11" i="27" s="1"/>
  <c r="CW13" i="27" a="1"/>
  <c r="CW13" i="27" s="1"/>
  <c r="CW15" i="27" a="1"/>
  <c r="CW15" i="27" s="1"/>
  <c r="CW17" i="27" a="1"/>
  <c r="CW17" i="27" s="1"/>
  <c r="CW19" i="27" a="1"/>
  <c r="CW19" i="27" s="1"/>
  <c r="CW22" i="27" a="1"/>
  <c r="CW22" i="27" s="1"/>
  <c r="CW24" i="27" a="1"/>
  <c r="CW24" i="27" s="1"/>
  <c r="CW26" i="27" a="1"/>
  <c r="CW26" i="27" s="1"/>
  <c r="CW28" i="27" a="1"/>
  <c r="CW28" i="27" s="1"/>
  <c r="CW8" i="27" a="1"/>
  <c r="CW8" i="27" s="1"/>
  <c r="CW10" i="27" a="1"/>
  <c r="CW10" i="27" s="1"/>
  <c r="CW12" i="27" a="1"/>
  <c r="CW12" i="27" s="1"/>
  <c r="CW14" i="27" a="1"/>
  <c r="CW14" i="27" s="1"/>
  <c r="CW16" i="27" a="1"/>
  <c r="CW16" i="27" s="1"/>
  <c r="CW18" i="27" a="1"/>
  <c r="CW18" i="27" s="1"/>
  <c r="CW20" i="27" a="1"/>
  <c r="CW20" i="27" s="1"/>
  <c r="CW21" i="27" a="1"/>
  <c r="CW21" i="27" s="1"/>
  <c r="CW23" i="27" a="1"/>
  <c r="CW23" i="27" s="1"/>
  <c r="CW25" i="27" a="1"/>
  <c r="CW25" i="27" s="1"/>
  <c r="CW27" i="27" a="1"/>
  <c r="CW27" i="27" s="1"/>
  <c r="CW29" i="27" a="1"/>
  <c r="CW29" i="27" s="1"/>
  <c r="CW31" i="27" a="1"/>
  <c r="CW31" i="27" s="1"/>
  <c r="CW35" i="27" a="1"/>
  <c r="CW35" i="27" s="1"/>
  <c r="CW37" i="27" a="1"/>
  <c r="CW37" i="27" s="1"/>
  <c r="CW39" i="27" a="1"/>
  <c r="CW39" i="27" s="1"/>
  <c r="CW36" i="27" a="1"/>
  <c r="CW36" i="27" s="1"/>
  <c r="CW41" i="27" a="1"/>
  <c r="CW41" i="27" s="1"/>
  <c r="CW43" i="27" a="1"/>
  <c r="CW43" i="27" s="1"/>
  <c r="CW45" i="27" a="1"/>
  <c r="CW45" i="27" s="1"/>
  <c r="CW47" i="27" a="1"/>
  <c r="CW47" i="27" s="1"/>
  <c r="CW49" i="27" a="1"/>
  <c r="CW49" i="27" s="1"/>
  <c r="CW51" i="27" a="1"/>
  <c r="CW51" i="27" s="1"/>
  <c r="CW53" i="27" a="1"/>
  <c r="CW53" i="27" s="1"/>
  <c r="CW32" i="27" a="1"/>
  <c r="CW32" i="27" s="1"/>
  <c r="CW56" i="27" a="1"/>
  <c r="CW56" i="27" s="1"/>
  <c r="CW58" i="27" a="1"/>
  <c r="CW58" i="27" s="1"/>
  <c r="CW30" i="27" a="1"/>
  <c r="CW30" i="27" s="1"/>
  <c r="CW40" i="27" a="1"/>
  <c r="CW40" i="27" s="1"/>
  <c r="CW42" i="27" a="1"/>
  <c r="CW42" i="27" s="1"/>
  <c r="CW44" i="27" a="1"/>
  <c r="CW44" i="27" s="1"/>
  <c r="CW46" i="27" a="1"/>
  <c r="CW46" i="27" s="1"/>
  <c r="CW48" i="27" a="1"/>
  <c r="CW48" i="27" s="1"/>
  <c r="CW50" i="27" a="1"/>
  <c r="CW50" i="27" s="1"/>
  <c r="CW52" i="27" a="1"/>
  <c r="CW52" i="27" s="1"/>
  <c r="CW54" i="27" a="1"/>
  <c r="CW54" i="27" s="1"/>
  <c r="CW38" i="27" a="1"/>
  <c r="CW38" i="27" s="1"/>
  <c r="CW57" i="27" a="1"/>
  <c r="CW57" i="27" s="1"/>
  <c r="CW55" i="27" a="1"/>
  <c r="CW55" i="27" s="1"/>
  <c r="CW59" i="27" a="1"/>
  <c r="CW59" i="27" s="1"/>
  <c r="CW61" i="27" a="1"/>
  <c r="CW61" i="27" s="1"/>
  <c r="CW63" i="27" a="1"/>
  <c r="CW63" i="27" s="1"/>
  <c r="CW65" i="27" a="1"/>
  <c r="CW65" i="27" s="1"/>
  <c r="CW67" i="27" a="1"/>
  <c r="CW67" i="27" s="1"/>
  <c r="CW70" i="27" a="1"/>
  <c r="CW70" i="27" s="1"/>
  <c r="CW60" i="27" a="1"/>
  <c r="CW60" i="27" s="1"/>
  <c r="CW66" i="27" a="1"/>
  <c r="CW66" i="27" s="1"/>
  <c r="CW71" i="27" a="1"/>
  <c r="CW71" i="27" s="1"/>
  <c r="CW73" i="27" a="1"/>
  <c r="CW73" i="27" s="1"/>
  <c r="CW75" i="27" a="1"/>
  <c r="CW75" i="27" s="1"/>
  <c r="CW77" i="27" a="1"/>
  <c r="CW77" i="27" s="1"/>
  <c r="CW79" i="27" a="1"/>
  <c r="CW79" i="27" s="1"/>
  <c r="CW81" i="27" a="1"/>
  <c r="CW81" i="27" s="1"/>
  <c r="CW83" i="27" a="1"/>
  <c r="CW83" i="27" s="1"/>
  <c r="CW85" i="27" a="1"/>
  <c r="CW85" i="27" s="1"/>
  <c r="CW87" i="27" a="1"/>
  <c r="CW87" i="27" s="1"/>
  <c r="CW89" i="27" a="1"/>
  <c r="CW89" i="27" s="1"/>
  <c r="CW91" i="27" a="1"/>
  <c r="CW91" i="27" s="1"/>
  <c r="CW93" i="27" a="1"/>
  <c r="CW93" i="27" s="1"/>
  <c r="CW95" i="27" a="1"/>
  <c r="CW95" i="27" s="1"/>
  <c r="CW97" i="27" a="1"/>
  <c r="CW97" i="27" s="1"/>
  <c r="CW99" i="27" a="1"/>
  <c r="CW99" i="27" s="1"/>
  <c r="CW64" i="27" a="1"/>
  <c r="CW64" i="27" s="1"/>
  <c r="CW69" i="27" a="1"/>
  <c r="CW69" i="27" s="1"/>
  <c r="CW68" i="27" a="1"/>
  <c r="CW68" i="27" s="1"/>
  <c r="CW72" i="27" a="1"/>
  <c r="CW72" i="27" s="1"/>
  <c r="CW74" i="27" a="1"/>
  <c r="CW74" i="27" s="1"/>
  <c r="CW76" i="27" a="1"/>
  <c r="CW76" i="27" s="1"/>
  <c r="CW78" i="27" a="1"/>
  <c r="CW78" i="27" s="1"/>
  <c r="CW80" i="27" a="1"/>
  <c r="CW80" i="27" s="1"/>
  <c r="CW82" i="27" a="1"/>
  <c r="CW82" i="27" s="1"/>
  <c r="CW84" i="27" a="1"/>
  <c r="CW84" i="27" s="1"/>
  <c r="CW86" i="27" a="1"/>
  <c r="CW86" i="27" s="1"/>
  <c r="CW88" i="27" a="1"/>
  <c r="CW88" i="27" s="1"/>
  <c r="CW90" i="27" a="1"/>
  <c r="CW90" i="27" s="1"/>
  <c r="CW62" i="27" a="1"/>
  <c r="CW62" i="27" s="1"/>
  <c r="CW94" i="27" a="1"/>
  <c r="CW94" i="27" s="1"/>
  <c r="CW98" i="27" a="1"/>
  <c r="CW98" i="27" s="1"/>
  <c r="CW102" i="27" a="1"/>
  <c r="CW102" i="27" s="1"/>
  <c r="CW104" i="27" a="1"/>
  <c r="CW104" i="27" s="1"/>
  <c r="CW106" i="27" a="1"/>
  <c r="CW106" i="27" s="1"/>
  <c r="CW108" i="27" a="1"/>
  <c r="CW108" i="27" s="1"/>
  <c r="CW118" i="27" a="1"/>
  <c r="CW118" i="27" s="1"/>
  <c r="CW122" i="27" a="1"/>
  <c r="CW122" i="27" s="1"/>
  <c r="CW124" i="27" a="1"/>
  <c r="CW124" i="27" s="1"/>
  <c r="CW110" i="27" a="1"/>
  <c r="CW110" i="27" s="1"/>
  <c r="CW111" i="27" a="1"/>
  <c r="CW111" i="27" s="1"/>
  <c r="CW112" i="27" a="1"/>
  <c r="CW112" i="27" s="1"/>
  <c r="CW113" i="27" a="1"/>
  <c r="CW113" i="27" s="1"/>
  <c r="CW114" i="27" a="1"/>
  <c r="CW114" i="27" s="1"/>
  <c r="CW92" i="27" a="1"/>
  <c r="CW92" i="27" s="1"/>
  <c r="CW96" i="27" a="1"/>
  <c r="CW96" i="27" s="1"/>
  <c r="CW100" i="27" a="1"/>
  <c r="CW100" i="27" s="1"/>
  <c r="CW101" i="27" a="1"/>
  <c r="CW101" i="27" s="1"/>
  <c r="CW103" i="27" a="1"/>
  <c r="CW103" i="27" s="1"/>
  <c r="CW105" i="27" a="1"/>
  <c r="CW105" i="27" s="1"/>
  <c r="CW107" i="27" a="1"/>
  <c r="CW107" i="27" s="1"/>
  <c r="CW109" i="27" a="1"/>
  <c r="CW109" i="27" s="1"/>
  <c r="CW120" i="27" a="1"/>
  <c r="CW120" i="27" s="1"/>
  <c r="CW126" i="27" a="1"/>
  <c r="CW126" i="27" s="1"/>
  <c r="CW127" i="27" a="1"/>
  <c r="CW127" i="27" s="1"/>
  <c r="CW128" i="27" a="1"/>
  <c r="CW128" i="27" s="1"/>
  <c r="CW117" i="27" a="1"/>
  <c r="CW117" i="27" s="1"/>
  <c r="CW121" i="27" a="1"/>
  <c r="CW121" i="27" s="1"/>
  <c r="CW123" i="27" a="1"/>
  <c r="CW123" i="27" s="1"/>
  <c r="CW132" i="27" a="1"/>
  <c r="CW132" i="27" s="1"/>
  <c r="CW129" i="27" a="1"/>
  <c r="CW129" i="27" s="1"/>
  <c r="CW131" i="27" a="1"/>
  <c r="CW131" i="27" s="1"/>
  <c r="CW139" i="27" a="1"/>
  <c r="CW139" i="27" s="1"/>
  <c r="CW115" i="27" a="1"/>
  <c r="CW115" i="27" s="1"/>
  <c r="CW116" i="27" a="1"/>
  <c r="CW116" i="27" s="1"/>
  <c r="CW125" i="27" a="1"/>
  <c r="CW125" i="27" s="1"/>
  <c r="CW130" i="27" a="1"/>
  <c r="CW130" i="27" s="1"/>
  <c r="CW133" i="27" a="1"/>
  <c r="CW133" i="27" s="1"/>
  <c r="CW134" i="27" a="1"/>
  <c r="CW134" i="27" s="1"/>
  <c r="CW135" i="27" a="1"/>
  <c r="CW135" i="27" s="1"/>
  <c r="CW136" i="27" a="1"/>
  <c r="CW136" i="27" s="1"/>
  <c r="CW137" i="27" a="1"/>
  <c r="CW137" i="27" s="1"/>
  <c r="CW6" i="27" a="1"/>
  <c r="CW6" i="27" s="1"/>
  <c r="CW119" i="27" a="1"/>
  <c r="CW119" i="27" s="1"/>
  <c r="CW138" i="27" a="1"/>
  <c r="CW138" i="27" s="1"/>
  <c r="CW140" i="27" a="1"/>
  <c r="CW140" i="27" s="1"/>
  <c r="BQ50" i="27" a="1"/>
  <c r="BQ50" i="27" s="1"/>
  <c r="CC56" i="27" a="1"/>
  <c r="CC56" i="27" s="1"/>
  <c r="CA116" i="27" a="1"/>
  <c r="CA116" i="27" s="1"/>
  <c r="BO122" i="27" a="1"/>
  <c r="BO122" i="27" s="1"/>
  <c r="BQ122" i="27" a="1"/>
  <c r="BQ122" i="27" s="1"/>
  <c r="CC120" i="27" a="1"/>
  <c r="CC120" i="27" s="1"/>
  <c r="BO37" i="27" a="1"/>
  <c r="BO37" i="27" s="1"/>
  <c r="CG9" i="27" a="1"/>
  <c r="CG9" i="27" s="1"/>
  <c r="BQ9" i="27" a="1"/>
  <c r="BQ9" i="27" s="1"/>
  <c r="CG15" i="27" a="1"/>
  <c r="CG15" i="27" s="1"/>
  <c r="CB63" i="27" a="1"/>
  <c r="CB63" i="27" s="1"/>
  <c r="CF63" i="27" a="1"/>
  <c r="CF63" i="27" s="1"/>
  <c r="BU63" i="27" a="1"/>
  <c r="BU63" i="27" s="1"/>
  <c r="BZ63" i="27" a="1"/>
  <c r="BZ63" i="27" s="1"/>
  <c r="BY63" i="27" a="1"/>
  <c r="BY63" i="27" s="1"/>
  <c r="CG63" i="27" a="1"/>
  <c r="CG63" i="27" s="1"/>
  <c r="CH63" i="27" a="1"/>
  <c r="CH63" i="27" s="1"/>
  <c r="BN63" i="27" a="1"/>
  <c r="BN63" i="27" s="1"/>
  <c r="CC63" i="27" a="1"/>
  <c r="CC63" i="27" s="1"/>
  <c r="BO63" i="27" a="1"/>
  <c r="BO63" i="27" s="1"/>
  <c r="BX63" i="27" a="1"/>
  <c r="BX63" i="27" s="1"/>
  <c r="CE63" i="27" a="1"/>
  <c r="CE63" i="27" s="1"/>
  <c r="BT99" i="27" a="1"/>
  <c r="BT99" i="27" s="1"/>
  <c r="CD99" i="27" a="1"/>
  <c r="CD99" i="27" s="1"/>
  <c r="BU99" i="27" a="1"/>
  <c r="BU99" i="27" s="1"/>
  <c r="BZ99" i="27" a="1"/>
  <c r="BZ99" i="27" s="1"/>
  <c r="CA99" i="27" a="1"/>
  <c r="CA99" i="27" s="1"/>
  <c r="CF99" i="27" a="1"/>
  <c r="CF99" i="27" s="1"/>
  <c r="BW99" i="27" a="1"/>
  <c r="BW99" i="27" s="1"/>
  <c r="CG99" i="27" a="1"/>
  <c r="CG99" i="27" s="1"/>
  <c r="BS99" i="27" a="1"/>
  <c r="BS99" i="27" s="1"/>
  <c r="BX99" i="27" a="1"/>
  <c r="BX99" i="27" s="1"/>
  <c r="BY99" i="27" a="1"/>
  <c r="BY99" i="27" s="1"/>
  <c r="CC99" i="27" a="1"/>
  <c r="CC99" i="27" s="1"/>
  <c r="CJ136" i="27" a="1"/>
  <c r="CJ136" i="27" s="1"/>
  <c r="CK136" i="27" a="1"/>
  <c r="CK136" i="27" s="1"/>
  <c r="CG136" i="27" a="1"/>
  <c r="CG136" i="27" s="1"/>
  <c r="CH136" i="27" a="1"/>
  <c r="CH136" i="27" s="1"/>
  <c r="CI136" i="27" a="1"/>
  <c r="CI136" i="27" s="1"/>
  <c r="CE136" i="27" a="1"/>
  <c r="CE136" i="27" s="1"/>
  <c r="BO60" i="27" a="1"/>
  <c r="BO60" i="27" s="1"/>
  <c r="CA60" i="27" a="1"/>
  <c r="CA60" i="27" s="1"/>
  <c r="G66" i="27"/>
  <c r="G102" i="27"/>
  <c r="G134" i="27"/>
  <c r="G85" i="27"/>
  <c r="G137" i="27"/>
  <c r="G22" i="27"/>
  <c r="G86" i="27"/>
  <c r="G70" i="27"/>
  <c r="G114" i="27"/>
  <c r="G138" i="27"/>
  <c r="G18" i="27"/>
  <c r="G130" i="27"/>
  <c r="G29" i="27"/>
  <c r="G36" i="27"/>
  <c r="G68" i="27"/>
  <c r="G84" i="27"/>
  <c r="G116" i="27"/>
  <c r="G31" i="27"/>
  <c r="G63" i="27"/>
  <c r="G95" i="27"/>
  <c r="G127" i="27"/>
  <c r="G65" i="27"/>
  <c r="G129" i="27"/>
  <c r="G40" i="27"/>
  <c r="G56" i="27"/>
  <c r="G88" i="27"/>
  <c r="G135" i="27"/>
  <c r="G35" i="27"/>
  <c r="G67" i="27"/>
  <c r="G99" i="27"/>
  <c r="G131" i="27"/>
  <c r="G41" i="27"/>
  <c r="G105" i="27"/>
  <c r="G21" i="27"/>
  <c r="G62" i="27"/>
  <c r="G126" i="27"/>
  <c r="G58" i="27"/>
  <c r="G61" i="27"/>
  <c r="G45" i="27"/>
  <c r="G109" i="27"/>
  <c r="G46" i="27"/>
  <c r="G90" i="27"/>
  <c r="G16" i="27"/>
  <c r="G32" i="27"/>
  <c r="G48" i="27"/>
  <c r="G64" i="27"/>
  <c r="G80" i="27"/>
  <c r="G96" i="27"/>
  <c r="G112" i="27"/>
  <c r="G132" i="27"/>
  <c r="G11" i="27"/>
  <c r="G27" i="27"/>
  <c r="G43" i="27"/>
  <c r="G59" i="27"/>
  <c r="G75" i="27"/>
  <c r="G91" i="27"/>
  <c r="G107" i="27"/>
  <c r="G123" i="27"/>
  <c r="G140" i="27"/>
  <c r="G25" i="27"/>
  <c r="G57" i="27"/>
  <c r="G89" i="27"/>
  <c r="G121" i="27"/>
  <c r="G10" i="27"/>
  <c r="G30" i="27"/>
  <c r="G53" i="27"/>
  <c r="G74" i="27"/>
  <c r="G94" i="27"/>
  <c r="G117" i="27"/>
  <c r="G139" i="27"/>
  <c r="G78" i="27"/>
  <c r="G122" i="27"/>
  <c r="G38" i="27"/>
  <c r="G82" i="27"/>
  <c r="G125" i="27"/>
  <c r="G13" i="27"/>
  <c r="G34" i="27"/>
  <c r="G54" i="27"/>
  <c r="G77" i="27"/>
  <c r="G98" i="27"/>
  <c r="G118" i="27"/>
  <c r="G26" i="27"/>
  <c r="G110" i="27"/>
  <c r="G50" i="27"/>
  <c r="G93" i="27"/>
  <c r="G20" i="27"/>
  <c r="G52" i="27"/>
  <c r="G100" i="27"/>
  <c r="G15" i="27"/>
  <c r="G47" i="27"/>
  <c r="G79" i="27"/>
  <c r="G111" i="27"/>
  <c r="G124" i="27"/>
  <c r="G33" i="27"/>
  <c r="G97" i="27"/>
  <c r="G8" i="27"/>
  <c r="G24" i="27"/>
  <c r="G72" i="27"/>
  <c r="G104" i="27"/>
  <c r="G120" i="27"/>
  <c r="G19" i="27"/>
  <c r="G51" i="27"/>
  <c r="G83" i="27"/>
  <c r="G115" i="27"/>
  <c r="G9" i="27"/>
  <c r="G73" i="27"/>
  <c r="G42" i="27"/>
  <c r="G106" i="27"/>
  <c r="G14" i="27"/>
  <c r="G12" i="27"/>
  <c r="G28" i="27"/>
  <c r="G44" i="27"/>
  <c r="G60" i="27"/>
  <c r="G76" i="27"/>
  <c r="G92" i="27"/>
  <c r="G108" i="27"/>
  <c r="G128" i="27"/>
  <c r="G7" i="27"/>
  <c r="G23" i="27"/>
  <c r="G39" i="27"/>
  <c r="G55" i="27"/>
  <c r="G71" i="27"/>
  <c r="G87" i="27"/>
  <c r="G103" i="27"/>
  <c r="G119" i="27"/>
  <c r="G136" i="27"/>
  <c r="G17" i="27"/>
  <c r="G49" i="27"/>
  <c r="G81" i="27"/>
  <c r="G113" i="27"/>
  <c r="I126" i="19" l="1"/>
  <c r="I120" i="19"/>
  <c r="L120" i="19" s="1"/>
  <c r="N120" i="19" s="1"/>
  <c r="I64" i="19"/>
  <c r="I38" i="19"/>
  <c r="L38" i="19" s="1"/>
  <c r="N38" i="19" s="1"/>
  <c r="I8" i="19"/>
  <c r="I23" i="19"/>
  <c r="I135" i="19"/>
  <c r="G99" i="12"/>
  <c r="I132" i="19"/>
  <c r="I82" i="19"/>
  <c r="L82" i="19" s="1"/>
  <c r="N82" i="19" s="1"/>
  <c r="I50" i="19"/>
  <c r="I39" i="19"/>
  <c r="L39" i="19" s="1"/>
  <c r="N39" i="19" s="1"/>
  <c r="I81" i="19"/>
  <c r="I125" i="19"/>
  <c r="L125" i="19" s="1"/>
  <c r="N125" i="19" s="1"/>
  <c r="G74" i="19"/>
  <c r="I58" i="19"/>
  <c r="L58" i="19" s="1"/>
  <c r="N58" i="19" s="1"/>
  <c r="T138" i="19"/>
  <c r="T117" i="19"/>
  <c r="T21" i="19"/>
  <c r="T103" i="19"/>
  <c r="W103" i="19" s="1"/>
  <c r="Y103" i="19" s="1"/>
  <c r="T7" i="19"/>
  <c r="T24" i="19"/>
  <c r="W24" i="19" s="1"/>
  <c r="Y24" i="19" s="1"/>
  <c r="T5" i="19"/>
  <c r="T121" i="19"/>
  <c r="T114" i="19"/>
  <c r="T18" i="19"/>
  <c r="T124" i="19"/>
  <c r="T100" i="19"/>
  <c r="T74" i="19"/>
  <c r="T62" i="19"/>
  <c r="T86" i="19"/>
  <c r="T60" i="19"/>
  <c r="T119" i="19"/>
  <c r="T41" i="19"/>
  <c r="W41" i="19" s="1"/>
  <c r="Y41" i="19" s="1"/>
  <c r="T17" i="19"/>
  <c r="T22" i="19"/>
  <c r="T8" i="19"/>
  <c r="T50" i="19"/>
  <c r="T123" i="19"/>
  <c r="T37" i="19"/>
  <c r="T102" i="19"/>
  <c r="T78" i="19"/>
  <c r="T54" i="19"/>
  <c r="T40" i="19"/>
  <c r="T20" i="19"/>
  <c r="T69" i="19"/>
  <c r="T48" i="19"/>
  <c r="T29" i="19"/>
  <c r="W29" i="19" s="1"/>
  <c r="Y29" i="19" s="1"/>
  <c r="T130" i="19"/>
  <c r="T106" i="19"/>
  <c r="T10" i="19"/>
  <c r="T104" i="19"/>
  <c r="W104" i="19" s="1"/>
  <c r="Y104" i="19" s="1"/>
  <c r="T128" i="19"/>
  <c r="T39" i="19"/>
  <c r="T15" i="19"/>
  <c r="T73" i="19"/>
  <c r="W73" i="19" s="1"/>
  <c r="Y73" i="19" s="1"/>
  <c r="T25" i="19"/>
  <c r="T90" i="19"/>
  <c r="T131" i="19"/>
  <c r="T47" i="19"/>
  <c r="T23" i="19"/>
  <c r="T38" i="19"/>
  <c r="T92" i="19"/>
  <c r="T129" i="19"/>
  <c r="T33" i="19"/>
  <c r="T9" i="19"/>
  <c r="T67" i="19"/>
  <c r="T108" i="19"/>
  <c r="T12" i="19"/>
  <c r="T46" i="19"/>
  <c r="T134" i="19"/>
  <c r="T126" i="19"/>
  <c r="T30" i="19"/>
  <c r="T35" i="19"/>
  <c r="T11" i="19"/>
  <c r="T137" i="19"/>
  <c r="W137" i="19" s="1"/>
  <c r="Y137" i="19" s="1"/>
  <c r="G52" i="12"/>
  <c r="G12" i="12"/>
  <c r="I5" i="19"/>
  <c r="I114" i="19"/>
  <c r="L114" i="19" s="1"/>
  <c r="N114" i="19" s="1"/>
  <c r="I92" i="19"/>
  <c r="G12" i="19"/>
  <c r="G5" i="12"/>
  <c r="I4" i="19"/>
  <c r="I136" i="19"/>
  <c r="I19" i="19"/>
  <c r="I15" i="19"/>
  <c r="L15" i="19" s="1"/>
  <c r="N15" i="19" s="1"/>
  <c r="I124" i="19"/>
  <c r="I46" i="19"/>
  <c r="L46" i="19" s="1"/>
  <c r="N46" i="19" s="1"/>
  <c r="I112" i="19"/>
  <c r="L112" i="19" s="1"/>
  <c r="N112" i="19" s="1"/>
  <c r="G119" i="19"/>
  <c r="I119" i="19" s="1"/>
  <c r="G28" i="18"/>
  <c r="I27" i="19"/>
  <c r="L27" i="19" s="1"/>
  <c r="N27" i="19" s="1"/>
  <c r="I74" i="19"/>
  <c r="I12" i="19"/>
  <c r="L12" i="19" s="1"/>
  <c r="N12" i="19" s="1"/>
  <c r="I34" i="19"/>
  <c r="I40" i="19"/>
  <c r="L40" i="19" s="1"/>
  <c r="N40" i="19" s="1"/>
  <c r="I75" i="19"/>
  <c r="L75" i="19" s="1"/>
  <c r="N75" i="19" s="1"/>
  <c r="I86" i="19"/>
  <c r="L86" i="19" s="1"/>
  <c r="N86" i="19" s="1"/>
  <c r="I93" i="19"/>
  <c r="I63" i="19"/>
  <c r="G64" i="12"/>
  <c r="G28" i="19"/>
  <c r="G51" i="18"/>
  <c r="G105" i="12"/>
  <c r="L4" i="19"/>
  <c r="N4" i="19" s="1"/>
  <c r="G75" i="18"/>
  <c r="G33" i="18"/>
  <c r="G131" i="19"/>
  <c r="I131" i="19" s="1"/>
  <c r="G69" i="18"/>
  <c r="G75" i="12"/>
  <c r="G85" i="18"/>
  <c r="G114" i="12"/>
  <c r="G131" i="12"/>
  <c r="G58" i="12"/>
  <c r="G124" i="12"/>
  <c r="G87" i="19"/>
  <c r="G33" i="19"/>
  <c r="I33" i="19" s="1"/>
  <c r="G69" i="19"/>
  <c r="I69" i="19" s="1"/>
  <c r="G27" i="18"/>
  <c r="G19" i="12"/>
  <c r="G51" i="19"/>
  <c r="I51" i="19" s="1"/>
  <c r="G104" i="19"/>
  <c r="I104" i="19" s="1"/>
  <c r="G119" i="18"/>
  <c r="BP75" i="27" a="1"/>
  <c r="BP75" i="27" s="1"/>
  <c r="CD75" i="27" a="1"/>
  <c r="CD75" i="27" s="1"/>
  <c r="CE75" i="27" a="1"/>
  <c r="CE75" i="27" s="1"/>
  <c r="CK131" i="27" a="1"/>
  <c r="CK131" i="27" s="1"/>
  <c r="CE131" i="27" a="1"/>
  <c r="CE131" i="27" s="1"/>
  <c r="BS131" i="27" a="1"/>
  <c r="BS131" i="27" s="1"/>
  <c r="BO83" i="27" a="1"/>
  <c r="BO83" i="27" s="1"/>
  <c r="BN83" i="27" a="1"/>
  <c r="BN83" i="27" s="1"/>
  <c r="CC83" i="27" a="1"/>
  <c r="CC83" i="27" s="1"/>
  <c r="BY83" i="27" a="1"/>
  <c r="BY83" i="27" s="1"/>
  <c r="BS93" i="27" a="1"/>
  <c r="BS93" i="27" s="1"/>
  <c r="BR93" i="27" a="1"/>
  <c r="BR93" i="27" s="1"/>
  <c r="BX93" i="27" a="1"/>
  <c r="BX93" i="27" s="1"/>
  <c r="BT93" i="27" a="1"/>
  <c r="BT93" i="27" s="1"/>
  <c r="BN93" i="27" a="1"/>
  <c r="BN93" i="27" s="1"/>
  <c r="DA93" i="27" s="1"/>
  <c r="CX93" i="27" s="1"/>
  <c r="CB93" i="27" a="1"/>
  <c r="CB93" i="27" s="1"/>
  <c r="BZ93" i="27" a="1"/>
  <c r="BZ93" i="27" s="1"/>
  <c r="BV45" i="27" a="1"/>
  <c r="BV45" i="27" s="1"/>
  <c r="CJ45" i="27" a="1"/>
  <c r="CJ45" i="27" s="1"/>
  <c r="BY45" i="27" a="1"/>
  <c r="BY45" i="27" s="1"/>
  <c r="BY110" i="27" a="1"/>
  <c r="BY110" i="27" s="1"/>
  <c r="CA110" i="27" a="1"/>
  <c r="CA110" i="27" s="1"/>
  <c r="BQ110" i="27" a="1"/>
  <c r="BQ110" i="27" s="1"/>
  <c r="BO110" i="27" a="1"/>
  <c r="BO110" i="27" s="1"/>
  <c r="BO62" i="27" a="1"/>
  <c r="BO62" i="27" s="1"/>
  <c r="BW62" i="27" a="1"/>
  <c r="BW62" i="27" s="1"/>
  <c r="CE121" i="27" a="1"/>
  <c r="CE121" i="27" s="1"/>
  <c r="BW121" i="27" a="1"/>
  <c r="BW121" i="27" s="1"/>
  <c r="CB67" i="27" a="1"/>
  <c r="CB67" i="27" s="1"/>
  <c r="BZ67" i="27" a="1"/>
  <c r="BZ67" i="27" s="1"/>
  <c r="BX19" i="27" a="1"/>
  <c r="BX19" i="27" s="1"/>
  <c r="CJ19" i="27" a="1"/>
  <c r="CJ19" i="27" s="1"/>
  <c r="CI19" i="27" a="1"/>
  <c r="CI19" i="27" s="1"/>
  <c r="CE48" i="27" a="1"/>
  <c r="CE48" i="27" s="1"/>
  <c r="BW48" i="27" a="1"/>
  <c r="BW48" i="27" s="1"/>
  <c r="BQ48" i="27" a="1"/>
  <c r="BQ48" i="27" s="1"/>
  <c r="BP48" i="27" a="1"/>
  <c r="BP48" i="27" s="1"/>
  <c r="CH93" i="27" a="1"/>
  <c r="CH93" i="27" s="1"/>
  <c r="BW110" i="27" a="1"/>
  <c r="BW110" i="27" s="1"/>
  <c r="CC45" i="27" a="1"/>
  <c r="CC45" i="27" s="1"/>
  <c r="BR75" i="27" a="1"/>
  <c r="BR75" i="27" s="1"/>
  <c r="CK35" i="27" a="1"/>
  <c r="CK35" i="27" s="1"/>
  <c r="CA124" i="27" a="1"/>
  <c r="CA124" i="27" s="1"/>
  <c r="CH124" i="27" a="1"/>
  <c r="CH124" i="27" s="1"/>
  <c r="CI124" i="27" a="1"/>
  <c r="CI124" i="27" s="1"/>
  <c r="BN124" i="27" a="1"/>
  <c r="BN124" i="27" s="1"/>
  <c r="CG131" i="27" a="1"/>
  <c r="CG131" i="27" s="1"/>
  <c r="CJ35" i="27" a="1"/>
  <c r="CJ35" i="27" s="1"/>
  <c r="BO53" i="27" a="1"/>
  <c r="BO53" i="27" s="1"/>
  <c r="CG53" i="27" a="1"/>
  <c r="CG53" i="27" s="1"/>
  <c r="BW53" i="27" a="1"/>
  <c r="BW53" i="27" s="1"/>
  <c r="BU53" i="27" a="1"/>
  <c r="BU53" i="27" s="1"/>
  <c r="BS53" i="27" a="1"/>
  <c r="BS53" i="27" s="1"/>
  <c r="CF93" i="27" a="1"/>
  <c r="CF93" i="27" s="1"/>
  <c r="CG93" i="27" a="1"/>
  <c r="CG93" i="27" s="1"/>
  <c r="CE45" i="27" a="1"/>
  <c r="CE45" i="27" s="1"/>
  <c r="CI53" i="27" a="1"/>
  <c r="CI53" i="27" s="1"/>
  <c r="BS110" i="27" a="1"/>
  <c r="BS110" i="27" s="1"/>
  <c r="CI101" i="27" a="1"/>
  <c r="CI101" i="27" s="1"/>
  <c r="BQ101" i="27" a="1"/>
  <c r="BQ101" i="27" s="1"/>
  <c r="BW29" i="27" a="1"/>
  <c r="BW29" i="27" s="1"/>
  <c r="CI29" i="27" a="1"/>
  <c r="CI29" i="27" s="1"/>
  <c r="CK63" i="27" a="1"/>
  <c r="CK63" i="27" s="1"/>
  <c r="CJ63" i="27" a="1"/>
  <c r="CJ63" i="27" s="1"/>
  <c r="BT63" i="27" a="1"/>
  <c r="BT63" i="27" s="1"/>
  <c r="CI63" i="27" a="1"/>
  <c r="CI63" i="27" s="1"/>
  <c r="BW63" i="27" a="1"/>
  <c r="BW63" i="27" s="1"/>
  <c r="BQ63" i="27" a="1"/>
  <c r="BQ63" i="27" s="1"/>
  <c r="Q61" i="18" s="1"/>
  <c r="T61" i="18" s="1"/>
  <c r="BR63" i="27" a="1"/>
  <c r="BR63" i="27" s="1"/>
  <c r="BP63" i="27" a="1"/>
  <c r="BP63" i="27" s="1"/>
  <c r="BS63" i="27" a="1"/>
  <c r="BS63" i="27" s="1"/>
  <c r="CA63" i="27" a="1"/>
  <c r="CA63" i="27" s="1"/>
  <c r="BV63" i="27" a="1"/>
  <c r="BV63" i="27" s="1"/>
  <c r="CD63" i="27" a="1"/>
  <c r="CD63" i="27" s="1"/>
  <c r="CG104" i="27" a="1"/>
  <c r="CG104" i="27" s="1"/>
  <c r="BW104" i="27" a="1"/>
  <c r="BW104" i="27" s="1"/>
  <c r="BU104" i="27" a="1"/>
  <c r="BU104" i="27" s="1"/>
  <c r="CE104" i="27" a="1"/>
  <c r="CE104" i="27" s="1"/>
  <c r="BS32" i="27" a="1"/>
  <c r="BS32" i="27" s="1"/>
  <c r="BO32" i="27" a="1"/>
  <c r="BO32" i="27" s="1"/>
  <c r="CG32" i="27" a="1"/>
  <c r="CG32" i="27" s="1"/>
  <c r="CC13" i="27" a="1"/>
  <c r="CC13" i="27" s="1"/>
  <c r="CI13" i="27" a="1"/>
  <c r="CI13" i="27" s="1"/>
  <c r="CE13" i="27" a="1"/>
  <c r="CE13" i="27" s="1"/>
  <c r="CI138" i="27" a="1"/>
  <c r="CI138" i="27" s="1"/>
  <c r="BW138" i="27" a="1"/>
  <c r="BW138" i="27" s="1"/>
  <c r="CK138" i="27" a="1"/>
  <c r="CK138" i="27" s="1"/>
  <c r="BQ138" i="27" a="1"/>
  <c r="BQ138" i="27" s="1"/>
  <c r="CI99" i="27" a="1"/>
  <c r="CI99" i="27" s="1"/>
  <c r="CE99" i="27" a="1"/>
  <c r="CE99" i="27" s="1"/>
  <c r="CJ99" i="27" a="1"/>
  <c r="CJ99" i="27" s="1"/>
  <c r="CK99" i="27" a="1"/>
  <c r="CK99" i="27" s="1"/>
  <c r="CB99" i="27" a="1"/>
  <c r="CB99" i="27" s="1"/>
  <c r="CH99" i="27" a="1"/>
  <c r="CH99" i="27" s="1"/>
  <c r="BP99" i="27" a="1"/>
  <c r="BP99" i="27" s="1"/>
  <c r="BQ99" i="27" a="1"/>
  <c r="BQ99" i="27" s="1"/>
  <c r="BV99" i="27" a="1"/>
  <c r="BV99" i="27" s="1"/>
  <c r="BR99" i="27" a="1"/>
  <c r="BR99" i="27" s="1"/>
  <c r="BN99" i="27" a="1"/>
  <c r="BN99" i="27" s="1"/>
  <c r="Q97" i="18" s="1"/>
  <c r="W97" i="18" s="1"/>
  <c r="BO99" i="27" a="1"/>
  <c r="BO99" i="27" s="1"/>
  <c r="X97" i="18" s="1"/>
  <c r="BS97" i="27" a="1"/>
  <c r="BS97" i="27" s="1"/>
  <c r="CJ97" i="27" a="1"/>
  <c r="CJ97" i="27" s="1"/>
  <c r="BN97" i="27" a="1"/>
  <c r="BN97" i="27" s="1"/>
  <c r="CC25" i="27" a="1"/>
  <c r="CC25" i="27" s="1"/>
  <c r="BS25" i="27" a="1"/>
  <c r="BS25" i="27" s="1"/>
  <c r="BO25" i="27" a="1"/>
  <c r="BO25" i="27" s="1"/>
  <c r="CE25" i="27" a="1"/>
  <c r="CE25" i="27" s="1"/>
  <c r="BN127" i="27" a="1"/>
  <c r="BN127" i="27" s="1"/>
  <c r="BQ127" i="27" a="1"/>
  <c r="BQ127" i="27" s="1"/>
  <c r="BW127" i="27" a="1"/>
  <c r="BW127" i="27" s="1"/>
  <c r="CG90" i="27" a="1"/>
  <c r="CG90" i="27" s="1"/>
  <c r="BW132" i="27" a="1"/>
  <c r="BW132" i="27" s="1"/>
  <c r="CI88" i="27" a="1"/>
  <c r="CI88" i="27" s="1"/>
  <c r="CI73" i="27" a="1"/>
  <c r="CI73" i="27" s="1"/>
  <c r="BO36" i="27" a="1"/>
  <c r="BO36" i="27" s="1"/>
  <c r="BO94" i="27" a="1"/>
  <c r="BO94" i="27" s="1"/>
  <c r="CD87" i="27" a="1"/>
  <c r="CD87" i="27" s="1"/>
  <c r="CH51" i="27" a="1"/>
  <c r="CH51" i="27" s="1"/>
  <c r="BW27" i="27" a="1"/>
  <c r="BW27" i="27" s="1"/>
  <c r="CG27" i="27" a="1"/>
  <c r="CG27" i="27" s="1"/>
  <c r="BW15" i="27" a="1"/>
  <c r="BW15" i="27" s="1"/>
  <c r="CK120" i="27" a="1"/>
  <c r="CK120" i="27" s="1"/>
  <c r="CA98" i="27" a="1"/>
  <c r="CA98" i="27" s="1"/>
  <c r="BS27" i="27" a="1"/>
  <c r="BS27" i="27" s="1"/>
  <c r="CI119" i="27" a="1"/>
  <c r="CI119" i="27" s="1"/>
  <c r="BW73" i="27" a="1"/>
  <c r="BW73" i="27" s="1"/>
  <c r="CA27" i="27" a="1"/>
  <c r="CA27" i="27" s="1"/>
  <c r="BY120" i="27" a="1"/>
  <c r="BY120" i="27" s="1"/>
  <c r="CC34" i="27" a="1"/>
  <c r="CC34" i="27" s="1"/>
  <c r="CJ88" i="27" a="1"/>
  <c r="CJ88" i="27" s="1"/>
  <c r="BZ88" i="27" a="1"/>
  <c r="BZ88" i="27" s="1"/>
  <c r="BN120" i="27" a="1"/>
  <c r="BN120" i="27" s="1"/>
  <c r="BX84" i="27" a="1"/>
  <c r="BX84" i="27" s="1"/>
  <c r="BZ120" i="27" a="1"/>
  <c r="BZ120" i="27" s="1"/>
  <c r="BZ73" i="27" a="1"/>
  <c r="BZ73" i="27" s="1"/>
  <c r="BV73" i="27" a="1"/>
  <c r="BV73" i="27" s="1"/>
  <c r="CH27" i="27" a="1"/>
  <c r="CH27" i="27" s="1"/>
  <c r="BW94" i="27" a="1"/>
  <c r="BW94" i="27" s="1"/>
  <c r="BP115" i="27" a="1"/>
  <c r="BP115" i="27" s="1"/>
  <c r="CD15" i="27" a="1"/>
  <c r="CD15" i="27" s="1"/>
  <c r="CJ15" i="27" a="1"/>
  <c r="CJ15" i="27" s="1"/>
  <c r="BR15" i="27" a="1"/>
  <c r="BR15" i="27" s="1"/>
  <c r="CF15" i="27" a="1"/>
  <c r="CF15" i="27" s="1"/>
  <c r="CJ27" i="27" a="1"/>
  <c r="CJ27" i="27" s="1"/>
  <c r="CB94" i="27" a="1"/>
  <c r="CB94" i="27" s="1"/>
  <c r="CF94" i="27" a="1"/>
  <c r="CF94" i="27" s="1"/>
  <c r="CD94" i="27" a="1"/>
  <c r="CD94" i="27" s="1"/>
  <c r="BZ94" i="27" a="1"/>
  <c r="BZ94" i="27" s="1"/>
  <c r="BN46" i="27" a="1"/>
  <c r="BN46" i="27" s="1"/>
  <c r="CE27" i="27" a="1"/>
  <c r="CE27" i="27" s="1"/>
  <c r="BO135" i="27" a="1"/>
  <c r="BO135" i="27" s="1"/>
  <c r="BW89" i="27" a="1"/>
  <c r="BW89" i="27" s="1"/>
  <c r="CC46" i="27" a="1"/>
  <c r="CC46" i="27" s="1"/>
  <c r="CG120" i="27" a="1"/>
  <c r="CG120" i="27" s="1"/>
  <c r="BW56" i="27" a="1"/>
  <c r="BW56" i="27" s="1"/>
  <c r="CC88" i="27" a="1"/>
  <c r="CC88" i="27" s="1"/>
  <c r="CK27" i="27" a="1"/>
  <c r="CK27" i="27" s="1"/>
  <c r="BO120" i="27" a="1"/>
  <c r="BO120" i="27" s="1"/>
  <c r="CC81" i="27" a="1"/>
  <c r="CC81" i="27" s="1"/>
  <c r="CC27" i="27" a="1"/>
  <c r="CC27" i="27" s="1"/>
  <c r="CI120" i="27" a="1"/>
  <c r="CI120" i="27" s="1"/>
  <c r="BQ98" i="27" a="1"/>
  <c r="BQ98" i="27" s="1"/>
  <c r="BS89" i="27" a="1"/>
  <c r="BS89" i="27" s="1"/>
  <c r="BN88" i="27" a="1"/>
  <c r="BN88" i="27" s="1"/>
  <c r="BX88" i="27" a="1"/>
  <c r="BX88" i="27" s="1"/>
  <c r="BR120" i="27" a="1"/>
  <c r="BR120" i="27" s="1"/>
  <c r="BU84" i="27" a="1"/>
  <c r="BU84" i="27" s="1"/>
  <c r="BP120" i="27" a="1"/>
  <c r="BP120" i="27" s="1"/>
  <c r="BT120" i="27" a="1"/>
  <c r="BT120" i="27" s="1"/>
  <c r="CH94" i="27" a="1"/>
  <c r="CH94" i="27" s="1"/>
  <c r="BQ52" i="27" a="1"/>
  <c r="BQ52" i="27" s="1"/>
  <c r="BS52" i="27" a="1"/>
  <c r="BS52" i="27" s="1"/>
  <c r="BO52" i="27" a="1"/>
  <c r="BO52" i="27" s="1"/>
  <c r="CH118" i="27" a="1"/>
  <c r="CH118" i="27" s="1"/>
  <c r="BN118" i="27" a="1"/>
  <c r="BN118" i="27" s="1"/>
  <c r="CB118" i="27" a="1"/>
  <c r="CB118" i="27" s="1"/>
  <c r="CI118" i="27" a="1"/>
  <c r="CI118" i="27" s="1"/>
  <c r="BU118" i="27" a="1"/>
  <c r="BU118" i="27" s="1"/>
  <c r="BY118" i="27" a="1"/>
  <c r="BY118" i="27" s="1"/>
  <c r="BS118" i="27" a="1"/>
  <c r="BS118" i="27" s="1"/>
  <c r="BQ118" i="27" a="1"/>
  <c r="BQ118" i="27" s="1"/>
  <c r="CC118" i="27" a="1"/>
  <c r="CC118" i="27" s="1"/>
  <c r="CB47" i="27" a="1"/>
  <c r="CB47" i="27" s="1"/>
  <c r="CK47" i="27" a="1"/>
  <c r="CK47" i="27" s="1"/>
  <c r="CC47" i="27" a="1"/>
  <c r="CC47" i="27" s="1"/>
  <c r="BU106" i="27" a="1"/>
  <c r="BU106" i="27" s="1"/>
  <c r="CC106" i="27" a="1"/>
  <c r="CC106" i="27" s="1"/>
  <c r="CD106" i="27" a="1"/>
  <c r="CD106" i="27" s="1"/>
  <c r="BT106" i="27" a="1"/>
  <c r="BT106" i="27" s="1"/>
  <c r="CG106" i="27" a="1"/>
  <c r="CG106" i="27" s="1"/>
  <c r="BO106" i="27" a="1"/>
  <c r="BO106" i="27" s="1"/>
  <c r="BV87" i="27" a="1"/>
  <c r="BV87" i="27" s="1"/>
  <c r="CJ87" i="27" a="1"/>
  <c r="CJ87" i="27" s="1"/>
  <c r="CB87" i="27" a="1"/>
  <c r="CB87" i="27" s="1"/>
  <c r="CI87" i="27" a="1"/>
  <c r="CI87" i="27" s="1"/>
  <c r="CG87" i="27" a="1"/>
  <c r="CG87" i="27" s="1"/>
  <c r="CC87" i="27" a="1"/>
  <c r="CC87" i="27" s="1"/>
  <c r="BZ87" i="27" a="1"/>
  <c r="BZ87" i="27" s="1"/>
  <c r="CD128" i="27" a="1"/>
  <c r="CD128" i="27" s="1"/>
  <c r="CC128" i="27" a="1"/>
  <c r="CC128" i="27" s="1"/>
  <c r="CB51" i="27" a="1"/>
  <c r="CB51" i="27" s="1"/>
  <c r="CG51" i="27" a="1"/>
  <c r="CG51" i="27" s="1"/>
  <c r="BT51" i="27" a="1"/>
  <c r="BT51" i="27" s="1"/>
  <c r="BU51" i="27" a="1"/>
  <c r="BU51" i="27" s="1"/>
  <c r="BQ51" i="27" a="1"/>
  <c r="BQ51" i="27" s="1"/>
  <c r="CF51" i="27" a="1"/>
  <c r="CF51" i="27" s="1"/>
  <c r="BS51" i="27" a="1"/>
  <c r="BS51" i="27" s="1"/>
  <c r="CD51" i="27" a="1"/>
  <c r="CD51" i="27" s="1"/>
  <c r="CA51" i="27" a="1"/>
  <c r="CA51" i="27" s="1"/>
  <c r="CJ137" i="27" a="1"/>
  <c r="CJ137" i="27" s="1"/>
  <c r="BP137" i="27" a="1"/>
  <c r="BP137" i="27" s="1"/>
  <c r="BN137" i="27" a="1"/>
  <c r="BN137" i="27" s="1"/>
  <c r="BV137" i="27" a="1"/>
  <c r="BV137" i="27" s="1"/>
  <c r="CE137" i="27" a="1"/>
  <c r="CE137" i="27" s="1"/>
  <c r="CF137" i="27" a="1"/>
  <c r="CF137" i="27" s="1"/>
  <c r="CA137" i="27" a="1"/>
  <c r="CA137" i="27" s="1"/>
  <c r="CG137" i="27" a="1"/>
  <c r="CG137" i="27" s="1"/>
  <c r="CK137" i="27" a="1"/>
  <c r="CK137" i="27" s="1"/>
  <c r="BZ124" i="27" a="1"/>
  <c r="BZ124" i="27" s="1"/>
  <c r="BY124" i="27" a="1"/>
  <c r="BY124" i="27" s="1"/>
  <c r="BX124" i="27" a="1"/>
  <c r="BX124" i="27" s="1"/>
  <c r="CE124" i="27" a="1"/>
  <c r="CE124" i="27" s="1"/>
  <c r="BR124" i="27" a="1"/>
  <c r="BR124" i="27" s="1"/>
  <c r="CJ124" i="27" a="1"/>
  <c r="CJ124" i="27" s="1"/>
  <c r="CK124" i="27" a="1"/>
  <c r="CK124" i="27" s="1"/>
  <c r="CG124" i="27" a="1"/>
  <c r="CG124" i="27" s="1"/>
  <c r="BV124" i="27" a="1"/>
  <c r="BV124" i="27" s="1"/>
  <c r="BQ124" i="27" a="1"/>
  <c r="BQ124" i="27" s="1"/>
  <c r="CF124" i="27" a="1"/>
  <c r="CF124" i="27" s="1"/>
  <c r="CC124" i="27" a="1"/>
  <c r="CC124" i="27" s="1"/>
  <c r="CI84" i="27" a="1"/>
  <c r="CI84" i="27" s="1"/>
  <c r="BS124" i="27" a="1"/>
  <c r="BS124" i="27" s="1"/>
  <c r="CE87" i="27" a="1"/>
  <c r="CE87" i="27" s="1"/>
  <c r="CK87" i="27" a="1"/>
  <c r="CK87" i="27" s="1"/>
  <c r="CI51" i="27" a="1"/>
  <c r="CI51" i="27" s="1"/>
  <c r="CK51" i="27" a="1"/>
  <c r="CK51" i="27" s="1"/>
  <c r="CI52" i="27" a="1"/>
  <c r="CI52" i="27" s="1"/>
  <c r="CJ75" i="27" a="1"/>
  <c r="CJ75" i="27" s="1"/>
  <c r="CG79" i="27" a="1"/>
  <c r="CG79" i="27" s="1"/>
  <c r="BO137" i="27" a="1"/>
  <c r="BO137" i="27" s="1"/>
  <c r="BP124" i="27" a="1"/>
  <c r="BP124" i="27" s="1"/>
  <c r="BY137" i="27" a="1"/>
  <c r="BY137" i="27" s="1"/>
  <c r="BU137" i="27" a="1"/>
  <c r="BU137" i="27" s="1"/>
  <c r="CB124" i="27" a="1"/>
  <c r="CB124" i="27" s="1"/>
  <c r="CA65" i="27" a="1"/>
  <c r="CA65" i="27" s="1"/>
  <c r="CI65" i="27" a="1"/>
  <c r="CI65" i="27" s="1"/>
  <c r="BZ116" i="27" a="1"/>
  <c r="BZ116" i="27" s="1"/>
  <c r="CI116" i="27" a="1"/>
  <c r="CI116" i="27" s="1"/>
  <c r="BN116" i="27" a="1"/>
  <c r="BN116" i="27" s="1"/>
  <c r="CC116" i="27" a="1"/>
  <c r="CC116" i="27" s="1"/>
  <c r="CI44" i="27" a="1"/>
  <c r="CI44" i="27" s="1"/>
  <c r="BT44" i="27" a="1"/>
  <c r="BT44" i="27" s="1"/>
  <c r="BV44" i="27" a="1"/>
  <c r="BV44" i="27" s="1"/>
  <c r="BQ97" i="27" a="1"/>
  <c r="BQ97" i="27" s="1"/>
  <c r="BO97" i="27" a="1"/>
  <c r="BO97" i="27" s="1"/>
  <c r="BO127" i="27" a="1"/>
  <c r="BO127" i="27" s="1"/>
  <c r="CI127" i="27" a="1"/>
  <c r="CI127" i="27" s="1"/>
  <c r="CE127" i="27" a="1"/>
  <c r="CE127" i="27" s="1"/>
  <c r="CD137" i="27" a="1"/>
  <c r="CD137" i="27" s="1"/>
  <c r="CD125" i="27" a="1"/>
  <c r="CD125" i="27" s="1"/>
  <c r="BO125" i="27" a="1"/>
  <c r="BO125" i="27" s="1"/>
  <c r="CF125" i="27" a="1"/>
  <c r="CF125" i="27" s="1"/>
  <c r="CK125" i="27" a="1"/>
  <c r="CK125" i="27" s="1"/>
  <c r="BW125" i="27" a="1"/>
  <c r="BW125" i="27" s="1"/>
  <c r="BT123" i="27" a="1"/>
  <c r="BT123" i="27" s="1"/>
  <c r="CH123" i="27" a="1"/>
  <c r="CH123" i="27" s="1"/>
  <c r="BY123" i="27" a="1"/>
  <c r="BY123" i="27" s="1"/>
  <c r="BT9" i="27" a="1"/>
  <c r="BT9" i="27" s="1"/>
  <c r="CC9" i="27" a="1"/>
  <c r="CC9" i="27" s="1"/>
  <c r="BO9" i="27" a="1"/>
  <c r="BO9" i="27" s="1"/>
  <c r="BV115" i="27" a="1"/>
  <c r="BV115" i="27" s="1"/>
  <c r="CC115" i="27" a="1"/>
  <c r="CC115" i="27" s="1"/>
  <c r="BT115" i="27" a="1"/>
  <c r="BT115" i="27" s="1"/>
  <c r="BZ115" i="27" a="1"/>
  <c r="BZ115" i="27" s="1"/>
  <c r="BU115" i="27" a="1"/>
  <c r="BU115" i="27" s="1"/>
  <c r="BX94" i="27" a="1"/>
  <c r="BX94" i="27" s="1"/>
  <c r="BN94" i="27" a="1"/>
  <c r="BN94" i="27" s="1"/>
  <c r="BY94" i="27" a="1"/>
  <c r="BY94" i="27" s="1"/>
  <c r="BS94" i="27" a="1"/>
  <c r="BS94" i="27" s="1"/>
  <c r="CI94" i="27" a="1"/>
  <c r="CI94" i="27" s="1"/>
  <c r="BP94" i="27" a="1"/>
  <c r="BP94" i="27" s="1"/>
  <c r="CJ94" i="27" a="1"/>
  <c r="CJ94" i="27" s="1"/>
  <c r="CE94" i="27" a="1"/>
  <c r="CE94" i="27" s="1"/>
  <c r="CA94" i="27" a="1"/>
  <c r="CA94" i="27" s="1"/>
  <c r="BQ94" i="27" a="1"/>
  <c r="BQ94" i="27" s="1"/>
  <c r="BY75" i="27" a="1"/>
  <c r="BY75" i="27" s="1"/>
  <c r="CC75" i="27" a="1"/>
  <c r="CC75" i="27" s="1"/>
  <c r="CI75" i="27" a="1"/>
  <c r="CI75" i="27" s="1"/>
  <c r="BV75" i="27" a="1"/>
  <c r="BV75" i="27" s="1"/>
  <c r="CG75" i="27" a="1"/>
  <c r="CG75" i="27" s="1"/>
  <c r="BN75" i="27" a="1"/>
  <c r="BN75" i="27" s="1"/>
  <c r="CH75" i="27" a="1"/>
  <c r="CH75" i="27" s="1"/>
  <c r="BQ75" i="27" a="1"/>
  <c r="BQ75" i="27" s="1"/>
  <c r="CF75" i="27" a="1"/>
  <c r="CF75" i="27" s="1"/>
  <c r="CK75" i="27" a="1"/>
  <c r="CK75" i="27" s="1"/>
  <c r="BR23" i="27" a="1"/>
  <c r="BR23" i="27" s="1"/>
  <c r="BV126" i="27" a="1"/>
  <c r="BV126" i="27" s="1"/>
  <c r="BO126" i="27" a="1"/>
  <c r="BO126" i="27" s="1"/>
  <c r="CJ81" i="27" a="1"/>
  <c r="CJ81" i="27" s="1"/>
  <c r="CG81" i="27" a="1"/>
  <c r="CG81" i="27" s="1"/>
  <c r="BZ81" i="27" a="1"/>
  <c r="BZ81" i="27" s="1"/>
  <c r="BX81" i="27" a="1"/>
  <c r="BX81" i="27" s="1"/>
  <c r="CA33" i="27" a="1"/>
  <c r="CA33" i="27" s="1"/>
  <c r="CJ33" i="27" a="1"/>
  <c r="CJ33" i="27" s="1"/>
  <c r="CJ26" i="27" a="1"/>
  <c r="CJ26" i="27" s="1"/>
  <c r="CC26" i="27" a="1"/>
  <c r="CC26" i="27" s="1"/>
  <c r="BS26" i="27" a="1"/>
  <c r="BS26" i="27" s="1"/>
  <c r="BO66" i="27" a="1"/>
  <c r="BO66" i="27" s="1"/>
  <c r="BS66" i="27" a="1"/>
  <c r="BS66" i="27" s="1"/>
  <c r="CK132" i="27" a="1"/>
  <c r="CK132" i="27" s="1"/>
  <c r="CE132" i="27" a="1"/>
  <c r="CE132" i="27" s="1"/>
  <c r="BZ132" i="27" a="1"/>
  <c r="BZ132" i="27" s="1"/>
  <c r="BO132" i="27" a="1"/>
  <c r="BO132" i="27" s="1"/>
  <c r="BR132" i="27" a="1"/>
  <c r="BR132" i="27" s="1"/>
  <c r="BY132" i="27" a="1"/>
  <c r="BY132" i="27" s="1"/>
  <c r="CI132" i="27" a="1"/>
  <c r="CI132" i="27" s="1"/>
  <c r="CC132" i="27" a="1"/>
  <c r="CC132" i="27" s="1"/>
  <c r="BY84" i="27" a="1"/>
  <c r="BY84" i="27" s="1"/>
  <c r="CA84" i="27" a="1"/>
  <c r="CA84" i="27" s="1"/>
  <c r="BV84" i="27" a="1"/>
  <c r="BV84" i="27" s="1"/>
  <c r="CH36" i="27" a="1"/>
  <c r="CH36" i="27" s="1"/>
  <c r="CC36" i="27" a="1"/>
  <c r="CC36" i="27" s="1"/>
  <c r="CH137" i="27" a="1"/>
  <c r="CH137" i="27" s="1"/>
  <c r="BT137" i="27" a="1"/>
  <c r="BT137" i="27" s="1"/>
  <c r="BX40" i="27" a="1"/>
  <c r="BX40" i="27" s="1"/>
  <c r="BT40" i="27" a="1"/>
  <c r="BT40" i="27" s="1"/>
  <c r="CA40" i="27" a="1"/>
  <c r="CA40" i="27" s="1"/>
  <c r="BZ40" i="27" a="1"/>
  <c r="BZ40" i="27" s="1"/>
  <c r="BO40" i="27" a="1"/>
  <c r="BO40" i="27" s="1"/>
  <c r="CC21" i="27" a="1"/>
  <c r="CC21" i="27" s="1"/>
  <c r="BQ21" i="27" a="1"/>
  <c r="BQ21" i="27" s="1"/>
  <c r="BY21" i="27" a="1"/>
  <c r="BY21" i="27" s="1"/>
  <c r="BS132" i="27" a="1"/>
  <c r="BS132" i="27" s="1"/>
  <c r="CI36" i="27" a="1"/>
  <c r="CI36" i="27" s="1"/>
  <c r="CC137" i="27" a="1"/>
  <c r="CC137" i="27" s="1"/>
  <c r="CH87" i="27" a="1"/>
  <c r="CH87" i="27" s="1"/>
  <c r="CE51" i="27" a="1"/>
  <c r="CE51" i="27" s="1"/>
  <c r="CC51" i="27" a="1"/>
  <c r="CC51" i="27" s="1"/>
  <c r="BV51" i="27" a="1"/>
  <c r="BV51" i="27" s="1"/>
  <c r="CD81" i="27" a="1"/>
  <c r="CD81" i="27" s="1"/>
  <c r="BS75" i="27" a="1"/>
  <c r="BS75" i="27" s="1"/>
  <c r="BZ75" i="27" a="1"/>
  <c r="BZ75" i="27" s="1"/>
  <c r="CA132" i="27" a="1"/>
  <c r="CA132" i="27" s="1"/>
  <c r="CG47" i="27" a="1"/>
  <c r="CG47" i="27" s="1"/>
  <c r="CG118" i="27" a="1"/>
  <c r="CG118" i="27" s="1"/>
  <c r="CD124" i="27" a="1"/>
  <c r="CD124" i="27" s="1"/>
  <c r="BW124" i="27" a="1"/>
  <c r="BW124" i="27" s="1"/>
  <c r="BT124" i="27" a="1"/>
  <c r="BT124" i="27" s="1"/>
  <c r="BY36" i="27" a="1"/>
  <c r="BY36" i="27" s="1"/>
  <c r="CK118" i="27" a="1"/>
  <c r="CK118" i="27" s="1"/>
  <c r="BQ137" i="27" a="1"/>
  <c r="BQ137" i="27" s="1"/>
  <c r="BT36" i="27" a="1"/>
  <c r="BT36" i="27" s="1"/>
  <c r="CE16" i="27" a="1"/>
  <c r="CE16" i="27" s="1"/>
  <c r="CC16" i="27" a="1"/>
  <c r="CC16" i="27" s="1"/>
  <c r="CK16" i="27" a="1"/>
  <c r="CK16" i="27" s="1"/>
  <c r="BY31" i="27" a="1"/>
  <c r="BY31" i="27" s="1"/>
  <c r="BS31" i="27" a="1"/>
  <c r="BS31" i="27" s="1"/>
  <c r="BV134" i="27" a="1"/>
  <c r="BV134" i="27" s="1"/>
  <c r="BS134" i="27" a="1"/>
  <c r="BS134" i="27" s="1"/>
  <c r="BY134" i="27" a="1"/>
  <c r="BY134" i="27" s="1"/>
  <c r="BP39" i="27" a="1"/>
  <c r="BP39" i="27" s="1"/>
  <c r="CI39" i="27" a="1"/>
  <c r="CI39" i="27" s="1"/>
  <c r="CA39" i="27" a="1"/>
  <c r="CA39" i="27" s="1"/>
  <c r="BR39" i="27" a="1"/>
  <c r="BR39" i="27" s="1"/>
  <c r="BN85" i="27" a="1"/>
  <c r="BN85" i="27" s="1"/>
  <c r="BZ85" i="27" a="1"/>
  <c r="BZ85" i="27" s="1"/>
  <c r="BY85" i="27" a="1"/>
  <c r="BY85" i="27" s="1"/>
  <c r="BO85" i="27" a="1"/>
  <c r="BO85" i="27" s="1"/>
  <c r="BP96" i="27" a="1"/>
  <c r="BP96" i="27" s="1"/>
  <c r="CJ96" i="27" a="1"/>
  <c r="CJ96" i="27" s="1"/>
  <c r="BR53" i="27" a="1"/>
  <c r="BR53" i="27" s="1"/>
  <c r="CA53" i="27" a="1"/>
  <c r="CA53" i="27" s="1"/>
  <c r="BZ137" i="27" a="1"/>
  <c r="BZ137" i="27" s="1"/>
  <c r="BR94" i="27" a="1"/>
  <c r="BR94" i="27" s="1"/>
  <c r="BX137" i="27" a="1"/>
  <c r="BX137" i="27" s="1"/>
  <c r="BO100" i="27" a="1"/>
  <c r="BO100" i="27" s="1"/>
  <c r="BS100" i="27" a="1"/>
  <c r="BS100" i="27" s="1"/>
  <c r="CI100" i="27" a="1"/>
  <c r="CI100" i="27" s="1"/>
  <c r="G6" i="18"/>
  <c r="G92" i="12"/>
  <c r="G27" i="12"/>
  <c r="G38" i="12"/>
  <c r="G38" i="18"/>
  <c r="G4" i="18"/>
  <c r="G126" i="18"/>
  <c r="G132" i="18"/>
  <c r="G120" i="18"/>
  <c r="G4" i="12"/>
  <c r="G86" i="12"/>
  <c r="G132" i="12"/>
  <c r="G40" i="18"/>
  <c r="G74" i="18"/>
  <c r="G25" i="12"/>
  <c r="G82" i="18"/>
  <c r="G23" i="18"/>
  <c r="G52" i="19"/>
  <c r="L52" i="19" s="1"/>
  <c r="N52" i="19" s="1"/>
  <c r="G85" i="19"/>
  <c r="I85" i="19" s="1"/>
  <c r="G19" i="18"/>
  <c r="G70" i="19"/>
  <c r="I70" i="19" s="1"/>
  <c r="G124" i="18"/>
  <c r="G135" i="18"/>
  <c r="G70" i="12"/>
  <c r="G105" i="19"/>
  <c r="I105" i="19" s="1"/>
  <c r="G62" i="19"/>
  <c r="I62" i="19" s="1"/>
  <c r="G39" i="18"/>
  <c r="G109" i="18"/>
  <c r="G135" i="12"/>
  <c r="G76" i="18"/>
  <c r="G97" i="18"/>
  <c r="G45" i="19"/>
  <c r="I45" i="19" s="1"/>
  <c r="G57" i="12"/>
  <c r="G109" i="12"/>
  <c r="G125" i="18"/>
  <c r="G92" i="18"/>
  <c r="G25" i="19"/>
  <c r="G57" i="19"/>
  <c r="L57" i="19" s="1"/>
  <c r="N57" i="19" s="1"/>
  <c r="G39" i="12"/>
  <c r="G62" i="12"/>
  <c r="G6" i="12"/>
  <c r="G82" i="12"/>
  <c r="G120" i="12"/>
  <c r="G76" i="19"/>
  <c r="I76" i="19" s="1"/>
  <c r="G26" i="18"/>
  <c r="G97" i="19"/>
  <c r="L97" i="19" s="1"/>
  <c r="N97" i="19" s="1"/>
  <c r="G45" i="18"/>
  <c r="G125" i="12"/>
  <c r="G40" i="12"/>
  <c r="G126" i="12"/>
  <c r="G26" i="19"/>
  <c r="I26" i="19" s="1"/>
  <c r="G63" i="18"/>
  <c r="G114" i="18"/>
  <c r="G34" i="18"/>
  <c r="G81" i="18"/>
  <c r="G93" i="18"/>
  <c r="G15" i="18"/>
  <c r="G86" i="18"/>
  <c r="G93" i="12"/>
  <c r="G63" i="12"/>
  <c r="G34" i="12"/>
  <c r="G81" i="12"/>
  <c r="AA6" i="27" a="1"/>
  <c r="AA6" i="27" s="1"/>
  <c r="L99" i="19"/>
  <c r="L81" i="19"/>
  <c r="N81" i="19" s="1"/>
  <c r="L124" i="19"/>
  <c r="N124" i="19" s="1"/>
  <c r="L109" i="19"/>
  <c r="N109" i="19" s="1"/>
  <c r="L8" i="19"/>
  <c r="N8" i="19" s="1"/>
  <c r="L113" i="19"/>
  <c r="N113" i="19" s="1"/>
  <c r="CH110" i="27" a="1"/>
  <c r="CH110" i="27" s="1"/>
  <c r="R134" i="19"/>
  <c r="R134" i="18"/>
  <c r="R123" i="19"/>
  <c r="R123" i="18"/>
  <c r="R130" i="19"/>
  <c r="R130" i="18"/>
  <c r="R126" i="19"/>
  <c r="R126" i="18"/>
  <c r="R118" i="19"/>
  <c r="R118" i="18"/>
  <c r="R106" i="19"/>
  <c r="R106" i="18"/>
  <c r="R124" i="19"/>
  <c r="W124" i="19" s="1"/>
  <c r="Y124" i="19" s="1"/>
  <c r="R124" i="18"/>
  <c r="R92" i="19"/>
  <c r="W92" i="19" s="1"/>
  <c r="Y92" i="19" s="1"/>
  <c r="R92" i="18"/>
  <c r="R110" i="19"/>
  <c r="R110" i="18"/>
  <c r="R103" i="19"/>
  <c r="R103" i="18"/>
  <c r="R90" i="19"/>
  <c r="R90" i="18"/>
  <c r="R97" i="19"/>
  <c r="R97" i="18"/>
  <c r="R89" i="19"/>
  <c r="R89" i="18"/>
  <c r="R81" i="19"/>
  <c r="W81" i="19" s="1"/>
  <c r="Y81" i="19" s="1"/>
  <c r="R81" i="18"/>
  <c r="R73" i="19"/>
  <c r="R73" i="18"/>
  <c r="R86" i="19"/>
  <c r="R86" i="18"/>
  <c r="R78" i="19"/>
  <c r="R78" i="18"/>
  <c r="R70" i="19"/>
  <c r="W70" i="19" s="1"/>
  <c r="Y70" i="19" s="1"/>
  <c r="R70" i="18"/>
  <c r="R61" i="19"/>
  <c r="R61" i="18"/>
  <c r="R49" i="19"/>
  <c r="R49" i="18"/>
  <c r="R41" i="19"/>
  <c r="R41" i="18"/>
  <c r="R33" i="19"/>
  <c r="W33" i="19" s="1"/>
  <c r="Y33" i="19" s="1"/>
  <c r="R33" i="18"/>
  <c r="R46" i="19"/>
  <c r="R46" i="18"/>
  <c r="R68" i="19"/>
  <c r="W68" i="19" s="1"/>
  <c r="Y68" i="19" s="1"/>
  <c r="R68" i="18"/>
  <c r="R60" i="19"/>
  <c r="R60" i="18"/>
  <c r="R35" i="19"/>
  <c r="R35" i="18"/>
  <c r="R25" i="19"/>
  <c r="R25" i="18"/>
  <c r="R16" i="19"/>
  <c r="R16" i="18"/>
  <c r="R8" i="19"/>
  <c r="W8" i="19" s="1"/>
  <c r="Y8" i="19" s="1"/>
  <c r="R8" i="18"/>
  <c r="R36" i="19"/>
  <c r="R36" i="18"/>
  <c r="R26" i="19"/>
  <c r="W26" i="19" s="1"/>
  <c r="Y26" i="19" s="1"/>
  <c r="R26" i="18"/>
  <c r="R19" i="19"/>
  <c r="R19" i="18"/>
  <c r="R11" i="19"/>
  <c r="R11" i="18"/>
  <c r="G16" i="12"/>
  <c r="G16" i="18"/>
  <c r="G16" i="19"/>
  <c r="I16" i="19" s="1"/>
  <c r="G35" i="12"/>
  <c r="G35" i="19"/>
  <c r="I35" i="19" s="1"/>
  <c r="G35" i="18"/>
  <c r="G59" i="12"/>
  <c r="G59" i="18"/>
  <c r="G59" i="19"/>
  <c r="L59" i="19" s="1"/>
  <c r="N59" i="19" s="1"/>
  <c r="G83" i="12"/>
  <c r="G83" i="19"/>
  <c r="I83" i="19" s="1"/>
  <c r="G83" i="18"/>
  <c r="G133" i="12"/>
  <c r="G133" i="19"/>
  <c r="I133" i="19" s="1"/>
  <c r="G133" i="18"/>
  <c r="G106" i="12"/>
  <c r="G106" i="19"/>
  <c r="I106" i="19" s="1"/>
  <c r="G106" i="18"/>
  <c r="G14" i="12"/>
  <c r="G14" i="19"/>
  <c r="I14" i="19" s="1"/>
  <c r="G14" i="18"/>
  <c r="G42" i="12"/>
  <c r="G42" i="19"/>
  <c r="L42" i="19" s="1"/>
  <c r="N42" i="19" s="1"/>
  <c r="G42" i="18"/>
  <c r="G66" i="12"/>
  <c r="G66" i="19"/>
  <c r="I66" i="19" s="1"/>
  <c r="G66" i="18"/>
  <c r="G116" i="12"/>
  <c r="G116" i="19"/>
  <c r="I116" i="19" s="1"/>
  <c r="G116" i="18"/>
  <c r="G89" i="12"/>
  <c r="G89" i="18"/>
  <c r="G89" i="19"/>
  <c r="I89" i="19" s="1"/>
  <c r="G137" i="12"/>
  <c r="G137" i="18"/>
  <c r="G137" i="19"/>
  <c r="I137" i="19" s="1"/>
  <c r="G24" i="12"/>
  <c r="G24" i="19"/>
  <c r="I24" i="19" s="1"/>
  <c r="G24" i="18"/>
  <c r="G49" i="12"/>
  <c r="G49" i="19"/>
  <c r="I49" i="19" s="1"/>
  <c r="G49" i="18"/>
  <c r="G73" i="12"/>
  <c r="G73" i="18"/>
  <c r="G73" i="19"/>
  <c r="I73" i="19" s="1"/>
  <c r="G123" i="12"/>
  <c r="G123" i="18"/>
  <c r="G123" i="19"/>
  <c r="I123" i="19" s="1"/>
  <c r="G96" i="12"/>
  <c r="G96" i="19"/>
  <c r="I96" i="19" s="1"/>
  <c r="G96" i="18"/>
  <c r="G44" i="12"/>
  <c r="G44" i="19"/>
  <c r="I44" i="19" s="1"/>
  <c r="G44" i="18"/>
  <c r="G118" i="12"/>
  <c r="G118" i="19"/>
  <c r="I118" i="19" s="1"/>
  <c r="G118" i="18"/>
  <c r="BR137" i="27" a="1"/>
  <c r="BR137" i="27" s="1"/>
  <c r="W130" i="19"/>
  <c r="Y130" i="19" s="1"/>
  <c r="W110" i="19"/>
  <c r="Y110" i="19" s="1"/>
  <c r="W89" i="19"/>
  <c r="Y89" i="19" s="1"/>
  <c r="W134" i="19"/>
  <c r="Y134" i="19" s="1"/>
  <c r="R4" i="19"/>
  <c r="R4" i="18"/>
  <c r="R133" i="19"/>
  <c r="R133" i="18"/>
  <c r="R115" i="19"/>
  <c r="W115" i="19" s="1"/>
  <c r="Y115" i="19" s="1"/>
  <c r="R115" i="18"/>
  <c r="R128" i="19"/>
  <c r="R128" i="18"/>
  <c r="R121" i="19"/>
  <c r="R121" i="18"/>
  <c r="R125" i="19"/>
  <c r="R125" i="18"/>
  <c r="R104" i="19"/>
  <c r="R104" i="18"/>
  <c r="R122" i="19"/>
  <c r="W122" i="19" s="1"/>
  <c r="Y122" i="19" s="1"/>
  <c r="R122" i="18"/>
  <c r="R113" i="19"/>
  <c r="R113" i="18"/>
  <c r="R109" i="19"/>
  <c r="W109" i="19" s="1"/>
  <c r="Y109" i="19" s="1"/>
  <c r="R109" i="18"/>
  <c r="R101" i="19"/>
  <c r="R101" i="18"/>
  <c r="R88" i="19"/>
  <c r="W88" i="19" s="1"/>
  <c r="Y88" i="19" s="1"/>
  <c r="R88" i="18"/>
  <c r="R95" i="19"/>
  <c r="R95" i="18"/>
  <c r="R87" i="19"/>
  <c r="R87" i="18"/>
  <c r="R79" i="19"/>
  <c r="R79" i="18"/>
  <c r="R71" i="19"/>
  <c r="W71" i="19" s="1"/>
  <c r="Y71" i="19" s="1"/>
  <c r="R71" i="18"/>
  <c r="R84" i="19"/>
  <c r="W84" i="19" s="1"/>
  <c r="Y84" i="19" s="1"/>
  <c r="R84" i="18"/>
  <c r="R76" i="19"/>
  <c r="R76" i="18"/>
  <c r="R65" i="19"/>
  <c r="R65" i="18"/>
  <c r="R56" i="19"/>
  <c r="W56" i="19" s="1"/>
  <c r="Y56" i="19" s="1"/>
  <c r="R56" i="18"/>
  <c r="R47" i="19"/>
  <c r="R47" i="18"/>
  <c r="R39" i="19"/>
  <c r="R39" i="18"/>
  <c r="R52" i="19"/>
  <c r="R52" i="18"/>
  <c r="R44" i="19"/>
  <c r="R44" i="18"/>
  <c r="R66" i="19"/>
  <c r="R66" i="18"/>
  <c r="R58" i="19"/>
  <c r="R58" i="18"/>
  <c r="R31" i="19"/>
  <c r="R31" i="18"/>
  <c r="R23" i="19"/>
  <c r="R23" i="18"/>
  <c r="R14" i="19"/>
  <c r="R14" i="18"/>
  <c r="R6" i="19"/>
  <c r="W6" i="19" s="1"/>
  <c r="Y6" i="19" s="1"/>
  <c r="R6" i="18"/>
  <c r="R34" i="19"/>
  <c r="R34" i="18"/>
  <c r="R24" i="19"/>
  <c r="R24" i="18"/>
  <c r="R17" i="19"/>
  <c r="R17" i="18"/>
  <c r="R9" i="19"/>
  <c r="R9" i="18"/>
  <c r="G10" i="12"/>
  <c r="G10" i="19"/>
  <c r="I10" i="19" s="1"/>
  <c r="G10" i="18"/>
  <c r="G41" i="12"/>
  <c r="G41" i="19"/>
  <c r="I41" i="19" s="1"/>
  <c r="G41" i="18"/>
  <c r="G65" i="12"/>
  <c r="G65" i="18"/>
  <c r="G65" i="19"/>
  <c r="G115" i="12"/>
  <c r="G115" i="18"/>
  <c r="G115" i="19"/>
  <c r="I115" i="19" s="1"/>
  <c r="G88" i="12"/>
  <c r="G88" i="19"/>
  <c r="I88" i="19" s="1"/>
  <c r="G88" i="18"/>
  <c r="G136" i="12"/>
  <c r="G136" i="19"/>
  <c r="G136" i="18"/>
  <c r="G22" i="12"/>
  <c r="G22" i="19"/>
  <c r="I22" i="19" s="1"/>
  <c r="G22" i="18"/>
  <c r="G48" i="12"/>
  <c r="G48" i="18"/>
  <c r="G48" i="19"/>
  <c r="I48" i="19" s="1"/>
  <c r="G72" i="12"/>
  <c r="G72" i="19"/>
  <c r="L72" i="19" s="1"/>
  <c r="N72" i="19" s="1"/>
  <c r="G72" i="18"/>
  <c r="G122" i="12"/>
  <c r="G122" i="19"/>
  <c r="I122" i="19" s="1"/>
  <c r="G122" i="18"/>
  <c r="G95" i="12"/>
  <c r="G95" i="18"/>
  <c r="G95" i="19"/>
  <c r="I95" i="19" s="1"/>
  <c r="G13" i="12"/>
  <c r="G13" i="18"/>
  <c r="G13" i="19"/>
  <c r="I13" i="19" s="1"/>
  <c r="G31" i="12"/>
  <c r="G31" i="19"/>
  <c r="I31" i="19" s="1"/>
  <c r="G31" i="18"/>
  <c r="G55" i="12"/>
  <c r="G55" i="19"/>
  <c r="I55" i="19" s="1"/>
  <c r="G55" i="18"/>
  <c r="G79" i="12"/>
  <c r="G79" i="18"/>
  <c r="G79" i="19"/>
  <c r="G129" i="12"/>
  <c r="G129" i="18"/>
  <c r="G129" i="19"/>
  <c r="I129" i="19" s="1"/>
  <c r="G102" i="12"/>
  <c r="G102" i="18"/>
  <c r="G102" i="19"/>
  <c r="I102" i="19" s="1"/>
  <c r="G17" i="12"/>
  <c r="G17" i="19"/>
  <c r="I17" i="19" s="1"/>
  <c r="G17" i="18"/>
  <c r="G56" i="12"/>
  <c r="G56" i="18"/>
  <c r="G56" i="19"/>
  <c r="I56" i="19" s="1"/>
  <c r="G130" i="12"/>
  <c r="G130" i="19"/>
  <c r="I130" i="19" s="1"/>
  <c r="G130" i="18"/>
  <c r="Q72" i="18"/>
  <c r="W72" i="18" s="1"/>
  <c r="X72" i="12"/>
  <c r="X72" i="18"/>
  <c r="W101" i="19"/>
  <c r="Y101" i="19" s="1"/>
  <c r="W97" i="19"/>
  <c r="Y97" i="19" s="1"/>
  <c r="W49" i="19"/>
  <c r="Y49" i="19" s="1"/>
  <c r="W66" i="19"/>
  <c r="Y66" i="19" s="1"/>
  <c r="W76" i="19"/>
  <c r="Y76" i="19" s="1"/>
  <c r="R136" i="19"/>
  <c r="W136" i="19" s="1"/>
  <c r="Y136" i="19" s="1"/>
  <c r="R136" i="18"/>
  <c r="R132" i="19"/>
  <c r="R132" i="18"/>
  <c r="R114" i="19"/>
  <c r="R114" i="18"/>
  <c r="R131" i="19"/>
  <c r="W131" i="19" s="1"/>
  <c r="Y131" i="19" s="1"/>
  <c r="R131" i="18"/>
  <c r="R117" i="19"/>
  <c r="R117" i="18"/>
  <c r="R119" i="19"/>
  <c r="R119" i="18"/>
  <c r="R102" i="19"/>
  <c r="R102" i="18"/>
  <c r="R99" i="19"/>
  <c r="R99" i="18"/>
  <c r="R112" i="19"/>
  <c r="R112" i="18"/>
  <c r="R107" i="19"/>
  <c r="R107" i="18"/>
  <c r="R98" i="19"/>
  <c r="R98" i="18"/>
  <c r="R120" i="19"/>
  <c r="R120" i="18"/>
  <c r="R93" i="19"/>
  <c r="R93" i="18"/>
  <c r="R85" i="19"/>
  <c r="W85" i="19" s="1"/>
  <c r="Y85" i="19" s="1"/>
  <c r="R85" i="18"/>
  <c r="R77" i="19"/>
  <c r="W77" i="19" s="1"/>
  <c r="Y77" i="19" s="1"/>
  <c r="R77" i="18"/>
  <c r="R67" i="19"/>
  <c r="W67" i="19" s="1"/>
  <c r="Y67" i="19" s="1"/>
  <c r="R67" i="18"/>
  <c r="R82" i="19"/>
  <c r="R82" i="18"/>
  <c r="R74" i="19"/>
  <c r="W74" i="19" s="1"/>
  <c r="Y74" i="19" s="1"/>
  <c r="R74" i="18"/>
  <c r="R59" i="19"/>
  <c r="R59" i="18"/>
  <c r="R53" i="19"/>
  <c r="R53" i="18"/>
  <c r="R45" i="19"/>
  <c r="R45" i="18"/>
  <c r="R57" i="19"/>
  <c r="W57" i="19" s="1"/>
  <c r="Y57" i="19" s="1"/>
  <c r="R57" i="18"/>
  <c r="R50" i="19"/>
  <c r="R50" i="18"/>
  <c r="R42" i="19"/>
  <c r="R42" i="18"/>
  <c r="R64" i="19"/>
  <c r="W64" i="19" s="1"/>
  <c r="Y64" i="19" s="1"/>
  <c r="R64" i="18"/>
  <c r="R54" i="19"/>
  <c r="W54" i="19" s="1"/>
  <c r="Y54" i="19" s="1"/>
  <c r="R54" i="18"/>
  <c r="R29" i="19"/>
  <c r="R29" i="18"/>
  <c r="R21" i="19"/>
  <c r="R21" i="18"/>
  <c r="R12" i="19"/>
  <c r="R12" i="18"/>
  <c r="R32" i="19"/>
  <c r="W32" i="19" s="1"/>
  <c r="Y32" i="19" s="1"/>
  <c r="R32" i="18"/>
  <c r="R30" i="19"/>
  <c r="W30" i="19" s="1"/>
  <c r="Y30" i="19" s="1"/>
  <c r="R30" i="18"/>
  <c r="R22" i="19"/>
  <c r="W22" i="19" s="1"/>
  <c r="Y22" i="19" s="1"/>
  <c r="R22" i="18"/>
  <c r="R15" i="19"/>
  <c r="R15" i="18"/>
  <c r="R7" i="19"/>
  <c r="R7" i="18"/>
  <c r="G20" i="12"/>
  <c r="G20" i="19"/>
  <c r="I20" i="19" s="1"/>
  <c r="G20" i="18"/>
  <c r="G47" i="12"/>
  <c r="G47" i="19"/>
  <c r="I47" i="19" s="1"/>
  <c r="G47" i="18"/>
  <c r="G71" i="12"/>
  <c r="G71" i="18"/>
  <c r="G71" i="19"/>
  <c r="I71" i="19" s="1"/>
  <c r="G121" i="12"/>
  <c r="G121" i="18"/>
  <c r="G121" i="19"/>
  <c r="I121" i="19" s="1"/>
  <c r="G94" i="12"/>
  <c r="G94" i="18"/>
  <c r="G94" i="19"/>
  <c r="L94" i="19" s="1"/>
  <c r="N94" i="19" s="1"/>
  <c r="G9" i="12"/>
  <c r="G9" i="19"/>
  <c r="I9" i="19" s="1"/>
  <c r="G9" i="18"/>
  <c r="G30" i="12"/>
  <c r="G30" i="18"/>
  <c r="G30" i="19"/>
  <c r="I30" i="19" s="1"/>
  <c r="G54" i="12"/>
  <c r="G54" i="18"/>
  <c r="G54" i="19"/>
  <c r="I54" i="19" s="1"/>
  <c r="G78" i="12"/>
  <c r="G78" i="18"/>
  <c r="G78" i="19"/>
  <c r="I78" i="19" s="1"/>
  <c r="G128" i="12"/>
  <c r="G128" i="18"/>
  <c r="G128" i="19"/>
  <c r="I128" i="19" s="1"/>
  <c r="G101" i="12"/>
  <c r="G101" i="19"/>
  <c r="I101" i="19" s="1"/>
  <c r="G101" i="18"/>
  <c r="G11" i="12"/>
  <c r="G11" i="18"/>
  <c r="G11" i="19"/>
  <c r="I11" i="19" s="1"/>
  <c r="G37" i="12"/>
  <c r="G37" i="19"/>
  <c r="I37" i="19" s="1"/>
  <c r="G37" i="18"/>
  <c r="G61" i="12"/>
  <c r="G61" i="19"/>
  <c r="I61" i="19" s="1"/>
  <c r="G61" i="18"/>
  <c r="G111" i="12"/>
  <c r="G111" i="19"/>
  <c r="I111" i="19" s="1"/>
  <c r="G111" i="18"/>
  <c r="G84" i="12"/>
  <c r="G84" i="19"/>
  <c r="I84" i="19" s="1"/>
  <c r="G84" i="18"/>
  <c r="G108" i="12"/>
  <c r="G108" i="19"/>
  <c r="I108" i="19" s="1"/>
  <c r="G108" i="18"/>
  <c r="G21" i="12"/>
  <c r="G21" i="18"/>
  <c r="G21" i="19"/>
  <c r="I21" i="19" s="1"/>
  <c r="G68" i="12"/>
  <c r="G68" i="19"/>
  <c r="L68" i="19" s="1"/>
  <c r="N68" i="19" s="1"/>
  <c r="G68" i="18"/>
  <c r="G91" i="12"/>
  <c r="G91" i="19"/>
  <c r="I91" i="19" s="1"/>
  <c r="G91" i="18"/>
  <c r="W125" i="19"/>
  <c r="Y125" i="19" s="1"/>
  <c r="W45" i="19"/>
  <c r="Y45" i="19" s="1"/>
  <c r="W31" i="19"/>
  <c r="Y31" i="19" s="1"/>
  <c r="W58" i="19"/>
  <c r="Y58" i="19" s="1"/>
  <c r="W39" i="19"/>
  <c r="Y39" i="19" s="1"/>
  <c r="W65" i="19"/>
  <c r="Y65" i="19" s="1"/>
  <c r="R135" i="19"/>
  <c r="W135" i="19" s="1"/>
  <c r="Y135" i="19" s="1"/>
  <c r="R135" i="18"/>
  <c r="R129" i="19"/>
  <c r="R129" i="18"/>
  <c r="R127" i="19"/>
  <c r="R127" i="18"/>
  <c r="R137" i="19"/>
  <c r="R137" i="18"/>
  <c r="R108" i="19"/>
  <c r="R108" i="18"/>
  <c r="R100" i="19"/>
  <c r="R100" i="18"/>
  <c r="R96" i="19"/>
  <c r="W96" i="19" s="1"/>
  <c r="Y96" i="19" s="1"/>
  <c r="R96" i="18"/>
  <c r="R111" i="19"/>
  <c r="R111" i="18"/>
  <c r="R105" i="19"/>
  <c r="W105" i="19" s="1"/>
  <c r="Y105" i="19" s="1"/>
  <c r="R105" i="18"/>
  <c r="R94" i="19"/>
  <c r="R94" i="18"/>
  <c r="R116" i="19"/>
  <c r="R116" i="18"/>
  <c r="R91" i="19"/>
  <c r="W91" i="19" s="1"/>
  <c r="Y91" i="19" s="1"/>
  <c r="R91" i="18"/>
  <c r="R83" i="19"/>
  <c r="W83" i="19" s="1"/>
  <c r="Y83" i="19" s="1"/>
  <c r="R83" i="18"/>
  <c r="R75" i="19"/>
  <c r="W75" i="19" s="1"/>
  <c r="Y75" i="19" s="1"/>
  <c r="R75" i="18"/>
  <c r="R63" i="19"/>
  <c r="R63" i="18"/>
  <c r="R80" i="19"/>
  <c r="R80" i="18"/>
  <c r="R72" i="19"/>
  <c r="W72" i="19" s="1"/>
  <c r="Y72" i="19" s="1"/>
  <c r="R72" i="18"/>
  <c r="R69" i="19"/>
  <c r="R69" i="18"/>
  <c r="R51" i="19"/>
  <c r="R51" i="18"/>
  <c r="R43" i="19"/>
  <c r="W43" i="19" s="1"/>
  <c r="Y43" i="19" s="1"/>
  <c r="R43" i="18"/>
  <c r="R55" i="19"/>
  <c r="W55" i="19" s="1"/>
  <c r="Y55" i="19" s="1"/>
  <c r="R55" i="18"/>
  <c r="R48" i="19"/>
  <c r="W48" i="19" s="1"/>
  <c r="Y48" i="19" s="1"/>
  <c r="R48" i="18"/>
  <c r="R40" i="19"/>
  <c r="R40" i="18"/>
  <c r="R62" i="19"/>
  <c r="R62" i="18"/>
  <c r="R37" i="19"/>
  <c r="R37" i="18"/>
  <c r="R27" i="19"/>
  <c r="R27" i="18"/>
  <c r="R18" i="19"/>
  <c r="R18" i="18"/>
  <c r="R10" i="19"/>
  <c r="W10" i="19" s="1"/>
  <c r="Y10" i="19" s="1"/>
  <c r="R10" i="18"/>
  <c r="R38" i="19"/>
  <c r="R38" i="18"/>
  <c r="R28" i="19"/>
  <c r="W28" i="19" s="1"/>
  <c r="Y28" i="19" s="1"/>
  <c r="R28" i="18"/>
  <c r="R20" i="19"/>
  <c r="W20" i="19" s="1"/>
  <c r="Y20" i="19" s="1"/>
  <c r="R20" i="18"/>
  <c r="R13" i="19"/>
  <c r="R13" i="18"/>
  <c r="R5" i="19"/>
  <c r="W5" i="19" s="1"/>
  <c r="Y5" i="19" s="1"/>
  <c r="R5" i="18"/>
  <c r="G29" i="12"/>
  <c r="G29" i="19"/>
  <c r="I29" i="19" s="1"/>
  <c r="G29" i="18"/>
  <c r="G53" i="12"/>
  <c r="G53" i="18"/>
  <c r="G53" i="19"/>
  <c r="I53" i="19" s="1"/>
  <c r="G77" i="12"/>
  <c r="G77" i="19"/>
  <c r="I77" i="19" s="1"/>
  <c r="G77" i="18"/>
  <c r="G127" i="12"/>
  <c r="G127" i="19"/>
  <c r="I127" i="19" s="1"/>
  <c r="G127" i="18"/>
  <c r="G100" i="12"/>
  <c r="G100" i="19"/>
  <c r="I100" i="19" s="1"/>
  <c r="G100" i="18"/>
  <c r="G7" i="12"/>
  <c r="G7" i="19"/>
  <c r="I7" i="19" s="1"/>
  <c r="G7" i="18"/>
  <c r="G36" i="12"/>
  <c r="G36" i="19"/>
  <c r="I36" i="19" s="1"/>
  <c r="G36" i="18"/>
  <c r="G60" i="12"/>
  <c r="G60" i="19"/>
  <c r="I60" i="19" s="1"/>
  <c r="G60" i="18"/>
  <c r="G110" i="12"/>
  <c r="G110" i="19"/>
  <c r="I110" i="19" s="1"/>
  <c r="G110" i="18"/>
  <c r="G134" i="12"/>
  <c r="G134" i="19"/>
  <c r="I134" i="19" s="1"/>
  <c r="G134" i="18"/>
  <c r="G107" i="12"/>
  <c r="G107" i="19"/>
  <c r="L107" i="19" s="1"/>
  <c r="N107" i="19" s="1"/>
  <c r="G107" i="18"/>
  <c r="G18" i="12"/>
  <c r="G18" i="18"/>
  <c r="G18" i="19"/>
  <c r="I18" i="19" s="1"/>
  <c r="G43" i="12"/>
  <c r="G43" i="19"/>
  <c r="L43" i="19" s="1"/>
  <c r="N43" i="19" s="1"/>
  <c r="G43" i="18"/>
  <c r="G67" i="12"/>
  <c r="G67" i="19"/>
  <c r="I67" i="19" s="1"/>
  <c r="G67" i="18"/>
  <c r="G117" i="12"/>
  <c r="G117" i="19"/>
  <c r="I117" i="19" s="1"/>
  <c r="G117" i="18"/>
  <c r="G90" i="12"/>
  <c r="G90" i="19"/>
  <c r="I90" i="19" s="1"/>
  <c r="G90" i="18"/>
  <c r="G32" i="12"/>
  <c r="G32" i="19"/>
  <c r="I32" i="19" s="1"/>
  <c r="G32" i="18"/>
  <c r="G80" i="12"/>
  <c r="G80" i="19"/>
  <c r="I80" i="19" s="1"/>
  <c r="G80" i="18"/>
  <c r="G103" i="12"/>
  <c r="G103" i="18"/>
  <c r="G103" i="19"/>
  <c r="I103" i="19" s="1"/>
  <c r="W14" i="19"/>
  <c r="Y14" i="19" s="1"/>
  <c r="W127" i="19"/>
  <c r="Y127" i="19" s="1"/>
  <c r="W79" i="19"/>
  <c r="Y79" i="19" s="1"/>
  <c r="W7" i="19"/>
  <c r="Y7" i="19" s="1"/>
  <c r="W120" i="19"/>
  <c r="Y120" i="19" s="1"/>
  <c r="W82" i="19"/>
  <c r="Y82" i="19" s="1"/>
  <c r="W34" i="19"/>
  <c r="Y34" i="19" s="1"/>
  <c r="W98" i="19"/>
  <c r="Y98" i="19" s="1"/>
  <c r="W87" i="19"/>
  <c r="Y87" i="19" s="1"/>
  <c r="W4" i="19"/>
  <c r="Y4" i="19" s="1"/>
  <c r="W52" i="19"/>
  <c r="Y52" i="19" s="1"/>
  <c r="W86" i="19"/>
  <c r="Y86" i="19" s="1"/>
  <c r="W17" i="19"/>
  <c r="Y17" i="19" s="1"/>
  <c r="W94" i="19"/>
  <c r="Y94" i="19" s="1"/>
  <c r="W113" i="19"/>
  <c r="Y113" i="19" s="1"/>
  <c r="W106" i="19"/>
  <c r="Y106" i="19" s="1"/>
  <c r="L34" i="19"/>
  <c r="N34" i="19" s="1"/>
  <c r="L6" i="19"/>
  <c r="N6" i="19" s="1"/>
  <c r="L5" i="19"/>
  <c r="N5" i="19" s="1"/>
  <c r="L132" i="19"/>
  <c r="N132" i="19" s="1"/>
  <c r="L23" i="19"/>
  <c r="N23" i="19" s="1"/>
  <c r="L135" i="19"/>
  <c r="N135" i="19" s="1"/>
  <c r="W46" i="19"/>
  <c r="Y46" i="19" s="1"/>
  <c r="W114" i="19"/>
  <c r="Y114" i="19" s="1"/>
  <c r="L63" i="19"/>
  <c r="N63" i="19" s="1"/>
  <c r="W99" i="19"/>
  <c r="W23" i="19"/>
  <c r="Y23" i="19" s="1"/>
  <c r="L98" i="19"/>
  <c r="N98" i="19" s="1"/>
  <c r="W42" i="19"/>
  <c r="Y42" i="19" s="1"/>
  <c r="W100" i="19"/>
  <c r="Y100" i="19" s="1"/>
  <c r="L92" i="19"/>
  <c r="N92" i="19" s="1"/>
  <c r="W128" i="19"/>
  <c r="Y128" i="19" s="1"/>
  <c r="W19" i="19"/>
  <c r="Y19" i="19" s="1"/>
  <c r="W132" i="19"/>
  <c r="Y132" i="19" s="1"/>
  <c r="W36" i="19"/>
  <c r="Y36" i="19" s="1"/>
  <c r="W119" i="19"/>
  <c r="Y119" i="19" s="1"/>
  <c r="L126" i="19"/>
  <c r="N126" i="19" s="1"/>
  <c r="W123" i="19"/>
  <c r="Y123" i="19" s="1"/>
  <c r="W107" i="19"/>
  <c r="Y107" i="19" s="1"/>
  <c r="W59" i="19"/>
  <c r="Y59" i="19" s="1"/>
  <c r="L64" i="19"/>
  <c r="N64" i="19" s="1"/>
  <c r="L19" i="19"/>
  <c r="N19" i="19" s="1"/>
  <c r="W12" i="19"/>
  <c r="Y12" i="19" s="1"/>
  <c r="W15" i="19"/>
  <c r="Y15" i="19" s="1"/>
  <c r="W63" i="19"/>
  <c r="Y63" i="19" s="1"/>
  <c r="W111" i="19"/>
  <c r="Y111" i="19" s="1"/>
  <c r="W25" i="19"/>
  <c r="Y25" i="19" s="1"/>
  <c r="G138" i="19"/>
  <c r="I138" i="19" s="1"/>
  <c r="G138" i="18"/>
  <c r="R138" i="19"/>
  <c r="R138" i="18"/>
  <c r="DD88" i="27"/>
  <c r="DG88" i="27" s="1"/>
  <c r="DD118" i="27"/>
  <c r="DG118" i="27" s="1"/>
  <c r="DD61" i="27"/>
  <c r="DG61" i="27" s="1"/>
  <c r="DD111" i="27"/>
  <c r="DG111" i="27" s="1"/>
  <c r="DD16" i="27"/>
  <c r="DG16" i="27" s="1"/>
  <c r="DD133" i="27"/>
  <c r="DG133" i="27" s="1"/>
  <c r="DD102" i="27"/>
  <c r="DG102" i="27" s="1"/>
  <c r="DD92" i="27"/>
  <c r="DG92" i="27" s="1"/>
  <c r="DD81" i="27"/>
  <c r="DG81" i="27" s="1"/>
  <c r="DD94" i="27"/>
  <c r="DG94" i="27" s="1"/>
  <c r="DD13" i="27"/>
  <c r="DG13" i="27" s="1"/>
  <c r="DD82" i="27"/>
  <c r="DG82" i="27" s="1"/>
  <c r="DD124" i="27"/>
  <c r="DG124" i="27" s="1"/>
  <c r="DD49" i="27"/>
  <c r="DG49" i="27" s="1"/>
  <c r="DD53" i="27"/>
  <c r="DG53" i="27" s="1"/>
  <c r="DD57" i="27"/>
  <c r="DG57" i="27" s="1"/>
  <c r="DD112" i="27"/>
  <c r="DG112" i="27" s="1"/>
  <c r="DD90" i="27"/>
  <c r="DG90" i="27" s="1"/>
  <c r="DD83" i="27"/>
  <c r="DG83" i="27" s="1"/>
  <c r="DD20" i="27"/>
  <c r="DG20" i="27" s="1"/>
  <c r="DD28" i="27"/>
  <c r="DG28" i="27" s="1"/>
  <c r="DD134" i="27"/>
  <c r="DG134" i="27" s="1"/>
  <c r="DD45" i="27"/>
  <c r="DG45" i="27" s="1"/>
  <c r="DD36" i="27"/>
  <c r="DG36" i="27" s="1"/>
  <c r="DD96" i="27"/>
  <c r="DG96" i="27" s="1"/>
  <c r="DD33" i="27"/>
  <c r="DG33" i="27" s="1"/>
  <c r="DD91" i="27"/>
  <c r="DG91" i="27" s="1"/>
  <c r="Q72" i="12"/>
  <c r="W72" i="12" s="1"/>
  <c r="DD58" i="27"/>
  <c r="DG58" i="27" s="1"/>
  <c r="DD119" i="27"/>
  <c r="DG119" i="27" s="1"/>
  <c r="DD26" i="27"/>
  <c r="DG26" i="27" s="1"/>
  <c r="DD14" i="27"/>
  <c r="DG14" i="27" s="1"/>
  <c r="DD100" i="27"/>
  <c r="DG100" i="27" s="1"/>
  <c r="DD87" i="27"/>
  <c r="DG87" i="27" s="1"/>
  <c r="DD110" i="27"/>
  <c r="DG110" i="27" s="1"/>
  <c r="DD107" i="27"/>
  <c r="DG107" i="27" s="1"/>
  <c r="DD6" i="27"/>
  <c r="DG6" i="27" s="1"/>
  <c r="DD54" i="27"/>
  <c r="DG54" i="27" s="1"/>
  <c r="DD75" i="27"/>
  <c r="DG75" i="27" s="1"/>
  <c r="DD34" i="27"/>
  <c r="DG34" i="27" s="1"/>
  <c r="DD60" i="27"/>
  <c r="DG60" i="27" s="1"/>
  <c r="DD132" i="27"/>
  <c r="DG132" i="27" s="1"/>
  <c r="DD31" i="27"/>
  <c r="DG31" i="27" s="1"/>
  <c r="DD76" i="27"/>
  <c r="DG76" i="27" s="1"/>
  <c r="DD59" i="27"/>
  <c r="DG59" i="27" s="1"/>
  <c r="DD128" i="27"/>
  <c r="DG128" i="27" s="1"/>
  <c r="DD50" i="27"/>
  <c r="DG50" i="27" s="1"/>
  <c r="DD79" i="27"/>
  <c r="DG79" i="27" s="1"/>
  <c r="DD114" i="27"/>
  <c r="DG114" i="27" s="1"/>
  <c r="DD18" i="27"/>
  <c r="DG18" i="27" s="1"/>
  <c r="CG114" i="27" a="1"/>
  <c r="CG114" i="27" s="1"/>
  <c r="CG110" i="27" a="1"/>
  <c r="CG110" i="27" s="1"/>
  <c r="CG62" i="27" a="1"/>
  <c r="CG62" i="27" s="1"/>
  <c r="BW31" i="27" a="1"/>
  <c r="BW31" i="27" s="1"/>
  <c r="CK114" i="27" a="1"/>
  <c r="CK114" i="27" s="1"/>
  <c r="CD45" i="27" a="1"/>
  <c r="CD45" i="27" s="1"/>
  <c r="CI45" i="27" a="1"/>
  <c r="CI45" i="27" s="1"/>
  <c r="BX45" i="27" a="1"/>
  <c r="BX45" i="27" s="1"/>
  <c r="BP45" i="27" a="1"/>
  <c r="BP45" i="27" s="1"/>
  <c r="BR45" i="27" a="1"/>
  <c r="BR45" i="27" s="1"/>
  <c r="BQ45" i="27" a="1"/>
  <c r="BQ45" i="27" s="1"/>
  <c r="BU135" i="27" a="1"/>
  <c r="BU135" i="27" s="1"/>
  <c r="CI110" i="27" a="1"/>
  <c r="CI110" i="27" s="1"/>
  <c r="BW19" i="27" a="1"/>
  <c r="BW19" i="27" s="1"/>
  <c r="CC131" i="27" a="1"/>
  <c r="CC131" i="27" s="1"/>
  <c r="BQ114" i="27" a="1"/>
  <c r="BQ114" i="27" s="1"/>
  <c r="CA62" i="27" a="1"/>
  <c r="CA62" i="27" s="1"/>
  <c r="CI131" i="27" a="1"/>
  <c r="CI131" i="27" s="1"/>
  <c r="CI121" i="27" a="1"/>
  <c r="CI121" i="27" s="1"/>
  <c r="CE135" i="27" a="1"/>
  <c r="CE135" i="27" s="1"/>
  <c r="BZ128" i="27" a="1"/>
  <c r="BZ128" i="27" s="1"/>
  <c r="BU110" i="27" a="1"/>
  <c r="BU110" i="27" s="1"/>
  <c r="CE62" i="27" a="1"/>
  <c r="CE62" i="27" s="1"/>
  <c r="CG14" i="27" a="1"/>
  <c r="CG14" i="27" s="1"/>
  <c r="CA19" i="27" a="1"/>
  <c r="CA19" i="27" s="1"/>
  <c r="BQ83" i="27" a="1"/>
  <c r="BQ83" i="27" s="1"/>
  <c r="CK19" i="27" a="1"/>
  <c r="CK19" i="27" s="1"/>
  <c r="BW131" i="27" a="1"/>
  <c r="BW131" i="27" s="1"/>
  <c r="CC28" i="27" a="1"/>
  <c r="CC28" i="27" s="1"/>
  <c r="CK31" i="27" a="1"/>
  <c r="CK31" i="27" s="1"/>
  <c r="CG48" i="27" a="1"/>
  <c r="CG48" i="27" s="1"/>
  <c r="BR35" i="27" a="1"/>
  <c r="BR35" i="27" s="1"/>
  <c r="BY35" i="27" a="1"/>
  <c r="BY35" i="27" s="1"/>
  <c r="CA121" i="27" a="1"/>
  <c r="CA121" i="27" s="1"/>
  <c r="BV114" i="27" a="1"/>
  <c r="BV114" i="27" s="1"/>
  <c r="CG46" i="27" a="1"/>
  <c r="CG46" i="27" s="1"/>
  <c r="CG67" i="27" a="1"/>
  <c r="CG67" i="27" s="1"/>
  <c r="BU131" i="27" a="1"/>
  <c r="BU131" i="27" s="1"/>
  <c r="CF31" i="27" a="1"/>
  <c r="CF31" i="27" s="1"/>
  <c r="CD131" i="27" a="1"/>
  <c r="CD131" i="27" s="1"/>
  <c r="BZ19" i="27" a="1"/>
  <c r="BZ19" i="27" s="1"/>
  <c r="CD23" i="27" a="1"/>
  <c r="CD23" i="27" s="1"/>
  <c r="CH77" i="27" a="1"/>
  <c r="CH77" i="27" s="1"/>
  <c r="CE77" i="27" a="1"/>
  <c r="CE77" i="27" s="1"/>
  <c r="BN7" i="27" a="1"/>
  <c r="BN7" i="27" s="1"/>
  <c r="CH7" i="27" a="1"/>
  <c r="CH7" i="27" s="1"/>
  <c r="BP132" i="27" a="1"/>
  <c r="BP132" i="27" s="1"/>
  <c r="CG132" i="27" a="1"/>
  <c r="CG132" i="27" s="1"/>
  <c r="CF132" i="27" a="1"/>
  <c r="CF132" i="27" s="1"/>
  <c r="BT132" i="27" a="1"/>
  <c r="BT132" i="27" s="1"/>
  <c r="CD132" i="27" a="1"/>
  <c r="CD132" i="27" s="1"/>
  <c r="BQ132" i="27" a="1"/>
  <c r="BQ132" i="27" s="1"/>
  <c r="CH132" i="27" a="1"/>
  <c r="CH132" i="27" s="1"/>
  <c r="CJ132" i="27" a="1"/>
  <c r="CJ132" i="27" s="1"/>
  <c r="BV132" i="27" a="1"/>
  <c r="BV132" i="27" s="1"/>
  <c r="BN84" i="27" a="1"/>
  <c r="BN84" i="27" s="1"/>
  <c r="CK84" i="27" a="1"/>
  <c r="CK84" i="27" s="1"/>
  <c r="CG84" i="27" a="1"/>
  <c r="CG84" i="27" s="1"/>
  <c r="BR84" i="27" a="1"/>
  <c r="BR84" i="27" s="1"/>
  <c r="CD84" i="27" a="1"/>
  <c r="CD84" i="27" s="1"/>
  <c r="BQ84" i="27" a="1"/>
  <c r="BQ84" i="27" s="1"/>
  <c r="BO84" i="27" a="1"/>
  <c r="BO84" i="27" s="1"/>
  <c r="CH84" i="27" a="1"/>
  <c r="CH84" i="27" s="1"/>
  <c r="BW84" i="27" a="1"/>
  <c r="BW84" i="27" s="1"/>
  <c r="CB84" i="27" a="1"/>
  <c r="CB84" i="27" s="1"/>
  <c r="CG36" i="27" a="1"/>
  <c r="CG36" i="27" s="1"/>
  <c r="CE36" i="27" a="1"/>
  <c r="CE36" i="27" s="1"/>
  <c r="BV36" i="27" a="1"/>
  <c r="BV36" i="27" s="1"/>
  <c r="CJ36" i="27" a="1"/>
  <c r="CJ36" i="27" s="1"/>
  <c r="CA36" i="27" a="1"/>
  <c r="CA36" i="27" s="1"/>
  <c r="BQ36" i="27" a="1"/>
  <c r="BQ36" i="27" s="1"/>
  <c r="BW36" i="27" a="1"/>
  <c r="BW36" i="27" s="1"/>
  <c r="CH138" i="27" a="1"/>
  <c r="CH138" i="27" s="1"/>
  <c r="CG138" i="27" a="1"/>
  <c r="CG138" i="27" s="1"/>
  <c r="BT65" i="27" a="1"/>
  <c r="BT65" i="27" s="1"/>
  <c r="BW65" i="27" a="1"/>
  <c r="BW65" i="27" s="1"/>
  <c r="BN65" i="27" a="1"/>
  <c r="BN65" i="27" s="1"/>
  <c r="CE65" i="27" a="1"/>
  <c r="CE65" i="27" s="1"/>
  <c r="BX97" i="27" a="1"/>
  <c r="BX97" i="27" s="1"/>
  <c r="BY97" i="27" a="1"/>
  <c r="BY97" i="27" s="1"/>
  <c r="CK97" i="27" a="1"/>
  <c r="CK97" i="27" s="1"/>
  <c r="BU25" i="27" a="1"/>
  <c r="BU25" i="27" s="1"/>
  <c r="CK25" i="27" a="1"/>
  <c r="CK25" i="27" s="1"/>
  <c r="CH127" i="27" a="1"/>
  <c r="CH127" i="27" s="1"/>
  <c r="BZ127" i="27" a="1"/>
  <c r="BZ127" i="27" s="1"/>
  <c r="CB127" i="27" a="1"/>
  <c r="CB127" i="27" s="1"/>
  <c r="BY127" i="27" a="1"/>
  <c r="BY127" i="27" s="1"/>
  <c r="BV127" i="27" a="1"/>
  <c r="BV127" i="27" s="1"/>
  <c r="CG127" i="27" a="1"/>
  <c r="CG127" i="27" s="1"/>
  <c r="CH114" i="27" a="1"/>
  <c r="CH114" i="27" s="1"/>
  <c r="BX114" i="27" a="1"/>
  <c r="BX114" i="27" s="1"/>
  <c r="BN114" i="27" a="1"/>
  <c r="BN114" i="27" s="1"/>
  <c r="CB114" i="27" a="1"/>
  <c r="CB114" i="27" s="1"/>
  <c r="BP114" i="27" a="1"/>
  <c r="BP114" i="27" s="1"/>
  <c r="CF114" i="27" a="1"/>
  <c r="CF114" i="27" s="1"/>
  <c r="BT114" i="27" a="1"/>
  <c r="BT114" i="27" s="1"/>
  <c r="BU68" i="27" a="1"/>
  <c r="BU68" i="27" s="1"/>
  <c r="CK68" i="27" a="1"/>
  <c r="CK68" i="27" s="1"/>
  <c r="BP82" i="27" a="1"/>
  <c r="BP82" i="27" s="1"/>
  <c r="BT82" i="27" a="1"/>
  <c r="BT82" i="27" s="1"/>
  <c r="CG82" i="27" a="1"/>
  <c r="CG82" i="27" s="1"/>
  <c r="CA82" i="27" a="1"/>
  <c r="CA82" i="27" s="1"/>
  <c r="CH82" i="27" a="1"/>
  <c r="CH82" i="27" s="1"/>
  <c r="CF82" i="27" a="1"/>
  <c r="CF82" i="27" s="1"/>
  <c r="BX82" i="27" a="1"/>
  <c r="BX82" i="27" s="1"/>
  <c r="CE82" i="27" a="1"/>
  <c r="CE82" i="27" s="1"/>
  <c r="BO82" i="27" a="1"/>
  <c r="BO82" i="27" s="1"/>
  <c r="BR82" i="27" a="1"/>
  <c r="BR82" i="27" s="1"/>
  <c r="BV82" i="27" a="1"/>
  <c r="BV82" i="27" s="1"/>
  <c r="CB82" i="27" a="1"/>
  <c r="CB82" i="27" s="1"/>
  <c r="BZ82" i="27" a="1"/>
  <c r="BZ82" i="27" s="1"/>
  <c r="BU82" i="27" a="1"/>
  <c r="BU82" i="27" s="1"/>
  <c r="CK82" i="27" a="1"/>
  <c r="CK82" i="27" s="1"/>
  <c r="BQ82" i="27" a="1"/>
  <c r="BQ82" i="27" s="1"/>
  <c r="BS82" i="27" a="1"/>
  <c r="BS82" i="27" s="1"/>
  <c r="BO90" i="27" a="1"/>
  <c r="BO90" i="27" s="1"/>
  <c r="BU93" i="27" a="1"/>
  <c r="BU93" i="27" s="1"/>
  <c r="CI93" i="27" a="1"/>
  <c r="CI93" i="27" s="1"/>
  <c r="BY93" i="27" a="1"/>
  <c r="BY93" i="27" s="1"/>
  <c r="BP93" i="27" a="1"/>
  <c r="BP93" i="27" s="1"/>
  <c r="BO93" i="27" a="1"/>
  <c r="BO93" i="27" s="1"/>
  <c r="BV93" i="27" a="1"/>
  <c r="BV93" i="27" s="1"/>
  <c r="BS19" i="27" a="1"/>
  <c r="BS19" i="27" s="1"/>
  <c r="BQ131" i="27" a="1"/>
  <c r="BQ131" i="27" s="1"/>
  <c r="BO35" i="27" a="1"/>
  <c r="BO35" i="27" s="1"/>
  <c r="CI114" i="27" a="1"/>
  <c r="CI114" i="27" s="1"/>
  <c r="BS90" i="27" a="1"/>
  <c r="BS90" i="27" s="1"/>
  <c r="CI35" i="27" a="1"/>
  <c r="CI35" i="27" s="1"/>
  <c r="BO19" i="27" a="1"/>
  <c r="BO19" i="27" s="1"/>
  <c r="CC35" i="27" a="1"/>
  <c r="CC35" i="27" s="1"/>
  <c r="BO131" i="27" a="1"/>
  <c r="BO131" i="27" s="1"/>
  <c r="BQ46" i="27" a="1"/>
  <c r="BQ46" i="27" s="1"/>
  <c r="BQ35" i="27" a="1"/>
  <c r="BQ35" i="27" s="1"/>
  <c r="BY82" i="27" a="1"/>
  <c r="BY82" i="27" s="1"/>
  <c r="BY48" i="27" a="1"/>
  <c r="BY48" i="27" s="1"/>
  <c r="CK48" i="27" a="1"/>
  <c r="CK48" i="27" s="1"/>
  <c r="CJ114" i="27" a="1"/>
  <c r="CJ114" i="27" s="1"/>
  <c r="BR114" i="27" a="1"/>
  <c r="BR114" i="27" s="1"/>
  <c r="CC67" i="27" a="1"/>
  <c r="CC67" i="27" s="1"/>
  <c r="CD114" i="27" a="1"/>
  <c r="CD114" i="27" s="1"/>
  <c r="CB46" i="27" a="1"/>
  <c r="CB46" i="27" s="1"/>
  <c r="CF46" i="27" a="1"/>
  <c r="CF46" i="27" s="1"/>
  <c r="BN82" i="27" a="1"/>
  <c r="BN82" i="27" s="1"/>
  <c r="CK58" i="27" a="1"/>
  <c r="CK58" i="27" s="1"/>
  <c r="CA58" i="27" a="1"/>
  <c r="CA58" i="27" s="1"/>
  <c r="BP119" i="27" a="1"/>
  <c r="BP119" i="27" s="1"/>
  <c r="BZ119" i="27" a="1"/>
  <c r="BZ119" i="27" s="1"/>
  <c r="CF119" i="27" a="1"/>
  <c r="CF119" i="27" s="1"/>
  <c r="BQ119" i="27" a="1"/>
  <c r="BQ119" i="27" s="1"/>
  <c r="CG119" i="27" a="1"/>
  <c r="CG119" i="27" s="1"/>
  <c r="CC119" i="27" a="1"/>
  <c r="CC119" i="27" s="1"/>
  <c r="CK76" i="27" a="1"/>
  <c r="CK76" i="27" s="1"/>
  <c r="BO76" i="27" a="1"/>
  <c r="BO76" i="27" s="1"/>
  <c r="BP28" i="27" a="1"/>
  <c r="BP28" i="27" s="1"/>
  <c r="BT28" i="27" a="1"/>
  <c r="BT28" i="27" s="1"/>
  <c r="BR28" i="27" a="1"/>
  <c r="BR28" i="27" s="1"/>
  <c r="BW28" i="27" a="1"/>
  <c r="BW28" i="27" s="1"/>
  <c r="BQ28" i="27" a="1"/>
  <c r="BQ28" i="27" s="1"/>
  <c r="BX28" i="27" a="1"/>
  <c r="BX28" i="27" s="1"/>
  <c r="CD28" i="27" a="1"/>
  <c r="CD28" i="27" s="1"/>
  <c r="BV28" i="27" a="1"/>
  <c r="BV28" i="27" s="1"/>
  <c r="BZ28" i="27" a="1"/>
  <c r="BZ28" i="27" s="1"/>
  <c r="CG28" i="27" a="1"/>
  <c r="CG28" i="27" s="1"/>
  <c r="BR131" i="27" a="1"/>
  <c r="BR131" i="27" s="1"/>
  <c r="BP131" i="27" a="1"/>
  <c r="BP131" i="27" s="1"/>
  <c r="CH83" i="27" a="1"/>
  <c r="CH83" i="27" s="1"/>
  <c r="CA83" i="27" a="1"/>
  <c r="CA83" i="27" s="1"/>
  <c r="BV83" i="27" a="1"/>
  <c r="BV83" i="27" s="1"/>
  <c r="BU83" i="27" a="1"/>
  <c r="BU83" i="27" s="1"/>
  <c r="CF35" i="27" a="1"/>
  <c r="CF35" i="27" s="1"/>
  <c r="CA35" i="27" a="1"/>
  <c r="CA35" i="27" s="1"/>
  <c r="BT35" i="27" a="1"/>
  <c r="BT35" i="27" s="1"/>
  <c r="BZ35" i="27" a="1"/>
  <c r="BZ35" i="27" s="1"/>
  <c r="CG35" i="27" a="1"/>
  <c r="CG35" i="27" s="1"/>
  <c r="BW35" i="27" a="1"/>
  <c r="BW35" i="27" s="1"/>
  <c r="BX35" i="27" a="1"/>
  <c r="BX35" i="27" s="1"/>
  <c r="BN35" i="27" a="1"/>
  <c r="BN35" i="27" s="1"/>
  <c r="CE35" i="27" a="1"/>
  <c r="CE35" i="27" s="1"/>
  <c r="BP110" i="27" a="1"/>
  <c r="BP110" i="27" s="1"/>
  <c r="CB110" i="27" a="1"/>
  <c r="CB110" i="27" s="1"/>
  <c r="BS62" i="27" a="1"/>
  <c r="BS62" i="27" s="1"/>
  <c r="CF62" i="27" a="1"/>
  <c r="CF62" i="27" s="1"/>
  <c r="BR62" i="27" a="1"/>
  <c r="BR62" i="27" s="1"/>
  <c r="CH62" i="27" a="1"/>
  <c r="CH62" i="27" s="1"/>
  <c r="BY62" i="27" a="1"/>
  <c r="BY62" i="27" s="1"/>
  <c r="CK62" i="27" a="1"/>
  <c r="CK62" i="27" s="1"/>
  <c r="BZ62" i="27" a="1"/>
  <c r="BZ62" i="27" s="1"/>
  <c r="BP62" i="27" a="1"/>
  <c r="BP62" i="27" s="1"/>
  <c r="BU62" i="27" a="1"/>
  <c r="BU62" i="27" s="1"/>
  <c r="CB121" i="27" a="1"/>
  <c r="CB121" i="27" s="1"/>
  <c r="BQ121" i="27" a="1"/>
  <c r="BQ121" i="27" s="1"/>
  <c r="CG121" i="27" a="1"/>
  <c r="CG121" i="27" s="1"/>
  <c r="BU121" i="27" a="1"/>
  <c r="BU121" i="27" s="1"/>
  <c r="CK121" i="27" a="1"/>
  <c r="CK121" i="27" s="1"/>
  <c r="BO121" i="27" a="1"/>
  <c r="BO121" i="27" s="1"/>
  <c r="BV67" i="27" a="1"/>
  <c r="BV67" i="27" s="1"/>
  <c r="BR67" i="27" a="1"/>
  <c r="BR67" i="27" s="1"/>
  <c r="CK67" i="27" a="1"/>
  <c r="CK67" i="27" s="1"/>
  <c r="BN67" i="27" a="1"/>
  <c r="BN67" i="27" s="1"/>
  <c r="BX67" i="27" a="1"/>
  <c r="BX67" i="27" s="1"/>
  <c r="CD67" i="27" a="1"/>
  <c r="CD67" i="27" s="1"/>
  <c r="BS67" i="27" a="1"/>
  <c r="BS67" i="27" s="1"/>
  <c r="BU67" i="27" a="1"/>
  <c r="BU67" i="27" s="1"/>
  <c r="CI67" i="27" a="1"/>
  <c r="CI67" i="27" s="1"/>
  <c r="CH67" i="27" a="1"/>
  <c r="CH67" i="27" s="1"/>
  <c r="CF19" i="27" a="1"/>
  <c r="CF19" i="27" s="1"/>
  <c r="CG19" i="27" a="1"/>
  <c r="CG19" i="27" s="1"/>
  <c r="BR19" i="27" a="1"/>
  <c r="BR19" i="27" s="1"/>
  <c r="BY19" i="27" a="1"/>
  <c r="BY19" i="27" s="1"/>
  <c r="CF48" i="27" a="1"/>
  <c r="CF48" i="27" s="1"/>
  <c r="CJ48" i="27" a="1"/>
  <c r="CJ48" i="27" s="1"/>
  <c r="CA48" i="27" a="1"/>
  <c r="CA48" i="27" s="1"/>
  <c r="BT48" i="27" a="1"/>
  <c r="BT48" i="27" s="1"/>
  <c r="CH48" i="27" a="1"/>
  <c r="CH48" i="27" s="1"/>
  <c r="BZ48" i="27" a="1"/>
  <c r="BZ48" i="27" s="1"/>
  <c r="BP46" i="27" a="1"/>
  <c r="BP46" i="27" s="1"/>
  <c r="BX46" i="27" a="1"/>
  <c r="BX46" i="27" s="1"/>
  <c r="BS121" i="27" a="1"/>
  <c r="BS121" i="27" s="1"/>
  <c r="CC48" i="27" a="1"/>
  <c r="CC48" i="27" s="1"/>
  <c r="BW114" i="27" a="1"/>
  <c r="BW114" i="27" s="1"/>
  <c r="BW45" i="27" a="1"/>
  <c r="BW45" i="27" s="1"/>
  <c r="BT45" i="27" a="1"/>
  <c r="BT45" i="27" s="1"/>
  <c r="BO45" i="27" a="1"/>
  <c r="BO45" i="27" s="1"/>
  <c r="BZ45" i="27" a="1"/>
  <c r="BZ45" i="27" s="1"/>
  <c r="CF45" i="27" a="1"/>
  <c r="CF45" i="27" s="1"/>
  <c r="CA45" i="27" a="1"/>
  <c r="CA45" i="27" s="1"/>
  <c r="CK110" i="27" a="1"/>
  <c r="CK110" i="27" s="1"/>
  <c r="CI62" i="27" a="1"/>
  <c r="CI62" i="27" s="1"/>
  <c r="CC42" i="27" a="1"/>
  <c r="CC42" i="27" s="1"/>
  <c r="CI46" i="27" a="1"/>
  <c r="CI46" i="27" s="1"/>
  <c r="CC110" i="27" a="1"/>
  <c r="CC110" i="27" s="1"/>
  <c r="BU114" i="27" a="1"/>
  <c r="BU114" i="27" s="1"/>
  <c r="CE90" i="27" a="1"/>
  <c r="CE90" i="27" s="1"/>
  <c r="CE31" i="27" a="1"/>
  <c r="CE31" i="27" s="1"/>
  <c r="CI82" i="27" a="1"/>
  <c r="CI82" i="27" s="1"/>
  <c r="CJ93" i="27" a="1"/>
  <c r="CJ93" i="27" s="1"/>
  <c r="CE93" i="27" a="1"/>
  <c r="CE93" i="27" s="1"/>
  <c r="CD93" i="27" a="1"/>
  <c r="CD93" i="27" s="1"/>
  <c r="BQ93" i="27" a="1"/>
  <c r="BQ93" i="27" s="1"/>
  <c r="CK93" i="27" a="1"/>
  <c r="CK93" i="27" s="1"/>
  <c r="CE110" i="27" a="1"/>
  <c r="CE110" i="27" s="1"/>
  <c r="BQ19" i="27" a="1"/>
  <c r="BQ19" i="27" s="1"/>
  <c r="CA131" i="27" a="1"/>
  <c r="CA131" i="27" s="1"/>
  <c r="BO58" i="27" a="1"/>
  <c r="BO58" i="27" s="1"/>
  <c r="CA31" i="27" a="1"/>
  <c r="CA31" i="27" s="1"/>
  <c r="CI83" i="27" a="1"/>
  <c r="CI83" i="27" s="1"/>
  <c r="CA114" i="27" a="1"/>
  <c r="CA114" i="27" s="1"/>
  <c r="BN45" i="27" a="1"/>
  <c r="BN45" i="27" s="1"/>
  <c r="BS45" i="27" a="1"/>
  <c r="BS45" i="27" s="1"/>
  <c r="CH45" i="27" a="1"/>
  <c r="CH45" i="27" s="1"/>
  <c r="BU45" i="27" a="1"/>
  <c r="BU45" i="27" s="1"/>
  <c r="CB45" i="27" a="1"/>
  <c r="CB45" i="27" s="1"/>
  <c r="BQ62" i="27" a="1"/>
  <c r="BQ62" i="27" s="1"/>
  <c r="BS42" i="27" a="1"/>
  <c r="BS42" i="27" s="1"/>
  <c r="CC19" i="27" a="1"/>
  <c r="CC19" i="27" s="1"/>
  <c r="BW42" i="27" a="1"/>
  <c r="BW42" i="27" s="1"/>
  <c r="BS83" i="27" a="1"/>
  <c r="BS83" i="27" s="1"/>
  <c r="CI23" i="27" a="1"/>
  <c r="CI23" i="27" s="1"/>
  <c r="BS48" i="27" a="1"/>
  <c r="BS48" i="27" s="1"/>
  <c r="BS114" i="27" a="1"/>
  <c r="BS114" i="27" s="1"/>
  <c r="CA128" i="27" a="1"/>
  <c r="CA128" i="27" s="1"/>
  <c r="CC62" i="27" a="1"/>
  <c r="CC62" i="27" s="1"/>
  <c r="CG31" i="27" a="1"/>
  <c r="CG31" i="27" s="1"/>
  <c r="BS46" i="27" a="1"/>
  <c r="BS46" i="27" s="1"/>
  <c r="BX48" i="27" a="1"/>
  <c r="BX48" i="27" s="1"/>
  <c r="BY46" i="27" a="1"/>
  <c r="BY46" i="27" s="1"/>
  <c r="CB48" i="27" a="1"/>
  <c r="CB48" i="27" s="1"/>
  <c r="CH35" i="27" a="1"/>
  <c r="CH35" i="27" s="1"/>
  <c r="CD48" i="27" a="1"/>
  <c r="CD48" i="27" s="1"/>
  <c r="BY121" i="27" a="1"/>
  <c r="BY121" i="27" s="1"/>
  <c r="BP67" i="27" a="1"/>
  <c r="BP67" i="27" s="1"/>
  <c r="BP42" i="27" a="1"/>
  <c r="BP42" i="27" s="1"/>
  <c r="BN110" i="27" a="1"/>
  <c r="BN110" i="27" s="1"/>
  <c r="CB62" i="27" a="1"/>
  <c r="CB62" i="27" s="1"/>
  <c r="CD46" i="27" a="1"/>
  <c r="CD46" i="27" s="1"/>
  <c r="CD82" i="27" a="1"/>
  <c r="CD82" i="27" s="1"/>
  <c r="BZ34" i="27" a="1"/>
  <c r="BZ34" i="27" s="1"/>
  <c r="CE88" i="27" a="1"/>
  <c r="CE88" i="27" s="1"/>
  <c r="CA88" i="27" a="1"/>
  <c r="CA88" i="27" s="1"/>
  <c r="BR88" i="27" a="1"/>
  <c r="BR88" i="27" s="1"/>
  <c r="CD88" i="27" a="1"/>
  <c r="CD88" i="27" s="1"/>
  <c r="CF88" i="27" a="1"/>
  <c r="CF88" i="27" s="1"/>
  <c r="BP88" i="27" a="1"/>
  <c r="BP88" i="27" s="1"/>
  <c r="CG88" i="27" a="1"/>
  <c r="CG88" i="27" s="1"/>
  <c r="BW88" i="27" a="1"/>
  <c r="BW88" i="27" s="1"/>
  <c r="CB88" i="27" a="1"/>
  <c r="CB88" i="27" s="1"/>
  <c r="BS88" i="27" a="1"/>
  <c r="BS88" i="27" s="1"/>
  <c r="BQ88" i="27" a="1"/>
  <c r="BQ88" i="27" s="1"/>
  <c r="CB112" i="27" a="1"/>
  <c r="CB112" i="27" s="1"/>
  <c r="CK112" i="27" a="1"/>
  <c r="CK112" i="27" s="1"/>
  <c r="BV112" i="27" a="1"/>
  <c r="BV112" i="27" s="1"/>
  <c r="CK53" i="27" a="1"/>
  <c r="CK53" i="27" s="1"/>
  <c r="BQ53" i="27" a="1"/>
  <c r="BQ53" i="27" s="1"/>
  <c r="CE53" i="27" a="1"/>
  <c r="CE53" i="27" s="1"/>
  <c r="CC53" i="27" a="1"/>
  <c r="CC53" i="27" s="1"/>
  <c r="CJ28" i="27" a="1"/>
  <c r="CJ28" i="27" s="1"/>
  <c r="CB128" i="27" a="1"/>
  <c r="CB128" i="27" s="1"/>
  <c r="BV47" i="27" a="1"/>
  <c r="BV47" i="27" s="1"/>
  <c r="BR47" i="27" a="1"/>
  <c r="BR47" i="27" s="1"/>
  <c r="CE47" i="27" a="1"/>
  <c r="CE47" i="27" s="1"/>
  <c r="CD47" i="27" a="1"/>
  <c r="CD47" i="27" s="1"/>
  <c r="CH47" i="27" a="1"/>
  <c r="CH47" i="27" s="1"/>
  <c r="BX47" i="27" a="1"/>
  <c r="BX47" i="27" s="1"/>
  <c r="BY47" i="27" a="1"/>
  <c r="BY47" i="27" s="1"/>
  <c r="BQ47" i="27" a="1"/>
  <c r="BQ47" i="27" s="1"/>
  <c r="BO47" i="27" a="1"/>
  <c r="BO47" i="27" s="1"/>
  <c r="BP47" i="27" a="1"/>
  <c r="BP47" i="27" s="1"/>
  <c r="BT47" i="27" a="1"/>
  <c r="BT47" i="27" s="1"/>
  <c r="CA47" i="27" a="1"/>
  <c r="CA47" i="27" s="1"/>
  <c r="CF47" i="27" a="1"/>
  <c r="CF47" i="27" s="1"/>
  <c r="BU47" i="27" a="1"/>
  <c r="BU47" i="27" s="1"/>
  <c r="BW47" i="27" a="1"/>
  <c r="BW47" i="27" s="1"/>
  <c r="BR106" i="27" a="1"/>
  <c r="BR106" i="27" s="1"/>
  <c r="CB106" i="27" a="1"/>
  <c r="CB106" i="27" s="1"/>
  <c r="BX106" i="27" a="1"/>
  <c r="BX106" i="27" s="1"/>
  <c r="BV106" i="27" a="1"/>
  <c r="BV106" i="27" s="1"/>
  <c r="CF106" i="27" a="1"/>
  <c r="CF106" i="27" s="1"/>
  <c r="CA106" i="27" a="1"/>
  <c r="CA106" i="27" s="1"/>
  <c r="BP106" i="27" a="1"/>
  <c r="BP106" i="27" s="1"/>
  <c r="CK106" i="27" a="1"/>
  <c r="CK106" i="27" s="1"/>
  <c r="BS106" i="27" a="1"/>
  <c r="BS106" i="27" s="1"/>
  <c r="BZ106" i="27" a="1"/>
  <c r="BZ106" i="27" s="1"/>
  <c r="BN106" i="27" a="1"/>
  <c r="BN106" i="27" s="1"/>
  <c r="CE106" i="27" a="1"/>
  <c r="CE106" i="27" s="1"/>
  <c r="BY106" i="27" a="1"/>
  <c r="BY106" i="27" s="1"/>
  <c r="CJ106" i="27" a="1"/>
  <c r="CJ106" i="27" s="1"/>
  <c r="BQ106" i="27" a="1"/>
  <c r="BQ106" i="27" s="1"/>
  <c r="BW106" i="27" a="1"/>
  <c r="BW106" i="27" s="1"/>
  <c r="BN126" i="27" a="1"/>
  <c r="BN126" i="27" s="1"/>
  <c r="CD126" i="27" a="1"/>
  <c r="CD126" i="27" s="1"/>
  <c r="CB126" i="27" a="1"/>
  <c r="CB126" i="27" s="1"/>
  <c r="BQ126" i="27" a="1"/>
  <c r="BQ126" i="27" s="1"/>
  <c r="CA126" i="27" a="1"/>
  <c r="CA126" i="27" s="1"/>
  <c r="BX126" i="27" a="1"/>
  <c r="BX126" i="27" s="1"/>
  <c r="CH126" i="27" a="1"/>
  <c r="CH126" i="27" s="1"/>
  <c r="BS54" i="27" a="1"/>
  <c r="BS54" i="27" s="1"/>
  <c r="BN54" i="27" a="1"/>
  <c r="BN54" i="27" s="1"/>
  <c r="CG54" i="27" a="1"/>
  <c r="CG54" i="27" s="1"/>
  <c r="CE54" i="27" a="1"/>
  <c r="CE54" i="27" s="1"/>
  <c r="BV54" i="27" a="1"/>
  <c r="BV54" i="27" s="1"/>
  <c r="CK54" i="27" a="1"/>
  <c r="CK54" i="27" s="1"/>
  <c r="CK101" i="27" a="1"/>
  <c r="CK101" i="27" s="1"/>
  <c r="CA101" i="27" a="1"/>
  <c r="CA101" i="27" s="1"/>
  <c r="BU101" i="27" a="1"/>
  <c r="BU101" i="27" s="1"/>
  <c r="BY101" i="27" a="1"/>
  <c r="BY101" i="27" s="1"/>
  <c r="CC101" i="27" a="1"/>
  <c r="CC101" i="27" s="1"/>
  <c r="CD101" i="27" a="1"/>
  <c r="CD101" i="27" s="1"/>
  <c r="BW101" i="27" a="1"/>
  <c r="BW101" i="27" s="1"/>
  <c r="BS101" i="27" a="1"/>
  <c r="BS101" i="27" s="1"/>
  <c r="BX29" i="27" a="1"/>
  <c r="BX29" i="27" s="1"/>
  <c r="CK29" i="27" a="1"/>
  <c r="CK29" i="27" s="1"/>
  <c r="CD29" i="27" a="1"/>
  <c r="CD29" i="27" s="1"/>
  <c r="CA29" i="27" a="1"/>
  <c r="CA29" i="27" s="1"/>
  <c r="CE29" i="27" a="1"/>
  <c r="CE29" i="27" s="1"/>
  <c r="BS29" i="27" a="1"/>
  <c r="BS29" i="27" s="1"/>
  <c r="BY29" i="27" a="1"/>
  <c r="BY29" i="27" s="1"/>
  <c r="CG29" i="27" a="1"/>
  <c r="CG29" i="27" s="1"/>
  <c r="CC29" i="27" a="1"/>
  <c r="CC29" i="27" s="1"/>
  <c r="BO29" i="27" a="1"/>
  <c r="BO29" i="27" s="1"/>
  <c r="BZ104" i="27" a="1"/>
  <c r="BZ104" i="27" s="1"/>
  <c r="BY104" i="27" a="1"/>
  <c r="BY104" i="27" s="1"/>
  <c r="CC104" i="27" a="1"/>
  <c r="CC104" i="27" s="1"/>
  <c r="CK104" i="27" a="1"/>
  <c r="CK104" i="27" s="1"/>
  <c r="BS104" i="27" a="1"/>
  <c r="BS104" i="27" s="1"/>
  <c r="BQ104" i="27" a="1"/>
  <c r="BQ104" i="27" s="1"/>
  <c r="BT32" i="27" a="1"/>
  <c r="BT32" i="27" s="1"/>
  <c r="CD32" i="27" a="1"/>
  <c r="CD32" i="27" s="1"/>
  <c r="BY32" i="27" a="1"/>
  <c r="BY32" i="27" s="1"/>
  <c r="CF32" i="27" a="1"/>
  <c r="CF32" i="27" s="1"/>
  <c r="CK32" i="27" a="1"/>
  <c r="CK32" i="27" s="1"/>
  <c r="CA32" i="27" a="1"/>
  <c r="CA32" i="27" s="1"/>
  <c r="BQ32" i="27" a="1"/>
  <c r="BQ32" i="27" s="1"/>
  <c r="CI32" i="27" a="1"/>
  <c r="CI32" i="27" s="1"/>
  <c r="CJ32" i="27" a="1"/>
  <c r="CJ32" i="27" s="1"/>
  <c r="CB13" i="27" a="1"/>
  <c r="CB13" i="27" s="1"/>
  <c r="BU13" i="27" a="1"/>
  <c r="BU13" i="27" s="1"/>
  <c r="CK13" i="27" a="1"/>
  <c r="CK13" i="27" s="1"/>
  <c r="CG13" i="27" a="1"/>
  <c r="CG13" i="27" s="1"/>
  <c r="CA13" i="27" a="1"/>
  <c r="CA13" i="27" s="1"/>
  <c r="BW13" i="27" a="1"/>
  <c r="BW13" i="27" s="1"/>
  <c r="BS13" i="27" a="1"/>
  <c r="BS13" i="27" s="1"/>
  <c r="BO13" i="27" a="1"/>
  <c r="BO13" i="27" s="1"/>
  <c r="BQ13" i="27" a="1"/>
  <c r="BQ13" i="27" s="1"/>
  <c r="CG72" i="27" a="1"/>
  <c r="CG72" i="27" s="1"/>
  <c r="CI72" i="27" a="1"/>
  <c r="CI72" i="27" s="1"/>
  <c r="BY72" i="27" a="1"/>
  <c r="BY72" i="27" s="1"/>
  <c r="CK72" i="27" a="1"/>
  <c r="CK72" i="27" s="1"/>
  <c r="BS72" i="27" a="1"/>
  <c r="BS72" i="27" s="1"/>
  <c r="BY56" i="27" a="1"/>
  <c r="BY56" i="27" s="1"/>
  <c r="BX56" i="27" a="1"/>
  <c r="BX56" i="27" s="1"/>
  <c r="BO56" i="27" a="1"/>
  <c r="BO56" i="27" s="1"/>
  <c r="BP51" i="27" a="1"/>
  <c r="BP51" i="27" s="1"/>
  <c r="BO51" i="27" a="1"/>
  <c r="BO51" i="27" s="1"/>
  <c r="BX51" i="27" a="1"/>
  <c r="BX51" i="27" s="1"/>
  <c r="BY51" i="27" a="1"/>
  <c r="BY51" i="27" s="1"/>
  <c r="CJ51" i="27" a="1"/>
  <c r="CJ51" i="27" s="1"/>
  <c r="BN51" i="27" a="1"/>
  <c r="BN51" i="27" s="1"/>
  <c r="BX100" i="27" a="1"/>
  <c r="BX100" i="27" s="1"/>
  <c r="BT100" i="27" a="1"/>
  <c r="BT100" i="27" s="1"/>
  <c r="BN100" i="27" a="1"/>
  <c r="BN100" i="27" s="1"/>
  <c r="CA100" i="27" a="1"/>
  <c r="CA100" i="27" s="1"/>
  <c r="CG100" i="27" a="1"/>
  <c r="CG100" i="27" s="1"/>
  <c r="CK100" i="27" a="1"/>
  <c r="CK100" i="27" s="1"/>
  <c r="BV100" i="27" a="1"/>
  <c r="BV100" i="27" s="1"/>
  <c r="BR100" i="27" a="1"/>
  <c r="BR100" i="27" s="1"/>
  <c r="CD100" i="27" a="1"/>
  <c r="CD100" i="27" s="1"/>
  <c r="BW100" i="27" a="1"/>
  <c r="BW100" i="27" s="1"/>
  <c r="CJ100" i="27" a="1"/>
  <c r="CJ100" i="27" s="1"/>
  <c r="CH100" i="27" a="1"/>
  <c r="CH100" i="27" s="1"/>
  <c r="BQ100" i="27" a="1"/>
  <c r="BQ100" i="27" s="1"/>
  <c r="BY100" i="27" a="1"/>
  <c r="BY100" i="27" s="1"/>
  <c r="BP100" i="27" a="1"/>
  <c r="BP100" i="27" s="1"/>
  <c r="BZ100" i="27" a="1"/>
  <c r="BZ100" i="27" s="1"/>
  <c r="CF100" i="27" a="1"/>
  <c r="CF100" i="27" s="1"/>
  <c r="BU100" i="27" a="1"/>
  <c r="BU100" i="27" s="1"/>
  <c r="CC100" i="27" a="1"/>
  <c r="CC100" i="27" s="1"/>
  <c r="BN40" i="27" a="1"/>
  <c r="BN40" i="27" s="1"/>
  <c r="CF40" i="27" a="1"/>
  <c r="CF40" i="27" s="1"/>
  <c r="CB40" i="27" a="1"/>
  <c r="CB40" i="27" s="1"/>
  <c r="BW40" i="27" a="1"/>
  <c r="BW40" i="27" s="1"/>
  <c r="BY40" i="27" a="1"/>
  <c r="BY40" i="27" s="1"/>
  <c r="BU40" i="27" a="1"/>
  <c r="BU40" i="27" s="1"/>
  <c r="BP40" i="27" a="1"/>
  <c r="BP40" i="27" s="1"/>
  <c r="CG40" i="27" a="1"/>
  <c r="CG40" i="27" s="1"/>
  <c r="BV40" i="27" a="1"/>
  <c r="BV40" i="27" s="1"/>
  <c r="CE40" i="27" a="1"/>
  <c r="CE40" i="27" s="1"/>
  <c r="BQ40" i="27" a="1"/>
  <c r="BQ40" i="27" s="1"/>
  <c r="CI40" i="27" a="1"/>
  <c r="CI40" i="27" s="1"/>
  <c r="CH40" i="27" a="1"/>
  <c r="CH40" i="27" s="1"/>
  <c r="CJ40" i="27" a="1"/>
  <c r="CJ40" i="27" s="1"/>
  <c r="CK40" i="27" a="1"/>
  <c r="CK40" i="27" s="1"/>
  <c r="CC40" i="27" a="1"/>
  <c r="CC40" i="27" s="1"/>
  <c r="BT21" i="27" a="1"/>
  <c r="BT21" i="27" s="1"/>
  <c r="BN21" i="27" a="1"/>
  <c r="BN21" i="27" s="1"/>
  <c r="BR21" i="27" a="1"/>
  <c r="BR21" i="27" s="1"/>
  <c r="CJ21" i="27" a="1"/>
  <c r="CJ21" i="27" s="1"/>
  <c r="CH21" i="27" a="1"/>
  <c r="CH21" i="27" s="1"/>
  <c r="CD21" i="27" a="1"/>
  <c r="CD21" i="27" s="1"/>
  <c r="BU21" i="27" a="1"/>
  <c r="BU21" i="27" s="1"/>
  <c r="BW21" i="27" a="1"/>
  <c r="BW21" i="27" s="1"/>
  <c r="CK21" i="27" a="1"/>
  <c r="CK21" i="27" s="1"/>
  <c r="BS21" i="27" a="1"/>
  <c r="BS21" i="27" s="1"/>
  <c r="BP21" i="27" a="1"/>
  <c r="BP21" i="27" s="1"/>
  <c r="CB21" i="27" a="1"/>
  <c r="CB21" i="27" s="1"/>
  <c r="CG21" i="27" a="1"/>
  <c r="CG21" i="27" s="1"/>
  <c r="BO21" i="27" a="1"/>
  <c r="BO21" i="27" s="1"/>
  <c r="CF21" i="27" a="1"/>
  <c r="CF21" i="27" s="1"/>
  <c r="BZ21" i="27" a="1"/>
  <c r="BZ21" i="27" s="1"/>
  <c r="BX21" i="27" a="1"/>
  <c r="BX21" i="27" s="1"/>
  <c r="CA21" i="27" a="1"/>
  <c r="CA21" i="27" s="1"/>
  <c r="CI128" i="27" a="1"/>
  <c r="CI128" i="27" s="1"/>
  <c r="CJ128" i="27" a="1"/>
  <c r="CJ128" i="27" s="1"/>
  <c r="CK128" i="27" a="1"/>
  <c r="CK128" i="27" s="1"/>
  <c r="CF128" i="27" a="1"/>
  <c r="CF128" i="27" s="1"/>
  <c r="CG128" i="27" a="1"/>
  <c r="CG128" i="27" s="1"/>
  <c r="CH128" i="27" a="1"/>
  <c r="CH128" i="27" s="1"/>
  <c r="BQ128" i="27" a="1"/>
  <c r="BQ128" i="27" s="1"/>
  <c r="BR128" i="27" a="1"/>
  <c r="BR128" i="27" s="1"/>
  <c r="BS128" i="27" a="1"/>
  <c r="BS128" i="27" s="1"/>
  <c r="BN128" i="27" a="1"/>
  <c r="BN128" i="27" s="1"/>
  <c r="BO128" i="27" a="1"/>
  <c r="BO128" i="27" s="1"/>
  <c r="BP128" i="27" a="1"/>
  <c r="BP128" i="27" s="1"/>
  <c r="BW128" i="27" a="1"/>
  <c r="BW128" i="27" s="1"/>
  <c r="BX128" i="27" a="1"/>
  <c r="BX128" i="27" s="1"/>
  <c r="BY128" i="27" a="1"/>
  <c r="BY128" i="27" s="1"/>
  <c r="BT128" i="27" a="1"/>
  <c r="BT128" i="27" s="1"/>
  <c r="BU128" i="27" a="1"/>
  <c r="BU128" i="27" s="1"/>
  <c r="BV128" i="27" a="1"/>
  <c r="BV128" i="27" s="1"/>
  <c r="CE128" i="27" a="1"/>
  <c r="CE128" i="27" s="1"/>
  <c r="BV31" i="27" a="1"/>
  <c r="BV31" i="27" s="1"/>
  <c r="BX31" i="27" a="1"/>
  <c r="BX31" i="27" s="1"/>
  <c r="CH31" i="27" a="1"/>
  <c r="CH31" i="27" s="1"/>
  <c r="BV95" i="27" a="1"/>
  <c r="BV95" i="27" s="1"/>
  <c r="CJ95" i="27" a="1"/>
  <c r="CJ95" i="27" s="1"/>
  <c r="BN95" i="27" a="1"/>
  <c r="BN95" i="27" s="1"/>
  <c r="BU95" i="27" a="1"/>
  <c r="BU95" i="27" s="1"/>
  <c r="BN122" i="27" a="1"/>
  <c r="BN122" i="27" s="1"/>
  <c r="CF122" i="27" a="1"/>
  <c r="CF122" i="27" s="1"/>
  <c r="BX122" i="27" a="1"/>
  <c r="BX122" i="27" s="1"/>
  <c r="CD50" i="27" a="1"/>
  <c r="CD50" i="27" s="1"/>
  <c r="BZ50" i="27" a="1"/>
  <c r="BZ50" i="27" s="1"/>
  <c r="BP50" i="27" a="1"/>
  <c r="BP50" i="27" s="1"/>
  <c r="CH50" i="27" a="1"/>
  <c r="CH50" i="27" s="1"/>
  <c r="CB50" i="27" a="1"/>
  <c r="CB50" i="27" s="1"/>
  <c r="BY103" i="27" a="1"/>
  <c r="BY103" i="27" s="1"/>
  <c r="CB103" i="27" a="1"/>
  <c r="CB103" i="27" s="1"/>
  <c r="CJ103" i="27" a="1"/>
  <c r="CJ103" i="27" s="1"/>
  <c r="CF103" i="27" a="1"/>
  <c r="CF103" i="27" s="1"/>
  <c r="BV103" i="27" a="1"/>
  <c r="BV103" i="27" s="1"/>
  <c r="BX103" i="27" a="1"/>
  <c r="BX103" i="27" s="1"/>
  <c r="BZ55" i="27" a="1"/>
  <c r="BZ55" i="27" s="1"/>
  <c r="BP55" i="27" a="1"/>
  <c r="BP55" i="27" s="1"/>
  <c r="BN55" i="27" a="1"/>
  <c r="BN55" i="27" s="1"/>
  <c r="BX55" i="27" a="1"/>
  <c r="BX55" i="27" s="1"/>
  <c r="CF55" i="27" a="1"/>
  <c r="CF55" i="27" s="1"/>
  <c r="BV55" i="27" a="1"/>
  <c r="BV55" i="27" s="1"/>
  <c r="CH55" i="27" a="1"/>
  <c r="CH55" i="27" s="1"/>
  <c r="CJ55" i="27" a="1"/>
  <c r="CJ55" i="27" s="1"/>
  <c r="BU55" i="27" a="1"/>
  <c r="BU55" i="27" s="1"/>
  <c r="BZ139" i="27" a="1"/>
  <c r="BZ139" i="27" s="1"/>
  <c r="CE139" i="27" a="1"/>
  <c r="CE139" i="27" s="1"/>
  <c r="BT139" i="27" a="1"/>
  <c r="BT139" i="27" s="1"/>
  <c r="BN139" i="27" a="1"/>
  <c r="BN139" i="27" s="1"/>
  <c r="BP139" i="27" a="1"/>
  <c r="BP139" i="27" s="1"/>
  <c r="CH139" i="27" a="1"/>
  <c r="CH139" i="27" s="1"/>
  <c r="CD139" i="27" a="1"/>
  <c r="CD139" i="27" s="1"/>
  <c r="CB139" i="27" a="1"/>
  <c r="CB139" i="27" s="1"/>
  <c r="CA139" i="27" a="1"/>
  <c r="CA139" i="27" s="1"/>
  <c r="CD18" i="27" a="1"/>
  <c r="CD18" i="27" s="1"/>
  <c r="BT18" i="27" a="1"/>
  <c r="BT18" i="27" s="1"/>
  <c r="BW18" i="27" a="1"/>
  <c r="BW18" i="27" s="1"/>
  <c r="CH18" i="27" a="1"/>
  <c r="CH18" i="27" s="1"/>
  <c r="BZ18" i="27" a="1"/>
  <c r="BZ18" i="27" s="1"/>
  <c r="CF18" i="27" a="1"/>
  <c r="CF18" i="27" s="1"/>
  <c r="BX18" i="27" a="1"/>
  <c r="BX18" i="27" s="1"/>
  <c r="CB18" i="27" a="1"/>
  <c r="CB18" i="27" s="1"/>
  <c r="BP18" i="27" a="1"/>
  <c r="BP18" i="27" s="1"/>
  <c r="BR18" i="27" a="1"/>
  <c r="BR18" i="27" s="1"/>
  <c r="CE12" i="27" a="1"/>
  <c r="CE12" i="27" s="1"/>
  <c r="CD12" i="27" a="1"/>
  <c r="CD12" i="27" s="1"/>
  <c r="BZ11" i="27" a="1"/>
  <c r="BZ11" i="27" s="1"/>
  <c r="CE11" i="27" a="1"/>
  <c r="CE11" i="27" s="1"/>
  <c r="BN11" i="27" a="1"/>
  <c r="BN11" i="27" s="1"/>
  <c r="BR11" i="27" a="1"/>
  <c r="BR11" i="27" s="1"/>
  <c r="CH11" i="27" a="1"/>
  <c r="CH11" i="27" s="1"/>
  <c r="CB11" i="27" a="1"/>
  <c r="CB11" i="27" s="1"/>
  <c r="CD11" i="27" a="1"/>
  <c r="CD11" i="27" s="1"/>
  <c r="CA11" i="27" a="1"/>
  <c r="CA11" i="27" s="1"/>
  <c r="BO115" i="27" a="1"/>
  <c r="BO115" i="27" s="1"/>
  <c r="BN115" i="27" a="1"/>
  <c r="BN115" i="27" s="1"/>
  <c r="CA115" i="27" a="1"/>
  <c r="CA115" i="27" s="1"/>
  <c r="CB115" i="27" a="1"/>
  <c r="CB115" i="27" s="1"/>
  <c r="BX115" i="27" a="1"/>
  <c r="BX115" i="27" s="1"/>
  <c r="CK115" i="27" a="1"/>
  <c r="CK115" i="27" s="1"/>
  <c r="BW115" i="27" a="1"/>
  <c r="BW115" i="27" s="1"/>
  <c r="CI115" i="27" a="1"/>
  <c r="CI115" i="27" s="1"/>
  <c r="CD115" i="27" a="1"/>
  <c r="CD115" i="27" s="1"/>
  <c r="CE115" i="27" a="1"/>
  <c r="CE115" i="27" s="1"/>
  <c r="CH115" i="27" a="1"/>
  <c r="CH115" i="27" s="1"/>
  <c r="BS115" i="27" a="1"/>
  <c r="BS115" i="27" s="1"/>
  <c r="BY115" i="27" a="1"/>
  <c r="BY115" i="27" s="1"/>
  <c r="CA122" i="27" a="1"/>
  <c r="CA122" i="27" s="1"/>
  <c r="CE50" i="27" a="1"/>
  <c r="CE50" i="27" s="1"/>
  <c r="BO31" i="27" a="1"/>
  <c r="BO31" i="27" s="1"/>
  <c r="BW103" i="27" a="1"/>
  <c r="BW103" i="27" s="1"/>
  <c r="BO55" i="27" a="1"/>
  <c r="BO55" i="27" s="1"/>
  <c r="BS139" i="27" a="1"/>
  <c r="BS139" i="27" s="1"/>
  <c r="CG60" i="27" a="1"/>
  <c r="CG60" i="27" s="1"/>
  <c r="CI50" i="27" a="1"/>
  <c r="CI50" i="27" s="1"/>
  <c r="CI58" i="27" a="1"/>
  <c r="CI58" i="27" s="1"/>
  <c r="BW139" i="27" a="1"/>
  <c r="BW139" i="27" s="1"/>
  <c r="CC60" i="27" a="1"/>
  <c r="CC60" i="27" s="1"/>
  <c r="CA18" i="27" a="1"/>
  <c r="CA18" i="27" s="1"/>
  <c r="BO105" i="27" a="1"/>
  <c r="BO105" i="27" s="1"/>
  <c r="BN105" i="27" a="1"/>
  <c r="BN105" i="27" s="1"/>
  <c r="BR105" i="27" a="1"/>
  <c r="BR105" i="27" s="1"/>
  <c r="BV105" i="27" a="1"/>
  <c r="BV105" i="27" s="1"/>
  <c r="BQ105" i="27" a="1"/>
  <c r="BQ105" i="27" s="1"/>
  <c r="BP105" i="27" a="1"/>
  <c r="BP105" i="27" s="1"/>
  <c r="BS50" i="27" a="1"/>
  <c r="BS50" i="27" s="1"/>
  <c r="CC58" i="27" a="1"/>
  <c r="CC58" i="27" s="1"/>
  <c r="CK55" i="27" a="1"/>
  <c r="CK55" i="27" s="1"/>
  <c r="CE103" i="27" a="1"/>
  <c r="CE103" i="27" s="1"/>
  <c r="BY122" i="27" a="1"/>
  <c r="BY122" i="27" s="1"/>
  <c r="CK103" i="27" a="1"/>
  <c r="CK103" i="27" s="1"/>
  <c r="BQ55" i="27" a="1"/>
  <c r="BQ55" i="27" s="1"/>
  <c r="BS58" i="27" a="1"/>
  <c r="BS58" i="27" s="1"/>
  <c r="BX12" i="27" a="1"/>
  <c r="BX12" i="27" s="1"/>
  <c r="BN18" i="27" a="1"/>
  <c r="BN18" i="27" s="1"/>
  <c r="BU50" i="27" a="1"/>
  <c r="BU50" i="27" s="1"/>
  <c r="BU11" i="27" a="1"/>
  <c r="BU11" i="27" s="1"/>
  <c r="CD55" i="27" a="1"/>
  <c r="CD55" i="27" s="1"/>
  <c r="CD122" i="27" a="1"/>
  <c r="CD122" i="27" s="1"/>
  <c r="BR50" i="27" a="1"/>
  <c r="BR50" i="27" s="1"/>
  <c r="BV139" i="27" a="1"/>
  <c r="BV139" i="27" s="1"/>
  <c r="CK95" i="27" a="1"/>
  <c r="CK95" i="27" s="1"/>
  <c r="BX11" i="27" a="1"/>
  <c r="BX11" i="27" s="1"/>
  <c r="BQ115" i="27" a="1"/>
  <c r="BQ115" i="27" s="1"/>
  <c r="BT11" i="27" a="1"/>
  <c r="BT11" i="27" s="1"/>
  <c r="CF95" i="27" a="1"/>
  <c r="CF95" i="27" s="1"/>
  <c r="BW46" i="27" a="1"/>
  <c r="BW46" i="27" s="1"/>
  <c r="BZ46" i="27" a="1"/>
  <c r="BZ46" i="27" s="1"/>
  <c r="CJ46" i="27" a="1"/>
  <c r="CJ46" i="27" s="1"/>
  <c r="CE46" i="27" a="1"/>
  <c r="CE46" i="27" s="1"/>
  <c r="BV46" i="27" a="1"/>
  <c r="BV46" i="27" s="1"/>
  <c r="BR46" i="27" a="1"/>
  <c r="BR46" i="27" s="1"/>
  <c r="CA46" i="27" a="1"/>
  <c r="CA46" i="27" s="1"/>
  <c r="BT46" i="27" a="1"/>
  <c r="BT46" i="27" s="1"/>
  <c r="CK46" i="27" a="1"/>
  <c r="CK46" i="27" s="1"/>
  <c r="BO11" i="27" a="1"/>
  <c r="BO11" i="27" s="1"/>
  <c r="BQ139" i="27" a="1"/>
  <c r="BQ139" i="27" s="1"/>
  <c r="CG18" i="27" a="1"/>
  <c r="CG18" i="27" s="1"/>
  <c r="CG122" i="27" a="1"/>
  <c r="CG122" i="27" s="1"/>
  <c r="BO103" i="27" a="1"/>
  <c r="BO103" i="27" s="1"/>
  <c r="CA95" i="27" a="1"/>
  <c r="CA95" i="27" s="1"/>
  <c r="BY18" i="27" a="1"/>
  <c r="BY18" i="27" s="1"/>
  <c r="CH105" i="27" a="1"/>
  <c r="CH105" i="27" s="1"/>
  <c r="CB105" i="27" a="1"/>
  <c r="CB105" i="27" s="1"/>
  <c r="CK105" i="27" a="1"/>
  <c r="CK105" i="27" s="1"/>
  <c r="CJ105" i="27" a="1"/>
  <c r="CJ105" i="27" s="1"/>
  <c r="CE105" i="27" a="1"/>
  <c r="CE105" i="27" s="1"/>
  <c r="CK122" i="27" a="1"/>
  <c r="CK122" i="27" s="1"/>
  <c r="CI103" i="27" a="1"/>
  <c r="CI103" i="27" s="1"/>
  <c r="BS95" i="27" a="1"/>
  <c r="BS95" i="27" s="1"/>
  <c r="CG55" i="27" a="1"/>
  <c r="CG55" i="27" s="1"/>
  <c r="CG103" i="27" a="1"/>
  <c r="CG103" i="27" s="1"/>
  <c r="BQ95" i="27" a="1"/>
  <c r="BQ95" i="27" s="1"/>
  <c r="BY50" i="27" a="1"/>
  <c r="BY50" i="27" s="1"/>
  <c r="BY11" i="27" a="1"/>
  <c r="BY11" i="27" s="1"/>
  <c r="CG115" i="27" a="1"/>
  <c r="CG115" i="27" s="1"/>
  <c r="BV18" i="27" a="1"/>
  <c r="BV18" i="27" s="1"/>
  <c r="CH103" i="27" a="1"/>
  <c r="CH103" i="27" s="1"/>
  <c r="BU103" i="27" a="1"/>
  <c r="BU103" i="27" s="1"/>
  <c r="BR115" i="27" a="1"/>
  <c r="BR115" i="27" s="1"/>
  <c r="BN50" i="27" a="1"/>
  <c r="BN50" i="27" s="1"/>
  <c r="BX139" i="27" a="1"/>
  <c r="BX139" i="27" s="1"/>
  <c r="CD138" i="27" a="1"/>
  <c r="CD138" i="27" s="1"/>
  <c r="BU138" i="27" a="1"/>
  <c r="BU138" i="27" s="1"/>
  <c r="CB138" i="27" a="1"/>
  <c r="CB138" i="27" s="1"/>
  <c r="BP138" i="27" a="1"/>
  <c r="BP138" i="27" s="1"/>
  <c r="BV138" i="27" a="1"/>
  <c r="BV138" i="27" s="1"/>
  <c r="CH65" i="27" a="1"/>
  <c r="CH65" i="27" s="1"/>
  <c r="CF65" i="27" a="1"/>
  <c r="CF65" i="27" s="1"/>
  <c r="CK65" i="27" a="1"/>
  <c r="CK65" i="27" s="1"/>
  <c r="CD116" i="27" a="1"/>
  <c r="CD116" i="27" s="1"/>
  <c r="BT116" i="27" a="1"/>
  <c r="BT116" i="27" s="1"/>
  <c r="BX116" i="27" a="1"/>
  <c r="BX116" i="27" s="1"/>
  <c r="CE44" i="27" a="1"/>
  <c r="CE44" i="27" s="1"/>
  <c r="BU44" i="27" a="1"/>
  <c r="BU44" i="27" s="1"/>
  <c r="CH25" i="27" a="1"/>
  <c r="CH25" i="27" s="1"/>
  <c r="CD25" i="27" a="1"/>
  <c r="CD25" i="27" s="1"/>
  <c r="CJ53" i="27" a="1"/>
  <c r="CJ53" i="27" s="1"/>
  <c r="CF53" i="27" a="1"/>
  <c r="CF53" i="27" s="1"/>
  <c r="CH53" i="27" a="1"/>
  <c r="CH53" i="27" s="1"/>
  <c r="CD53" i="27" a="1"/>
  <c r="CD53" i="27" s="1"/>
  <c r="BY53" i="27" a="1"/>
  <c r="BY53" i="27" s="1"/>
  <c r="CH120" i="27" a="1"/>
  <c r="CH120" i="27" s="1"/>
  <c r="CD120" i="27" a="1"/>
  <c r="CD120" i="27" s="1"/>
  <c r="BV120" i="27" a="1"/>
  <c r="BV120" i="27" s="1"/>
  <c r="BU120" i="27" a="1"/>
  <c r="BU120" i="27" s="1"/>
  <c r="CF120" i="27" a="1"/>
  <c r="CF120" i="27" s="1"/>
  <c r="CB73" i="27" a="1"/>
  <c r="CB73" i="27" s="1"/>
  <c r="BX73" i="27" a="1"/>
  <c r="BX73" i="27" s="1"/>
  <c r="BN73" i="27" a="1"/>
  <c r="BN73" i="27" s="1"/>
  <c r="BR73" i="27" a="1"/>
  <c r="BR73" i="27" s="1"/>
  <c r="BN89" i="27" a="1"/>
  <c r="BN89" i="27" s="1"/>
  <c r="BP89" i="27" a="1"/>
  <c r="BP89" i="27" s="1"/>
  <c r="BV89" i="27" a="1"/>
  <c r="BV89" i="27" s="1"/>
  <c r="BT89" i="27" a="1"/>
  <c r="BT89" i="27" s="1"/>
  <c r="CD27" i="27" a="1"/>
  <c r="CD27" i="27" s="1"/>
  <c r="CB27" i="27" a="1"/>
  <c r="CB27" i="27" s="1"/>
  <c r="BZ107" i="27" a="1"/>
  <c r="BZ107" i="27" s="1"/>
  <c r="CK107" i="27" a="1"/>
  <c r="CK107" i="27" s="1"/>
  <c r="CE107" i="27" a="1"/>
  <c r="CE107" i="27" s="1"/>
  <c r="BU107" i="27" a="1"/>
  <c r="BU107" i="27" s="1"/>
  <c r="CJ107" i="27" a="1"/>
  <c r="CJ107" i="27" s="1"/>
  <c r="CB107" i="27" a="1"/>
  <c r="CB107" i="27" s="1"/>
  <c r="BR107" i="27" a="1"/>
  <c r="BR107" i="27" s="1"/>
  <c r="CD107" i="27" a="1"/>
  <c r="CD107" i="27" s="1"/>
  <c r="CF107" i="27" a="1"/>
  <c r="CF107" i="27" s="1"/>
  <c r="BX107" i="27" a="1"/>
  <c r="BX107" i="27" s="1"/>
  <c r="BN107" i="27" a="1"/>
  <c r="BN107" i="27" s="1"/>
  <c r="CH107" i="27" a="1"/>
  <c r="CH107" i="27" s="1"/>
  <c r="BY107" i="27" a="1"/>
  <c r="BY107" i="27" s="1"/>
  <c r="CG107" i="27" a="1"/>
  <c r="CG107" i="27" s="1"/>
  <c r="BQ107" i="27" a="1"/>
  <c r="BQ107" i="27" s="1"/>
  <c r="BO107" i="27" a="1"/>
  <c r="BO107" i="27" s="1"/>
  <c r="BN59" i="27" a="1"/>
  <c r="BN59" i="27" s="1"/>
  <c r="BX59" i="27" a="1"/>
  <c r="BX59" i="27" s="1"/>
  <c r="CF59" i="27" a="1"/>
  <c r="CF59" i="27" s="1"/>
  <c r="BQ59" i="27" a="1"/>
  <c r="BQ59" i="27" s="1"/>
  <c r="BT117" i="27" a="1"/>
  <c r="BT117" i="27" s="1"/>
  <c r="BU117" i="27" a="1"/>
  <c r="BU117" i="27" s="1"/>
  <c r="BY117" i="27" a="1"/>
  <c r="BY117" i="27" s="1"/>
  <c r="CJ117" i="27" a="1"/>
  <c r="CJ117" i="27" s="1"/>
  <c r="CB117" i="27" a="1"/>
  <c r="CB117" i="27" s="1"/>
  <c r="CG117" i="27" a="1"/>
  <c r="CG117" i="27" s="1"/>
  <c r="BP117" i="27" a="1"/>
  <c r="BP117" i="27" s="1"/>
  <c r="BQ117" i="27" a="1"/>
  <c r="BQ117" i="27" s="1"/>
  <c r="BO117" i="27" a="1"/>
  <c r="BO117" i="27" s="1"/>
  <c r="CA117" i="27" a="1"/>
  <c r="CA117" i="27" s="1"/>
  <c r="BS117" i="27" a="1"/>
  <c r="BS117" i="27" s="1"/>
  <c r="BW117" i="27" a="1"/>
  <c r="BW117" i="27" s="1"/>
  <c r="BU69" i="27" a="1"/>
  <c r="BU69" i="27" s="1"/>
  <c r="BT69" i="27" a="1"/>
  <c r="BT69" i="27" s="1"/>
  <c r="BW69" i="27" a="1"/>
  <c r="BW69" i="27" s="1"/>
  <c r="CF69" i="27" a="1"/>
  <c r="CF69" i="27" s="1"/>
  <c r="CA69" i="27" a="1"/>
  <c r="CA69" i="27" s="1"/>
  <c r="BP69" i="27" a="1"/>
  <c r="BP69" i="27" s="1"/>
  <c r="BQ69" i="27" a="1"/>
  <c r="BQ69" i="27" s="1"/>
  <c r="BO69" i="27" a="1"/>
  <c r="BO69" i="27" s="1"/>
  <c r="BR69" i="27" a="1"/>
  <c r="BR69" i="27" s="1"/>
  <c r="BY69" i="27" a="1"/>
  <c r="BY69" i="27" s="1"/>
  <c r="BN69" i="27" a="1"/>
  <c r="BN69" i="27" s="1"/>
  <c r="CB69" i="27" a="1"/>
  <c r="CB69" i="27" s="1"/>
  <c r="BQ134" i="27" a="1"/>
  <c r="BQ134" i="27" s="1"/>
  <c r="BR134" i="27" a="1"/>
  <c r="BR134" i="27" s="1"/>
  <c r="BN134" i="27" a="1"/>
  <c r="BN134" i="27" s="1"/>
  <c r="BO134" i="27" a="1"/>
  <c r="BO134" i="27" s="1"/>
  <c r="BT134" i="27" a="1"/>
  <c r="BT134" i="27" s="1"/>
  <c r="BP134" i="27" a="1"/>
  <c r="BP134" i="27" s="1"/>
  <c r="CJ134" i="27" a="1"/>
  <c r="CJ134" i="27" s="1"/>
  <c r="CK134" i="27" a="1"/>
  <c r="CK134" i="27" s="1"/>
  <c r="CG134" i="27" a="1"/>
  <c r="CG134" i="27" s="1"/>
  <c r="CH134" i="27" a="1"/>
  <c r="CH134" i="27" s="1"/>
  <c r="CI134" i="27" a="1"/>
  <c r="CI134" i="27" s="1"/>
  <c r="CE134" i="27" a="1"/>
  <c r="CE134" i="27" s="1"/>
  <c r="CB86" i="27" a="1"/>
  <c r="CB86" i="27" s="1"/>
  <c r="CK86" i="27" a="1"/>
  <c r="CK86" i="27" s="1"/>
  <c r="BY86" i="27" a="1"/>
  <c r="BY86" i="27" s="1"/>
  <c r="BW86" i="27" a="1"/>
  <c r="BW86" i="27" s="1"/>
  <c r="CC86" i="27" a="1"/>
  <c r="CC86" i="27" s="1"/>
  <c r="CI86" i="27" a="1"/>
  <c r="CI86" i="27" s="1"/>
  <c r="CF38" i="27" a="1"/>
  <c r="CF38" i="27" s="1"/>
  <c r="BX38" i="27" a="1"/>
  <c r="BX38" i="27" s="1"/>
  <c r="BY38" i="27" a="1"/>
  <c r="BY38" i="27" s="1"/>
  <c r="CK38" i="27" a="1"/>
  <c r="CK38" i="27" s="1"/>
  <c r="CE38" i="27" a="1"/>
  <c r="CE38" i="27" s="1"/>
  <c r="CI38" i="27" a="1"/>
  <c r="CI38" i="27" s="1"/>
  <c r="BW38" i="27" a="1"/>
  <c r="BW38" i="27" s="1"/>
  <c r="BO38" i="27" a="1"/>
  <c r="BO38" i="27" s="1"/>
  <c r="CJ91" i="27" a="1"/>
  <c r="CJ91" i="27" s="1"/>
  <c r="CA91" i="27" a="1"/>
  <c r="CA91" i="27" s="1"/>
  <c r="BQ91" i="27" a="1"/>
  <c r="BQ91" i="27" s="1"/>
  <c r="CI91" i="27" a="1"/>
  <c r="CI91" i="27" s="1"/>
  <c r="BS91" i="27" a="1"/>
  <c r="BS91" i="27" s="1"/>
  <c r="CC91" i="27" a="1"/>
  <c r="CC91" i="27" s="1"/>
  <c r="CG91" i="27" a="1"/>
  <c r="CG91" i="27" s="1"/>
  <c r="CB43" i="27" a="1"/>
  <c r="CB43" i="27" s="1"/>
  <c r="CJ43" i="27" a="1"/>
  <c r="CJ43" i="27" s="1"/>
  <c r="BV43" i="27" a="1"/>
  <c r="BV43" i="27" s="1"/>
  <c r="CD43" i="27" a="1"/>
  <c r="CD43" i="27" s="1"/>
  <c r="CF43" i="27" a="1"/>
  <c r="CF43" i="27" s="1"/>
  <c r="CH43" i="27" a="1"/>
  <c r="CH43" i="27" s="1"/>
  <c r="BP43" i="27" a="1"/>
  <c r="BP43" i="27" s="1"/>
  <c r="CI43" i="27" a="1"/>
  <c r="CI43" i="27" s="1"/>
  <c r="BY43" i="27" a="1"/>
  <c r="BY43" i="27" s="1"/>
  <c r="BN43" i="27" a="1"/>
  <c r="BN43" i="27" s="1"/>
  <c r="CG43" i="27" a="1"/>
  <c r="CG43" i="27" s="1"/>
  <c r="BU43" i="27" a="1"/>
  <c r="BU43" i="27" s="1"/>
  <c r="CK43" i="27" a="1"/>
  <c r="CK43" i="27" s="1"/>
  <c r="CH140" i="27" a="1"/>
  <c r="CH140" i="27" s="1"/>
  <c r="CB140" i="27" a="1"/>
  <c r="CB140" i="27" s="1"/>
  <c r="BP140" i="27" a="1"/>
  <c r="BP140" i="27" s="1"/>
  <c r="BV140" i="27" a="1"/>
  <c r="BV140" i="27" s="1"/>
  <c r="CJ140" i="27" a="1"/>
  <c r="CJ140" i="27" s="1"/>
  <c r="BY140" i="27" a="1"/>
  <c r="BY140" i="27" s="1"/>
  <c r="CK140" i="27" a="1"/>
  <c r="CK140" i="27" s="1"/>
  <c r="CA140" i="27" a="1"/>
  <c r="CA140" i="27" s="1"/>
  <c r="CE140" i="27" a="1"/>
  <c r="CE140" i="27" s="1"/>
  <c r="BX140" i="27" a="1"/>
  <c r="BX140" i="27" s="1"/>
  <c r="BR140" i="27" a="1"/>
  <c r="BR140" i="27" s="1"/>
  <c r="CG140" i="27" a="1"/>
  <c r="CG140" i="27" s="1"/>
  <c r="CC140" i="27" a="1"/>
  <c r="CC140" i="27" s="1"/>
  <c r="BO140" i="27" a="1"/>
  <c r="BO140" i="27" s="1"/>
  <c r="BW91" i="27" a="1"/>
  <c r="BW91" i="27" s="1"/>
  <c r="BS107" i="27" a="1"/>
  <c r="BS107" i="27" s="1"/>
  <c r="BQ86" i="27" a="1"/>
  <c r="BQ86" i="27" s="1"/>
  <c r="BZ134" i="27" a="1"/>
  <c r="BZ134" i="27" s="1"/>
  <c r="CC134" i="27" a="1"/>
  <c r="CC134" i="27" s="1"/>
  <c r="CF134" i="27" a="1"/>
  <c r="CF134" i="27" s="1"/>
  <c r="CA107" i="27" a="1"/>
  <c r="CA107" i="27" s="1"/>
  <c r="CG69" i="27" a="1"/>
  <c r="CG69" i="27" s="1"/>
  <c r="CC69" i="27" a="1"/>
  <c r="CC69" i="27" s="1"/>
  <c r="CC107" i="27" a="1"/>
  <c r="CC107" i="27" s="1"/>
  <c r="CK91" i="27" a="1"/>
  <c r="CK91" i="27" s="1"/>
  <c r="BR43" i="27" a="1"/>
  <c r="BR43" i="27" s="1"/>
  <c r="BN86" i="27" a="1"/>
  <c r="BN86" i="27" s="1"/>
  <c r="CD133" i="27" a="1"/>
  <c r="CD133" i="27" s="1"/>
  <c r="BN133" i="27" a="1"/>
  <c r="BN133" i="27" s="1"/>
  <c r="BV133" i="27" a="1"/>
  <c r="BV133" i="27" s="1"/>
  <c r="BP133" i="27" a="1"/>
  <c r="BP133" i="27" s="1"/>
  <c r="BT133" i="27" a="1"/>
  <c r="BT133" i="27" s="1"/>
  <c r="CB133" i="27" a="1"/>
  <c r="CB133" i="27" s="1"/>
  <c r="CG133" i="27" a="1"/>
  <c r="CG133" i="27" s="1"/>
  <c r="BW133" i="27" a="1"/>
  <c r="BW133" i="27" s="1"/>
  <c r="CA133" i="27" a="1"/>
  <c r="CA133" i="27" s="1"/>
  <c r="CC133" i="27" a="1"/>
  <c r="CC133" i="27" s="1"/>
  <c r="CG86" i="27" a="1"/>
  <c r="CG86" i="27" s="1"/>
  <c r="CI140" i="27" a="1"/>
  <c r="CI140" i="27" s="1"/>
  <c r="CF117" i="27" a="1"/>
  <c r="CF117" i="27" s="1"/>
  <c r="CH117" i="27" a="1"/>
  <c r="CH117" i="27" s="1"/>
  <c r="CI117" i="27" a="1"/>
  <c r="CI117" i="27" s="1"/>
  <c r="BS86" i="27" a="1"/>
  <c r="BS86" i="27" s="1"/>
  <c r="BQ38" i="27" a="1"/>
  <c r="BQ38" i="27" s="1"/>
  <c r="CA43" i="27" a="1"/>
  <c r="CA43" i="27" s="1"/>
  <c r="CJ69" i="27" a="1"/>
  <c r="CJ69" i="27" s="1"/>
  <c r="BP107" i="27" a="1"/>
  <c r="BP107" i="27" s="1"/>
  <c r="BY91" i="27" a="1"/>
  <c r="BY91" i="27" s="1"/>
  <c r="BT43" i="27" a="1"/>
  <c r="BT43" i="27" s="1"/>
  <c r="BR130" i="27" a="1"/>
  <c r="BR130" i="27" s="1"/>
  <c r="BY130" i="27" a="1"/>
  <c r="BY130" i="27" s="1"/>
  <c r="CG130" i="27" a="1"/>
  <c r="CG130" i="27" s="1"/>
  <c r="CI130" i="27" a="1"/>
  <c r="CI130" i="27" s="1"/>
  <c r="CC130" i="27" a="1"/>
  <c r="CC130" i="27" s="1"/>
  <c r="BV22" i="27" a="1"/>
  <c r="BV22" i="27" s="1"/>
  <c r="BN22" i="27" a="1"/>
  <c r="BN22" i="27" s="1"/>
  <c r="BW22" i="27" a="1"/>
  <c r="BW22" i="27" s="1"/>
  <c r="BY22" i="27" a="1"/>
  <c r="BY22" i="27" s="1"/>
  <c r="BU22" i="27" a="1"/>
  <c r="BU22" i="27" s="1"/>
  <c r="CI22" i="27" a="1"/>
  <c r="CI22" i="27" s="1"/>
  <c r="BZ22" i="27" a="1"/>
  <c r="BZ22" i="27" s="1"/>
  <c r="BQ22" i="27" a="1"/>
  <c r="BQ22" i="27" s="1"/>
  <c r="CC22" i="27" a="1"/>
  <c r="CC22" i="27" s="1"/>
  <c r="BS22" i="27" a="1"/>
  <c r="BS22" i="27" s="1"/>
  <c r="BO22" i="27" a="1"/>
  <c r="BO22" i="27" s="1"/>
  <c r="BW112" i="27" a="1"/>
  <c r="BW112" i="27" s="1"/>
  <c r="BZ112" i="27" a="1"/>
  <c r="BZ112" i="27" s="1"/>
  <c r="CF112" i="27" a="1"/>
  <c r="CF112" i="27" s="1"/>
  <c r="BX112" i="27" a="1"/>
  <c r="BX112" i="27" s="1"/>
  <c r="CG112" i="27" a="1"/>
  <c r="CG112" i="27" s="1"/>
  <c r="BS112" i="27" a="1"/>
  <c r="BS112" i="27" s="1"/>
  <c r="BO112" i="27" a="1"/>
  <c r="BO112" i="27" s="1"/>
  <c r="BR112" i="27" a="1"/>
  <c r="BR112" i="27" s="1"/>
  <c r="BT112" i="27" a="1"/>
  <c r="BT112" i="27" s="1"/>
  <c r="CH112" i="27" a="1"/>
  <c r="CH112" i="27" s="1"/>
  <c r="BT90" i="27" a="1"/>
  <c r="BT90" i="27" s="1"/>
  <c r="BP90" i="27" a="1"/>
  <c r="BP90" i="27" s="1"/>
  <c r="BX90" i="27" a="1"/>
  <c r="BX90" i="27" s="1"/>
  <c r="BZ90" i="27" a="1"/>
  <c r="BZ90" i="27" s="1"/>
  <c r="BN90" i="27" a="1"/>
  <c r="BN90" i="27" s="1"/>
  <c r="CD90" i="27" a="1"/>
  <c r="CD90" i="27" s="1"/>
  <c r="BV90" i="27" a="1"/>
  <c r="BV90" i="27" s="1"/>
  <c r="CC90" i="27" a="1"/>
  <c r="CC90" i="27" s="1"/>
  <c r="BU90" i="27" a="1"/>
  <c r="BU90" i="27" s="1"/>
  <c r="CA90" i="27" a="1"/>
  <c r="CA90" i="27" s="1"/>
  <c r="CI90" i="27" a="1"/>
  <c r="CI90" i="27" s="1"/>
  <c r="CK90" i="27" a="1"/>
  <c r="CK90" i="27" s="1"/>
  <c r="BR135" i="27" a="1"/>
  <c r="BR135" i="27" s="1"/>
  <c r="BZ135" i="27" a="1"/>
  <c r="BZ135" i="27" s="1"/>
  <c r="BT135" i="27" a="1"/>
  <c r="BT135" i="27" s="1"/>
  <c r="BX135" i="27" a="1"/>
  <c r="BX135" i="27" s="1"/>
  <c r="BP135" i="27" a="1"/>
  <c r="BP135" i="27" s="1"/>
  <c r="CF135" i="27" a="1"/>
  <c r="CF135" i="27" s="1"/>
  <c r="BW135" i="27" a="1"/>
  <c r="BW135" i="27" s="1"/>
  <c r="CA135" i="27" a="1"/>
  <c r="CA135" i="27" s="1"/>
  <c r="CG135" i="27" a="1"/>
  <c r="CG135" i="27" s="1"/>
  <c r="BS135" i="27" a="1"/>
  <c r="BS135" i="27" s="1"/>
  <c r="CC135" i="27" a="1"/>
  <c r="CC135" i="27" s="1"/>
  <c r="CK135" i="27" a="1"/>
  <c r="CK135" i="27" s="1"/>
  <c r="CF30" i="27" a="1"/>
  <c r="CF30" i="27" s="1"/>
  <c r="BY30" i="27" a="1"/>
  <c r="BY30" i="27" s="1"/>
  <c r="CB123" i="27" a="1"/>
  <c r="CB123" i="27" s="1"/>
  <c r="BU123" i="27" a="1"/>
  <c r="BU123" i="27" s="1"/>
  <c r="CK123" i="27" a="1"/>
  <c r="CK123" i="27" s="1"/>
  <c r="BZ123" i="27" a="1"/>
  <c r="BZ123" i="27" s="1"/>
  <c r="BS123" i="27" a="1"/>
  <c r="BS123" i="27" s="1"/>
  <c r="CI123" i="27" a="1"/>
  <c r="CI123" i="27" s="1"/>
  <c r="BX123" i="27" a="1"/>
  <c r="BX123" i="27" s="1"/>
  <c r="BQ123" i="27" a="1"/>
  <c r="BQ123" i="27" s="1"/>
  <c r="CG123" i="27" a="1"/>
  <c r="CG123" i="27" s="1"/>
  <c r="BV123" i="27" a="1"/>
  <c r="BV123" i="27" s="1"/>
  <c r="BO123" i="27" a="1"/>
  <c r="BO123" i="27" s="1"/>
  <c r="CE123" i="27" a="1"/>
  <c r="CE123" i="27" s="1"/>
  <c r="CB23" i="27" a="1"/>
  <c r="CB23" i="27" s="1"/>
  <c r="BT23" i="27" a="1"/>
  <c r="BT23" i="27" s="1"/>
  <c r="CF23" i="27" a="1"/>
  <c r="CF23" i="27" s="1"/>
  <c r="CE23" i="27" a="1"/>
  <c r="CE23" i="27" s="1"/>
  <c r="BZ23" i="27" a="1"/>
  <c r="BZ23" i="27" s="1"/>
  <c r="CA23" i="27" a="1"/>
  <c r="CA23" i="27" s="1"/>
  <c r="BY23" i="27" a="1"/>
  <c r="BY23" i="27" s="1"/>
  <c r="BP23" i="27" a="1"/>
  <c r="BP23" i="27" s="1"/>
  <c r="CK23" i="27" a="1"/>
  <c r="CK23" i="27" s="1"/>
  <c r="BW23" i="27" a="1"/>
  <c r="BW23" i="27" s="1"/>
  <c r="BS23" i="27" a="1"/>
  <c r="BS23" i="27" s="1"/>
  <c r="BN23" i="27" a="1"/>
  <c r="BN23" i="27" s="1"/>
  <c r="BV23" i="27" a="1"/>
  <c r="BV23" i="27" s="1"/>
  <c r="CJ23" i="27" a="1"/>
  <c r="CJ23" i="27" s="1"/>
  <c r="BU23" i="27" a="1"/>
  <c r="BU23" i="27" s="1"/>
  <c r="BQ135" i="27" a="1"/>
  <c r="BQ135" i="27" s="1"/>
  <c r="BO86" i="27" a="1"/>
  <c r="BO86" i="27" s="1"/>
  <c r="BS38" i="27" a="1"/>
  <c r="BS38" i="27" s="1"/>
  <c r="BS43" i="27" a="1"/>
  <c r="BS43" i="27" s="1"/>
  <c r="BQ90" i="27" a="1"/>
  <c r="BQ90" i="27" s="1"/>
  <c r="BS130" i="27" a="1"/>
  <c r="BS130" i="27" s="1"/>
  <c r="CA123" i="27" a="1"/>
  <c r="CA123" i="27" s="1"/>
  <c r="BR123" i="27" a="1"/>
  <c r="BR123" i="27" s="1"/>
  <c r="CJ123" i="27" a="1"/>
  <c r="CJ123" i="27" s="1"/>
  <c r="BW140" i="27" a="1"/>
  <c r="BW140" i="27" s="1"/>
  <c r="BO133" i="27" a="1"/>
  <c r="BO133" i="27" s="1"/>
  <c r="BV117" i="27" a="1"/>
  <c r="BV117" i="27" s="1"/>
  <c r="CC117" i="27" a="1"/>
  <c r="CC117" i="27" s="1"/>
  <c r="CD117" i="27" a="1"/>
  <c r="CD117" i="27" s="1"/>
  <c r="BU134" i="27" a="1"/>
  <c r="BU134" i="27" s="1"/>
  <c r="BX134" i="27" a="1"/>
  <c r="BX134" i="27" s="1"/>
  <c r="BW134" i="27" a="1"/>
  <c r="BW134" i="27" s="1"/>
  <c r="BW90" i="27" a="1"/>
  <c r="BW90" i="27" s="1"/>
  <c r="CD69" i="27" a="1"/>
  <c r="CD69" i="27" s="1"/>
  <c r="BS69" i="27" a="1"/>
  <c r="BS69" i="27" s="1"/>
  <c r="BX69" i="27" a="1"/>
  <c r="BX69" i="27" s="1"/>
  <c r="CE86" i="27" a="1"/>
  <c r="CE86" i="27" s="1"/>
  <c r="CC23" i="27" a="1"/>
  <c r="CC23" i="27" s="1"/>
  <c r="CE91" i="27" a="1"/>
  <c r="CE91" i="27" s="1"/>
  <c r="BW107" i="27" a="1"/>
  <c r="BW107" i="27" s="1"/>
  <c r="BV107" i="27" a="1"/>
  <c r="BV107" i="27" s="1"/>
  <c r="CJ112" i="27" a="1"/>
  <c r="CJ112" i="27" s="1"/>
  <c r="CA22" i="27" a="1"/>
  <c r="CA22" i="27" s="1"/>
  <c r="CH90" i="27" a="1"/>
  <c r="CH90" i="27" s="1"/>
  <c r="BT86" i="27" a="1"/>
  <c r="BT86" i="27" s="1"/>
  <c r="BS59" i="27" a="1"/>
  <c r="BS59" i="27" s="1"/>
  <c r="CF109" i="27" a="1"/>
  <c r="CF109" i="27" s="1"/>
  <c r="CI109" i="27" a="1"/>
  <c r="CI109" i="27" s="1"/>
  <c r="BO109" i="27" a="1"/>
  <c r="BO109" i="27" s="1"/>
  <c r="BQ109" i="27" a="1"/>
  <c r="BQ109" i="27" s="1"/>
  <c r="CA109" i="27" a="1"/>
  <c r="CA109" i="27" s="1"/>
  <c r="BT10" i="27" a="1"/>
  <c r="BT10" i="27" s="1"/>
  <c r="BV10" i="27" a="1"/>
  <c r="BV10" i="27" s="1"/>
  <c r="CH10" i="27" a="1"/>
  <c r="CH10" i="27" s="1"/>
  <c r="BN10" i="27" a="1"/>
  <c r="BN10" i="27" s="1"/>
  <c r="BP10" i="27" a="1"/>
  <c r="BP10" i="27" s="1"/>
  <c r="CE10" i="27" a="1"/>
  <c r="CE10" i="27" s="1"/>
  <c r="BU10" i="27" a="1"/>
  <c r="BU10" i="27" s="1"/>
  <c r="CD10" i="27" a="1"/>
  <c r="CD10" i="27" s="1"/>
  <c r="BO10" i="27" a="1"/>
  <c r="BO10" i="27" s="1"/>
  <c r="CG10" i="27" a="1"/>
  <c r="CG10" i="27" s="1"/>
  <c r="CB10" i="27" a="1"/>
  <c r="CB10" i="27" s="1"/>
  <c r="BX10" i="27" a="1"/>
  <c r="BX10" i="27" s="1"/>
  <c r="BW10" i="27" a="1"/>
  <c r="BW10" i="27" s="1"/>
  <c r="BY10" i="27" a="1"/>
  <c r="BY10" i="27" s="1"/>
  <c r="BS10" i="27" a="1"/>
  <c r="BS10" i="27" s="1"/>
  <c r="CI10" i="27" a="1"/>
  <c r="CI10" i="27" s="1"/>
  <c r="CC10" i="27" a="1"/>
  <c r="CC10" i="27" s="1"/>
  <c r="BP9" i="27" a="1"/>
  <c r="BP9" i="27" s="1"/>
  <c r="BX9" i="27" a="1"/>
  <c r="BX9" i="27" s="1"/>
  <c r="BW9" i="27" a="1"/>
  <c r="BW9" i="27" s="1"/>
  <c r="BU9" i="27" a="1"/>
  <c r="BU9" i="27" s="1"/>
  <c r="CH76" i="27" a="1"/>
  <c r="CH76" i="27" s="1"/>
  <c r="CG76" i="27" a="1"/>
  <c r="CG76" i="27" s="1"/>
  <c r="BU76" i="27" a="1"/>
  <c r="BU76" i="27" s="1"/>
  <c r="CI76" i="27" a="1"/>
  <c r="CI76" i="27" s="1"/>
  <c r="BS76" i="27" a="1"/>
  <c r="BS76" i="27" s="1"/>
  <c r="BR34" i="27" a="1"/>
  <c r="BR34" i="27" s="1"/>
  <c r="CG34" i="27" a="1"/>
  <c r="CG34" i="27" s="1"/>
  <c r="BX34" i="27" a="1"/>
  <c r="BX34" i="27" s="1"/>
  <c r="CB34" i="27" a="1"/>
  <c r="CB34" i="27" s="1"/>
  <c r="CA34" i="27" a="1"/>
  <c r="CA34" i="27" s="1"/>
  <c r="CE34" i="27" a="1"/>
  <c r="CE34" i="27" s="1"/>
  <c r="BW34" i="27" a="1"/>
  <c r="BW34" i="27" s="1"/>
  <c r="CF34" i="27" a="1"/>
  <c r="CF34" i="27" s="1"/>
  <c r="BN34" i="27" a="1"/>
  <c r="BN34" i="27" s="1"/>
  <c r="BP34" i="27" a="1"/>
  <c r="BP34" i="27" s="1"/>
  <c r="BT34" i="27" a="1"/>
  <c r="BT34" i="27" s="1"/>
  <c r="CH34" i="27" a="1"/>
  <c r="CH34" i="27" s="1"/>
  <c r="CD34" i="27" a="1"/>
  <c r="CD34" i="27" s="1"/>
  <c r="BY34" i="27" a="1"/>
  <c r="BY34" i="27" s="1"/>
  <c r="BS34" i="27" a="1"/>
  <c r="BS34" i="27" s="1"/>
  <c r="BO34" i="27" a="1"/>
  <c r="BO34" i="27" s="1"/>
  <c r="BV34" i="27" a="1"/>
  <c r="BV34" i="27" s="1"/>
  <c r="BU34" i="27" a="1"/>
  <c r="BU34" i="27" s="1"/>
  <c r="CK34" i="27" a="1"/>
  <c r="CK34" i="27" s="1"/>
  <c r="BQ34" i="27" a="1"/>
  <c r="BQ34" i="27" s="1"/>
  <c r="CC38" i="27" a="1"/>
  <c r="CC38" i="27" s="1"/>
  <c r="BQ43" i="27" a="1"/>
  <c r="BQ43" i="27" s="1"/>
  <c r="BO91" i="27" a="1"/>
  <c r="BO91" i="27" s="1"/>
  <c r="BS133" i="27" a="1"/>
  <c r="BS133" i="27" s="1"/>
  <c r="BW43" i="27" a="1"/>
  <c r="BW43" i="27" s="1"/>
  <c r="BW123" i="27" a="1"/>
  <c r="BW123" i="27" s="1"/>
  <c r="BN123" i="27" a="1"/>
  <c r="BN123" i="27" s="1"/>
  <c r="CF123" i="27" a="1"/>
  <c r="CF123" i="27" s="1"/>
  <c r="CA38" i="27" a="1"/>
  <c r="CA38" i="27" s="1"/>
  <c r="BU133" i="27" a="1"/>
  <c r="BU133" i="27" s="1"/>
  <c r="BX117" i="27" a="1"/>
  <c r="BX117" i="27" s="1"/>
  <c r="CK117" i="27" a="1"/>
  <c r="CK117" i="27" s="1"/>
  <c r="CE117" i="27" a="1"/>
  <c r="CE117" i="27" s="1"/>
  <c r="CC112" i="27" a="1"/>
  <c r="CC112" i="27" s="1"/>
  <c r="CD134" i="27" a="1"/>
  <c r="CD134" i="27" s="1"/>
  <c r="CB134" i="27" a="1"/>
  <c r="CB134" i="27" s="1"/>
  <c r="CA134" i="27" a="1"/>
  <c r="CA134" i="27" s="1"/>
  <c r="BY133" i="27" a="1"/>
  <c r="BY133" i="27" s="1"/>
  <c r="BO43" i="27" a="1"/>
  <c r="BO43" i="27" s="1"/>
  <c r="BV69" i="27" a="1"/>
  <c r="BV69" i="27" s="1"/>
  <c r="CK69" i="27" a="1"/>
  <c r="CK69" i="27" s="1"/>
  <c r="CI69" i="27" a="1"/>
  <c r="CI69" i="27" s="1"/>
  <c r="BY135" i="27" a="1"/>
  <c r="BY135" i="27" s="1"/>
  <c r="BS140" i="27" a="1"/>
  <c r="BS140" i="27" s="1"/>
  <c r="BO130" i="27" a="1"/>
  <c r="BO130" i="27" s="1"/>
  <c r="BQ23" i="27" a="1"/>
  <c r="BQ23" i="27" s="1"/>
  <c r="BQ130" i="27" a="1"/>
  <c r="BQ130" i="27" s="1"/>
  <c r="CA112" i="27" a="1"/>
  <c r="CA112" i="27" s="1"/>
  <c r="BT107" i="27" a="1"/>
  <c r="BT107" i="27" s="1"/>
  <c r="BR133" i="27" a="1"/>
  <c r="BR133" i="27" s="1"/>
  <c r="CJ133" i="27" a="1"/>
  <c r="CJ133" i="27" s="1"/>
  <c r="CD59" i="27" a="1"/>
  <c r="CD59" i="27" s="1"/>
  <c r="CG101" i="27" a="1"/>
  <c r="CG101" i="27" s="1"/>
  <c r="CJ101" i="27" a="1"/>
  <c r="CJ101" i="27" s="1"/>
  <c r="BV101" i="27" a="1"/>
  <c r="BV101" i="27" s="1"/>
  <c r="CB29" i="27" a="1"/>
  <c r="CB29" i="27" s="1"/>
  <c r="CJ29" i="27" a="1"/>
  <c r="CJ29" i="27" s="1"/>
  <c r="CF29" i="27" a="1"/>
  <c r="CF29" i="27" s="1"/>
  <c r="CD104" i="27" a="1"/>
  <c r="CD104" i="27" s="1"/>
  <c r="BP104" i="27" a="1"/>
  <c r="BP104" i="27" s="1"/>
  <c r="BN13" i="27" a="1"/>
  <c r="BN13" i="27" s="1"/>
  <c r="CH13" i="27" a="1"/>
  <c r="CH13" i="27" s="1"/>
  <c r="CD13" i="27" a="1"/>
  <c r="CD13" i="27" s="1"/>
  <c r="BY13" i="27" a="1"/>
  <c r="BY13" i="27" s="1"/>
  <c r="CJ72" i="27" a="1"/>
  <c r="CJ72" i="27" s="1"/>
  <c r="BU72" i="27" a="1"/>
  <c r="BU72" i="27" s="1"/>
  <c r="BP72" i="27" a="1"/>
  <c r="BP72" i="27" s="1"/>
  <c r="BR79" i="27" a="1"/>
  <c r="BR79" i="27" s="1"/>
  <c r="CH79" i="27" a="1"/>
  <c r="CH79" i="27" s="1"/>
  <c r="CH66" i="27" a="1"/>
  <c r="CH66" i="27" s="1"/>
  <c r="BY66" i="27" a="1"/>
  <c r="BY66" i="27" s="1"/>
  <c r="CF84" i="27" a="1"/>
  <c r="CF84" i="27" s="1"/>
  <c r="BT84" i="27" a="1"/>
  <c r="BT84" i="27" s="1"/>
  <c r="CJ84" i="27" a="1"/>
  <c r="CJ84" i="27" s="1"/>
  <c r="BP84" i="27" a="1"/>
  <c r="BP84" i="27" s="1"/>
  <c r="BZ84" i="27" a="1"/>
  <c r="BZ84" i="27" s="1"/>
  <c r="BZ36" i="27" a="1"/>
  <c r="BZ36" i="27" s="1"/>
  <c r="CB36" i="27" a="1"/>
  <c r="CB36" i="27" s="1"/>
  <c r="BN36" i="27" a="1"/>
  <c r="BN36" i="27" s="1"/>
  <c r="CD36" i="27" a="1"/>
  <c r="CD36" i="27" s="1"/>
  <c r="CK36" i="27" a="1"/>
  <c r="CK36" i="27" s="1"/>
  <c r="BU36" i="27" a="1"/>
  <c r="BU36" i="27" s="1"/>
  <c r="BP36" i="27" a="1"/>
  <c r="BP36" i="27" s="1"/>
  <c r="BR36" i="27" a="1"/>
  <c r="BR36" i="27" s="1"/>
  <c r="BR118" i="27" a="1"/>
  <c r="BR118" i="27" s="1"/>
  <c r="CJ118" i="27" a="1"/>
  <c r="CJ118" i="27" s="1"/>
  <c r="BX118" i="27" a="1"/>
  <c r="BX118" i="27" s="1"/>
  <c r="CD118" i="27" a="1"/>
  <c r="CD118" i="27" s="1"/>
  <c r="CA118" i="27" a="1"/>
  <c r="CA118" i="27" s="1"/>
  <c r="BT118" i="27" a="1"/>
  <c r="BT118" i="27" s="1"/>
  <c r="CF118" i="27" a="1"/>
  <c r="CF118" i="27" s="1"/>
  <c r="BV118" i="27" a="1"/>
  <c r="BV118" i="27" s="1"/>
  <c r="BP113" i="27" a="1"/>
  <c r="BP113" i="27" s="1"/>
  <c r="CB113" i="27" a="1"/>
  <c r="CB113" i="27" s="1"/>
  <c r="BY113" i="27" a="1"/>
  <c r="BY113" i="27" s="1"/>
  <c r="BT41" i="27" a="1"/>
  <c r="BT41" i="27" s="1"/>
  <c r="BP41" i="27" a="1"/>
  <c r="BP41" i="27" s="1"/>
  <c r="BU41" i="27" a="1"/>
  <c r="BU41" i="27" s="1"/>
  <c r="CG20" i="27" a="1"/>
  <c r="CG20" i="27" s="1"/>
  <c r="BX20" i="27" a="1"/>
  <c r="BX20" i="27" s="1"/>
  <c r="CG49" i="27" a="1"/>
  <c r="CG49" i="27" s="1"/>
  <c r="BU49" i="27" a="1"/>
  <c r="BU49" i="27" s="1"/>
  <c r="CK127" i="27" a="1"/>
  <c r="CK127" i="27" s="1"/>
  <c r="CD127" i="27" a="1"/>
  <c r="CD127" i="27" s="1"/>
  <c r="CJ127" i="27" a="1"/>
  <c r="CJ127" i="27" s="1"/>
  <c r="BU127" i="27" a="1"/>
  <c r="BU127" i="27" s="1"/>
  <c r="BV125" i="27" a="1"/>
  <c r="BV125" i="27" s="1"/>
  <c r="BX125" i="27" a="1"/>
  <c r="BX125" i="27" s="1"/>
  <c r="BU125" i="27" a="1"/>
  <c r="BU125" i="27" s="1"/>
  <c r="BX131" i="27" a="1"/>
  <c r="BX131" i="27" s="1"/>
  <c r="BR40" i="27" a="1"/>
  <c r="BR40" i="27" s="1"/>
  <c r="CD40" i="27" a="1"/>
  <c r="CD40" i="27" s="1"/>
  <c r="BQ108" i="27" a="1"/>
  <c r="BQ108" i="27" s="1"/>
  <c r="BQ12" i="27" a="1"/>
  <c r="BQ12" i="27" s="1"/>
  <c r="BR109" i="27" a="1"/>
  <c r="BR109" i="27" s="1"/>
  <c r="BX109" i="27" a="1"/>
  <c r="BX109" i="27" s="1"/>
  <c r="BP12" i="27" a="1"/>
  <c r="BP12" i="27" s="1"/>
  <c r="BU119" i="27" a="1"/>
  <c r="BU119" i="27" s="1"/>
  <c r="CD89" i="27" a="1"/>
  <c r="CD89" i="27" s="1"/>
  <c r="BZ9" i="27" a="1"/>
  <c r="BZ9" i="27" s="1"/>
  <c r="CB89" i="27" a="1"/>
  <c r="CB89" i="27" s="1"/>
  <c r="BR9" i="27" a="1"/>
  <c r="BR9" i="27" s="1"/>
  <c r="CD119" i="27" a="1"/>
  <c r="CD119" i="27" s="1"/>
  <c r="CF9" i="27" a="1"/>
  <c r="CF9" i="27" s="1"/>
  <c r="BN119" i="27" a="1"/>
  <c r="BN119" i="27" s="1"/>
  <c r="BN9" i="27" a="1"/>
  <c r="BN9" i="27" s="1"/>
  <c r="BR89" i="27" a="1"/>
  <c r="BR89" i="27" s="1"/>
  <c r="CD76" i="27" a="1"/>
  <c r="CD76" i="27" s="1"/>
  <c r="BS119" i="27" a="1"/>
  <c r="BS119" i="27" s="1"/>
  <c r="CK56" i="27" a="1"/>
  <c r="CK56" i="27" s="1"/>
  <c r="BW119" i="27" a="1"/>
  <c r="BW119" i="27" s="1"/>
  <c r="BW108" i="27" a="1"/>
  <c r="BW108" i="27" s="1"/>
  <c r="CE119" i="27" a="1"/>
  <c r="CE119" i="27" s="1"/>
  <c r="BY102" i="27" a="1"/>
  <c r="BY102" i="27" s="1"/>
  <c r="BY76" i="27" a="1"/>
  <c r="BY76" i="27" s="1"/>
  <c r="CB109" i="27" a="1"/>
  <c r="CB109" i="27" s="1"/>
  <c r="BY119" i="27" a="1"/>
  <c r="BY119" i="27" s="1"/>
  <c r="CH12" i="27" a="1"/>
  <c r="CH12" i="27" s="1"/>
  <c r="CA108" i="27" a="1"/>
  <c r="CA108" i="27" s="1"/>
  <c r="BT27" i="27" a="1"/>
  <c r="BT27" i="27" s="1"/>
  <c r="BP27" i="27" a="1"/>
  <c r="BP27" i="27" s="1"/>
  <c r="BZ27" i="27" a="1"/>
  <c r="BZ27" i="27" s="1"/>
  <c r="CK89" i="27" a="1"/>
  <c r="CK89" i="27" s="1"/>
  <c r="CK52" i="27" a="1"/>
  <c r="CK52" i="27" s="1"/>
  <c r="BU52" i="27" a="1"/>
  <c r="BU52" i="27" s="1"/>
  <c r="BU89" i="27" a="1"/>
  <c r="BU89" i="27" s="1"/>
  <c r="BR102" i="27" a="1"/>
  <c r="BR102" i="27" s="1"/>
  <c r="BR14" i="27" a="1"/>
  <c r="BR14" i="27" s="1"/>
  <c r="BZ89" i="27" a="1"/>
  <c r="BZ89" i="27" s="1"/>
  <c r="BP76" i="27" a="1"/>
  <c r="BP76" i="27" s="1"/>
  <c r="CJ9" i="27" a="1"/>
  <c r="CJ9" i="27" s="1"/>
  <c r="CF89" i="27" a="1"/>
  <c r="CF89" i="27" s="1"/>
  <c r="BT76" i="27" a="1"/>
  <c r="BT76" i="27" s="1"/>
  <c r="BZ76" i="27" a="1"/>
  <c r="BZ76" i="27" s="1"/>
  <c r="CH119" i="27" a="1"/>
  <c r="CH119" i="27" s="1"/>
  <c r="CJ119" i="27" a="1"/>
  <c r="CJ119" i="27" s="1"/>
  <c r="CB9" i="27" a="1"/>
  <c r="CB9" i="27" s="1"/>
  <c r="CB119" i="27" a="1"/>
  <c r="CB119" i="27" s="1"/>
  <c r="CB12" i="27" a="1"/>
  <c r="CB12" i="27" s="1"/>
  <c r="CJ121" i="27" a="1"/>
  <c r="CJ121" i="27" s="1"/>
  <c r="BN76" i="27" a="1"/>
  <c r="BN76" i="27" s="1"/>
  <c r="CJ76" i="27" a="1"/>
  <c r="CJ76" i="27" s="1"/>
  <c r="BX75" i="27" a="1"/>
  <c r="BX75" i="27" s="1"/>
  <c r="BW75" i="27" a="1"/>
  <c r="BW75" i="27" s="1"/>
  <c r="CA75" i="27" a="1"/>
  <c r="CA75" i="27" s="1"/>
  <c r="BU75" i="27" a="1"/>
  <c r="BU75" i="27" s="1"/>
  <c r="BT75" i="27" a="1"/>
  <c r="BT75" i="27" s="1"/>
  <c r="BS12" i="27" a="1"/>
  <c r="BS12" i="27" s="1"/>
  <c r="CI9" i="27" a="1"/>
  <c r="CI9" i="27" s="1"/>
  <c r="BQ89" i="27" a="1"/>
  <c r="BQ89" i="27" s="1"/>
  <c r="CA89" i="27" a="1"/>
  <c r="CA89" i="27" s="1"/>
  <c r="BQ76" i="27" a="1"/>
  <c r="BQ76" i="27" s="1"/>
  <c r="BN109" i="27" a="1"/>
  <c r="BN109" i="27" s="1"/>
  <c r="BV12" i="27" a="1"/>
  <c r="BV12" i="27" s="1"/>
  <c r="CG12" i="27" a="1"/>
  <c r="CG12" i="27" s="1"/>
  <c r="BW76" i="27" a="1"/>
  <c r="BW76" i="27" s="1"/>
  <c r="BR27" i="27" a="1"/>
  <c r="BR27" i="27" s="1"/>
  <c r="BV27" i="27" a="1"/>
  <c r="BV27" i="27" s="1"/>
  <c r="CF27" i="27" a="1"/>
  <c r="CF27" i="27" s="1"/>
  <c r="CK119" i="27" a="1"/>
  <c r="CK119" i="27" s="1"/>
  <c r="BN27" i="27" a="1"/>
  <c r="BN27" i="27" s="1"/>
  <c r="BX27" i="27" a="1"/>
  <c r="BX27" i="27" s="1"/>
  <c r="CE76" i="27" a="1"/>
  <c r="CE76" i="27" s="1"/>
  <c r="CE89" i="27" a="1"/>
  <c r="CE89" i="27" s="1"/>
  <c r="CB76" i="27" a="1"/>
  <c r="CB76" i="27" s="1"/>
  <c r="CA76" i="27" a="1"/>
  <c r="CA76" i="27" s="1"/>
  <c r="BY89" i="27" a="1"/>
  <c r="BY89" i="27" s="1"/>
  <c r="BR76" i="27" a="1"/>
  <c r="BR76" i="27" s="1"/>
  <c r="CD9" i="27" a="1"/>
  <c r="CD9" i="27" s="1"/>
  <c r="BX76" i="27" a="1"/>
  <c r="BX76" i="27" s="1"/>
  <c r="CH106" i="27" a="1"/>
  <c r="CH106" i="27" s="1"/>
  <c r="CH9" i="27" a="1"/>
  <c r="CH9" i="27" s="1"/>
  <c r="BX119" i="27" a="1"/>
  <c r="BX119" i="27" s="1"/>
  <c r="CJ47" i="27" a="1"/>
  <c r="CJ47" i="27" s="1"/>
  <c r="BN47" i="27" a="1"/>
  <c r="BN47" i="27" s="1"/>
  <c r="BZ47" i="27" a="1"/>
  <c r="BZ47" i="27" s="1"/>
  <c r="BV9" i="27" a="1"/>
  <c r="BV9" i="27" s="1"/>
  <c r="CJ130" i="27" a="1"/>
  <c r="CJ130" i="27" s="1"/>
  <c r="BT119" i="27" a="1"/>
  <c r="BT119" i="27" s="1"/>
  <c r="BN121" i="27" a="1"/>
  <c r="BN121" i="27" s="1"/>
  <c r="BR119" i="27" a="1"/>
  <c r="BR119" i="27" s="1"/>
  <c r="CF76" i="27" a="1"/>
  <c r="CF76" i="27" s="1"/>
  <c r="BV76" i="27" a="1"/>
  <c r="BV76" i="27" s="1"/>
  <c r="CH23" i="27" a="1"/>
  <c r="CH23" i="27" s="1"/>
  <c r="BX23" i="27" a="1"/>
  <c r="BX23" i="27" s="1"/>
  <c r="CI111" i="27" a="1"/>
  <c r="CI111" i="27" s="1"/>
  <c r="CE111" i="27" a="1"/>
  <c r="CE111" i="27" s="1"/>
  <c r="CJ111" i="27" a="1"/>
  <c r="CJ111" i="27" s="1"/>
  <c r="CK111" i="27" a="1"/>
  <c r="CK111" i="27" s="1"/>
  <c r="CB111" i="27" a="1"/>
  <c r="CB111" i="27" s="1"/>
  <c r="CH111" i="27" a="1"/>
  <c r="CH111" i="27" s="1"/>
  <c r="BP111" i="27" a="1"/>
  <c r="BP111" i="27" s="1"/>
  <c r="BQ111" i="27" a="1"/>
  <c r="BQ111" i="27" s="1"/>
  <c r="BV111" i="27" a="1"/>
  <c r="BV111" i="27" s="1"/>
  <c r="BR111" i="27" a="1"/>
  <c r="BR111" i="27" s="1"/>
  <c r="BN111" i="27" a="1"/>
  <c r="BN111" i="27" s="1"/>
  <c r="BO111" i="27" a="1"/>
  <c r="BO111" i="27" s="1"/>
  <c r="BN71" i="27" a="1"/>
  <c r="BN71" i="27" s="1"/>
  <c r="CH71" i="27" a="1"/>
  <c r="CH71" i="27" s="1"/>
  <c r="BR71" i="27" a="1"/>
  <c r="BR71" i="27" s="1"/>
  <c r="CF71" i="27" a="1"/>
  <c r="CF71" i="27" s="1"/>
  <c r="CE71" i="27" a="1"/>
  <c r="CE71" i="27" s="1"/>
  <c r="BS71" i="27" a="1"/>
  <c r="BS71" i="27" s="1"/>
  <c r="CK71" i="27" a="1"/>
  <c r="CK71" i="27" s="1"/>
  <c r="BU71" i="27" a="1"/>
  <c r="BU71" i="27" s="1"/>
  <c r="BZ33" i="27" a="1"/>
  <c r="BZ33" i="27" s="1"/>
  <c r="BS33" i="27" a="1"/>
  <c r="BS33" i="27" s="1"/>
  <c r="CI33" i="27" a="1"/>
  <c r="CI33" i="27" s="1"/>
  <c r="CB33" i="27" a="1"/>
  <c r="CB33" i="27" s="1"/>
  <c r="CK33" i="27" a="1"/>
  <c r="CK33" i="27" s="1"/>
  <c r="CC33" i="27" a="1"/>
  <c r="CC33" i="27" s="1"/>
  <c r="BN33" i="27" a="1"/>
  <c r="BN33" i="27" s="1"/>
  <c r="CD33" i="27" a="1"/>
  <c r="CD33" i="27" s="1"/>
  <c r="BW33" i="27" a="1"/>
  <c r="BW33" i="27" s="1"/>
  <c r="BP33" i="27" a="1"/>
  <c r="BP33" i="27" s="1"/>
  <c r="CF33" i="27" a="1"/>
  <c r="CF33" i="27" s="1"/>
  <c r="BQ33" i="27" a="1"/>
  <c r="BQ33" i="27" s="1"/>
  <c r="CD26" i="27" a="1"/>
  <c r="CD26" i="27" s="1"/>
  <c r="CH26" i="27" a="1"/>
  <c r="CH26" i="27" s="1"/>
  <c r="CB26" i="27" a="1"/>
  <c r="CB26" i="27" s="1"/>
  <c r="BR26" i="27" a="1"/>
  <c r="BR26" i="27" s="1"/>
  <c r="BP26" i="27" a="1"/>
  <c r="BP26" i="27" s="1"/>
  <c r="CA26" i="27" a="1"/>
  <c r="CA26" i="27" s="1"/>
  <c r="CG26" i="27" a="1"/>
  <c r="CG26" i="27" s="1"/>
  <c r="BT7" i="27" a="1"/>
  <c r="BT7" i="27" s="1"/>
  <c r="BP7" i="27" a="1"/>
  <c r="BP7" i="27" s="1"/>
  <c r="BY7" i="27" a="1"/>
  <c r="BY7" i="27" s="1"/>
  <c r="CK7" i="27" a="1"/>
  <c r="CK7" i="27" s="1"/>
  <c r="CG7" i="27" a="1"/>
  <c r="CG7" i="27" s="1"/>
  <c r="BQ7" i="27" a="1"/>
  <c r="BQ7" i="27" s="1"/>
  <c r="BV7" i="27" a="1"/>
  <c r="BV7" i="27" s="1"/>
  <c r="CD7" i="27" a="1"/>
  <c r="CD7" i="27" s="1"/>
  <c r="CJ7" i="27" a="1"/>
  <c r="CJ7" i="27" s="1"/>
  <c r="CI7" i="27" a="1"/>
  <c r="CI7" i="27" s="1"/>
  <c r="CJ78" i="27" a="1"/>
  <c r="CJ78" i="27" s="1"/>
  <c r="CH78" i="27" a="1"/>
  <c r="CH78" i="27" s="1"/>
  <c r="CB78" i="27" a="1"/>
  <c r="CB78" i="27" s="1"/>
  <c r="BX78" i="27" a="1"/>
  <c r="BX78" i="27" s="1"/>
  <c r="BT78" i="27" a="1"/>
  <c r="BT78" i="27" s="1"/>
  <c r="BZ78" i="27" a="1"/>
  <c r="BZ78" i="27" s="1"/>
  <c r="BU78" i="27" a="1"/>
  <c r="BU78" i="27" s="1"/>
  <c r="BN78" i="27" a="1"/>
  <c r="BN78" i="27" s="1"/>
  <c r="CF78" i="27" a="1"/>
  <c r="CF78" i="27" s="1"/>
  <c r="BV78" i="27" a="1"/>
  <c r="BV78" i="27" s="1"/>
  <c r="CA78" i="27" a="1"/>
  <c r="CA78" i="27" s="1"/>
  <c r="BR78" i="27" a="1"/>
  <c r="BR78" i="27" s="1"/>
  <c r="BQ78" i="27" a="1"/>
  <c r="BQ78" i="27" s="1"/>
  <c r="CG78" i="27" a="1"/>
  <c r="CG78" i="27" s="1"/>
  <c r="BQ20" i="27" a="1"/>
  <c r="BQ20" i="27" s="1"/>
  <c r="CA49" i="27" a="1"/>
  <c r="CA49" i="27" s="1"/>
  <c r="BU79" i="27" a="1"/>
  <c r="BU79" i="27" s="1"/>
  <c r="BS41" i="27" a="1"/>
  <c r="BS41" i="27" s="1"/>
  <c r="CG98" i="27" a="1"/>
  <c r="CG98" i="27" s="1"/>
  <c r="CI71" i="27" a="1"/>
  <c r="CI71" i="27" s="1"/>
  <c r="BT81" i="27" a="1"/>
  <c r="BT81" i="27" s="1"/>
  <c r="BY81" i="27" a="1"/>
  <c r="BY81" i="27" s="1"/>
  <c r="BS81" i="27" a="1"/>
  <c r="BS81" i="27" s="1"/>
  <c r="BW81" i="27" a="1"/>
  <c r="BW81" i="27" s="1"/>
  <c r="CA81" i="27" a="1"/>
  <c r="CA81" i="27" s="1"/>
  <c r="CC113" i="27" a="1"/>
  <c r="CC113" i="27" s="1"/>
  <c r="BO79" i="27" a="1"/>
  <c r="BO79" i="27" s="1"/>
  <c r="BQ92" i="27" a="1"/>
  <c r="BQ92" i="27" s="1"/>
  <c r="BY33" i="27" a="1"/>
  <c r="BY33" i="27" s="1"/>
  <c r="BO33" i="27" a="1"/>
  <c r="BO33" i="27" s="1"/>
  <c r="CK79" i="27" a="1"/>
  <c r="CK79" i="27" s="1"/>
  <c r="BW41" i="27" a="1"/>
  <c r="BW41" i="27" s="1"/>
  <c r="BY78" i="27" a="1"/>
  <c r="BY78" i="27" s="1"/>
  <c r="BY71" i="27" a="1"/>
  <c r="BY71" i="27" s="1"/>
  <c r="CB71" i="27" a="1"/>
  <c r="CB71" i="27" s="1"/>
  <c r="BU113" i="27" a="1"/>
  <c r="BU113" i="27" s="1"/>
  <c r="BP78" i="27" a="1"/>
  <c r="BP78" i="27" s="1"/>
  <c r="BX66" i="27" a="1"/>
  <c r="BX66" i="27" s="1"/>
  <c r="BP66" i="27" a="1"/>
  <c r="BP66" i="27" s="1"/>
  <c r="BN26" i="27" a="1"/>
  <c r="BN26" i="27" s="1"/>
  <c r="BT42" i="27" a="1"/>
  <c r="BT42" i="27" s="1"/>
  <c r="BU42" i="27" a="1"/>
  <c r="BU42" i="27" s="1"/>
  <c r="CK42" i="27" a="1"/>
  <c r="CK42" i="27" s="1"/>
  <c r="BR42" i="27" a="1"/>
  <c r="BR42" i="27" s="1"/>
  <c r="BY42" i="27" a="1"/>
  <c r="BY42" i="27" s="1"/>
  <c r="CH42" i="27" a="1"/>
  <c r="CH42" i="27" s="1"/>
  <c r="CG42" i="27" a="1"/>
  <c r="CG42" i="27" s="1"/>
  <c r="BV42" i="27" a="1"/>
  <c r="BV42" i="27" s="1"/>
  <c r="BO49" i="27" a="1"/>
  <c r="BO49" i="27" s="1"/>
  <c r="BW78" i="27" a="1"/>
  <c r="BW78" i="27" s="1"/>
  <c r="CA6" i="27" a="1"/>
  <c r="CA6" i="27" s="1"/>
  <c r="CK92" i="27" a="1"/>
  <c r="CK92" i="27" s="1"/>
  <c r="CC7" i="27" a="1"/>
  <c r="CC7" i="27" s="1"/>
  <c r="BO78" i="27" a="1"/>
  <c r="BO78" i="27" s="1"/>
  <c r="BO71" i="27" a="1"/>
  <c r="BO71" i="27" s="1"/>
  <c r="CC41" i="27" a="1"/>
  <c r="CC41" i="27" s="1"/>
  <c r="BO98" i="27" a="1"/>
  <c r="BO98" i="27" s="1"/>
  <c r="CA20" i="27" a="1"/>
  <c r="CA20" i="27" s="1"/>
  <c r="BW49" i="27" a="1"/>
  <c r="BW49" i="27" s="1"/>
  <c r="BS7" i="27" a="1"/>
  <c r="BS7" i="27" s="1"/>
  <c r="CI42" i="27" a="1"/>
  <c r="CI42" i="27" s="1"/>
  <c r="BQ81" i="27" a="1"/>
  <c r="BQ81" i="27" s="1"/>
  <c r="BP81" i="27" a="1"/>
  <c r="BP81" i="27" s="1"/>
  <c r="BO81" i="27" a="1"/>
  <c r="BO81" i="27" s="1"/>
  <c r="BN81" i="27" a="1"/>
  <c r="BN81" i="27" s="1"/>
  <c r="BR81" i="27" a="1"/>
  <c r="BR81" i="27" s="1"/>
  <c r="BV81" i="27" a="1"/>
  <c r="BV81" i="27" s="1"/>
  <c r="CE79" i="27" a="1"/>
  <c r="CE79" i="27" s="1"/>
  <c r="BS92" i="27" a="1"/>
  <c r="BS92" i="27" s="1"/>
  <c r="BS126" i="27" a="1"/>
  <c r="BS126" i="27" s="1"/>
  <c r="BS111" i="27" a="1"/>
  <c r="BS111" i="27" s="1"/>
  <c r="CA111" i="27" a="1"/>
  <c r="CA111" i="27" s="1"/>
  <c r="BT111" i="27" a="1"/>
  <c r="BT111" i="27" s="1"/>
  <c r="BQ49" i="27" a="1"/>
  <c r="BQ49" i="27" s="1"/>
  <c r="BU33" i="27" a="1"/>
  <c r="BU33" i="27" s="1"/>
  <c r="BT33" i="27" a="1"/>
  <c r="BT33" i="27" s="1"/>
  <c r="CH33" i="27" a="1"/>
  <c r="CH33" i="27" s="1"/>
  <c r="BY79" i="27" a="1"/>
  <c r="BY79" i="27" s="1"/>
  <c r="BO92" i="27" a="1"/>
  <c r="BO92" i="27" s="1"/>
  <c r="CI26" i="27" a="1"/>
  <c r="CI26" i="27" s="1"/>
  <c r="BO7" i="27" a="1"/>
  <c r="BO7" i="27" s="1"/>
  <c r="BQ42" i="27" a="1"/>
  <c r="BQ42" i="27" s="1"/>
  <c r="CG71" i="27" a="1"/>
  <c r="CG71" i="27" s="1"/>
  <c r="CG126" i="27" a="1"/>
  <c r="CG126" i="27" s="1"/>
  <c r="CA41" i="27" a="1"/>
  <c r="CA41" i="27" s="1"/>
  <c r="BY126" i="27" a="1"/>
  <c r="BY126" i="27" s="1"/>
  <c r="CD71" i="27" a="1"/>
  <c r="CD71" i="27" s="1"/>
  <c r="BZ71" i="27" a="1"/>
  <c r="BZ71" i="27" s="1"/>
  <c r="CH54" i="27" a="1"/>
  <c r="CH54" i="27" s="1"/>
  <c r="CK66" i="27" a="1"/>
  <c r="CK66" i="27" s="1"/>
  <c r="CK78" i="27" a="1"/>
  <c r="CK78" i="27" s="1"/>
  <c r="CJ113" i="27" a="1"/>
  <c r="CJ113" i="27" s="1"/>
  <c r="BU7" i="27" a="1"/>
  <c r="BU7" i="27" s="1"/>
  <c r="CF126" i="27" a="1"/>
  <c r="CF126" i="27" s="1"/>
  <c r="BZ42" i="27" a="1"/>
  <c r="BZ42" i="27" s="1"/>
  <c r="CB42" i="27" a="1"/>
  <c r="CB42" i="27" s="1"/>
  <c r="BN42" i="27" a="1"/>
  <c r="BN42" i="27" s="1"/>
  <c r="BX42" i="27" a="1"/>
  <c r="BX42" i="27" s="1"/>
  <c r="CD42" i="27" a="1"/>
  <c r="CD42" i="27" s="1"/>
  <c r="CA16" i="27" a="1"/>
  <c r="CA16" i="27" s="1"/>
  <c r="BW16" i="27" a="1"/>
  <c r="BW16" i="27" s="1"/>
  <c r="BU16" i="27" a="1"/>
  <c r="BU16" i="27" s="1"/>
  <c r="BN98" i="27" a="1"/>
  <c r="BN98" i="27" s="1"/>
  <c r="CD98" i="27" a="1"/>
  <c r="CD98" i="27" s="1"/>
  <c r="BV98" i="27" a="1"/>
  <c r="BV98" i="27" s="1"/>
  <c r="BS98" i="27" a="1"/>
  <c r="BS98" i="27" s="1"/>
  <c r="CF98" i="27" a="1"/>
  <c r="CF98" i="27" s="1"/>
  <c r="CB98" i="27" a="1"/>
  <c r="CB98" i="27" s="1"/>
  <c r="BU98" i="27" a="1"/>
  <c r="BU98" i="27" s="1"/>
  <c r="CC98" i="27" a="1"/>
  <c r="CC98" i="27" s="1"/>
  <c r="CC79" i="27" a="1"/>
  <c r="CC79" i="27" s="1"/>
  <c r="CJ79" i="27" a="1"/>
  <c r="CJ79" i="27" s="1"/>
  <c r="CB79" i="27" a="1"/>
  <c r="CB79" i="27" s="1"/>
  <c r="BZ79" i="27" a="1"/>
  <c r="BZ79" i="27" s="1"/>
  <c r="CA79" i="27" a="1"/>
  <c r="CA79" i="27" s="1"/>
  <c r="BV79" i="27" a="1"/>
  <c r="BV79" i="27" s="1"/>
  <c r="BX79" i="27" a="1"/>
  <c r="BX79" i="27" s="1"/>
  <c r="CI79" i="27" a="1"/>
  <c r="CI79" i="27" s="1"/>
  <c r="CD66" i="27" a="1"/>
  <c r="CD66" i="27" s="1"/>
  <c r="BT66" i="27" a="1"/>
  <c r="BT66" i="27" s="1"/>
  <c r="BU66" i="27" a="1"/>
  <c r="BU66" i="27" s="1"/>
  <c r="CB66" i="27" a="1"/>
  <c r="CB66" i="27" s="1"/>
  <c r="CG66" i="27" a="1"/>
  <c r="CG66" i="27" s="1"/>
  <c r="CJ66" i="27" a="1"/>
  <c r="CJ66" i="27" s="1"/>
  <c r="CA66" i="27" a="1"/>
  <c r="CA66" i="27" s="1"/>
  <c r="BQ66" i="27" a="1"/>
  <c r="BQ66" i="27" s="1"/>
  <c r="BW66" i="27" a="1"/>
  <c r="BW66" i="27" s="1"/>
  <c r="CG113" i="27" a="1"/>
  <c r="CG113" i="27" s="1"/>
  <c r="BT113" i="27" a="1"/>
  <c r="BT113" i="27" s="1"/>
  <c r="BV113" i="27" a="1"/>
  <c r="BV113" i="27" s="1"/>
  <c r="CD113" i="27" a="1"/>
  <c r="CD113" i="27" s="1"/>
  <c r="BW113" i="27" a="1"/>
  <c r="BW113" i="27" s="1"/>
  <c r="BZ113" i="27" a="1"/>
  <c r="BZ113" i="27" s="1"/>
  <c r="BS113" i="27" a="1"/>
  <c r="BS113" i="27" s="1"/>
  <c r="CA113" i="27" a="1"/>
  <c r="CA113" i="27" s="1"/>
  <c r="CK113" i="27" a="1"/>
  <c r="CK113" i="27" s="1"/>
  <c r="CE113" i="27" a="1"/>
  <c r="CE113" i="27" s="1"/>
  <c r="BX113" i="27" a="1"/>
  <c r="BX113" i="27" s="1"/>
  <c r="BN113" i="27" a="1"/>
  <c r="BN113" i="27" s="1"/>
  <c r="CH41" i="27" a="1"/>
  <c r="CH41" i="27" s="1"/>
  <c r="BR41" i="27" a="1"/>
  <c r="BR41" i="27" s="1"/>
  <c r="CJ41" i="27" a="1"/>
  <c r="CJ41" i="27" s="1"/>
  <c r="CF41" i="27" a="1"/>
  <c r="CF41" i="27" s="1"/>
  <c r="BV41" i="27" a="1"/>
  <c r="BV41" i="27" s="1"/>
  <c r="BQ41" i="27" a="1"/>
  <c r="BQ41" i="27" s="1"/>
  <c r="BO41" i="27" a="1"/>
  <c r="BO41" i="27" s="1"/>
  <c r="CI41" i="27" a="1"/>
  <c r="CI41" i="27" s="1"/>
  <c r="CE41" i="27" a="1"/>
  <c r="CE41" i="27" s="1"/>
  <c r="CD41" i="27" a="1"/>
  <c r="CD41" i="27" s="1"/>
  <c r="CB41" i="27" a="1"/>
  <c r="CB41" i="27" s="1"/>
  <c r="BY41" i="27" a="1"/>
  <c r="BY41" i="27" s="1"/>
  <c r="BZ6" i="27" a="1"/>
  <c r="BZ6" i="27" s="1"/>
  <c r="CD6" i="27" a="1"/>
  <c r="CD6" i="27" s="1"/>
  <c r="CJ6" i="27" a="1"/>
  <c r="CJ6" i="27" s="1"/>
  <c r="BP6" i="27" a="1"/>
  <c r="BP6" i="27" s="1"/>
  <c r="CF6" i="27" a="1"/>
  <c r="CF6" i="27" s="1"/>
  <c r="CB6" i="27" a="1"/>
  <c r="CB6" i="27" s="1"/>
  <c r="CH6" i="27" a="1"/>
  <c r="CH6" i="27" s="1"/>
  <c r="BY6" i="27" a="1"/>
  <c r="BY6" i="27" s="1"/>
  <c r="BO6" i="27" a="1"/>
  <c r="BO6" i="27" s="1"/>
  <c r="BN6" i="27" a="1"/>
  <c r="BN6" i="27" s="1"/>
  <c r="BU6" i="27" a="1"/>
  <c r="BU6" i="27" s="1"/>
  <c r="BZ92" i="27" a="1"/>
  <c r="BZ92" i="27" s="1"/>
  <c r="BV92" i="27" a="1"/>
  <c r="BV92" i="27" s="1"/>
  <c r="BT92" i="27" a="1"/>
  <c r="BT92" i="27" s="1"/>
  <c r="BP92" i="27" a="1"/>
  <c r="BP92" i="27" s="1"/>
  <c r="CD92" i="27" a="1"/>
  <c r="CD92" i="27" s="1"/>
  <c r="CB92" i="27" a="1"/>
  <c r="CB92" i="27" s="1"/>
  <c r="BY92" i="27" a="1"/>
  <c r="BY92" i="27" s="1"/>
  <c r="BU92" i="27" a="1"/>
  <c r="BU92" i="27" s="1"/>
  <c r="CE92" i="27" a="1"/>
  <c r="CE92" i="27" s="1"/>
  <c r="BX92" i="27" a="1"/>
  <c r="BX92" i="27" s="1"/>
  <c r="CJ92" i="27" a="1"/>
  <c r="CJ92" i="27" s="1"/>
  <c r="CH20" i="27" a="1"/>
  <c r="CH20" i="27" s="1"/>
  <c r="BP20" i="27" a="1"/>
  <c r="BP20" i="27" s="1"/>
  <c r="CJ20" i="27" a="1"/>
  <c r="CJ20" i="27" s="1"/>
  <c r="BN20" i="27" a="1"/>
  <c r="BN20" i="27" s="1"/>
  <c r="CF20" i="27" a="1"/>
  <c r="CF20" i="27" s="1"/>
  <c r="BU20" i="27" a="1"/>
  <c r="BU20" i="27" s="1"/>
  <c r="CE20" i="27" a="1"/>
  <c r="CE20" i="27" s="1"/>
  <c r="CB20" i="27" a="1"/>
  <c r="CB20" i="27" s="1"/>
  <c r="BW20" i="27" a="1"/>
  <c r="BW20" i="27" s="1"/>
  <c r="BX49" i="27" a="1"/>
  <c r="BX49" i="27" s="1"/>
  <c r="BZ49" i="27" a="1"/>
  <c r="BZ49" i="27" s="1"/>
  <c r="CJ49" i="27" a="1"/>
  <c r="CJ49" i="27" s="1"/>
  <c r="BV49" i="27" a="1"/>
  <c r="BV49" i="27" s="1"/>
  <c r="BT49" i="27" a="1"/>
  <c r="BT49" i="27" s="1"/>
  <c r="CB49" i="27" a="1"/>
  <c r="CB49" i="27" s="1"/>
  <c r="BN49" i="27" a="1"/>
  <c r="BN49" i="27" s="1"/>
  <c r="CC49" i="27" a="1"/>
  <c r="CC49" i="27" s="1"/>
  <c r="CA7" i="27" a="1"/>
  <c r="CA7" i="27" s="1"/>
  <c r="CA92" i="27" a="1"/>
  <c r="CA92" i="27" s="1"/>
  <c r="CE7" i="27" a="1"/>
  <c r="CE7" i="27" s="1"/>
  <c r="BO113" i="27" a="1"/>
  <c r="BO113" i="27" s="1"/>
  <c r="CG6" i="27" a="1"/>
  <c r="CG6" i="27" s="1"/>
  <c r="BO20" i="27" a="1"/>
  <c r="BO20" i="27" s="1"/>
  <c r="CI49" i="27" a="1"/>
  <c r="CI49" i="27" s="1"/>
  <c r="CI78" i="27" a="1"/>
  <c r="CI78" i="27" s="1"/>
  <c r="BU81" i="27" a="1"/>
  <c r="BU81" i="27" s="1"/>
  <c r="BW79" i="27" a="1"/>
  <c r="BW79" i="27" s="1"/>
  <c r="CK98" i="27" a="1"/>
  <c r="CK98" i="27" s="1"/>
  <c r="CC71" i="27" a="1"/>
  <c r="CC71" i="27" s="1"/>
  <c r="BX111" i="27" a="1"/>
  <c r="BX111" i="27" s="1"/>
  <c r="CF111" i="27" a="1"/>
  <c r="CF111" i="27" s="1"/>
  <c r="CD111" i="27" a="1"/>
  <c r="CD111" i="27" s="1"/>
  <c r="BX33" i="27" a="1"/>
  <c r="BX33" i="27" s="1"/>
  <c r="BS6" i="27" a="1"/>
  <c r="BS6" i="27" s="1"/>
  <c r="BW92" i="27" a="1"/>
  <c r="BW92" i="27" s="1"/>
  <c r="CK49" i="27" a="1"/>
  <c r="CK49" i="27" s="1"/>
  <c r="CD78" i="27" a="1"/>
  <c r="CD78" i="27" s="1"/>
  <c r="BT6" i="27" a="1"/>
  <c r="BT6" i="27" s="1"/>
  <c r="CD49" i="27" a="1"/>
  <c r="CD49" i="27" s="1"/>
  <c r="BU126" i="27" a="1"/>
  <c r="BU126" i="27" s="1"/>
  <c r="BZ126" i="27" a="1"/>
  <c r="BZ126" i="27" s="1"/>
  <c r="CK126" i="27" a="1"/>
  <c r="CK126" i="27" s="1"/>
  <c r="CE126" i="27" a="1"/>
  <c r="CE126" i="27" s="1"/>
  <c r="BW126" i="27" a="1"/>
  <c r="BW126" i="27" s="1"/>
  <c r="BT126" i="27" a="1"/>
  <c r="BT126" i="27" s="1"/>
  <c r="BP126" i="27" a="1"/>
  <c r="BP126" i="27" s="1"/>
  <c r="BP54" i="27" a="1"/>
  <c r="BP54" i="27" s="1"/>
  <c r="BR54" i="27" a="1"/>
  <c r="BR54" i="27" s="1"/>
  <c r="CC54" i="27" a="1"/>
  <c r="CC54" i="27" s="1"/>
  <c r="CB54" i="27" a="1"/>
  <c r="CB54" i="27" s="1"/>
  <c r="CI54" i="27" a="1"/>
  <c r="CI54" i="27" s="1"/>
  <c r="CD54" i="27" a="1"/>
  <c r="CD54" i="27" s="1"/>
  <c r="CJ54" i="27" a="1"/>
  <c r="CJ54" i="27" s="1"/>
  <c r="BO54" i="27" a="1"/>
  <c r="BO54" i="27" s="1"/>
  <c r="BQ54" i="27" a="1"/>
  <c r="BQ54" i="27" s="1"/>
  <c r="BX54" i="27" a="1"/>
  <c r="BX54" i="27" s="1"/>
  <c r="BT54" i="27" a="1"/>
  <c r="BT54" i="27" s="1"/>
  <c r="BY54" i="27" a="1"/>
  <c r="BY54" i="27" s="1"/>
  <c r="CF54" i="27" a="1"/>
  <c r="CF54" i="27" s="1"/>
  <c r="BU54" i="27" a="1"/>
  <c r="BU54" i="27" s="1"/>
  <c r="BW6" i="27" a="1"/>
  <c r="BW6" i="27" s="1"/>
  <c r="CG92" i="27" a="1"/>
  <c r="CG92" i="27" s="1"/>
  <c r="CC20" i="27" a="1"/>
  <c r="CC20" i="27" s="1"/>
  <c r="BQ79" i="27" a="1"/>
  <c r="BQ79" i="27" s="1"/>
  <c r="CC92" i="27" a="1"/>
  <c r="CC92" i="27" s="1"/>
  <c r="BS20" i="27" a="1"/>
  <c r="BS20" i="27" s="1"/>
  <c r="BW71" i="27" a="1"/>
  <c r="BW71" i="27" s="1"/>
  <c r="CC6" i="27" a="1"/>
  <c r="CC6" i="27" s="1"/>
  <c r="CE98" i="27" a="1"/>
  <c r="CE98" i="27" s="1"/>
  <c r="CK26" i="27" a="1"/>
  <c r="CK26" i="27" s="1"/>
  <c r="CE49" i="27" a="1"/>
  <c r="CE49" i="27" s="1"/>
  <c r="CE42" i="27" a="1"/>
  <c r="CE42" i="27" s="1"/>
  <c r="CC66" i="27" a="1"/>
  <c r="CC66" i="27" s="1"/>
  <c r="BO26" i="27" a="1"/>
  <c r="BO26" i="27" s="1"/>
  <c r="CI126" i="27" a="1"/>
  <c r="CI126" i="27" s="1"/>
  <c r="CI113" i="27" a="1"/>
  <c r="CI113" i="27" s="1"/>
  <c r="CE81" i="27" a="1"/>
  <c r="CE81" i="27" s="1"/>
  <c r="CI81" i="27" a="1"/>
  <c r="CI81" i="27" s="1"/>
  <c r="CH81" i="27" a="1"/>
  <c r="CH81" i="27" s="1"/>
  <c r="CB81" i="27" a="1"/>
  <c r="CB81" i="27" s="1"/>
  <c r="CK81" i="27" a="1"/>
  <c r="CK81" i="27" s="1"/>
  <c r="CI6" i="27" a="1"/>
  <c r="CI6" i="27" s="1"/>
  <c r="CI98" i="27" a="1"/>
  <c r="CI98" i="27" s="1"/>
  <c r="CI92" i="27" a="1"/>
  <c r="CI92" i="27" s="1"/>
  <c r="CC78" i="27" a="1"/>
  <c r="CC78" i="27" s="1"/>
  <c r="CC111" i="27" a="1"/>
  <c r="CC111" i="27" s="1"/>
  <c r="CG111" i="27" a="1"/>
  <c r="CG111" i="27" s="1"/>
  <c r="BZ111" i="27" a="1"/>
  <c r="BZ111" i="27" s="1"/>
  <c r="BQ6" i="27" a="1"/>
  <c r="BQ6" i="27" s="1"/>
  <c r="BQ26" i="27" a="1"/>
  <c r="BQ26" i="27" s="1"/>
  <c r="CG33" i="27" a="1"/>
  <c r="CG33" i="27" s="1"/>
  <c r="CE33" i="27" a="1"/>
  <c r="CE33" i="27" s="1"/>
  <c r="BV33" i="27" a="1"/>
  <c r="BV33" i="27" s="1"/>
  <c r="BW26" i="27" a="1"/>
  <c r="BW26" i="27" s="1"/>
  <c r="CK20" i="27" a="1"/>
  <c r="CK20" i="27" s="1"/>
  <c r="CE78" i="27" a="1"/>
  <c r="CE78" i="27" s="1"/>
  <c r="CA42" i="27" a="1"/>
  <c r="CA42" i="27" s="1"/>
  <c r="CG41" i="27" a="1"/>
  <c r="CG41" i="27" s="1"/>
  <c r="BQ71" i="27" a="1"/>
  <c r="BQ71" i="27" s="1"/>
  <c r="CJ71" i="27" a="1"/>
  <c r="CJ71" i="27" s="1"/>
  <c r="BY20" i="27" a="1"/>
  <c r="BY20" i="27" s="1"/>
  <c r="CD79" i="27" a="1"/>
  <c r="CD79" i="27" s="1"/>
  <c r="CF113" i="27" a="1"/>
  <c r="CF113" i="27" s="1"/>
  <c r="CF7" i="27" a="1"/>
  <c r="CF7" i="27" s="1"/>
  <c r="BZ54" i="27" a="1"/>
  <c r="BZ54" i="27" s="1"/>
  <c r="BX7" i="27" a="1"/>
  <c r="BX7" i="27" s="1"/>
  <c r="BR113" i="27" a="1"/>
  <c r="BR113" i="27" s="1"/>
  <c r="CF79" i="27" a="1"/>
  <c r="CF79" i="27" s="1"/>
  <c r="BW54" i="27" a="1"/>
  <c r="BW54" i="27" s="1"/>
  <c r="BN41" i="27" a="1"/>
  <c r="BN41" i="27" s="1"/>
  <c r="BP79" i="27" a="1"/>
  <c r="BP79" i="27" s="1"/>
  <c r="CA54" i="27" a="1"/>
  <c r="CA54" i="27" s="1"/>
  <c r="BX41" i="27" a="1"/>
  <c r="BX41" i="27" s="1"/>
  <c r="CF42" i="27" a="1"/>
  <c r="CF42" i="27" s="1"/>
  <c r="BN66" i="27" a="1"/>
  <c r="BN66" i="27" s="1"/>
  <c r="BN92" i="27" a="1"/>
  <c r="BN92" i="27" s="1"/>
  <c r="BR6" i="27" a="1"/>
  <c r="BR6" i="27" s="1"/>
  <c r="CF8" i="27" a="1"/>
  <c r="CF8" i="27" s="1"/>
  <c r="BQ8" i="27" a="1"/>
  <c r="BQ8" i="27" s="1"/>
  <c r="BW8" i="27" a="1"/>
  <c r="BW8" i="27" s="1"/>
  <c r="BT8" i="27" a="1"/>
  <c r="BT8" i="27" s="1"/>
  <c r="BZ8" i="27" a="1"/>
  <c r="BZ8" i="27" s="1"/>
  <c r="BU8" i="27" a="1"/>
  <c r="BU8" i="27" s="1"/>
  <c r="CE8" i="27" a="1"/>
  <c r="CE8" i="27" s="1"/>
  <c r="CJ42" i="27" a="1"/>
  <c r="CJ42" i="27" s="1"/>
  <c r="BX98" i="27" a="1"/>
  <c r="BX98" i="27" s="1"/>
  <c r="CH98" i="27" a="1"/>
  <c r="CH98" i="27" s="1"/>
  <c r="BR20" i="27" a="1"/>
  <c r="BR20" i="27" s="1"/>
  <c r="BZ7" i="27" a="1"/>
  <c r="BZ7" i="27" s="1"/>
  <c r="CH113" i="27" a="1"/>
  <c r="CH113" i="27" s="1"/>
  <c r="BU108" i="27" a="1"/>
  <c r="BU108" i="27" s="1"/>
  <c r="CB108" i="27" a="1"/>
  <c r="CB108" i="27" s="1"/>
  <c r="CK108" i="27" a="1"/>
  <c r="CK108" i="27" s="1"/>
  <c r="BY108" i="27" a="1"/>
  <c r="BY108" i="27" s="1"/>
  <c r="BZ60" i="27" a="1"/>
  <c r="BZ60" i="27" s="1"/>
  <c r="CD60" i="27" a="1"/>
  <c r="CD60" i="27" s="1"/>
  <c r="BV60" i="27" a="1"/>
  <c r="BV60" i="27" s="1"/>
  <c r="CE60" i="27" a="1"/>
  <c r="CE60" i="27" s="1"/>
  <c r="CF12" i="27" a="1"/>
  <c r="CF12" i="27" s="1"/>
  <c r="BU12" i="27" a="1"/>
  <c r="BU12" i="27" s="1"/>
  <c r="BR12" i="27" a="1"/>
  <c r="BR12" i="27" s="1"/>
  <c r="BY12" i="27" a="1"/>
  <c r="BY12" i="27" s="1"/>
  <c r="CJ12" i="27" a="1"/>
  <c r="CJ12" i="27" s="1"/>
  <c r="BZ12" i="27" a="1"/>
  <c r="BZ12" i="27" s="1"/>
  <c r="CI12" i="27" a="1"/>
  <c r="CI12" i="27" s="1"/>
  <c r="CC12" i="27" a="1"/>
  <c r="CC12" i="27" s="1"/>
  <c r="BW12" i="27" a="1"/>
  <c r="BW12" i="27" s="1"/>
  <c r="BT12" i="27" a="1"/>
  <c r="BT12" i="27" s="1"/>
  <c r="CA12" i="27" a="1"/>
  <c r="CA12" i="27" s="1"/>
  <c r="CK12" i="27" a="1"/>
  <c r="CK12" i="27" s="1"/>
  <c r="CH56" i="27" a="1"/>
  <c r="CH56" i="27" s="1"/>
  <c r="BU56" i="27" a="1"/>
  <c r="BU56" i="27" s="1"/>
  <c r="CG56" i="27" a="1"/>
  <c r="CG56" i="27" s="1"/>
  <c r="BQ56" i="27" a="1"/>
  <c r="BQ56" i="27" s="1"/>
  <c r="BN56" i="27" a="1"/>
  <c r="BN56" i="27" s="1"/>
  <c r="CI56" i="27" a="1"/>
  <c r="CI56" i="27" s="1"/>
  <c r="BS56" i="27" a="1"/>
  <c r="BS56" i="27" s="1"/>
  <c r="BV109" i="27" a="1"/>
  <c r="BV109" i="27" s="1"/>
  <c r="CD109" i="27" a="1"/>
  <c r="CD109" i="27" s="1"/>
  <c r="BS109" i="27" a="1"/>
  <c r="BS109" i="27" s="1"/>
  <c r="CC109" i="27" a="1"/>
  <c r="CC109" i="27" s="1"/>
  <c r="CH109" i="27" a="1"/>
  <c r="CH109" i="27" s="1"/>
  <c r="BU109" i="27" a="1"/>
  <c r="BU109" i="27" s="1"/>
  <c r="BP31" i="27" a="1"/>
  <c r="BP31" i="27" s="1"/>
  <c r="BT31" i="27" a="1"/>
  <c r="BT31" i="27" s="1"/>
  <c r="CJ31" i="27" a="1"/>
  <c r="CJ31" i="27" s="1"/>
  <c r="CB31" i="27" a="1"/>
  <c r="CB31" i="27" s="1"/>
  <c r="BR31" i="27" a="1"/>
  <c r="BR31" i="27" s="1"/>
  <c r="BU31" i="27" a="1"/>
  <c r="BU31" i="27" s="1"/>
  <c r="BN58" i="27" a="1"/>
  <c r="BN58" i="27" s="1"/>
  <c r="CB58" i="27" a="1"/>
  <c r="CB58" i="27" s="1"/>
  <c r="CE58" i="27" a="1"/>
  <c r="CE58" i="27" s="1"/>
  <c r="BU58" i="27" a="1"/>
  <c r="BU58" i="27" s="1"/>
  <c r="BP70" i="27" a="1"/>
  <c r="BP70" i="27" s="1"/>
  <c r="BS70" i="27" a="1"/>
  <c r="BS70" i="27" s="1"/>
  <c r="CK59" i="27" a="1"/>
  <c r="CK59" i="27" s="1"/>
  <c r="BZ59" i="27" a="1"/>
  <c r="BZ59" i="27" s="1"/>
  <c r="CG59" i="27" a="1"/>
  <c r="CG59" i="27" s="1"/>
  <c r="BO59" i="27" a="1"/>
  <c r="BO59" i="27" s="1"/>
  <c r="BU59" i="27" a="1"/>
  <c r="BU59" i="27" s="1"/>
  <c r="CE59" i="27" a="1"/>
  <c r="CE59" i="27" s="1"/>
  <c r="BR86" i="27" a="1"/>
  <c r="BR86" i="27" s="1"/>
  <c r="CD86" i="27" a="1"/>
  <c r="CD86" i="27" s="1"/>
  <c r="BU86" i="27" a="1"/>
  <c r="BU86" i="27" s="1"/>
  <c r="CB38" i="27" a="1"/>
  <c r="CB38" i="27" s="1"/>
  <c r="BU38" i="27" a="1"/>
  <c r="BU38" i="27" s="1"/>
  <c r="CJ38" i="27" a="1"/>
  <c r="CJ38" i="27" s="1"/>
  <c r="CD38" i="27" a="1"/>
  <c r="CD38" i="27" s="1"/>
  <c r="BP91" i="27" a="1"/>
  <c r="BP91" i="27" s="1"/>
  <c r="BR91" i="27" a="1"/>
  <c r="BR91" i="27" s="1"/>
  <c r="BV91" i="27" a="1"/>
  <c r="BV91" i="27" s="1"/>
  <c r="BT91" i="27" a="1"/>
  <c r="BT91" i="27" s="1"/>
  <c r="BX91" i="27" a="1"/>
  <c r="BX91" i="27" s="1"/>
  <c r="BZ140" i="27" a="1"/>
  <c r="BZ140" i="27" s="1"/>
  <c r="BT140" i="27" a="1"/>
  <c r="BT140" i="27" s="1"/>
  <c r="BP101" i="27" a="1"/>
  <c r="BP101" i="27" s="1"/>
  <c r="BR101" i="27" a="1"/>
  <c r="BR101" i="27" s="1"/>
  <c r="CB101" i="27" a="1"/>
  <c r="CB101" i="27" s="1"/>
  <c r="CF101" i="27" a="1"/>
  <c r="CF101" i="27" s="1"/>
  <c r="CH101" i="27" a="1"/>
  <c r="CH101" i="27" s="1"/>
  <c r="BX101" i="27" a="1"/>
  <c r="BX101" i="27" s="1"/>
  <c r="BP29" i="27" a="1"/>
  <c r="BP29" i="27" s="1"/>
  <c r="BR29" i="27" a="1"/>
  <c r="BR29" i="27" s="1"/>
  <c r="CH29" i="27" a="1"/>
  <c r="CH29" i="27" s="1"/>
  <c r="BV29" i="27" a="1"/>
  <c r="BV29" i="27" s="1"/>
  <c r="BR104" i="27" a="1"/>
  <c r="BR104" i="27" s="1"/>
  <c r="CB104" i="27" a="1"/>
  <c r="CB104" i="27" s="1"/>
  <c r="BV104" i="27" a="1"/>
  <c r="BV104" i="27" s="1"/>
  <c r="BN104" i="27" a="1"/>
  <c r="BN104" i="27" s="1"/>
  <c r="BR32" i="27" a="1"/>
  <c r="BR32" i="27" s="1"/>
  <c r="BP32" i="27" a="1"/>
  <c r="BP32" i="27" s="1"/>
  <c r="BU32" i="27" a="1"/>
  <c r="BU32" i="27" s="1"/>
  <c r="BP13" i="27" a="1"/>
  <c r="BP13" i="27" s="1"/>
  <c r="CJ13" i="27" a="1"/>
  <c r="CJ13" i="27" s="1"/>
  <c r="BT72" i="27" a="1"/>
  <c r="BT72" i="27" s="1"/>
  <c r="CH72" i="27" a="1"/>
  <c r="CH72" i="27" s="1"/>
  <c r="BX72" i="27" a="1"/>
  <c r="BX72" i="27" s="1"/>
  <c r="BV72" i="27" a="1"/>
  <c r="BV72" i="27" s="1"/>
  <c r="BN125" i="27" a="1"/>
  <c r="BN125" i="27" s="1"/>
  <c r="BT125" i="27" a="1"/>
  <c r="BT125" i="27" s="1"/>
  <c r="CH125" i="27" a="1"/>
  <c r="CH125" i="27" s="1"/>
  <c r="BP125" i="27" a="1"/>
  <c r="BP125" i="27" s="1"/>
  <c r="CB125" i="27" a="1"/>
  <c r="CB125" i="27" s="1"/>
  <c r="CJ125" i="27" a="1"/>
  <c r="CJ125" i="27" s="1"/>
  <c r="CE125" i="27" a="1"/>
  <c r="CE125" i="27" s="1"/>
  <c r="CA125" i="27" a="1"/>
  <c r="CA125" i="27" s="1"/>
  <c r="CG125" i="27" a="1"/>
  <c r="CG125" i="27" s="1"/>
  <c r="BZ125" i="27" a="1"/>
  <c r="BZ125" i="27" s="1"/>
  <c r="BR125" i="27" a="1"/>
  <c r="BR125" i="27" s="1"/>
  <c r="BX120" i="27" a="1"/>
  <c r="BX120" i="27" s="1"/>
  <c r="CJ120" i="27" a="1"/>
  <c r="CJ120" i="27" s="1"/>
  <c r="BP73" i="27" a="1"/>
  <c r="BP73" i="27" s="1"/>
  <c r="BY73" i="27" a="1"/>
  <c r="BY73" i="27" s="1"/>
  <c r="CF73" i="27" a="1"/>
  <c r="CF73" i="27" s="1"/>
  <c r="CF10" i="27" a="1"/>
  <c r="CF10" i="27" s="1"/>
  <c r="CA10" i="27" a="1"/>
  <c r="CA10" i="27" s="1"/>
  <c r="BR10" i="27" a="1"/>
  <c r="BR10" i="27" s="1"/>
  <c r="CJ10" i="27" a="1"/>
  <c r="CJ10" i="27" s="1"/>
  <c r="BX89" i="27" a="1"/>
  <c r="BX89" i="27" s="1"/>
  <c r="CJ89" i="27" a="1"/>
  <c r="CJ89" i="27" s="1"/>
  <c r="CH89" i="27" a="1"/>
  <c r="CH89" i="27" s="1"/>
  <c r="BO30" i="27" a="1"/>
  <c r="BO30" i="27" s="1"/>
  <c r="CB30" i="27" a="1"/>
  <c r="CB30" i="27" s="1"/>
  <c r="BN138" i="27" a="1"/>
  <c r="BN138" i="27" s="1"/>
  <c r="BX138" i="27" a="1"/>
  <c r="BX138" i="27" s="1"/>
  <c r="BR138" i="27" a="1"/>
  <c r="BR138" i="27" s="1"/>
  <c r="BT138" i="27" a="1"/>
  <c r="BT138" i="27" s="1"/>
  <c r="CE138" i="27" a="1"/>
  <c r="CE138" i="27" s="1"/>
  <c r="BX65" i="27" a="1"/>
  <c r="BX65" i="27" s="1"/>
  <c r="BZ65" i="27" a="1"/>
  <c r="BZ65" i="27" s="1"/>
  <c r="BY65" i="27" a="1"/>
  <c r="BY65" i="27" s="1"/>
  <c r="CJ65" i="27" a="1"/>
  <c r="CJ65" i="27" s="1"/>
  <c r="CJ116" i="27" a="1"/>
  <c r="CJ116" i="27" s="1"/>
  <c r="BP116" i="27" a="1"/>
  <c r="BP116" i="27" s="1"/>
  <c r="CF116" i="27" a="1"/>
  <c r="CF116" i="27" s="1"/>
  <c r="BN44" i="27" a="1"/>
  <c r="BN44" i="27" s="1"/>
  <c r="CG44" i="27" a="1"/>
  <c r="CG44" i="27" s="1"/>
  <c r="CC44" i="27" a="1"/>
  <c r="CC44" i="27" s="1"/>
  <c r="CF44" i="27" a="1"/>
  <c r="CF44" i="27" s="1"/>
  <c r="BW44" i="27" a="1"/>
  <c r="BW44" i="27" s="1"/>
  <c r="CA44" i="27" a="1"/>
  <c r="CA44" i="27" s="1"/>
  <c r="BZ44" i="27" a="1"/>
  <c r="BZ44" i="27" s="1"/>
  <c r="BY44" i="27" a="1"/>
  <c r="BY44" i="27" s="1"/>
  <c r="BS44" i="27" a="1"/>
  <c r="BS44" i="27" s="1"/>
  <c r="CH44" i="27" a="1"/>
  <c r="CH44" i="27" s="1"/>
  <c r="BR44" i="27" a="1"/>
  <c r="BR44" i="27" s="1"/>
  <c r="BT15" i="27" a="1"/>
  <c r="BT15" i="27" s="1"/>
  <c r="BN15" i="27" a="1"/>
  <c r="BN15" i="27" s="1"/>
  <c r="CA64" i="27" a="1"/>
  <c r="CA64" i="27" s="1"/>
  <c r="CG64" i="27" a="1"/>
  <c r="CG64" i="27" s="1"/>
  <c r="CJ64" i="27" a="1"/>
  <c r="CJ64" i="27" s="1"/>
  <c r="BZ102" i="27" a="1"/>
  <c r="BZ102" i="27" s="1"/>
  <c r="CH102" i="27" a="1"/>
  <c r="CH102" i="27" s="1"/>
  <c r="BU102" i="27" a="1"/>
  <c r="BU102" i="27" s="1"/>
  <c r="BV102" i="27" a="1"/>
  <c r="BV102" i="27" s="1"/>
  <c r="CC102" i="27" a="1"/>
  <c r="CC102" i="27" s="1"/>
  <c r="CG30" i="27" a="1"/>
  <c r="CG30" i="27" s="1"/>
  <c r="CE102" i="27" a="1"/>
  <c r="CE102" i="27" s="1"/>
  <c r="CG102" i="27" a="1"/>
  <c r="CG102" i="27" s="1"/>
  <c r="BQ64" i="27" a="1"/>
  <c r="BQ64" i="27" s="1"/>
  <c r="CK64" i="27" a="1"/>
  <c r="CK64" i="27" s="1"/>
  <c r="BT102" i="27" a="1"/>
  <c r="BT102" i="27" s="1"/>
  <c r="BN102" i="27" a="1"/>
  <c r="BN102" i="27" s="1"/>
  <c r="CD30" i="27" a="1"/>
  <c r="CD30" i="27" s="1"/>
  <c r="BQ30" i="27" a="1"/>
  <c r="BQ30" i="27" s="1"/>
  <c r="BO64" i="27" a="1"/>
  <c r="BO64" i="27" s="1"/>
  <c r="BO15" i="27" a="1"/>
  <c r="BO15" i="27" s="1"/>
  <c r="CG97" i="27" a="1"/>
  <c r="CG97" i="27" s="1"/>
  <c r="CI25" i="27" a="1"/>
  <c r="CI25" i="27" s="1"/>
  <c r="BO65" i="27" a="1"/>
  <c r="BO65" i="27" s="1"/>
  <c r="CI64" i="27" a="1"/>
  <c r="CI64" i="27" s="1"/>
  <c r="BU87" i="27" a="1"/>
  <c r="BU87" i="27" s="1"/>
  <c r="BT87" i="27" a="1"/>
  <c r="BT87" i="27" s="1"/>
  <c r="BY87" i="27" a="1"/>
  <c r="BY87" i="27" s="1"/>
  <c r="BS87" i="27" a="1"/>
  <c r="BS87" i="27" s="1"/>
  <c r="BW87" i="27" a="1"/>
  <c r="BW87" i="27" s="1"/>
  <c r="CA87" i="27" a="1"/>
  <c r="CA87" i="27" s="1"/>
  <c r="CA97" i="27" a="1"/>
  <c r="CA97" i="27" s="1"/>
  <c r="BQ15" i="27" a="1"/>
  <c r="BQ15" i="27" s="1"/>
  <c r="CK116" i="27" a="1"/>
  <c r="CK116" i="27" s="1"/>
  <c r="BW25" i="27" a="1"/>
  <c r="BW25" i="27" s="1"/>
  <c r="CC138" i="27" a="1"/>
  <c r="CC138" i="27" s="1"/>
  <c r="CC64" i="27" a="1"/>
  <c r="CC64" i="27" s="1"/>
  <c r="BS116" i="27" a="1"/>
  <c r="BS116" i="27" s="1"/>
  <c r="BW97" i="27" a="1"/>
  <c r="BW97" i="27" s="1"/>
  <c r="BS30" i="27" a="1"/>
  <c r="BS30" i="27" s="1"/>
  <c r="CI102" i="27" a="1"/>
  <c r="CI102" i="27" s="1"/>
  <c r="CK102" i="27" a="1"/>
  <c r="CK102" i="27" s="1"/>
  <c r="BY116" i="27" a="1"/>
  <c r="BY116" i="27" s="1"/>
  <c r="CK30" i="27" a="1"/>
  <c r="CK30" i="27" s="1"/>
  <c r="BY64" i="27" a="1"/>
  <c r="BY64" i="27" s="1"/>
  <c r="BY138" i="27" a="1"/>
  <c r="BY138" i="27" s="1"/>
  <c r="CH15" i="27" a="1"/>
  <c r="CH15" i="27" s="1"/>
  <c r="BW64" i="27" a="1"/>
  <c r="BW64" i="27" s="1"/>
  <c r="BX15" i="27" a="1"/>
  <c r="BX15" i="27" s="1"/>
  <c r="CB65" i="27" a="1"/>
  <c r="CB65" i="27" s="1"/>
  <c r="CJ138" i="27" a="1"/>
  <c r="CJ138" i="27" s="1"/>
  <c r="BR65" i="27" a="1"/>
  <c r="BR65" i="27" s="1"/>
  <c r="BU97" i="27" a="1"/>
  <c r="BU97" i="27" s="1"/>
  <c r="CD65" i="27" a="1"/>
  <c r="CD65" i="27" s="1"/>
  <c r="BP25" i="27" a="1"/>
  <c r="BP25" i="27" s="1"/>
  <c r="CB116" i="27" a="1"/>
  <c r="CB116" i="27" s="1"/>
  <c r="CD44" i="27" a="1"/>
  <c r="CD44" i="27" s="1"/>
  <c r="BX44" i="27" a="1"/>
  <c r="BX44" i="27" s="1"/>
  <c r="BR116" i="27" a="1"/>
  <c r="BR116" i="27" s="1"/>
  <c r="CJ44" i="27" a="1"/>
  <c r="CJ44" i="27" s="1"/>
  <c r="CJ102" i="27" a="1"/>
  <c r="CJ102" i="27" s="1"/>
  <c r="CD31" i="27" a="1"/>
  <c r="CD31" i="27" s="1"/>
  <c r="BN31" i="27" a="1"/>
  <c r="BN31" i="27" s="1"/>
  <c r="BZ31" i="27" a="1"/>
  <c r="BZ31" i="27" s="1"/>
  <c r="BX58" i="27" a="1"/>
  <c r="BX58" i="27" s="1"/>
  <c r="CD58" i="27" a="1"/>
  <c r="CD58" i="27" s="1"/>
  <c r="CH58" i="27" a="1"/>
  <c r="CH58" i="27" s="1"/>
  <c r="BP58" i="27" a="1"/>
  <c r="BP58" i="27" s="1"/>
  <c r="BW58" i="27" a="1"/>
  <c r="BW58" i="27" s="1"/>
  <c r="CB70" i="27" a="1"/>
  <c r="CB70" i="27" s="1"/>
  <c r="BU70" i="27" a="1"/>
  <c r="BU70" i="27" s="1"/>
  <c r="BT98" i="27" a="1"/>
  <c r="BT98" i="27" s="1"/>
  <c r="BP98" i="27" a="1"/>
  <c r="BP98" i="27" s="1"/>
  <c r="BZ98" i="27" a="1"/>
  <c r="BZ98" i="27" s="1"/>
  <c r="BR98" i="27" a="1"/>
  <c r="BR98" i="27" s="1"/>
  <c r="CJ98" i="27" a="1"/>
  <c r="CJ98" i="27" s="1"/>
  <c r="BV26" i="27" a="1"/>
  <c r="BV26" i="27" s="1"/>
  <c r="CF26" i="27" a="1"/>
  <c r="CF26" i="27" s="1"/>
  <c r="BX26" i="27" a="1"/>
  <c r="BX26" i="27" s="1"/>
  <c r="BZ26" i="27" a="1"/>
  <c r="BZ26" i="27" s="1"/>
  <c r="BT26" i="27" a="1"/>
  <c r="BT26" i="27" s="1"/>
  <c r="BU26" i="27" a="1"/>
  <c r="BU26" i="27" s="1"/>
  <c r="BY26" i="27" a="1"/>
  <c r="BY26" i="27" s="1"/>
  <c r="BN79" i="27" a="1"/>
  <c r="BN79" i="27" s="1"/>
  <c r="BT79" i="27" a="1"/>
  <c r="BT79" i="27" s="1"/>
  <c r="CE66" i="27" a="1"/>
  <c r="CE66" i="27" s="1"/>
  <c r="BZ66" i="27" a="1"/>
  <c r="BZ66" i="27" s="1"/>
  <c r="BR66" i="27" a="1"/>
  <c r="BR66" i="27" s="1"/>
  <c r="BV66" i="27" a="1"/>
  <c r="BV66" i="27" s="1"/>
  <c r="CF66" i="27" a="1"/>
  <c r="CF66" i="27" s="1"/>
  <c r="BP108" i="27" a="1"/>
  <c r="BP108" i="27" s="1"/>
  <c r="CF108" i="27" a="1"/>
  <c r="CF108" i="27" s="1"/>
  <c r="BR108" i="27" a="1"/>
  <c r="BR108" i="27" s="1"/>
  <c r="BV108" i="27" a="1"/>
  <c r="BV108" i="27" s="1"/>
  <c r="BX108" i="27" a="1"/>
  <c r="BX108" i="27" s="1"/>
  <c r="CE108" i="27" a="1"/>
  <c r="CE108" i="27" s="1"/>
  <c r="BT108" i="27" a="1"/>
  <c r="BT108" i="27" s="1"/>
  <c r="BZ108" i="27" a="1"/>
  <c r="BZ108" i="27" s="1"/>
  <c r="BN108" i="27" a="1"/>
  <c r="BN108" i="27" s="1"/>
  <c r="CJ60" i="27" a="1"/>
  <c r="CJ60" i="27" s="1"/>
  <c r="CF60" i="27" a="1"/>
  <c r="CF60" i="27" s="1"/>
  <c r="BR60" i="27" a="1"/>
  <c r="BR60" i="27" s="1"/>
  <c r="BN60" i="27" a="1"/>
  <c r="BN60" i="27" s="1"/>
  <c r="BT60" i="27" a="1"/>
  <c r="BT60" i="27" s="1"/>
  <c r="CD56" i="27" a="1"/>
  <c r="CD56" i="27" s="1"/>
  <c r="BR56" i="27" a="1"/>
  <c r="BR56" i="27" s="1"/>
  <c r="BT56" i="27" a="1"/>
  <c r="BT56" i="27" s="1"/>
  <c r="CB56" i="27" a="1"/>
  <c r="CB56" i="27" s="1"/>
  <c r="BV56" i="27" a="1"/>
  <c r="BV56" i="27" s="1"/>
  <c r="CJ56" i="27" a="1"/>
  <c r="CJ56" i="27" s="1"/>
  <c r="BP56" i="27" a="1"/>
  <c r="BP56" i="27" s="1"/>
  <c r="BT109" i="27" a="1"/>
  <c r="BT109" i="27" s="1"/>
  <c r="CJ109" i="27" a="1"/>
  <c r="CJ109" i="27" s="1"/>
  <c r="BP109" i="27" a="1"/>
  <c r="BP109" i="27" s="1"/>
  <c r="BV30" i="27" a="1"/>
  <c r="BV30" i="27" s="1"/>
  <c r="BN30" i="27" a="1"/>
  <c r="BN30" i="27" s="1"/>
  <c r="BX30" i="27" a="1"/>
  <c r="BX30" i="27" s="1"/>
  <c r="BP30" i="27" a="1"/>
  <c r="BP30" i="27" s="1"/>
  <c r="BR30" i="27" a="1"/>
  <c r="BR30" i="27" s="1"/>
  <c r="BZ30" i="27" a="1"/>
  <c r="BZ30" i="27" s="1"/>
  <c r="CC30" i="27" a="1"/>
  <c r="CC30" i="27" s="1"/>
  <c r="BS64" i="27" a="1"/>
  <c r="BS64" i="27" s="1"/>
  <c r="BS15" i="27" a="1"/>
  <c r="BS15" i="27" s="1"/>
  <c r="CA30" i="27" a="1"/>
  <c r="CA30" i="27" s="1"/>
  <c r="BQ87" i="27" a="1"/>
  <c r="BQ87" i="27" s="1"/>
  <c r="BP87" i="27" a="1"/>
  <c r="BP87" i="27" s="1"/>
  <c r="BO87" i="27" a="1"/>
  <c r="BO87" i="27" s="1"/>
  <c r="BN87" i="27" a="1"/>
  <c r="BN87" i="27" s="1"/>
  <c r="BR87" i="27" a="1"/>
  <c r="BR87" i="27" s="1"/>
  <c r="CC97" i="27" a="1"/>
  <c r="CC97" i="27" s="1"/>
  <c r="BY15" i="27" a="1"/>
  <c r="BY15" i="27" s="1"/>
  <c r="CC15" i="27" a="1"/>
  <c r="CC15" i="27" s="1"/>
  <c r="BO102" i="27" a="1"/>
  <c r="BO102" i="27" s="1"/>
  <c r="CC65" i="27" a="1"/>
  <c r="CC65" i="27" s="1"/>
  <c r="CE97" i="27" a="1"/>
  <c r="CE97" i="27" s="1"/>
  <c r="CA102" i="27" a="1"/>
  <c r="CA102" i="27" s="1"/>
  <c r="CA138" i="27" a="1"/>
  <c r="CA138" i="27" s="1"/>
  <c r="BQ25" i="27" a="1"/>
  <c r="BQ25" i="27" s="1"/>
  <c r="BS138" i="27" a="1"/>
  <c r="BS138" i="27" s="1"/>
  <c r="CE30" i="27" a="1"/>
  <c r="CE30" i="27" s="1"/>
  <c r="BQ65" i="27" a="1"/>
  <c r="BQ65" i="27" s="1"/>
  <c r="BY25" i="27" a="1"/>
  <c r="BY25" i="27" s="1"/>
  <c r="BZ15" i="27" a="1"/>
  <c r="BZ15" i="27" s="1"/>
  <c r="BZ138" i="27" a="1"/>
  <c r="BZ138" i="27" s="1"/>
  <c r="BV15" i="27" a="1"/>
  <c r="BV15" i="27" s="1"/>
  <c r="BU30" i="27" a="1"/>
  <c r="BU30" i="27" s="1"/>
  <c r="BU65" i="27" a="1"/>
  <c r="BU65" i="27" s="1"/>
  <c r="BP97" i="27" a="1"/>
  <c r="BP97" i="27" s="1"/>
  <c r="CB25" i="27" a="1"/>
  <c r="CB25" i="27" s="1"/>
  <c r="CF102" i="27" a="1"/>
  <c r="CF102" i="27" s="1"/>
  <c r="BQ44" i="27" a="1"/>
  <c r="BQ44" i="27" s="1"/>
  <c r="CE64" i="27" a="1"/>
  <c r="CE64" i="27" s="1"/>
  <c r="BV116" i="27" a="1"/>
  <c r="BV116" i="27" s="1"/>
  <c r="CH116" i="27" a="1"/>
  <c r="CH116" i="27" s="1"/>
  <c r="CB44" i="27" a="1"/>
  <c r="CB44" i="27" s="1"/>
  <c r="BV64" i="27" a="1"/>
  <c r="BV64" i="27" s="1"/>
  <c r="CJ59" i="27" a="1"/>
  <c r="CJ59" i="27" s="1"/>
  <c r="BV59" i="27" a="1"/>
  <c r="BV59" i="27" s="1"/>
  <c r="BW59" i="27" a="1"/>
  <c r="BW59" i="27" s="1"/>
  <c r="BR59" i="27" a="1"/>
  <c r="BR59" i="27" s="1"/>
  <c r="CB59" i="27" a="1"/>
  <c r="CB59" i="27" s="1"/>
  <c r="BT59" i="27" a="1"/>
  <c r="BT59" i="27" s="1"/>
  <c r="CA59" i="27" a="1"/>
  <c r="CA59" i="27" s="1"/>
  <c r="BP59" i="27" a="1"/>
  <c r="BP59" i="27" s="1"/>
  <c r="CC59" i="27" a="1"/>
  <c r="CC59" i="27" s="1"/>
  <c r="CH59" i="27" a="1"/>
  <c r="CH59" i="27" s="1"/>
  <c r="BY59" i="27" a="1"/>
  <c r="BY59" i="27" s="1"/>
  <c r="CI59" i="27" a="1"/>
  <c r="CI59" i="27" s="1"/>
  <c r="BV86" i="27" a="1"/>
  <c r="BV86" i="27" s="1"/>
  <c r="CJ86" i="27" a="1"/>
  <c r="CJ86" i="27" s="1"/>
  <c r="BX86" i="27" a="1"/>
  <c r="BX86" i="27" s="1"/>
  <c r="CF86" i="27" a="1"/>
  <c r="CF86" i="27" s="1"/>
  <c r="BP86" i="27" a="1"/>
  <c r="BP86" i="27" s="1"/>
  <c r="BZ86" i="27" a="1"/>
  <c r="BZ86" i="27" s="1"/>
  <c r="CH86" i="27" a="1"/>
  <c r="CH86" i="27" s="1"/>
  <c r="BT38" i="27" a="1"/>
  <c r="BT38" i="27" s="1"/>
  <c r="BV38" i="27" a="1"/>
  <c r="BV38" i="27" s="1"/>
  <c r="BP38" i="27" a="1"/>
  <c r="BP38" i="27" s="1"/>
  <c r="CH38" i="27" a="1"/>
  <c r="CH38" i="27" s="1"/>
  <c r="BR38" i="27" a="1"/>
  <c r="BR38" i="27" s="1"/>
  <c r="BZ38" i="27" a="1"/>
  <c r="BZ38" i="27" s="1"/>
  <c r="BN38" i="27" a="1"/>
  <c r="BN38" i="27" s="1"/>
  <c r="CH91" i="27" a="1"/>
  <c r="CH91" i="27" s="1"/>
  <c r="BN91" i="27" a="1"/>
  <c r="BN91" i="27" s="1"/>
  <c r="CF91" i="27" a="1"/>
  <c r="CF91" i="27" s="1"/>
  <c r="BZ91" i="27" a="1"/>
  <c r="BZ91" i="27" s="1"/>
  <c r="CB91" i="27" a="1"/>
  <c r="CB91" i="27" s="1"/>
  <c r="CD91" i="27" a="1"/>
  <c r="CD91" i="27" s="1"/>
  <c r="BX43" i="27" a="1"/>
  <c r="BX43" i="27" s="1"/>
  <c r="BZ43" i="27" a="1"/>
  <c r="BZ43" i="27" s="1"/>
  <c r="CF140" i="27" a="1"/>
  <c r="CF140" i="27" s="1"/>
  <c r="BU140" i="27" a="1"/>
  <c r="BU140" i="27" s="1"/>
  <c r="CD140" i="27" a="1"/>
  <c r="CD140" i="27" s="1"/>
  <c r="BN140" i="27" a="1"/>
  <c r="BN140" i="27" s="1"/>
  <c r="BN101" i="27" a="1"/>
  <c r="BN101" i="27" s="1"/>
  <c r="CE101" i="27" a="1"/>
  <c r="CE101" i="27" s="1"/>
  <c r="BZ101" i="27" a="1"/>
  <c r="BZ101" i="27" s="1"/>
  <c r="BT101" i="27" a="1"/>
  <c r="BT101" i="27" s="1"/>
  <c r="BN29" i="27" a="1"/>
  <c r="BN29" i="27" s="1"/>
  <c r="BU29" i="27" a="1"/>
  <c r="BU29" i="27" s="1"/>
  <c r="BT29" i="27" a="1"/>
  <c r="BT29" i="27" s="1"/>
  <c r="BZ29" i="27" a="1"/>
  <c r="BZ29" i="27" s="1"/>
  <c r="BX104" i="27" a="1"/>
  <c r="BX104" i="27" s="1"/>
  <c r="CJ104" i="27" a="1"/>
  <c r="CJ104" i="27" s="1"/>
  <c r="CB32" i="27" a="1"/>
  <c r="CB32" i="27" s="1"/>
  <c r="BN32" i="27" a="1"/>
  <c r="BN32" i="27" s="1"/>
  <c r="BR13" i="27" a="1"/>
  <c r="BR13" i="27" s="1"/>
  <c r="BX13" i="27" a="1"/>
  <c r="BX13" i="27" s="1"/>
  <c r="BV13" i="27" a="1"/>
  <c r="BV13" i="27" s="1"/>
  <c r="CF72" i="27" a="1"/>
  <c r="CF72" i="27" s="1"/>
  <c r="BR72" i="27" a="1"/>
  <c r="BR72" i="27" s="1"/>
  <c r="BZ72" i="27" a="1"/>
  <c r="BZ72" i="27" s="1"/>
  <c r="CB72" i="27" a="1"/>
  <c r="CB72" i="27" s="1"/>
  <c r="BN72" i="27" a="1"/>
  <c r="BN72" i="27" s="1"/>
  <c r="CD72" i="27" a="1"/>
  <c r="CD72" i="27" s="1"/>
  <c r="BT127" i="27" a="1"/>
  <c r="BT127" i="27" s="1"/>
  <c r="BX127" i="27" a="1"/>
  <c r="BX127" i="27" s="1"/>
  <c r="CF127" i="27" a="1"/>
  <c r="CF127" i="27" s="1"/>
  <c r="BP127" i="27" a="1"/>
  <c r="BP127" i="27" s="1"/>
  <c r="BR127" i="27" a="1"/>
  <c r="BR127" i="27" s="1"/>
  <c r="BT53" i="27" a="1"/>
  <c r="BT53" i="27" s="1"/>
  <c r="BN53" i="27" a="1"/>
  <c r="BN53" i="27" s="1"/>
  <c r="BV53" i="27" a="1"/>
  <c r="BV53" i="27" s="1"/>
  <c r="BX53" i="27" a="1"/>
  <c r="BX53" i="27" s="1"/>
  <c r="BP53" i="27" a="1"/>
  <c r="BP53" i="27" s="1"/>
  <c r="CB53" i="27" a="1"/>
  <c r="CB53" i="27" s="1"/>
  <c r="BZ53" i="27" a="1"/>
  <c r="BZ53" i="27" s="1"/>
  <c r="BZ136" i="27" a="1"/>
  <c r="BZ136" i="27" s="1"/>
  <c r="CB136" i="27" a="1"/>
  <c r="CB136" i="27" s="1"/>
  <c r="BU37" i="27" a="1"/>
  <c r="BU37" i="27" s="1"/>
  <c r="CA80" i="27" a="1"/>
  <c r="CA80" i="27" s="1"/>
  <c r="CG80" i="27" a="1"/>
  <c r="CG80" i="27" s="1"/>
  <c r="CA24" i="27" a="1"/>
  <c r="CA24" i="27" s="1"/>
  <c r="CK80" i="27" a="1"/>
  <c r="CK80" i="27" s="1"/>
  <c r="BQ80" i="27" a="1"/>
  <c r="BQ80" i="27" s="1"/>
  <c r="BW14" i="27" a="1"/>
  <c r="BW14" i="27" s="1"/>
  <c r="CH39" i="27" a="1"/>
  <c r="CH39" i="27" s="1"/>
  <c r="BS39" i="27" a="1"/>
  <c r="BS39" i="27" s="1"/>
  <c r="BY39" i="27" a="1"/>
  <c r="BY39" i="27" s="1"/>
  <c r="CK39" i="27" a="1"/>
  <c r="CK39" i="27" s="1"/>
  <c r="BO39" i="27" a="1"/>
  <c r="BO39" i="27" s="1"/>
  <c r="BQ39" i="27" a="1"/>
  <c r="BQ39" i="27" s="1"/>
  <c r="CI24" i="27" a="1"/>
  <c r="CI24" i="27" s="1"/>
  <c r="CC77" i="27" a="1"/>
  <c r="CC77" i="27" s="1"/>
  <c r="CA37" i="27" a="1"/>
  <c r="CA37" i="27" s="1"/>
  <c r="CE80" i="27" a="1"/>
  <c r="CE80" i="27" s="1"/>
  <c r="CC24" i="27" a="1"/>
  <c r="CC24" i="27" s="1"/>
  <c r="CK77" i="27" a="1"/>
  <c r="CK77" i="27" s="1"/>
  <c r="CG24" i="27" a="1"/>
  <c r="CG24" i="27" s="1"/>
  <c r="BQ77" i="27" a="1"/>
  <c r="BQ77" i="27" s="1"/>
  <c r="CF37" i="27" a="1"/>
  <c r="CF37" i="27" s="1"/>
  <c r="BZ77" i="27" a="1"/>
  <c r="BZ77" i="27" s="1"/>
  <c r="CF77" i="27" a="1"/>
  <c r="CF77" i="27" s="1"/>
  <c r="CJ77" i="27" a="1"/>
  <c r="CJ77" i="27" s="1"/>
  <c r="BU77" i="27" a="1"/>
  <c r="BU77" i="27" s="1"/>
  <c r="BU14" i="27" a="1"/>
  <c r="BU14" i="27" s="1"/>
  <c r="CB80" i="27" a="1"/>
  <c r="CB80" i="27" s="1"/>
  <c r="CJ85" i="27" a="1"/>
  <c r="CJ85" i="27" s="1"/>
  <c r="CD37" i="27" a="1"/>
  <c r="CD37" i="27" s="1"/>
  <c r="BN52" i="27" a="1"/>
  <c r="BN52" i="27" s="1"/>
  <c r="BW52" i="27" a="1"/>
  <c r="BW52" i="27" s="1"/>
  <c r="BY52" i="27" a="1"/>
  <c r="BY52" i="27" s="1"/>
  <c r="BP52" i="27" a="1"/>
  <c r="BP52" i="27" s="1"/>
  <c r="CA52" i="27" a="1"/>
  <c r="CA52" i="27" s="1"/>
  <c r="BY112" i="27" a="1"/>
  <c r="BY112" i="27" s="1"/>
  <c r="BU112" i="27" a="1"/>
  <c r="BU112" i="27" s="1"/>
  <c r="BN112" i="27" a="1"/>
  <c r="BN112" i="27" s="1"/>
  <c r="BP112" i="27" a="1"/>
  <c r="BP112" i="27" s="1"/>
  <c r="CE112" i="27" a="1"/>
  <c r="CE112" i="27" s="1"/>
  <c r="BR90" i="27" a="1"/>
  <c r="BR90" i="27" s="1"/>
  <c r="CF90" i="27" a="1"/>
  <c r="CF90" i="27" s="1"/>
  <c r="CB90" i="27" a="1"/>
  <c r="CB90" i="27" s="1"/>
  <c r="CJ90" i="27" a="1"/>
  <c r="CJ90" i="27" s="1"/>
  <c r="CH135" i="27" a="1"/>
  <c r="CH135" i="27" s="1"/>
  <c r="BV135" i="27" a="1"/>
  <c r="BV135" i="27" s="1"/>
  <c r="CB135" i="27" a="1"/>
  <c r="CB135" i="27" s="1"/>
  <c r="BN135" i="27" a="1"/>
  <c r="BN135" i="27" s="1"/>
  <c r="CD135" i="27" a="1"/>
  <c r="CD135" i="27" s="1"/>
  <c r="CJ135" i="27" a="1"/>
  <c r="CJ135" i="27" s="1"/>
  <c r="BZ70" i="27" a="1"/>
  <c r="BZ70" i="27" s="1"/>
  <c r="CI70" i="27" a="1"/>
  <c r="CI70" i="27" s="1"/>
  <c r="CJ70" i="27" a="1"/>
  <c r="CJ70" i="27" s="1"/>
  <c r="CH70" i="27" a="1"/>
  <c r="CH70" i="27" s="1"/>
  <c r="BV70" i="27" a="1"/>
  <c r="BV70" i="27" s="1"/>
  <c r="CA70" i="27" a="1"/>
  <c r="CA70" i="27" s="1"/>
  <c r="BR70" i="27" a="1"/>
  <c r="BR70" i="27" s="1"/>
  <c r="CF70" i="27" a="1"/>
  <c r="CF70" i="27" s="1"/>
  <c r="CC70" i="27" a="1"/>
  <c r="CC70" i="27" s="1"/>
  <c r="CE70" i="27" a="1"/>
  <c r="CE70" i="27" s="1"/>
  <c r="CK70" i="27" a="1"/>
  <c r="CK70" i="27" s="1"/>
  <c r="BX70" i="27" a="1"/>
  <c r="BX70" i="27" s="1"/>
  <c r="BO70" i="27" a="1"/>
  <c r="BO70" i="27" s="1"/>
  <c r="BN70" i="27" a="1"/>
  <c r="BN70" i="27" s="1"/>
  <c r="BY70" i="27" a="1"/>
  <c r="BY70" i="27" s="1"/>
  <c r="BW70" i="27" a="1"/>
  <c r="BW70" i="27" s="1"/>
  <c r="BT70" i="27" a="1"/>
  <c r="BT70" i="27" s="1"/>
  <c r="CD70" i="27" a="1"/>
  <c r="CD70" i="27" s="1"/>
  <c r="BN68" i="27" a="1"/>
  <c r="BN68" i="27" s="1"/>
  <c r="BR68" i="27" a="1"/>
  <c r="BR68" i="27" s="1"/>
  <c r="BZ68" i="27" a="1"/>
  <c r="BZ68" i="27" s="1"/>
  <c r="CC136" i="27" a="1"/>
  <c r="CC136" i="27" s="1"/>
  <c r="BU136" i="27" a="1"/>
  <c r="BU136" i="27" s="1"/>
  <c r="BY136" i="27" a="1"/>
  <c r="BY136" i="27" s="1"/>
  <c r="BX136" i="27" a="1"/>
  <c r="BX136" i="27" s="1"/>
  <c r="BS136" i="27" a="1"/>
  <c r="BS136" i="27" s="1"/>
  <c r="BW136" i="27" a="1"/>
  <c r="BW136" i="27" s="1"/>
  <c r="BV136" i="27" a="1"/>
  <c r="BV136" i="27" s="1"/>
  <c r="CA14" i="27" a="1"/>
  <c r="CA14" i="27" s="1"/>
  <c r="CI85" i="27" a="1"/>
  <c r="CI85" i="27" s="1"/>
  <c r="BO77" i="27" a="1"/>
  <c r="BO77" i="27" s="1"/>
  <c r="BS77" i="27" a="1"/>
  <c r="BS77" i="27" s="1"/>
  <c r="BP136" i="27" a="1"/>
  <c r="BP136" i="27" s="1"/>
  <c r="BT136" i="27" a="1"/>
  <c r="BT136" i="27" s="1"/>
  <c r="BO136" i="27" a="1"/>
  <c r="BO136" i="27" s="1"/>
  <c r="BN136" i="27" a="1"/>
  <c r="BN136" i="27" s="1"/>
  <c r="BR136" i="27" a="1"/>
  <c r="BR136" i="27" s="1"/>
  <c r="BQ136" i="27" a="1"/>
  <c r="BQ136" i="27" s="1"/>
  <c r="BW37" i="27" a="1"/>
  <c r="BW37" i="27" s="1"/>
  <c r="BO80" i="27" a="1"/>
  <c r="BO80" i="27" s="1"/>
  <c r="CC14" i="27" a="1"/>
  <c r="CC14" i="27" s="1"/>
  <c r="BQ37" i="27" a="1"/>
  <c r="BQ37" i="27" s="1"/>
  <c r="CI80" i="27" a="1"/>
  <c r="CI80" i="27" s="1"/>
  <c r="CE24" i="27" a="1"/>
  <c r="CE24" i="27" s="1"/>
  <c r="BS37" i="27" a="1"/>
  <c r="BS37" i="27" s="1"/>
  <c r="BS80" i="27" a="1"/>
  <c r="BS80" i="27" s="1"/>
  <c r="CI77" i="27" a="1"/>
  <c r="CI77" i="27" s="1"/>
  <c r="BW39" i="27" a="1"/>
  <c r="BW39" i="27" s="1"/>
  <c r="CC39" i="27" a="1"/>
  <c r="CC39" i="27" s="1"/>
  <c r="BN39" i="27" a="1"/>
  <c r="BN39" i="27" s="1"/>
  <c r="CE39" i="27" a="1"/>
  <c r="CE39" i="27" s="1"/>
  <c r="CG39" i="27" a="1"/>
  <c r="CG39" i="27" s="1"/>
  <c r="CF39" i="27" a="1"/>
  <c r="CF39" i="27" s="1"/>
  <c r="CI37" i="27" a="1"/>
  <c r="CI37" i="27" s="1"/>
  <c r="CA68" i="27" a="1"/>
  <c r="CA68" i="27" s="1"/>
  <c r="CA85" i="27" a="1"/>
  <c r="CA85" i="27" s="1"/>
  <c r="CA77" i="27" a="1"/>
  <c r="CA77" i="27" s="1"/>
  <c r="BW85" i="27" a="1"/>
  <c r="BW85" i="27" s="1"/>
  <c r="CH37" i="27" a="1"/>
  <c r="CH37" i="27" s="1"/>
  <c r="BR77" i="27" a="1"/>
  <c r="BR77" i="27" s="1"/>
  <c r="BX85" i="27" a="1"/>
  <c r="BX85" i="27" s="1"/>
  <c r="CH85" i="27" a="1"/>
  <c r="CH85" i="27" s="1"/>
  <c r="CG70" i="27" a="1"/>
  <c r="CG70" i="27" s="1"/>
  <c r="CF130" i="27" a="1"/>
  <c r="CF130" i="27" s="1"/>
  <c r="CE130" i="27" a="1"/>
  <c r="CE130" i="27" s="1"/>
  <c r="BW130" i="27" a="1"/>
  <c r="BW130" i="27" s="1"/>
  <c r="BU130" i="27" a="1"/>
  <c r="BU130" i="27" s="1"/>
  <c r="CK130" i="27" a="1"/>
  <c r="CK130" i="27" s="1"/>
  <c r="CA130" i="27" a="1"/>
  <c r="CA130" i="27" s="1"/>
  <c r="CB130" i="27" a="1"/>
  <c r="CB130" i="27" s="1"/>
  <c r="BZ130" i="27" a="1"/>
  <c r="BZ130" i="27" s="1"/>
  <c r="CB22" i="27" a="1"/>
  <c r="CB22" i="27" s="1"/>
  <c r="CK22" i="27" a="1"/>
  <c r="CK22" i="27" s="1"/>
  <c r="CG22" i="27" a="1"/>
  <c r="CG22" i="27" s="1"/>
  <c r="CF22" i="27" a="1"/>
  <c r="CF22" i="27" s="1"/>
  <c r="BX22" i="27" a="1"/>
  <c r="BX22" i="27" s="1"/>
  <c r="CE22" i="27" a="1"/>
  <c r="CE22" i="27" s="1"/>
  <c r="BQ14" i="27" a="1"/>
  <c r="BQ14" i="27" s="1"/>
  <c r="BY14" i="27" a="1"/>
  <c r="BY14" i="27" s="1"/>
  <c r="BX77" i="27" a="1"/>
  <c r="BX77" i="27" s="1"/>
  <c r="BT77" i="27" a="1"/>
  <c r="BT77" i="27" s="1"/>
  <c r="CD77" i="27" a="1"/>
  <c r="CD77" i="27" s="1"/>
  <c r="CG77" i="27" a="1"/>
  <c r="CG77" i="27" s="1"/>
  <c r="BP80" i="27" a="1"/>
  <c r="BP80" i="27" s="1"/>
  <c r="BT80" i="27" a="1"/>
  <c r="BT80" i="27" s="1"/>
  <c r="CJ80" i="27" a="1"/>
  <c r="CJ80" i="27" s="1"/>
  <c r="BR80" i="27" a="1"/>
  <c r="BR80" i="27" s="1"/>
  <c r="CF80" i="27" a="1"/>
  <c r="CF80" i="27" s="1"/>
  <c r="BU80" i="27" a="1"/>
  <c r="BU80" i="27" s="1"/>
  <c r="BN80" i="27" a="1"/>
  <c r="BN80" i="27" s="1"/>
  <c r="BZ80" i="27" a="1"/>
  <c r="BZ80" i="27" s="1"/>
  <c r="BY80" i="27" a="1"/>
  <c r="BY80" i="27" s="1"/>
  <c r="BX80" i="27" a="1"/>
  <c r="BX80" i="27" s="1"/>
  <c r="CD80" i="27" a="1"/>
  <c r="CD80" i="27" s="1"/>
  <c r="BV85" i="27" a="1"/>
  <c r="BV85" i="27" s="1"/>
  <c r="BR85" i="27" a="1"/>
  <c r="BR85" i="27" s="1"/>
  <c r="BP85" i="27" a="1"/>
  <c r="BP85" i="27" s="1"/>
  <c r="BT85" i="27" a="1"/>
  <c r="BT85" i="27" s="1"/>
  <c r="CF85" i="27" a="1"/>
  <c r="CF85" i="27" s="1"/>
  <c r="BU85" i="27" a="1"/>
  <c r="BU85" i="27" s="1"/>
  <c r="CG85" i="27" a="1"/>
  <c r="CG85" i="27" s="1"/>
  <c r="CB85" i="27" a="1"/>
  <c r="CB85" i="27" s="1"/>
  <c r="CB37" i="27" a="1"/>
  <c r="CB37" i="27" s="1"/>
  <c r="BV37" i="27" a="1"/>
  <c r="BV37" i="27" s="1"/>
  <c r="BP37" i="27" a="1"/>
  <c r="BP37" i="27" s="1"/>
  <c r="BY96" i="27" a="1"/>
  <c r="BY96" i="27" s="1"/>
  <c r="BN96" i="27" a="1"/>
  <c r="BN96" i="27" s="1"/>
  <c r="CC96" i="27" a="1"/>
  <c r="CC96" i="27" s="1"/>
  <c r="CI96" i="27" a="1"/>
  <c r="CI96" i="27" s="1"/>
  <c r="CA96" i="27" a="1"/>
  <c r="CA96" i="27" s="1"/>
  <c r="CK96" i="27" a="1"/>
  <c r="CK96" i="27" s="1"/>
  <c r="BV96" i="27" a="1"/>
  <c r="BV96" i="27" s="1"/>
  <c r="BS96" i="27" a="1"/>
  <c r="BS96" i="27" s="1"/>
  <c r="CH96" i="27" a="1"/>
  <c r="CH96" i="27" s="1"/>
  <c r="BU96" i="27" a="1"/>
  <c r="BU96" i="27" s="1"/>
  <c r="CF96" i="27" a="1"/>
  <c r="CF96" i="27" s="1"/>
  <c r="BO96" i="27" a="1"/>
  <c r="BO96" i="27" s="1"/>
  <c r="CD96" i="27" a="1"/>
  <c r="CD96" i="27" s="1"/>
  <c r="CG96" i="27" a="1"/>
  <c r="CG96" i="27" s="1"/>
  <c r="CB96" i="27" a="1"/>
  <c r="CB96" i="27" s="1"/>
  <c r="BT96" i="27" a="1"/>
  <c r="BT96" i="27" s="1"/>
  <c r="CE96" i="27" a="1"/>
  <c r="CE96" i="27" s="1"/>
  <c r="BW96" i="27" a="1"/>
  <c r="BW96" i="27" s="1"/>
  <c r="BR96" i="27" a="1"/>
  <c r="BR96" i="27" s="1"/>
  <c r="BX96" i="27" a="1"/>
  <c r="BX96" i="27" s="1"/>
  <c r="BQ96" i="27" a="1"/>
  <c r="BQ96" i="27" s="1"/>
  <c r="BZ96" i="27" a="1"/>
  <c r="BZ96" i="27" s="1"/>
  <c r="CJ24" i="27" a="1"/>
  <c r="CJ24" i="27" s="1"/>
  <c r="BP24" i="27" a="1"/>
  <c r="BP24" i="27" s="1"/>
  <c r="BX24" i="27" a="1"/>
  <c r="BX24" i="27" s="1"/>
  <c r="BV24" i="27" a="1"/>
  <c r="BV24" i="27" s="1"/>
  <c r="BR24" i="27" a="1"/>
  <c r="BR24" i="27" s="1"/>
  <c r="BU24" i="27" a="1"/>
  <c r="BU24" i="27" s="1"/>
  <c r="CH24" i="27" a="1"/>
  <c r="CH24" i="27" s="1"/>
  <c r="BN24" i="27" a="1"/>
  <c r="BN24" i="27" s="1"/>
  <c r="CD24" i="27" a="1"/>
  <c r="CD24" i="27" s="1"/>
  <c r="CB24" i="27" a="1"/>
  <c r="CB24" i="27" s="1"/>
  <c r="CF24" i="27" a="1"/>
  <c r="CF24" i="27" s="1"/>
  <c r="BZ24" i="27" a="1"/>
  <c r="BZ24" i="27" s="1"/>
  <c r="CK24" i="27" a="1"/>
  <c r="CK24" i="27" s="1"/>
  <c r="BT24" i="27" a="1"/>
  <c r="BT24" i="27" s="1"/>
  <c r="CD136" i="27" a="1"/>
  <c r="CD136" i="27" s="1"/>
  <c r="CF136" i="27" a="1"/>
  <c r="CF136" i="27" s="1"/>
  <c r="CC85" i="27" a="1"/>
  <c r="CC85" i="27" s="1"/>
  <c r="CC80" i="27" a="1"/>
  <c r="CC80" i="27" s="1"/>
  <c r="CE14" i="27" a="1"/>
  <c r="CE14" i="27" s="1"/>
  <c r="BT39" i="27" a="1"/>
  <c r="BT39" i="27" s="1"/>
  <c r="CJ39" i="27" a="1"/>
  <c r="CJ39" i="27" s="1"/>
  <c r="BX39" i="27" a="1"/>
  <c r="BX39" i="27" s="1"/>
  <c r="BU39" i="27" a="1"/>
  <c r="BU39" i="27" s="1"/>
  <c r="BV39" i="27" a="1"/>
  <c r="BV39" i="27" s="1"/>
  <c r="CK37" i="27" a="1"/>
  <c r="CK37" i="27" s="1"/>
  <c r="BW80" i="27" a="1"/>
  <c r="BW80" i="27" s="1"/>
  <c r="BQ24" i="27" a="1"/>
  <c r="BQ24" i="27" s="1"/>
  <c r="CE85" i="27" a="1"/>
  <c r="CE85" i="27" s="1"/>
  <c r="BQ85" i="27" a="1"/>
  <c r="BQ85" i="27" s="1"/>
  <c r="BS85" i="27" a="1"/>
  <c r="BS85" i="27" s="1"/>
  <c r="CJ37" i="27" a="1"/>
  <c r="CJ37" i="27" s="1"/>
  <c r="BN37" i="27" a="1"/>
  <c r="BN37" i="27" s="1"/>
  <c r="BY24" i="27" a="1"/>
  <c r="BY24" i="27" s="1"/>
  <c r="BX37" i="27" a="1"/>
  <c r="BX37" i="27" s="1"/>
  <c r="BY77" i="27" a="1"/>
  <c r="BY77" i="27" s="1"/>
  <c r="CB77" i="27" a="1"/>
  <c r="CB77" i="27" s="1"/>
  <c r="CK85" i="27" a="1"/>
  <c r="CK85" i="27" s="1"/>
  <c r="BV77" i="27" a="1"/>
  <c r="BV77" i="27" s="1"/>
  <c r="BV68" i="27" a="1"/>
  <c r="BV68" i="27" s="1"/>
  <c r="CH80" i="27" a="1"/>
  <c r="CH80" i="27" s="1"/>
  <c r="BZ131" i="27" a="1"/>
  <c r="BZ131" i="27" s="1"/>
  <c r="CF131" i="27" a="1"/>
  <c r="CF131" i="27" s="1"/>
  <c r="BN131" i="27" a="1"/>
  <c r="BN131" i="27" s="1"/>
  <c r="BY131" i="27" a="1"/>
  <c r="BY131" i="27" s="1"/>
  <c r="CJ131" i="27" a="1"/>
  <c r="CJ131" i="27" s="1"/>
  <c r="CH131" i="27" a="1"/>
  <c r="CH131" i="27" s="1"/>
  <c r="BT131" i="27" a="1"/>
  <c r="BT131" i="27" s="1"/>
  <c r="CB131" i="27" a="1"/>
  <c r="CB131" i="27" s="1"/>
  <c r="BV131" i="27" a="1"/>
  <c r="BV131" i="27" s="1"/>
  <c r="CJ83" i="27" a="1"/>
  <c r="CJ83" i="27" s="1"/>
  <c r="BX83" i="27" a="1"/>
  <c r="BX83" i="27" s="1"/>
  <c r="BR83" i="27" a="1"/>
  <c r="BR83" i="27" s="1"/>
  <c r="CK83" i="27" a="1"/>
  <c r="CK83" i="27" s="1"/>
  <c r="BP83" i="27" a="1"/>
  <c r="BP83" i="27" s="1"/>
  <c r="BZ83" i="27" a="1"/>
  <c r="BZ83" i="27" s="1"/>
  <c r="BT83" i="27" a="1"/>
  <c r="BT83" i="27" s="1"/>
  <c r="CF83" i="27" a="1"/>
  <c r="CF83" i="27" s="1"/>
  <c r="CD83" i="27" a="1"/>
  <c r="CD83" i="27" s="1"/>
  <c r="CB83" i="27" a="1"/>
  <c r="CB83" i="27" s="1"/>
  <c r="CG83" i="27" a="1"/>
  <c r="CG83" i="27" s="1"/>
  <c r="CE83" i="27" a="1"/>
  <c r="CE83" i="27" s="1"/>
  <c r="CB35" i="27" a="1"/>
  <c r="CB35" i="27" s="1"/>
  <c r="BU35" i="27" a="1"/>
  <c r="BU35" i="27" s="1"/>
  <c r="CD35" i="27" a="1"/>
  <c r="CD35" i="27" s="1"/>
  <c r="BV35" i="27" a="1"/>
  <c r="BV35" i="27" s="1"/>
  <c r="CF110" i="27" a="1"/>
  <c r="CF110" i="27" s="1"/>
  <c r="BZ110" i="27" a="1"/>
  <c r="BZ110" i="27" s="1"/>
  <c r="BV110" i="27" a="1"/>
  <c r="BV110" i="27" s="1"/>
  <c r="CD110" i="27" a="1"/>
  <c r="CD110" i="27" s="1"/>
  <c r="BR110" i="27" a="1"/>
  <c r="BR110" i="27" s="1"/>
  <c r="BX110" i="27" a="1"/>
  <c r="BX110" i="27" s="1"/>
  <c r="BT110" i="27" a="1"/>
  <c r="BT110" i="27" s="1"/>
  <c r="CJ110" i="27" a="1"/>
  <c r="CJ110" i="27" s="1"/>
  <c r="CD62" i="27" a="1"/>
  <c r="CD62" i="27" s="1"/>
  <c r="CJ62" i="27" a="1"/>
  <c r="CJ62" i="27" s="1"/>
  <c r="BT62" i="27" a="1"/>
  <c r="BT62" i="27" s="1"/>
  <c r="BN62" i="27" a="1"/>
  <c r="BN62" i="27" s="1"/>
  <c r="BX62" i="27" a="1"/>
  <c r="BX62" i="27" s="1"/>
  <c r="BV62" i="27" a="1"/>
  <c r="BV62" i="27" s="1"/>
  <c r="BX121" i="27" a="1"/>
  <c r="BX121" i="27" s="1"/>
  <c r="CF121" i="27" a="1"/>
  <c r="CF121" i="27" s="1"/>
  <c r="BV121" i="27" a="1"/>
  <c r="BV121" i="27" s="1"/>
  <c r="BP121" i="27" a="1"/>
  <c r="BP121" i="27" s="1"/>
  <c r="BZ121" i="27" a="1"/>
  <c r="BZ121" i="27" s="1"/>
  <c r="CH121" i="27" a="1"/>
  <c r="CH121" i="27" s="1"/>
  <c r="BR121" i="27" a="1"/>
  <c r="BR121" i="27" s="1"/>
  <c r="CD121" i="27" a="1"/>
  <c r="CD121" i="27" s="1"/>
  <c r="BT121" i="27" a="1"/>
  <c r="BT121" i="27" s="1"/>
  <c r="CF67" i="27" a="1"/>
  <c r="CF67" i="27" s="1"/>
  <c r="BT67" i="27" a="1"/>
  <c r="BT67" i="27" s="1"/>
  <c r="BW67" i="27" a="1"/>
  <c r="BW67" i="27" s="1"/>
  <c r="BY67" i="27" a="1"/>
  <c r="BY67" i="27" s="1"/>
  <c r="BQ67" i="27" a="1"/>
  <c r="BQ67" i="27" s="1"/>
  <c r="CJ67" i="27" a="1"/>
  <c r="CJ67" i="27" s="1"/>
  <c r="BO67" i="27" a="1"/>
  <c r="BO67" i="27" s="1"/>
  <c r="CE67" i="27" a="1"/>
  <c r="CE67" i="27" s="1"/>
  <c r="CA67" i="27" a="1"/>
  <c r="CA67" i="27" s="1"/>
  <c r="CB19" i="27" a="1"/>
  <c r="CB19" i="27" s="1"/>
  <c r="BV19" i="27" a="1"/>
  <c r="BV19" i="27" s="1"/>
  <c r="BT19" i="27" a="1"/>
  <c r="BT19" i="27" s="1"/>
  <c r="CH19" i="27" a="1"/>
  <c r="CH19" i="27" s="1"/>
  <c r="BU19" i="27" a="1"/>
  <c r="BU19" i="27" s="1"/>
  <c r="BP19" i="27" a="1"/>
  <c r="BP19" i="27" s="1"/>
  <c r="CD19" i="27" a="1"/>
  <c r="CD19" i="27" s="1"/>
  <c r="BN19" i="27" a="1"/>
  <c r="BN19" i="27" s="1"/>
  <c r="BR48" i="27" a="1"/>
  <c r="BR48" i="27" s="1"/>
  <c r="BN48" i="27" a="1"/>
  <c r="BN48" i="27" s="1"/>
  <c r="BV48" i="27" a="1"/>
  <c r="BV48" i="27" s="1"/>
  <c r="BU48" i="27" a="1"/>
  <c r="BU48" i="27" s="1"/>
  <c r="BP64" i="27" a="1"/>
  <c r="BP64" i="27" s="1"/>
  <c r="BT64" i="27" a="1"/>
  <c r="BT64" i="27" s="1"/>
  <c r="BR64" i="27" a="1"/>
  <c r="BR64" i="27" s="1"/>
  <c r="BZ64" i="27" a="1"/>
  <c r="BZ64" i="27" s="1"/>
  <c r="CH64" i="27" a="1"/>
  <c r="CH64" i="27" s="1"/>
  <c r="CB64" i="27" a="1"/>
  <c r="CB64" i="27" s="1"/>
  <c r="CD64" i="27" a="1"/>
  <c r="CD64" i="27" s="1"/>
  <c r="BN64" i="27" a="1"/>
  <c r="BN64" i="27" s="1"/>
  <c r="CF64" i="27" a="1"/>
  <c r="CF64" i="27" s="1"/>
  <c r="BX64" i="27" a="1"/>
  <c r="BX64" i="27" s="1"/>
  <c r="CB102" i="27" a="1"/>
  <c r="CB102" i="27" s="1"/>
  <c r="BX102" i="27" a="1"/>
  <c r="BX102" i="27" s="1"/>
  <c r="BP102" i="27" a="1"/>
  <c r="BP102" i="27" s="1"/>
  <c r="CD102" i="27" a="1"/>
  <c r="CD102" i="27" s="1"/>
  <c r="CH30" i="27" a="1"/>
  <c r="CH30" i="27" s="1"/>
  <c r="CJ30" i="27" a="1"/>
  <c r="CJ30" i="27" s="1"/>
  <c r="BT30" i="27" a="1"/>
  <c r="BT30" i="27" s="1"/>
  <c r="BX95" i="27" a="1"/>
  <c r="BX95" i="27" s="1"/>
  <c r="BZ95" i="27" a="1"/>
  <c r="BZ95" i="27" s="1"/>
  <c r="BR95" i="27" a="1"/>
  <c r="BR95" i="27" s="1"/>
  <c r="CJ122" i="27" a="1"/>
  <c r="CJ122" i="27" s="1"/>
  <c r="BT122" i="27" a="1"/>
  <c r="BT122" i="27" s="1"/>
  <c r="CH122" i="27" a="1"/>
  <c r="CH122" i="27" s="1"/>
  <c r="CB122" i="27" a="1"/>
  <c r="CB122" i="27" s="1"/>
  <c r="BR122" i="27" a="1"/>
  <c r="BR122" i="27" s="1"/>
  <c r="BZ122" i="27" a="1"/>
  <c r="BZ122" i="27" s="1"/>
  <c r="BT103" i="27" a="1"/>
  <c r="BT103" i="27" s="1"/>
  <c r="CD103" i="27" a="1"/>
  <c r="CD103" i="27" s="1"/>
  <c r="BR103" i="27" a="1"/>
  <c r="BR103" i="27" s="1"/>
  <c r="CD108" i="27" a="1"/>
  <c r="CD108" i="27" s="1"/>
  <c r="CJ108" i="27" a="1"/>
  <c r="CJ108" i="27" s="1"/>
  <c r="CH108" i="27" a="1"/>
  <c r="CH108" i="27" s="1"/>
  <c r="BX60" i="27" a="1"/>
  <c r="BX60" i="27" s="1"/>
  <c r="BP60" i="27" a="1"/>
  <c r="BP60" i="27" s="1"/>
  <c r="CH60" i="27" a="1"/>
  <c r="CH60" i="27" s="1"/>
  <c r="BR92" i="27" a="1"/>
  <c r="BR92" i="27" s="1"/>
  <c r="CH92" i="27" a="1"/>
  <c r="CH92" i="27" s="1"/>
  <c r="CD20" i="27" a="1"/>
  <c r="CD20" i="27" s="1"/>
  <c r="BT20" i="27" a="1"/>
  <c r="BT20" i="27" s="1"/>
  <c r="BV20" i="27" a="1"/>
  <c r="BV20" i="27" s="1"/>
  <c r="BZ20" i="27" a="1"/>
  <c r="BZ20" i="27" s="1"/>
  <c r="CF49" i="27" a="1"/>
  <c r="CF49" i="27" s="1"/>
  <c r="BY49" i="27" a="1"/>
  <c r="BY49" i="27" s="1"/>
  <c r="BR49" i="27" a="1"/>
  <c r="BR49" i="27" s="1"/>
  <c r="CH49" i="27" a="1"/>
  <c r="CH49" i="27" s="1"/>
  <c r="CJ126" i="27" a="1"/>
  <c r="CJ126" i="27" s="1"/>
  <c r="BR126" i="27" a="1"/>
  <c r="BR126" i="27" s="1"/>
  <c r="BT71" i="27" a="1"/>
  <c r="BT71" i="27" s="1"/>
  <c r="BP71" i="27" a="1"/>
  <c r="BP71" i="27" s="1"/>
  <c r="CA71" i="27" a="1"/>
  <c r="CA71" i="27" s="1"/>
  <c r="CB7" i="27" a="1"/>
  <c r="CB7" i="27" s="1"/>
  <c r="BR7" i="27" a="1"/>
  <c r="BR7" i="27" s="1"/>
  <c r="BN132" i="27" a="1"/>
  <c r="BN132" i="27" s="1"/>
  <c r="BX132" i="27" a="1"/>
  <c r="BX132" i="27" s="1"/>
  <c r="BP44" i="27" a="1"/>
  <c r="BP44" i="27" s="1"/>
  <c r="BO44" i="27" a="1"/>
  <c r="BO44" i="27" s="1"/>
  <c r="BZ97" i="27" a="1"/>
  <c r="BZ97" i="27" s="1"/>
  <c r="CB97" i="27" a="1"/>
  <c r="CB97" i="27" s="1"/>
  <c r="CF97" i="27" a="1"/>
  <c r="CF97" i="27" s="1"/>
  <c r="CH97" i="27" a="1"/>
  <c r="CH97" i="27" s="1"/>
  <c r="CD97" i="27" a="1"/>
  <c r="CD97" i="27" s="1"/>
  <c r="BV97" i="27" a="1"/>
  <c r="BV97" i="27" s="1"/>
  <c r="BT97" i="27" a="1"/>
  <c r="BT97" i="27" s="1"/>
  <c r="BR97" i="27" a="1"/>
  <c r="BR97" i="27" s="1"/>
  <c r="BX25" i="27" a="1"/>
  <c r="BX25" i="27" s="1"/>
  <c r="BV25" i="27" a="1"/>
  <c r="BV25" i="27" s="1"/>
  <c r="BZ25" i="27" a="1"/>
  <c r="BZ25" i="27" s="1"/>
  <c r="BT25" i="27" a="1"/>
  <c r="BT25" i="27" s="1"/>
  <c r="CJ25" i="27" a="1"/>
  <c r="CJ25" i="27" s="1"/>
  <c r="BR25" i="27" a="1"/>
  <c r="BR25" i="27" s="1"/>
  <c r="BN25" i="27" a="1"/>
  <c r="BN25" i="27" s="1"/>
  <c r="CF25" i="27" a="1"/>
  <c r="CF25" i="27" s="1"/>
  <c r="CB8" i="27" a="1"/>
  <c r="CB8" i="27" s="1"/>
  <c r="CK8" i="27" a="1"/>
  <c r="CK8" i="27" s="1"/>
  <c r="BQ133" i="27" a="1"/>
  <c r="BQ133" i="27" s="1"/>
  <c r="CF104" i="27" a="1"/>
  <c r="CF104" i="27" s="1"/>
  <c r="BT104" i="27" a="1"/>
  <c r="BT104" i="27" s="1"/>
  <c r="CH104" i="27" a="1"/>
  <c r="CH104" i="27" s="1"/>
  <c r="BV32" i="27" a="1"/>
  <c r="BV32" i="27" s="1"/>
  <c r="BZ32" i="27" a="1"/>
  <c r="BZ32" i="27" s="1"/>
  <c r="BX32" i="27" a="1"/>
  <c r="BX32" i="27" s="1"/>
  <c r="CH32" i="27" a="1"/>
  <c r="CH32" i="27" s="1"/>
  <c r="CB61" i="27" a="1"/>
  <c r="CB61" i="27" s="1"/>
  <c r="BU61" i="27" a="1"/>
  <c r="BU61" i="27" s="1"/>
  <c r="BW61" i="27" a="1"/>
  <c r="BW61" i="27" s="1"/>
  <c r="CE61" i="27" a="1"/>
  <c r="CE61" i="27" s="1"/>
  <c r="BT61" i="27" a="1"/>
  <c r="BT61" i="27" s="1"/>
  <c r="CI61" i="27" a="1"/>
  <c r="CI61" i="27" s="1"/>
  <c r="CF61" i="27" a="1"/>
  <c r="CF61" i="27" s="1"/>
  <c r="BZ61" i="27" a="1"/>
  <c r="BZ61" i="27" s="1"/>
  <c r="CD61" i="27" a="1"/>
  <c r="CD61" i="27" s="1"/>
  <c r="BS61" i="27" a="1"/>
  <c r="BS61" i="27" s="1"/>
  <c r="CA61" i="27" a="1"/>
  <c r="CA61" i="27" s="1"/>
  <c r="CC61" i="27" a="1"/>
  <c r="CC61" i="27" s="1"/>
  <c r="BR61" i="27" a="1"/>
  <c r="BR61" i="27" s="1"/>
  <c r="BP61" i="27" a="1"/>
  <c r="BP61" i="27" s="1"/>
  <c r="BO61" i="27" a="1"/>
  <c r="BO61" i="27" s="1"/>
  <c r="BX61" i="27" a="1"/>
  <c r="BX61" i="27" s="1"/>
  <c r="CG61" i="27" a="1"/>
  <c r="CG61" i="27" s="1"/>
  <c r="BN61" i="27" a="1"/>
  <c r="BN61" i="27" s="1"/>
  <c r="CK61" i="27" a="1"/>
  <c r="CK61" i="27" s="1"/>
  <c r="CJ61" i="27" a="1"/>
  <c r="CJ61" i="27" s="1"/>
  <c r="BQ61" i="27" a="1"/>
  <c r="BQ61" i="27" s="1"/>
  <c r="BY61" i="27" a="1"/>
  <c r="BY61" i="27" s="1"/>
  <c r="CH61" i="27" a="1"/>
  <c r="CH61" i="27" s="1"/>
  <c r="BV61" i="27" a="1"/>
  <c r="BV61" i="27" s="1"/>
  <c r="BT13" i="27" a="1"/>
  <c r="BT13" i="27" s="1"/>
  <c r="CF13" i="27" a="1"/>
  <c r="CF13" i="27" s="1"/>
  <c r="BZ13" i="27" a="1"/>
  <c r="BZ13" i="27" s="1"/>
  <c r="BZ56" i="27" a="1"/>
  <c r="BZ56" i="27" s="1"/>
  <c r="CF56" i="27" a="1"/>
  <c r="CF56" i="27" s="1"/>
  <c r="AC133" i="27" a="1"/>
  <c r="AC133" i="27" s="1"/>
  <c r="Z6" i="27" a="1"/>
  <c r="Z6" i="27" s="1"/>
  <c r="Y6" i="27" a="1"/>
  <c r="Y6" i="27" s="1"/>
  <c r="L6" i="27" a="1"/>
  <c r="L6" i="27" s="1"/>
  <c r="AI6" i="27" a="1"/>
  <c r="AI6" i="27" s="1"/>
  <c r="Y69" i="27" a="1"/>
  <c r="Y69" i="27" s="1"/>
  <c r="AF69" i="27" a="1"/>
  <c r="AF69" i="27" s="1"/>
  <c r="M69" i="27" a="1"/>
  <c r="M69" i="27" s="1"/>
  <c r="AH69" i="27" a="1"/>
  <c r="AH69" i="27" s="1"/>
  <c r="AG69" i="27" a="1"/>
  <c r="AG69" i="27" s="1"/>
  <c r="W69" i="27" a="1"/>
  <c r="W69" i="27" s="1"/>
  <c r="AE69" i="27" a="1"/>
  <c r="AE69" i="27" s="1"/>
  <c r="Z69" i="27" a="1"/>
  <c r="Z69" i="27" s="1"/>
  <c r="AC69" i="27" a="1"/>
  <c r="AC69" i="27" s="1"/>
  <c r="S69" i="27" a="1"/>
  <c r="S69" i="27" s="1"/>
  <c r="AA69" i="27" a="1"/>
  <c r="AA69" i="27" s="1"/>
  <c r="U69" i="27" a="1"/>
  <c r="U69" i="27" s="1"/>
  <c r="AC101" i="27" a="1"/>
  <c r="AC101" i="27" s="1"/>
  <c r="X69" i="27" a="1"/>
  <c r="X69" i="27" s="1"/>
  <c r="N69" i="27" a="1"/>
  <c r="N69" i="27" s="1"/>
  <c r="V69" i="27" a="1"/>
  <c r="V69" i="27" s="1"/>
  <c r="P69" i="27" a="1"/>
  <c r="P69" i="27" s="1"/>
  <c r="T69" i="27" a="1"/>
  <c r="T69" i="27" s="1"/>
  <c r="R69" i="27" a="1"/>
  <c r="R69" i="27" s="1"/>
  <c r="Q69" i="27" a="1"/>
  <c r="Q69" i="27" s="1"/>
  <c r="L69" i="27" a="1"/>
  <c r="L69" i="27" s="1"/>
  <c r="Z133" i="27" a="1"/>
  <c r="Z133" i="27" s="1"/>
  <c r="AB69" i="27" a="1"/>
  <c r="AB69" i="27" s="1"/>
  <c r="AI69" i="27" a="1"/>
  <c r="AI69" i="27" s="1"/>
  <c r="AD69" i="27" a="1"/>
  <c r="AD69" i="27" s="1"/>
  <c r="M133" i="27" a="1"/>
  <c r="M133" i="27" s="1"/>
  <c r="N101" i="27" a="1"/>
  <c r="N101" i="27" s="1"/>
  <c r="AA101" i="27" a="1"/>
  <c r="AA101" i="27" s="1"/>
  <c r="Q6" i="27" a="1"/>
  <c r="Q6" i="27" s="1"/>
  <c r="AE6" i="27" a="1"/>
  <c r="AE6" i="27" s="1"/>
  <c r="R6" i="27" a="1"/>
  <c r="R6" i="27" s="1"/>
  <c r="AF6" i="27" a="1"/>
  <c r="AF6" i="27" s="1"/>
  <c r="S6" i="27" a="1"/>
  <c r="S6" i="27" s="1"/>
  <c r="AG6" i="27" a="1"/>
  <c r="AG6" i="27" s="1"/>
  <c r="AB6" i="27" a="1"/>
  <c r="AB6" i="27" s="1"/>
  <c r="AH6" i="27" a="1"/>
  <c r="AH6" i="27" s="1"/>
  <c r="AC6" i="27" a="1"/>
  <c r="AC6" i="27" s="1"/>
  <c r="T6" i="27" a="1"/>
  <c r="T6" i="27" s="1"/>
  <c r="U133" i="27" a="1"/>
  <c r="U133" i="27" s="1"/>
  <c r="N133" i="27" a="1"/>
  <c r="N133" i="27" s="1"/>
  <c r="P133" i="27" a="1"/>
  <c r="P133" i="27" s="1"/>
  <c r="AB133" i="27" a="1"/>
  <c r="AB133" i="27" s="1"/>
  <c r="AE133" i="27" a="1"/>
  <c r="AE133" i="27" s="1"/>
  <c r="Y133" i="27" a="1"/>
  <c r="Y133" i="27" s="1"/>
  <c r="W133" i="27" a="1"/>
  <c r="W133" i="27" s="1"/>
  <c r="AA133" i="27" a="1"/>
  <c r="AA133" i="27" s="1"/>
  <c r="O133" i="27" a="1"/>
  <c r="O133" i="27" s="1"/>
  <c r="S133" i="27" a="1"/>
  <c r="S133" i="27" s="1"/>
  <c r="L133" i="27" a="1"/>
  <c r="L133" i="27" s="1"/>
  <c r="AH133" i="27" a="1"/>
  <c r="AH133" i="27" s="1"/>
  <c r="V133" i="27" a="1"/>
  <c r="V133" i="27" s="1"/>
  <c r="DA63" i="27"/>
  <c r="DA129" i="27"/>
  <c r="CX129" i="27" s="1"/>
  <c r="Q127" i="12" s="1"/>
  <c r="DA57" i="27"/>
  <c r="CX57" i="27" s="1"/>
  <c r="Q55" i="12" s="1"/>
  <c r="AD133" i="27" a="1"/>
  <c r="AD133" i="27" s="1"/>
  <c r="T133" i="27" a="1"/>
  <c r="T133" i="27" s="1"/>
  <c r="AG133" i="27" a="1"/>
  <c r="AG133" i="27" s="1"/>
  <c r="R133" i="27" a="1"/>
  <c r="R133" i="27" s="1"/>
  <c r="BZ133" i="27" a="1"/>
  <c r="BZ133" i="27" s="1"/>
  <c r="CK133" i="27" a="1"/>
  <c r="CK133" i="27" s="1"/>
  <c r="DA74" i="27"/>
  <c r="DA17" i="27"/>
  <c r="CX17" i="27" s="1"/>
  <c r="Q15" i="12" s="1"/>
  <c r="BT130" i="27" a="1"/>
  <c r="BT130" i="27" s="1"/>
  <c r="CD130" i="27" a="1"/>
  <c r="CD130" i="27" s="1"/>
  <c r="BN130" i="27" a="1"/>
  <c r="BN130" i="27" s="1"/>
  <c r="BP130" i="27" a="1"/>
  <c r="BP130" i="27" s="1"/>
  <c r="BV130" i="27" a="1"/>
  <c r="BV130" i="27" s="1"/>
  <c r="CH130" i="27" a="1"/>
  <c r="CH130" i="27" s="1"/>
  <c r="BX130" i="27" a="1"/>
  <c r="BX130" i="27" s="1"/>
  <c r="BV88" i="27" a="1"/>
  <c r="BV88" i="27" s="1"/>
  <c r="CH88" i="27" a="1"/>
  <c r="CH88" i="27" s="1"/>
  <c r="DA99" i="27"/>
  <c r="BR58" i="27" a="1"/>
  <c r="BR58" i="27" s="1"/>
  <c r="BZ58" i="27" a="1"/>
  <c r="BZ58" i="27" s="1"/>
  <c r="CJ58" i="27" a="1"/>
  <c r="CJ58" i="27" s="1"/>
  <c r="BV58" i="27" a="1"/>
  <c r="BV58" i="27" s="1"/>
  <c r="CF58" i="27" a="1"/>
  <c r="CF58" i="27" s="1"/>
  <c r="BT58" i="27" a="1"/>
  <c r="BT58" i="27" s="1"/>
  <c r="BY58" i="27" a="1"/>
  <c r="BY58" i="27" s="1"/>
  <c r="Q133" i="27" a="1"/>
  <c r="Q133" i="27" s="1"/>
  <c r="AI133" i="27" a="1"/>
  <c r="AI133" i="27" s="1"/>
  <c r="X133" i="27" a="1"/>
  <c r="X133" i="27" s="1"/>
  <c r="CG52" i="27" a="1"/>
  <c r="CG52" i="27" s="1"/>
  <c r="CJ52" i="27" a="1"/>
  <c r="CJ52" i="27" s="1"/>
  <c r="BT52" i="27" a="1"/>
  <c r="BT52" i="27" s="1"/>
  <c r="CE52" i="27" a="1"/>
  <c r="CE52" i="27" s="1"/>
  <c r="BX52" i="27" a="1"/>
  <c r="BX52" i="27" s="1"/>
  <c r="BV52" i="27" a="1"/>
  <c r="BV52" i="27" s="1"/>
  <c r="BR52" i="27" a="1"/>
  <c r="BR52" i="27" s="1"/>
  <c r="CH52" i="27" a="1"/>
  <c r="CH52" i="27" s="1"/>
  <c r="CB52" i="27" a="1"/>
  <c r="CB52" i="27" s="1"/>
  <c r="CD52" i="27" a="1"/>
  <c r="CD52" i="27" s="1"/>
  <c r="CF52" i="27" a="1"/>
  <c r="CF52" i="27" s="1"/>
  <c r="BZ52" i="27" a="1"/>
  <c r="BZ52" i="27" s="1"/>
  <c r="BP118" i="27" a="1"/>
  <c r="BP118" i="27" s="1"/>
  <c r="CE118" i="27" a="1"/>
  <c r="CE118" i="27" s="1"/>
  <c r="CJ22" i="27" a="1"/>
  <c r="CJ22" i="27" s="1"/>
  <c r="BR22" i="27" a="1"/>
  <c r="BR22" i="27" s="1"/>
  <c r="BP22" i="27" a="1"/>
  <c r="BP22" i="27" s="1"/>
  <c r="CD22" i="27" a="1"/>
  <c r="CD22" i="27" s="1"/>
  <c r="CH22" i="27" a="1"/>
  <c r="CH22" i="27" s="1"/>
  <c r="BT22" i="27" a="1"/>
  <c r="BT22" i="27" s="1"/>
  <c r="CE68" i="27" a="1"/>
  <c r="CE68" i="27" s="1"/>
  <c r="CG68" i="27" a="1"/>
  <c r="CG68" i="27" s="1"/>
  <c r="CI14" i="27" a="1"/>
  <c r="CI14" i="27" s="1"/>
  <c r="BS68" i="27" a="1"/>
  <c r="BS68" i="27" s="1"/>
  <c r="BS14" i="27" a="1"/>
  <c r="BS14" i="27" s="1"/>
  <c r="BO14" i="27" a="1"/>
  <c r="BO14" i="27" s="1"/>
  <c r="BP68" i="27" a="1"/>
  <c r="BP68" i="27" s="1"/>
  <c r="BN8" i="27" a="1"/>
  <c r="BN8" i="27" s="1"/>
  <c r="BR8" i="27" a="1"/>
  <c r="BR8" i="27" s="1"/>
  <c r="CB68" i="27" a="1"/>
  <c r="CB68" i="27" s="1"/>
  <c r="BX14" i="27" a="1"/>
  <c r="BX14" i="27" s="1"/>
  <c r="CH133" i="27" a="1"/>
  <c r="CH133" i="27" s="1"/>
  <c r="CF133" i="27" a="1"/>
  <c r="CF133" i="27" s="1"/>
  <c r="BT16" i="27" a="1"/>
  <c r="BT16" i="27" s="1"/>
  <c r="BR16" i="27" a="1"/>
  <c r="BR16" i="27" s="1"/>
  <c r="BP16" i="27" a="1"/>
  <c r="BP16" i="27" s="1"/>
  <c r="CH16" i="27" a="1"/>
  <c r="CH16" i="27" s="1"/>
  <c r="CG16" i="27" a="1"/>
  <c r="CG16" i="27" s="1"/>
  <c r="BN16" i="27" a="1"/>
  <c r="BN16" i="27" s="1"/>
  <c r="CJ16" i="27" a="1"/>
  <c r="CJ16" i="27" s="1"/>
  <c r="BV16" i="27" a="1"/>
  <c r="BV16" i="27" s="1"/>
  <c r="BZ16" i="27" a="1"/>
  <c r="BZ16" i="27" s="1"/>
  <c r="CF16" i="27" a="1"/>
  <c r="CF16" i="27" s="1"/>
  <c r="CD16" i="27" a="1"/>
  <c r="CD16" i="27" s="1"/>
  <c r="BX16" i="27" a="1"/>
  <c r="BX16" i="27" s="1"/>
  <c r="CB16" i="27" a="1"/>
  <c r="CB16" i="27" s="1"/>
  <c r="CI68" i="27" a="1"/>
  <c r="CI68" i="27" s="1"/>
  <c r="CH68" i="27" a="1"/>
  <c r="CH68" i="27" s="1"/>
  <c r="BT68" i="27" a="1"/>
  <c r="BT68" i="27" s="1"/>
  <c r="CC68" i="27" a="1"/>
  <c r="CC68" i="27" s="1"/>
  <c r="BY68" i="27" a="1"/>
  <c r="BY68" i="27" s="1"/>
  <c r="BZ14" i="27" a="1"/>
  <c r="BZ14" i="27" s="1"/>
  <c r="CF68" i="27" a="1"/>
  <c r="CF68" i="27" s="1"/>
  <c r="CJ68" i="27" a="1"/>
  <c r="CJ68" i="27" s="1"/>
  <c r="BX68" i="27" a="1"/>
  <c r="BX68" i="27" s="1"/>
  <c r="BW68" i="27" a="1"/>
  <c r="BW68" i="27" s="1"/>
  <c r="BO68" i="27" a="1"/>
  <c r="BO68" i="27" s="1"/>
  <c r="BQ68" i="27" a="1"/>
  <c r="BQ68" i="27" s="1"/>
  <c r="CD68" i="27" a="1"/>
  <c r="CD68" i="27" s="1"/>
  <c r="BY8" i="27" a="1"/>
  <c r="BY8" i="27" s="1"/>
  <c r="BX8" i="27" a="1"/>
  <c r="BX8" i="27" s="1"/>
  <c r="BO8" i="27" a="1"/>
  <c r="BO8" i="27" s="1"/>
  <c r="BV8" i="27" a="1"/>
  <c r="BV8" i="27" s="1"/>
  <c r="CC8" i="27" a="1"/>
  <c r="CC8" i="27" s="1"/>
  <c r="BS8" i="27" a="1"/>
  <c r="BS8" i="27" s="1"/>
  <c r="CH8" i="27" a="1"/>
  <c r="CH8" i="27" s="1"/>
  <c r="CI8" i="27" a="1"/>
  <c r="CI8" i="27" s="1"/>
  <c r="CG8" i="27" a="1"/>
  <c r="CG8" i="27" s="1"/>
  <c r="CA8" i="27" a="1"/>
  <c r="CA8" i="27" s="1"/>
  <c r="CD8" i="27" a="1"/>
  <c r="CD8" i="27" s="1"/>
  <c r="CH14" i="27" a="1"/>
  <c r="CH14" i="27" s="1"/>
  <c r="CD14" i="27" a="1"/>
  <c r="CD14" i="27" s="1"/>
  <c r="BP14" i="27" a="1"/>
  <c r="BP14" i="27" s="1"/>
  <c r="CB14" i="27" a="1"/>
  <c r="CB14" i="27" s="1"/>
  <c r="BT14" i="27" a="1"/>
  <c r="BT14" i="27" s="1"/>
  <c r="CJ14" i="27" a="1"/>
  <c r="CJ14" i="27" s="1"/>
  <c r="BV14" i="27" a="1"/>
  <c r="BV14" i="27" s="1"/>
  <c r="BN14" i="27" a="1"/>
  <c r="BN14" i="27" s="1"/>
  <c r="CF14" i="27" a="1"/>
  <c r="CF14" i="27" s="1"/>
  <c r="L101" i="27" a="1"/>
  <c r="L101" i="27" s="1"/>
  <c r="V6" i="27" a="1"/>
  <c r="V6" i="27" s="1"/>
  <c r="M6" i="27" a="1"/>
  <c r="M6" i="27" s="1"/>
  <c r="P6" i="27" a="1"/>
  <c r="P6" i="27" s="1"/>
  <c r="O6" i="27" a="1"/>
  <c r="O6" i="27" s="1"/>
  <c r="N6" i="27" a="1"/>
  <c r="N6" i="27" s="1"/>
  <c r="U6" i="27" a="1"/>
  <c r="U6" i="27" s="1"/>
  <c r="X6" i="27" a="1"/>
  <c r="X6" i="27" s="1"/>
  <c r="W6" i="27" a="1"/>
  <c r="W6" i="27" s="1"/>
  <c r="Y101" i="27" a="1"/>
  <c r="Y101" i="27" s="1"/>
  <c r="V101" i="27" a="1"/>
  <c r="V101" i="27" s="1"/>
  <c r="T101" i="27" a="1"/>
  <c r="T101" i="27" s="1"/>
  <c r="AB101" i="27" a="1"/>
  <c r="AB101" i="27" s="1"/>
  <c r="R101" i="27" a="1"/>
  <c r="R101" i="27" s="1"/>
  <c r="AE101" i="27" a="1"/>
  <c r="AE101" i="27" s="1"/>
  <c r="AI101" i="27" a="1"/>
  <c r="AI101" i="27" s="1"/>
  <c r="AG101" i="27" a="1"/>
  <c r="AG101" i="27" s="1"/>
  <c r="P101" i="27" a="1"/>
  <c r="P101" i="27" s="1"/>
  <c r="X101" i="27" a="1"/>
  <c r="X101" i="27" s="1"/>
  <c r="M101" i="27" a="1"/>
  <c r="M101" i="27" s="1"/>
  <c r="Z101" i="27" a="1"/>
  <c r="Z101" i="27" s="1"/>
  <c r="AH101" i="27" a="1"/>
  <c r="AH101" i="27" s="1"/>
  <c r="S101" i="27" a="1"/>
  <c r="S101" i="27" s="1"/>
  <c r="AF101" i="27" a="1"/>
  <c r="AF101" i="27" s="1"/>
  <c r="U101" i="27" a="1"/>
  <c r="U101" i="27" s="1"/>
  <c r="AD101" i="27" a="1"/>
  <c r="AD101" i="27" s="1"/>
  <c r="O101" i="27" a="1"/>
  <c r="O101" i="27" s="1"/>
  <c r="W101" i="27" a="1"/>
  <c r="W101" i="27" s="1"/>
  <c r="Q94" i="27" a="1"/>
  <c r="Q94" i="27" s="1"/>
  <c r="U94" i="27" a="1"/>
  <c r="U94" i="27" s="1"/>
  <c r="Z94" i="27" a="1"/>
  <c r="Z94" i="27" s="1"/>
  <c r="AE94" i="27" a="1"/>
  <c r="AE94" i="27" s="1"/>
  <c r="L94" i="27" a="1"/>
  <c r="L94" i="27" s="1"/>
  <c r="V94" i="27" a="1"/>
  <c r="V94" i="27" s="1"/>
  <c r="AA94" i="27" a="1"/>
  <c r="AA94" i="27" s="1"/>
  <c r="AF94" i="27" a="1"/>
  <c r="AF94" i="27" s="1"/>
  <c r="M94" i="27" a="1"/>
  <c r="M94" i="27" s="1"/>
  <c r="R94" i="27" a="1"/>
  <c r="R94" i="27" s="1"/>
  <c r="W94" i="27" a="1"/>
  <c r="W94" i="27" s="1"/>
  <c r="AG94" i="27" a="1"/>
  <c r="AG94" i="27" s="1"/>
  <c r="N94" i="27" a="1"/>
  <c r="N94" i="27" s="1"/>
  <c r="S94" i="27" a="1"/>
  <c r="S94" i="27" s="1"/>
  <c r="X94" i="27" a="1"/>
  <c r="X94" i="27" s="1"/>
  <c r="AB94" i="27" a="1"/>
  <c r="AB94" i="27" s="1"/>
  <c r="O94" i="27" a="1"/>
  <c r="O94" i="27" s="1"/>
  <c r="Y94" i="27" a="1"/>
  <c r="Y94" i="27" s="1"/>
  <c r="AC94" i="27" a="1"/>
  <c r="AC94" i="27" s="1"/>
  <c r="AH94" i="27" a="1"/>
  <c r="AH94" i="27" s="1"/>
  <c r="P94" i="27" a="1"/>
  <c r="P94" i="27" s="1"/>
  <c r="T94" i="27" a="1"/>
  <c r="T94" i="27" s="1"/>
  <c r="AD94" i="27" a="1"/>
  <c r="AD94" i="27" s="1"/>
  <c r="AI94" i="27" a="1"/>
  <c r="AI94" i="27" s="1"/>
  <c r="N71" i="27" a="1"/>
  <c r="N71" i="27" s="1"/>
  <c r="R71" i="27" a="1"/>
  <c r="R71" i="27" s="1"/>
  <c r="V71" i="27" a="1"/>
  <c r="V71" i="27" s="1"/>
  <c r="Z71" i="27" a="1"/>
  <c r="Z71" i="27" s="1"/>
  <c r="AD71" i="27" a="1"/>
  <c r="AD71" i="27" s="1"/>
  <c r="AH71" i="27" a="1"/>
  <c r="AH71" i="27" s="1"/>
  <c r="O71" i="27" a="1"/>
  <c r="O71" i="27" s="1"/>
  <c r="S71" i="27" a="1"/>
  <c r="S71" i="27" s="1"/>
  <c r="W71" i="27" a="1"/>
  <c r="W71" i="27" s="1"/>
  <c r="AA71" i="27" a="1"/>
  <c r="AA71" i="27" s="1"/>
  <c r="AE71" i="27" a="1"/>
  <c r="AE71" i="27" s="1"/>
  <c r="AI71" i="27" a="1"/>
  <c r="AI71" i="27" s="1"/>
  <c r="L71" i="27" a="1"/>
  <c r="L71" i="27" s="1"/>
  <c r="P71" i="27" a="1"/>
  <c r="P71" i="27" s="1"/>
  <c r="T71" i="27" a="1"/>
  <c r="T71" i="27" s="1"/>
  <c r="X71" i="27" a="1"/>
  <c r="X71" i="27" s="1"/>
  <c r="AB71" i="27" a="1"/>
  <c r="AB71" i="27" s="1"/>
  <c r="AF71" i="27" a="1"/>
  <c r="AF71" i="27" s="1"/>
  <c r="M71" i="27" a="1"/>
  <c r="M71" i="27" s="1"/>
  <c r="Q71" i="27" a="1"/>
  <c r="Q71" i="27" s="1"/>
  <c r="U71" i="27" a="1"/>
  <c r="U71" i="27" s="1"/>
  <c r="Y71" i="27" a="1"/>
  <c r="Y71" i="27" s="1"/>
  <c r="AC71" i="27" a="1"/>
  <c r="AC71" i="27" s="1"/>
  <c r="AG71" i="27" a="1"/>
  <c r="AG71" i="27" s="1"/>
  <c r="M108" i="27" a="1"/>
  <c r="M108" i="27" s="1"/>
  <c r="Q108" i="27" a="1"/>
  <c r="Q108" i="27" s="1"/>
  <c r="U108" i="27" a="1"/>
  <c r="U108" i="27" s="1"/>
  <c r="Y108" i="27" a="1"/>
  <c r="Y108" i="27" s="1"/>
  <c r="AC108" i="27" a="1"/>
  <c r="AC108" i="27" s="1"/>
  <c r="AG108" i="27" a="1"/>
  <c r="AG108" i="27" s="1"/>
  <c r="N108" i="27" a="1"/>
  <c r="N108" i="27" s="1"/>
  <c r="R108" i="27" a="1"/>
  <c r="R108" i="27" s="1"/>
  <c r="V108" i="27" a="1"/>
  <c r="V108" i="27" s="1"/>
  <c r="Z108" i="27" a="1"/>
  <c r="Z108" i="27" s="1"/>
  <c r="AD108" i="27" a="1"/>
  <c r="AD108" i="27" s="1"/>
  <c r="AH108" i="27" a="1"/>
  <c r="AH108" i="27" s="1"/>
  <c r="O108" i="27" a="1"/>
  <c r="O108" i="27" s="1"/>
  <c r="S108" i="27" a="1"/>
  <c r="S108" i="27" s="1"/>
  <c r="W108" i="27" a="1"/>
  <c r="W108" i="27" s="1"/>
  <c r="AA108" i="27" a="1"/>
  <c r="AA108" i="27" s="1"/>
  <c r="AE108" i="27" a="1"/>
  <c r="AE108" i="27" s="1"/>
  <c r="AI108" i="27" a="1"/>
  <c r="AI108" i="27" s="1"/>
  <c r="L108" i="27" a="1"/>
  <c r="L108" i="27" s="1"/>
  <c r="P108" i="27" a="1"/>
  <c r="P108" i="27" s="1"/>
  <c r="T108" i="27" a="1"/>
  <c r="T108" i="27" s="1"/>
  <c r="X108" i="27" a="1"/>
  <c r="X108" i="27" s="1"/>
  <c r="AB108" i="27" a="1"/>
  <c r="AB108" i="27" s="1"/>
  <c r="AF108" i="27" a="1"/>
  <c r="AF108" i="27" s="1"/>
  <c r="O12" i="27" a="1"/>
  <c r="O12" i="27" s="1"/>
  <c r="T12" i="27" a="1"/>
  <c r="T12" i="27" s="1"/>
  <c r="Y12" i="27" a="1"/>
  <c r="Y12" i="27" s="1"/>
  <c r="AC12" i="27" a="1"/>
  <c r="AC12" i="27" s="1"/>
  <c r="P12" i="27" a="1"/>
  <c r="P12" i="27" s="1"/>
  <c r="Z12" i="27" a="1"/>
  <c r="Z12" i="27" s="1"/>
  <c r="AD12" i="27" a="1"/>
  <c r="AD12" i="27" s="1"/>
  <c r="AI12" i="27" a="1"/>
  <c r="AI12" i="27" s="1"/>
  <c r="L12" i="27" a="1"/>
  <c r="L12" i="27" s="1"/>
  <c r="Q12" i="27" a="1"/>
  <c r="Q12" i="27" s="1"/>
  <c r="U12" i="27" a="1"/>
  <c r="U12" i="27" s="1"/>
  <c r="AE12" i="27" a="1"/>
  <c r="AE12" i="27" s="1"/>
  <c r="R12" i="27" a="1"/>
  <c r="R12" i="27" s="1"/>
  <c r="V12" i="27" a="1"/>
  <c r="V12" i="27" s="1"/>
  <c r="AA12" i="27" a="1"/>
  <c r="AA12" i="27" s="1"/>
  <c r="AF12" i="27" a="1"/>
  <c r="AF12" i="27" s="1"/>
  <c r="M12" i="27" a="1"/>
  <c r="M12" i="27" s="1"/>
  <c r="W12" i="27" a="1"/>
  <c r="W12" i="27" s="1"/>
  <c r="AB12" i="27" a="1"/>
  <c r="AB12" i="27" s="1"/>
  <c r="AG12" i="27" a="1"/>
  <c r="AG12" i="27" s="1"/>
  <c r="N12" i="27" a="1"/>
  <c r="N12" i="27" s="1"/>
  <c r="S12" i="27" a="1"/>
  <c r="S12" i="27" s="1"/>
  <c r="X12" i="27" a="1"/>
  <c r="X12" i="27" s="1"/>
  <c r="AH12" i="27" a="1"/>
  <c r="AH12" i="27" s="1"/>
  <c r="Q83" i="27" a="1"/>
  <c r="Q83" i="27" s="1"/>
  <c r="U83" i="27" a="1"/>
  <c r="U83" i="27" s="1"/>
  <c r="Z83" i="27" a="1"/>
  <c r="Z83" i="27" s="1"/>
  <c r="AE83" i="27" a="1"/>
  <c r="AE83" i="27" s="1"/>
  <c r="L83" i="27" a="1"/>
  <c r="L83" i="27" s="1"/>
  <c r="V83" i="27" a="1"/>
  <c r="V83" i="27" s="1"/>
  <c r="AA83" i="27" a="1"/>
  <c r="AA83" i="27" s="1"/>
  <c r="AF83" i="27" a="1"/>
  <c r="AF83" i="27" s="1"/>
  <c r="M83" i="27" a="1"/>
  <c r="M83" i="27" s="1"/>
  <c r="R83" i="27" a="1"/>
  <c r="R83" i="27" s="1"/>
  <c r="W83" i="27" a="1"/>
  <c r="W83" i="27" s="1"/>
  <c r="AG83" i="27" a="1"/>
  <c r="AG83" i="27" s="1"/>
  <c r="N83" i="27" a="1"/>
  <c r="N83" i="27" s="1"/>
  <c r="S83" i="27" a="1"/>
  <c r="S83" i="27" s="1"/>
  <c r="X83" i="27" a="1"/>
  <c r="X83" i="27" s="1"/>
  <c r="AB83" i="27" a="1"/>
  <c r="AB83" i="27" s="1"/>
  <c r="O83" i="27" a="1"/>
  <c r="O83" i="27" s="1"/>
  <c r="Y83" i="27" a="1"/>
  <c r="Y83" i="27" s="1"/>
  <c r="AC83" i="27" a="1"/>
  <c r="AC83" i="27" s="1"/>
  <c r="AH83" i="27" a="1"/>
  <c r="AH83" i="27" s="1"/>
  <c r="P83" i="27" a="1"/>
  <c r="P83" i="27" s="1"/>
  <c r="T83" i="27" a="1"/>
  <c r="T83" i="27" s="1"/>
  <c r="AD83" i="27" a="1"/>
  <c r="AD83" i="27" s="1"/>
  <c r="AI83" i="27" a="1"/>
  <c r="AI83" i="27" s="1"/>
  <c r="Q24" i="27" a="1"/>
  <c r="Q24" i="27" s="1"/>
  <c r="V24" i="27" a="1"/>
  <c r="V24" i="27" s="1"/>
  <c r="Z24" i="27" a="1"/>
  <c r="Z24" i="27" s="1"/>
  <c r="L24" i="27" a="1"/>
  <c r="L24" i="27" s="1"/>
  <c r="W24" i="27" a="1"/>
  <c r="W24" i="27" s="1"/>
  <c r="AA24" i="27" a="1"/>
  <c r="AA24" i="27" s="1"/>
  <c r="AF24" i="27" a="1"/>
  <c r="AF24" i="27" s="1"/>
  <c r="M24" i="27" a="1"/>
  <c r="M24" i="27" s="1"/>
  <c r="R24" i="27" a="1"/>
  <c r="R24" i="27" s="1"/>
  <c r="AB24" i="27" a="1"/>
  <c r="AB24" i="27" s="1"/>
  <c r="AG24" i="27" a="1"/>
  <c r="AG24" i="27" s="1"/>
  <c r="N24" i="27" a="1"/>
  <c r="N24" i="27" s="1"/>
  <c r="S24" i="27" a="1"/>
  <c r="S24" i="27" s="1"/>
  <c r="X24" i="27" a="1"/>
  <c r="X24" i="27" s="1"/>
  <c r="AC24" i="27" a="1"/>
  <c r="AC24" i="27" s="1"/>
  <c r="O24" i="27" a="1"/>
  <c r="O24" i="27" s="1"/>
  <c r="T24" i="27" a="1"/>
  <c r="T24" i="27" s="1"/>
  <c r="Y24" i="27" a="1"/>
  <c r="Y24" i="27" s="1"/>
  <c r="AD24" i="27" a="1"/>
  <c r="AD24" i="27" s="1"/>
  <c r="AH24" i="27" a="1"/>
  <c r="AH24" i="27" s="1"/>
  <c r="P24" i="27" a="1"/>
  <c r="P24" i="27" s="1"/>
  <c r="U24" i="27" a="1"/>
  <c r="U24" i="27" s="1"/>
  <c r="AE24" i="27" a="1"/>
  <c r="AE24" i="27" s="1"/>
  <c r="AI24" i="27" a="1"/>
  <c r="AI24" i="27" s="1"/>
  <c r="Q100" i="27" a="1"/>
  <c r="Q100" i="27" s="1"/>
  <c r="U100" i="27" a="1"/>
  <c r="U100" i="27" s="1"/>
  <c r="Z100" i="27" a="1"/>
  <c r="Z100" i="27" s="1"/>
  <c r="AE100" i="27" a="1"/>
  <c r="AE100" i="27" s="1"/>
  <c r="L100" i="27" a="1"/>
  <c r="L100" i="27" s="1"/>
  <c r="V100" i="27" a="1"/>
  <c r="V100" i="27" s="1"/>
  <c r="AA100" i="27" a="1"/>
  <c r="AA100" i="27" s="1"/>
  <c r="AF100" i="27" a="1"/>
  <c r="AF100" i="27" s="1"/>
  <c r="M100" i="27" a="1"/>
  <c r="M100" i="27" s="1"/>
  <c r="R100" i="27" a="1"/>
  <c r="R100" i="27" s="1"/>
  <c r="W100" i="27" a="1"/>
  <c r="W100" i="27" s="1"/>
  <c r="AG100" i="27" a="1"/>
  <c r="AG100" i="27" s="1"/>
  <c r="N100" i="27" a="1"/>
  <c r="N100" i="27" s="1"/>
  <c r="S100" i="27" a="1"/>
  <c r="S100" i="27" s="1"/>
  <c r="X100" i="27" a="1"/>
  <c r="X100" i="27" s="1"/>
  <c r="AB100" i="27" a="1"/>
  <c r="AB100" i="27" s="1"/>
  <c r="O100" i="27" a="1"/>
  <c r="O100" i="27" s="1"/>
  <c r="Y100" i="27" a="1"/>
  <c r="Y100" i="27" s="1"/>
  <c r="AC100" i="27" a="1"/>
  <c r="AC100" i="27" s="1"/>
  <c r="AH100" i="27" a="1"/>
  <c r="AH100" i="27" s="1"/>
  <c r="P100" i="27" a="1"/>
  <c r="P100" i="27" s="1"/>
  <c r="T100" i="27" a="1"/>
  <c r="T100" i="27" s="1"/>
  <c r="AD100" i="27" a="1"/>
  <c r="AD100" i="27" s="1"/>
  <c r="AI100" i="27" a="1"/>
  <c r="AI100" i="27" s="1"/>
  <c r="Q93" i="27" a="1"/>
  <c r="Q93" i="27" s="1"/>
  <c r="U93" i="27" a="1"/>
  <c r="U93" i="27" s="1"/>
  <c r="Z93" i="27" a="1"/>
  <c r="Z93" i="27" s="1"/>
  <c r="AE93" i="27" a="1"/>
  <c r="AE93" i="27" s="1"/>
  <c r="L93" i="27" a="1"/>
  <c r="L93" i="27" s="1"/>
  <c r="V93" i="27" a="1"/>
  <c r="V93" i="27" s="1"/>
  <c r="AA93" i="27" a="1"/>
  <c r="AA93" i="27" s="1"/>
  <c r="AF93" i="27" a="1"/>
  <c r="AF93" i="27" s="1"/>
  <c r="M93" i="27" a="1"/>
  <c r="M93" i="27" s="1"/>
  <c r="R93" i="27" a="1"/>
  <c r="R93" i="27" s="1"/>
  <c r="W93" i="27" a="1"/>
  <c r="W93" i="27" s="1"/>
  <c r="AG93" i="27" a="1"/>
  <c r="AG93" i="27" s="1"/>
  <c r="N93" i="27" a="1"/>
  <c r="N93" i="27" s="1"/>
  <c r="S93" i="27" a="1"/>
  <c r="S93" i="27" s="1"/>
  <c r="X93" i="27" a="1"/>
  <c r="X93" i="27" s="1"/>
  <c r="AB93" i="27" a="1"/>
  <c r="AB93" i="27" s="1"/>
  <c r="O93" i="27" a="1"/>
  <c r="O93" i="27" s="1"/>
  <c r="Y93" i="27" a="1"/>
  <c r="Y93" i="27" s="1"/>
  <c r="AC93" i="27" a="1"/>
  <c r="AC93" i="27" s="1"/>
  <c r="AH93" i="27" a="1"/>
  <c r="AH93" i="27" s="1"/>
  <c r="P93" i="27" a="1"/>
  <c r="P93" i="27" s="1"/>
  <c r="T93" i="27" a="1"/>
  <c r="T93" i="27" s="1"/>
  <c r="AD93" i="27" a="1"/>
  <c r="AD93" i="27" s="1"/>
  <c r="AI93" i="27" a="1"/>
  <c r="AI93" i="27" s="1"/>
  <c r="P38" i="27" a="1"/>
  <c r="P38" i="27" s="1"/>
  <c r="U38" i="27" a="1"/>
  <c r="U38" i="27" s="1"/>
  <c r="Z38" i="27" a="1"/>
  <c r="Z38" i="27" s="1"/>
  <c r="AF38" i="27" a="1"/>
  <c r="AF38" i="27" s="1"/>
  <c r="Q38" i="27" a="1"/>
  <c r="Q38" i="27" s="1"/>
  <c r="V38" i="27" a="1"/>
  <c r="V38" i="27" s="1"/>
  <c r="AA38" i="27" a="1"/>
  <c r="AA38" i="27" s="1"/>
  <c r="AG38" i="27" a="1"/>
  <c r="AG38" i="27" s="1"/>
  <c r="L38" i="27" a="1"/>
  <c r="L38" i="27" s="1"/>
  <c r="W38" i="27" a="1"/>
  <c r="W38" i="27" s="1"/>
  <c r="AB38" i="27" a="1"/>
  <c r="AB38" i="27" s="1"/>
  <c r="M38" i="27" a="1"/>
  <c r="M38" i="27" s="1"/>
  <c r="R38" i="27" a="1"/>
  <c r="R38" i="27" s="1"/>
  <c r="X38" i="27" a="1"/>
  <c r="X38" i="27" s="1"/>
  <c r="AC38" i="27" a="1"/>
  <c r="AC38" i="27" s="1"/>
  <c r="AH38" i="27" a="1"/>
  <c r="AH38" i="27" s="1"/>
  <c r="N38" i="27" a="1"/>
  <c r="N38" i="27" s="1"/>
  <c r="S38" i="27" a="1"/>
  <c r="S38" i="27" s="1"/>
  <c r="Y38" i="27" a="1"/>
  <c r="Y38" i="27" s="1"/>
  <c r="AD38" i="27" a="1"/>
  <c r="AD38" i="27" s="1"/>
  <c r="AI38" i="27" a="1"/>
  <c r="AI38" i="27" s="1"/>
  <c r="O38" i="27" a="1"/>
  <c r="O38" i="27" s="1"/>
  <c r="T38" i="27" a="1"/>
  <c r="T38" i="27" s="1"/>
  <c r="AE38" i="27" a="1"/>
  <c r="AE38" i="27" s="1"/>
  <c r="Q89" i="27" a="1"/>
  <c r="Q89" i="27" s="1"/>
  <c r="U89" i="27" a="1"/>
  <c r="U89" i="27" s="1"/>
  <c r="Z89" i="27" a="1"/>
  <c r="Z89" i="27" s="1"/>
  <c r="AE89" i="27" a="1"/>
  <c r="AE89" i="27" s="1"/>
  <c r="L89" i="27" a="1"/>
  <c r="L89" i="27" s="1"/>
  <c r="V89" i="27" a="1"/>
  <c r="V89" i="27" s="1"/>
  <c r="AA89" i="27" a="1"/>
  <c r="AA89" i="27" s="1"/>
  <c r="AF89" i="27" a="1"/>
  <c r="AF89" i="27" s="1"/>
  <c r="M89" i="27" a="1"/>
  <c r="M89" i="27" s="1"/>
  <c r="R89" i="27" a="1"/>
  <c r="R89" i="27" s="1"/>
  <c r="W89" i="27" a="1"/>
  <c r="W89" i="27" s="1"/>
  <c r="AG89" i="27" a="1"/>
  <c r="AG89" i="27" s="1"/>
  <c r="N89" i="27" a="1"/>
  <c r="N89" i="27" s="1"/>
  <c r="S89" i="27" a="1"/>
  <c r="S89" i="27" s="1"/>
  <c r="X89" i="27" a="1"/>
  <c r="X89" i="27" s="1"/>
  <c r="AB89" i="27" a="1"/>
  <c r="AB89" i="27" s="1"/>
  <c r="O89" i="27" a="1"/>
  <c r="O89" i="27" s="1"/>
  <c r="Y89" i="27" a="1"/>
  <c r="Y89" i="27" s="1"/>
  <c r="AC89" i="27" a="1"/>
  <c r="AC89" i="27" s="1"/>
  <c r="AH89" i="27" a="1"/>
  <c r="AH89" i="27" s="1"/>
  <c r="P89" i="27" a="1"/>
  <c r="P89" i="27" s="1"/>
  <c r="T89" i="27" a="1"/>
  <c r="T89" i="27" s="1"/>
  <c r="AD89" i="27" a="1"/>
  <c r="AD89" i="27" s="1"/>
  <c r="AI89" i="27" a="1"/>
  <c r="AI89" i="27" s="1"/>
  <c r="M127" i="27" a="1"/>
  <c r="M127" i="27" s="1"/>
  <c r="R127" i="27" a="1"/>
  <c r="R127" i="27" s="1"/>
  <c r="V127" i="27" a="1"/>
  <c r="V127" i="27" s="1"/>
  <c r="AF127" i="27" a="1"/>
  <c r="AF127" i="27" s="1"/>
  <c r="S127" i="27" a="1"/>
  <c r="S127" i="27" s="1"/>
  <c r="W127" i="27" a="1"/>
  <c r="W127" i="27" s="1"/>
  <c r="AB127" i="27" a="1"/>
  <c r="AB127" i="27" s="1"/>
  <c r="AG127" i="27" a="1"/>
  <c r="AG127" i="27" s="1"/>
  <c r="N127" i="27" a="1"/>
  <c r="N127" i="27" s="1"/>
  <c r="X127" i="27" a="1"/>
  <c r="X127" i="27" s="1"/>
  <c r="AC127" i="27" a="1"/>
  <c r="AC127" i="27" s="1"/>
  <c r="AH127" i="27" a="1"/>
  <c r="AH127" i="27" s="1"/>
  <c r="O127" i="27" a="1"/>
  <c r="O127" i="27" s="1"/>
  <c r="T127" i="27" a="1"/>
  <c r="T127" i="27" s="1"/>
  <c r="Y127" i="27" a="1"/>
  <c r="Y127" i="27" s="1"/>
  <c r="AI127" i="27" a="1"/>
  <c r="AI127" i="27" s="1"/>
  <c r="P127" i="27" a="1"/>
  <c r="P127" i="27" s="1"/>
  <c r="U127" i="27" a="1"/>
  <c r="U127" i="27" s="1"/>
  <c r="Z127" i="27" a="1"/>
  <c r="Z127" i="27" s="1"/>
  <c r="AD127" i="27" a="1"/>
  <c r="AD127" i="27" s="1"/>
  <c r="L127" i="27" a="1"/>
  <c r="L127" i="27" s="1"/>
  <c r="Q127" i="27" a="1"/>
  <c r="Q127" i="27" s="1"/>
  <c r="AA127" i="27" a="1"/>
  <c r="AA127" i="27" s="1"/>
  <c r="AE127" i="27" a="1"/>
  <c r="AE127" i="27" s="1"/>
  <c r="L31" i="27" a="1"/>
  <c r="L31" i="27" s="1"/>
  <c r="Q31" i="27" a="1"/>
  <c r="Q31" i="27" s="1"/>
  <c r="V31" i="27" a="1"/>
  <c r="V31" i="27" s="1"/>
  <c r="Z31" i="27" a="1"/>
  <c r="Z31" i="27" s="1"/>
  <c r="M31" i="27" a="1"/>
  <c r="M31" i="27" s="1"/>
  <c r="W31" i="27" a="1"/>
  <c r="W31" i="27" s="1"/>
  <c r="AA31" i="27" a="1"/>
  <c r="AA31" i="27" s="1"/>
  <c r="AF31" i="27" a="1"/>
  <c r="AF31" i="27" s="1"/>
  <c r="N31" i="27" a="1"/>
  <c r="N31" i="27" s="1"/>
  <c r="R31" i="27" a="1"/>
  <c r="R31" i="27" s="1"/>
  <c r="AB31" i="27" a="1"/>
  <c r="AB31" i="27" s="1"/>
  <c r="AG31" i="27" a="1"/>
  <c r="AG31" i="27" s="1"/>
  <c r="O31" i="27" a="1"/>
  <c r="O31" i="27" s="1"/>
  <c r="S31" i="27" a="1"/>
  <c r="S31" i="27" s="1"/>
  <c r="X31" i="27" a="1"/>
  <c r="X31" i="27" s="1"/>
  <c r="AC31" i="27" a="1"/>
  <c r="AC31" i="27" s="1"/>
  <c r="T31" i="27" a="1"/>
  <c r="T31" i="27" s="1"/>
  <c r="Y31" i="27" a="1"/>
  <c r="Y31" i="27" s="1"/>
  <c r="AD31" i="27" a="1"/>
  <c r="AD31" i="27" s="1"/>
  <c r="AH31" i="27" a="1"/>
  <c r="AH31" i="27" s="1"/>
  <c r="P31" i="27" a="1"/>
  <c r="P31" i="27" s="1"/>
  <c r="U31" i="27" a="1"/>
  <c r="U31" i="27" s="1"/>
  <c r="AE31" i="27" a="1"/>
  <c r="AE31" i="27" s="1"/>
  <c r="AI31" i="27" a="1"/>
  <c r="AI31" i="27" s="1"/>
  <c r="O68" i="27" a="1"/>
  <c r="O68" i="27" s="1"/>
  <c r="Y68" i="27" a="1"/>
  <c r="Y68" i="27" s="1"/>
  <c r="AD68" i="27" a="1"/>
  <c r="AD68" i="27" s="1"/>
  <c r="AI68" i="27" a="1"/>
  <c r="AI68" i="27" s="1"/>
  <c r="L68" i="27" a="1"/>
  <c r="L68" i="27" s="1"/>
  <c r="P68" i="27" a="1"/>
  <c r="P68" i="27" s="1"/>
  <c r="U68" i="27" a="1"/>
  <c r="U68" i="27" s="1"/>
  <c r="Z68" i="27" a="1"/>
  <c r="Z68" i="27" s="1"/>
  <c r="Q68" i="27" a="1"/>
  <c r="Q68" i="27" s="1"/>
  <c r="V68" i="27" a="1"/>
  <c r="V68" i="27" s="1"/>
  <c r="AA68" i="27" a="1"/>
  <c r="AA68" i="27" s="1"/>
  <c r="AE68" i="27" a="1"/>
  <c r="AE68" i="27" s="1"/>
  <c r="M68" i="27" a="1"/>
  <c r="M68" i="27" s="1"/>
  <c r="R68" i="27" a="1"/>
  <c r="R68" i="27" s="1"/>
  <c r="AB68" i="27" a="1"/>
  <c r="AB68" i="27" s="1"/>
  <c r="AF68" i="27" a="1"/>
  <c r="AF68" i="27" s="1"/>
  <c r="N68" i="27" a="1"/>
  <c r="N68" i="27" s="1"/>
  <c r="S68" i="27" a="1"/>
  <c r="S68" i="27" s="1"/>
  <c r="W68" i="27" a="1"/>
  <c r="W68" i="27" s="1"/>
  <c r="AG68" i="27" a="1"/>
  <c r="AG68" i="27" s="1"/>
  <c r="T68" i="27" a="1"/>
  <c r="T68" i="27" s="1"/>
  <c r="X68" i="27" a="1"/>
  <c r="X68" i="27" s="1"/>
  <c r="AC68" i="27" a="1"/>
  <c r="AC68" i="27" s="1"/>
  <c r="AH68" i="27" a="1"/>
  <c r="AH68" i="27" s="1"/>
  <c r="M18" i="27" a="1"/>
  <c r="M18" i="27" s="1"/>
  <c r="R18" i="27" a="1"/>
  <c r="R18" i="27" s="1"/>
  <c r="W18" i="27" a="1"/>
  <c r="W18" i="27" s="1"/>
  <c r="AG18" i="27" a="1"/>
  <c r="AG18" i="27" s="1"/>
  <c r="N18" i="27" a="1"/>
  <c r="N18" i="27" s="1"/>
  <c r="S18" i="27" a="1"/>
  <c r="S18" i="27" s="1"/>
  <c r="X18" i="27" a="1"/>
  <c r="X18" i="27" s="1"/>
  <c r="AB18" i="27" a="1"/>
  <c r="AB18" i="27" s="1"/>
  <c r="AH18" i="27" a="1"/>
  <c r="AH18" i="27" s="1"/>
  <c r="O18" i="27" a="1"/>
  <c r="O18" i="27" s="1"/>
  <c r="Y18" i="27" a="1"/>
  <c r="Y18" i="27" s="1"/>
  <c r="AC18" i="27" a="1"/>
  <c r="AC18" i="27" s="1"/>
  <c r="AI18" i="27" a="1"/>
  <c r="AI18" i="27" s="1"/>
  <c r="P18" i="27" a="1"/>
  <c r="P18" i="27" s="1"/>
  <c r="T18" i="27" a="1"/>
  <c r="T18" i="27" s="1"/>
  <c r="AD18" i="27" a="1"/>
  <c r="AD18" i="27" s="1"/>
  <c r="Q18" i="27" a="1"/>
  <c r="Q18" i="27" s="1"/>
  <c r="U18" i="27" a="1"/>
  <c r="U18" i="27" s="1"/>
  <c r="Z18" i="27" a="1"/>
  <c r="Z18" i="27" s="1"/>
  <c r="AE18" i="27" a="1"/>
  <c r="AE18" i="27" s="1"/>
  <c r="L18" i="27" a="1"/>
  <c r="L18" i="27" s="1"/>
  <c r="V18" i="27" a="1"/>
  <c r="V18" i="27" s="1"/>
  <c r="AA18" i="27" a="1"/>
  <c r="AA18" i="27" s="1"/>
  <c r="AF18" i="27" a="1"/>
  <c r="AF18" i="27" s="1"/>
  <c r="M137" i="27" a="1"/>
  <c r="M137" i="27" s="1"/>
  <c r="R137" i="27" a="1"/>
  <c r="R137" i="27" s="1"/>
  <c r="V137" i="27" a="1"/>
  <c r="V137" i="27" s="1"/>
  <c r="AF137" i="27" a="1"/>
  <c r="AF137" i="27" s="1"/>
  <c r="S137" i="27" a="1"/>
  <c r="S137" i="27" s="1"/>
  <c r="W137" i="27" a="1"/>
  <c r="W137" i="27" s="1"/>
  <c r="AB137" i="27" a="1"/>
  <c r="AB137" i="27" s="1"/>
  <c r="AG137" i="27" a="1"/>
  <c r="AG137" i="27" s="1"/>
  <c r="N137" i="27" a="1"/>
  <c r="N137" i="27" s="1"/>
  <c r="X137" i="27" a="1"/>
  <c r="X137" i="27" s="1"/>
  <c r="AC137" i="27" a="1"/>
  <c r="AC137" i="27" s="1"/>
  <c r="AH137" i="27" a="1"/>
  <c r="AH137" i="27" s="1"/>
  <c r="O137" i="27" a="1"/>
  <c r="O137" i="27" s="1"/>
  <c r="T137" i="27" a="1"/>
  <c r="T137" i="27" s="1"/>
  <c r="Y137" i="27" a="1"/>
  <c r="Y137" i="27" s="1"/>
  <c r="AI137" i="27" a="1"/>
  <c r="AI137" i="27" s="1"/>
  <c r="P137" i="27" a="1"/>
  <c r="P137" i="27" s="1"/>
  <c r="U137" i="27" a="1"/>
  <c r="U137" i="27" s="1"/>
  <c r="Z137" i="27" a="1"/>
  <c r="Z137" i="27" s="1"/>
  <c r="AD137" i="27" a="1"/>
  <c r="AD137" i="27" s="1"/>
  <c r="L137" i="27" a="1"/>
  <c r="L137" i="27" s="1"/>
  <c r="Q137" i="27" a="1"/>
  <c r="Q137" i="27" s="1"/>
  <c r="AA137" i="27" a="1"/>
  <c r="AA137" i="27" s="1"/>
  <c r="AE137" i="27" a="1"/>
  <c r="AE137" i="27" s="1"/>
  <c r="L50" i="27" a="1"/>
  <c r="L50" i="27" s="1"/>
  <c r="P50" i="27" a="1"/>
  <c r="P50" i="27" s="1"/>
  <c r="U50" i="27" a="1"/>
  <c r="U50" i="27" s="1"/>
  <c r="Z50" i="27" a="1"/>
  <c r="Z50" i="27" s="1"/>
  <c r="Q50" i="27" a="1"/>
  <c r="Q50" i="27" s="1"/>
  <c r="V50" i="27" a="1"/>
  <c r="V50" i="27" s="1"/>
  <c r="AA50" i="27" a="1"/>
  <c r="AA50" i="27" s="1"/>
  <c r="AE50" i="27" a="1"/>
  <c r="AE50" i="27" s="1"/>
  <c r="M50" i="27" a="1"/>
  <c r="M50" i="27" s="1"/>
  <c r="R50" i="27" a="1"/>
  <c r="R50" i="27" s="1"/>
  <c r="AB50" i="27" a="1"/>
  <c r="AB50" i="27" s="1"/>
  <c r="AF50" i="27" a="1"/>
  <c r="AF50" i="27" s="1"/>
  <c r="N50" i="27" a="1"/>
  <c r="N50" i="27" s="1"/>
  <c r="S50" i="27" a="1"/>
  <c r="S50" i="27" s="1"/>
  <c r="W50" i="27" a="1"/>
  <c r="W50" i="27" s="1"/>
  <c r="AG50" i="27" a="1"/>
  <c r="AG50" i="27" s="1"/>
  <c r="T50" i="27" a="1"/>
  <c r="T50" i="27" s="1"/>
  <c r="X50" i="27" a="1"/>
  <c r="X50" i="27" s="1"/>
  <c r="AC50" i="27" a="1"/>
  <c r="AC50" i="27" s="1"/>
  <c r="AH50" i="27" a="1"/>
  <c r="AH50" i="27" s="1"/>
  <c r="O50" i="27" a="1"/>
  <c r="O50" i="27" s="1"/>
  <c r="Y50" i="27" a="1"/>
  <c r="Y50" i="27" s="1"/>
  <c r="AD50" i="27" a="1"/>
  <c r="AD50" i="27" s="1"/>
  <c r="AI50" i="27" a="1"/>
  <c r="AI50" i="27" s="1"/>
  <c r="L54" i="27" a="1"/>
  <c r="L54" i="27" s="1"/>
  <c r="P54" i="27" a="1"/>
  <c r="P54" i="27" s="1"/>
  <c r="U54" i="27" a="1"/>
  <c r="U54" i="27" s="1"/>
  <c r="Z54" i="27" a="1"/>
  <c r="Z54" i="27" s="1"/>
  <c r="Q54" i="27" a="1"/>
  <c r="Q54" i="27" s="1"/>
  <c r="V54" i="27" a="1"/>
  <c r="V54" i="27" s="1"/>
  <c r="AA54" i="27" a="1"/>
  <c r="AA54" i="27" s="1"/>
  <c r="AE54" i="27" a="1"/>
  <c r="AE54" i="27" s="1"/>
  <c r="M54" i="27" a="1"/>
  <c r="M54" i="27" s="1"/>
  <c r="R54" i="27" a="1"/>
  <c r="R54" i="27" s="1"/>
  <c r="AB54" i="27" a="1"/>
  <c r="AB54" i="27" s="1"/>
  <c r="AF54" i="27" a="1"/>
  <c r="AF54" i="27" s="1"/>
  <c r="N54" i="27" a="1"/>
  <c r="N54" i="27" s="1"/>
  <c r="S54" i="27" a="1"/>
  <c r="S54" i="27" s="1"/>
  <c r="W54" i="27" a="1"/>
  <c r="W54" i="27" s="1"/>
  <c r="AG54" i="27" a="1"/>
  <c r="AG54" i="27" s="1"/>
  <c r="T54" i="27" a="1"/>
  <c r="T54" i="27" s="1"/>
  <c r="X54" i="27" a="1"/>
  <c r="X54" i="27" s="1"/>
  <c r="AC54" i="27" a="1"/>
  <c r="AC54" i="27" s="1"/>
  <c r="AH54" i="27" a="1"/>
  <c r="AH54" i="27" s="1"/>
  <c r="O54" i="27" a="1"/>
  <c r="O54" i="27" s="1"/>
  <c r="Y54" i="27" a="1"/>
  <c r="Y54" i="27" s="1"/>
  <c r="AD54" i="27" a="1"/>
  <c r="AD54" i="27" s="1"/>
  <c r="AI54" i="27" a="1"/>
  <c r="AI54" i="27" s="1"/>
  <c r="M122" i="27" a="1"/>
  <c r="M122" i="27" s="1"/>
  <c r="R122" i="27" a="1"/>
  <c r="R122" i="27" s="1"/>
  <c r="V122" i="27" a="1"/>
  <c r="V122" i="27" s="1"/>
  <c r="AF122" i="27" a="1"/>
  <c r="AF122" i="27" s="1"/>
  <c r="S122" i="27" a="1"/>
  <c r="S122" i="27" s="1"/>
  <c r="W122" i="27" a="1"/>
  <c r="W122" i="27" s="1"/>
  <c r="AB122" i="27" a="1"/>
  <c r="AB122" i="27" s="1"/>
  <c r="AG122" i="27" a="1"/>
  <c r="AG122" i="27" s="1"/>
  <c r="N122" i="27" a="1"/>
  <c r="N122" i="27" s="1"/>
  <c r="X122" i="27" a="1"/>
  <c r="X122" i="27" s="1"/>
  <c r="AC122" i="27" a="1"/>
  <c r="AC122" i="27" s="1"/>
  <c r="AH122" i="27" a="1"/>
  <c r="AH122" i="27" s="1"/>
  <c r="O122" i="27" a="1"/>
  <c r="O122" i="27" s="1"/>
  <c r="T122" i="27" a="1"/>
  <c r="T122" i="27" s="1"/>
  <c r="Y122" i="27" a="1"/>
  <c r="Y122" i="27" s="1"/>
  <c r="AI122" i="27" a="1"/>
  <c r="AI122" i="27" s="1"/>
  <c r="P122" i="27" a="1"/>
  <c r="P122" i="27" s="1"/>
  <c r="U122" i="27" a="1"/>
  <c r="U122" i="27" s="1"/>
  <c r="Z122" i="27" a="1"/>
  <c r="Z122" i="27" s="1"/>
  <c r="AD122" i="27" a="1"/>
  <c r="AD122" i="27" s="1"/>
  <c r="L122" i="27" a="1"/>
  <c r="L122" i="27" s="1"/>
  <c r="Q122" i="27" a="1"/>
  <c r="Q122" i="27" s="1"/>
  <c r="AA122" i="27" a="1"/>
  <c r="AA122" i="27" s="1"/>
  <c r="AE122" i="27" a="1"/>
  <c r="AE122" i="27" s="1"/>
  <c r="M123" i="27" a="1"/>
  <c r="M123" i="27" s="1"/>
  <c r="R123" i="27" a="1"/>
  <c r="R123" i="27" s="1"/>
  <c r="V123" i="27" a="1"/>
  <c r="V123" i="27" s="1"/>
  <c r="AF123" i="27" a="1"/>
  <c r="AF123" i="27" s="1"/>
  <c r="S123" i="27" a="1"/>
  <c r="S123" i="27" s="1"/>
  <c r="W123" i="27" a="1"/>
  <c r="W123" i="27" s="1"/>
  <c r="AB123" i="27" a="1"/>
  <c r="AB123" i="27" s="1"/>
  <c r="AG123" i="27" a="1"/>
  <c r="AG123" i="27" s="1"/>
  <c r="N123" i="27" a="1"/>
  <c r="N123" i="27" s="1"/>
  <c r="X123" i="27" a="1"/>
  <c r="X123" i="27" s="1"/>
  <c r="AC123" i="27" a="1"/>
  <c r="AC123" i="27" s="1"/>
  <c r="AH123" i="27" a="1"/>
  <c r="AH123" i="27" s="1"/>
  <c r="O123" i="27" a="1"/>
  <c r="O123" i="27" s="1"/>
  <c r="T123" i="27" a="1"/>
  <c r="T123" i="27" s="1"/>
  <c r="Y123" i="27" a="1"/>
  <c r="Y123" i="27" s="1"/>
  <c r="AI123" i="27" a="1"/>
  <c r="AI123" i="27" s="1"/>
  <c r="P123" i="27" a="1"/>
  <c r="P123" i="27" s="1"/>
  <c r="U123" i="27" a="1"/>
  <c r="U123" i="27" s="1"/>
  <c r="Z123" i="27" a="1"/>
  <c r="Z123" i="27" s="1"/>
  <c r="AD123" i="27" a="1"/>
  <c r="AD123" i="27" s="1"/>
  <c r="L123" i="27" a="1"/>
  <c r="L123" i="27" s="1"/>
  <c r="Q123" i="27" a="1"/>
  <c r="Q123" i="27" s="1"/>
  <c r="AA123" i="27" a="1"/>
  <c r="AA123" i="27" s="1"/>
  <c r="AE123" i="27" a="1"/>
  <c r="AE123" i="27" s="1"/>
  <c r="O75" i="27" a="1"/>
  <c r="O75" i="27" s="1"/>
  <c r="U75" i="27" a="1"/>
  <c r="U75" i="27" s="1"/>
  <c r="Y75" i="27" a="1"/>
  <c r="Y75" i="27" s="1"/>
  <c r="AI75" i="27" a="1"/>
  <c r="AI75" i="27" s="1"/>
  <c r="P75" i="27" a="1"/>
  <c r="P75" i="27" s="1"/>
  <c r="V75" i="27" a="1"/>
  <c r="V75" i="27" s="1"/>
  <c r="Z75" i="27" a="1"/>
  <c r="Z75" i="27" s="1"/>
  <c r="AE75" i="27" a="1"/>
  <c r="AE75" i="27" s="1"/>
  <c r="Q75" i="27" a="1"/>
  <c r="Q75" i="27" s="1"/>
  <c r="AA75" i="27" a="1"/>
  <c r="AA75" i="27" s="1"/>
  <c r="AF75" i="27" a="1"/>
  <c r="AF75" i="27" s="1"/>
  <c r="L75" i="27" a="1"/>
  <c r="L75" i="27" s="1"/>
  <c r="R75" i="27" a="1"/>
  <c r="R75" i="27" s="1"/>
  <c r="W75" i="27" a="1"/>
  <c r="W75" i="27" s="1"/>
  <c r="AB75" i="27" a="1"/>
  <c r="AB75" i="27" s="1"/>
  <c r="M75" i="27" a="1"/>
  <c r="M75" i="27" s="1"/>
  <c r="S75" i="27" a="1"/>
  <c r="S75" i="27" s="1"/>
  <c r="X75" i="27" a="1"/>
  <c r="X75" i="27" s="1"/>
  <c r="AC75" i="27" a="1"/>
  <c r="AC75" i="27" s="1"/>
  <c r="AG75" i="27" a="1"/>
  <c r="AG75" i="27" s="1"/>
  <c r="N75" i="27" a="1"/>
  <c r="N75" i="27" s="1"/>
  <c r="T75" i="27" a="1"/>
  <c r="T75" i="27" s="1"/>
  <c r="AD75" i="27" a="1"/>
  <c r="AD75" i="27" s="1"/>
  <c r="AH75" i="27" a="1"/>
  <c r="AH75" i="27" s="1"/>
  <c r="M112" i="27" a="1"/>
  <c r="M112" i="27" s="1"/>
  <c r="Q112" i="27" a="1"/>
  <c r="Q112" i="27" s="1"/>
  <c r="U112" i="27" a="1"/>
  <c r="U112" i="27" s="1"/>
  <c r="AA112" i="27" a="1"/>
  <c r="AA112" i="27" s="1"/>
  <c r="AG112" i="27" a="1"/>
  <c r="AG112" i="27" s="1"/>
  <c r="V112" i="27" a="1"/>
  <c r="V112" i="27" s="1"/>
  <c r="AB112" i="27" a="1"/>
  <c r="AB112" i="27" s="1"/>
  <c r="AH112" i="27" a="1"/>
  <c r="AH112" i="27" s="1"/>
  <c r="N112" i="27" a="1"/>
  <c r="N112" i="27" s="1"/>
  <c r="R112" i="27" a="1"/>
  <c r="R112" i="27" s="1"/>
  <c r="W112" i="27" a="1"/>
  <c r="W112" i="27" s="1"/>
  <c r="AC112" i="27" a="1"/>
  <c r="AC112" i="27" s="1"/>
  <c r="AI112" i="27" a="1"/>
  <c r="AI112" i="27" s="1"/>
  <c r="O112" i="27" a="1"/>
  <c r="O112" i="27" s="1"/>
  <c r="S112" i="27" a="1"/>
  <c r="S112" i="27" s="1"/>
  <c r="X112" i="27" a="1"/>
  <c r="X112" i="27" s="1"/>
  <c r="AD112" i="27" a="1"/>
  <c r="AD112" i="27" s="1"/>
  <c r="Y112" i="27" a="1"/>
  <c r="Y112" i="27" s="1"/>
  <c r="AE112" i="27" a="1"/>
  <c r="AE112" i="27" s="1"/>
  <c r="L112" i="27" a="1"/>
  <c r="L112" i="27" s="1"/>
  <c r="P112" i="27" a="1"/>
  <c r="P112" i="27" s="1"/>
  <c r="T112" i="27" a="1"/>
  <c r="T112" i="27" s="1"/>
  <c r="Z112" i="27" a="1"/>
  <c r="Z112" i="27" s="1"/>
  <c r="AF112" i="27" a="1"/>
  <c r="AF112" i="27" s="1"/>
  <c r="O64" i="27" a="1"/>
  <c r="O64" i="27" s="1"/>
  <c r="Y64" i="27" a="1"/>
  <c r="Y64" i="27" s="1"/>
  <c r="AD64" i="27" a="1"/>
  <c r="AD64" i="27" s="1"/>
  <c r="AI64" i="27" a="1"/>
  <c r="AI64" i="27" s="1"/>
  <c r="L64" i="27" a="1"/>
  <c r="L64" i="27" s="1"/>
  <c r="P64" i="27" a="1"/>
  <c r="P64" i="27" s="1"/>
  <c r="U64" i="27" a="1"/>
  <c r="U64" i="27" s="1"/>
  <c r="Z64" i="27" a="1"/>
  <c r="Z64" i="27" s="1"/>
  <c r="Q64" i="27" a="1"/>
  <c r="Q64" i="27" s="1"/>
  <c r="V64" i="27" a="1"/>
  <c r="V64" i="27" s="1"/>
  <c r="AA64" i="27" a="1"/>
  <c r="AA64" i="27" s="1"/>
  <c r="AE64" i="27" a="1"/>
  <c r="AE64" i="27" s="1"/>
  <c r="M64" i="27" a="1"/>
  <c r="M64" i="27" s="1"/>
  <c r="R64" i="27" a="1"/>
  <c r="R64" i="27" s="1"/>
  <c r="AB64" i="27" a="1"/>
  <c r="AB64" i="27" s="1"/>
  <c r="AF64" i="27" a="1"/>
  <c r="AF64" i="27" s="1"/>
  <c r="N64" i="27" a="1"/>
  <c r="N64" i="27" s="1"/>
  <c r="S64" i="27" a="1"/>
  <c r="S64" i="27" s="1"/>
  <c r="W64" i="27" a="1"/>
  <c r="W64" i="27" s="1"/>
  <c r="AG64" i="27" a="1"/>
  <c r="AG64" i="27" s="1"/>
  <c r="T64" i="27" a="1"/>
  <c r="T64" i="27" s="1"/>
  <c r="X64" i="27" a="1"/>
  <c r="X64" i="27" s="1"/>
  <c r="AC64" i="27" a="1"/>
  <c r="AC64" i="27" s="1"/>
  <c r="AH64" i="27" a="1"/>
  <c r="AH64" i="27" s="1"/>
  <c r="L16" i="27" a="1"/>
  <c r="L16" i="27" s="1"/>
  <c r="R16" i="27" a="1"/>
  <c r="R16" i="27" s="1"/>
  <c r="W16" i="27" a="1"/>
  <c r="W16" i="27" s="1"/>
  <c r="AG16" i="27" a="1"/>
  <c r="AG16" i="27" s="1"/>
  <c r="M16" i="27" a="1"/>
  <c r="M16" i="27" s="1"/>
  <c r="S16" i="27" a="1"/>
  <c r="S16" i="27" s="1"/>
  <c r="X16" i="27" a="1"/>
  <c r="X16" i="27" s="1"/>
  <c r="AB16" i="27" a="1"/>
  <c r="AB16" i="27" s="1"/>
  <c r="N16" i="27" a="1"/>
  <c r="N16" i="27" s="1"/>
  <c r="Y16" i="27" a="1"/>
  <c r="Y16" i="27" s="1"/>
  <c r="AC16" i="27" a="1"/>
  <c r="AC16" i="27" s="1"/>
  <c r="AH16" i="27" a="1"/>
  <c r="AH16" i="27" s="1"/>
  <c r="O16" i="27" a="1"/>
  <c r="O16" i="27" s="1"/>
  <c r="T16" i="27" a="1"/>
  <c r="T16" i="27" s="1"/>
  <c r="AD16" i="27" a="1"/>
  <c r="AD16" i="27" s="1"/>
  <c r="AI16" i="27" a="1"/>
  <c r="AI16" i="27" s="1"/>
  <c r="P16" i="27" a="1"/>
  <c r="P16" i="27" s="1"/>
  <c r="U16" i="27" a="1"/>
  <c r="U16" i="27" s="1"/>
  <c r="Z16" i="27" a="1"/>
  <c r="Z16" i="27" s="1"/>
  <c r="AE16" i="27" a="1"/>
  <c r="AE16" i="27" s="1"/>
  <c r="Q16" i="27" a="1"/>
  <c r="Q16" i="27" s="1"/>
  <c r="V16" i="27" a="1"/>
  <c r="V16" i="27" s="1"/>
  <c r="AA16" i="27" a="1"/>
  <c r="AA16" i="27" s="1"/>
  <c r="AF16" i="27" a="1"/>
  <c r="AF16" i="27" s="1"/>
  <c r="M45" i="27" a="1"/>
  <c r="M45" i="27" s="1"/>
  <c r="R45" i="27" a="1"/>
  <c r="R45" i="27" s="1"/>
  <c r="W45" i="27" a="1"/>
  <c r="W45" i="27" s="1"/>
  <c r="AC45" i="27" a="1"/>
  <c r="AC45" i="27" s="1"/>
  <c r="AH45" i="27" a="1"/>
  <c r="AH45" i="27" s="1"/>
  <c r="N45" i="27" a="1"/>
  <c r="N45" i="27" s="1"/>
  <c r="S45" i="27" a="1"/>
  <c r="S45" i="27" s="1"/>
  <c r="X45" i="27" a="1"/>
  <c r="X45" i="27" s="1"/>
  <c r="AD45" i="27" a="1"/>
  <c r="AD45" i="27" s="1"/>
  <c r="AI45" i="27" a="1"/>
  <c r="AI45" i="27" s="1"/>
  <c r="T45" i="27" a="1"/>
  <c r="T45" i="27" s="1"/>
  <c r="Y45" i="27" a="1"/>
  <c r="Y45" i="27" s="1"/>
  <c r="O45" i="27" a="1"/>
  <c r="O45" i="27" s="1"/>
  <c r="U45" i="27" a="1"/>
  <c r="U45" i="27" s="1"/>
  <c r="Z45" i="27" a="1"/>
  <c r="Z45" i="27" s="1"/>
  <c r="AE45" i="27" a="1"/>
  <c r="AE45" i="27" s="1"/>
  <c r="P45" i="27" a="1"/>
  <c r="P45" i="27" s="1"/>
  <c r="V45" i="27" a="1"/>
  <c r="V45" i="27" s="1"/>
  <c r="AA45" i="27" a="1"/>
  <c r="AA45" i="27" s="1"/>
  <c r="AF45" i="27" a="1"/>
  <c r="AF45" i="27" s="1"/>
  <c r="L45" i="27" a="1"/>
  <c r="L45" i="27" s="1"/>
  <c r="Q45" i="27" a="1"/>
  <c r="Q45" i="27" s="1"/>
  <c r="AB45" i="27" a="1"/>
  <c r="AB45" i="27" s="1"/>
  <c r="AG45" i="27" a="1"/>
  <c r="AG45" i="27" s="1"/>
  <c r="Q105" i="27" a="1"/>
  <c r="Q105" i="27" s="1"/>
  <c r="U105" i="27" a="1"/>
  <c r="U105" i="27" s="1"/>
  <c r="Z105" i="27" a="1"/>
  <c r="Z105" i="27" s="1"/>
  <c r="AE105" i="27" a="1"/>
  <c r="AE105" i="27" s="1"/>
  <c r="L105" i="27" a="1"/>
  <c r="L105" i="27" s="1"/>
  <c r="V105" i="27" a="1"/>
  <c r="V105" i="27" s="1"/>
  <c r="AA105" i="27" a="1"/>
  <c r="AA105" i="27" s="1"/>
  <c r="AF105" i="27" a="1"/>
  <c r="AF105" i="27" s="1"/>
  <c r="M105" i="27" a="1"/>
  <c r="M105" i="27" s="1"/>
  <c r="R105" i="27" a="1"/>
  <c r="R105" i="27" s="1"/>
  <c r="W105" i="27" a="1"/>
  <c r="W105" i="27" s="1"/>
  <c r="AG105" i="27" a="1"/>
  <c r="AG105" i="27" s="1"/>
  <c r="N105" i="27" a="1"/>
  <c r="N105" i="27" s="1"/>
  <c r="S105" i="27" a="1"/>
  <c r="S105" i="27" s="1"/>
  <c r="X105" i="27" a="1"/>
  <c r="X105" i="27" s="1"/>
  <c r="AB105" i="27" a="1"/>
  <c r="AB105" i="27" s="1"/>
  <c r="O105" i="27" a="1"/>
  <c r="O105" i="27" s="1"/>
  <c r="Y105" i="27" a="1"/>
  <c r="Y105" i="27" s="1"/>
  <c r="AC105" i="27" a="1"/>
  <c r="AC105" i="27" s="1"/>
  <c r="AH105" i="27" a="1"/>
  <c r="AH105" i="27" s="1"/>
  <c r="P105" i="27" a="1"/>
  <c r="P105" i="27" s="1"/>
  <c r="T105" i="27" a="1"/>
  <c r="T105" i="27" s="1"/>
  <c r="AD105" i="27" a="1"/>
  <c r="AD105" i="27" s="1"/>
  <c r="AI105" i="27" a="1"/>
  <c r="AI105" i="27" s="1"/>
  <c r="Q99" i="27" a="1"/>
  <c r="Q99" i="27" s="1"/>
  <c r="U99" i="27" a="1"/>
  <c r="U99" i="27" s="1"/>
  <c r="Z99" i="27" a="1"/>
  <c r="Z99" i="27" s="1"/>
  <c r="AE99" i="27" a="1"/>
  <c r="AE99" i="27" s="1"/>
  <c r="L99" i="27" a="1"/>
  <c r="L99" i="27" s="1"/>
  <c r="V99" i="27" a="1"/>
  <c r="V99" i="27" s="1"/>
  <c r="AA99" i="27" a="1"/>
  <c r="AA99" i="27" s="1"/>
  <c r="AF99" i="27" a="1"/>
  <c r="AF99" i="27" s="1"/>
  <c r="M99" i="27" a="1"/>
  <c r="M99" i="27" s="1"/>
  <c r="R99" i="27" a="1"/>
  <c r="R99" i="27" s="1"/>
  <c r="W99" i="27" a="1"/>
  <c r="W99" i="27" s="1"/>
  <c r="AG99" i="27" a="1"/>
  <c r="AG99" i="27" s="1"/>
  <c r="N99" i="27" a="1"/>
  <c r="N99" i="27" s="1"/>
  <c r="S99" i="27" a="1"/>
  <c r="S99" i="27" s="1"/>
  <c r="X99" i="27" a="1"/>
  <c r="X99" i="27" s="1"/>
  <c r="AB99" i="27" a="1"/>
  <c r="AB99" i="27" s="1"/>
  <c r="O99" i="27" a="1"/>
  <c r="O99" i="27" s="1"/>
  <c r="Y99" i="27" a="1"/>
  <c r="Y99" i="27" s="1"/>
  <c r="AC99" i="27" a="1"/>
  <c r="AC99" i="27" s="1"/>
  <c r="AH99" i="27" a="1"/>
  <c r="AH99" i="27" s="1"/>
  <c r="P99" i="27" a="1"/>
  <c r="P99" i="27" s="1"/>
  <c r="T99" i="27" a="1"/>
  <c r="T99" i="27" s="1"/>
  <c r="AD99" i="27" a="1"/>
  <c r="AD99" i="27" s="1"/>
  <c r="AI99" i="27" a="1"/>
  <c r="AI99" i="27" s="1"/>
  <c r="M135" i="27" a="1"/>
  <c r="M135" i="27" s="1"/>
  <c r="R135" i="27" a="1"/>
  <c r="R135" i="27" s="1"/>
  <c r="V135" i="27" a="1"/>
  <c r="V135" i="27" s="1"/>
  <c r="AF135" i="27" a="1"/>
  <c r="AF135" i="27" s="1"/>
  <c r="S135" i="27" a="1"/>
  <c r="S135" i="27" s="1"/>
  <c r="W135" i="27" a="1"/>
  <c r="W135" i="27" s="1"/>
  <c r="AB135" i="27" a="1"/>
  <c r="AB135" i="27" s="1"/>
  <c r="AG135" i="27" a="1"/>
  <c r="AG135" i="27" s="1"/>
  <c r="N135" i="27" a="1"/>
  <c r="N135" i="27" s="1"/>
  <c r="X135" i="27" a="1"/>
  <c r="X135" i="27" s="1"/>
  <c r="AC135" i="27" a="1"/>
  <c r="AC135" i="27" s="1"/>
  <c r="AH135" i="27" a="1"/>
  <c r="AH135" i="27" s="1"/>
  <c r="O135" i="27" a="1"/>
  <c r="O135" i="27" s="1"/>
  <c r="T135" i="27" a="1"/>
  <c r="T135" i="27" s="1"/>
  <c r="Y135" i="27" a="1"/>
  <c r="Y135" i="27" s="1"/>
  <c r="AI135" i="27" a="1"/>
  <c r="AI135" i="27" s="1"/>
  <c r="P135" i="27" a="1"/>
  <c r="P135" i="27" s="1"/>
  <c r="U135" i="27" a="1"/>
  <c r="U135" i="27" s="1"/>
  <c r="Z135" i="27" a="1"/>
  <c r="Z135" i="27" s="1"/>
  <c r="AD135" i="27" a="1"/>
  <c r="AD135" i="27" s="1"/>
  <c r="L135" i="27" a="1"/>
  <c r="L135" i="27" s="1"/>
  <c r="Q135" i="27" a="1"/>
  <c r="Q135" i="27" s="1"/>
  <c r="AA135" i="27" a="1"/>
  <c r="AA135" i="27" s="1"/>
  <c r="AE135" i="27" a="1"/>
  <c r="AE135" i="27" s="1"/>
  <c r="P40" i="27" a="1"/>
  <c r="P40" i="27" s="1"/>
  <c r="U40" i="27" a="1"/>
  <c r="U40" i="27" s="1"/>
  <c r="Z40" i="27" a="1"/>
  <c r="Z40" i="27" s="1"/>
  <c r="AF40" i="27" a="1"/>
  <c r="AF40" i="27" s="1"/>
  <c r="Q40" i="27" a="1"/>
  <c r="Q40" i="27" s="1"/>
  <c r="V40" i="27" a="1"/>
  <c r="V40" i="27" s="1"/>
  <c r="AA40" i="27" a="1"/>
  <c r="AA40" i="27" s="1"/>
  <c r="AG40" i="27" a="1"/>
  <c r="AG40" i="27" s="1"/>
  <c r="L40" i="27" a="1"/>
  <c r="L40" i="27" s="1"/>
  <c r="W40" i="27" a="1"/>
  <c r="W40" i="27" s="1"/>
  <c r="AB40" i="27" a="1"/>
  <c r="AB40" i="27" s="1"/>
  <c r="M40" i="27" a="1"/>
  <c r="M40" i="27" s="1"/>
  <c r="R40" i="27" a="1"/>
  <c r="R40" i="27" s="1"/>
  <c r="X40" i="27" a="1"/>
  <c r="X40" i="27" s="1"/>
  <c r="AC40" i="27" a="1"/>
  <c r="AC40" i="27" s="1"/>
  <c r="AH40" i="27" a="1"/>
  <c r="AH40" i="27" s="1"/>
  <c r="N40" i="27" a="1"/>
  <c r="N40" i="27" s="1"/>
  <c r="S40" i="27" a="1"/>
  <c r="S40" i="27" s="1"/>
  <c r="Y40" i="27" a="1"/>
  <c r="Y40" i="27" s="1"/>
  <c r="AD40" i="27" a="1"/>
  <c r="AD40" i="27" s="1"/>
  <c r="AI40" i="27" a="1"/>
  <c r="AI40" i="27" s="1"/>
  <c r="O40" i="27" a="1"/>
  <c r="O40" i="27" s="1"/>
  <c r="T40" i="27" a="1"/>
  <c r="T40" i="27" s="1"/>
  <c r="AE40" i="27" a="1"/>
  <c r="AE40" i="27" s="1"/>
  <c r="M138" i="27" a="1"/>
  <c r="M138" i="27" s="1"/>
  <c r="R138" i="27" a="1"/>
  <c r="R138" i="27" s="1"/>
  <c r="V138" i="27" a="1"/>
  <c r="V138" i="27" s="1"/>
  <c r="AF138" i="27" a="1"/>
  <c r="AF138" i="27" s="1"/>
  <c r="S138" i="27" a="1"/>
  <c r="S138" i="27" s="1"/>
  <c r="W138" i="27" a="1"/>
  <c r="W138" i="27" s="1"/>
  <c r="AB138" i="27" a="1"/>
  <c r="AB138" i="27" s="1"/>
  <c r="AG138" i="27" a="1"/>
  <c r="AG138" i="27" s="1"/>
  <c r="N138" i="27" a="1"/>
  <c r="N138" i="27" s="1"/>
  <c r="X138" i="27" a="1"/>
  <c r="X138" i="27" s="1"/>
  <c r="AC138" i="27" a="1"/>
  <c r="AC138" i="27" s="1"/>
  <c r="AH138" i="27" a="1"/>
  <c r="AH138" i="27" s="1"/>
  <c r="O138" i="27" a="1"/>
  <c r="O138" i="27" s="1"/>
  <c r="T138" i="27" a="1"/>
  <c r="T138" i="27" s="1"/>
  <c r="Y138" i="27" a="1"/>
  <c r="Y138" i="27" s="1"/>
  <c r="AI138" i="27" a="1"/>
  <c r="AI138" i="27" s="1"/>
  <c r="P138" i="27" a="1"/>
  <c r="P138" i="27" s="1"/>
  <c r="U138" i="27" a="1"/>
  <c r="U138" i="27" s="1"/>
  <c r="Z138" i="27" a="1"/>
  <c r="Z138" i="27" s="1"/>
  <c r="AD138" i="27" a="1"/>
  <c r="AD138" i="27" s="1"/>
  <c r="L138" i="27" a="1"/>
  <c r="L138" i="27" s="1"/>
  <c r="Q138" i="27" a="1"/>
  <c r="Q138" i="27" s="1"/>
  <c r="AA138" i="27" a="1"/>
  <c r="AA138" i="27" s="1"/>
  <c r="AE138" i="27" a="1"/>
  <c r="AE138" i="27" s="1"/>
  <c r="Q85" i="27" a="1"/>
  <c r="Q85" i="27" s="1"/>
  <c r="U85" i="27" a="1"/>
  <c r="U85" i="27" s="1"/>
  <c r="Z85" i="27" a="1"/>
  <c r="Z85" i="27" s="1"/>
  <c r="AE85" i="27" a="1"/>
  <c r="AE85" i="27" s="1"/>
  <c r="L85" i="27" a="1"/>
  <c r="L85" i="27" s="1"/>
  <c r="V85" i="27" a="1"/>
  <c r="V85" i="27" s="1"/>
  <c r="AA85" i="27" a="1"/>
  <c r="AA85" i="27" s="1"/>
  <c r="AF85" i="27" a="1"/>
  <c r="AF85" i="27" s="1"/>
  <c r="M85" i="27" a="1"/>
  <c r="M85" i="27" s="1"/>
  <c r="R85" i="27" a="1"/>
  <c r="R85" i="27" s="1"/>
  <c r="W85" i="27" a="1"/>
  <c r="W85" i="27" s="1"/>
  <c r="AG85" i="27" a="1"/>
  <c r="AG85" i="27" s="1"/>
  <c r="N85" i="27" a="1"/>
  <c r="N85" i="27" s="1"/>
  <c r="S85" i="27" a="1"/>
  <c r="S85" i="27" s="1"/>
  <c r="X85" i="27" a="1"/>
  <c r="X85" i="27" s="1"/>
  <c r="AB85" i="27" a="1"/>
  <c r="AB85" i="27" s="1"/>
  <c r="O85" i="27" a="1"/>
  <c r="O85" i="27" s="1"/>
  <c r="Y85" i="27" a="1"/>
  <c r="Y85" i="27" s="1"/>
  <c r="AC85" i="27" a="1"/>
  <c r="AC85" i="27" s="1"/>
  <c r="AH85" i="27" a="1"/>
  <c r="AH85" i="27" s="1"/>
  <c r="P85" i="27" a="1"/>
  <c r="P85" i="27" s="1"/>
  <c r="T85" i="27" a="1"/>
  <c r="T85" i="27" s="1"/>
  <c r="AD85" i="27" a="1"/>
  <c r="AD85" i="27" s="1"/>
  <c r="AI85" i="27" a="1"/>
  <c r="AI85" i="27" s="1"/>
  <c r="O113" i="27" a="1"/>
  <c r="O113" i="27" s="1"/>
  <c r="U113" i="27" a="1"/>
  <c r="U113" i="27" s="1"/>
  <c r="AA113" i="27" a="1"/>
  <c r="AA113" i="27" s="1"/>
  <c r="AG113" i="27" a="1"/>
  <c r="AG113" i="27" s="1"/>
  <c r="P113" i="27" a="1"/>
  <c r="P113" i="27" s="1"/>
  <c r="V113" i="27" a="1"/>
  <c r="V113" i="27" s="1"/>
  <c r="AB113" i="27" a="1"/>
  <c r="AB113" i="27" s="1"/>
  <c r="AH113" i="27" a="1"/>
  <c r="AH113" i="27" s="1"/>
  <c r="Q113" i="27" a="1"/>
  <c r="Q113" i="27" s="1"/>
  <c r="W113" i="27" a="1"/>
  <c r="W113" i="27" s="1"/>
  <c r="AC113" i="27" a="1"/>
  <c r="AC113" i="27" s="1"/>
  <c r="AI113" i="27" a="1"/>
  <c r="AI113" i="27" s="1"/>
  <c r="L113" i="27" a="1"/>
  <c r="L113" i="27" s="1"/>
  <c r="R113" i="27" a="1"/>
  <c r="R113" i="27" s="1"/>
  <c r="X113" i="27" a="1"/>
  <c r="X113" i="27" s="1"/>
  <c r="AD113" i="27" a="1"/>
  <c r="AD113" i="27" s="1"/>
  <c r="M113" i="27" a="1"/>
  <c r="M113" i="27" s="1"/>
  <c r="S113" i="27" a="1"/>
  <c r="S113" i="27" s="1"/>
  <c r="Y113" i="27" a="1"/>
  <c r="Y113" i="27" s="1"/>
  <c r="AE113" i="27" a="1"/>
  <c r="AE113" i="27" s="1"/>
  <c r="N113" i="27" a="1"/>
  <c r="N113" i="27" s="1"/>
  <c r="T113" i="27" a="1"/>
  <c r="T113" i="27" s="1"/>
  <c r="Z113" i="27" a="1"/>
  <c r="Z113" i="27" s="1"/>
  <c r="AF113" i="27" a="1"/>
  <c r="AF113" i="27" s="1"/>
  <c r="L55" i="27" a="1"/>
  <c r="L55" i="27" s="1"/>
  <c r="P55" i="27" a="1"/>
  <c r="P55" i="27" s="1"/>
  <c r="U55" i="27" a="1"/>
  <c r="U55" i="27" s="1"/>
  <c r="Z55" i="27" a="1"/>
  <c r="Z55" i="27" s="1"/>
  <c r="Q55" i="27" a="1"/>
  <c r="Q55" i="27" s="1"/>
  <c r="V55" i="27" a="1"/>
  <c r="V55" i="27" s="1"/>
  <c r="AA55" i="27" a="1"/>
  <c r="AA55" i="27" s="1"/>
  <c r="AE55" i="27" a="1"/>
  <c r="AE55" i="27" s="1"/>
  <c r="M55" i="27" a="1"/>
  <c r="M55" i="27" s="1"/>
  <c r="R55" i="27" a="1"/>
  <c r="R55" i="27" s="1"/>
  <c r="AB55" i="27" a="1"/>
  <c r="AB55" i="27" s="1"/>
  <c r="AF55" i="27" a="1"/>
  <c r="AF55" i="27" s="1"/>
  <c r="N55" i="27" a="1"/>
  <c r="N55" i="27" s="1"/>
  <c r="S55" i="27" a="1"/>
  <c r="S55" i="27" s="1"/>
  <c r="W55" i="27" a="1"/>
  <c r="W55" i="27" s="1"/>
  <c r="AG55" i="27" a="1"/>
  <c r="AG55" i="27" s="1"/>
  <c r="T55" i="27" a="1"/>
  <c r="T55" i="27" s="1"/>
  <c r="X55" i="27" a="1"/>
  <c r="X55" i="27" s="1"/>
  <c r="AC55" i="27" a="1"/>
  <c r="AC55" i="27" s="1"/>
  <c r="AH55" i="27" a="1"/>
  <c r="AH55" i="27" s="1"/>
  <c r="O55" i="27" a="1"/>
  <c r="O55" i="27" s="1"/>
  <c r="Y55" i="27" a="1"/>
  <c r="Y55" i="27" s="1"/>
  <c r="AD55" i="27" a="1"/>
  <c r="AD55" i="27" s="1"/>
  <c r="AI55" i="27" a="1"/>
  <c r="AI55" i="27" s="1"/>
  <c r="Q92" i="27" a="1"/>
  <c r="Q92" i="27" s="1"/>
  <c r="U92" i="27" a="1"/>
  <c r="U92" i="27" s="1"/>
  <c r="Z92" i="27" a="1"/>
  <c r="Z92" i="27" s="1"/>
  <c r="AE92" i="27" a="1"/>
  <c r="AE92" i="27" s="1"/>
  <c r="L92" i="27" a="1"/>
  <c r="L92" i="27" s="1"/>
  <c r="V92" i="27" a="1"/>
  <c r="V92" i="27" s="1"/>
  <c r="AA92" i="27" a="1"/>
  <c r="AA92" i="27" s="1"/>
  <c r="AF92" i="27" a="1"/>
  <c r="AF92" i="27" s="1"/>
  <c r="M92" i="27" a="1"/>
  <c r="M92" i="27" s="1"/>
  <c r="R92" i="27" a="1"/>
  <c r="R92" i="27" s="1"/>
  <c r="W92" i="27" a="1"/>
  <c r="W92" i="27" s="1"/>
  <c r="AG92" i="27" a="1"/>
  <c r="AG92" i="27" s="1"/>
  <c r="N92" i="27" a="1"/>
  <c r="N92" i="27" s="1"/>
  <c r="S92" i="27" a="1"/>
  <c r="S92" i="27" s="1"/>
  <c r="X92" i="27" a="1"/>
  <c r="X92" i="27" s="1"/>
  <c r="AB92" i="27" a="1"/>
  <c r="AB92" i="27" s="1"/>
  <c r="O92" i="27" a="1"/>
  <c r="O92" i="27" s="1"/>
  <c r="Y92" i="27" a="1"/>
  <c r="Y92" i="27" s="1"/>
  <c r="AC92" i="27" a="1"/>
  <c r="AC92" i="27" s="1"/>
  <c r="AH92" i="27" a="1"/>
  <c r="AH92" i="27" s="1"/>
  <c r="P92" i="27" a="1"/>
  <c r="P92" i="27" s="1"/>
  <c r="T92" i="27" a="1"/>
  <c r="T92" i="27" s="1"/>
  <c r="AD92" i="27" a="1"/>
  <c r="AD92" i="27" s="1"/>
  <c r="AI92" i="27" a="1"/>
  <c r="AI92" i="27" s="1"/>
  <c r="O44" i="27" a="1"/>
  <c r="O44" i="27" s="1"/>
  <c r="U44" i="27" a="1"/>
  <c r="U44" i="27" s="1"/>
  <c r="Z44" i="27" a="1"/>
  <c r="Z44" i="27" s="1"/>
  <c r="AE44" i="27" a="1"/>
  <c r="AE44" i="27" s="1"/>
  <c r="P44" i="27" a="1"/>
  <c r="P44" i="27" s="1"/>
  <c r="V44" i="27" a="1"/>
  <c r="V44" i="27" s="1"/>
  <c r="AA44" i="27" a="1"/>
  <c r="AA44" i="27" s="1"/>
  <c r="AF44" i="27" a="1"/>
  <c r="AF44" i="27" s="1"/>
  <c r="L44" i="27" a="1"/>
  <c r="L44" i="27" s="1"/>
  <c r="Q44" i="27" a="1"/>
  <c r="Q44" i="27" s="1"/>
  <c r="AB44" i="27" a="1"/>
  <c r="AB44" i="27" s="1"/>
  <c r="AG44" i="27" a="1"/>
  <c r="AG44" i="27" s="1"/>
  <c r="M44" i="27" a="1"/>
  <c r="M44" i="27" s="1"/>
  <c r="R44" i="27" a="1"/>
  <c r="R44" i="27" s="1"/>
  <c r="W44" i="27" a="1"/>
  <c r="W44" i="27" s="1"/>
  <c r="AC44" i="27" a="1"/>
  <c r="AC44" i="27" s="1"/>
  <c r="AH44" i="27" a="1"/>
  <c r="AH44" i="27" s="1"/>
  <c r="N44" i="27" a="1"/>
  <c r="N44" i="27" s="1"/>
  <c r="S44" i="27" a="1"/>
  <c r="S44" i="27" s="1"/>
  <c r="X44" i="27" a="1"/>
  <c r="X44" i="27" s="1"/>
  <c r="AD44" i="27" a="1"/>
  <c r="AD44" i="27" s="1"/>
  <c r="AI44" i="27" a="1"/>
  <c r="AI44" i="27" s="1"/>
  <c r="T44" i="27" a="1"/>
  <c r="T44" i="27" s="1"/>
  <c r="Y44" i="27" a="1"/>
  <c r="Y44" i="27" s="1"/>
  <c r="O9" i="27" a="1"/>
  <c r="O9" i="27" s="1"/>
  <c r="T9" i="27" a="1"/>
  <c r="T9" i="27" s="1"/>
  <c r="Y9" i="27" a="1"/>
  <c r="Y9" i="27" s="1"/>
  <c r="AC9" i="27" a="1"/>
  <c r="AC9" i="27" s="1"/>
  <c r="P9" i="27" a="1"/>
  <c r="P9" i="27" s="1"/>
  <c r="Z9" i="27" a="1"/>
  <c r="Z9" i="27" s="1"/>
  <c r="AD9" i="27" a="1"/>
  <c r="AD9" i="27" s="1"/>
  <c r="AI9" i="27" a="1"/>
  <c r="AI9" i="27" s="1"/>
  <c r="L9" i="27" a="1"/>
  <c r="L9" i="27" s="1"/>
  <c r="Q9" i="27" a="1"/>
  <c r="Q9" i="27" s="1"/>
  <c r="U9" i="27" a="1"/>
  <c r="U9" i="27" s="1"/>
  <c r="AE9" i="27" a="1"/>
  <c r="AE9" i="27" s="1"/>
  <c r="R9" i="27" a="1"/>
  <c r="R9" i="27" s="1"/>
  <c r="V9" i="27" a="1"/>
  <c r="V9" i="27" s="1"/>
  <c r="AA9" i="27" a="1"/>
  <c r="AA9" i="27" s="1"/>
  <c r="AF9" i="27" a="1"/>
  <c r="AF9" i="27" s="1"/>
  <c r="M9" i="27" a="1"/>
  <c r="M9" i="27" s="1"/>
  <c r="W9" i="27" a="1"/>
  <c r="W9" i="27" s="1"/>
  <c r="AB9" i="27" a="1"/>
  <c r="AB9" i="27" s="1"/>
  <c r="AG9" i="27" a="1"/>
  <c r="AG9" i="27" s="1"/>
  <c r="N9" i="27" a="1"/>
  <c r="N9" i="27" s="1"/>
  <c r="S9" i="27" a="1"/>
  <c r="S9" i="27" s="1"/>
  <c r="X9" i="27" a="1"/>
  <c r="X9" i="27" s="1"/>
  <c r="AH9" i="27" a="1"/>
  <c r="AH9" i="27" s="1"/>
  <c r="Q104" i="27" a="1"/>
  <c r="Q104" i="27" s="1"/>
  <c r="U104" i="27" a="1"/>
  <c r="U104" i="27" s="1"/>
  <c r="Z104" i="27" a="1"/>
  <c r="Z104" i="27" s="1"/>
  <c r="AE104" i="27" a="1"/>
  <c r="AE104" i="27" s="1"/>
  <c r="L104" i="27" a="1"/>
  <c r="L104" i="27" s="1"/>
  <c r="V104" i="27" a="1"/>
  <c r="V104" i="27" s="1"/>
  <c r="AA104" i="27" a="1"/>
  <c r="AA104" i="27" s="1"/>
  <c r="AF104" i="27" a="1"/>
  <c r="AF104" i="27" s="1"/>
  <c r="M104" i="27" a="1"/>
  <c r="M104" i="27" s="1"/>
  <c r="R104" i="27" a="1"/>
  <c r="R104" i="27" s="1"/>
  <c r="W104" i="27" a="1"/>
  <c r="W104" i="27" s="1"/>
  <c r="AG104" i="27" a="1"/>
  <c r="AG104" i="27" s="1"/>
  <c r="N104" i="27" a="1"/>
  <c r="N104" i="27" s="1"/>
  <c r="S104" i="27" a="1"/>
  <c r="S104" i="27" s="1"/>
  <c r="X104" i="27" a="1"/>
  <c r="X104" i="27" s="1"/>
  <c r="AB104" i="27" a="1"/>
  <c r="AB104" i="27" s="1"/>
  <c r="O104" i="27" a="1"/>
  <c r="O104" i="27" s="1"/>
  <c r="Y104" i="27" a="1"/>
  <c r="Y104" i="27" s="1"/>
  <c r="AC104" i="27" a="1"/>
  <c r="AC104" i="27" s="1"/>
  <c r="AH104" i="27" a="1"/>
  <c r="AH104" i="27" s="1"/>
  <c r="P104" i="27" a="1"/>
  <c r="P104" i="27" s="1"/>
  <c r="T104" i="27" a="1"/>
  <c r="T104" i="27" s="1"/>
  <c r="AD104" i="27" a="1"/>
  <c r="AD104" i="27" s="1"/>
  <c r="AI104" i="27" a="1"/>
  <c r="AI104" i="27" s="1"/>
  <c r="M124" i="27" a="1"/>
  <c r="M124" i="27" s="1"/>
  <c r="R124" i="27" a="1"/>
  <c r="R124" i="27" s="1"/>
  <c r="V124" i="27" a="1"/>
  <c r="V124" i="27" s="1"/>
  <c r="AF124" i="27" a="1"/>
  <c r="AF124" i="27" s="1"/>
  <c r="S124" i="27" a="1"/>
  <c r="S124" i="27" s="1"/>
  <c r="W124" i="27" a="1"/>
  <c r="W124" i="27" s="1"/>
  <c r="AB124" i="27" a="1"/>
  <c r="AB124" i="27" s="1"/>
  <c r="AG124" i="27" a="1"/>
  <c r="AG124" i="27" s="1"/>
  <c r="N124" i="27" a="1"/>
  <c r="N124" i="27" s="1"/>
  <c r="X124" i="27" a="1"/>
  <c r="X124" i="27" s="1"/>
  <c r="AC124" i="27" a="1"/>
  <c r="AC124" i="27" s="1"/>
  <c r="AH124" i="27" a="1"/>
  <c r="AH124" i="27" s="1"/>
  <c r="O124" i="27" a="1"/>
  <c r="O124" i="27" s="1"/>
  <c r="T124" i="27" a="1"/>
  <c r="T124" i="27" s="1"/>
  <c r="Y124" i="27" a="1"/>
  <c r="Y124" i="27" s="1"/>
  <c r="AI124" i="27" a="1"/>
  <c r="AI124" i="27" s="1"/>
  <c r="P124" i="27" a="1"/>
  <c r="P124" i="27" s="1"/>
  <c r="U124" i="27" a="1"/>
  <c r="U124" i="27" s="1"/>
  <c r="Z124" i="27" a="1"/>
  <c r="Z124" i="27" s="1"/>
  <c r="AD124" i="27" a="1"/>
  <c r="AD124" i="27" s="1"/>
  <c r="L124" i="27" a="1"/>
  <c r="L124" i="27" s="1"/>
  <c r="Q124" i="27" a="1"/>
  <c r="Q124" i="27" s="1"/>
  <c r="AA124" i="27" a="1"/>
  <c r="AA124" i="27" s="1"/>
  <c r="AE124" i="27" a="1"/>
  <c r="AE124" i="27" s="1"/>
  <c r="L52" i="27" a="1"/>
  <c r="L52" i="27" s="1"/>
  <c r="P52" i="27" a="1"/>
  <c r="P52" i="27" s="1"/>
  <c r="U52" i="27" a="1"/>
  <c r="U52" i="27" s="1"/>
  <c r="Z52" i="27" a="1"/>
  <c r="Z52" i="27" s="1"/>
  <c r="Q52" i="27" a="1"/>
  <c r="Q52" i="27" s="1"/>
  <c r="V52" i="27" a="1"/>
  <c r="V52" i="27" s="1"/>
  <c r="AA52" i="27" a="1"/>
  <c r="AA52" i="27" s="1"/>
  <c r="AE52" i="27" a="1"/>
  <c r="AE52" i="27" s="1"/>
  <c r="M52" i="27" a="1"/>
  <c r="M52" i="27" s="1"/>
  <c r="R52" i="27" a="1"/>
  <c r="R52" i="27" s="1"/>
  <c r="AB52" i="27" a="1"/>
  <c r="AB52" i="27" s="1"/>
  <c r="AF52" i="27" a="1"/>
  <c r="AF52" i="27" s="1"/>
  <c r="N52" i="27" a="1"/>
  <c r="N52" i="27" s="1"/>
  <c r="S52" i="27" a="1"/>
  <c r="S52" i="27" s="1"/>
  <c r="W52" i="27" a="1"/>
  <c r="W52" i="27" s="1"/>
  <c r="AG52" i="27" a="1"/>
  <c r="AG52" i="27" s="1"/>
  <c r="T52" i="27" a="1"/>
  <c r="T52" i="27" s="1"/>
  <c r="X52" i="27" a="1"/>
  <c r="X52" i="27" s="1"/>
  <c r="AC52" i="27" a="1"/>
  <c r="AC52" i="27" s="1"/>
  <c r="AH52" i="27" a="1"/>
  <c r="AH52" i="27" s="1"/>
  <c r="O52" i="27" a="1"/>
  <c r="O52" i="27" s="1"/>
  <c r="Y52" i="27" a="1"/>
  <c r="Y52" i="27" s="1"/>
  <c r="AD52" i="27" a="1"/>
  <c r="AD52" i="27" s="1"/>
  <c r="AI52" i="27" a="1"/>
  <c r="AI52" i="27" s="1"/>
  <c r="N34" i="27" a="1"/>
  <c r="N34" i="27" s="1"/>
  <c r="R34" i="27" a="1"/>
  <c r="R34" i="27" s="1"/>
  <c r="V34" i="27" a="1"/>
  <c r="V34" i="27" s="1"/>
  <c r="AA34" i="27" a="1"/>
  <c r="AA34" i="27" s="1"/>
  <c r="AF34" i="27" a="1"/>
  <c r="AF34" i="27" s="1"/>
  <c r="O34" i="27" a="1"/>
  <c r="O34" i="27" s="1"/>
  <c r="S34" i="27" a="1"/>
  <c r="S34" i="27" s="1"/>
  <c r="W34" i="27" a="1"/>
  <c r="W34" i="27" s="1"/>
  <c r="AG34" i="27" a="1"/>
  <c r="AG34" i="27" s="1"/>
  <c r="X34" i="27" a="1"/>
  <c r="X34" i="27" s="1"/>
  <c r="AB34" i="27" a="1"/>
  <c r="AB34" i="27" s="1"/>
  <c r="L34" i="27" a="1"/>
  <c r="L34" i="27" s="1"/>
  <c r="P34" i="27" a="1"/>
  <c r="P34" i="27" s="1"/>
  <c r="T34" i="27" a="1"/>
  <c r="T34" i="27" s="1"/>
  <c r="Y34" i="27" a="1"/>
  <c r="Y34" i="27" s="1"/>
  <c r="AC34" i="27" a="1"/>
  <c r="AC34" i="27" s="1"/>
  <c r="AH34" i="27" a="1"/>
  <c r="AH34" i="27" s="1"/>
  <c r="M34" i="27" a="1"/>
  <c r="M34" i="27" s="1"/>
  <c r="Q34" i="27" a="1"/>
  <c r="Q34" i="27" s="1"/>
  <c r="U34" i="27" a="1"/>
  <c r="U34" i="27" s="1"/>
  <c r="AD34" i="27" a="1"/>
  <c r="AD34" i="27" s="1"/>
  <c r="AI34" i="27" a="1"/>
  <c r="AI34" i="27" s="1"/>
  <c r="Z34" i="27" a="1"/>
  <c r="Z34" i="27" s="1"/>
  <c r="AE34" i="27" a="1"/>
  <c r="AE34" i="27" s="1"/>
  <c r="L30" i="27" a="1"/>
  <c r="L30" i="27" s="1"/>
  <c r="Q30" i="27" a="1"/>
  <c r="Q30" i="27" s="1"/>
  <c r="V30" i="27" a="1"/>
  <c r="V30" i="27" s="1"/>
  <c r="Z30" i="27" a="1"/>
  <c r="Z30" i="27" s="1"/>
  <c r="M30" i="27" a="1"/>
  <c r="M30" i="27" s="1"/>
  <c r="W30" i="27" a="1"/>
  <c r="W30" i="27" s="1"/>
  <c r="AA30" i="27" a="1"/>
  <c r="AA30" i="27" s="1"/>
  <c r="AF30" i="27" a="1"/>
  <c r="AF30" i="27" s="1"/>
  <c r="N30" i="27" a="1"/>
  <c r="N30" i="27" s="1"/>
  <c r="R30" i="27" a="1"/>
  <c r="R30" i="27" s="1"/>
  <c r="AB30" i="27" a="1"/>
  <c r="AB30" i="27" s="1"/>
  <c r="AG30" i="27" a="1"/>
  <c r="AG30" i="27" s="1"/>
  <c r="O30" i="27" a="1"/>
  <c r="O30" i="27" s="1"/>
  <c r="S30" i="27" a="1"/>
  <c r="S30" i="27" s="1"/>
  <c r="X30" i="27" a="1"/>
  <c r="X30" i="27" s="1"/>
  <c r="AC30" i="27" a="1"/>
  <c r="AC30" i="27" s="1"/>
  <c r="T30" i="27" a="1"/>
  <c r="T30" i="27" s="1"/>
  <c r="Y30" i="27" a="1"/>
  <c r="Y30" i="27" s="1"/>
  <c r="AD30" i="27" a="1"/>
  <c r="AD30" i="27" s="1"/>
  <c r="AH30" i="27" a="1"/>
  <c r="AH30" i="27" s="1"/>
  <c r="P30" i="27" a="1"/>
  <c r="P30" i="27" s="1"/>
  <c r="U30" i="27" a="1"/>
  <c r="U30" i="27" s="1"/>
  <c r="AE30" i="27" a="1"/>
  <c r="AE30" i="27" s="1"/>
  <c r="AI30" i="27" a="1"/>
  <c r="AI30" i="27" s="1"/>
  <c r="P36" i="27" a="1"/>
  <c r="P36" i="27" s="1"/>
  <c r="U36" i="27" a="1"/>
  <c r="U36" i="27" s="1"/>
  <c r="Z36" i="27" a="1"/>
  <c r="Z36" i="27" s="1"/>
  <c r="AF36" i="27" a="1"/>
  <c r="AF36" i="27" s="1"/>
  <c r="Q36" i="27" a="1"/>
  <c r="Q36" i="27" s="1"/>
  <c r="V36" i="27" a="1"/>
  <c r="V36" i="27" s="1"/>
  <c r="AA36" i="27" a="1"/>
  <c r="AA36" i="27" s="1"/>
  <c r="AG36" i="27" a="1"/>
  <c r="AG36" i="27" s="1"/>
  <c r="L36" i="27" a="1"/>
  <c r="L36" i="27" s="1"/>
  <c r="W36" i="27" a="1"/>
  <c r="W36" i="27" s="1"/>
  <c r="AB36" i="27" a="1"/>
  <c r="AB36" i="27" s="1"/>
  <c r="M36" i="27" a="1"/>
  <c r="M36" i="27" s="1"/>
  <c r="R36" i="27" a="1"/>
  <c r="R36" i="27" s="1"/>
  <c r="X36" i="27" a="1"/>
  <c r="X36" i="27" s="1"/>
  <c r="AC36" i="27" a="1"/>
  <c r="AC36" i="27" s="1"/>
  <c r="AH36" i="27" a="1"/>
  <c r="AH36" i="27" s="1"/>
  <c r="N36" i="27" a="1"/>
  <c r="N36" i="27" s="1"/>
  <c r="S36" i="27" a="1"/>
  <c r="S36" i="27" s="1"/>
  <c r="Y36" i="27" a="1"/>
  <c r="Y36" i="27" s="1"/>
  <c r="AD36" i="27" a="1"/>
  <c r="AD36" i="27" s="1"/>
  <c r="AI36" i="27" a="1"/>
  <c r="AI36" i="27" s="1"/>
  <c r="O36" i="27" a="1"/>
  <c r="O36" i="27" s="1"/>
  <c r="T36" i="27" a="1"/>
  <c r="T36" i="27" s="1"/>
  <c r="AE36" i="27" a="1"/>
  <c r="AE36" i="27" s="1"/>
  <c r="N14" i="27" a="1"/>
  <c r="N14" i="27" s="1"/>
  <c r="X14" i="27" a="1"/>
  <c r="X14" i="27" s="1"/>
  <c r="AC14" i="27" a="1"/>
  <c r="AC14" i="27" s="1"/>
  <c r="AH14" i="27" a="1"/>
  <c r="AH14" i="27" s="1"/>
  <c r="O14" i="27" a="1"/>
  <c r="O14" i="27" s="1"/>
  <c r="T14" i="27" a="1"/>
  <c r="T14" i="27" s="1"/>
  <c r="Y14" i="27" a="1"/>
  <c r="Y14" i="27" s="1"/>
  <c r="AI14" i="27" a="1"/>
  <c r="AI14" i="27" s="1"/>
  <c r="P14" i="27" a="1"/>
  <c r="P14" i="27" s="1"/>
  <c r="U14" i="27" a="1"/>
  <c r="U14" i="27" s="1"/>
  <c r="Z14" i="27" a="1"/>
  <c r="Z14" i="27" s="1"/>
  <c r="AD14" i="27" a="1"/>
  <c r="AD14" i="27" s="1"/>
  <c r="L14" i="27" a="1"/>
  <c r="L14" i="27" s="1"/>
  <c r="Q14" i="27" a="1"/>
  <c r="Q14" i="27" s="1"/>
  <c r="AA14" i="27" a="1"/>
  <c r="AA14" i="27" s="1"/>
  <c r="AE14" i="27" a="1"/>
  <c r="AE14" i="27" s="1"/>
  <c r="R14" i="27" a="1"/>
  <c r="R14" i="27" s="1"/>
  <c r="V14" i="27" a="1"/>
  <c r="V14" i="27" s="1"/>
  <c r="AF14" i="27" a="1"/>
  <c r="AF14" i="27" s="1"/>
  <c r="M14" i="27" a="1"/>
  <c r="M14" i="27" s="1"/>
  <c r="S14" i="27" a="1"/>
  <c r="S14" i="27" s="1"/>
  <c r="W14" i="27" a="1"/>
  <c r="W14" i="27" s="1"/>
  <c r="AB14" i="27" a="1"/>
  <c r="AB14" i="27" s="1"/>
  <c r="AG14" i="27" a="1"/>
  <c r="AG14" i="27" s="1"/>
  <c r="L26" i="27" a="1"/>
  <c r="L26" i="27" s="1"/>
  <c r="Q26" i="27" a="1"/>
  <c r="Q26" i="27" s="1"/>
  <c r="V26" i="27" a="1"/>
  <c r="V26" i="27" s="1"/>
  <c r="Z26" i="27" a="1"/>
  <c r="Z26" i="27" s="1"/>
  <c r="M26" i="27" a="1"/>
  <c r="M26" i="27" s="1"/>
  <c r="W26" i="27" a="1"/>
  <c r="W26" i="27" s="1"/>
  <c r="AA26" i="27" a="1"/>
  <c r="AA26" i="27" s="1"/>
  <c r="AF26" i="27" a="1"/>
  <c r="AF26" i="27" s="1"/>
  <c r="N26" i="27" a="1"/>
  <c r="N26" i="27" s="1"/>
  <c r="R26" i="27" a="1"/>
  <c r="R26" i="27" s="1"/>
  <c r="AB26" i="27" a="1"/>
  <c r="AB26" i="27" s="1"/>
  <c r="AG26" i="27" a="1"/>
  <c r="AG26" i="27" s="1"/>
  <c r="O26" i="27" a="1"/>
  <c r="O26" i="27" s="1"/>
  <c r="S26" i="27" a="1"/>
  <c r="S26" i="27" s="1"/>
  <c r="X26" i="27" a="1"/>
  <c r="X26" i="27" s="1"/>
  <c r="AC26" i="27" a="1"/>
  <c r="AC26" i="27" s="1"/>
  <c r="T26" i="27" a="1"/>
  <c r="T26" i="27" s="1"/>
  <c r="Y26" i="27" a="1"/>
  <c r="Y26" i="27" s="1"/>
  <c r="AD26" i="27" a="1"/>
  <c r="AD26" i="27" s="1"/>
  <c r="AH26" i="27" a="1"/>
  <c r="AH26" i="27" s="1"/>
  <c r="P26" i="27" a="1"/>
  <c r="P26" i="27" s="1"/>
  <c r="U26" i="27" a="1"/>
  <c r="U26" i="27" s="1"/>
  <c r="AE26" i="27" a="1"/>
  <c r="AE26" i="27" s="1"/>
  <c r="AI26" i="27" a="1"/>
  <c r="AI26" i="27" s="1"/>
  <c r="O13" i="27" a="1"/>
  <c r="O13" i="27" s="1"/>
  <c r="Y13" i="27" a="1"/>
  <c r="Y13" i="27" s="1"/>
  <c r="AC13" i="27" a="1"/>
  <c r="AC13" i="27" s="1"/>
  <c r="AH13" i="27" a="1"/>
  <c r="AH13" i="27" s="1"/>
  <c r="P13" i="27" a="1"/>
  <c r="P13" i="27" s="1"/>
  <c r="U13" i="27" a="1"/>
  <c r="U13" i="27" s="1"/>
  <c r="Z13" i="27" a="1"/>
  <c r="Z13" i="27" s="1"/>
  <c r="AD13" i="27" a="1"/>
  <c r="AD13" i="27" s="1"/>
  <c r="L13" i="27" a="1"/>
  <c r="L13" i="27" s="1"/>
  <c r="Q13" i="27" a="1"/>
  <c r="Q13" i="27" s="1"/>
  <c r="V13" i="27" a="1"/>
  <c r="V13" i="27" s="1"/>
  <c r="AE13" i="27" a="1"/>
  <c r="AE13" i="27" s="1"/>
  <c r="AI13" i="27" a="1"/>
  <c r="AI13" i="27" s="1"/>
  <c r="R13" i="27" a="1"/>
  <c r="R13" i="27" s="1"/>
  <c r="W13" i="27" a="1"/>
  <c r="W13" i="27" s="1"/>
  <c r="AA13" i="27" a="1"/>
  <c r="AA13" i="27" s="1"/>
  <c r="AF13" i="27" a="1"/>
  <c r="AF13" i="27" s="1"/>
  <c r="M13" i="27" a="1"/>
  <c r="M13" i="27" s="1"/>
  <c r="S13" i="27" a="1"/>
  <c r="S13" i="27" s="1"/>
  <c r="X13" i="27" a="1"/>
  <c r="X13" i="27" s="1"/>
  <c r="AB13" i="27" a="1"/>
  <c r="AB13" i="27" s="1"/>
  <c r="N13" i="27" a="1"/>
  <c r="N13" i="27" s="1"/>
  <c r="T13" i="27" a="1"/>
  <c r="T13" i="27" s="1"/>
  <c r="AG13" i="27" a="1"/>
  <c r="AG13" i="27" s="1"/>
  <c r="M139" i="27" a="1"/>
  <c r="M139" i="27" s="1"/>
  <c r="R139" i="27" a="1"/>
  <c r="R139" i="27" s="1"/>
  <c r="V139" i="27" a="1"/>
  <c r="V139" i="27" s="1"/>
  <c r="AF139" i="27" a="1"/>
  <c r="AF139" i="27" s="1"/>
  <c r="S139" i="27" a="1"/>
  <c r="S139" i="27" s="1"/>
  <c r="W139" i="27" a="1"/>
  <c r="W139" i="27" s="1"/>
  <c r="AB139" i="27" a="1"/>
  <c r="AB139" i="27" s="1"/>
  <c r="AG139" i="27" a="1"/>
  <c r="AG139" i="27" s="1"/>
  <c r="N139" i="27" a="1"/>
  <c r="N139" i="27" s="1"/>
  <c r="X139" i="27" a="1"/>
  <c r="X139" i="27" s="1"/>
  <c r="AC139" i="27" a="1"/>
  <c r="AC139" i="27" s="1"/>
  <c r="AH139" i="27" a="1"/>
  <c r="AH139" i="27" s="1"/>
  <c r="O139" i="27" a="1"/>
  <c r="O139" i="27" s="1"/>
  <c r="T139" i="27" a="1"/>
  <c r="T139" i="27" s="1"/>
  <c r="Y139" i="27" a="1"/>
  <c r="Y139" i="27" s="1"/>
  <c r="AI139" i="27" a="1"/>
  <c r="AI139" i="27" s="1"/>
  <c r="P139" i="27" a="1"/>
  <c r="P139" i="27" s="1"/>
  <c r="U139" i="27" a="1"/>
  <c r="U139" i="27" s="1"/>
  <c r="Z139" i="27" a="1"/>
  <c r="Z139" i="27" s="1"/>
  <c r="AD139" i="27" a="1"/>
  <c r="AD139" i="27" s="1"/>
  <c r="L139" i="27" a="1"/>
  <c r="L139" i="27" s="1"/>
  <c r="Q139" i="27" a="1"/>
  <c r="Q139" i="27" s="1"/>
  <c r="AA139" i="27" a="1"/>
  <c r="AA139" i="27" s="1"/>
  <c r="AE139" i="27" a="1"/>
  <c r="AE139" i="27" s="1"/>
  <c r="Q107" i="27" a="1"/>
  <c r="Q107" i="27" s="1"/>
  <c r="U107" i="27" a="1"/>
  <c r="U107" i="27" s="1"/>
  <c r="Y107" i="27" a="1"/>
  <c r="Y107" i="27" s="1"/>
  <c r="AC107" i="27" a="1"/>
  <c r="AC107" i="27" s="1"/>
  <c r="AG107" i="27" a="1"/>
  <c r="AG107" i="27" s="1"/>
  <c r="L107" i="27" a="1"/>
  <c r="L107" i="27" s="1"/>
  <c r="M107" i="27" a="1"/>
  <c r="M107" i="27" s="1"/>
  <c r="R107" i="27" a="1"/>
  <c r="R107" i="27" s="1"/>
  <c r="V107" i="27" a="1"/>
  <c r="V107" i="27" s="1"/>
  <c r="Z107" i="27" a="1"/>
  <c r="Z107" i="27" s="1"/>
  <c r="AD107" i="27" a="1"/>
  <c r="AD107" i="27" s="1"/>
  <c r="AH107" i="27" a="1"/>
  <c r="AH107" i="27" s="1"/>
  <c r="N107" i="27" a="1"/>
  <c r="N107" i="27" s="1"/>
  <c r="S107" i="27" a="1"/>
  <c r="S107" i="27" s="1"/>
  <c r="W107" i="27" a="1"/>
  <c r="W107" i="27" s="1"/>
  <c r="AA107" i="27" a="1"/>
  <c r="AA107" i="27" s="1"/>
  <c r="AE107" i="27" a="1"/>
  <c r="AE107" i="27" s="1"/>
  <c r="AI107" i="27" a="1"/>
  <c r="AI107" i="27" s="1"/>
  <c r="O107" i="27" a="1"/>
  <c r="O107" i="27" s="1"/>
  <c r="P107" i="27" a="1"/>
  <c r="P107" i="27" s="1"/>
  <c r="T107" i="27" a="1"/>
  <c r="T107" i="27" s="1"/>
  <c r="X107" i="27" a="1"/>
  <c r="X107" i="27" s="1"/>
  <c r="AB107" i="27" a="1"/>
  <c r="AB107" i="27" s="1"/>
  <c r="AF107" i="27" a="1"/>
  <c r="AF107" i="27" s="1"/>
  <c r="L59" i="27" a="1"/>
  <c r="L59" i="27" s="1"/>
  <c r="P59" i="27" a="1"/>
  <c r="P59" i="27" s="1"/>
  <c r="U59" i="27" a="1"/>
  <c r="U59" i="27" s="1"/>
  <c r="Z59" i="27" a="1"/>
  <c r="Z59" i="27" s="1"/>
  <c r="Q59" i="27" a="1"/>
  <c r="Q59" i="27" s="1"/>
  <c r="V59" i="27" a="1"/>
  <c r="V59" i="27" s="1"/>
  <c r="AA59" i="27" a="1"/>
  <c r="AA59" i="27" s="1"/>
  <c r="O59" i="27" a="1"/>
  <c r="O59" i="27" s="1"/>
  <c r="Y59" i="27" a="1"/>
  <c r="Y59" i="27" s="1"/>
  <c r="M59" i="27" a="1"/>
  <c r="M59" i="27" s="1"/>
  <c r="AD59" i="27" a="1"/>
  <c r="AD59" i="27" s="1"/>
  <c r="AI59" i="27" a="1"/>
  <c r="AI59" i="27" s="1"/>
  <c r="N59" i="27" a="1"/>
  <c r="N59" i="27" s="1"/>
  <c r="W59" i="27" a="1"/>
  <c r="W59" i="27" s="1"/>
  <c r="X59" i="27" a="1"/>
  <c r="X59" i="27" s="1"/>
  <c r="AE59" i="27" a="1"/>
  <c r="AE59" i="27" s="1"/>
  <c r="R59" i="27" a="1"/>
  <c r="R59" i="27" s="1"/>
  <c r="AB59" i="27" a="1"/>
  <c r="AB59" i="27" s="1"/>
  <c r="AF59" i="27" a="1"/>
  <c r="AF59" i="27" s="1"/>
  <c r="S59" i="27" a="1"/>
  <c r="S59" i="27" s="1"/>
  <c r="AG59" i="27" a="1"/>
  <c r="AG59" i="27" s="1"/>
  <c r="T59" i="27" a="1"/>
  <c r="T59" i="27" s="1"/>
  <c r="AC59" i="27" a="1"/>
  <c r="AC59" i="27" s="1"/>
  <c r="AH59" i="27" a="1"/>
  <c r="AH59" i="27" s="1"/>
  <c r="O11" i="27" a="1"/>
  <c r="O11" i="27" s="1"/>
  <c r="T11" i="27" a="1"/>
  <c r="T11" i="27" s="1"/>
  <c r="Y11" i="27" a="1"/>
  <c r="Y11" i="27" s="1"/>
  <c r="AC11" i="27" a="1"/>
  <c r="AC11" i="27" s="1"/>
  <c r="P11" i="27" a="1"/>
  <c r="P11" i="27" s="1"/>
  <c r="Z11" i="27" a="1"/>
  <c r="Z11" i="27" s="1"/>
  <c r="AD11" i="27" a="1"/>
  <c r="AD11" i="27" s="1"/>
  <c r="AI11" i="27" a="1"/>
  <c r="AI11" i="27" s="1"/>
  <c r="L11" i="27" a="1"/>
  <c r="L11" i="27" s="1"/>
  <c r="Q11" i="27" a="1"/>
  <c r="Q11" i="27" s="1"/>
  <c r="U11" i="27" a="1"/>
  <c r="U11" i="27" s="1"/>
  <c r="AE11" i="27" a="1"/>
  <c r="AE11" i="27" s="1"/>
  <c r="R11" i="27" a="1"/>
  <c r="R11" i="27" s="1"/>
  <c r="V11" i="27" a="1"/>
  <c r="V11" i="27" s="1"/>
  <c r="AA11" i="27" a="1"/>
  <c r="AA11" i="27" s="1"/>
  <c r="AF11" i="27" a="1"/>
  <c r="AF11" i="27" s="1"/>
  <c r="M11" i="27" a="1"/>
  <c r="M11" i="27" s="1"/>
  <c r="W11" i="27" a="1"/>
  <c r="W11" i="27" s="1"/>
  <c r="AB11" i="27" a="1"/>
  <c r="AB11" i="27" s="1"/>
  <c r="AG11" i="27" a="1"/>
  <c r="AG11" i="27" s="1"/>
  <c r="N11" i="27" a="1"/>
  <c r="N11" i="27" s="1"/>
  <c r="S11" i="27" a="1"/>
  <c r="S11" i="27" s="1"/>
  <c r="X11" i="27" a="1"/>
  <c r="X11" i="27" s="1"/>
  <c r="AH11" i="27" a="1"/>
  <c r="AH11" i="27" s="1"/>
  <c r="Q96" i="27" a="1"/>
  <c r="Q96" i="27" s="1"/>
  <c r="U96" i="27" a="1"/>
  <c r="U96" i="27" s="1"/>
  <c r="Z96" i="27" a="1"/>
  <c r="Z96" i="27" s="1"/>
  <c r="AE96" i="27" a="1"/>
  <c r="AE96" i="27" s="1"/>
  <c r="L96" i="27" a="1"/>
  <c r="L96" i="27" s="1"/>
  <c r="V96" i="27" a="1"/>
  <c r="V96" i="27" s="1"/>
  <c r="AA96" i="27" a="1"/>
  <c r="AA96" i="27" s="1"/>
  <c r="AF96" i="27" a="1"/>
  <c r="AF96" i="27" s="1"/>
  <c r="M96" i="27" a="1"/>
  <c r="M96" i="27" s="1"/>
  <c r="R96" i="27" a="1"/>
  <c r="R96" i="27" s="1"/>
  <c r="W96" i="27" a="1"/>
  <c r="W96" i="27" s="1"/>
  <c r="AG96" i="27" a="1"/>
  <c r="AG96" i="27" s="1"/>
  <c r="N96" i="27" a="1"/>
  <c r="N96" i="27" s="1"/>
  <c r="S96" i="27" a="1"/>
  <c r="S96" i="27" s="1"/>
  <c r="X96" i="27" a="1"/>
  <c r="X96" i="27" s="1"/>
  <c r="AB96" i="27" a="1"/>
  <c r="AB96" i="27" s="1"/>
  <c r="O96" i="27" a="1"/>
  <c r="O96" i="27" s="1"/>
  <c r="Y96" i="27" a="1"/>
  <c r="Y96" i="27" s="1"/>
  <c r="AC96" i="27" a="1"/>
  <c r="AC96" i="27" s="1"/>
  <c r="AH96" i="27" a="1"/>
  <c r="AH96" i="27" s="1"/>
  <c r="P96" i="27" a="1"/>
  <c r="P96" i="27" s="1"/>
  <c r="T96" i="27" a="1"/>
  <c r="T96" i="27" s="1"/>
  <c r="AD96" i="27" a="1"/>
  <c r="AD96" i="27" s="1"/>
  <c r="AI96" i="27" a="1"/>
  <c r="AI96" i="27" s="1"/>
  <c r="O48" i="27" a="1"/>
  <c r="O48" i="27" s="1"/>
  <c r="U48" i="27" a="1"/>
  <c r="U48" i="27" s="1"/>
  <c r="Z48" i="27" a="1"/>
  <c r="Z48" i="27" s="1"/>
  <c r="P48" i="27" a="1"/>
  <c r="P48" i="27" s="1"/>
  <c r="V48" i="27" a="1"/>
  <c r="V48" i="27" s="1"/>
  <c r="AA48" i="27" a="1"/>
  <c r="AA48" i="27" s="1"/>
  <c r="AE48" i="27" a="1"/>
  <c r="AE48" i="27" s="1"/>
  <c r="L48" i="27" a="1"/>
  <c r="L48" i="27" s="1"/>
  <c r="Q48" i="27" a="1"/>
  <c r="Q48" i="27" s="1"/>
  <c r="AB48" i="27" a="1"/>
  <c r="AB48" i="27" s="1"/>
  <c r="AF48" i="27" a="1"/>
  <c r="AF48" i="27" s="1"/>
  <c r="M48" i="27" a="1"/>
  <c r="M48" i="27" s="1"/>
  <c r="R48" i="27" a="1"/>
  <c r="R48" i="27" s="1"/>
  <c r="W48" i="27" a="1"/>
  <c r="W48" i="27" s="1"/>
  <c r="AG48" i="27" a="1"/>
  <c r="AG48" i="27" s="1"/>
  <c r="N48" i="27" a="1"/>
  <c r="N48" i="27" s="1"/>
  <c r="S48" i="27" a="1"/>
  <c r="S48" i="27" s="1"/>
  <c r="X48" i="27" a="1"/>
  <c r="X48" i="27" s="1"/>
  <c r="AC48" i="27" a="1"/>
  <c r="AC48" i="27" s="1"/>
  <c r="AH48" i="27" a="1"/>
  <c r="AH48" i="27" s="1"/>
  <c r="T48" i="27" a="1"/>
  <c r="T48" i="27" s="1"/>
  <c r="Y48" i="27" a="1"/>
  <c r="Y48" i="27" s="1"/>
  <c r="AD48" i="27" a="1"/>
  <c r="AD48" i="27" s="1"/>
  <c r="AI48" i="27" a="1"/>
  <c r="AI48" i="27" s="1"/>
  <c r="L58" i="27" a="1"/>
  <c r="L58" i="27" s="1"/>
  <c r="P58" i="27" a="1"/>
  <c r="P58" i="27" s="1"/>
  <c r="U58" i="27" a="1"/>
  <c r="U58" i="27" s="1"/>
  <c r="Z58" i="27" a="1"/>
  <c r="Z58" i="27" s="1"/>
  <c r="Q58" i="27" a="1"/>
  <c r="Q58" i="27" s="1"/>
  <c r="V58" i="27" a="1"/>
  <c r="V58" i="27" s="1"/>
  <c r="AA58" i="27" a="1"/>
  <c r="AA58" i="27" s="1"/>
  <c r="AE58" i="27" a="1"/>
  <c r="AE58" i="27" s="1"/>
  <c r="O58" i="27" a="1"/>
  <c r="O58" i="27" s="1"/>
  <c r="Y58" i="27" a="1"/>
  <c r="Y58" i="27" s="1"/>
  <c r="AD58" i="27" a="1"/>
  <c r="AD58" i="27" s="1"/>
  <c r="AI58" i="27" a="1"/>
  <c r="AI58" i="27" s="1"/>
  <c r="R58" i="27" a="1"/>
  <c r="R58" i="27" s="1"/>
  <c r="AB58" i="27" a="1"/>
  <c r="AB58" i="27" s="1"/>
  <c r="S58" i="27" a="1"/>
  <c r="S58" i="27" s="1"/>
  <c r="T58" i="27" a="1"/>
  <c r="T58" i="27" s="1"/>
  <c r="AC58" i="27" a="1"/>
  <c r="AC58" i="27" s="1"/>
  <c r="M58" i="27" a="1"/>
  <c r="M58" i="27" s="1"/>
  <c r="AF58" i="27" a="1"/>
  <c r="AF58" i="27" s="1"/>
  <c r="N58" i="27" a="1"/>
  <c r="N58" i="27" s="1"/>
  <c r="W58" i="27" a="1"/>
  <c r="W58" i="27" s="1"/>
  <c r="AG58" i="27" a="1"/>
  <c r="AG58" i="27" s="1"/>
  <c r="X58" i="27" a="1"/>
  <c r="X58" i="27" s="1"/>
  <c r="AH58" i="27" a="1"/>
  <c r="AH58" i="27" s="1"/>
  <c r="M41" i="27" a="1"/>
  <c r="M41" i="27" s="1"/>
  <c r="W41" i="27" a="1"/>
  <c r="W41" i="27" s="1"/>
  <c r="AA41" i="27" a="1"/>
  <c r="AA41" i="27" s="1"/>
  <c r="AG41" i="27" a="1"/>
  <c r="AG41" i="27" s="1"/>
  <c r="N41" i="27" a="1"/>
  <c r="N41" i="27" s="1"/>
  <c r="R41" i="27" a="1"/>
  <c r="R41" i="27" s="1"/>
  <c r="AB41" i="27" a="1"/>
  <c r="AB41" i="27" s="1"/>
  <c r="O41" i="27" a="1"/>
  <c r="O41" i="27" s="1"/>
  <c r="S41" i="27" a="1"/>
  <c r="S41" i="27" s="1"/>
  <c r="X41" i="27" a="1"/>
  <c r="X41" i="27" s="1"/>
  <c r="AC41" i="27" a="1"/>
  <c r="AC41" i="27" s="1"/>
  <c r="AH41" i="27" a="1"/>
  <c r="AH41" i="27" s="1"/>
  <c r="T41" i="27" a="1"/>
  <c r="T41" i="27" s="1"/>
  <c r="Y41" i="27" a="1"/>
  <c r="Y41" i="27" s="1"/>
  <c r="AD41" i="27" a="1"/>
  <c r="AD41" i="27" s="1"/>
  <c r="AI41" i="27" a="1"/>
  <c r="AI41" i="27" s="1"/>
  <c r="P41" i="27" a="1"/>
  <c r="P41" i="27" s="1"/>
  <c r="U41" i="27" a="1"/>
  <c r="U41" i="27" s="1"/>
  <c r="AE41" i="27" a="1"/>
  <c r="AE41" i="27" s="1"/>
  <c r="L41" i="27" a="1"/>
  <c r="L41" i="27" s="1"/>
  <c r="Q41" i="27" a="1"/>
  <c r="Q41" i="27" s="1"/>
  <c r="V41" i="27" a="1"/>
  <c r="V41" i="27" s="1"/>
  <c r="Z41" i="27" a="1"/>
  <c r="Z41" i="27" s="1"/>
  <c r="AF41" i="27" a="1"/>
  <c r="AF41" i="27" s="1"/>
  <c r="O67" i="27" a="1"/>
  <c r="O67" i="27" s="1"/>
  <c r="Y67" i="27" a="1"/>
  <c r="Y67" i="27" s="1"/>
  <c r="AD67" i="27" a="1"/>
  <c r="AD67" i="27" s="1"/>
  <c r="AI67" i="27" a="1"/>
  <c r="AI67" i="27" s="1"/>
  <c r="L67" i="27" a="1"/>
  <c r="L67" i="27" s="1"/>
  <c r="P67" i="27" a="1"/>
  <c r="P67" i="27" s="1"/>
  <c r="U67" i="27" a="1"/>
  <c r="U67" i="27" s="1"/>
  <c r="Z67" i="27" a="1"/>
  <c r="Z67" i="27" s="1"/>
  <c r="Q67" i="27" a="1"/>
  <c r="Q67" i="27" s="1"/>
  <c r="V67" i="27" a="1"/>
  <c r="V67" i="27" s="1"/>
  <c r="AA67" i="27" a="1"/>
  <c r="AA67" i="27" s="1"/>
  <c r="AE67" i="27" a="1"/>
  <c r="AE67" i="27" s="1"/>
  <c r="M67" i="27" a="1"/>
  <c r="M67" i="27" s="1"/>
  <c r="R67" i="27" a="1"/>
  <c r="R67" i="27" s="1"/>
  <c r="AB67" i="27" a="1"/>
  <c r="AB67" i="27" s="1"/>
  <c r="AF67" i="27" a="1"/>
  <c r="AF67" i="27" s="1"/>
  <c r="N67" i="27" a="1"/>
  <c r="N67" i="27" s="1"/>
  <c r="S67" i="27" a="1"/>
  <c r="S67" i="27" s="1"/>
  <c r="W67" i="27" a="1"/>
  <c r="W67" i="27" s="1"/>
  <c r="AG67" i="27" a="1"/>
  <c r="AG67" i="27" s="1"/>
  <c r="T67" i="27" a="1"/>
  <c r="T67" i="27" s="1"/>
  <c r="X67" i="27" a="1"/>
  <c r="X67" i="27" s="1"/>
  <c r="AC67" i="27" a="1"/>
  <c r="AC67" i="27" s="1"/>
  <c r="AH67" i="27" a="1"/>
  <c r="AH67" i="27" s="1"/>
  <c r="Q88" i="27" a="1"/>
  <c r="Q88" i="27" s="1"/>
  <c r="U88" i="27" a="1"/>
  <c r="U88" i="27" s="1"/>
  <c r="Z88" i="27" a="1"/>
  <c r="Z88" i="27" s="1"/>
  <c r="AE88" i="27" a="1"/>
  <c r="AE88" i="27" s="1"/>
  <c r="L88" i="27" a="1"/>
  <c r="L88" i="27" s="1"/>
  <c r="V88" i="27" a="1"/>
  <c r="V88" i="27" s="1"/>
  <c r="AA88" i="27" a="1"/>
  <c r="AA88" i="27" s="1"/>
  <c r="AF88" i="27" a="1"/>
  <c r="AF88" i="27" s="1"/>
  <c r="M88" i="27" a="1"/>
  <c r="M88" i="27" s="1"/>
  <c r="R88" i="27" a="1"/>
  <c r="R88" i="27" s="1"/>
  <c r="W88" i="27" a="1"/>
  <c r="W88" i="27" s="1"/>
  <c r="AG88" i="27" a="1"/>
  <c r="AG88" i="27" s="1"/>
  <c r="N88" i="27" a="1"/>
  <c r="N88" i="27" s="1"/>
  <c r="S88" i="27" a="1"/>
  <c r="S88" i="27" s="1"/>
  <c r="X88" i="27" a="1"/>
  <c r="X88" i="27" s="1"/>
  <c r="AB88" i="27" a="1"/>
  <c r="AB88" i="27" s="1"/>
  <c r="O88" i="27" a="1"/>
  <c r="O88" i="27" s="1"/>
  <c r="Y88" i="27" a="1"/>
  <c r="Y88" i="27" s="1"/>
  <c r="AC88" i="27" a="1"/>
  <c r="AC88" i="27" s="1"/>
  <c r="AH88" i="27" a="1"/>
  <c r="AH88" i="27" s="1"/>
  <c r="P88" i="27" a="1"/>
  <c r="P88" i="27" s="1"/>
  <c r="T88" i="27" a="1"/>
  <c r="T88" i="27" s="1"/>
  <c r="AD88" i="27" a="1"/>
  <c r="AD88" i="27" s="1"/>
  <c r="AI88" i="27" a="1"/>
  <c r="AI88" i="27" s="1"/>
  <c r="M129" i="27" a="1"/>
  <c r="M129" i="27" s="1"/>
  <c r="R129" i="27" a="1"/>
  <c r="R129" i="27" s="1"/>
  <c r="V129" i="27" a="1"/>
  <c r="V129" i="27" s="1"/>
  <c r="AF129" i="27" a="1"/>
  <c r="AF129" i="27" s="1"/>
  <c r="S129" i="27" a="1"/>
  <c r="S129" i="27" s="1"/>
  <c r="W129" i="27" a="1"/>
  <c r="W129" i="27" s="1"/>
  <c r="AB129" i="27" a="1"/>
  <c r="AB129" i="27" s="1"/>
  <c r="AG129" i="27" a="1"/>
  <c r="AG129" i="27" s="1"/>
  <c r="N129" i="27" a="1"/>
  <c r="N129" i="27" s="1"/>
  <c r="X129" i="27" a="1"/>
  <c r="X129" i="27" s="1"/>
  <c r="AC129" i="27" a="1"/>
  <c r="AC129" i="27" s="1"/>
  <c r="AH129" i="27" a="1"/>
  <c r="AH129" i="27" s="1"/>
  <c r="O129" i="27" a="1"/>
  <c r="O129" i="27" s="1"/>
  <c r="T129" i="27" a="1"/>
  <c r="T129" i="27" s="1"/>
  <c r="Y129" i="27" a="1"/>
  <c r="Y129" i="27" s="1"/>
  <c r="AI129" i="27" a="1"/>
  <c r="AI129" i="27" s="1"/>
  <c r="P129" i="27" a="1"/>
  <c r="P129" i="27" s="1"/>
  <c r="U129" i="27" a="1"/>
  <c r="U129" i="27" s="1"/>
  <c r="Z129" i="27" a="1"/>
  <c r="Z129" i="27" s="1"/>
  <c r="AD129" i="27" a="1"/>
  <c r="AD129" i="27" s="1"/>
  <c r="L129" i="27" a="1"/>
  <c r="L129" i="27" s="1"/>
  <c r="Q129" i="27" a="1"/>
  <c r="Q129" i="27" s="1"/>
  <c r="AA129" i="27" a="1"/>
  <c r="AA129" i="27" s="1"/>
  <c r="AE129" i="27" a="1"/>
  <c r="AE129" i="27" s="1"/>
  <c r="N70" i="27" a="1"/>
  <c r="N70" i="27" s="1"/>
  <c r="R70" i="27" a="1"/>
  <c r="R70" i="27" s="1"/>
  <c r="V70" i="27" a="1"/>
  <c r="V70" i="27" s="1"/>
  <c r="Z70" i="27" a="1"/>
  <c r="Z70" i="27" s="1"/>
  <c r="AD70" i="27" a="1"/>
  <c r="AD70" i="27" s="1"/>
  <c r="AH70" i="27" a="1"/>
  <c r="AH70" i="27" s="1"/>
  <c r="O70" i="27" a="1"/>
  <c r="O70" i="27" s="1"/>
  <c r="S70" i="27" a="1"/>
  <c r="S70" i="27" s="1"/>
  <c r="W70" i="27" a="1"/>
  <c r="W70" i="27" s="1"/>
  <c r="AA70" i="27" a="1"/>
  <c r="AA70" i="27" s="1"/>
  <c r="AE70" i="27" a="1"/>
  <c r="AE70" i="27" s="1"/>
  <c r="AI70" i="27" a="1"/>
  <c r="AI70" i="27" s="1"/>
  <c r="L70" i="27" a="1"/>
  <c r="L70" i="27" s="1"/>
  <c r="P70" i="27" a="1"/>
  <c r="P70" i="27" s="1"/>
  <c r="T70" i="27" a="1"/>
  <c r="T70" i="27" s="1"/>
  <c r="X70" i="27" a="1"/>
  <c r="X70" i="27" s="1"/>
  <c r="AB70" i="27" a="1"/>
  <c r="AB70" i="27" s="1"/>
  <c r="AF70" i="27" a="1"/>
  <c r="AF70" i="27" s="1"/>
  <c r="M70" i="27" a="1"/>
  <c r="M70" i="27" s="1"/>
  <c r="Q70" i="27" a="1"/>
  <c r="Q70" i="27" s="1"/>
  <c r="U70" i="27" a="1"/>
  <c r="U70" i="27" s="1"/>
  <c r="Y70" i="27" a="1"/>
  <c r="Y70" i="27" s="1"/>
  <c r="AC70" i="27" a="1"/>
  <c r="AC70" i="27" s="1"/>
  <c r="AG70" i="27" a="1"/>
  <c r="AG70" i="27" s="1"/>
  <c r="Q102" i="27" a="1"/>
  <c r="Q102" i="27" s="1"/>
  <c r="U102" i="27" a="1"/>
  <c r="U102" i="27" s="1"/>
  <c r="Z102" i="27" a="1"/>
  <c r="Z102" i="27" s="1"/>
  <c r="AE102" i="27" a="1"/>
  <c r="AE102" i="27" s="1"/>
  <c r="L102" i="27" a="1"/>
  <c r="L102" i="27" s="1"/>
  <c r="V102" i="27" a="1"/>
  <c r="V102" i="27" s="1"/>
  <c r="AA102" i="27" a="1"/>
  <c r="AA102" i="27" s="1"/>
  <c r="AF102" i="27" a="1"/>
  <c r="AF102" i="27" s="1"/>
  <c r="M102" i="27" a="1"/>
  <c r="M102" i="27" s="1"/>
  <c r="R102" i="27" a="1"/>
  <c r="R102" i="27" s="1"/>
  <c r="W102" i="27" a="1"/>
  <c r="W102" i="27" s="1"/>
  <c r="AG102" i="27" a="1"/>
  <c r="AG102" i="27" s="1"/>
  <c r="N102" i="27" a="1"/>
  <c r="N102" i="27" s="1"/>
  <c r="S102" i="27" a="1"/>
  <c r="S102" i="27" s="1"/>
  <c r="X102" i="27" a="1"/>
  <c r="X102" i="27" s="1"/>
  <c r="AB102" i="27" a="1"/>
  <c r="AB102" i="27" s="1"/>
  <c r="O102" i="27" a="1"/>
  <c r="O102" i="27" s="1"/>
  <c r="Y102" i="27" a="1"/>
  <c r="Y102" i="27" s="1"/>
  <c r="AC102" i="27" a="1"/>
  <c r="AC102" i="27" s="1"/>
  <c r="AH102" i="27" a="1"/>
  <c r="AH102" i="27" s="1"/>
  <c r="P102" i="27" a="1"/>
  <c r="P102" i="27" s="1"/>
  <c r="T102" i="27" a="1"/>
  <c r="T102" i="27" s="1"/>
  <c r="AD102" i="27" a="1"/>
  <c r="AD102" i="27" s="1"/>
  <c r="AI102" i="27" a="1"/>
  <c r="AI102" i="27" s="1"/>
  <c r="N81" i="27" a="1"/>
  <c r="N81" i="27" s="1"/>
  <c r="T81" i="27" a="1"/>
  <c r="T81" i="27" s="1"/>
  <c r="Z81" i="27" a="1"/>
  <c r="Z81" i="27" s="1"/>
  <c r="AD81" i="27" a="1"/>
  <c r="AD81" i="27" s="1"/>
  <c r="O81" i="27" a="1"/>
  <c r="O81" i="27" s="1"/>
  <c r="U81" i="27" a="1"/>
  <c r="U81" i="27" s="1"/>
  <c r="AA81" i="27" a="1"/>
  <c r="AA81" i="27" s="1"/>
  <c r="AE81" i="27" a="1"/>
  <c r="AE81" i="27" s="1"/>
  <c r="P81" i="27" a="1"/>
  <c r="P81" i="27" s="1"/>
  <c r="V81" i="27" a="1"/>
  <c r="V81" i="27" s="1"/>
  <c r="AF81" i="27" a="1"/>
  <c r="AF81" i="27" s="1"/>
  <c r="Q81" i="27" a="1"/>
  <c r="Q81" i="27" s="1"/>
  <c r="W81" i="27" a="1"/>
  <c r="W81" i="27" s="1"/>
  <c r="AB81" i="27" a="1"/>
  <c r="AB81" i="27" s="1"/>
  <c r="AG81" i="27" a="1"/>
  <c r="AG81" i="27" s="1"/>
  <c r="L81" i="27" a="1"/>
  <c r="L81" i="27" s="1"/>
  <c r="R81" i="27" a="1"/>
  <c r="R81" i="27" s="1"/>
  <c r="X81" i="27" a="1"/>
  <c r="X81" i="27" s="1"/>
  <c r="AC81" i="27" a="1"/>
  <c r="AC81" i="27" s="1"/>
  <c r="AH81" i="27" a="1"/>
  <c r="AH81" i="27" s="1"/>
  <c r="M81" i="27" a="1"/>
  <c r="M81" i="27" s="1"/>
  <c r="S81" i="27" a="1"/>
  <c r="S81" i="27" s="1"/>
  <c r="Y81" i="27" a="1"/>
  <c r="Y81" i="27" s="1"/>
  <c r="AI81" i="27" a="1"/>
  <c r="AI81" i="27" s="1"/>
  <c r="M136" i="27" a="1"/>
  <c r="M136" i="27" s="1"/>
  <c r="R136" i="27" a="1"/>
  <c r="R136" i="27" s="1"/>
  <c r="V136" i="27" a="1"/>
  <c r="V136" i="27" s="1"/>
  <c r="AF136" i="27" a="1"/>
  <c r="AF136" i="27" s="1"/>
  <c r="S136" i="27" a="1"/>
  <c r="S136" i="27" s="1"/>
  <c r="W136" i="27" a="1"/>
  <c r="W136" i="27" s="1"/>
  <c r="AB136" i="27" a="1"/>
  <c r="AB136" i="27" s="1"/>
  <c r="AG136" i="27" a="1"/>
  <c r="AG136" i="27" s="1"/>
  <c r="N136" i="27" a="1"/>
  <c r="N136" i="27" s="1"/>
  <c r="X136" i="27" a="1"/>
  <c r="X136" i="27" s="1"/>
  <c r="AC136" i="27" a="1"/>
  <c r="AC136" i="27" s="1"/>
  <c r="AH136" i="27" a="1"/>
  <c r="AH136" i="27" s="1"/>
  <c r="O136" i="27" a="1"/>
  <c r="O136" i="27" s="1"/>
  <c r="T136" i="27" a="1"/>
  <c r="T136" i="27" s="1"/>
  <c r="Y136" i="27" a="1"/>
  <c r="Y136" i="27" s="1"/>
  <c r="AI136" i="27" a="1"/>
  <c r="AI136" i="27" s="1"/>
  <c r="P136" i="27" a="1"/>
  <c r="P136" i="27" s="1"/>
  <c r="U136" i="27" a="1"/>
  <c r="U136" i="27" s="1"/>
  <c r="Z136" i="27" a="1"/>
  <c r="Z136" i="27" s="1"/>
  <c r="AD136" i="27" a="1"/>
  <c r="AD136" i="27" s="1"/>
  <c r="L136" i="27" a="1"/>
  <c r="L136" i="27" s="1"/>
  <c r="Q136" i="27" a="1"/>
  <c r="Q136" i="27" s="1"/>
  <c r="AA136" i="27" a="1"/>
  <c r="AA136" i="27" s="1"/>
  <c r="AE136" i="27" a="1"/>
  <c r="AE136" i="27" s="1"/>
  <c r="Q87" i="27" a="1"/>
  <c r="Q87" i="27" s="1"/>
  <c r="U87" i="27" a="1"/>
  <c r="U87" i="27" s="1"/>
  <c r="Z87" i="27" a="1"/>
  <c r="Z87" i="27" s="1"/>
  <c r="AE87" i="27" a="1"/>
  <c r="AE87" i="27" s="1"/>
  <c r="L87" i="27" a="1"/>
  <c r="L87" i="27" s="1"/>
  <c r="V87" i="27" a="1"/>
  <c r="V87" i="27" s="1"/>
  <c r="AA87" i="27" a="1"/>
  <c r="AA87" i="27" s="1"/>
  <c r="AF87" i="27" a="1"/>
  <c r="AF87" i="27" s="1"/>
  <c r="M87" i="27" a="1"/>
  <c r="M87" i="27" s="1"/>
  <c r="R87" i="27" a="1"/>
  <c r="R87" i="27" s="1"/>
  <c r="W87" i="27" a="1"/>
  <c r="W87" i="27" s="1"/>
  <c r="AG87" i="27" a="1"/>
  <c r="AG87" i="27" s="1"/>
  <c r="N87" i="27" a="1"/>
  <c r="N87" i="27" s="1"/>
  <c r="S87" i="27" a="1"/>
  <c r="S87" i="27" s="1"/>
  <c r="X87" i="27" a="1"/>
  <c r="X87" i="27" s="1"/>
  <c r="AB87" i="27" a="1"/>
  <c r="AB87" i="27" s="1"/>
  <c r="O87" i="27" a="1"/>
  <c r="O87" i="27" s="1"/>
  <c r="Y87" i="27" a="1"/>
  <c r="Y87" i="27" s="1"/>
  <c r="AC87" i="27" a="1"/>
  <c r="AC87" i="27" s="1"/>
  <c r="AH87" i="27" a="1"/>
  <c r="AH87" i="27" s="1"/>
  <c r="P87" i="27" a="1"/>
  <c r="P87" i="27" s="1"/>
  <c r="T87" i="27" a="1"/>
  <c r="T87" i="27" s="1"/>
  <c r="AD87" i="27" a="1"/>
  <c r="AD87" i="27" s="1"/>
  <c r="AI87" i="27" a="1"/>
  <c r="AI87" i="27" s="1"/>
  <c r="M39" i="27" a="1"/>
  <c r="M39" i="27" s="1"/>
  <c r="R39" i="27" a="1"/>
  <c r="R39" i="27" s="1"/>
  <c r="X39" i="27" a="1"/>
  <c r="X39" i="27" s="1"/>
  <c r="AC39" i="27" a="1"/>
  <c r="AC39" i="27" s="1"/>
  <c r="AH39" i="27" a="1"/>
  <c r="AH39" i="27" s="1"/>
  <c r="N39" i="27" a="1"/>
  <c r="N39" i="27" s="1"/>
  <c r="S39" i="27" a="1"/>
  <c r="S39" i="27" s="1"/>
  <c r="Y39" i="27" a="1"/>
  <c r="Y39" i="27" s="1"/>
  <c r="AD39" i="27" a="1"/>
  <c r="AD39" i="27" s="1"/>
  <c r="AI39" i="27" a="1"/>
  <c r="AI39" i="27" s="1"/>
  <c r="O39" i="27" a="1"/>
  <c r="O39" i="27" s="1"/>
  <c r="T39" i="27" a="1"/>
  <c r="T39" i="27" s="1"/>
  <c r="AE39" i="27" a="1"/>
  <c r="AE39" i="27" s="1"/>
  <c r="P39" i="27" a="1"/>
  <c r="P39" i="27" s="1"/>
  <c r="U39" i="27" a="1"/>
  <c r="U39" i="27" s="1"/>
  <c r="Z39" i="27" a="1"/>
  <c r="Z39" i="27" s="1"/>
  <c r="AF39" i="27" a="1"/>
  <c r="AF39" i="27" s="1"/>
  <c r="Q39" i="27" a="1"/>
  <c r="Q39" i="27" s="1"/>
  <c r="V39" i="27" a="1"/>
  <c r="V39" i="27" s="1"/>
  <c r="AA39" i="27" a="1"/>
  <c r="AA39" i="27" s="1"/>
  <c r="AG39" i="27" a="1"/>
  <c r="AG39" i="27" s="1"/>
  <c r="L39" i="27" a="1"/>
  <c r="L39" i="27" s="1"/>
  <c r="W39" i="27" a="1"/>
  <c r="W39" i="27" s="1"/>
  <c r="AB39" i="27" a="1"/>
  <c r="AB39" i="27" s="1"/>
  <c r="M128" i="27" a="1"/>
  <c r="M128" i="27" s="1"/>
  <c r="R128" i="27" a="1"/>
  <c r="R128" i="27" s="1"/>
  <c r="V128" i="27" a="1"/>
  <c r="V128" i="27" s="1"/>
  <c r="AF128" i="27" a="1"/>
  <c r="AF128" i="27" s="1"/>
  <c r="S128" i="27" a="1"/>
  <c r="S128" i="27" s="1"/>
  <c r="W128" i="27" a="1"/>
  <c r="W128" i="27" s="1"/>
  <c r="AB128" i="27" a="1"/>
  <c r="AB128" i="27" s="1"/>
  <c r="AG128" i="27" a="1"/>
  <c r="AG128" i="27" s="1"/>
  <c r="N128" i="27" a="1"/>
  <c r="N128" i="27" s="1"/>
  <c r="X128" i="27" a="1"/>
  <c r="X128" i="27" s="1"/>
  <c r="AC128" i="27" a="1"/>
  <c r="AC128" i="27" s="1"/>
  <c r="AH128" i="27" a="1"/>
  <c r="AH128" i="27" s="1"/>
  <c r="O128" i="27" a="1"/>
  <c r="O128" i="27" s="1"/>
  <c r="T128" i="27" a="1"/>
  <c r="T128" i="27" s="1"/>
  <c r="Y128" i="27" a="1"/>
  <c r="Y128" i="27" s="1"/>
  <c r="AI128" i="27" a="1"/>
  <c r="AI128" i="27" s="1"/>
  <c r="P128" i="27" a="1"/>
  <c r="P128" i="27" s="1"/>
  <c r="U128" i="27" a="1"/>
  <c r="U128" i="27" s="1"/>
  <c r="Z128" i="27" a="1"/>
  <c r="Z128" i="27" s="1"/>
  <c r="AD128" i="27" a="1"/>
  <c r="AD128" i="27" s="1"/>
  <c r="L128" i="27" a="1"/>
  <c r="L128" i="27" s="1"/>
  <c r="Q128" i="27" a="1"/>
  <c r="Q128" i="27" s="1"/>
  <c r="AA128" i="27" a="1"/>
  <c r="AA128" i="27" s="1"/>
  <c r="AE128" i="27" a="1"/>
  <c r="AE128" i="27" s="1"/>
  <c r="P76" i="27" a="1"/>
  <c r="P76" i="27" s="1"/>
  <c r="U76" i="27" a="1"/>
  <c r="U76" i="27" s="1"/>
  <c r="Y76" i="27" a="1"/>
  <c r="Y76" i="27" s="1"/>
  <c r="AI76" i="27" a="1"/>
  <c r="AI76" i="27" s="1"/>
  <c r="L76" i="27" a="1"/>
  <c r="L76" i="27" s="1"/>
  <c r="V76" i="27" a="1"/>
  <c r="V76" i="27" s="1"/>
  <c r="Z76" i="27" a="1"/>
  <c r="Z76" i="27" s="1"/>
  <c r="AE76" i="27" a="1"/>
  <c r="AE76" i="27" s="1"/>
  <c r="M76" i="27" a="1"/>
  <c r="M76" i="27" s="1"/>
  <c r="Q76" i="27" a="1"/>
  <c r="Q76" i="27" s="1"/>
  <c r="AA76" i="27" a="1"/>
  <c r="AA76" i="27" s="1"/>
  <c r="AF76" i="27" a="1"/>
  <c r="AF76" i="27" s="1"/>
  <c r="N76" i="27" a="1"/>
  <c r="N76" i="27" s="1"/>
  <c r="R76" i="27" a="1"/>
  <c r="R76" i="27" s="1"/>
  <c r="W76" i="27" a="1"/>
  <c r="W76" i="27" s="1"/>
  <c r="AB76" i="27" a="1"/>
  <c r="AB76" i="27" s="1"/>
  <c r="S76" i="27" a="1"/>
  <c r="S76" i="27" s="1"/>
  <c r="X76" i="27" a="1"/>
  <c r="X76" i="27" s="1"/>
  <c r="AC76" i="27" a="1"/>
  <c r="AC76" i="27" s="1"/>
  <c r="AG76" i="27" a="1"/>
  <c r="AG76" i="27" s="1"/>
  <c r="O76" i="27" a="1"/>
  <c r="O76" i="27" s="1"/>
  <c r="T76" i="27" a="1"/>
  <c r="T76" i="27" s="1"/>
  <c r="AD76" i="27" a="1"/>
  <c r="AD76" i="27" s="1"/>
  <c r="AH76" i="27" a="1"/>
  <c r="AH76" i="27" s="1"/>
  <c r="L28" i="27" a="1"/>
  <c r="L28" i="27" s="1"/>
  <c r="Q28" i="27" a="1"/>
  <c r="Q28" i="27" s="1"/>
  <c r="V28" i="27" a="1"/>
  <c r="V28" i="27" s="1"/>
  <c r="Z28" i="27" a="1"/>
  <c r="Z28" i="27" s="1"/>
  <c r="M28" i="27" a="1"/>
  <c r="M28" i="27" s="1"/>
  <c r="W28" i="27" a="1"/>
  <c r="W28" i="27" s="1"/>
  <c r="AA28" i="27" a="1"/>
  <c r="AA28" i="27" s="1"/>
  <c r="AF28" i="27" a="1"/>
  <c r="AF28" i="27" s="1"/>
  <c r="N28" i="27" a="1"/>
  <c r="N28" i="27" s="1"/>
  <c r="R28" i="27" a="1"/>
  <c r="R28" i="27" s="1"/>
  <c r="AB28" i="27" a="1"/>
  <c r="AB28" i="27" s="1"/>
  <c r="AG28" i="27" a="1"/>
  <c r="AG28" i="27" s="1"/>
  <c r="O28" i="27" a="1"/>
  <c r="O28" i="27" s="1"/>
  <c r="S28" i="27" a="1"/>
  <c r="S28" i="27" s="1"/>
  <c r="X28" i="27" a="1"/>
  <c r="X28" i="27" s="1"/>
  <c r="AC28" i="27" a="1"/>
  <c r="AC28" i="27" s="1"/>
  <c r="T28" i="27" a="1"/>
  <c r="T28" i="27" s="1"/>
  <c r="Y28" i="27" a="1"/>
  <c r="Y28" i="27" s="1"/>
  <c r="AD28" i="27" a="1"/>
  <c r="AD28" i="27" s="1"/>
  <c r="AH28" i="27" a="1"/>
  <c r="AH28" i="27" s="1"/>
  <c r="P28" i="27" a="1"/>
  <c r="P28" i="27" s="1"/>
  <c r="U28" i="27" a="1"/>
  <c r="U28" i="27" s="1"/>
  <c r="AE28" i="27" a="1"/>
  <c r="AE28" i="27" s="1"/>
  <c r="AI28" i="27" a="1"/>
  <c r="AI28" i="27" s="1"/>
  <c r="Q106" i="27" a="1"/>
  <c r="Q106" i="27" s="1"/>
  <c r="U106" i="27" a="1"/>
  <c r="U106" i="27" s="1"/>
  <c r="Z106" i="27" a="1"/>
  <c r="Z106" i="27" s="1"/>
  <c r="AE106" i="27" a="1"/>
  <c r="AE106" i="27" s="1"/>
  <c r="L106" i="27" a="1"/>
  <c r="L106" i="27" s="1"/>
  <c r="V106" i="27" a="1"/>
  <c r="V106" i="27" s="1"/>
  <c r="AA106" i="27" a="1"/>
  <c r="AA106" i="27" s="1"/>
  <c r="AF106" i="27" a="1"/>
  <c r="AF106" i="27" s="1"/>
  <c r="M106" i="27" a="1"/>
  <c r="M106" i="27" s="1"/>
  <c r="R106" i="27" a="1"/>
  <c r="R106" i="27" s="1"/>
  <c r="W106" i="27" a="1"/>
  <c r="W106" i="27" s="1"/>
  <c r="AG106" i="27" a="1"/>
  <c r="AG106" i="27" s="1"/>
  <c r="N106" i="27" a="1"/>
  <c r="N106" i="27" s="1"/>
  <c r="S106" i="27" a="1"/>
  <c r="S106" i="27" s="1"/>
  <c r="X106" i="27" a="1"/>
  <c r="X106" i="27" s="1"/>
  <c r="AB106" i="27" a="1"/>
  <c r="AB106" i="27" s="1"/>
  <c r="O106" i="27" a="1"/>
  <c r="O106" i="27" s="1"/>
  <c r="Y106" i="27" a="1"/>
  <c r="Y106" i="27" s="1"/>
  <c r="AC106" i="27" a="1"/>
  <c r="AC106" i="27" s="1"/>
  <c r="AH106" i="27" a="1"/>
  <c r="AH106" i="27" s="1"/>
  <c r="P106" i="27" a="1"/>
  <c r="P106" i="27" s="1"/>
  <c r="T106" i="27" a="1"/>
  <c r="T106" i="27" s="1"/>
  <c r="AD106" i="27" a="1"/>
  <c r="AD106" i="27" s="1"/>
  <c r="AI106" i="27" a="1"/>
  <c r="AI106" i="27" s="1"/>
  <c r="O115" i="27" a="1"/>
  <c r="O115" i="27" s="1"/>
  <c r="U115" i="27" a="1"/>
  <c r="U115" i="27" s="1"/>
  <c r="AA115" i="27" a="1"/>
  <c r="AA115" i="27" s="1"/>
  <c r="AG115" i="27" a="1"/>
  <c r="AG115" i="27" s="1"/>
  <c r="P115" i="27" a="1"/>
  <c r="P115" i="27" s="1"/>
  <c r="V115" i="27" a="1"/>
  <c r="V115" i="27" s="1"/>
  <c r="AB115" i="27" a="1"/>
  <c r="AB115" i="27" s="1"/>
  <c r="AH115" i="27" a="1"/>
  <c r="AH115" i="27" s="1"/>
  <c r="Q115" i="27" a="1"/>
  <c r="Q115" i="27" s="1"/>
  <c r="W115" i="27" a="1"/>
  <c r="W115" i="27" s="1"/>
  <c r="AC115" i="27" a="1"/>
  <c r="AC115" i="27" s="1"/>
  <c r="AI115" i="27" a="1"/>
  <c r="AI115" i="27" s="1"/>
  <c r="L115" i="27" a="1"/>
  <c r="L115" i="27" s="1"/>
  <c r="R115" i="27" a="1"/>
  <c r="R115" i="27" s="1"/>
  <c r="X115" i="27" a="1"/>
  <c r="X115" i="27" s="1"/>
  <c r="AD115" i="27" a="1"/>
  <c r="AD115" i="27" s="1"/>
  <c r="M115" i="27" a="1"/>
  <c r="M115" i="27" s="1"/>
  <c r="S115" i="27" a="1"/>
  <c r="S115" i="27" s="1"/>
  <c r="Y115" i="27" a="1"/>
  <c r="Y115" i="27" s="1"/>
  <c r="AE115" i="27" a="1"/>
  <c r="AE115" i="27" s="1"/>
  <c r="N115" i="27" a="1"/>
  <c r="N115" i="27" s="1"/>
  <c r="T115" i="27" a="1"/>
  <c r="T115" i="27" s="1"/>
  <c r="Z115" i="27" a="1"/>
  <c r="Z115" i="27" s="1"/>
  <c r="AF115" i="27" a="1"/>
  <c r="AF115" i="27" s="1"/>
  <c r="N19" i="27" a="1"/>
  <c r="N19" i="27" s="1"/>
  <c r="Y19" i="27" a="1"/>
  <c r="Y19" i="27" s="1"/>
  <c r="AD19" i="27" a="1"/>
  <c r="AD19" i="27" s="1"/>
  <c r="AI19" i="27" a="1"/>
  <c r="AI19" i="27" s="1"/>
  <c r="O19" i="27" a="1"/>
  <c r="O19" i="27" s="1"/>
  <c r="T19" i="27" a="1"/>
  <c r="T19" i="27" s="1"/>
  <c r="AE19" i="27" a="1"/>
  <c r="AE19" i="27" s="1"/>
  <c r="P19" i="27" a="1"/>
  <c r="P19" i="27" s="1"/>
  <c r="Q19" i="27" a="1"/>
  <c r="Q19" i="27" s="1"/>
  <c r="L19" i="27" a="1"/>
  <c r="L19" i="27" s="1"/>
  <c r="R19" i="27" a="1"/>
  <c r="R19" i="27" s="1"/>
  <c r="M19" i="27" a="1"/>
  <c r="M19" i="27" s="1"/>
  <c r="S19" i="27" a="1"/>
  <c r="S19" i="27" s="1"/>
  <c r="X19" i="27" a="1"/>
  <c r="X19" i="27" s="1"/>
  <c r="AC19" i="27" a="1"/>
  <c r="AC19" i="27" s="1"/>
  <c r="AH19" i="27" a="1"/>
  <c r="AH19" i="27" s="1"/>
  <c r="U19" i="27" a="1"/>
  <c r="U19" i="27" s="1"/>
  <c r="AF19" i="27" a="1"/>
  <c r="AF19" i="27" s="1"/>
  <c r="V19" i="27" a="1"/>
  <c r="V19" i="27" s="1"/>
  <c r="AG19" i="27" a="1"/>
  <c r="AG19" i="27" s="1"/>
  <c r="W19" i="27" a="1"/>
  <c r="W19" i="27" s="1"/>
  <c r="Z19" i="27" a="1"/>
  <c r="Z19" i="27" s="1"/>
  <c r="AA19" i="27" a="1"/>
  <c r="AA19" i="27" s="1"/>
  <c r="AB19" i="27" a="1"/>
  <c r="AB19" i="27" s="1"/>
  <c r="N72" i="27" a="1"/>
  <c r="N72" i="27" s="1"/>
  <c r="R72" i="27" a="1"/>
  <c r="R72" i="27" s="1"/>
  <c r="V72" i="27" a="1"/>
  <c r="V72" i="27" s="1"/>
  <c r="Z72" i="27" a="1"/>
  <c r="Z72" i="27" s="1"/>
  <c r="AD72" i="27" a="1"/>
  <c r="AD72" i="27" s="1"/>
  <c r="AH72" i="27" a="1"/>
  <c r="AH72" i="27" s="1"/>
  <c r="O72" i="27" a="1"/>
  <c r="O72" i="27" s="1"/>
  <c r="S72" i="27" a="1"/>
  <c r="S72" i="27" s="1"/>
  <c r="W72" i="27" a="1"/>
  <c r="W72" i="27" s="1"/>
  <c r="AA72" i="27" a="1"/>
  <c r="AA72" i="27" s="1"/>
  <c r="AE72" i="27" a="1"/>
  <c r="AE72" i="27" s="1"/>
  <c r="AI72" i="27" a="1"/>
  <c r="AI72" i="27" s="1"/>
  <c r="L72" i="27" a="1"/>
  <c r="L72" i="27" s="1"/>
  <c r="P72" i="27" a="1"/>
  <c r="P72" i="27" s="1"/>
  <c r="T72" i="27" a="1"/>
  <c r="T72" i="27" s="1"/>
  <c r="X72" i="27" a="1"/>
  <c r="X72" i="27" s="1"/>
  <c r="AB72" i="27" a="1"/>
  <c r="AB72" i="27" s="1"/>
  <c r="AF72" i="27" a="1"/>
  <c r="AF72" i="27" s="1"/>
  <c r="M72" i="27" a="1"/>
  <c r="M72" i="27" s="1"/>
  <c r="Q72" i="27" a="1"/>
  <c r="Q72" i="27" s="1"/>
  <c r="U72" i="27" a="1"/>
  <c r="U72" i="27" s="1"/>
  <c r="Y72" i="27" a="1"/>
  <c r="Y72" i="27" s="1"/>
  <c r="AC72" i="27" a="1"/>
  <c r="AC72" i="27" s="1"/>
  <c r="AG72" i="27" a="1"/>
  <c r="AG72" i="27" s="1"/>
  <c r="Q97" i="27" a="1"/>
  <c r="Q97" i="27" s="1"/>
  <c r="U97" i="27" a="1"/>
  <c r="U97" i="27" s="1"/>
  <c r="Z97" i="27" a="1"/>
  <c r="Z97" i="27" s="1"/>
  <c r="AE97" i="27" a="1"/>
  <c r="AE97" i="27" s="1"/>
  <c r="L97" i="27" a="1"/>
  <c r="L97" i="27" s="1"/>
  <c r="V97" i="27" a="1"/>
  <c r="V97" i="27" s="1"/>
  <c r="AA97" i="27" a="1"/>
  <c r="AA97" i="27" s="1"/>
  <c r="AF97" i="27" a="1"/>
  <c r="AF97" i="27" s="1"/>
  <c r="M97" i="27" a="1"/>
  <c r="M97" i="27" s="1"/>
  <c r="R97" i="27" a="1"/>
  <c r="R97" i="27" s="1"/>
  <c r="W97" i="27" a="1"/>
  <c r="W97" i="27" s="1"/>
  <c r="AG97" i="27" a="1"/>
  <c r="AG97" i="27" s="1"/>
  <c r="N97" i="27" a="1"/>
  <c r="N97" i="27" s="1"/>
  <c r="S97" i="27" a="1"/>
  <c r="S97" i="27" s="1"/>
  <c r="X97" i="27" a="1"/>
  <c r="X97" i="27" s="1"/>
  <c r="AB97" i="27" a="1"/>
  <c r="AB97" i="27" s="1"/>
  <c r="O97" i="27" a="1"/>
  <c r="O97" i="27" s="1"/>
  <c r="Y97" i="27" a="1"/>
  <c r="Y97" i="27" s="1"/>
  <c r="AC97" i="27" a="1"/>
  <c r="AC97" i="27" s="1"/>
  <c r="AH97" i="27" a="1"/>
  <c r="AH97" i="27" s="1"/>
  <c r="P97" i="27" a="1"/>
  <c r="P97" i="27" s="1"/>
  <c r="T97" i="27" a="1"/>
  <c r="T97" i="27" s="1"/>
  <c r="AD97" i="27" a="1"/>
  <c r="AD97" i="27" s="1"/>
  <c r="AI97" i="27" a="1"/>
  <c r="AI97" i="27" s="1"/>
  <c r="M111" i="27" a="1"/>
  <c r="M111" i="27" s="1"/>
  <c r="Q111" i="27" a="1"/>
  <c r="Q111" i="27" s="1"/>
  <c r="U111" i="27" a="1"/>
  <c r="U111" i="27" s="1"/>
  <c r="Y111" i="27" a="1"/>
  <c r="Y111" i="27" s="1"/>
  <c r="AC111" i="27" a="1"/>
  <c r="AC111" i="27" s="1"/>
  <c r="AG111" i="27" a="1"/>
  <c r="AG111" i="27" s="1"/>
  <c r="N111" i="27" a="1"/>
  <c r="N111" i="27" s="1"/>
  <c r="R111" i="27" a="1"/>
  <c r="R111" i="27" s="1"/>
  <c r="V111" i="27" a="1"/>
  <c r="V111" i="27" s="1"/>
  <c r="Z111" i="27" a="1"/>
  <c r="Z111" i="27" s="1"/>
  <c r="AD111" i="27" a="1"/>
  <c r="AD111" i="27" s="1"/>
  <c r="AH111" i="27" a="1"/>
  <c r="AH111" i="27" s="1"/>
  <c r="O111" i="27" a="1"/>
  <c r="O111" i="27" s="1"/>
  <c r="S111" i="27" a="1"/>
  <c r="S111" i="27" s="1"/>
  <c r="W111" i="27" a="1"/>
  <c r="W111" i="27" s="1"/>
  <c r="AA111" i="27" a="1"/>
  <c r="AA111" i="27" s="1"/>
  <c r="AE111" i="27" a="1"/>
  <c r="AE111" i="27" s="1"/>
  <c r="AI111" i="27" a="1"/>
  <c r="AI111" i="27" s="1"/>
  <c r="L111" i="27" a="1"/>
  <c r="L111" i="27" s="1"/>
  <c r="P111" i="27" a="1"/>
  <c r="P111" i="27" s="1"/>
  <c r="T111" i="27" a="1"/>
  <c r="T111" i="27" s="1"/>
  <c r="X111" i="27" a="1"/>
  <c r="X111" i="27" s="1"/>
  <c r="AB111" i="27" a="1"/>
  <c r="AB111" i="27" s="1"/>
  <c r="AF111" i="27" a="1"/>
  <c r="AF111" i="27" s="1"/>
  <c r="O15" i="27" a="1"/>
  <c r="O15" i="27" s="1"/>
  <c r="T15" i="27" a="1"/>
  <c r="T15" i="27" s="1"/>
  <c r="Z15" i="27" a="1"/>
  <c r="Z15" i="27" s="1"/>
  <c r="AE15" i="27" a="1"/>
  <c r="AE15" i="27" s="1"/>
  <c r="P15" i="27" a="1"/>
  <c r="P15" i="27" s="1"/>
  <c r="U15" i="27" a="1"/>
  <c r="U15" i="27" s="1"/>
  <c r="AA15" i="27" a="1"/>
  <c r="AA15" i="27" s="1"/>
  <c r="AF15" i="27" a="1"/>
  <c r="AF15" i="27" s="1"/>
  <c r="Q15" i="27" a="1"/>
  <c r="Q15" i="27" s="1"/>
  <c r="V15" i="27" a="1"/>
  <c r="V15" i="27" s="1"/>
  <c r="AG15" i="27" a="1"/>
  <c r="AG15" i="27" s="1"/>
  <c r="L15" i="27" a="1"/>
  <c r="L15" i="27" s="1"/>
  <c r="R15" i="27" a="1"/>
  <c r="R15" i="27" s="1"/>
  <c r="W15" i="27" a="1"/>
  <c r="W15" i="27" s="1"/>
  <c r="AB15" i="27" a="1"/>
  <c r="AB15" i="27" s="1"/>
  <c r="AH15" i="27" a="1"/>
  <c r="AH15" i="27" s="1"/>
  <c r="M15" i="27" a="1"/>
  <c r="M15" i="27" s="1"/>
  <c r="S15" i="27" a="1"/>
  <c r="S15" i="27" s="1"/>
  <c r="X15" i="27" a="1"/>
  <c r="X15" i="27" s="1"/>
  <c r="AC15" i="27" a="1"/>
  <c r="AC15" i="27" s="1"/>
  <c r="AI15" i="27" a="1"/>
  <c r="AI15" i="27" s="1"/>
  <c r="N15" i="27" a="1"/>
  <c r="N15" i="27" s="1"/>
  <c r="Y15" i="27" a="1"/>
  <c r="Y15" i="27" s="1"/>
  <c r="AD15" i="27" a="1"/>
  <c r="AD15" i="27" s="1"/>
  <c r="Q20" i="27" a="1"/>
  <c r="Q20" i="27" s="1"/>
  <c r="V20" i="27" a="1"/>
  <c r="V20" i="27" s="1"/>
  <c r="AA20" i="27" a="1"/>
  <c r="AA20" i="27" s="1"/>
  <c r="AG20" i="27" a="1"/>
  <c r="AG20" i="27" s="1"/>
  <c r="L20" i="27" a="1"/>
  <c r="L20" i="27" s="1"/>
  <c r="W20" i="27" a="1"/>
  <c r="W20" i="27" s="1"/>
  <c r="AB20" i="27" a="1"/>
  <c r="AB20" i="27" s="1"/>
  <c r="P20" i="27" a="1"/>
  <c r="P20" i="27" s="1"/>
  <c r="U20" i="27" a="1"/>
  <c r="U20" i="27" s="1"/>
  <c r="Z20" i="27" a="1"/>
  <c r="Z20" i="27" s="1"/>
  <c r="AF20" i="27" a="1"/>
  <c r="AF20" i="27" s="1"/>
  <c r="R20" i="27" a="1"/>
  <c r="R20" i="27" s="1"/>
  <c r="AC20" i="27" a="1"/>
  <c r="AC20" i="27" s="1"/>
  <c r="S20" i="27" a="1"/>
  <c r="S20" i="27" s="1"/>
  <c r="AD20" i="27" a="1"/>
  <c r="AD20" i="27" s="1"/>
  <c r="T20" i="27" a="1"/>
  <c r="T20" i="27" s="1"/>
  <c r="AE20" i="27" a="1"/>
  <c r="AE20" i="27" s="1"/>
  <c r="M20" i="27" a="1"/>
  <c r="M20" i="27" s="1"/>
  <c r="X20" i="27" a="1"/>
  <c r="X20" i="27" s="1"/>
  <c r="AH20" i="27" a="1"/>
  <c r="AH20" i="27" s="1"/>
  <c r="N20" i="27" a="1"/>
  <c r="N20" i="27" s="1"/>
  <c r="Y20" i="27" a="1"/>
  <c r="Y20" i="27" s="1"/>
  <c r="AI20" i="27" a="1"/>
  <c r="AI20" i="27" s="1"/>
  <c r="O20" i="27" a="1"/>
  <c r="O20" i="27" s="1"/>
  <c r="O118" i="27" a="1"/>
  <c r="O118" i="27" s="1"/>
  <c r="U118" i="27" a="1"/>
  <c r="U118" i="27" s="1"/>
  <c r="AA118" i="27" a="1"/>
  <c r="AA118" i="27" s="1"/>
  <c r="AG118" i="27" a="1"/>
  <c r="AG118" i="27" s="1"/>
  <c r="P118" i="27" a="1"/>
  <c r="P118" i="27" s="1"/>
  <c r="V118" i="27" a="1"/>
  <c r="V118" i="27" s="1"/>
  <c r="AB118" i="27" a="1"/>
  <c r="AB118" i="27" s="1"/>
  <c r="AH118" i="27" a="1"/>
  <c r="AH118" i="27" s="1"/>
  <c r="Q118" i="27" a="1"/>
  <c r="Q118" i="27" s="1"/>
  <c r="W118" i="27" a="1"/>
  <c r="W118" i="27" s="1"/>
  <c r="AC118" i="27" a="1"/>
  <c r="AC118" i="27" s="1"/>
  <c r="AI118" i="27" a="1"/>
  <c r="AI118" i="27" s="1"/>
  <c r="L118" i="27" a="1"/>
  <c r="L118" i="27" s="1"/>
  <c r="R118" i="27" a="1"/>
  <c r="R118" i="27" s="1"/>
  <c r="X118" i="27" a="1"/>
  <c r="X118" i="27" s="1"/>
  <c r="AD118" i="27" a="1"/>
  <c r="AD118" i="27" s="1"/>
  <c r="M118" i="27" a="1"/>
  <c r="M118" i="27" s="1"/>
  <c r="S118" i="27" a="1"/>
  <c r="S118" i="27" s="1"/>
  <c r="Y118" i="27" a="1"/>
  <c r="Y118" i="27" s="1"/>
  <c r="AE118" i="27" a="1"/>
  <c r="AE118" i="27" s="1"/>
  <c r="N118" i="27" a="1"/>
  <c r="N118" i="27" s="1"/>
  <c r="T118" i="27" a="1"/>
  <c r="T118" i="27" s="1"/>
  <c r="Z118" i="27" a="1"/>
  <c r="Z118" i="27" s="1"/>
  <c r="AF118" i="27" a="1"/>
  <c r="AF118" i="27" s="1"/>
  <c r="M125" i="27" a="1"/>
  <c r="M125" i="27" s="1"/>
  <c r="R125" i="27" a="1"/>
  <c r="R125" i="27" s="1"/>
  <c r="V125" i="27" a="1"/>
  <c r="V125" i="27" s="1"/>
  <c r="AF125" i="27" a="1"/>
  <c r="AF125" i="27" s="1"/>
  <c r="S125" i="27" a="1"/>
  <c r="S125" i="27" s="1"/>
  <c r="W125" i="27" a="1"/>
  <c r="W125" i="27" s="1"/>
  <c r="AB125" i="27" a="1"/>
  <c r="AB125" i="27" s="1"/>
  <c r="AG125" i="27" a="1"/>
  <c r="AG125" i="27" s="1"/>
  <c r="N125" i="27" a="1"/>
  <c r="N125" i="27" s="1"/>
  <c r="X125" i="27" a="1"/>
  <c r="X125" i="27" s="1"/>
  <c r="AC125" i="27" a="1"/>
  <c r="AC125" i="27" s="1"/>
  <c r="AH125" i="27" a="1"/>
  <c r="AH125" i="27" s="1"/>
  <c r="O125" i="27" a="1"/>
  <c r="O125" i="27" s="1"/>
  <c r="T125" i="27" a="1"/>
  <c r="T125" i="27" s="1"/>
  <c r="Y125" i="27" a="1"/>
  <c r="Y125" i="27" s="1"/>
  <c r="AI125" i="27" a="1"/>
  <c r="AI125" i="27" s="1"/>
  <c r="P125" i="27" a="1"/>
  <c r="P125" i="27" s="1"/>
  <c r="U125" i="27" a="1"/>
  <c r="U125" i="27" s="1"/>
  <c r="Z125" i="27" a="1"/>
  <c r="Z125" i="27" s="1"/>
  <c r="AD125" i="27" a="1"/>
  <c r="AD125" i="27" s="1"/>
  <c r="L125" i="27" a="1"/>
  <c r="L125" i="27" s="1"/>
  <c r="Q125" i="27" a="1"/>
  <c r="Q125" i="27" s="1"/>
  <c r="AA125" i="27" a="1"/>
  <c r="AA125" i="27" s="1"/>
  <c r="AE125" i="27" a="1"/>
  <c r="AE125" i="27" s="1"/>
  <c r="O117" i="27" a="1"/>
  <c r="O117" i="27" s="1"/>
  <c r="U117" i="27" a="1"/>
  <c r="U117" i="27" s="1"/>
  <c r="AA117" i="27" a="1"/>
  <c r="AA117" i="27" s="1"/>
  <c r="AG117" i="27" a="1"/>
  <c r="AG117" i="27" s="1"/>
  <c r="P117" i="27" a="1"/>
  <c r="P117" i="27" s="1"/>
  <c r="V117" i="27" a="1"/>
  <c r="V117" i="27" s="1"/>
  <c r="AB117" i="27" a="1"/>
  <c r="AB117" i="27" s="1"/>
  <c r="AH117" i="27" a="1"/>
  <c r="AH117" i="27" s="1"/>
  <c r="Q117" i="27" a="1"/>
  <c r="Q117" i="27" s="1"/>
  <c r="W117" i="27" a="1"/>
  <c r="W117" i="27" s="1"/>
  <c r="AC117" i="27" a="1"/>
  <c r="AC117" i="27" s="1"/>
  <c r="AI117" i="27" a="1"/>
  <c r="AI117" i="27" s="1"/>
  <c r="L117" i="27" a="1"/>
  <c r="L117" i="27" s="1"/>
  <c r="R117" i="27" a="1"/>
  <c r="R117" i="27" s="1"/>
  <c r="X117" i="27" a="1"/>
  <c r="X117" i="27" s="1"/>
  <c r="AD117" i="27" a="1"/>
  <c r="AD117" i="27" s="1"/>
  <c r="M117" i="27" a="1"/>
  <c r="M117" i="27" s="1"/>
  <c r="S117" i="27" a="1"/>
  <c r="S117" i="27" s="1"/>
  <c r="Y117" i="27" a="1"/>
  <c r="Y117" i="27" s="1"/>
  <c r="AE117" i="27" a="1"/>
  <c r="AE117" i="27" s="1"/>
  <c r="N117" i="27" a="1"/>
  <c r="N117" i="27" s="1"/>
  <c r="T117" i="27" a="1"/>
  <c r="T117" i="27" s="1"/>
  <c r="Z117" i="27" a="1"/>
  <c r="Z117" i="27" s="1"/>
  <c r="AF117" i="27" a="1"/>
  <c r="AF117" i="27" s="1"/>
  <c r="Q121" i="27" a="1"/>
  <c r="Q121" i="27" s="1"/>
  <c r="V121" i="27" a="1"/>
  <c r="V121" i="27" s="1"/>
  <c r="AF121" i="27" a="1"/>
  <c r="AF121" i="27" s="1"/>
  <c r="L121" i="27" a="1"/>
  <c r="L121" i="27" s="1"/>
  <c r="R121" i="27" a="1"/>
  <c r="R121" i="27" s="1"/>
  <c r="W121" i="27" a="1"/>
  <c r="W121" i="27" s="1"/>
  <c r="AB121" i="27" a="1"/>
  <c r="AB121" i="27" s="1"/>
  <c r="AG121" i="27" a="1"/>
  <c r="AG121" i="27" s="1"/>
  <c r="M121" i="27" a="1"/>
  <c r="M121" i="27" s="1"/>
  <c r="S121" i="27" a="1"/>
  <c r="S121" i="27" s="1"/>
  <c r="X121" i="27" a="1"/>
  <c r="X121" i="27" s="1"/>
  <c r="AC121" i="27" a="1"/>
  <c r="AC121" i="27" s="1"/>
  <c r="AH121" i="27" a="1"/>
  <c r="AH121" i="27" s="1"/>
  <c r="N121" i="27" a="1"/>
  <c r="N121" i="27" s="1"/>
  <c r="Y121" i="27" a="1"/>
  <c r="Y121" i="27" s="1"/>
  <c r="AI121" i="27" a="1"/>
  <c r="AI121" i="27" s="1"/>
  <c r="O121" i="27" a="1"/>
  <c r="O121" i="27" s="1"/>
  <c r="T121" i="27" a="1"/>
  <c r="T121" i="27" s="1"/>
  <c r="Z121" i="27" a="1"/>
  <c r="Z121" i="27" s="1"/>
  <c r="AD121" i="27" a="1"/>
  <c r="AD121" i="27" s="1"/>
  <c r="P121" i="27" a="1"/>
  <c r="P121" i="27" s="1"/>
  <c r="U121" i="27" a="1"/>
  <c r="U121" i="27" s="1"/>
  <c r="AA121" i="27" a="1"/>
  <c r="AA121" i="27" s="1"/>
  <c r="AE121" i="27" a="1"/>
  <c r="AE121" i="27" s="1"/>
  <c r="L25" i="27" a="1"/>
  <c r="L25" i="27" s="1"/>
  <c r="Q25" i="27" a="1"/>
  <c r="Q25" i="27" s="1"/>
  <c r="V25" i="27" a="1"/>
  <c r="V25" i="27" s="1"/>
  <c r="Z25" i="27" a="1"/>
  <c r="Z25" i="27" s="1"/>
  <c r="M25" i="27" a="1"/>
  <c r="M25" i="27" s="1"/>
  <c r="W25" i="27" a="1"/>
  <c r="W25" i="27" s="1"/>
  <c r="AA25" i="27" a="1"/>
  <c r="AA25" i="27" s="1"/>
  <c r="AF25" i="27" a="1"/>
  <c r="AF25" i="27" s="1"/>
  <c r="N25" i="27" a="1"/>
  <c r="N25" i="27" s="1"/>
  <c r="R25" i="27" a="1"/>
  <c r="R25" i="27" s="1"/>
  <c r="AB25" i="27" a="1"/>
  <c r="AB25" i="27" s="1"/>
  <c r="AG25" i="27" a="1"/>
  <c r="AG25" i="27" s="1"/>
  <c r="O25" i="27" a="1"/>
  <c r="O25" i="27" s="1"/>
  <c r="S25" i="27" a="1"/>
  <c r="S25" i="27" s="1"/>
  <c r="X25" i="27" a="1"/>
  <c r="X25" i="27" s="1"/>
  <c r="AC25" i="27" a="1"/>
  <c r="AC25" i="27" s="1"/>
  <c r="T25" i="27" a="1"/>
  <c r="T25" i="27" s="1"/>
  <c r="Y25" i="27" a="1"/>
  <c r="Y25" i="27" s="1"/>
  <c r="AD25" i="27" a="1"/>
  <c r="AD25" i="27" s="1"/>
  <c r="AH25" i="27" a="1"/>
  <c r="AH25" i="27" s="1"/>
  <c r="P25" i="27" a="1"/>
  <c r="P25" i="27" s="1"/>
  <c r="U25" i="27" a="1"/>
  <c r="U25" i="27" s="1"/>
  <c r="AE25" i="27" a="1"/>
  <c r="AE25" i="27" s="1"/>
  <c r="AI25" i="27" a="1"/>
  <c r="AI25" i="27" s="1"/>
  <c r="Q90" i="27" a="1"/>
  <c r="Q90" i="27" s="1"/>
  <c r="U90" i="27" a="1"/>
  <c r="U90" i="27" s="1"/>
  <c r="Z90" i="27" a="1"/>
  <c r="Z90" i="27" s="1"/>
  <c r="AE90" i="27" a="1"/>
  <c r="AE90" i="27" s="1"/>
  <c r="L90" i="27" a="1"/>
  <c r="L90" i="27" s="1"/>
  <c r="V90" i="27" a="1"/>
  <c r="V90" i="27" s="1"/>
  <c r="AA90" i="27" a="1"/>
  <c r="AA90" i="27" s="1"/>
  <c r="AF90" i="27" a="1"/>
  <c r="AF90" i="27" s="1"/>
  <c r="M90" i="27" a="1"/>
  <c r="M90" i="27" s="1"/>
  <c r="R90" i="27" a="1"/>
  <c r="R90" i="27" s="1"/>
  <c r="W90" i="27" a="1"/>
  <c r="W90" i="27" s="1"/>
  <c r="AG90" i="27" a="1"/>
  <c r="AG90" i="27" s="1"/>
  <c r="N90" i="27" a="1"/>
  <c r="N90" i="27" s="1"/>
  <c r="S90" i="27" a="1"/>
  <c r="S90" i="27" s="1"/>
  <c r="X90" i="27" a="1"/>
  <c r="X90" i="27" s="1"/>
  <c r="AB90" i="27" a="1"/>
  <c r="AB90" i="27" s="1"/>
  <c r="O90" i="27" a="1"/>
  <c r="O90" i="27" s="1"/>
  <c r="Y90" i="27" a="1"/>
  <c r="Y90" i="27" s="1"/>
  <c r="AC90" i="27" a="1"/>
  <c r="AC90" i="27" s="1"/>
  <c r="AH90" i="27" a="1"/>
  <c r="AH90" i="27" s="1"/>
  <c r="P90" i="27" a="1"/>
  <c r="P90" i="27" s="1"/>
  <c r="T90" i="27" a="1"/>
  <c r="T90" i="27" s="1"/>
  <c r="AD90" i="27" a="1"/>
  <c r="AD90" i="27" s="1"/>
  <c r="AI90" i="27" a="1"/>
  <c r="AI90" i="27" s="1"/>
  <c r="M126" i="27" a="1"/>
  <c r="M126" i="27" s="1"/>
  <c r="R126" i="27" a="1"/>
  <c r="R126" i="27" s="1"/>
  <c r="S126" i="27" a="1"/>
  <c r="S126" i="27" s="1"/>
  <c r="N126" i="27" a="1"/>
  <c r="N126" i="27" s="1"/>
  <c r="O126" i="27" a="1"/>
  <c r="O126" i="27" s="1"/>
  <c r="T126" i="27" a="1"/>
  <c r="T126" i="27" s="1"/>
  <c r="P126" i="27" a="1"/>
  <c r="P126" i="27" s="1"/>
  <c r="U126" i="27" a="1"/>
  <c r="U126" i="27" s="1"/>
  <c r="L126" i="27" a="1"/>
  <c r="L126" i="27" s="1"/>
  <c r="Q126" i="27" a="1"/>
  <c r="Q126" i="27" s="1"/>
  <c r="V126" i="27" a="1"/>
  <c r="V126" i="27" s="1"/>
  <c r="AF126" i="27" a="1"/>
  <c r="AF126" i="27" s="1"/>
  <c r="W126" i="27" a="1"/>
  <c r="W126" i="27" s="1"/>
  <c r="AB126" i="27" a="1"/>
  <c r="AB126" i="27" s="1"/>
  <c r="AG126" i="27" a="1"/>
  <c r="AG126" i="27" s="1"/>
  <c r="X126" i="27" a="1"/>
  <c r="X126" i="27" s="1"/>
  <c r="AC126" i="27" a="1"/>
  <c r="AC126" i="27" s="1"/>
  <c r="AH126" i="27" a="1"/>
  <c r="AH126" i="27" s="1"/>
  <c r="Y126" i="27" a="1"/>
  <c r="Y126" i="27" s="1"/>
  <c r="AI126" i="27" a="1"/>
  <c r="AI126" i="27" s="1"/>
  <c r="Z126" i="27" a="1"/>
  <c r="Z126" i="27" s="1"/>
  <c r="AD126" i="27" a="1"/>
  <c r="AD126" i="27" s="1"/>
  <c r="AA126" i="27" a="1"/>
  <c r="AA126" i="27" s="1"/>
  <c r="AE126" i="27" a="1"/>
  <c r="AE126" i="27" s="1"/>
  <c r="O65" i="27" a="1"/>
  <c r="O65" i="27" s="1"/>
  <c r="Y65" i="27" a="1"/>
  <c r="Y65" i="27" s="1"/>
  <c r="AD65" i="27" a="1"/>
  <c r="AD65" i="27" s="1"/>
  <c r="AI65" i="27" a="1"/>
  <c r="AI65" i="27" s="1"/>
  <c r="L65" i="27" a="1"/>
  <c r="L65" i="27" s="1"/>
  <c r="P65" i="27" a="1"/>
  <c r="P65" i="27" s="1"/>
  <c r="U65" i="27" a="1"/>
  <c r="U65" i="27" s="1"/>
  <c r="Z65" i="27" a="1"/>
  <c r="Z65" i="27" s="1"/>
  <c r="Q65" i="27" a="1"/>
  <c r="Q65" i="27" s="1"/>
  <c r="V65" i="27" a="1"/>
  <c r="V65" i="27" s="1"/>
  <c r="AA65" i="27" a="1"/>
  <c r="AA65" i="27" s="1"/>
  <c r="AE65" i="27" a="1"/>
  <c r="AE65" i="27" s="1"/>
  <c r="M65" i="27" a="1"/>
  <c r="M65" i="27" s="1"/>
  <c r="R65" i="27" a="1"/>
  <c r="R65" i="27" s="1"/>
  <c r="AB65" i="27" a="1"/>
  <c r="AB65" i="27" s="1"/>
  <c r="AF65" i="27" a="1"/>
  <c r="AF65" i="27" s="1"/>
  <c r="N65" i="27" a="1"/>
  <c r="N65" i="27" s="1"/>
  <c r="S65" i="27" a="1"/>
  <c r="S65" i="27" s="1"/>
  <c r="W65" i="27" a="1"/>
  <c r="W65" i="27" s="1"/>
  <c r="AG65" i="27" a="1"/>
  <c r="AG65" i="27" s="1"/>
  <c r="T65" i="27" a="1"/>
  <c r="T65" i="27" s="1"/>
  <c r="X65" i="27" a="1"/>
  <c r="X65" i="27" s="1"/>
  <c r="AC65" i="27" a="1"/>
  <c r="AC65" i="27" s="1"/>
  <c r="AH65" i="27" a="1"/>
  <c r="AH65" i="27" s="1"/>
  <c r="O63" i="27" a="1"/>
  <c r="O63" i="27" s="1"/>
  <c r="Y63" i="27" a="1"/>
  <c r="Y63" i="27" s="1"/>
  <c r="AD63" i="27" a="1"/>
  <c r="AD63" i="27" s="1"/>
  <c r="AI63" i="27" a="1"/>
  <c r="AI63" i="27" s="1"/>
  <c r="L63" i="27" a="1"/>
  <c r="L63" i="27" s="1"/>
  <c r="P63" i="27" a="1"/>
  <c r="P63" i="27" s="1"/>
  <c r="U63" i="27" a="1"/>
  <c r="U63" i="27" s="1"/>
  <c r="Z63" i="27" a="1"/>
  <c r="Z63" i="27" s="1"/>
  <c r="Q63" i="27" a="1"/>
  <c r="Q63" i="27" s="1"/>
  <c r="V63" i="27" a="1"/>
  <c r="V63" i="27" s="1"/>
  <c r="AA63" i="27" a="1"/>
  <c r="AA63" i="27" s="1"/>
  <c r="AE63" i="27" a="1"/>
  <c r="AE63" i="27" s="1"/>
  <c r="M63" i="27" a="1"/>
  <c r="M63" i="27" s="1"/>
  <c r="R63" i="27" a="1"/>
  <c r="R63" i="27" s="1"/>
  <c r="AB63" i="27" a="1"/>
  <c r="AB63" i="27" s="1"/>
  <c r="AF63" i="27" a="1"/>
  <c r="AF63" i="27" s="1"/>
  <c r="N63" i="27" a="1"/>
  <c r="N63" i="27" s="1"/>
  <c r="S63" i="27" a="1"/>
  <c r="S63" i="27" s="1"/>
  <c r="W63" i="27" a="1"/>
  <c r="W63" i="27" s="1"/>
  <c r="AG63" i="27" a="1"/>
  <c r="AG63" i="27" s="1"/>
  <c r="T63" i="27" a="1"/>
  <c r="T63" i="27" s="1"/>
  <c r="X63" i="27" a="1"/>
  <c r="X63" i="27" s="1"/>
  <c r="AC63" i="27" a="1"/>
  <c r="AC63" i="27" s="1"/>
  <c r="AH63" i="27" a="1"/>
  <c r="AH63" i="27" s="1"/>
  <c r="Q84" i="27" a="1"/>
  <c r="Q84" i="27" s="1"/>
  <c r="U84" i="27" a="1"/>
  <c r="U84" i="27" s="1"/>
  <c r="Z84" i="27" a="1"/>
  <c r="Z84" i="27" s="1"/>
  <c r="AE84" i="27" a="1"/>
  <c r="AE84" i="27" s="1"/>
  <c r="L84" i="27" a="1"/>
  <c r="L84" i="27" s="1"/>
  <c r="V84" i="27" a="1"/>
  <c r="V84" i="27" s="1"/>
  <c r="AA84" i="27" a="1"/>
  <c r="AA84" i="27" s="1"/>
  <c r="AF84" i="27" a="1"/>
  <c r="AF84" i="27" s="1"/>
  <c r="M84" i="27" a="1"/>
  <c r="M84" i="27" s="1"/>
  <c r="R84" i="27" a="1"/>
  <c r="R84" i="27" s="1"/>
  <c r="W84" i="27" a="1"/>
  <c r="W84" i="27" s="1"/>
  <c r="AG84" i="27" a="1"/>
  <c r="AG84" i="27" s="1"/>
  <c r="N84" i="27" a="1"/>
  <c r="N84" i="27" s="1"/>
  <c r="S84" i="27" a="1"/>
  <c r="S84" i="27" s="1"/>
  <c r="X84" i="27" a="1"/>
  <c r="X84" i="27" s="1"/>
  <c r="AB84" i="27" a="1"/>
  <c r="AB84" i="27" s="1"/>
  <c r="O84" i="27" a="1"/>
  <c r="O84" i="27" s="1"/>
  <c r="Y84" i="27" a="1"/>
  <c r="Y84" i="27" s="1"/>
  <c r="AC84" i="27" a="1"/>
  <c r="AC84" i="27" s="1"/>
  <c r="AH84" i="27" a="1"/>
  <c r="AH84" i="27" s="1"/>
  <c r="P84" i="27" a="1"/>
  <c r="P84" i="27" s="1"/>
  <c r="T84" i="27" a="1"/>
  <c r="T84" i="27" s="1"/>
  <c r="AD84" i="27" a="1"/>
  <c r="AD84" i="27" s="1"/>
  <c r="AI84" i="27" a="1"/>
  <c r="AI84" i="27" s="1"/>
  <c r="L29" i="27" a="1"/>
  <c r="L29" i="27" s="1"/>
  <c r="Q29" i="27" a="1"/>
  <c r="Q29" i="27" s="1"/>
  <c r="V29" i="27" a="1"/>
  <c r="V29" i="27" s="1"/>
  <c r="Z29" i="27" a="1"/>
  <c r="Z29" i="27" s="1"/>
  <c r="M29" i="27" a="1"/>
  <c r="M29" i="27" s="1"/>
  <c r="W29" i="27" a="1"/>
  <c r="W29" i="27" s="1"/>
  <c r="AA29" i="27" a="1"/>
  <c r="AA29" i="27" s="1"/>
  <c r="AF29" i="27" a="1"/>
  <c r="AF29" i="27" s="1"/>
  <c r="N29" i="27" a="1"/>
  <c r="N29" i="27" s="1"/>
  <c r="R29" i="27" a="1"/>
  <c r="R29" i="27" s="1"/>
  <c r="AB29" i="27" a="1"/>
  <c r="AB29" i="27" s="1"/>
  <c r="AG29" i="27" a="1"/>
  <c r="AG29" i="27" s="1"/>
  <c r="O29" i="27" a="1"/>
  <c r="O29" i="27" s="1"/>
  <c r="S29" i="27" a="1"/>
  <c r="S29" i="27" s="1"/>
  <c r="X29" i="27" a="1"/>
  <c r="X29" i="27" s="1"/>
  <c r="AC29" i="27" a="1"/>
  <c r="AC29" i="27" s="1"/>
  <c r="T29" i="27" a="1"/>
  <c r="T29" i="27" s="1"/>
  <c r="Y29" i="27" a="1"/>
  <c r="Y29" i="27" s="1"/>
  <c r="AD29" i="27" a="1"/>
  <c r="AD29" i="27" s="1"/>
  <c r="AH29" i="27" a="1"/>
  <c r="AH29" i="27" s="1"/>
  <c r="P29" i="27" a="1"/>
  <c r="P29" i="27" s="1"/>
  <c r="U29" i="27" a="1"/>
  <c r="U29" i="27" s="1"/>
  <c r="AE29" i="27" a="1"/>
  <c r="AE29" i="27" s="1"/>
  <c r="AI29" i="27" a="1"/>
  <c r="AI29" i="27" s="1"/>
  <c r="Q86" i="27" a="1"/>
  <c r="Q86" i="27" s="1"/>
  <c r="U86" i="27" a="1"/>
  <c r="U86" i="27" s="1"/>
  <c r="Z86" i="27" a="1"/>
  <c r="Z86" i="27" s="1"/>
  <c r="AE86" i="27" a="1"/>
  <c r="AE86" i="27" s="1"/>
  <c r="L86" i="27" a="1"/>
  <c r="L86" i="27" s="1"/>
  <c r="V86" i="27" a="1"/>
  <c r="V86" i="27" s="1"/>
  <c r="AA86" i="27" a="1"/>
  <c r="AA86" i="27" s="1"/>
  <c r="AF86" i="27" a="1"/>
  <c r="AF86" i="27" s="1"/>
  <c r="M86" i="27" a="1"/>
  <c r="M86" i="27" s="1"/>
  <c r="R86" i="27" a="1"/>
  <c r="R86" i="27" s="1"/>
  <c r="W86" i="27" a="1"/>
  <c r="W86" i="27" s="1"/>
  <c r="AG86" i="27" a="1"/>
  <c r="AG86" i="27" s="1"/>
  <c r="N86" i="27" a="1"/>
  <c r="N86" i="27" s="1"/>
  <c r="S86" i="27" a="1"/>
  <c r="S86" i="27" s="1"/>
  <c r="X86" i="27" a="1"/>
  <c r="X86" i="27" s="1"/>
  <c r="AB86" i="27" a="1"/>
  <c r="AB86" i="27" s="1"/>
  <c r="O86" i="27" a="1"/>
  <c r="O86" i="27" s="1"/>
  <c r="Y86" i="27" a="1"/>
  <c r="Y86" i="27" s="1"/>
  <c r="AC86" i="27" a="1"/>
  <c r="AC86" i="27" s="1"/>
  <c r="AH86" i="27" a="1"/>
  <c r="AH86" i="27" s="1"/>
  <c r="P86" i="27" a="1"/>
  <c r="P86" i="27" s="1"/>
  <c r="T86" i="27" a="1"/>
  <c r="T86" i="27" s="1"/>
  <c r="AD86" i="27" a="1"/>
  <c r="AD86" i="27" s="1"/>
  <c r="AI86" i="27" a="1"/>
  <c r="AI86" i="27" s="1"/>
  <c r="N33" i="27" a="1"/>
  <c r="N33" i="27" s="1"/>
  <c r="R33" i="27" a="1"/>
  <c r="R33" i="27" s="1"/>
  <c r="V33" i="27" a="1"/>
  <c r="V33" i="27" s="1"/>
  <c r="Z33" i="27" a="1"/>
  <c r="Z33" i="27" s="1"/>
  <c r="AD33" i="27" a="1"/>
  <c r="AD33" i="27" s="1"/>
  <c r="AH33" i="27" a="1"/>
  <c r="AH33" i="27" s="1"/>
  <c r="O33" i="27" a="1"/>
  <c r="O33" i="27" s="1"/>
  <c r="S33" i="27" a="1"/>
  <c r="S33" i="27" s="1"/>
  <c r="W33" i="27" a="1"/>
  <c r="W33" i="27" s="1"/>
  <c r="AA33" i="27" a="1"/>
  <c r="AA33" i="27" s="1"/>
  <c r="AE33" i="27" a="1"/>
  <c r="AE33" i="27" s="1"/>
  <c r="AI33" i="27" a="1"/>
  <c r="AI33" i="27" s="1"/>
  <c r="L33" i="27" a="1"/>
  <c r="L33" i="27" s="1"/>
  <c r="P33" i="27" a="1"/>
  <c r="P33" i="27" s="1"/>
  <c r="T33" i="27" a="1"/>
  <c r="T33" i="27" s="1"/>
  <c r="X33" i="27" a="1"/>
  <c r="X33" i="27" s="1"/>
  <c r="AB33" i="27" a="1"/>
  <c r="AB33" i="27" s="1"/>
  <c r="AF33" i="27" a="1"/>
  <c r="AF33" i="27" s="1"/>
  <c r="M33" i="27" a="1"/>
  <c r="M33" i="27" s="1"/>
  <c r="Q33" i="27" a="1"/>
  <c r="Q33" i="27" s="1"/>
  <c r="U33" i="27" a="1"/>
  <c r="U33" i="27" s="1"/>
  <c r="Y33" i="27" a="1"/>
  <c r="Y33" i="27" s="1"/>
  <c r="AC33" i="27" a="1"/>
  <c r="AC33" i="27" s="1"/>
  <c r="AG33" i="27" a="1"/>
  <c r="AG33" i="27" s="1"/>
  <c r="O119" i="27" a="1"/>
  <c r="O119" i="27" s="1"/>
  <c r="T119" i="27" a="1"/>
  <c r="T119" i="27" s="1"/>
  <c r="Y119" i="27" a="1"/>
  <c r="Y119" i="27" s="1"/>
  <c r="AD119" i="27" a="1"/>
  <c r="AD119" i="27" s="1"/>
  <c r="AI119" i="27" a="1"/>
  <c r="AI119" i="27" s="1"/>
  <c r="P119" i="27" a="1"/>
  <c r="P119" i="27" s="1"/>
  <c r="U119" i="27" a="1"/>
  <c r="U119" i="27" s="1"/>
  <c r="Z119" i="27" a="1"/>
  <c r="Z119" i="27" s="1"/>
  <c r="AE119" i="27" a="1"/>
  <c r="AE119" i="27" s="1"/>
  <c r="Q119" i="27" a="1"/>
  <c r="Q119" i="27" s="1"/>
  <c r="V119" i="27" a="1"/>
  <c r="V119" i="27" s="1"/>
  <c r="AA119" i="27" a="1"/>
  <c r="AA119" i="27" s="1"/>
  <c r="L119" i="27" a="1"/>
  <c r="L119" i="27" s="1"/>
  <c r="R119" i="27" a="1"/>
  <c r="R119" i="27" s="1"/>
  <c r="W119" i="27" a="1"/>
  <c r="W119" i="27" s="1"/>
  <c r="AF119" i="27" a="1"/>
  <c r="AF119" i="27" s="1"/>
  <c r="M119" i="27" a="1"/>
  <c r="M119" i="27" s="1"/>
  <c r="S119" i="27" a="1"/>
  <c r="S119" i="27" s="1"/>
  <c r="AB119" i="27" a="1"/>
  <c r="AB119" i="27" s="1"/>
  <c r="AG119" i="27" a="1"/>
  <c r="AG119" i="27" s="1"/>
  <c r="N119" i="27" a="1"/>
  <c r="N119" i="27" s="1"/>
  <c r="X119" i="27" a="1"/>
  <c r="X119" i="27" s="1"/>
  <c r="AC119" i="27" a="1"/>
  <c r="AC119" i="27" s="1"/>
  <c r="AH119" i="27" a="1"/>
  <c r="AH119" i="27" s="1"/>
  <c r="Q98" i="27" a="1"/>
  <c r="Q98" i="27" s="1"/>
  <c r="U98" i="27" a="1"/>
  <c r="U98" i="27" s="1"/>
  <c r="Z98" i="27" a="1"/>
  <c r="Z98" i="27" s="1"/>
  <c r="AE98" i="27" a="1"/>
  <c r="AE98" i="27" s="1"/>
  <c r="L98" i="27" a="1"/>
  <c r="L98" i="27" s="1"/>
  <c r="V98" i="27" a="1"/>
  <c r="V98" i="27" s="1"/>
  <c r="AA98" i="27" a="1"/>
  <c r="AA98" i="27" s="1"/>
  <c r="AF98" i="27" a="1"/>
  <c r="AF98" i="27" s="1"/>
  <c r="M98" i="27" a="1"/>
  <c r="M98" i="27" s="1"/>
  <c r="R98" i="27" a="1"/>
  <c r="R98" i="27" s="1"/>
  <c r="W98" i="27" a="1"/>
  <c r="W98" i="27" s="1"/>
  <c r="AG98" i="27" a="1"/>
  <c r="AG98" i="27" s="1"/>
  <c r="N98" i="27" a="1"/>
  <c r="N98" i="27" s="1"/>
  <c r="S98" i="27" a="1"/>
  <c r="S98" i="27" s="1"/>
  <c r="X98" i="27" a="1"/>
  <c r="X98" i="27" s="1"/>
  <c r="AB98" i="27" a="1"/>
  <c r="AB98" i="27" s="1"/>
  <c r="O98" i="27" a="1"/>
  <c r="O98" i="27" s="1"/>
  <c r="Y98" i="27" a="1"/>
  <c r="Y98" i="27" s="1"/>
  <c r="AC98" i="27" a="1"/>
  <c r="AC98" i="27" s="1"/>
  <c r="AH98" i="27" a="1"/>
  <c r="AH98" i="27" s="1"/>
  <c r="P98" i="27" a="1"/>
  <c r="P98" i="27" s="1"/>
  <c r="T98" i="27" a="1"/>
  <c r="T98" i="27" s="1"/>
  <c r="AD98" i="27" a="1"/>
  <c r="AD98" i="27" s="1"/>
  <c r="AI98" i="27" a="1"/>
  <c r="AI98" i="27" s="1"/>
  <c r="Q82" i="27" a="1"/>
  <c r="Q82" i="27" s="1"/>
  <c r="U82" i="27" a="1"/>
  <c r="U82" i="27" s="1"/>
  <c r="Z82" i="27" a="1"/>
  <c r="Z82" i="27" s="1"/>
  <c r="AE82" i="27" a="1"/>
  <c r="AE82" i="27" s="1"/>
  <c r="L82" i="27" a="1"/>
  <c r="L82" i="27" s="1"/>
  <c r="V82" i="27" a="1"/>
  <c r="V82" i="27" s="1"/>
  <c r="AA82" i="27" a="1"/>
  <c r="AA82" i="27" s="1"/>
  <c r="AF82" i="27" a="1"/>
  <c r="AF82" i="27" s="1"/>
  <c r="M82" i="27" a="1"/>
  <c r="M82" i="27" s="1"/>
  <c r="R82" i="27" a="1"/>
  <c r="R82" i="27" s="1"/>
  <c r="W82" i="27" a="1"/>
  <c r="W82" i="27" s="1"/>
  <c r="AG82" i="27" a="1"/>
  <c r="AG82" i="27" s="1"/>
  <c r="N82" i="27" a="1"/>
  <c r="N82" i="27" s="1"/>
  <c r="S82" i="27" a="1"/>
  <c r="S82" i="27" s="1"/>
  <c r="X82" i="27" a="1"/>
  <c r="X82" i="27" s="1"/>
  <c r="AB82" i="27" a="1"/>
  <c r="AB82" i="27" s="1"/>
  <c r="O82" i="27" a="1"/>
  <c r="O82" i="27" s="1"/>
  <c r="Y82" i="27" a="1"/>
  <c r="Y82" i="27" s="1"/>
  <c r="AC82" i="27" a="1"/>
  <c r="AC82" i="27" s="1"/>
  <c r="AH82" i="27" a="1"/>
  <c r="AH82" i="27" s="1"/>
  <c r="P82" i="27" a="1"/>
  <c r="P82" i="27" s="1"/>
  <c r="T82" i="27" a="1"/>
  <c r="T82" i="27" s="1"/>
  <c r="AD82" i="27" a="1"/>
  <c r="AD82" i="27" s="1"/>
  <c r="AI82" i="27" a="1"/>
  <c r="AI82" i="27" s="1"/>
  <c r="Q91" i="27" a="1"/>
  <c r="Q91" i="27" s="1"/>
  <c r="U91" i="27" a="1"/>
  <c r="U91" i="27" s="1"/>
  <c r="Z91" i="27" a="1"/>
  <c r="Z91" i="27" s="1"/>
  <c r="AE91" i="27" a="1"/>
  <c r="AE91" i="27" s="1"/>
  <c r="L91" i="27" a="1"/>
  <c r="L91" i="27" s="1"/>
  <c r="V91" i="27" a="1"/>
  <c r="V91" i="27" s="1"/>
  <c r="AA91" i="27" a="1"/>
  <c r="AA91" i="27" s="1"/>
  <c r="AF91" i="27" a="1"/>
  <c r="AF91" i="27" s="1"/>
  <c r="M91" i="27" a="1"/>
  <c r="M91" i="27" s="1"/>
  <c r="R91" i="27" a="1"/>
  <c r="R91" i="27" s="1"/>
  <c r="W91" i="27" a="1"/>
  <c r="W91" i="27" s="1"/>
  <c r="AG91" i="27" a="1"/>
  <c r="AG91" i="27" s="1"/>
  <c r="N91" i="27" a="1"/>
  <c r="N91" i="27" s="1"/>
  <c r="S91" i="27" a="1"/>
  <c r="S91" i="27" s="1"/>
  <c r="X91" i="27" a="1"/>
  <c r="X91" i="27" s="1"/>
  <c r="AB91" i="27" a="1"/>
  <c r="AB91" i="27" s="1"/>
  <c r="O91" i="27" a="1"/>
  <c r="O91" i="27" s="1"/>
  <c r="Y91" i="27" a="1"/>
  <c r="Y91" i="27" s="1"/>
  <c r="AC91" i="27" a="1"/>
  <c r="AC91" i="27" s="1"/>
  <c r="AH91" i="27" a="1"/>
  <c r="AH91" i="27" s="1"/>
  <c r="P91" i="27" a="1"/>
  <c r="P91" i="27" s="1"/>
  <c r="T91" i="27" a="1"/>
  <c r="T91" i="27" s="1"/>
  <c r="AD91" i="27" a="1"/>
  <c r="AD91" i="27" s="1"/>
  <c r="AI91" i="27" a="1"/>
  <c r="AI91" i="27" s="1"/>
  <c r="R43" i="27" a="1"/>
  <c r="R43" i="27" s="1"/>
  <c r="W43" i="27" a="1"/>
  <c r="W43" i="27" s="1"/>
  <c r="AC43" i="27" a="1"/>
  <c r="AC43" i="27" s="1"/>
  <c r="AH43" i="27" a="1"/>
  <c r="AH43" i="27" s="1"/>
  <c r="N43" i="27" a="1"/>
  <c r="N43" i="27" s="1"/>
  <c r="S43" i="27" a="1"/>
  <c r="S43" i="27" s="1"/>
  <c r="X43" i="27" a="1"/>
  <c r="X43" i="27" s="1"/>
  <c r="AD43" i="27" a="1"/>
  <c r="AD43" i="27" s="1"/>
  <c r="AI43" i="27" a="1"/>
  <c r="AI43" i="27" s="1"/>
  <c r="O43" i="27" a="1"/>
  <c r="O43" i="27" s="1"/>
  <c r="T43" i="27" a="1"/>
  <c r="T43" i="27" s="1"/>
  <c r="Y43" i="27" a="1"/>
  <c r="Y43" i="27" s="1"/>
  <c r="P43" i="27" a="1"/>
  <c r="P43" i="27" s="1"/>
  <c r="U43" i="27" a="1"/>
  <c r="U43" i="27" s="1"/>
  <c r="Z43" i="27" a="1"/>
  <c r="Z43" i="27" s="1"/>
  <c r="AE43" i="27" a="1"/>
  <c r="AE43" i="27" s="1"/>
  <c r="L43" i="27" a="1"/>
  <c r="L43" i="27" s="1"/>
  <c r="Q43" i="27" a="1"/>
  <c r="Q43" i="27" s="1"/>
  <c r="V43" i="27" a="1"/>
  <c r="V43" i="27" s="1"/>
  <c r="AA43" i="27" a="1"/>
  <c r="AA43" i="27" s="1"/>
  <c r="AF43" i="27" a="1"/>
  <c r="AF43" i="27" s="1"/>
  <c r="M43" i="27" a="1"/>
  <c r="M43" i="27" s="1"/>
  <c r="AB43" i="27" a="1"/>
  <c r="AB43" i="27" s="1"/>
  <c r="AG43" i="27" a="1"/>
  <c r="AG43" i="27" s="1"/>
  <c r="M132" i="27" a="1"/>
  <c r="M132" i="27" s="1"/>
  <c r="R132" i="27" a="1"/>
  <c r="R132" i="27" s="1"/>
  <c r="V132" i="27" a="1"/>
  <c r="V132" i="27" s="1"/>
  <c r="AF132" i="27" a="1"/>
  <c r="AF132" i="27" s="1"/>
  <c r="S132" i="27" a="1"/>
  <c r="S132" i="27" s="1"/>
  <c r="W132" i="27" a="1"/>
  <c r="W132" i="27" s="1"/>
  <c r="AB132" i="27" a="1"/>
  <c r="AB132" i="27" s="1"/>
  <c r="AG132" i="27" a="1"/>
  <c r="AG132" i="27" s="1"/>
  <c r="N132" i="27" a="1"/>
  <c r="N132" i="27" s="1"/>
  <c r="X132" i="27" a="1"/>
  <c r="X132" i="27" s="1"/>
  <c r="AC132" i="27" a="1"/>
  <c r="AC132" i="27" s="1"/>
  <c r="AH132" i="27" a="1"/>
  <c r="AH132" i="27" s="1"/>
  <c r="O132" i="27" a="1"/>
  <c r="O132" i="27" s="1"/>
  <c r="T132" i="27" a="1"/>
  <c r="T132" i="27" s="1"/>
  <c r="Y132" i="27" a="1"/>
  <c r="Y132" i="27" s="1"/>
  <c r="AI132" i="27" a="1"/>
  <c r="AI132" i="27" s="1"/>
  <c r="P132" i="27" a="1"/>
  <c r="P132" i="27" s="1"/>
  <c r="U132" i="27" a="1"/>
  <c r="U132" i="27" s="1"/>
  <c r="Z132" i="27" a="1"/>
  <c r="Z132" i="27" s="1"/>
  <c r="AD132" i="27" a="1"/>
  <c r="AD132" i="27" s="1"/>
  <c r="L132" i="27" a="1"/>
  <c r="L132" i="27" s="1"/>
  <c r="Q132" i="27" a="1"/>
  <c r="Q132" i="27" s="1"/>
  <c r="AA132" i="27" a="1"/>
  <c r="AA132" i="27" s="1"/>
  <c r="AE132" i="27" a="1"/>
  <c r="AE132" i="27" s="1"/>
  <c r="AF80" i="27" a="1"/>
  <c r="AF80" i="27" s="1"/>
  <c r="L80" i="27" a="1"/>
  <c r="L80" i="27" s="1"/>
  <c r="P80" i="27" a="1"/>
  <c r="P80" i="27" s="1"/>
  <c r="T80" i="27" a="1"/>
  <c r="T80" i="27" s="1"/>
  <c r="X80" i="27" a="1"/>
  <c r="X80" i="27" s="1"/>
  <c r="AB80" i="27" a="1"/>
  <c r="AB80" i="27" s="1"/>
  <c r="AG80" i="27" a="1"/>
  <c r="AG80" i="27" s="1"/>
  <c r="M80" i="27" a="1"/>
  <c r="M80" i="27" s="1"/>
  <c r="Q80" i="27" a="1"/>
  <c r="Q80" i="27" s="1"/>
  <c r="U80" i="27" a="1"/>
  <c r="U80" i="27" s="1"/>
  <c r="Y80" i="27" a="1"/>
  <c r="Y80" i="27" s="1"/>
  <c r="AC80" i="27" a="1"/>
  <c r="AC80" i="27" s="1"/>
  <c r="AH80" i="27" a="1"/>
  <c r="AH80" i="27" s="1"/>
  <c r="AI80" i="27" a="1"/>
  <c r="AI80" i="27" s="1"/>
  <c r="N80" i="27" a="1"/>
  <c r="N80" i="27" s="1"/>
  <c r="R80" i="27" a="1"/>
  <c r="R80" i="27" s="1"/>
  <c r="V80" i="27" a="1"/>
  <c r="V80" i="27" s="1"/>
  <c r="Z80" i="27" a="1"/>
  <c r="Z80" i="27" s="1"/>
  <c r="AD80" i="27" a="1"/>
  <c r="AD80" i="27" s="1"/>
  <c r="O80" i="27" a="1"/>
  <c r="O80" i="27" s="1"/>
  <c r="S80" i="27" a="1"/>
  <c r="S80" i="27" s="1"/>
  <c r="W80" i="27" a="1"/>
  <c r="W80" i="27" s="1"/>
  <c r="AA80" i="27" a="1"/>
  <c r="AA80" i="27" s="1"/>
  <c r="AE80" i="27" a="1"/>
  <c r="AE80" i="27" s="1"/>
  <c r="L32" i="27" a="1"/>
  <c r="L32" i="27" s="1"/>
  <c r="Q32" i="27" a="1"/>
  <c r="Q32" i="27" s="1"/>
  <c r="V32" i="27" a="1"/>
  <c r="V32" i="27" s="1"/>
  <c r="Z32" i="27" a="1"/>
  <c r="Z32" i="27" s="1"/>
  <c r="AD32" i="27" a="1"/>
  <c r="AD32" i="27" s="1"/>
  <c r="AH32" i="27" a="1"/>
  <c r="AH32" i="27" s="1"/>
  <c r="M32" i="27" a="1"/>
  <c r="M32" i="27" s="1"/>
  <c r="W32" i="27" a="1"/>
  <c r="W32" i="27" s="1"/>
  <c r="AA32" i="27" a="1"/>
  <c r="AA32" i="27" s="1"/>
  <c r="AE32" i="27" a="1"/>
  <c r="AE32" i="27" s="1"/>
  <c r="AI32" i="27" a="1"/>
  <c r="AI32" i="27" s="1"/>
  <c r="N32" i="27" a="1"/>
  <c r="N32" i="27" s="1"/>
  <c r="R32" i="27" a="1"/>
  <c r="R32" i="27" s="1"/>
  <c r="O32" i="27" a="1"/>
  <c r="O32" i="27" s="1"/>
  <c r="S32" i="27" a="1"/>
  <c r="S32" i="27" s="1"/>
  <c r="X32" i="27" a="1"/>
  <c r="X32" i="27" s="1"/>
  <c r="AB32" i="27" a="1"/>
  <c r="AB32" i="27" s="1"/>
  <c r="AF32" i="27" a="1"/>
  <c r="AF32" i="27" s="1"/>
  <c r="T32" i="27" a="1"/>
  <c r="T32" i="27" s="1"/>
  <c r="Y32" i="27" a="1"/>
  <c r="Y32" i="27" s="1"/>
  <c r="AC32" i="27" a="1"/>
  <c r="AC32" i="27" s="1"/>
  <c r="AG32" i="27" a="1"/>
  <c r="AG32" i="27" s="1"/>
  <c r="P32" i="27" a="1"/>
  <c r="P32" i="27" s="1"/>
  <c r="U32" i="27" a="1"/>
  <c r="U32" i="27" s="1"/>
  <c r="O46" i="27" a="1"/>
  <c r="O46" i="27" s="1"/>
  <c r="U46" i="27" a="1"/>
  <c r="U46" i="27" s="1"/>
  <c r="Z46" i="27" a="1"/>
  <c r="Z46" i="27" s="1"/>
  <c r="AE46" i="27" a="1"/>
  <c r="AE46" i="27" s="1"/>
  <c r="P46" i="27" a="1"/>
  <c r="P46" i="27" s="1"/>
  <c r="V46" i="27" a="1"/>
  <c r="V46" i="27" s="1"/>
  <c r="AA46" i="27" a="1"/>
  <c r="AA46" i="27" s="1"/>
  <c r="AF46" i="27" a="1"/>
  <c r="AF46" i="27" s="1"/>
  <c r="L46" i="27" a="1"/>
  <c r="L46" i="27" s="1"/>
  <c r="Q46" i="27" a="1"/>
  <c r="Q46" i="27" s="1"/>
  <c r="AB46" i="27" a="1"/>
  <c r="AB46" i="27" s="1"/>
  <c r="AG46" i="27" a="1"/>
  <c r="AG46" i="27" s="1"/>
  <c r="M46" i="27" a="1"/>
  <c r="M46" i="27" s="1"/>
  <c r="R46" i="27" a="1"/>
  <c r="R46" i="27" s="1"/>
  <c r="W46" i="27" a="1"/>
  <c r="W46" i="27" s="1"/>
  <c r="AC46" i="27" a="1"/>
  <c r="AC46" i="27" s="1"/>
  <c r="AH46" i="27" a="1"/>
  <c r="AH46" i="27" s="1"/>
  <c r="N46" i="27" a="1"/>
  <c r="N46" i="27" s="1"/>
  <c r="S46" i="27" a="1"/>
  <c r="S46" i="27" s="1"/>
  <c r="X46" i="27" a="1"/>
  <c r="X46" i="27" s="1"/>
  <c r="AD46" i="27" a="1"/>
  <c r="AD46" i="27" s="1"/>
  <c r="AI46" i="27" a="1"/>
  <c r="AI46" i="27" s="1"/>
  <c r="T46" i="27" a="1"/>
  <c r="T46" i="27" s="1"/>
  <c r="Y46" i="27" a="1"/>
  <c r="Y46" i="27" s="1"/>
  <c r="O62" i="27" a="1"/>
  <c r="O62" i="27" s="1"/>
  <c r="Y62" i="27" a="1"/>
  <c r="Y62" i="27" s="1"/>
  <c r="AD62" i="27" a="1"/>
  <c r="AD62" i="27" s="1"/>
  <c r="AI62" i="27" a="1"/>
  <c r="AI62" i="27" s="1"/>
  <c r="L62" i="27" a="1"/>
  <c r="L62" i="27" s="1"/>
  <c r="P62" i="27" a="1"/>
  <c r="P62" i="27" s="1"/>
  <c r="U62" i="27" a="1"/>
  <c r="U62" i="27" s="1"/>
  <c r="Z62" i="27" a="1"/>
  <c r="Z62" i="27" s="1"/>
  <c r="Q62" i="27" a="1"/>
  <c r="Q62" i="27" s="1"/>
  <c r="V62" i="27" a="1"/>
  <c r="V62" i="27" s="1"/>
  <c r="AA62" i="27" a="1"/>
  <c r="AA62" i="27" s="1"/>
  <c r="AE62" i="27" a="1"/>
  <c r="AE62" i="27" s="1"/>
  <c r="M62" i="27" a="1"/>
  <c r="M62" i="27" s="1"/>
  <c r="R62" i="27" a="1"/>
  <c r="R62" i="27" s="1"/>
  <c r="AB62" i="27" a="1"/>
  <c r="AB62" i="27" s="1"/>
  <c r="AF62" i="27" a="1"/>
  <c r="AF62" i="27" s="1"/>
  <c r="N62" i="27" a="1"/>
  <c r="N62" i="27" s="1"/>
  <c r="S62" i="27" a="1"/>
  <c r="S62" i="27" s="1"/>
  <c r="W62" i="27" a="1"/>
  <c r="W62" i="27" s="1"/>
  <c r="AG62" i="27" a="1"/>
  <c r="AG62" i="27" s="1"/>
  <c r="T62" i="27" a="1"/>
  <c r="T62" i="27" s="1"/>
  <c r="X62" i="27" a="1"/>
  <c r="X62" i="27" s="1"/>
  <c r="AC62" i="27" a="1"/>
  <c r="AC62" i="27" s="1"/>
  <c r="AH62" i="27" a="1"/>
  <c r="AH62" i="27" s="1"/>
  <c r="M131" i="27" a="1"/>
  <c r="M131" i="27" s="1"/>
  <c r="R131" i="27" a="1"/>
  <c r="R131" i="27" s="1"/>
  <c r="V131" i="27" a="1"/>
  <c r="V131" i="27" s="1"/>
  <c r="AF131" i="27" a="1"/>
  <c r="AF131" i="27" s="1"/>
  <c r="S131" i="27" a="1"/>
  <c r="S131" i="27" s="1"/>
  <c r="W131" i="27" a="1"/>
  <c r="W131" i="27" s="1"/>
  <c r="AB131" i="27" a="1"/>
  <c r="AB131" i="27" s="1"/>
  <c r="AG131" i="27" a="1"/>
  <c r="AG131" i="27" s="1"/>
  <c r="N131" i="27" a="1"/>
  <c r="N131" i="27" s="1"/>
  <c r="X131" i="27" a="1"/>
  <c r="X131" i="27" s="1"/>
  <c r="AC131" i="27" a="1"/>
  <c r="AC131" i="27" s="1"/>
  <c r="AH131" i="27" a="1"/>
  <c r="AH131" i="27" s="1"/>
  <c r="O131" i="27" a="1"/>
  <c r="O131" i="27" s="1"/>
  <c r="T131" i="27" a="1"/>
  <c r="T131" i="27" s="1"/>
  <c r="Y131" i="27" a="1"/>
  <c r="Y131" i="27" s="1"/>
  <c r="AI131" i="27" a="1"/>
  <c r="AI131" i="27" s="1"/>
  <c r="P131" i="27" a="1"/>
  <c r="P131" i="27" s="1"/>
  <c r="U131" i="27" a="1"/>
  <c r="U131" i="27" s="1"/>
  <c r="Z131" i="27" a="1"/>
  <c r="Z131" i="27" s="1"/>
  <c r="AD131" i="27" a="1"/>
  <c r="AD131" i="27" s="1"/>
  <c r="L131" i="27" a="1"/>
  <c r="L131" i="27" s="1"/>
  <c r="Q131" i="27" a="1"/>
  <c r="Q131" i="27" s="1"/>
  <c r="AA131" i="27" a="1"/>
  <c r="AA131" i="27" s="1"/>
  <c r="AE131" i="27" a="1"/>
  <c r="AE131" i="27" s="1"/>
  <c r="M35" i="27" a="1"/>
  <c r="M35" i="27" s="1"/>
  <c r="R35" i="27" a="1"/>
  <c r="R35" i="27" s="1"/>
  <c r="X35" i="27" a="1"/>
  <c r="X35" i="27" s="1"/>
  <c r="AC35" i="27" a="1"/>
  <c r="AC35" i="27" s="1"/>
  <c r="AH35" i="27" a="1"/>
  <c r="AH35" i="27" s="1"/>
  <c r="N35" i="27" a="1"/>
  <c r="N35" i="27" s="1"/>
  <c r="S35" i="27" a="1"/>
  <c r="S35" i="27" s="1"/>
  <c r="Y35" i="27" a="1"/>
  <c r="Y35" i="27" s="1"/>
  <c r="AD35" i="27" a="1"/>
  <c r="AD35" i="27" s="1"/>
  <c r="AI35" i="27" a="1"/>
  <c r="AI35" i="27" s="1"/>
  <c r="O35" i="27" a="1"/>
  <c r="O35" i="27" s="1"/>
  <c r="T35" i="27" a="1"/>
  <c r="T35" i="27" s="1"/>
  <c r="AE35" i="27" a="1"/>
  <c r="AE35" i="27" s="1"/>
  <c r="P35" i="27" a="1"/>
  <c r="P35" i="27" s="1"/>
  <c r="U35" i="27" a="1"/>
  <c r="U35" i="27" s="1"/>
  <c r="Z35" i="27" a="1"/>
  <c r="Z35" i="27" s="1"/>
  <c r="AF35" i="27" a="1"/>
  <c r="AF35" i="27" s="1"/>
  <c r="Q35" i="27" a="1"/>
  <c r="Q35" i="27" s="1"/>
  <c r="V35" i="27" a="1"/>
  <c r="V35" i="27" s="1"/>
  <c r="AA35" i="27" a="1"/>
  <c r="AA35" i="27" s="1"/>
  <c r="AG35" i="27" a="1"/>
  <c r="AG35" i="27" s="1"/>
  <c r="L35" i="27" a="1"/>
  <c r="L35" i="27" s="1"/>
  <c r="W35" i="27" a="1"/>
  <c r="W35" i="27" s="1"/>
  <c r="AB35" i="27" a="1"/>
  <c r="AB35" i="27" s="1"/>
  <c r="L56" i="27" a="1"/>
  <c r="L56" i="27" s="1"/>
  <c r="P56" i="27" a="1"/>
  <c r="P56" i="27" s="1"/>
  <c r="U56" i="27" a="1"/>
  <c r="U56" i="27" s="1"/>
  <c r="Z56" i="27" a="1"/>
  <c r="Z56" i="27" s="1"/>
  <c r="Q56" i="27" a="1"/>
  <c r="Q56" i="27" s="1"/>
  <c r="V56" i="27" a="1"/>
  <c r="V56" i="27" s="1"/>
  <c r="AA56" i="27" a="1"/>
  <c r="AA56" i="27" s="1"/>
  <c r="AE56" i="27" a="1"/>
  <c r="AE56" i="27" s="1"/>
  <c r="M56" i="27" a="1"/>
  <c r="M56" i="27" s="1"/>
  <c r="N56" i="27" a="1"/>
  <c r="N56" i="27" s="1"/>
  <c r="O56" i="27" a="1"/>
  <c r="O56" i="27" s="1"/>
  <c r="Y56" i="27" a="1"/>
  <c r="Y56" i="27" s="1"/>
  <c r="AD56" i="27" a="1"/>
  <c r="AD56" i="27" s="1"/>
  <c r="AI56" i="27" a="1"/>
  <c r="AI56" i="27" s="1"/>
  <c r="R56" i="27" a="1"/>
  <c r="R56" i="27" s="1"/>
  <c r="AB56" i="27" a="1"/>
  <c r="AB56" i="27" s="1"/>
  <c r="S56" i="27" a="1"/>
  <c r="S56" i="27" s="1"/>
  <c r="T56" i="27" a="1"/>
  <c r="T56" i="27" s="1"/>
  <c r="AC56" i="27" a="1"/>
  <c r="AC56" i="27" s="1"/>
  <c r="AF56" i="27" a="1"/>
  <c r="AF56" i="27" s="1"/>
  <c r="W56" i="27" a="1"/>
  <c r="W56" i="27" s="1"/>
  <c r="AG56" i="27" a="1"/>
  <c r="AG56" i="27" s="1"/>
  <c r="X56" i="27" a="1"/>
  <c r="X56" i="27" s="1"/>
  <c r="AH56" i="27" a="1"/>
  <c r="AH56" i="27" s="1"/>
  <c r="M130" i="27" a="1"/>
  <c r="M130" i="27" s="1"/>
  <c r="R130" i="27" a="1"/>
  <c r="R130" i="27" s="1"/>
  <c r="V130" i="27" a="1"/>
  <c r="V130" i="27" s="1"/>
  <c r="AF130" i="27" a="1"/>
  <c r="AF130" i="27" s="1"/>
  <c r="S130" i="27" a="1"/>
  <c r="S130" i="27" s="1"/>
  <c r="W130" i="27" a="1"/>
  <c r="W130" i="27" s="1"/>
  <c r="AB130" i="27" a="1"/>
  <c r="AB130" i="27" s="1"/>
  <c r="AG130" i="27" a="1"/>
  <c r="AG130" i="27" s="1"/>
  <c r="N130" i="27" a="1"/>
  <c r="N130" i="27" s="1"/>
  <c r="X130" i="27" a="1"/>
  <c r="X130" i="27" s="1"/>
  <c r="AC130" i="27" a="1"/>
  <c r="AC130" i="27" s="1"/>
  <c r="AH130" i="27" a="1"/>
  <c r="AH130" i="27" s="1"/>
  <c r="O130" i="27" a="1"/>
  <c r="O130" i="27" s="1"/>
  <c r="T130" i="27" a="1"/>
  <c r="T130" i="27" s="1"/>
  <c r="Y130" i="27" a="1"/>
  <c r="Y130" i="27" s="1"/>
  <c r="AI130" i="27" a="1"/>
  <c r="AI130" i="27" s="1"/>
  <c r="P130" i="27" a="1"/>
  <c r="P130" i="27" s="1"/>
  <c r="U130" i="27" a="1"/>
  <c r="U130" i="27" s="1"/>
  <c r="Z130" i="27" a="1"/>
  <c r="Z130" i="27" s="1"/>
  <c r="AD130" i="27" a="1"/>
  <c r="AD130" i="27" s="1"/>
  <c r="L130" i="27" a="1"/>
  <c r="L130" i="27" s="1"/>
  <c r="Q130" i="27" a="1"/>
  <c r="Q130" i="27" s="1"/>
  <c r="AA130" i="27" a="1"/>
  <c r="AA130" i="27" s="1"/>
  <c r="AE130" i="27" a="1"/>
  <c r="AE130" i="27" s="1"/>
  <c r="Q22" i="27" a="1"/>
  <c r="Q22" i="27" s="1"/>
  <c r="V22" i="27" a="1"/>
  <c r="V22" i="27" s="1"/>
  <c r="AA22" i="27" a="1"/>
  <c r="AA22" i="27" s="1"/>
  <c r="L22" i="27" a="1"/>
  <c r="L22" i="27" s="1"/>
  <c r="W22" i="27" a="1"/>
  <c r="W22" i="27" s="1"/>
  <c r="AB22" i="27" a="1"/>
  <c r="AB22" i="27" s="1"/>
  <c r="P22" i="27" a="1"/>
  <c r="P22" i="27" s="1"/>
  <c r="U22" i="27" a="1"/>
  <c r="U22" i="27" s="1"/>
  <c r="Z22" i="27" a="1"/>
  <c r="Z22" i="27" s="1"/>
  <c r="AF22" i="27" a="1"/>
  <c r="AF22" i="27" s="1"/>
  <c r="M22" i="27" a="1"/>
  <c r="M22" i="27" s="1"/>
  <c r="X22" i="27" a="1"/>
  <c r="X22" i="27" s="1"/>
  <c r="AG22" i="27" a="1"/>
  <c r="AG22" i="27" s="1"/>
  <c r="N22" i="27" a="1"/>
  <c r="N22" i="27" s="1"/>
  <c r="Y22" i="27" a="1"/>
  <c r="Y22" i="27" s="1"/>
  <c r="O22" i="27" a="1"/>
  <c r="O22" i="27" s="1"/>
  <c r="AH22" i="27" a="1"/>
  <c r="AH22" i="27" s="1"/>
  <c r="R22" i="27" a="1"/>
  <c r="R22" i="27" s="1"/>
  <c r="AC22" i="27" a="1"/>
  <c r="AC22" i="27" s="1"/>
  <c r="AI22" i="27" a="1"/>
  <c r="AI22" i="27" s="1"/>
  <c r="S22" i="27" a="1"/>
  <c r="S22" i="27" s="1"/>
  <c r="AD22" i="27" a="1"/>
  <c r="AD22" i="27" s="1"/>
  <c r="T22" i="27" a="1"/>
  <c r="T22" i="27" s="1"/>
  <c r="AE22" i="27" a="1"/>
  <c r="AE22" i="27" s="1"/>
  <c r="O66" i="27" a="1"/>
  <c r="O66" i="27" s="1"/>
  <c r="Y66" i="27" a="1"/>
  <c r="Y66" i="27" s="1"/>
  <c r="AD66" i="27" a="1"/>
  <c r="AD66" i="27" s="1"/>
  <c r="AI66" i="27" a="1"/>
  <c r="AI66" i="27" s="1"/>
  <c r="L66" i="27" a="1"/>
  <c r="L66" i="27" s="1"/>
  <c r="P66" i="27" a="1"/>
  <c r="P66" i="27" s="1"/>
  <c r="U66" i="27" a="1"/>
  <c r="U66" i="27" s="1"/>
  <c r="Z66" i="27" a="1"/>
  <c r="Z66" i="27" s="1"/>
  <c r="Q66" i="27" a="1"/>
  <c r="Q66" i="27" s="1"/>
  <c r="V66" i="27" a="1"/>
  <c r="V66" i="27" s="1"/>
  <c r="AA66" i="27" a="1"/>
  <c r="AA66" i="27" s="1"/>
  <c r="AE66" i="27" a="1"/>
  <c r="AE66" i="27" s="1"/>
  <c r="M66" i="27" a="1"/>
  <c r="M66" i="27" s="1"/>
  <c r="R66" i="27" a="1"/>
  <c r="R66" i="27" s="1"/>
  <c r="AB66" i="27" a="1"/>
  <c r="AB66" i="27" s="1"/>
  <c r="AF66" i="27" a="1"/>
  <c r="AF66" i="27" s="1"/>
  <c r="N66" i="27" a="1"/>
  <c r="N66" i="27" s="1"/>
  <c r="S66" i="27" a="1"/>
  <c r="S66" i="27" s="1"/>
  <c r="W66" i="27" a="1"/>
  <c r="W66" i="27" s="1"/>
  <c r="AG66" i="27" a="1"/>
  <c r="AG66" i="27" s="1"/>
  <c r="T66" i="27" a="1"/>
  <c r="T66" i="27" s="1"/>
  <c r="X66" i="27" a="1"/>
  <c r="X66" i="27" s="1"/>
  <c r="AC66" i="27" a="1"/>
  <c r="AC66" i="27" s="1"/>
  <c r="AH66" i="27" a="1"/>
  <c r="AH66" i="27" s="1"/>
  <c r="L49" i="27" a="1"/>
  <c r="L49" i="27" s="1"/>
  <c r="P49" i="27" a="1"/>
  <c r="P49" i="27" s="1"/>
  <c r="U49" i="27" a="1"/>
  <c r="U49" i="27" s="1"/>
  <c r="Z49" i="27" a="1"/>
  <c r="Z49" i="27" s="1"/>
  <c r="Q49" i="27" a="1"/>
  <c r="Q49" i="27" s="1"/>
  <c r="V49" i="27" a="1"/>
  <c r="V49" i="27" s="1"/>
  <c r="AA49" i="27" a="1"/>
  <c r="AA49" i="27" s="1"/>
  <c r="AE49" i="27" a="1"/>
  <c r="AE49" i="27" s="1"/>
  <c r="M49" i="27" a="1"/>
  <c r="M49" i="27" s="1"/>
  <c r="R49" i="27" a="1"/>
  <c r="R49" i="27" s="1"/>
  <c r="AB49" i="27" a="1"/>
  <c r="AB49" i="27" s="1"/>
  <c r="AF49" i="27" a="1"/>
  <c r="AF49" i="27" s="1"/>
  <c r="N49" i="27" a="1"/>
  <c r="N49" i="27" s="1"/>
  <c r="S49" i="27" a="1"/>
  <c r="S49" i="27" s="1"/>
  <c r="W49" i="27" a="1"/>
  <c r="W49" i="27" s="1"/>
  <c r="AG49" i="27" a="1"/>
  <c r="AG49" i="27" s="1"/>
  <c r="T49" i="27" a="1"/>
  <c r="T49" i="27" s="1"/>
  <c r="X49" i="27" a="1"/>
  <c r="X49" i="27" s="1"/>
  <c r="AC49" i="27" a="1"/>
  <c r="AC49" i="27" s="1"/>
  <c r="AH49" i="27" a="1"/>
  <c r="AH49" i="27" s="1"/>
  <c r="O49" i="27" a="1"/>
  <c r="O49" i="27" s="1"/>
  <c r="Y49" i="27" a="1"/>
  <c r="Y49" i="27" s="1"/>
  <c r="AD49" i="27" a="1"/>
  <c r="AD49" i="27" s="1"/>
  <c r="AI49" i="27" a="1"/>
  <c r="AI49" i="27" s="1"/>
  <c r="N23" i="27" a="1"/>
  <c r="N23" i="27" s="1"/>
  <c r="S23" i="27" a="1"/>
  <c r="S23" i="27" s="1"/>
  <c r="Y23" i="27" a="1"/>
  <c r="Y23" i="27" s="1"/>
  <c r="AD23" i="27" a="1"/>
  <c r="AD23" i="27" s="1"/>
  <c r="AI23" i="27" a="1"/>
  <c r="AI23" i="27" s="1"/>
  <c r="O23" i="27" a="1"/>
  <c r="O23" i="27" s="1"/>
  <c r="T23" i="27" a="1"/>
  <c r="T23" i="27" s="1"/>
  <c r="AE23" i="27" a="1"/>
  <c r="AE23" i="27" s="1"/>
  <c r="P23" i="27" a="1"/>
  <c r="P23" i="27" s="1"/>
  <c r="U23" i="27" a="1"/>
  <c r="U23" i="27" s="1"/>
  <c r="Z23" i="27" a="1"/>
  <c r="Z23" i="27" s="1"/>
  <c r="AF23" i="27" a="1"/>
  <c r="AF23" i="27" s="1"/>
  <c r="Q23" i="27" a="1"/>
  <c r="Q23" i="27" s="1"/>
  <c r="V23" i="27" a="1"/>
  <c r="V23" i="27" s="1"/>
  <c r="AA23" i="27" a="1"/>
  <c r="AA23" i="27" s="1"/>
  <c r="AG23" i="27" a="1"/>
  <c r="AG23" i="27" s="1"/>
  <c r="L23" i="27" a="1"/>
  <c r="L23" i="27" s="1"/>
  <c r="W23" i="27" a="1"/>
  <c r="W23" i="27" s="1"/>
  <c r="AB23" i="27" a="1"/>
  <c r="AB23" i="27" s="1"/>
  <c r="M23" i="27" a="1"/>
  <c r="M23" i="27" s="1"/>
  <c r="R23" i="27" a="1"/>
  <c r="R23" i="27" s="1"/>
  <c r="X23" i="27" a="1"/>
  <c r="X23" i="27" s="1"/>
  <c r="AC23" i="27" a="1"/>
  <c r="AC23" i="27" s="1"/>
  <c r="AH23" i="27" a="1"/>
  <c r="AH23" i="27" s="1"/>
  <c r="O73" i="27" a="1"/>
  <c r="O73" i="27" s="1"/>
  <c r="U73" i="27" a="1"/>
  <c r="U73" i="27" s="1"/>
  <c r="AA73" i="27" a="1"/>
  <c r="AA73" i="27" s="1"/>
  <c r="AG73" i="27" a="1"/>
  <c r="AG73" i="27" s="1"/>
  <c r="P73" i="27" a="1"/>
  <c r="P73" i="27" s="1"/>
  <c r="V73" i="27" a="1"/>
  <c r="V73" i="27" s="1"/>
  <c r="AB73" i="27" a="1"/>
  <c r="AB73" i="27" s="1"/>
  <c r="AH73" i="27" a="1"/>
  <c r="AH73" i="27" s="1"/>
  <c r="Q73" i="27" a="1"/>
  <c r="Q73" i="27" s="1"/>
  <c r="W73" i="27" a="1"/>
  <c r="W73" i="27" s="1"/>
  <c r="AC73" i="27" a="1"/>
  <c r="AC73" i="27" s="1"/>
  <c r="AI73" i="27" a="1"/>
  <c r="AI73" i="27" s="1"/>
  <c r="L73" i="27" a="1"/>
  <c r="L73" i="27" s="1"/>
  <c r="R73" i="27" a="1"/>
  <c r="R73" i="27" s="1"/>
  <c r="X73" i="27" a="1"/>
  <c r="X73" i="27" s="1"/>
  <c r="AD73" i="27" a="1"/>
  <c r="AD73" i="27" s="1"/>
  <c r="M73" i="27" a="1"/>
  <c r="M73" i="27" s="1"/>
  <c r="S73" i="27" a="1"/>
  <c r="S73" i="27" s="1"/>
  <c r="Y73" i="27" a="1"/>
  <c r="Y73" i="27" s="1"/>
  <c r="AE73" i="27" a="1"/>
  <c r="AE73" i="27" s="1"/>
  <c r="N73" i="27" a="1"/>
  <c r="N73" i="27" s="1"/>
  <c r="T73" i="27" a="1"/>
  <c r="T73" i="27" s="1"/>
  <c r="Z73" i="27" a="1"/>
  <c r="Z73" i="27" s="1"/>
  <c r="AF73" i="27" a="1"/>
  <c r="AF73" i="27" s="1"/>
  <c r="T120" i="27" a="1"/>
  <c r="T120" i="27" s="1"/>
  <c r="Y120" i="27" a="1"/>
  <c r="Y120" i="27" s="1"/>
  <c r="AD120" i="27" a="1"/>
  <c r="AD120" i="27" s="1"/>
  <c r="P120" i="27" a="1"/>
  <c r="P120" i="27" s="1"/>
  <c r="U120" i="27" a="1"/>
  <c r="U120" i="27" s="1"/>
  <c r="Z120" i="27" a="1"/>
  <c r="Z120" i="27" s="1"/>
  <c r="AE120" i="27" a="1"/>
  <c r="AE120" i="27" s="1"/>
  <c r="L120" i="27" a="1"/>
  <c r="L120" i="27" s="1"/>
  <c r="Q120" i="27" a="1"/>
  <c r="Q120" i="27" s="1"/>
  <c r="V120" i="27" a="1"/>
  <c r="V120" i="27" s="1"/>
  <c r="AA120" i="27" a="1"/>
  <c r="AA120" i="27" s="1"/>
  <c r="AF120" i="27" a="1"/>
  <c r="AF120" i="27" s="1"/>
  <c r="M120" i="27" a="1"/>
  <c r="M120" i="27" s="1"/>
  <c r="R120" i="27" a="1"/>
  <c r="R120" i="27" s="1"/>
  <c r="W120" i="27" a="1"/>
  <c r="W120" i="27" s="1"/>
  <c r="AG120" i="27" a="1"/>
  <c r="AG120" i="27" s="1"/>
  <c r="N120" i="27" a="1"/>
  <c r="N120" i="27" s="1"/>
  <c r="S120" i="27" a="1"/>
  <c r="S120" i="27" s="1"/>
  <c r="AB120" i="27" a="1"/>
  <c r="AB120" i="27" s="1"/>
  <c r="AH120" i="27" a="1"/>
  <c r="AH120" i="27" s="1"/>
  <c r="O120" i="27" a="1"/>
  <c r="O120" i="27" s="1"/>
  <c r="X120" i="27" a="1"/>
  <c r="X120" i="27" s="1"/>
  <c r="AC120" i="27" a="1"/>
  <c r="AC120" i="27" s="1"/>
  <c r="AI120" i="27" a="1"/>
  <c r="AI120" i="27" s="1"/>
  <c r="P79" i="27" a="1"/>
  <c r="P79" i="27" s="1"/>
  <c r="U79" i="27" a="1"/>
  <c r="U79" i="27" s="1"/>
  <c r="Y79" i="27" a="1"/>
  <c r="Y79" i="27" s="1"/>
  <c r="AI79" i="27" a="1"/>
  <c r="AI79" i="27" s="1"/>
  <c r="L79" i="27" a="1"/>
  <c r="L79" i="27" s="1"/>
  <c r="V79" i="27" a="1"/>
  <c r="V79" i="27" s="1"/>
  <c r="Z79" i="27" a="1"/>
  <c r="Z79" i="27" s="1"/>
  <c r="AE79" i="27" a="1"/>
  <c r="AE79" i="27" s="1"/>
  <c r="M79" i="27" a="1"/>
  <c r="M79" i="27" s="1"/>
  <c r="Q79" i="27" a="1"/>
  <c r="Q79" i="27" s="1"/>
  <c r="AA79" i="27" a="1"/>
  <c r="AA79" i="27" s="1"/>
  <c r="AF79" i="27" a="1"/>
  <c r="AF79" i="27" s="1"/>
  <c r="N79" i="27" a="1"/>
  <c r="N79" i="27" s="1"/>
  <c r="R79" i="27" a="1"/>
  <c r="R79" i="27" s="1"/>
  <c r="W79" i="27" a="1"/>
  <c r="W79" i="27" s="1"/>
  <c r="AB79" i="27" a="1"/>
  <c r="AB79" i="27" s="1"/>
  <c r="S79" i="27" a="1"/>
  <c r="S79" i="27" s="1"/>
  <c r="X79" i="27" a="1"/>
  <c r="X79" i="27" s="1"/>
  <c r="AC79" i="27" a="1"/>
  <c r="AC79" i="27" s="1"/>
  <c r="AG79" i="27" a="1"/>
  <c r="AG79" i="27" s="1"/>
  <c r="O79" i="27" a="1"/>
  <c r="O79" i="27" s="1"/>
  <c r="T79" i="27" a="1"/>
  <c r="T79" i="27" s="1"/>
  <c r="AD79" i="27" a="1"/>
  <c r="AD79" i="27" s="1"/>
  <c r="AH79" i="27" a="1"/>
  <c r="AH79" i="27" s="1"/>
  <c r="P77" i="27" a="1"/>
  <c r="P77" i="27" s="1"/>
  <c r="U77" i="27" a="1"/>
  <c r="U77" i="27" s="1"/>
  <c r="Y77" i="27" a="1"/>
  <c r="Y77" i="27" s="1"/>
  <c r="AI77" i="27" a="1"/>
  <c r="AI77" i="27" s="1"/>
  <c r="L77" i="27" a="1"/>
  <c r="L77" i="27" s="1"/>
  <c r="V77" i="27" a="1"/>
  <c r="V77" i="27" s="1"/>
  <c r="Z77" i="27" a="1"/>
  <c r="Z77" i="27" s="1"/>
  <c r="AE77" i="27" a="1"/>
  <c r="AE77" i="27" s="1"/>
  <c r="M77" i="27" a="1"/>
  <c r="M77" i="27" s="1"/>
  <c r="Q77" i="27" a="1"/>
  <c r="Q77" i="27" s="1"/>
  <c r="AA77" i="27" a="1"/>
  <c r="AA77" i="27" s="1"/>
  <c r="AF77" i="27" a="1"/>
  <c r="AF77" i="27" s="1"/>
  <c r="N77" i="27" a="1"/>
  <c r="N77" i="27" s="1"/>
  <c r="R77" i="27" a="1"/>
  <c r="R77" i="27" s="1"/>
  <c r="W77" i="27" a="1"/>
  <c r="W77" i="27" s="1"/>
  <c r="AB77" i="27" a="1"/>
  <c r="AB77" i="27" s="1"/>
  <c r="S77" i="27" a="1"/>
  <c r="S77" i="27" s="1"/>
  <c r="X77" i="27" a="1"/>
  <c r="X77" i="27" s="1"/>
  <c r="AC77" i="27" a="1"/>
  <c r="AC77" i="27" s="1"/>
  <c r="AG77" i="27" a="1"/>
  <c r="AG77" i="27" s="1"/>
  <c r="O77" i="27" a="1"/>
  <c r="O77" i="27" s="1"/>
  <c r="T77" i="27" a="1"/>
  <c r="T77" i="27" s="1"/>
  <c r="AD77" i="27" a="1"/>
  <c r="AD77" i="27" s="1"/>
  <c r="AH77" i="27" a="1"/>
  <c r="AH77" i="27" s="1"/>
  <c r="O74" i="27" a="1"/>
  <c r="O74" i="27" s="1"/>
  <c r="U74" i="27" a="1"/>
  <c r="U74" i="27" s="1"/>
  <c r="AA74" i="27" a="1"/>
  <c r="AA74" i="27" s="1"/>
  <c r="AG74" i="27" a="1"/>
  <c r="AG74" i="27" s="1"/>
  <c r="P74" i="27" a="1"/>
  <c r="P74" i="27" s="1"/>
  <c r="V74" i="27" a="1"/>
  <c r="V74" i="27" s="1"/>
  <c r="AB74" i="27" a="1"/>
  <c r="AB74" i="27" s="1"/>
  <c r="AH74" i="27" a="1"/>
  <c r="AH74" i="27" s="1"/>
  <c r="Q74" i="27" a="1"/>
  <c r="Q74" i="27" s="1"/>
  <c r="W74" i="27" a="1"/>
  <c r="W74" i="27" s="1"/>
  <c r="AC74" i="27" a="1"/>
  <c r="AC74" i="27" s="1"/>
  <c r="AI74" i="27" a="1"/>
  <c r="AI74" i="27" s="1"/>
  <c r="L74" i="27" a="1"/>
  <c r="L74" i="27" s="1"/>
  <c r="R74" i="27" a="1"/>
  <c r="R74" i="27" s="1"/>
  <c r="X74" i="27" a="1"/>
  <c r="X74" i="27" s="1"/>
  <c r="AD74" i="27" a="1"/>
  <c r="AD74" i="27" s="1"/>
  <c r="M74" i="27" a="1"/>
  <c r="M74" i="27" s="1"/>
  <c r="S74" i="27" a="1"/>
  <c r="S74" i="27" s="1"/>
  <c r="Y74" i="27" a="1"/>
  <c r="Y74" i="27" s="1"/>
  <c r="AE74" i="27" a="1"/>
  <c r="AE74" i="27" s="1"/>
  <c r="N74" i="27" a="1"/>
  <c r="N74" i="27" s="1"/>
  <c r="T74" i="27" a="1"/>
  <c r="T74" i="27" s="1"/>
  <c r="Z74" i="27" a="1"/>
  <c r="Z74" i="27" s="1"/>
  <c r="AF74" i="27" a="1"/>
  <c r="AF74" i="27" s="1"/>
  <c r="P140" i="27" a="1"/>
  <c r="P140" i="27" s="1"/>
  <c r="V140" i="27" a="1"/>
  <c r="V140" i="27" s="1"/>
  <c r="AB140" i="27" a="1"/>
  <c r="AB140" i="27" s="1"/>
  <c r="AH140" i="27" a="1"/>
  <c r="AH140" i="27" s="1"/>
  <c r="Q140" i="27" a="1"/>
  <c r="Q140" i="27" s="1"/>
  <c r="W140" i="27" a="1"/>
  <c r="W140" i="27" s="1"/>
  <c r="AC140" i="27" a="1"/>
  <c r="AC140" i="27" s="1"/>
  <c r="AI140" i="27" a="1"/>
  <c r="AI140" i="27" s="1"/>
  <c r="L140" i="27" a="1"/>
  <c r="L140" i="27" s="1"/>
  <c r="R140" i="27" a="1"/>
  <c r="R140" i="27" s="1"/>
  <c r="X140" i="27" a="1"/>
  <c r="X140" i="27" s="1"/>
  <c r="AD140" i="27" a="1"/>
  <c r="AD140" i="27" s="1"/>
  <c r="M140" i="27" a="1"/>
  <c r="M140" i="27" s="1"/>
  <c r="S140" i="27" a="1"/>
  <c r="S140" i="27" s="1"/>
  <c r="Y140" i="27" a="1"/>
  <c r="Y140" i="27" s="1"/>
  <c r="AE140" i="27" a="1"/>
  <c r="AE140" i="27" s="1"/>
  <c r="N140" i="27" a="1"/>
  <c r="N140" i="27" s="1"/>
  <c r="T140" i="27" a="1"/>
  <c r="T140" i="27" s="1"/>
  <c r="Z140" i="27" a="1"/>
  <c r="Z140" i="27" s="1"/>
  <c r="AF140" i="27" a="1"/>
  <c r="AF140" i="27" s="1"/>
  <c r="O140" i="27" a="1"/>
  <c r="O140" i="27" s="1"/>
  <c r="U140" i="27" a="1"/>
  <c r="U140" i="27" s="1"/>
  <c r="AA140" i="27" a="1"/>
  <c r="AA140" i="27" s="1"/>
  <c r="AG140" i="27" a="1"/>
  <c r="AG140" i="27" s="1"/>
  <c r="N21" i="27" a="1"/>
  <c r="N21" i="27" s="1"/>
  <c r="S21" i="27" a="1"/>
  <c r="S21" i="27" s="1"/>
  <c r="Y21" i="27" a="1"/>
  <c r="Y21" i="27" s="1"/>
  <c r="AD21" i="27" a="1"/>
  <c r="AD21" i="27" s="1"/>
  <c r="AI21" i="27" a="1"/>
  <c r="AI21" i="27" s="1"/>
  <c r="O21" i="27" a="1"/>
  <c r="O21" i="27" s="1"/>
  <c r="T21" i="27" a="1"/>
  <c r="T21" i="27" s="1"/>
  <c r="AE21" i="27" a="1"/>
  <c r="AE21" i="27" s="1"/>
  <c r="M21" i="27" a="1"/>
  <c r="M21" i="27" s="1"/>
  <c r="R21" i="27" a="1"/>
  <c r="R21" i="27" s="1"/>
  <c r="X21" i="27" a="1"/>
  <c r="X21" i="27" s="1"/>
  <c r="AC21" i="27" a="1"/>
  <c r="AC21" i="27" s="1"/>
  <c r="AH21" i="27" a="1"/>
  <c r="AH21" i="27" s="1"/>
  <c r="P21" i="27" a="1"/>
  <c r="P21" i="27" s="1"/>
  <c r="Z21" i="27" a="1"/>
  <c r="Z21" i="27" s="1"/>
  <c r="Q21" i="27" a="1"/>
  <c r="Q21" i="27" s="1"/>
  <c r="AA21" i="27" a="1"/>
  <c r="AA21" i="27" s="1"/>
  <c r="AB21" i="27" a="1"/>
  <c r="AB21" i="27" s="1"/>
  <c r="U21" i="27" a="1"/>
  <c r="U21" i="27" s="1"/>
  <c r="AF21" i="27" a="1"/>
  <c r="AF21" i="27" s="1"/>
  <c r="V21" i="27" a="1"/>
  <c r="V21" i="27" s="1"/>
  <c r="AG21" i="27" a="1"/>
  <c r="AG21" i="27" s="1"/>
  <c r="L21" i="27" a="1"/>
  <c r="L21" i="27" s="1"/>
  <c r="W21" i="27" a="1"/>
  <c r="W21" i="27" s="1"/>
  <c r="L53" i="27" a="1"/>
  <c r="L53" i="27" s="1"/>
  <c r="P53" i="27" a="1"/>
  <c r="P53" i="27" s="1"/>
  <c r="U53" i="27" a="1"/>
  <c r="U53" i="27" s="1"/>
  <c r="Z53" i="27" a="1"/>
  <c r="Z53" i="27" s="1"/>
  <c r="Q53" i="27" a="1"/>
  <c r="Q53" i="27" s="1"/>
  <c r="V53" i="27" a="1"/>
  <c r="V53" i="27" s="1"/>
  <c r="AA53" i="27" a="1"/>
  <c r="AA53" i="27" s="1"/>
  <c r="AE53" i="27" a="1"/>
  <c r="AE53" i="27" s="1"/>
  <c r="M53" i="27" a="1"/>
  <c r="M53" i="27" s="1"/>
  <c r="R53" i="27" a="1"/>
  <c r="R53" i="27" s="1"/>
  <c r="AB53" i="27" a="1"/>
  <c r="AB53" i="27" s="1"/>
  <c r="AF53" i="27" a="1"/>
  <c r="AF53" i="27" s="1"/>
  <c r="N53" i="27" a="1"/>
  <c r="N53" i="27" s="1"/>
  <c r="S53" i="27" a="1"/>
  <c r="S53" i="27" s="1"/>
  <c r="W53" i="27" a="1"/>
  <c r="W53" i="27" s="1"/>
  <c r="AG53" i="27" a="1"/>
  <c r="AG53" i="27" s="1"/>
  <c r="T53" i="27" a="1"/>
  <c r="T53" i="27" s="1"/>
  <c r="X53" i="27" a="1"/>
  <c r="X53" i="27" s="1"/>
  <c r="AC53" i="27" a="1"/>
  <c r="AC53" i="27" s="1"/>
  <c r="AH53" i="27" a="1"/>
  <c r="AH53" i="27" s="1"/>
  <c r="O53" i="27" a="1"/>
  <c r="O53" i="27" s="1"/>
  <c r="Y53" i="27" a="1"/>
  <c r="Y53" i="27" s="1"/>
  <c r="AD53" i="27" a="1"/>
  <c r="AD53" i="27" s="1"/>
  <c r="AI53" i="27" a="1"/>
  <c r="AI53" i="27" s="1"/>
  <c r="Q103" i="27" a="1"/>
  <c r="Q103" i="27" s="1"/>
  <c r="U103" i="27" a="1"/>
  <c r="U103" i="27" s="1"/>
  <c r="Z103" i="27" a="1"/>
  <c r="Z103" i="27" s="1"/>
  <c r="AE103" i="27" a="1"/>
  <c r="AE103" i="27" s="1"/>
  <c r="L103" i="27" a="1"/>
  <c r="L103" i="27" s="1"/>
  <c r="V103" i="27" a="1"/>
  <c r="V103" i="27" s="1"/>
  <c r="AA103" i="27" a="1"/>
  <c r="AA103" i="27" s="1"/>
  <c r="AF103" i="27" a="1"/>
  <c r="AF103" i="27" s="1"/>
  <c r="M103" i="27" a="1"/>
  <c r="M103" i="27" s="1"/>
  <c r="R103" i="27" a="1"/>
  <c r="R103" i="27" s="1"/>
  <c r="W103" i="27" a="1"/>
  <c r="W103" i="27" s="1"/>
  <c r="AG103" i="27" a="1"/>
  <c r="AG103" i="27" s="1"/>
  <c r="N103" i="27" a="1"/>
  <c r="N103" i="27" s="1"/>
  <c r="S103" i="27" a="1"/>
  <c r="S103" i="27" s="1"/>
  <c r="X103" i="27" a="1"/>
  <c r="X103" i="27" s="1"/>
  <c r="AB103" i="27" a="1"/>
  <c r="AB103" i="27" s="1"/>
  <c r="O103" i="27" a="1"/>
  <c r="O103" i="27" s="1"/>
  <c r="Y103" i="27" a="1"/>
  <c r="Y103" i="27" s="1"/>
  <c r="AC103" i="27" a="1"/>
  <c r="AC103" i="27" s="1"/>
  <c r="AH103" i="27" a="1"/>
  <c r="AH103" i="27" s="1"/>
  <c r="P103" i="27" a="1"/>
  <c r="P103" i="27" s="1"/>
  <c r="T103" i="27" a="1"/>
  <c r="T103" i="27" s="1"/>
  <c r="AD103" i="27" a="1"/>
  <c r="AD103" i="27" s="1"/>
  <c r="AI103" i="27" a="1"/>
  <c r="AI103" i="27" s="1"/>
  <c r="M110" i="27" a="1"/>
  <c r="M110" i="27" s="1"/>
  <c r="Q110" i="27" a="1"/>
  <c r="Q110" i="27" s="1"/>
  <c r="U110" i="27" a="1"/>
  <c r="U110" i="27" s="1"/>
  <c r="Y110" i="27" a="1"/>
  <c r="Y110" i="27" s="1"/>
  <c r="AC110" i="27" a="1"/>
  <c r="AC110" i="27" s="1"/>
  <c r="AG110" i="27" a="1"/>
  <c r="AG110" i="27" s="1"/>
  <c r="N110" i="27" a="1"/>
  <c r="N110" i="27" s="1"/>
  <c r="R110" i="27" a="1"/>
  <c r="R110" i="27" s="1"/>
  <c r="V110" i="27" a="1"/>
  <c r="V110" i="27" s="1"/>
  <c r="Z110" i="27" a="1"/>
  <c r="Z110" i="27" s="1"/>
  <c r="AD110" i="27" a="1"/>
  <c r="AD110" i="27" s="1"/>
  <c r="AH110" i="27" a="1"/>
  <c r="AH110" i="27" s="1"/>
  <c r="O110" i="27" a="1"/>
  <c r="O110" i="27" s="1"/>
  <c r="S110" i="27" a="1"/>
  <c r="S110" i="27" s="1"/>
  <c r="W110" i="27" a="1"/>
  <c r="W110" i="27" s="1"/>
  <c r="AA110" i="27" a="1"/>
  <c r="AA110" i="27" s="1"/>
  <c r="AE110" i="27" a="1"/>
  <c r="AE110" i="27" s="1"/>
  <c r="AI110" i="27" a="1"/>
  <c r="AI110" i="27" s="1"/>
  <c r="L110" i="27" a="1"/>
  <c r="L110" i="27" s="1"/>
  <c r="P110" i="27" a="1"/>
  <c r="P110" i="27" s="1"/>
  <c r="T110" i="27" a="1"/>
  <c r="T110" i="27" s="1"/>
  <c r="X110" i="27" a="1"/>
  <c r="X110" i="27" s="1"/>
  <c r="AB110" i="27" a="1"/>
  <c r="AB110" i="27" s="1"/>
  <c r="AF110" i="27" a="1"/>
  <c r="AF110" i="27" s="1"/>
  <c r="N42" i="27" a="1"/>
  <c r="N42" i="27" s="1"/>
  <c r="S42" i="27" a="1"/>
  <c r="S42" i="27" s="1"/>
  <c r="X42" i="27" a="1"/>
  <c r="X42" i="27" s="1"/>
  <c r="AC42" i="27" a="1"/>
  <c r="AC42" i="27" s="1"/>
  <c r="AG42" i="27" a="1"/>
  <c r="AG42" i="27" s="1"/>
  <c r="O42" i="27" a="1"/>
  <c r="O42" i="27" s="1"/>
  <c r="T42" i="27" a="1"/>
  <c r="T42" i="27" s="1"/>
  <c r="Y42" i="27" a="1"/>
  <c r="Y42" i="27" s="1"/>
  <c r="P42" i="27" a="1"/>
  <c r="P42" i="27" s="1"/>
  <c r="U42" i="27" a="1"/>
  <c r="U42" i="27" s="1"/>
  <c r="AD42" i="27" a="1"/>
  <c r="AD42" i="27" s="1"/>
  <c r="AH42" i="27" a="1"/>
  <c r="AH42" i="27" s="1"/>
  <c r="Q42" i="27" a="1"/>
  <c r="Q42" i="27" s="1"/>
  <c r="V42" i="27" a="1"/>
  <c r="V42" i="27" s="1"/>
  <c r="Z42" i="27" a="1"/>
  <c r="Z42" i="27" s="1"/>
  <c r="AE42" i="27" a="1"/>
  <c r="AE42" i="27" s="1"/>
  <c r="AI42" i="27" a="1"/>
  <c r="AI42" i="27" s="1"/>
  <c r="L42" i="27" a="1"/>
  <c r="L42" i="27" s="1"/>
  <c r="W42" i="27" a="1"/>
  <c r="W42" i="27" s="1"/>
  <c r="AA42" i="27" a="1"/>
  <c r="AA42" i="27" s="1"/>
  <c r="M42" i="27" a="1"/>
  <c r="M42" i="27" s="1"/>
  <c r="R42" i="27" a="1"/>
  <c r="R42" i="27" s="1"/>
  <c r="AB42" i="27" a="1"/>
  <c r="AB42" i="27" s="1"/>
  <c r="AF42" i="27" a="1"/>
  <c r="AF42" i="27" s="1"/>
  <c r="O60" i="27" a="1"/>
  <c r="O60" i="27" s="1"/>
  <c r="Y60" i="27" a="1"/>
  <c r="Y60" i="27" s="1"/>
  <c r="AD60" i="27" a="1"/>
  <c r="AD60" i="27" s="1"/>
  <c r="AI60" i="27" a="1"/>
  <c r="AI60" i="27" s="1"/>
  <c r="L60" i="27" a="1"/>
  <c r="L60" i="27" s="1"/>
  <c r="P60" i="27" a="1"/>
  <c r="P60" i="27" s="1"/>
  <c r="U60" i="27" a="1"/>
  <c r="U60" i="27" s="1"/>
  <c r="Z60" i="27" a="1"/>
  <c r="Z60" i="27" s="1"/>
  <c r="Q60" i="27" a="1"/>
  <c r="Q60" i="27" s="1"/>
  <c r="V60" i="27" a="1"/>
  <c r="V60" i="27" s="1"/>
  <c r="AA60" i="27" a="1"/>
  <c r="AA60" i="27" s="1"/>
  <c r="AE60" i="27" a="1"/>
  <c r="AE60" i="27" s="1"/>
  <c r="M60" i="27" a="1"/>
  <c r="M60" i="27" s="1"/>
  <c r="R60" i="27" a="1"/>
  <c r="R60" i="27" s="1"/>
  <c r="AB60" i="27" a="1"/>
  <c r="AB60" i="27" s="1"/>
  <c r="AF60" i="27" a="1"/>
  <c r="AF60" i="27" s="1"/>
  <c r="N60" i="27" a="1"/>
  <c r="N60" i="27" s="1"/>
  <c r="S60" i="27" a="1"/>
  <c r="S60" i="27" s="1"/>
  <c r="W60" i="27" a="1"/>
  <c r="W60" i="27" s="1"/>
  <c r="AG60" i="27" a="1"/>
  <c r="AG60" i="27" s="1"/>
  <c r="T60" i="27" a="1"/>
  <c r="T60" i="27" s="1"/>
  <c r="X60" i="27" a="1"/>
  <c r="X60" i="27" s="1"/>
  <c r="AC60" i="27" a="1"/>
  <c r="AC60" i="27" s="1"/>
  <c r="AH60" i="27" a="1"/>
  <c r="AH60" i="27" s="1"/>
  <c r="L27" i="27" a="1"/>
  <c r="L27" i="27" s="1"/>
  <c r="Q27" i="27" a="1"/>
  <c r="Q27" i="27" s="1"/>
  <c r="V27" i="27" a="1"/>
  <c r="V27" i="27" s="1"/>
  <c r="Z27" i="27" a="1"/>
  <c r="Z27" i="27" s="1"/>
  <c r="M27" i="27" a="1"/>
  <c r="M27" i="27" s="1"/>
  <c r="W27" i="27" a="1"/>
  <c r="W27" i="27" s="1"/>
  <c r="AA27" i="27" a="1"/>
  <c r="AA27" i="27" s="1"/>
  <c r="AF27" i="27" a="1"/>
  <c r="AF27" i="27" s="1"/>
  <c r="N27" i="27" a="1"/>
  <c r="N27" i="27" s="1"/>
  <c r="R27" i="27" a="1"/>
  <c r="R27" i="27" s="1"/>
  <c r="AB27" i="27" a="1"/>
  <c r="AB27" i="27" s="1"/>
  <c r="AG27" i="27" a="1"/>
  <c r="AG27" i="27" s="1"/>
  <c r="O27" i="27" a="1"/>
  <c r="O27" i="27" s="1"/>
  <c r="S27" i="27" a="1"/>
  <c r="S27" i="27" s="1"/>
  <c r="X27" i="27" a="1"/>
  <c r="X27" i="27" s="1"/>
  <c r="AC27" i="27" a="1"/>
  <c r="AC27" i="27" s="1"/>
  <c r="T27" i="27" a="1"/>
  <c r="T27" i="27" s="1"/>
  <c r="Y27" i="27" a="1"/>
  <c r="Y27" i="27" s="1"/>
  <c r="AD27" i="27" a="1"/>
  <c r="AD27" i="27" s="1"/>
  <c r="AH27" i="27" a="1"/>
  <c r="AH27" i="27" s="1"/>
  <c r="P27" i="27" a="1"/>
  <c r="P27" i="27" s="1"/>
  <c r="U27" i="27" a="1"/>
  <c r="U27" i="27" s="1"/>
  <c r="AE27" i="27" a="1"/>
  <c r="AE27" i="27" s="1"/>
  <c r="AI27" i="27" a="1"/>
  <c r="AI27" i="27" s="1"/>
  <c r="M17" i="27" a="1"/>
  <c r="M17" i="27" s="1"/>
  <c r="R17" i="27" a="1"/>
  <c r="R17" i="27" s="1"/>
  <c r="W17" i="27" a="1"/>
  <c r="W17" i="27" s="1"/>
  <c r="AG17" i="27" a="1"/>
  <c r="AG17" i="27" s="1"/>
  <c r="N17" i="27" a="1"/>
  <c r="N17" i="27" s="1"/>
  <c r="S17" i="27" a="1"/>
  <c r="S17" i="27" s="1"/>
  <c r="X17" i="27" a="1"/>
  <c r="X17" i="27" s="1"/>
  <c r="AB17" i="27" a="1"/>
  <c r="AB17" i="27" s="1"/>
  <c r="O17" i="27" a="1"/>
  <c r="O17" i="27" s="1"/>
  <c r="Y17" i="27" a="1"/>
  <c r="Y17" i="27" s="1"/>
  <c r="AC17" i="27" a="1"/>
  <c r="AC17" i="27" s="1"/>
  <c r="AH17" i="27" a="1"/>
  <c r="AH17" i="27" s="1"/>
  <c r="P17" i="27" a="1"/>
  <c r="P17" i="27" s="1"/>
  <c r="T17" i="27" a="1"/>
  <c r="T17" i="27" s="1"/>
  <c r="AD17" i="27" a="1"/>
  <c r="AD17" i="27" s="1"/>
  <c r="AI17" i="27" a="1"/>
  <c r="AI17" i="27" s="1"/>
  <c r="Q17" i="27" a="1"/>
  <c r="Q17" i="27" s="1"/>
  <c r="U17" i="27" a="1"/>
  <c r="U17" i="27" s="1"/>
  <c r="Z17" i="27" a="1"/>
  <c r="Z17" i="27" s="1"/>
  <c r="AE17" i="27" a="1"/>
  <c r="AE17" i="27" s="1"/>
  <c r="L17" i="27" a="1"/>
  <c r="L17" i="27" s="1"/>
  <c r="V17" i="27" a="1"/>
  <c r="V17" i="27" s="1"/>
  <c r="AA17" i="27" a="1"/>
  <c r="AA17" i="27" s="1"/>
  <c r="AF17" i="27" a="1"/>
  <c r="AF17" i="27" s="1"/>
  <c r="S7" i="27" a="1"/>
  <c r="S7" i="27" s="1"/>
  <c r="W7" i="27" a="1"/>
  <c r="W7" i="27" s="1"/>
  <c r="AB7" i="27" a="1"/>
  <c r="AB7" i="27" s="1"/>
  <c r="AG7" i="27" a="1"/>
  <c r="AG7" i="27" s="1"/>
  <c r="O7" i="27" a="1"/>
  <c r="O7" i="27" s="1"/>
  <c r="T7" i="27" a="1"/>
  <c r="T7" i="27" s="1"/>
  <c r="X7" i="27" a="1"/>
  <c r="X7" i="27" s="1"/>
  <c r="AH7" i="27" a="1"/>
  <c r="AH7" i="27" s="1"/>
  <c r="L7" i="27" a="1"/>
  <c r="L7" i="27" s="1"/>
  <c r="P7" i="27" a="1"/>
  <c r="P7" i="27" s="1"/>
  <c r="Y7" i="27" a="1"/>
  <c r="Y7" i="27" s="1"/>
  <c r="AC7" i="27" a="1"/>
  <c r="AC7" i="27" s="1"/>
  <c r="Q7" i="27" a="1"/>
  <c r="Q7" i="27" s="1"/>
  <c r="U7" i="27" a="1"/>
  <c r="U7" i="27" s="1"/>
  <c r="Z7" i="27" a="1"/>
  <c r="Z7" i="27" s="1"/>
  <c r="AD7" i="27" a="1"/>
  <c r="AD7" i="27" s="1"/>
  <c r="AI7" i="27" a="1"/>
  <c r="AI7" i="27" s="1"/>
  <c r="M7" i="27" a="1"/>
  <c r="M7" i="27" s="1"/>
  <c r="R7" i="27" a="1"/>
  <c r="R7" i="27" s="1"/>
  <c r="V7" i="27" a="1"/>
  <c r="V7" i="27" s="1"/>
  <c r="AE7" i="27" a="1"/>
  <c r="AE7" i="27" s="1"/>
  <c r="N7" i="27" a="1"/>
  <c r="N7" i="27" s="1"/>
  <c r="AA7" i="27" a="1"/>
  <c r="AA7" i="27" s="1"/>
  <c r="AF7" i="27" a="1"/>
  <c r="AF7" i="27" s="1"/>
  <c r="L51" i="27" a="1"/>
  <c r="L51" i="27" s="1"/>
  <c r="P51" i="27" a="1"/>
  <c r="P51" i="27" s="1"/>
  <c r="U51" i="27" a="1"/>
  <c r="U51" i="27" s="1"/>
  <c r="Z51" i="27" a="1"/>
  <c r="Z51" i="27" s="1"/>
  <c r="Q51" i="27" a="1"/>
  <c r="Q51" i="27" s="1"/>
  <c r="V51" i="27" a="1"/>
  <c r="V51" i="27" s="1"/>
  <c r="AA51" i="27" a="1"/>
  <c r="AA51" i="27" s="1"/>
  <c r="AE51" i="27" a="1"/>
  <c r="AE51" i="27" s="1"/>
  <c r="M51" i="27" a="1"/>
  <c r="M51" i="27" s="1"/>
  <c r="R51" i="27" a="1"/>
  <c r="R51" i="27" s="1"/>
  <c r="AB51" i="27" a="1"/>
  <c r="AB51" i="27" s="1"/>
  <c r="AF51" i="27" a="1"/>
  <c r="AF51" i="27" s="1"/>
  <c r="N51" i="27" a="1"/>
  <c r="N51" i="27" s="1"/>
  <c r="S51" i="27" a="1"/>
  <c r="S51" i="27" s="1"/>
  <c r="W51" i="27" a="1"/>
  <c r="W51" i="27" s="1"/>
  <c r="AG51" i="27" a="1"/>
  <c r="AG51" i="27" s="1"/>
  <c r="T51" i="27" a="1"/>
  <c r="T51" i="27" s="1"/>
  <c r="X51" i="27" a="1"/>
  <c r="X51" i="27" s="1"/>
  <c r="AC51" i="27" a="1"/>
  <c r="AC51" i="27" s="1"/>
  <c r="AH51" i="27" a="1"/>
  <c r="AH51" i="27" s="1"/>
  <c r="O51" i="27" a="1"/>
  <c r="O51" i="27" s="1"/>
  <c r="Y51" i="27" a="1"/>
  <c r="Y51" i="27" s="1"/>
  <c r="AD51" i="27" a="1"/>
  <c r="AD51" i="27" s="1"/>
  <c r="AI51" i="27" a="1"/>
  <c r="AI51" i="27" s="1"/>
  <c r="O8" i="27" a="1"/>
  <c r="O8" i="27" s="1"/>
  <c r="T8" i="27" a="1"/>
  <c r="T8" i="27" s="1"/>
  <c r="Y8" i="27" a="1"/>
  <c r="Y8" i="27" s="1"/>
  <c r="AC8" i="27" a="1"/>
  <c r="AC8" i="27" s="1"/>
  <c r="L8" i="27"/>
  <c r="P8" i="27" a="1"/>
  <c r="P8" i="27" s="1"/>
  <c r="Z8" i="27" a="1"/>
  <c r="Z8" i="27" s="1"/>
  <c r="AD8" i="27" a="1"/>
  <c r="AD8" i="27" s="1"/>
  <c r="AI8" i="27" a="1"/>
  <c r="AI8" i="27" s="1"/>
  <c r="Q8" i="27" a="1"/>
  <c r="Q8" i="27" s="1"/>
  <c r="U8" i="27" a="1"/>
  <c r="U8" i="27" s="1"/>
  <c r="AE8" i="27" a="1"/>
  <c r="AE8" i="27" s="1"/>
  <c r="R8" i="27" a="1"/>
  <c r="R8" i="27" s="1"/>
  <c r="V8" i="27" a="1"/>
  <c r="V8" i="27" s="1"/>
  <c r="AA8" i="27" a="1"/>
  <c r="AA8" i="27" s="1"/>
  <c r="AF8" i="27" a="1"/>
  <c r="AF8" i="27" s="1"/>
  <c r="M8" i="27" a="1"/>
  <c r="M8" i="27" s="1"/>
  <c r="W8" i="27" a="1"/>
  <c r="W8" i="27" s="1"/>
  <c r="AB8" i="27" a="1"/>
  <c r="AB8" i="27" s="1"/>
  <c r="AG8" i="27" a="1"/>
  <c r="AG8" i="27" s="1"/>
  <c r="N8" i="27" a="1"/>
  <c r="N8" i="27" s="1"/>
  <c r="S8" i="27" a="1"/>
  <c r="S8" i="27" s="1"/>
  <c r="X8" i="27" a="1"/>
  <c r="X8" i="27" s="1"/>
  <c r="AH8" i="27" a="1"/>
  <c r="AH8" i="27" s="1"/>
  <c r="M47" i="27" a="1"/>
  <c r="M47" i="27" s="1"/>
  <c r="R47" i="27" a="1"/>
  <c r="R47" i="27" s="1"/>
  <c r="W47" i="27" a="1"/>
  <c r="W47" i="27" s="1"/>
  <c r="AC47" i="27" a="1"/>
  <c r="AC47" i="27" s="1"/>
  <c r="AH47" i="27" a="1"/>
  <c r="AH47" i="27" s="1"/>
  <c r="N47" i="27" a="1"/>
  <c r="N47" i="27" s="1"/>
  <c r="S47" i="27" a="1"/>
  <c r="S47" i="27" s="1"/>
  <c r="X47" i="27" a="1"/>
  <c r="X47" i="27" s="1"/>
  <c r="AD47" i="27" a="1"/>
  <c r="AD47" i="27" s="1"/>
  <c r="AI47" i="27" a="1"/>
  <c r="AI47" i="27" s="1"/>
  <c r="T47" i="27" a="1"/>
  <c r="T47" i="27" s="1"/>
  <c r="Y47" i="27" a="1"/>
  <c r="Y47" i="27" s="1"/>
  <c r="O47" i="27" a="1"/>
  <c r="O47" i="27" s="1"/>
  <c r="U47" i="27" a="1"/>
  <c r="U47" i="27" s="1"/>
  <c r="Z47" i="27" a="1"/>
  <c r="Z47" i="27" s="1"/>
  <c r="AE47" i="27" a="1"/>
  <c r="AE47" i="27" s="1"/>
  <c r="P47" i="27" a="1"/>
  <c r="P47" i="27" s="1"/>
  <c r="V47" i="27" a="1"/>
  <c r="V47" i="27" s="1"/>
  <c r="AA47" i="27" a="1"/>
  <c r="AA47" i="27" s="1"/>
  <c r="AF47" i="27" a="1"/>
  <c r="AF47" i="27" s="1"/>
  <c r="L47" i="27" a="1"/>
  <c r="L47" i="27" s="1"/>
  <c r="Q47" i="27" a="1"/>
  <c r="Q47" i="27" s="1"/>
  <c r="AB47" i="27" a="1"/>
  <c r="AB47" i="27" s="1"/>
  <c r="AG47" i="27" a="1"/>
  <c r="AG47" i="27" s="1"/>
  <c r="P78" i="27" a="1"/>
  <c r="P78" i="27" s="1"/>
  <c r="U78" i="27" a="1"/>
  <c r="U78" i="27" s="1"/>
  <c r="Y78" i="27" a="1"/>
  <c r="Y78" i="27" s="1"/>
  <c r="AI78" i="27" a="1"/>
  <c r="AI78" i="27" s="1"/>
  <c r="L78" i="27" a="1"/>
  <c r="L78" i="27" s="1"/>
  <c r="V78" i="27" a="1"/>
  <c r="V78" i="27" s="1"/>
  <c r="Z78" i="27" a="1"/>
  <c r="Z78" i="27" s="1"/>
  <c r="AE78" i="27" a="1"/>
  <c r="AE78" i="27" s="1"/>
  <c r="M78" i="27" a="1"/>
  <c r="M78" i="27" s="1"/>
  <c r="Q78" i="27" a="1"/>
  <c r="Q78" i="27" s="1"/>
  <c r="AA78" i="27" a="1"/>
  <c r="AA78" i="27" s="1"/>
  <c r="AF78" i="27" a="1"/>
  <c r="AF78" i="27" s="1"/>
  <c r="N78" i="27" a="1"/>
  <c r="N78" i="27" s="1"/>
  <c r="R78" i="27" a="1"/>
  <c r="R78" i="27" s="1"/>
  <c r="W78" i="27" a="1"/>
  <c r="W78" i="27" s="1"/>
  <c r="AB78" i="27" a="1"/>
  <c r="AB78" i="27" s="1"/>
  <c r="S78" i="27" a="1"/>
  <c r="S78" i="27" s="1"/>
  <c r="X78" i="27" a="1"/>
  <c r="X78" i="27" s="1"/>
  <c r="AC78" i="27" a="1"/>
  <c r="AC78" i="27" s="1"/>
  <c r="AG78" i="27" a="1"/>
  <c r="AG78" i="27" s="1"/>
  <c r="O78" i="27" a="1"/>
  <c r="O78" i="27" s="1"/>
  <c r="T78" i="27" a="1"/>
  <c r="T78" i="27" s="1"/>
  <c r="AD78" i="27" a="1"/>
  <c r="AD78" i="27" s="1"/>
  <c r="AH78" i="27" a="1"/>
  <c r="AH78" i="27" s="1"/>
  <c r="L57" i="27" a="1"/>
  <c r="L57" i="27" s="1"/>
  <c r="P57" i="27" a="1"/>
  <c r="P57" i="27" s="1"/>
  <c r="U57" i="27" a="1"/>
  <c r="U57" i="27" s="1"/>
  <c r="Z57" i="27" a="1"/>
  <c r="Z57" i="27" s="1"/>
  <c r="Q57" i="27" a="1"/>
  <c r="Q57" i="27" s="1"/>
  <c r="V57" i="27" a="1"/>
  <c r="V57" i="27" s="1"/>
  <c r="AA57" i="27" a="1"/>
  <c r="AA57" i="27" s="1"/>
  <c r="AE57" i="27" a="1"/>
  <c r="AE57" i="27" s="1"/>
  <c r="O57" i="27" a="1"/>
  <c r="O57" i="27" s="1"/>
  <c r="Y57" i="27" a="1"/>
  <c r="Y57" i="27" s="1"/>
  <c r="AD57" i="27" a="1"/>
  <c r="AD57" i="27" s="1"/>
  <c r="AI57" i="27" a="1"/>
  <c r="AI57" i="27" s="1"/>
  <c r="M57" i="27" a="1"/>
  <c r="M57" i="27" s="1"/>
  <c r="AF57" i="27" a="1"/>
  <c r="AF57" i="27" s="1"/>
  <c r="N57" i="27" a="1"/>
  <c r="N57" i="27" s="1"/>
  <c r="W57" i="27" a="1"/>
  <c r="W57" i="27" s="1"/>
  <c r="AG57" i="27" a="1"/>
  <c r="AG57" i="27" s="1"/>
  <c r="X57" i="27" a="1"/>
  <c r="X57" i="27" s="1"/>
  <c r="AH57" i="27" a="1"/>
  <c r="AH57" i="27" s="1"/>
  <c r="R57" i="27" a="1"/>
  <c r="R57" i="27" s="1"/>
  <c r="AB57" i="27" a="1"/>
  <c r="AB57" i="27" s="1"/>
  <c r="S57" i="27" a="1"/>
  <c r="S57" i="27" s="1"/>
  <c r="T57" i="27" a="1"/>
  <c r="T57" i="27" s="1"/>
  <c r="AC57" i="27" a="1"/>
  <c r="AC57" i="27" s="1"/>
  <c r="O61" i="27" a="1"/>
  <c r="O61" i="27" s="1"/>
  <c r="Y61" i="27" a="1"/>
  <c r="Y61" i="27" s="1"/>
  <c r="AD61" i="27" a="1"/>
  <c r="AD61" i="27" s="1"/>
  <c r="AI61" i="27" a="1"/>
  <c r="AI61" i="27" s="1"/>
  <c r="L61" i="27" a="1"/>
  <c r="L61" i="27" s="1"/>
  <c r="P61" i="27" a="1"/>
  <c r="P61" i="27" s="1"/>
  <c r="U61" i="27" a="1"/>
  <c r="U61" i="27" s="1"/>
  <c r="Z61" i="27" a="1"/>
  <c r="Z61" i="27" s="1"/>
  <c r="Q61" i="27" a="1"/>
  <c r="Q61" i="27" s="1"/>
  <c r="V61" i="27" a="1"/>
  <c r="V61" i="27" s="1"/>
  <c r="AA61" i="27" a="1"/>
  <c r="AA61" i="27" s="1"/>
  <c r="AE61" i="27" a="1"/>
  <c r="AE61" i="27" s="1"/>
  <c r="M61" i="27" a="1"/>
  <c r="M61" i="27" s="1"/>
  <c r="R61" i="27" a="1"/>
  <c r="R61" i="27" s="1"/>
  <c r="AB61" i="27" a="1"/>
  <c r="AB61" i="27" s="1"/>
  <c r="AF61" i="27" a="1"/>
  <c r="AF61" i="27" s="1"/>
  <c r="N61" i="27" a="1"/>
  <c r="N61" i="27" s="1"/>
  <c r="S61" i="27" a="1"/>
  <c r="S61" i="27" s="1"/>
  <c r="W61" i="27" a="1"/>
  <c r="W61" i="27" s="1"/>
  <c r="AG61" i="27" a="1"/>
  <c r="AG61" i="27" s="1"/>
  <c r="T61" i="27" a="1"/>
  <c r="T61" i="27" s="1"/>
  <c r="X61" i="27" a="1"/>
  <c r="X61" i="27" s="1"/>
  <c r="AC61" i="27" a="1"/>
  <c r="AC61" i="27" s="1"/>
  <c r="AH61" i="27" a="1"/>
  <c r="AH61" i="27" s="1"/>
  <c r="Q95" i="27" a="1"/>
  <c r="Q95" i="27" s="1"/>
  <c r="U95" i="27" a="1"/>
  <c r="U95" i="27" s="1"/>
  <c r="Z95" i="27" a="1"/>
  <c r="Z95" i="27" s="1"/>
  <c r="AE95" i="27" a="1"/>
  <c r="AE95" i="27" s="1"/>
  <c r="L95" i="27" a="1"/>
  <c r="L95" i="27" s="1"/>
  <c r="V95" i="27" a="1"/>
  <c r="V95" i="27" s="1"/>
  <c r="AA95" i="27" a="1"/>
  <c r="AA95" i="27" s="1"/>
  <c r="AF95" i="27" a="1"/>
  <c r="AF95" i="27" s="1"/>
  <c r="M95" i="27" a="1"/>
  <c r="M95" i="27" s="1"/>
  <c r="R95" i="27" a="1"/>
  <c r="R95" i="27" s="1"/>
  <c r="W95" i="27" a="1"/>
  <c r="W95" i="27" s="1"/>
  <c r="AG95" i="27" a="1"/>
  <c r="AG95" i="27" s="1"/>
  <c r="N95" i="27" a="1"/>
  <c r="N95" i="27" s="1"/>
  <c r="S95" i="27" a="1"/>
  <c r="S95" i="27" s="1"/>
  <c r="X95" i="27" a="1"/>
  <c r="X95" i="27" s="1"/>
  <c r="AB95" i="27" a="1"/>
  <c r="AB95" i="27" s="1"/>
  <c r="O95" i="27" a="1"/>
  <c r="O95" i="27" s="1"/>
  <c r="Y95" i="27" a="1"/>
  <c r="Y95" i="27" s="1"/>
  <c r="AC95" i="27" a="1"/>
  <c r="AC95" i="27" s="1"/>
  <c r="AH95" i="27" a="1"/>
  <c r="AH95" i="27" s="1"/>
  <c r="P95" i="27" a="1"/>
  <c r="P95" i="27" s="1"/>
  <c r="T95" i="27" a="1"/>
  <c r="T95" i="27" s="1"/>
  <c r="AD95" i="27" a="1"/>
  <c r="AD95" i="27" s="1"/>
  <c r="AI95" i="27" a="1"/>
  <c r="AI95" i="27" s="1"/>
  <c r="O116" i="27" a="1"/>
  <c r="O116" i="27" s="1"/>
  <c r="U116" i="27" a="1"/>
  <c r="U116" i="27" s="1"/>
  <c r="AA116" i="27" a="1"/>
  <c r="AA116" i="27" s="1"/>
  <c r="AG116" i="27" a="1"/>
  <c r="AG116" i="27" s="1"/>
  <c r="P116" i="27" a="1"/>
  <c r="P116" i="27" s="1"/>
  <c r="V116" i="27" a="1"/>
  <c r="V116" i="27" s="1"/>
  <c r="AB116" i="27" a="1"/>
  <c r="AB116" i="27" s="1"/>
  <c r="AH116" i="27" a="1"/>
  <c r="AH116" i="27" s="1"/>
  <c r="Q116" i="27" a="1"/>
  <c r="Q116" i="27" s="1"/>
  <c r="W116" i="27" a="1"/>
  <c r="W116" i="27" s="1"/>
  <c r="AC116" i="27" a="1"/>
  <c r="AC116" i="27" s="1"/>
  <c r="AI116" i="27" a="1"/>
  <c r="AI116" i="27" s="1"/>
  <c r="L116" i="27" a="1"/>
  <c r="L116" i="27" s="1"/>
  <c r="R116" i="27" a="1"/>
  <c r="R116" i="27" s="1"/>
  <c r="X116" i="27" a="1"/>
  <c r="X116" i="27" s="1"/>
  <c r="AD116" i="27" a="1"/>
  <c r="AD116" i="27" s="1"/>
  <c r="M116" i="27" a="1"/>
  <c r="M116" i="27" s="1"/>
  <c r="S116" i="27" a="1"/>
  <c r="S116" i="27" s="1"/>
  <c r="Y116" i="27" a="1"/>
  <c r="Y116" i="27" s="1"/>
  <c r="AE116" i="27" a="1"/>
  <c r="AE116" i="27" s="1"/>
  <c r="N116" i="27" a="1"/>
  <c r="N116" i="27" s="1"/>
  <c r="T116" i="27" a="1"/>
  <c r="T116" i="27" s="1"/>
  <c r="Z116" i="27" a="1"/>
  <c r="Z116" i="27" s="1"/>
  <c r="AF116" i="27" a="1"/>
  <c r="AF116" i="27" s="1"/>
  <c r="O114" i="27" a="1"/>
  <c r="O114" i="27" s="1"/>
  <c r="U114" i="27" a="1"/>
  <c r="U114" i="27" s="1"/>
  <c r="AA114" i="27" a="1"/>
  <c r="AA114" i="27" s="1"/>
  <c r="AG114" i="27" a="1"/>
  <c r="AG114" i="27" s="1"/>
  <c r="P114" i="27" a="1"/>
  <c r="P114" i="27" s="1"/>
  <c r="V114" i="27" a="1"/>
  <c r="V114" i="27" s="1"/>
  <c r="AB114" i="27" a="1"/>
  <c r="AB114" i="27" s="1"/>
  <c r="AH114" i="27" a="1"/>
  <c r="AH114" i="27" s="1"/>
  <c r="Q114" i="27" a="1"/>
  <c r="Q114" i="27" s="1"/>
  <c r="W114" i="27" a="1"/>
  <c r="W114" i="27" s="1"/>
  <c r="AC114" i="27" a="1"/>
  <c r="AC114" i="27" s="1"/>
  <c r="AI114" i="27" a="1"/>
  <c r="AI114" i="27" s="1"/>
  <c r="L114" i="27" a="1"/>
  <c r="L114" i="27" s="1"/>
  <c r="R114" i="27" a="1"/>
  <c r="R114" i="27" s="1"/>
  <c r="X114" i="27" a="1"/>
  <c r="X114" i="27" s="1"/>
  <c r="AD114" i="27" a="1"/>
  <c r="AD114" i="27" s="1"/>
  <c r="M114" i="27" a="1"/>
  <c r="M114" i="27" s="1"/>
  <c r="S114" i="27" a="1"/>
  <c r="S114" i="27" s="1"/>
  <c r="Y114" i="27" a="1"/>
  <c r="Y114" i="27" s="1"/>
  <c r="AE114" i="27" a="1"/>
  <c r="AE114" i="27" s="1"/>
  <c r="N114" i="27" a="1"/>
  <c r="N114" i="27" s="1"/>
  <c r="T114" i="27" a="1"/>
  <c r="T114" i="27" s="1"/>
  <c r="Z114" i="27" a="1"/>
  <c r="Z114" i="27" s="1"/>
  <c r="AF114" i="27" a="1"/>
  <c r="AF114" i="27" s="1"/>
  <c r="M134" i="27" a="1"/>
  <c r="M134" i="27" s="1"/>
  <c r="R134" i="27" a="1"/>
  <c r="R134" i="27" s="1"/>
  <c r="V134" i="27" a="1"/>
  <c r="V134" i="27" s="1"/>
  <c r="AF134" i="27" a="1"/>
  <c r="AF134" i="27" s="1"/>
  <c r="S134" i="27" a="1"/>
  <c r="S134" i="27" s="1"/>
  <c r="W134" i="27" a="1"/>
  <c r="W134" i="27" s="1"/>
  <c r="AB134" i="27" a="1"/>
  <c r="AB134" i="27" s="1"/>
  <c r="AG134" i="27" a="1"/>
  <c r="AG134" i="27" s="1"/>
  <c r="N134" i="27" a="1"/>
  <c r="N134" i="27" s="1"/>
  <c r="X134" i="27" a="1"/>
  <c r="X134" i="27" s="1"/>
  <c r="AC134" i="27" a="1"/>
  <c r="AC134" i="27" s="1"/>
  <c r="AH134" i="27" a="1"/>
  <c r="AH134" i="27" s="1"/>
  <c r="O134" i="27" a="1"/>
  <c r="O134" i="27" s="1"/>
  <c r="T134" i="27" a="1"/>
  <c r="T134" i="27" s="1"/>
  <c r="Y134" i="27" a="1"/>
  <c r="Y134" i="27" s="1"/>
  <c r="AI134" i="27" a="1"/>
  <c r="AI134" i="27" s="1"/>
  <c r="P134" i="27" a="1"/>
  <c r="P134" i="27" s="1"/>
  <c r="U134" i="27" a="1"/>
  <c r="U134" i="27" s="1"/>
  <c r="Z134" i="27" a="1"/>
  <c r="Z134" i="27" s="1"/>
  <c r="AD134" i="27" a="1"/>
  <c r="AD134" i="27" s="1"/>
  <c r="L134" i="27" a="1"/>
  <c r="L134" i="27" s="1"/>
  <c r="Q134" i="27" a="1"/>
  <c r="Q134" i="27" s="1"/>
  <c r="AA134" i="27" a="1"/>
  <c r="AA134" i="27" s="1"/>
  <c r="AE134" i="27" a="1"/>
  <c r="AE134" i="27" s="1"/>
  <c r="O10" i="27" a="1"/>
  <c r="O10" i="27" s="1"/>
  <c r="T10" i="27" a="1"/>
  <c r="T10" i="27" s="1"/>
  <c r="Y10" i="27" a="1"/>
  <c r="Y10" i="27" s="1"/>
  <c r="AC10" i="27" a="1"/>
  <c r="AC10" i="27" s="1"/>
  <c r="P10" i="27" a="1"/>
  <c r="P10" i="27" s="1"/>
  <c r="Z10" i="27" a="1"/>
  <c r="Z10" i="27" s="1"/>
  <c r="AD10" i="27" a="1"/>
  <c r="AD10" i="27" s="1"/>
  <c r="AI10" i="27" a="1"/>
  <c r="AI10" i="27" s="1"/>
  <c r="L10" i="27" a="1"/>
  <c r="L10" i="27" s="1"/>
  <c r="Q10" i="27" a="1"/>
  <c r="Q10" i="27" s="1"/>
  <c r="U10" i="27" a="1"/>
  <c r="U10" i="27" s="1"/>
  <c r="AE10" i="27" a="1"/>
  <c r="AE10" i="27" s="1"/>
  <c r="R10" i="27" a="1"/>
  <c r="R10" i="27" s="1"/>
  <c r="V10" i="27" a="1"/>
  <c r="V10" i="27" s="1"/>
  <c r="AA10" i="27" a="1"/>
  <c r="AA10" i="27" s="1"/>
  <c r="AF10" i="27" a="1"/>
  <c r="AF10" i="27" s="1"/>
  <c r="M10" i="27" a="1"/>
  <c r="M10" i="27" s="1"/>
  <c r="W10" i="27" a="1"/>
  <c r="W10" i="27" s="1"/>
  <c r="AB10" i="27" a="1"/>
  <c r="AB10" i="27" s="1"/>
  <c r="AG10" i="27" a="1"/>
  <c r="AG10" i="27" s="1"/>
  <c r="N10" i="27" a="1"/>
  <c r="N10" i="27" s="1"/>
  <c r="S10" i="27" a="1"/>
  <c r="S10" i="27" s="1"/>
  <c r="X10" i="27" a="1"/>
  <c r="X10" i="27" s="1"/>
  <c r="AH10" i="27" a="1"/>
  <c r="AH10" i="27" s="1"/>
  <c r="M37" i="27" a="1"/>
  <c r="M37" i="27" s="1"/>
  <c r="R37" i="27" a="1"/>
  <c r="R37" i="27" s="1"/>
  <c r="X37" i="27" a="1"/>
  <c r="X37" i="27" s="1"/>
  <c r="AC37" i="27" a="1"/>
  <c r="AC37" i="27" s="1"/>
  <c r="AH37" i="27" a="1"/>
  <c r="AH37" i="27" s="1"/>
  <c r="N37" i="27" a="1"/>
  <c r="N37" i="27" s="1"/>
  <c r="S37" i="27" a="1"/>
  <c r="S37" i="27" s="1"/>
  <c r="Y37" i="27" a="1"/>
  <c r="Y37" i="27" s="1"/>
  <c r="AD37" i="27" a="1"/>
  <c r="AD37" i="27" s="1"/>
  <c r="AI37" i="27" a="1"/>
  <c r="AI37" i="27" s="1"/>
  <c r="O37" i="27" a="1"/>
  <c r="O37" i="27" s="1"/>
  <c r="T37" i="27" a="1"/>
  <c r="T37" i="27" s="1"/>
  <c r="AE37" i="27" a="1"/>
  <c r="AE37" i="27" s="1"/>
  <c r="P37" i="27" a="1"/>
  <c r="P37" i="27" s="1"/>
  <c r="U37" i="27" a="1"/>
  <c r="U37" i="27" s="1"/>
  <c r="Z37" i="27" a="1"/>
  <c r="Z37" i="27" s="1"/>
  <c r="AF37" i="27" a="1"/>
  <c r="AF37" i="27" s="1"/>
  <c r="Q37" i="27" a="1"/>
  <c r="Q37" i="27" s="1"/>
  <c r="V37" i="27" a="1"/>
  <c r="V37" i="27" s="1"/>
  <c r="AA37" i="27" a="1"/>
  <c r="AA37" i="27" s="1"/>
  <c r="AG37" i="27" a="1"/>
  <c r="AG37" i="27" s="1"/>
  <c r="L37" i="27" a="1"/>
  <c r="L37" i="27" s="1"/>
  <c r="W37" i="27" a="1"/>
  <c r="W37" i="27" s="1"/>
  <c r="AB37" i="27" a="1"/>
  <c r="AB37" i="27" s="1"/>
  <c r="L74" i="19" l="1"/>
  <c r="N74" i="19" s="1"/>
  <c r="W62" i="19"/>
  <c r="Y62" i="19" s="1"/>
  <c r="W69" i="19"/>
  <c r="Y69" i="19" s="1"/>
  <c r="W35" i="19"/>
  <c r="Y35" i="19" s="1"/>
  <c r="W38" i="19"/>
  <c r="Y38" i="19" s="1"/>
  <c r="W18" i="19"/>
  <c r="Y18" i="19" s="1"/>
  <c r="W37" i="19"/>
  <c r="Y37" i="19" s="1"/>
  <c r="W40" i="19"/>
  <c r="Y40" i="19" s="1"/>
  <c r="W108" i="19"/>
  <c r="Y108" i="19" s="1"/>
  <c r="W47" i="19"/>
  <c r="Y47" i="19" s="1"/>
  <c r="W121" i="19"/>
  <c r="Y121" i="19" s="1"/>
  <c r="W60" i="19"/>
  <c r="Y60" i="19" s="1"/>
  <c r="T15" i="12"/>
  <c r="W15" i="12" s="1"/>
  <c r="T55" i="12"/>
  <c r="W55" i="12" s="1"/>
  <c r="T127" i="12"/>
  <c r="W127" i="12" s="1"/>
  <c r="I25" i="19"/>
  <c r="L25" i="19" s="1"/>
  <c r="N25" i="19" s="1"/>
  <c r="I28" i="19"/>
  <c r="L28" i="19" s="1"/>
  <c r="N28" i="19" s="1"/>
  <c r="L119" i="19"/>
  <c r="N119" i="19" s="1"/>
  <c r="L45" i="19"/>
  <c r="N45" i="19" s="1"/>
  <c r="Z45" i="19" s="1"/>
  <c r="I87" i="19"/>
  <c r="L87" i="19" s="1"/>
  <c r="N87" i="19" s="1"/>
  <c r="Z87" i="19" s="1"/>
  <c r="L77" i="19"/>
  <c r="N77" i="19" s="1"/>
  <c r="Z77" i="19" s="1"/>
  <c r="L88" i="19"/>
  <c r="N88" i="19" s="1"/>
  <c r="Z88" i="19" s="1"/>
  <c r="L10" i="19"/>
  <c r="N10" i="19" s="1"/>
  <c r="Z10" i="19" s="1"/>
  <c r="L36" i="19"/>
  <c r="N36" i="19" s="1"/>
  <c r="L89" i="19"/>
  <c r="N89" i="19" s="1"/>
  <c r="Z89" i="19" s="1"/>
  <c r="L33" i="19"/>
  <c r="N33" i="19" s="1"/>
  <c r="L18" i="19"/>
  <c r="N18" i="19" s="1"/>
  <c r="L31" i="19"/>
  <c r="N31" i="19" s="1"/>
  <c r="L123" i="19"/>
  <c r="N123" i="19" s="1"/>
  <c r="L103" i="19"/>
  <c r="N103" i="19" s="1"/>
  <c r="L7" i="19"/>
  <c r="N7" i="19" s="1"/>
  <c r="Z7" i="19" s="1"/>
  <c r="L21" i="19"/>
  <c r="N21" i="19" s="1"/>
  <c r="L128" i="19"/>
  <c r="N128" i="19" s="1"/>
  <c r="L20" i="19"/>
  <c r="N20" i="19" s="1"/>
  <c r="L35" i="19"/>
  <c r="N35" i="19" s="1"/>
  <c r="L60" i="19"/>
  <c r="N60" i="19" s="1"/>
  <c r="Z60" i="19" s="1"/>
  <c r="L127" i="19"/>
  <c r="N127" i="19" s="1"/>
  <c r="L111" i="19"/>
  <c r="N111" i="19" s="1"/>
  <c r="L54" i="19"/>
  <c r="N54" i="19" s="1"/>
  <c r="Z54" i="19" s="1"/>
  <c r="L17" i="19"/>
  <c r="N17" i="19" s="1"/>
  <c r="Z17" i="19" s="1"/>
  <c r="L122" i="19"/>
  <c r="N122" i="19" s="1"/>
  <c r="L136" i="19"/>
  <c r="N136" i="19" s="1"/>
  <c r="L41" i="19"/>
  <c r="N41" i="19" s="1"/>
  <c r="L83" i="19"/>
  <c r="N83" i="19" s="1"/>
  <c r="Z83" i="19" s="1"/>
  <c r="L16" i="19"/>
  <c r="N16" i="19" s="1"/>
  <c r="L137" i="19"/>
  <c r="N137" i="19" s="1"/>
  <c r="L134" i="19"/>
  <c r="N134" i="19" s="1"/>
  <c r="L30" i="19"/>
  <c r="N30" i="19" s="1"/>
  <c r="L70" i="19"/>
  <c r="N70" i="19" s="1"/>
  <c r="Z70" i="19" s="1"/>
  <c r="L130" i="19"/>
  <c r="N130" i="19" s="1"/>
  <c r="L26" i="19"/>
  <c r="N26" i="19" s="1"/>
  <c r="L56" i="19"/>
  <c r="N56" i="19" s="1"/>
  <c r="Z56" i="19" s="1"/>
  <c r="L37" i="19"/>
  <c r="N37" i="19" s="1"/>
  <c r="L32" i="19"/>
  <c r="N32" i="19" s="1"/>
  <c r="L110" i="19"/>
  <c r="N110" i="19" s="1"/>
  <c r="L100" i="19"/>
  <c r="N100" i="19" s="1"/>
  <c r="L29" i="19"/>
  <c r="N29" i="19" s="1"/>
  <c r="L91" i="19"/>
  <c r="N91" i="19" s="1"/>
  <c r="Z91" i="19" s="1"/>
  <c r="L84" i="19"/>
  <c r="N84" i="19" s="1"/>
  <c r="Z84" i="19" s="1"/>
  <c r="L13" i="19"/>
  <c r="N13" i="19" s="1"/>
  <c r="L48" i="19"/>
  <c r="N48" i="19" s="1"/>
  <c r="Z48" i="19" s="1"/>
  <c r="L22" i="19"/>
  <c r="N22" i="19" s="1"/>
  <c r="L115" i="19"/>
  <c r="N115" i="19" s="1"/>
  <c r="L96" i="19"/>
  <c r="N96" i="19" s="1"/>
  <c r="Z96" i="19" s="1"/>
  <c r="L24" i="19"/>
  <c r="N24" i="19" s="1"/>
  <c r="L66" i="19"/>
  <c r="N66" i="19" s="1"/>
  <c r="L133" i="19"/>
  <c r="N133" i="19" s="1"/>
  <c r="L104" i="19"/>
  <c r="N104" i="19" s="1"/>
  <c r="L69" i="19"/>
  <c r="N69" i="19" s="1"/>
  <c r="L105" i="19"/>
  <c r="N105" i="19" s="1"/>
  <c r="L67" i="19"/>
  <c r="N67" i="19" s="1"/>
  <c r="Z67" i="19" s="1"/>
  <c r="L62" i="19"/>
  <c r="N62" i="19" s="1"/>
  <c r="Z62" i="19" s="1"/>
  <c r="L116" i="19"/>
  <c r="N116" i="19" s="1"/>
  <c r="L47" i="19"/>
  <c r="N47" i="19" s="1"/>
  <c r="Z47" i="19" s="1"/>
  <c r="L108" i="19"/>
  <c r="N108" i="19" s="1"/>
  <c r="L121" i="19"/>
  <c r="N121" i="19" s="1"/>
  <c r="L73" i="19"/>
  <c r="N73" i="19" s="1"/>
  <c r="Z73" i="19" s="1"/>
  <c r="L71" i="19"/>
  <c r="N71" i="19" s="1"/>
  <c r="Z71" i="19" s="1"/>
  <c r="L101" i="19"/>
  <c r="N101" i="19" s="1"/>
  <c r="L106" i="19"/>
  <c r="N106" i="19" s="1"/>
  <c r="L85" i="19"/>
  <c r="N85" i="19" s="1"/>
  <c r="Z85" i="19" s="1"/>
  <c r="L131" i="19"/>
  <c r="N131" i="19" s="1"/>
  <c r="L76" i="19"/>
  <c r="N76" i="19" s="1"/>
  <c r="Z76" i="19" s="1"/>
  <c r="L49" i="19"/>
  <c r="N49" i="19" s="1"/>
  <c r="Z49" i="19" s="1"/>
  <c r="L14" i="19"/>
  <c r="N14" i="19" s="1"/>
  <c r="Z14" i="19" s="1"/>
  <c r="L117" i="19"/>
  <c r="N117" i="19" s="1"/>
  <c r="L55" i="19"/>
  <c r="N55" i="19" s="1"/>
  <c r="Z55" i="19" s="1"/>
  <c r="DA105" i="27"/>
  <c r="CX105" i="27" s="1"/>
  <c r="Q97" i="12"/>
  <c r="W97" i="12" s="1"/>
  <c r="DA124" i="27"/>
  <c r="CX124" i="27" s="1"/>
  <c r="Q122" i="12" s="1"/>
  <c r="DA137" i="27"/>
  <c r="CX137" i="27" s="1"/>
  <c r="Q135" i="12" s="1"/>
  <c r="Q61" i="12"/>
  <c r="T61" i="12" s="1"/>
  <c r="X97" i="12"/>
  <c r="DA94" i="27"/>
  <c r="CX94" i="27" s="1"/>
  <c r="Q92" i="12" s="1"/>
  <c r="T92" i="12" s="1"/>
  <c r="W92" i="12" s="1"/>
  <c r="Z98" i="19"/>
  <c r="Z6" i="19"/>
  <c r="Z66" i="19"/>
  <c r="Y97" i="18"/>
  <c r="Z52" i="19"/>
  <c r="Z8" i="19"/>
  <c r="L65" i="19"/>
  <c r="N65" i="19" s="1"/>
  <c r="Z65" i="19" s="1"/>
  <c r="L79" i="19"/>
  <c r="N79" i="19" s="1"/>
  <c r="Z79" i="19" s="1"/>
  <c r="Y72" i="18"/>
  <c r="Z82" i="19"/>
  <c r="W27" i="19"/>
  <c r="Y27" i="19" s="1"/>
  <c r="Z15" i="19"/>
  <c r="W13" i="19"/>
  <c r="Y13" i="19" s="1"/>
  <c r="F129" i="18"/>
  <c r="Z72" i="19"/>
  <c r="W116" i="19"/>
  <c r="Y116" i="19" s="1"/>
  <c r="Z46" i="19"/>
  <c r="Q91" i="18"/>
  <c r="Z59" i="19"/>
  <c r="Q95" i="18"/>
  <c r="T95" i="18" s="1"/>
  <c r="Q118" i="18"/>
  <c r="T118" i="18" s="1"/>
  <c r="Q44" i="18"/>
  <c r="T44" i="18" s="1"/>
  <c r="Z63" i="19"/>
  <c r="Z57" i="19"/>
  <c r="Q59" i="18"/>
  <c r="W59" i="18" s="1"/>
  <c r="X59" i="12"/>
  <c r="X59" i="18"/>
  <c r="Q50" i="18"/>
  <c r="T50" i="18" s="1"/>
  <c r="Q107" i="18"/>
  <c r="W107" i="18" s="1"/>
  <c r="X107" i="18"/>
  <c r="X107" i="12"/>
  <c r="Q11" i="18"/>
  <c r="T11" i="18" s="1"/>
  <c r="Q57" i="18"/>
  <c r="W57" i="18" s="1"/>
  <c r="X57" i="12"/>
  <c r="X57" i="18"/>
  <c r="Q43" i="18"/>
  <c r="W43" i="18" s="1"/>
  <c r="X43" i="12"/>
  <c r="X43" i="18"/>
  <c r="Z4" i="19"/>
  <c r="X55" i="18"/>
  <c r="Q92" i="18"/>
  <c r="X122" i="18"/>
  <c r="X91" i="12"/>
  <c r="X15" i="12"/>
  <c r="X135" i="12"/>
  <c r="W21" i="19"/>
  <c r="Y21" i="19" s="1"/>
  <c r="X127" i="12"/>
  <c r="Q99" i="18"/>
  <c r="W99" i="18" s="1"/>
  <c r="X99" i="12"/>
  <c r="Y99" i="12" s="1"/>
  <c r="X99" i="18"/>
  <c r="Y99" i="18" s="1"/>
  <c r="Q102" i="18"/>
  <c r="T102" i="18" s="1"/>
  <c r="Q109" i="18"/>
  <c r="W109" i="18" s="1"/>
  <c r="X109" i="18"/>
  <c r="X109" i="12"/>
  <c r="DA34" i="27"/>
  <c r="CX34" i="27" s="1"/>
  <c r="X32" i="12" s="1"/>
  <c r="Q103" i="18"/>
  <c r="X103" i="12"/>
  <c r="X103" i="18"/>
  <c r="Q9" i="18"/>
  <c r="T9" i="18" s="1"/>
  <c r="Q93" i="18"/>
  <c r="T93" i="18" s="1"/>
  <c r="Q65" i="18"/>
  <c r="W65" i="18" s="1"/>
  <c r="X65" i="18"/>
  <c r="X65" i="12"/>
  <c r="Q80" i="18"/>
  <c r="T80" i="18" s="1"/>
  <c r="Z12" i="19"/>
  <c r="X122" i="12"/>
  <c r="X91" i="18"/>
  <c r="Q15" i="18"/>
  <c r="Z74" i="19"/>
  <c r="Q135" i="18"/>
  <c r="W16" i="19"/>
  <c r="Z68" i="19"/>
  <c r="Z81" i="19"/>
  <c r="Z92" i="19"/>
  <c r="W126" i="19"/>
  <c r="Y126" i="19" s="1"/>
  <c r="Q127" i="18"/>
  <c r="Q6" i="18"/>
  <c r="W6" i="18" s="1"/>
  <c r="X6" i="12"/>
  <c r="X6" i="18"/>
  <c r="Q129" i="18"/>
  <c r="T129" i="18" s="1"/>
  <c r="Q94" i="18"/>
  <c r="W94" i="18" s="1"/>
  <c r="X94" i="18"/>
  <c r="X94" i="12"/>
  <c r="Q51" i="18"/>
  <c r="T51" i="18" s="1"/>
  <c r="Q42" i="18"/>
  <c r="W42" i="18" s="1"/>
  <c r="X42" i="18"/>
  <c r="X42" i="12"/>
  <c r="Q90" i="18"/>
  <c r="T90" i="18" s="1"/>
  <c r="Q79" i="18"/>
  <c r="W79" i="18" s="1"/>
  <c r="X79" i="12"/>
  <c r="X79" i="18"/>
  <c r="Q113" i="18"/>
  <c r="W113" i="18" s="1"/>
  <c r="X113" i="18"/>
  <c r="X113" i="12"/>
  <c r="Z5" i="19"/>
  <c r="X92" i="18"/>
  <c r="Q122" i="18"/>
  <c r="Z75" i="19"/>
  <c r="Z58" i="19"/>
  <c r="X55" i="12"/>
  <c r="X127" i="18"/>
  <c r="Q78" i="18"/>
  <c r="T78" i="18" s="1"/>
  <c r="Q68" i="18"/>
  <c r="W68" i="18" s="1"/>
  <c r="X68" i="18"/>
  <c r="X68" i="12"/>
  <c r="DA75" i="27"/>
  <c r="CX75" i="27" s="1"/>
  <c r="X73" i="12" s="1"/>
  <c r="Q53" i="18"/>
  <c r="T53" i="18" s="1"/>
  <c r="Q52" i="18"/>
  <c r="W52" i="18" s="1"/>
  <c r="X52" i="12"/>
  <c r="X52" i="18"/>
  <c r="W138" i="19"/>
  <c r="Y138" i="19" s="1"/>
  <c r="Z94" i="19"/>
  <c r="Z86" i="19"/>
  <c r="X92" i="12"/>
  <c r="X15" i="18"/>
  <c r="Z64" i="19"/>
  <c r="W112" i="19"/>
  <c r="Y112" i="19" s="1"/>
  <c r="W117" i="19"/>
  <c r="Y117" i="19" s="1"/>
  <c r="Q55" i="18"/>
  <c r="Z97" i="19"/>
  <c r="X135" i="18"/>
  <c r="W133" i="19"/>
  <c r="Y133" i="19" s="1"/>
  <c r="F78" i="18"/>
  <c r="F51" i="18"/>
  <c r="M72" i="18"/>
  <c r="F72" i="18"/>
  <c r="L72" i="18" s="1"/>
  <c r="M72" i="12"/>
  <c r="F44" i="18"/>
  <c r="F80" i="18"/>
  <c r="F27" i="12"/>
  <c r="F61" i="18"/>
  <c r="F95" i="18"/>
  <c r="F113" i="18"/>
  <c r="L113" i="18" s="1"/>
  <c r="M113" i="18"/>
  <c r="M113" i="12"/>
  <c r="M68" i="18"/>
  <c r="F68" i="18"/>
  <c r="L68" i="18" s="1"/>
  <c r="M68" i="12"/>
  <c r="M65" i="18"/>
  <c r="F65" i="18"/>
  <c r="L65" i="18" s="1"/>
  <c r="M65" i="12"/>
  <c r="M94" i="18"/>
  <c r="F94" i="18"/>
  <c r="L94" i="18" s="1"/>
  <c r="M94" i="12"/>
  <c r="F9" i="18"/>
  <c r="F57" i="18"/>
  <c r="L57" i="18" s="1"/>
  <c r="M57" i="18"/>
  <c r="M57" i="12"/>
  <c r="F11" i="18"/>
  <c r="F50" i="18"/>
  <c r="F102" i="18"/>
  <c r="M42" i="18"/>
  <c r="F42" i="18"/>
  <c r="L42" i="18" s="1"/>
  <c r="M42" i="12"/>
  <c r="F90" i="18"/>
  <c r="F53" i="18"/>
  <c r="F97" i="18"/>
  <c r="L97" i="18" s="1"/>
  <c r="M97" i="18"/>
  <c r="M97" i="12"/>
  <c r="M43" i="18"/>
  <c r="M43" i="12"/>
  <c r="F43" i="18"/>
  <c r="L43" i="18" s="1"/>
  <c r="F52" i="18"/>
  <c r="L52" i="18" s="1"/>
  <c r="M52" i="18"/>
  <c r="M52" i="12"/>
  <c r="F93" i="18"/>
  <c r="F118" i="18"/>
  <c r="M79" i="18"/>
  <c r="F79" i="18"/>
  <c r="L79" i="18" s="1"/>
  <c r="M79" i="12"/>
  <c r="M99" i="18"/>
  <c r="N99" i="18" s="1"/>
  <c r="F99" i="18"/>
  <c r="L99" i="18" s="1"/>
  <c r="M99" i="12"/>
  <c r="N99" i="12" s="1"/>
  <c r="F59" i="18"/>
  <c r="L59" i="18" s="1"/>
  <c r="M59" i="18"/>
  <c r="M59" i="12"/>
  <c r="M6" i="18"/>
  <c r="M6" i="12"/>
  <c r="F6" i="18"/>
  <c r="L6" i="18" s="1"/>
  <c r="F109" i="18"/>
  <c r="L109" i="18" s="1"/>
  <c r="M109" i="18"/>
  <c r="M109" i="12"/>
  <c r="Q95" i="12"/>
  <c r="T95" i="12" s="1"/>
  <c r="DA107" i="27"/>
  <c r="CX107" i="27" s="1"/>
  <c r="X105" i="12" s="1"/>
  <c r="Q73" i="12"/>
  <c r="Q91" i="12"/>
  <c r="F118" i="12"/>
  <c r="F51" i="12"/>
  <c r="F6" i="12"/>
  <c r="L6" i="12" s="1"/>
  <c r="F79" i="12"/>
  <c r="L79" i="12" s="1"/>
  <c r="F129" i="12"/>
  <c r="F44" i="12"/>
  <c r="F9" i="12"/>
  <c r="F11" i="12"/>
  <c r="F42" i="12"/>
  <c r="L42" i="12" s="1"/>
  <c r="F43" i="12"/>
  <c r="L43" i="12" s="1"/>
  <c r="Q42" i="12"/>
  <c r="W42" i="12" s="1"/>
  <c r="Q107" i="12"/>
  <c r="W107" i="12" s="1"/>
  <c r="DA76" i="27"/>
  <c r="CX76" i="27" s="1"/>
  <c r="Q74" i="12" s="1"/>
  <c r="DA119" i="27"/>
  <c r="CX119" i="27" s="1"/>
  <c r="Q117" i="12" s="1"/>
  <c r="DA28" i="27"/>
  <c r="CX28" i="27" s="1"/>
  <c r="Q26" i="12" s="1"/>
  <c r="DA82" i="27"/>
  <c r="DC82" i="27" s="1"/>
  <c r="Q118" i="12"/>
  <c r="T118" i="12" s="1"/>
  <c r="F78" i="12"/>
  <c r="F99" i="12"/>
  <c r="L99" i="12" s="1"/>
  <c r="Q129" i="12"/>
  <c r="T129" i="12" s="1"/>
  <c r="Q80" i="12"/>
  <c r="T80" i="12" s="1"/>
  <c r="F109" i="12"/>
  <c r="L109" i="12" s="1"/>
  <c r="F113" i="12"/>
  <c r="L113" i="12" s="1"/>
  <c r="F68" i="12"/>
  <c r="L68" i="12" s="1"/>
  <c r="F57" i="12"/>
  <c r="L57" i="12" s="1"/>
  <c r="AY14" i="27"/>
  <c r="F50" i="12"/>
  <c r="F53" i="12"/>
  <c r="F52" i="12"/>
  <c r="L52" i="12" s="1"/>
  <c r="Q68" i="12"/>
  <c r="W68" i="12" s="1"/>
  <c r="Q51" i="12"/>
  <c r="T51" i="12" s="1"/>
  <c r="Q90" i="12"/>
  <c r="T90" i="12" s="1"/>
  <c r="DA33" i="27"/>
  <c r="CX33" i="27" s="1"/>
  <c r="Q31" i="12" s="1"/>
  <c r="Q32" i="12"/>
  <c r="T32" i="12" s="1"/>
  <c r="W32" i="12" s="1"/>
  <c r="DA128" i="27"/>
  <c r="CX128" i="27" s="1"/>
  <c r="Q126" i="12" s="1"/>
  <c r="Q59" i="12"/>
  <c r="W59" i="12" s="1"/>
  <c r="Q103" i="12"/>
  <c r="DA40" i="27"/>
  <c r="CX40" i="27" s="1"/>
  <c r="Q38" i="12" s="1"/>
  <c r="F72" i="12"/>
  <c r="L72" i="12" s="1"/>
  <c r="F59" i="12"/>
  <c r="L59" i="12" s="1"/>
  <c r="F80" i="12"/>
  <c r="F61" i="12"/>
  <c r="F95" i="12"/>
  <c r="F65" i="12"/>
  <c r="L65" i="12" s="1"/>
  <c r="F94" i="12"/>
  <c r="L94" i="12" s="1"/>
  <c r="F102" i="12"/>
  <c r="F90" i="12"/>
  <c r="F97" i="12"/>
  <c r="L97" i="12" s="1"/>
  <c r="Q78" i="12"/>
  <c r="T78" i="12" s="1"/>
  <c r="Q79" i="12"/>
  <c r="W79" i="12" s="1"/>
  <c r="Q11" i="12"/>
  <c r="T11" i="12" s="1"/>
  <c r="Q57" i="12"/>
  <c r="W57" i="12" s="1"/>
  <c r="Q105" i="12"/>
  <c r="DA18" i="27"/>
  <c r="CX18" i="27" s="1"/>
  <c r="Q16" i="12" s="1"/>
  <c r="T16" i="12" s="1"/>
  <c r="W16" i="12" s="1"/>
  <c r="Q113" i="12"/>
  <c r="W113" i="12" s="1"/>
  <c r="DA11" i="27"/>
  <c r="DC11" i="27" s="1"/>
  <c r="DA21" i="27"/>
  <c r="CX21" i="27" s="1"/>
  <c r="Q19" i="12" s="1"/>
  <c r="DA51" i="27"/>
  <c r="CX51" i="27" s="1"/>
  <c r="Q49" i="18" s="1"/>
  <c r="Q43" i="12"/>
  <c r="W43" i="12" s="1"/>
  <c r="DA114" i="27"/>
  <c r="CX114" i="27" s="1"/>
  <c r="Q112" i="12" s="1"/>
  <c r="T112" i="12" s="1"/>
  <c r="W112" i="12" s="1"/>
  <c r="Q44" i="12"/>
  <c r="T44" i="12" s="1"/>
  <c r="F93" i="12"/>
  <c r="Q6" i="12"/>
  <c r="W6" i="12" s="1"/>
  <c r="Q94" i="12"/>
  <c r="W94" i="12" s="1"/>
  <c r="Q50" i="12"/>
  <c r="T50" i="12" s="1"/>
  <c r="Q99" i="12"/>
  <c r="W99" i="12" s="1"/>
  <c r="Q102" i="12"/>
  <c r="T102" i="12" s="1"/>
  <c r="Q109" i="12"/>
  <c r="W109" i="12" s="1"/>
  <c r="DA9" i="27"/>
  <c r="CX9" i="27" s="1"/>
  <c r="Q7" i="12" s="1"/>
  <c r="DA12" i="27"/>
  <c r="CX12" i="27" s="1"/>
  <c r="Q10" i="18" s="1"/>
  <c r="Q9" i="12"/>
  <c r="T9" i="12" s="1"/>
  <c r="Q53" i="12"/>
  <c r="T53" i="12" s="1"/>
  <c r="Q93" i="12"/>
  <c r="T93" i="12" s="1"/>
  <c r="Q49" i="12"/>
  <c r="Q52" i="12"/>
  <c r="W52" i="12" s="1"/>
  <c r="Q65" i="12"/>
  <c r="W65" i="12" s="1"/>
  <c r="DA27" i="27"/>
  <c r="CX27" i="27" s="1"/>
  <c r="Q25" i="12" s="1"/>
  <c r="DA23" i="27"/>
  <c r="CX23" i="27" s="1"/>
  <c r="Q21" i="12" s="1"/>
  <c r="DA140" i="27"/>
  <c r="CX140" i="27" s="1"/>
  <c r="Q138" i="12" s="1"/>
  <c r="DA69" i="27"/>
  <c r="CX69" i="27" s="1"/>
  <c r="Q67" i="12" s="1"/>
  <c r="DA120" i="27"/>
  <c r="DA46" i="27"/>
  <c r="DA50" i="27"/>
  <c r="CX50" i="27" s="1"/>
  <c r="Q48" i="12" s="1"/>
  <c r="T48" i="12" s="1"/>
  <c r="W48" i="12" s="1"/>
  <c r="DA139" i="27"/>
  <c r="CX139" i="27" s="1"/>
  <c r="Q137" i="12" s="1"/>
  <c r="DA45" i="27"/>
  <c r="DC45" i="27" s="1"/>
  <c r="DA36" i="27"/>
  <c r="CX36" i="27" s="1"/>
  <c r="Q34" i="12" s="1"/>
  <c r="DA84" i="27"/>
  <c r="CX84" i="27" s="1"/>
  <c r="Q82" i="12" s="1"/>
  <c r="DA134" i="27"/>
  <c r="CX134" i="27" s="1"/>
  <c r="Q132" i="12" s="1"/>
  <c r="T132" i="12" s="1"/>
  <c r="W132" i="12" s="1"/>
  <c r="AY6" i="27"/>
  <c r="DA117" i="27"/>
  <c r="CX117" i="27" s="1"/>
  <c r="Q115" i="12" s="1"/>
  <c r="DA55" i="27"/>
  <c r="DC55" i="27" s="1"/>
  <c r="DA100" i="27"/>
  <c r="CX100" i="27" s="1"/>
  <c r="Q98" i="12" s="1"/>
  <c r="DA106" i="27"/>
  <c r="CX106" i="27" s="1"/>
  <c r="Q104" i="12" s="1"/>
  <c r="T104" i="12" s="1"/>
  <c r="W104" i="12" s="1"/>
  <c r="DA47" i="27"/>
  <c r="CX47" i="27" s="1"/>
  <c r="Q45" i="12" s="1"/>
  <c r="DA115" i="27"/>
  <c r="DC115" i="27" s="1"/>
  <c r="DG115" i="27" s="1"/>
  <c r="DA73" i="27"/>
  <c r="CX73" i="27" s="1"/>
  <c r="Q71" i="12" s="1"/>
  <c r="DA123" i="27"/>
  <c r="CX123" i="27" s="1"/>
  <c r="Q121" i="12" s="1"/>
  <c r="DA111" i="27"/>
  <c r="DC111" i="27" s="1"/>
  <c r="DA54" i="27"/>
  <c r="DC54" i="27" s="1"/>
  <c r="DA30" i="27"/>
  <c r="CX30" i="27" s="1"/>
  <c r="Q28" i="12" s="1"/>
  <c r="T28" i="12" s="1"/>
  <c r="W28" i="12" s="1"/>
  <c r="DA66" i="27"/>
  <c r="CX66" i="27" s="1"/>
  <c r="Q64" i="12" s="1"/>
  <c r="T64" i="12" s="1"/>
  <c r="W64" i="12" s="1"/>
  <c r="DA78" i="27"/>
  <c r="CX78" i="27" s="1"/>
  <c r="Q76" i="12" s="1"/>
  <c r="T76" i="12" s="1"/>
  <c r="W76" i="12" s="1"/>
  <c r="DC34" i="27"/>
  <c r="DF34" i="27" s="1"/>
  <c r="DA89" i="27"/>
  <c r="CX89" i="27" s="1"/>
  <c r="Q87" i="12" s="1"/>
  <c r="DA10" i="27"/>
  <c r="CX10" i="27" s="1"/>
  <c r="Q8" i="12" s="1"/>
  <c r="T8" i="12" s="1"/>
  <c r="W8" i="12" s="1"/>
  <c r="DA125" i="27"/>
  <c r="CX125" i="27" s="1"/>
  <c r="Q123" i="12" s="1"/>
  <c r="DA113" i="27"/>
  <c r="CX113" i="27" s="1"/>
  <c r="Q111" i="12" s="1"/>
  <c r="DA37" i="27"/>
  <c r="CX37" i="27" s="1"/>
  <c r="Q35" i="12" s="1"/>
  <c r="DA65" i="27"/>
  <c r="CX65" i="27" s="1"/>
  <c r="Q63" i="12" s="1"/>
  <c r="DA15" i="27"/>
  <c r="CX15" i="27" s="1"/>
  <c r="Q13" i="12" s="1"/>
  <c r="DA44" i="27"/>
  <c r="DC44" i="27" s="1"/>
  <c r="DA138" i="27"/>
  <c r="CX138" i="27" s="1"/>
  <c r="Q136" i="12" s="1"/>
  <c r="T136" i="12" s="1"/>
  <c r="W136" i="12" s="1"/>
  <c r="DA31" i="27"/>
  <c r="CX31" i="27" s="1"/>
  <c r="Q29" i="12" s="1"/>
  <c r="DA6" i="27"/>
  <c r="CX6" i="27" s="1"/>
  <c r="Q4" i="12" s="1"/>
  <c r="DA41" i="27"/>
  <c r="CX41" i="27" s="1"/>
  <c r="Q39" i="12" s="1"/>
  <c r="DA98" i="27"/>
  <c r="CX98" i="27" s="1"/>
  <c r="Q96" i="12" s="1"/>
  <c r="T96" i="12" s="1"/>
  <c r="W96" i="12" s="1"/>
  <c r="DA42" i="27"/>
  <c r="CX42" i="27" s="1"/>
  <c r="Q40" i="12" s="1"/>
  <c r="T40" i="12" s="1"/>
  <c r="W40" i="12" s="1"/>
  <c r="DA81" i="27"/>
  <c r="DC81" i="27" s="1"/>
  <c r="DA122" i="27"/>
  <c r="CX122" i="27" s="1"/>
  <c r="Q120" i="12" s="1"/>
  <c r="T120" i="12" s="1"/>
  <c r="W120" i="12" s="1"/>
  <c r="DA95" i="27"/>
  <c r="DA102" i="27"/>
  <c r="CX102" i="27" s="1"/>
  <c r="Q100" i="12" s="1"/>
  <c r="T100" i="12" s="1"/>
  <c r="W100" i="12" s="1"/>
  <c r="DA85" i="27"/>
  <c r="CX85" i="27" s="1"/>
  <c r="Q83" i="12" s="1"/>
  <c r="DA88" i="27"/>
  <c r="CX88" i="27" s="1"/>
  <c r="Q86" i="12" s="1"/>
  <c r="DA13" i="27"/>
  <c r="DA92" i="27"/>
  <c r="DC92" i="27" s="1"/>
  <c r="DA29" i="27"/>
  <c r="DA7" i="27"/>
  <c r="CX7" i="27" s="1"/>
  <c r="Q5" i="12" s="1"/>
  <c r="DA126" i="27"/>
  <c r="CX126" i="27" s="1"/>
  <c r="Q124" i="12" s="1"/>
  <c r="T124" i="12" s="1"/>
  <c r="W124" i="12" s="1"/>
  <c r="DA70" i="27"/>
  <c r="DC70" i="27" s="1"/>
  <c r="DA135" i="27"/>
  <c r="CX135" i="27" s="1"/>
  <c r="Q133" i="12" s="1"/>
  <c r="DA90" i="27"/>
  <c r="CX90" i="27" s="1"/>
  <c r="Q88" i="12" s="1"/>
  <c r="T88" i="12" s="1"/>
  <c r="W88" i="12" s="1"/>
  <c r="DA112" i="27"/>
  <c r="CX112" i="27" s="1"/>
  <c r="Q110" i="12" s="1"/>
  <c r="DA53" i="27"/>
  <c r="DC53" i="27" s="1"/>
  <c r="DA127" i="27"/>
  <c r="CX127" i="27" s="1"/>
  <c r="Q125" i="12" s="1"/>
  <c r="DA72" i="27"/>
  <c r="CX72" i="27" s="1"/>
  <c r="Q70" i="12" s="1"/>
  <c r="DA43" i="27"/>
  <c r="CX43" i="27" s="1"/>
  <c r="Q41" i="12" s="1"/>
  <c r="DA91" i="27"/>
  <c r="CX91" i="27" s="1"/>
  <c r="Q89" i="12" s="1"/>
  <c r="DA38" i="27"/>
  <c r="CX38" i="27" s="1"/>
  <c r="Q36" i="12" s="1"/>
  <c r="T36" i="12" s="1"/>
  <c r="W36" i="12" s="1"/>
  <c r="DA86" i="27"/>
  <c r="CX86" i="27" s="1"/>
  <c r="Q84" i="12" s="1"/>
  <c r="T84" i="12" s="1"/>
  <c r="W84" i="12" s="1"/>
  <c r="DA59" i="27"/>
  <c r="DC59" i="27" s="1"/>
  <c r="DA116" i="27"/>
  <c r="CX116" i="27" s="1"/>
  <c r="Q114" i="12" s="1"/>
  <c r="DA87" i="27"/>
  <c r="CX87" i="27" s="1"/>
  <c r="Q85" i="12" s="1"/>
  <c r="DA109" i="27"/>
  <c r="DC109" i="27" s="1"/>
  <c r="DA56" i="27"/>
  <c r="CX56" i="27" s="1"/>
  <c r="Q54" i="12" s="1"/>
  <c r="DA79" i="27"/>
  <c r="DA26" i="27"/>
  <c r="CX26" i="27" s="1"/>
  <c r="Q24" i="12" s="1"/>
  <c r="T24" i="12" s="1"/>
  <c r="W24" i="12" s="1"/>
  <c r="DA108" i="27"/>
  <c r="CX108" i="27" s="1"/>
  <c r="Q106" i="12" s="1"/>
  <c r="DA48" i="27"/>
  <c r="CX48" i="27" s="1"/>
  <c r="Q46" i="12" s="1"/>
  <c r="DA19" i="27"/>
  <c r="CX19" i="27" s="1"/>
  <c r="Q17" i="12" s="1"/>
  <c r="DA121" i="27"/>
  <c r="CX121" i="27" s="1"/>
  <c r="Q119" i="12" s="1"/>
  <c r="DA39" i="27"/>
  <c r="CX39" i="27" s="1"/>
  <c r="Q37" i="12" s="1"/>
  <c r="DC40" i="27"/>
  <c r="DE40" i="27" s="1"/>
  <c r="DA49" i="27"/>
  <c r="CX49" i="27" s="1"/>
  <c r="Q47" i="12" s="1"/>
  <c r="DA24" i="27"/>
  <c r="DA80" i="27"/>
  <c r="DA32" i="27"/>
  <c r="CX32" i="27" s="1"/>
  <c r="Q30" i="12" s="1"/>
  <c r="DA25" i="27"/>
  <c r="CX25" i="27" s="1"/>
  <c r="Q23" i="12" s="1"/>
  <c r="DA132" i="27"/>
  <c r="CX132" i="27" s="1"/>
  <c r="Q130" i="12" s="1"/>
  <c r="DA103" i="27"/>
  <c r="CX103" i="27" s="1"/>
  <c r="Q101" i="12" s="1"/>
  <c r="DA83" i="27"/>
  <c r="CX83" i="27" s="1"/>
  <c r="Q81" i="12" s="1"/>
  <c r="DA131" i="27"/>
  <c r="DA101" i="27"/>
  <c r="DC101" i="27" s="1"/>
  <c r="DF101" i="27" s="1"/>
  <c r="DA104" i="27"/>
  <c r="DA97" i="27"/>
  <c r="DA71" i="27"/>
  <c r="CX71" i="27" s="1"/>
  <c r="Q69" i="12" s="1"/>
  <c r="DA20" i="27"/>
  <c r="CX20" i="27" s="1"/>
  <c r="Q18" i="12" s="1"/>
  <c r="DA60" i="27"/>
  <c r="CX60" i="27" s="1"/>
  <c r="Q58" i="12" s="1"/>
  <c r="DA67" i="27"/>
  <c r="DC67" i="27" s="1"/>
  <c r="DA62" i="27"/>
  <c r="CX62" i="27" s="1"/>
  <c r="Q60" i="12" s="1"/>
  <c r="T60" i="12" s="1"/>
  <c r="W60" i="12" s="1"/>
  <c r="DA110" i="27"/>
  <c r="CX110" i="27" s="1"/>
  <c r="Q108" i="12" s="1"/>
  <c r="T108" i="12" s="1"/>
  <c r="W108" i="12" s="1"/>
  <c r="DA35" i="27"/>
  <c r="CX35" i="27" s="1"/>
  <c r="Q33" i="12" s="1"/>
  <c r="DA22" i="27"/>
  <c r="CX22" i="27" s="1"/>
  <c r="Q20" i="12" s="1"/>
  <c r="T20" i="12" s="1"/>
  <c r="W20" i="12" s="1"/>
  <c r="DA64" i="27"/>
  <c r="CX64" i="27" s="1"/>
  <c r="Q62" i="12" s="1"/>
  <c r="DA136" i="27"/>
  <c r="CX136" i="27" s="1"/>
  <c r="Q134" i="12" s="1"/>
  <c r="DA77" i="27"/>
  <c r="CX77" i="27" s="1"/>
  <c r="Q75" i="12" s="1"/>
  <c r="DA58" i="27"/>
  <c r="CX58" i="27" s="1"/>
  <c r="Q56" i="12" s="1"/>
  <c r="T56" i="12" s="1"/>
  <c r="W56" i="12" s="1"/>
  <c r="DC76" i="27"/>
  <c r="DF76" i="27" s="1"/>
  <c r="DA61" i="27"/>
  <c r="DC61" i="27" s="1"/>
  <c r="DE61" i="27" s="1"/>
  <c r="DA68" i="27"/>
  <c r="CX68" i="27" s="1"/>
  <c r="Q66" i="12" s="1"/>
  <c r="DA133" i="27"/>
  <c r="CX133" i="27" s="1"/>
  <c r="Q131" i="12" s="1"/>
  <c r="DA118" i="27"/>
  <c r="CX118" i="27" s="1"/>
  <c r="Q116" i="12" s="1"/>
  <c r="T116" i="12" s="1"/>
  <c r="W116" i="12" s="1"/>
  <c r="DA52" i="27"/>
  <c r="DA96" i="27"/>
  <c r="DC96" i="27" s="1"/>
  <c r="DF96" i="27" s="1"/>
  <c r="AY69" i="27"/>
  <c r="AY133" i="27"/>
  <c r="DC88" i="27"/>
  <c r="DC94" i="27"/>
  <c r="DC30" i="27"/>
  <c r="DC74" i="27"/>
  <c r="DC57" i="27"/>
  <c r="DA8" i="27"/>
  <c r="DC9" i="27"/>
  <c r="DC110" i="27"/>
  <c r="DC129" i="27"/>
  <c r="DA16" i="27"/>
  <c r="CX16" i="27" s="1"/>
  <c r="Q14" i="12" s="1"/>
  <c r="DC124" i="27"/>
  <c r="DC120" i="27"/>
  <c r="DC75" i="27"/>
  <c r="DC93" i="27"/>
  <c r="DC128" i="27"/>
  <c r="DC89" i="27"/>
  <c r="DC27" i="27"/>
  <c r="DC123" i="27"/>
  <c r="DA130" i="27"/>
  <c r="CX130" i="27" s="1"/>
  <c r="Q128" i="12" s="1"/>
  <c r="T128" i="12" s="1"/>
  <c r="W128" i="12" s="1"/>
  <c r="DC17" i="27"/>
  <c r="DC69" i="27"/>
  <c r="DC63" i="27"/>
  <c r="DC86" i="27"/>
  <c r="DC33" i="27"/>
  <c r="DC105" i="27"/>
  <c r="DA14" i="27"/>
  <c r="CX14" i="27" s="1"/>
  <c r="Q12" i="12" s="1"/>
  <c r="T12" i="12" s="1"/>
  <c r="W12" i="12" s="1"/>
  <c r="DC134" i="27"/>
  <c r="DC99" i="27"/>
  <c r="DC50" i="27"/>
  <c r="DC84" i="27"/>
  <c r="AY101" i="27"/>
  <c r="AY21" i="27"/>
  <c r="AY23" i="27"/>
  <c r="AY65" i="27"/>
  <c r="AY24" i="27"/>
  <c r="AY95" i="27"/>
  <c r="AY78" i="27"/>
  <c r="AY60" i="27"/>
  <c r="AY79" i="27"/>
  <c r="AY66" i="27"/>
  <c r="AY43" i="27"/>
  <c r="AY90" i="27"/>
  <c r="AY20" i="27"/>
  <c r="AY97" i="27"/>
  <c r="AY87" i="27"/>
  <c r="AY88" i="27"/>
  <c r="AY96" i="27"/>
  <c r="AY93" i="27"/>
  <c r="AY37" i="27"/>
  <c r="AY22" i="27"/>
  <c r="AY35" i="27"/>
  <c r="AY121" i="27"/>
  <c r="AY19" i="27"/>
  <c r="AY39" i="27"/>
  <c r="AY81" i="27"/>
  <c r="AY10" i="27"/>
  <c r="AY134" i="27"/>
  <c r="AY47" i="27"/>
  <c r="AY7" i="27"/>
  <c r="AY17" i="27"/>
  <c r="AY140" i="27"/>
  <c r="AV140" i="27" s="1"/>
  <c r="AY130" i="27"/>
  <c r="AY131" i="27"/>
  <c r="AY46" i="27"/>
  <c r="AY132" i="27"/>
  <c r="AY126" i="27"/>
  <c r="AY125" i="27"/>
  <c r="AY128" i="27"/>
  <c r="AY136" i="27"/>
  <c r="AY129" i="27"/>
  <c r="AY11" i="27"/>
  <c r="AY139" i="27"/>
  <c r="AY13" i="27"/>
  <c r="AY36" i="27"/>
  <c r="AY124" i="27"/>
  <c r="AY9" i="27"/>
  <c r="AY44" i="27"/>
  <c r="AY138" i="27"/>
  <c r="AY40" i="27"/>
  <c r="AY135" i="27"/>
  <c r="AY45" i="27"/>
  <c r="AY123" i="27"/>
  <c r="AY122" i="27"/>
  <c r="AY137" i="27"/>
  <c r="AY18" i="27"/>
  <c r="AY127" i="27"/>
  <c r="AY38" i="27"/>
  <c r="AY12" i="27"/>
  <c r="AY8" i="27"/>
  <c r="AY77" i="27"/>
  <c r="AY62" i="27"/>
  <c r="AY82" i="27"/>
  <c r="AY86" i="27"/>
  <c r="AY102" i="27"/>
  <c r="AY67" i="27"/>
  <c r="AY80" i="27"/>
  <c r="AY41" i="27"/>
  <c r="AY48" i="27"/>
  <c r="AY112" i="27"/>
  <c r="AY91" i="27"/>
  <c r="AY63" i="27"/>
  <c r="AY106" i="27"/>
  <c r="AY85" i="27"/>
  <c r="AY105" i="27"/>
  <c r="AY68" i="27"/>
  <c r="AY83" i="27"/>
  <c r="AY94" i="27"/>
  <c r="AY120" i="27"/>
  <c r="AY114" i="27"/>
  <c r="AY116" i="27"/>
  <c r="AY57" i="27"/>
  <c r="AY51" i="27"/>
  <c r="AY27" i="27"/>
  <c r="AY110" i="27"/>
  <c r="AY53" i="27"/>
  <c r="AY74" i="27"/>
  <c r="AY73" i="27"/>
  <c r="AY49" i="27"/>
  <c r="AY56" i="27"/>
  <c r="AY32" i="27"/>
  <c r="AY119" i="27"/>
  <c r="AY33" i="27"/>
  <c r="AY29" i="27"/>
  <c r="AY25" i="27"/>
  <c r="AY117" i="27"/>
  <c r="AY118" i="27"/>
  <c r="AY111" i="27"/>
  <c r="AY72" i="27"/>
  <c r="AY115" i="27"/>
  <c r="AY28" i="27"/>
  <c r="AY70" i="27"/>
  <c r="AY58" i="27"/>
  <c r="AY59" i="27"/>
  <c r="AY26" i="27"/>
  <c r="AY30" i="27"/>
  <c r="AY52" i="27"/>
  <c r="AY55" i="27"/>
  <c r="AY113" i="27"/>
  <c r="AY16" i="27"/>
  <c r="AY54" i="27"/>
  <c r="AY50" i="27"/>
  <c r="AY31" i="27"/>
  <c r="AY108" i="27"/>
  <c r="AY71" i="27"/>
  <c r="AY61" i="27"/>
  <c r="AY103" i="27"/>
  <c r="AY98" i="27"/>
  <c r="AY84" i="27"/>
  <c r="AY76" i="27"/>
  <c r="AY104" i="27"/>
  <c r="AY92" i="27"/>
  <c r="AY99" i="27"/>
  <c r="AY64" i="27"/>
  <c r="AY89" i="27"/>
  <c r="AY100" i="27"/>
  <c r="AY42" i="27"/>
  <c r="AY15" i="27"/>
  <c r="AY107" i="27"/>
  <c r="AY34" i="27"/>
  <c r="AY75" i="27"/>
  <c r="Z13" i="19" l="1"/>
  <c r="Z69" i="19"/>
  <c r="T14" i="12"/>
  <c r="W14" i="12" s="1"/>
  <c r="T75" i="12"/>
  <c r="W75" i="12" s="1"/>
  <c r="T58" i="12"/>
  <c r="W58" i="12" s="1"/>
  <c r="T101" i="12"/>
  <c r="W101" i="12" s="1"/>
  <c r="T37" i="12"/>
  <c r="W37" i="12" s="1"/>
  <c r="T106" i="12"/>
  <c r="W106" i="12" s="1"/>
  <c r="T70" i="12"/>
  <c r="W70" i="12" s="1"/>
  <c r="T5" i="12"/>
  <c r="W5" i="12" s="1"/>
  <c r="T86" i="12"/>
  <c r="W86" i="12" s="1"/>
  <c r="T39" i="12"/>
  <c r="W39" i="12" s="1"/>
  <c r="T111" i="12"/>
  <c r="W111" i="12" s="1"/>
  <c r="T82" i="12"/>
  <c r="W82" i="12" s="1"/>
  <c r="T138" i="12"/>
  <c r="W138" i="12" s="1"/>
  <c r="T126" i="12"/>
  <c r="W126" i="12" s="1"/>
  <c r="T26" i="12"/>
  <c r="W26" i="12" s="1"/>
  <c r="T73" i="12"/>
  <c r="W73" i="12" s="1"/>
  <c r="T127" i="18"/>
  <c r="W127" i="18" s="1"/>
  <c r="T15" i="18"/>
  <c r="W15" i="18" s="1"/>
  <c r="T103" i="18"/>
  <c r="W103" i="18" s="1"/>
  <c r="T91" i="18"/>
  <c r="W91" i="18" s="1"/>
  <c r="T66" i="12"/>
  <c r="W66" i="12" s="1"/>
  <c r="T33" i="12"/>
  <c r="W33" i="12" s="1"/>
  <c r="T134" i="12"/>
  <c r="W134" i="12" s="1"/>
  <c r="T18" i="12"/>
  <c r="W18" i="12" s="1"/>
  <c r="T130" i="12"/>
  <c r="W130" i="12" s="1"/>
  <c r="T119" i="12"/>
  <c r="W119" i="12" s="1"/>
  <c r="T85" i="12"/>
  <c r="W85" i="12" s="1"/>
  <c r="T125" i="12"/>
  <c r="W125" i="12" s="1"/>
  <c r="T133" i="12"/>
  <c r="W133" i="12" s="1"/>
  <c r="T83" i="12"/>
  <c r="W83" i="12" s="1"/>
  <c r="T4" i="12"/>
  <c r="W4" i="12" s="1"/>
  <c r="T13" i="12"/>
  <c r="W13" i="12" s="1"/>
  <c r="T123" i="12"/>
  <c r="W123" i="12" s="1"/>
  <c r="T45" i="12"/>
  <c r="W45" i="12" s="1"/>
  <c r="T115" i="12"/>
  <c r="W115" i="12" s="1"/>
  <c r="T34" i="12"/>
  <c r="W34" i="12" s="1"/>
  <c r="T21" i="12"/>
  <c r="W21" i="12" s="1"/>
  <c r="T49" i="12"/>
  <c r="W49" i="12" s="1"/>
  <c r="T10" i="18"/>
  <c r="W10" i="18" s="1"/>
  <c r="T49" i="18"/>
  <c r="W49" i="18" s="1"/>
  <c r="T38" i="12"/>
  <c r="W38" i="12" s="1"/>
  <c r="T117" i="12"/>
  <c r="W117" i="12" s="1"/>
  <c r="T122" i="18"/>
  <c r="W122" i="18" s="1"/>
  <c r="T135" i="12"/>
  <c r="W135" i="12" s="1"/>
  <c r="T131" i="12"/>
  <c r="W131" i="12" s="1"/>
  <c r="T62" i="12"/>
  <c r="W62" i="12" s="1"/>
  <c r="T69" i="12"/>
  <c r="W69" i="12" s="1"/>
  <c r="T23" i="12"/>
  <c r="W23" i="12" s="1"/>
  <c r="T47" i="12"/>
  <c r="W47" i="12" s="1"/>
  <c r="T17" i="12"/>
  <c r="W17" i="12" s="1"/>
  <c r="T114" i="12"/>
  <c r="W114" i="12" s="1"/>
  <c r="T89" i="12"/>
  <c r="W89" i="12" s="1"/>
  <c r="T29" i="12"/>
  <c r="W29" i="12" s="1"/>
  <c r="T63" i="12"/>
  <c r="W63" i="12" s="1"/>
  <c r="T121" i="12"/>
  <c r="W121" i="12" s="1"/>
  <c r="T25" i="12"/>
  <c r="W25" i="12" s="1"/>
  <c r="T7" i="12"/>
  <c r="W7" i="12" s="1"/>
  <c r="T19" i="12"/>
  <c r="W19" i="12" s="1"/>
  <c r="T105" i="12"/>
  <c r="W105" i="12" s="1"/>
  <c r="T103" i="12"/>
  <c r="W103" i="12" s="1"/>
  <c r="T31" i="12"/>
  <c r="W31" i="12" s="1"/>
  <c r="T74" i="12"/>
  <c r="W74" i="12" s="1"/>
  <c r="T135" i="18"/>
  <c r="W135" i="18" s="1"/>
  <c r="T122" i="12"/>
  <c r="W122" i="12" s="1"/>
  <c r="T81" i="12"/>
  <c r="W81" i="12" s="1"/>
  <c r="T30" i="12"/>
  <c r="W30" i="12" s="1"/>
  <c r="T46" i="12"/>
  <c r="W46" i="12" s="1"/>
  <c r="T54" i="12"/>
  <c r="W54" i="12" s="1"/>
  <c r="T41" i="12"/>
  <c r="W41" i="12" s="1"/>
  <c r="T110" i="12"/>
  <c r="W110" i="12" s="1"/>
  <c r="T35" i="12"/>
  <c r="W35" i="12" s="1"/>
  <c r="T87" i="12"/>
  <c r="W87" i="12" s="1"/>
  <c r="T71" i="12"/>
  <c r="W71" i="12" s="1"/>
  <c r="T98" i="12"/>
  <c r="W98" i="12" s="1"/>
  <c r="T137" i="12"/>
  <c r="W137" i="12" s="1"/>
  <c r="T67" i="12"/>
  <c r="W67" i="12" s="1"/>
  <c r="T91" i="12"/>
  <c r="W91" i="12" s="1"/>
  <c r="T55" i="18"/>
  <c r="W55" i="18" s="1"/>
  <c r="T92" i="18"/>
  <c r="W92" i="18" s="1"/>
  <c r="DC12" i="27"/>
  <c r="DC117" i="27"/>
  <c r="DE117" i="27" s="1"/>
  <c r="DC47" i="27"/>
  <c r="DC18" i="27"/>
  <c r="DF18" i="27" s="1"/>
  <c r="DC107" i="27"/>
  <c r="DC112" i="27"/>
  <c r="DF112" i="27" s="1"/>
  <c r="DC137" i="27"/>
  <c r="DC85" i="27"/>
  <c r="DE85" i="27" s="1"/>
  <c r="DC32" i="27"/>
  <c r="DC119" i="27"/>
  <c r="DF119" i="27" s="1"/>
  <c r="DC125" i="27"/>
  <c r="DF125" i="27" s="1"/>
  <c r="DC100" i="27"/>
  <c r="DF100" i="27" s="1"/>
  <c r="DC31" i="27"/>
  <c r="DC51" i="27"/>
  <c r="DC139" i="27"/>
  <c r="DF139" i="27" s="1"/>
  <c r="DC19" i="27"/>
  <c r="DF19" i="27" s="1"/>
  <c r="DC42" i="27"/>
  <c r="DC65" i="27"/>
  <c r="DE65" i="27" s="1"/>
  <c r="Y79" i="18"/>
  <c r="Y42" i="18"/>
  <c r="Y57" i="18"/>
  <c r="Y107" i="18"/>
  <c r="Y43" i="18"/>
  <c r="Y113" i="18"/>
  <c r="Q10" i="12"/>
  <c r="Y52" i="18"/>
  <c r="Y109" i="18"/>
  <c r="Y16" i="19"/>
  <c r="Z16" i="19" s="1"/>
  <c r="Q27" i="12"/>
  <c r="CX29" i="27"/>
  <c r="X5" i="12"/>
  <c r="Q63" i="18"/>
  <c r="X108" i="18"/>
  <c r="X124" i="18"/>
  <c r="X38" i="12"/>
  <c r="X120" i="12"/>
  <c r="X16" i="18"/>
  <c r="Q20" i="18"/>
  <c r="X8" i="12"/>
  <c r="X7" i="12"/>
  <c r="X69" i="12"/>
  <c r="Q76" i="18"/>
  <c r="X64" i="18"/>
  <c r="X54" i="18"/>
  <c r="Q123" i="18"/>
  <c r="X133" i="12"/>
  <c r="Q37" i="18"/>
  <c r="Q130" i="18"/>
  <c r="X83" i="18"/>
  <c r="Q116" i="18"/>
  <c r="Q19" i="18"/>
  <c r="X87" i="12"/>
  <c r="X105" i="18"/>
  <c r="Q67" i="18"/>
  <c r="X41" i="12"/>
  <c r="X131" i="18"/>
  <c r="Q21" i="18"/>
  <c r="X34" i="18"/>
  <c r="X45" i="12"/>
  <c r="X4" i="12"/>
  <c r="X18" i="18"/>
  <c r="Q47" i="18"/>
  <c r="Q136" i="18"/>
  <c r="X13" i="12"/>
  <c r="X36" i="12"/>
  <c r="X30" i="12"/>
  <c r="X70" i="18"/>
  <c r="X66" i="18"/>
  <c r="Y94" i="18"/>
  <c r="X128" i="12"/>
  <c r="X81" i="18"/>
  <c r="Q73" i="18"/>
  <c r="X116" i="12"/>
  <c r="Y65" i="18"/>
  <c r="X48" i="18"/>
  <c r="X119" i="12"/>
  <c r="Q31" i="18"/>
  <c r="Q29" i="18"/>
  <c r="X58" i="18"/>
  <c r="X134" i="12"/>
  <c r="X35" i="18"/>
  <c r="Q23" i="18"/>
  <c r="X125" i="18"/>
  <c r="X82" i="12"/>
  <c r="Q112" i="18"/>
  <c r="X98" i="12"/>
  <c r="X126" i="12"/>
  <c r="Q71" i="18"/>
  <c r="X84" i="12"/>
  <c r="X32" i="18"/>
  <c r="X117" i="12"/>
  <c r="Q74" i="18"/>
  <c r="X25" i="12"/>
  <c r="X96" i="12"/>
  <c r="Q111" i="18"/>
  <c r="X56" i="12"/>
  <c r="Q28" i="18"/>
  <c r="X89" i="12"/>
  <c r="X60" i="12"/>
  <c r="X17" i="18"/>
  <c r="Q62" i="18"/>
  <c r="X12" i="12"/>
  <c r="X125" i="12"/>
  <c r="X10" i="12"/>
  <c r="Q26" i="18"/>
  <c r="Q5" i="18"/>
  <c r="X33" i="12"/>
  <c r="X108" i="12"/>
  <c r="Q124" i="18"/>
  <c r="X49" i="18"/>
  <c r="X38" i="18"/>
  <c r="Q120" i="18"/>
  <c r="Q16" i="18"/>
  <c r="X88" i="12"/>
  <c r="X8" i="18"/>
  <c r="Q7" i="18"/>
  <c r="Q69" i="18"/>
  <c r="X24" i="18"/>
  <c r="X64" i="12"/>
  <c r="Q54" i="18"/>
  <c r="X100" i="18"/>
  <c r="X133" i="18"/>
  <c r="Y68" i="18"/>
  <c r="X14" i="18"/>
  <c r="X81" i="12"/>
  <c r="X101" i="18"/>
  <c r="X87" i="18"/>
  <c r="Q105" i="18"/>
  <c r="X132" i="18"/>
  <c r="X41" i="18"/>
  <c r="Q131" i="18"/>
  <c r="X121" i="18"/>
  <c r="X34" i="12"/>
  <c r="Q45" i="18"/>
  <c r="X40" i="18"/>
  <c r="X4" i="18"/>
  <c r="Q18" i="18"/>
  <c r="X13" i="18"/>
  <c r="Q36" i="18"/>
  <c r="X30" i="18"/>
  <c r="Q70" i="18"/>
  <c r="Q66" i="18"/>
  <c r="X46" i="12"/>
  <c r="X128" i="18"/>
  <c r="Y6" i="18"/>
  <c r="X115" i="18"/>
  <c r="X104" i="12"/>
  <c r="X137" i="18"/>
  <c r="X48" i="12"/>
  <c r="X119" i="18"/>
  <c r="X106" i="18"/>
  <c r="X58" i="12"/>
  <c r="X110" i="18"/>
  <c r="X134" i="18"/>
  <c r="Q35" i="18"/>
  <c r="X10" i="18"/>
  <c r="X26" i="12"/>
  <c r="Q82" i="18"/>
  <c r="X98" i="18"/>
  <c r="Q126" i="18"/>
  <c r="X84" i="18"/>
  <c r="Q32" i="18"/>
  <c r="Q117" i="18"/>
  <c r="X25" i="18"/>
  <c r="Q96" i="18"/>
  <c r="X39" i="18"/>
  <c r="X56" i="18"/>
  <c r="X85" i="12"/>
  <c r="X89" i="18"/>
  <c r="X60" i="18"/>
  <c r="Q17" i="18"/>
  <c r="X12" i="18"/>
  <c r="Q114" i="18"/>
  <c r="Q81" i="18"/>
  <c r="X101" i="12"/>
  <c r="Q138" i="18"/>
  <c r="X63" i="12"/>
  <c r="X33" i="18"/>
  <c r="Q108" i="18"/>
  <c r="X49" i="12"/>
  <c r="Q38" i="18"/>
  <c r="X20" i="18"/>
  <c r="X88" i="18"/>
  <c r="Q8" i="18"/>
  <c r="X76" i="18"/>
  <c r="X24" i="12"/>
  <c r="Q64" i="18"/>
  <c r="X123" i="12"/>
  <c r="X100" i="12"/>
  <c r="Q133" i="18"/>
  <c r="X37" i="12"/>
  <c r="X130" i="12"/>
  <c r="X14" i="12"/>
  <c r="Q75" i="18"/>
  <c r="X19" i="12"/>
  <c r="Q87" i="18"/>
  <c r="X67" i="12"/>
  <c r="X132" i="12"/>
  <c r="Q41" i="18"/>
  <c r="X21" i="18"/>
  <c r="X121" i="12"/>
  <c r="Q34" i="18"/>
  <c r="X40" i="12"/>
  <c r="Q4" i="18"/>
  <c r="X47" i="12"/>
  <c r="X136" i="12"/>
  <c r="Q13" i="18"/>
  <c r="X138" i="18"/>
  <c r="Q30" i="18"/>
  <c r="X46" i="18"/>
  <c r="Q128" i="18"/>
  <c r="Q86" i="18"/>
  <c r="X26" i="18"/>
  <c r="X104" i="18"/>
  <c r="X137" i="12"/>
  <c r="Q48" i="18"/>
  <c r="Q119" i="18"/>
  <c r="X31" i="18"/>
  <c r="X29" i="18"/>
  <c r="X106" i="12"/>
  <c r="Q58" i="18"/>
  <c r="X110" i="12"/>
  <c r="Q134" i="18"/>
  <c r="X23" i="18"/>
  <c r="X86" i="18"/>
  <c r="X114" i="12"/>
  <c r="X73" i="18"/>
  <c r="X112" i="12"/>
  <c r="Q98" i="18"/>
  <c r="X71" i="12"/>
  <c r="Q84" i="18"/>
  <c r="X74" i="12"/>
  <c r="Q25" i="18"/>
  <c r="X111" i="18"/>
  <c r="X39" i="12"/>
  <c r="Q56" i="18"/>
  <c r="X28" i="18"/>
  <c r="X85" i="18"/>
  <c r="Q89" i="18"/>
  <c r="Q60" i="18"/>
  <c r="X62" i="18"/>
  <c r="Q12" i="18"/>
  <c r="X116" i="18"/>
  <c r="X5" i="18"/>
  <c r="X63" i="18"/>
  <c r="Q33" i="18"/>
  <c r="X124" i="12"/>
  <c r="X120" i="18"/>
  <c r="X16" i="12"/>
  <c r="X20" i="12"/>
  <c r="Q88" i="18"/>
  <c r="X7" i="18"/>
  <c r="X69" i="18"/>
  <c r="X76" i="12"/>
  <c r="Q24" i="18"/>
  <c r="X54" i="12"/>
  <c r="X123" i="18"/>
  <c r="Q100" i="18"/>
  <c r="X37" i="18"/>
  <c r="X130" i="18"/>
  <c r="Q14" i="18"/>
  <c r="X115" i="12"/>
  <c r="X19" i="18"/>
  <c r="X67" i="18"/>
  <c r="Q132" i="18"/>
  <c r="X131" i="12"/>
  <c r="X21" i="12"/>
  <c r="Q121" i="18"/>
  <c r="X45" i="18"/>
  <c r="Q40" i="18"/>
  <c r="X18" i="12"/>
  <c r="X47" i="18"/>
  <c r="X136" i="18"/>
  <c r="X36" i="18"/>
  <c r="X138" i="12"/>
  <c r="X70" i="12"/>
  <c r="X66" i="12"/>
  <c r="Q46" i="18"/>
  <c r="X83" i="12"/>
  <c r="X114" i="18"/>
  <c r="X75" i="18"/>
  <c r="Q104" i="18"/>
  <c r="Q137" i="18"/>
  <c r="X31" i="12"/>
  <c r="X29" i="12"/>
  <c r="Q106" i="18"/>
  <c r="Q110" i="18"/>
  <c r="X35" i="12"/>
  <c r="X23" i="12"/>
  <c r="Q125" i="18"/>
  <c r="Q101" i="18"/>
  <c r="X82" i="18"/>
  <c r="X112" i="18"/>
  <c r="X126" i="18"/>
  <c r="X71" i="18"/>
  <c r="X117" i="18"/>
  <c r="X74" i="18"/>
  <c r="X96" i="18"/>
  <c r="X111" i="12"/>
  <c r="Q39" i="18"/>
  <c r="X28" i="12"/>
  <c r="Q85" i="18"/>
  <c r="X17" i="12"/>
  <c r="X62" i="12"/>
  <c r="Y59" i="18"/>
  <c r="X86" i="12"/>
  <c r="Q115" i="18"/>
  <c r="Q83" i="18"/>
  <c r="X75" i="12"/>
  <c r="N109" i="18"/>
  <c r="N97" i="18"/>
  <c r="Z97" i="18" s="1"/>
  <c r="N59" i="18"/>
  <c r="N57" i="18"/>
  <c r="N79" i="18"/>
  <c r="M138" i="12"/>
  <c r="F138" i="18"/>
  <c r="M138" i="18"/>
  <c r="N52" i="18"/>
  <c r="N43" i="18"/>
  <c r="N65" i="18"/>
  <c r="N68" i="18"/>
  <c r="N113" i="18"/>
  <c r="N94" i="18"/>
  <c r="N42" i="18"/>
  <c r="N72" i="18"/>
  <c r="Z72" i="18" s="1"/>
  <c r="N6" i="18"/>
  <c r="N52" i="12"/>
  <c r="N113" i="12"/>
  <c r="N94" i="12"/>
  <c r="N72" i="12"/>
  <c r="N43" i="12"/>
  <c r="N68" i="12"/>
  <c r="N42" i="12"/>
  <c r="N97" i="12"/>
  <c r="N57" i="12"/>
  <c r="N6" i="12"/>
  <c r="N109" i="12"/>
  <c r="N59" i="12"/>
  <c r="N65" i="12"/>
  <c r="N79" i="12"/>
  <c r="F138" i="12"/>
  <c r="DC140" i="27"/>
  <c r="DE140" i="27" s="1"/>
  <c r="DC98" i="27"/>
  <c r="DG98" i="27" s="1"/>
  <c r="DC79" i="27"/>
  <c r="DF79" i="27" s="1"/>
  <c r="CX79" i="27"/>
  <c r="DC21" i="27"/>
  <c r="DF21" i="27" s="1"/>
  <c r="DC126" i="27"/>
  <c r="DG126" i="27" s="1"/>
  <c r="DC24" i="27"/>
  <c r="DF24" i="27" s="1"/>
  <c r="CX24" i="27"/>
  <c r="DC73" i="27"/>
  <c r="DF73" i="27" s="1"/>
  <c r="DC28" i="27"/>
  <c r="DC114" i="27"/>
  <c r="DF114" i="27" s="1"/>
  <c r="DE101" i="27"/>
  <c r="DC122" i="27"/>
  <c r="DE122" i="27" s="1"/>
  <c r="DC108" i="27"/>
  <c r="DE108" i="27" s="1"/>
  <c r="DC36" i="27"/>
  <c r="DF36" i="27" s="1"/>
  <c r="DC43" i="27"/>
  <c r="DF43" i="27" s="1"/>
  <c r="DC66" i="27"/>
  <c r="DG66" i="27" s="1"/>
  <c r="DC23" i="27"/>
  <c r="DF23" i="27" s="1"/>
  <c r="DC113" i="27"/>
  <c r="DE113" i="27" s="1"/>
  <c r="DC56" i="27"/>
  <c r="DF56" i="27" s="1"/>
  <c r="DC132" i="27"/>
  <c r="DE132" i="27" s="1"/>
  <c r="DC121" i="27"/>
  <c r="DC102" i="27"/>
  <c r="DE102" i="27" s="1"/>
  <c r="DC106" i="27"/>
  <c r="DG106" i="27" s="1"/>
  <c r="DC26" i="27"/>
  <c r="DF26" i="27" s="1"/>
  <c r="DE96" i="27"/>
  <c r="DC46" i="27"/>
  <c r="DG46" i="27" s="1"/>
  <c r="DC39" i="27"/>
  <c r="DF39" i="27" s="1"/>
  <c r="DE34" i="27"/>
  <c r="DH34" i="27" s="1"/>
  <c r="DC138" i="27"/>
  <c r="DE138" i="27" s="1"/>
  <c r="DE137" i="27"/>
  <c r="DC29" i="27"/>
  <c r="DG29" i="27" s="1"/>
  <c r="DC127" i="27"/>
  <c r="DG127" i="27" s="1"/>
  <c r="DC10" i="27"/>
  <c r="DF10" i="27" s="1"/>
  <c r="DC135" i="27"/>
  <c r="DF135" i="27" s="1"/>
  <c r="DC41" i="27"/>
  <c r="DE41" i="27" s="1"/>
  <c r="DC136" i="27"/>
  <c r="DE136" i="27" s="1"/>
  <c r="DC116" i="27"/>
  <c r="DG116" i="27" s="1"/>
  <c r="DC20" i="27"/>
  <c r="DF20" i="27" s="1"/>
  <c r="DC37" i="27"/>
  <c r="DF37" i="27" s="1"/>
  <c r="DF53" i="27"/>
  <c r="DE53" i="27"/>
  <c r="DC15" i="27"/>
  <c r="DE15" i="27" s="1"/>
  <c r="DC78" i="27"/>
  <c r="DE78" i="27" s="1"/>
  <c r="DC95" i="27"/>
  <c r="DF95" i="27" s="1"/>
  <c r="DC118" i="27"/>
  <c r="DF118" i="27" s="1"/>
  <c r="DC87" i="27"/>
  <c r="DE87" i="27" s="1"/>
  <c r="DC48" i="27"/>
  <c r="DE48" i="27" s="1"/>
  <c r="DC38" i="27"/>
  <c r="DG38" i="27" s="1"/>
  <c r="DF40" i="27"/>
  <c r="DC62" i="27"/>
  <c r="DE62" i="27" s="1"/>
  <c r="DE125" i="27"/>
  <c r="DH125" i="27" s="1"/>
  <c r="DC13" i="27"/>
  <c r="DE13" i="27" s="1"/>
  <c r="DC6" i="27"/>
  <c r="DE6" i="27" s="1"/>
  <c r="DC133" i="27"/>
  <c r="DF133" i="27" s="1"/>
  <c r="DC83" i="27"/>
  <c r="DF83" i="27" s="1"/>
  <c r="DC22" i="27"/>
  <c r="DG22" i="27" s="1"/>
  <c r="DC91" i="27"/>
  <c r="DF91" i="27" s="1"/>
  <c r="DC71" i="27"/>
  <c r="DE71" i="27" s="1"/>
  <c r="DC7" i="27"/>
  <c r="DG7" i="27" s="1"/>
  <c r="DC25" i="27"/>
  <c r="DC64" i="27"/>
  <c r="DC90" i="27"/>
  <c r="DE90" i="27" s="1"/>
  <c r="DE76" i="27"/>
  <c r="DH76" i="27" s="1"/>
  <c r="DC131" i="27"/>
  <c r="DF131" i="27" s="1"/>
  <c r="DG40" i="27"/>
  <c r="DC72" i="27"/>
  <c r="DE72" i="27" s="1"/>
  <c r="DC68" i="27"/>
  <c r="DE68" i="27" s="1"/>
  <c r="DC80" i="27"/>
  <c r="DF80" i="27" s="1"/>
  <c r="DC97" i="27"/>
  <c r="DF97" i="27" s="1"/>
  <c r="DC58" i="27"/>
  <c r="DF58" i="27" s="1"/>
  <c r="DC103" i="27"/>
  <c r="DE103" i="27" s="1"/>
  <c r="DC77" i="27"/>
  <c r="DG77" i="27" s="1"/>
  <c r="DC35" i="27"/>
  <c r="DF35" i="27" s="1"/>
  <c r="DC104" i="27"/>
  <c r="DE104" i="27" s="1"/>
  <c r="DC60" i="27"/>
  <c r="DF60" i="27" s="1"/>
  <c r="DC49" i="27"/>
  <c r="DE49" i="27" s="1"/>
  <c r="DC52" i="27"/>
  <c r="DF52" i="27" s="1"/>
  <c r="DF61" i="27"/>
  <c r="DE114" i="27"/>
  <c r="DF126" i="27"/>
  <c r="DE100" i="27"/>
  <c r="DE86" i="27"/>
  <c r="DF86" i="27"/>
  <c r="DF63" i="27"/>
  <c r="DE63" i="27"/>
  <c r="DG63" i="27"/>
  <c r="DE47" i="27"/>
  <c r="DF47" i="27"/>
  <c r="DF120" i="27"/>
  <c r="DE120" i="27"/>
  <c r="DG120" i="27"/>
  <c r="DE82" i="27"/>
  <c r="DF82" i="27"/>
  <c r="DE110" i="27"/>
  <c r="DF110" i="27"/>
  <c r="DE92" i="27"/>
  <c r="DF92" i="27"/>
  <c r="DF66" i="27"/>
  <c r="DF111" i="27"/>
  <c r="DE111" i="27"/>
  <c r="DF99" i="27"/>
  <c r="DE99" i="27"/>
  <c r="DF117" i="27"/>
  <c r="DF69" i="27"/>
  <c r="DE69" i="27"/>
  <c r="DG69" i="27"/>
  <c r="DC130" i="27"/>
  <c r="DE89" i="27"/>
  <c r="DF89" i="27"/>
  <c r="DF31" i="27"/>
  <c r="DE31" i="27"/>
  <c r="DF138" i="27"/>
  <c r="DG138" i="27"/>
  <c r="DE115" i="27"/>
  <c r="DF115" i="27"/>
  <c r="DF129" i="27"/>
  <c r="DE129" i="27"/>
  <c r="DF30" i="27"/>
  <c r="DE30" i="27"/>
  <c r="DG30" i="27"/>
  <c r="DE88" i="27"/>
  <c r="DF88" i="27"/>
  <c r="DF44" i="27"/>
  <c r="DE44" i="27"/>
  <c r="DE12" i="27"/>
  <c r="DF12" i="27"/>
  <c r="DE33" i="27"/>
  <c r="DF33" i="27"/>
  <c r="DF123" i="27"/>
  <c r="DE123" i="27"/>
  <c r="DF93" i="27"/>
  <c r="DE93" i="27"/>
  <c r="DF67" i="27"/>
  <c r="DE67" i="27"/>
  <c r="DG67" i="27"/>
  <c r="DF116" i="27"/>
  <c r="DE116" i="27"/>
  <c r="DE124" i="27"/>
  <c r="DF124" i="27"/>
  <c r="DF65" i="27"/>
  <c r="DF74" i="27"/>
  <c r="DE74" i="27"/>
  <c r="DE119" i="27"/>
  <c r="DG122" i="27"/>
  <c r="DF107" i="27"/>
  <c r="DE107" i="27"/>
  <c r="DE59" i="27"/>
  <c r="DF59" i="27"/>
  <c r="DF32" i="27"/>
  <c r="DE32" i="27"/>
  <c r="DG32" i="27"/>
  <c r="DF75" i="27"/>
  <c r="DE75" i="27"/>
  <c r="DC16" i="27"/>
  <c r="DC8" i="27"/>
  <c r="DF57" i="27"/>
  <c r="DE57" i="27"/>
  <c r="DE50" i="27"/>
  <c r="DF50" i="27"/>
  <c r="DE134" i="27"/>
  <c r="DF134" i="27"/>
  <c r="DE70" i="27"/>
  <c r="DF70" i="27"/>
  <c r="DG70" i="27"/>
  <c r="DF121" i="27"/>
  <c r="DE121" i="27"/>
  <c r="DE83" i="27"/>
  <c r="DG39" i="27"/>
  <c r="DF15" i="27"/>
  <c r="DF42" i="27"/>
  <c r="DE42" i="27"/>
  <c r="DG42" i="27"/>
  <c r="DF17" i="27"/>
  <c r="DE17" i="27"/>
  <c r="DE54" i="27"/>
  <c r="DF54" i="27"/>
  <c r="DE10" i="27"/>
  <c r="DG10" i="27"/>
  <c r="DE9" i="27"/>
  <c r="DF9" i="27"/>
  <c r="DG9" i="27"/>
  <c r="DG84" i="27"/>
  <c r="DE84" i="27"/>
  <c r="DF84" i="27"/>
  <c r="DF85" i="27"/>
  <c r="DG85" i="27"/>
  <c r="DC14" i="27"/>
  <c r="DF105" i="27"/>
  <c r="DE105" i="27"/>
  <c r="DG105" i="27"/>
  <c r="DE27" i="27"/>
  <c r="DF27" i="27"/>
  <c r="DE128" i="27"/>
  <c r="DF128" i="27"/>
  <c r="DE43" i="27"/>
  <c r="DF55" i="27"/>
  <c r="DE55" i="27"/>
  <c r="DE109" i="27"/>
  <c r="DF109" i="27"/>
  <c r="DG109" i="27"/>
  <c r="DF81" i="27"/>
  <c r="DE81" i="27"/>
  <c r="DE45" i="27"/>
  <c r="DF45" i="27"/>
  <c r="DF11" i="27"/>
  <c r="DE11" i="27"/>
  <c r="DG11" i="27"/>
  <c r="DE112" i="27"/>
  <c r="DE98" i="27"/>
  <c r="DE94" i="27"/>
  <c r="DF94" i="27"/>
  <c r="DF68" i="27"/>
  <c r="AA4" i="19" l="1"/>
  <c r="AA89" i="19"/>
  <c r="Z79" i="18"/>
  <c r="Z109" i="18"/>
  <c r="T85" i="18"/>
  <c r="W85" i="18" s="1"/>
  <c r="T125" i="18"/>
  <c r="W125" i="18" s="1"/>
  <c r="T106" i="18"/>
  <c r="W106" i="18" s="1"/>
  <c r="T104" i="18"/>
  <c r="W104" i="18" s="1"/>
  <c r="T46" i="18"/>
  <c r="W46" i="18" s="1"/>
  <c r="T40" i="18"/>
  <c r="W40" i="18" s="1"/>
  <c r="T100" i="18"/>
  <c r="W100" i="18" s="1"/>
  <c r="T33" i="18"/>
  <c r="W33" i="18" s="1"/>
  <c r="T12" i="18"/>
  <c r="W12" i="18" s="1"/>
  <c r="T34" i="18"/>
  <c r="W34" i="18" s="1"/>
  <c r="T75" i="18"/>
  <c r="W75" i="18" s="1"/>
  <c r="T133" i="18"/>
  <c r="W133" i="18" s="1"/>
  <c r="T81" i="18"/>
  <c r="W81" i="18" s="1"/>
  <c r="T32" i="18"/>
  <c r="W32" i="18" s="1"/>
  <c r="T82" i="18"/>
  <c r="W82" i="18" s="1"/>
  <c r="T66" i="18"/>
  <c r="W66" i="18" s="1"/>
  <c r="T45" i="18"/>
  <c r="W45" i="18" s="1"/>
  <c r="T5" i="18"/>
  <c r="W5" i="18" s="1"/>
  <c r="T23" i="18"/>
  <c r="W23" i="18" s="1"/>
  <c r="T29" i="18"/>
  <c r="W29" i="18" s="1"/>
  <c r="T47" i="18"/>
  <c r="W47" i="18" s="1"/>
  <c r="T67" i="18"/>
  <c r="W67" i="18" s="1"/>
  <c r="T116" i="18"/>
  <c r="W116" i="18" s="1"/>
  <c r="T76" i="18"/>
  <c r="W76" i="18" s="1"/>
  <c r="T20" i="18"/>
  <c r="W20" i="18" s="1"/>
  <c r="T132" i="18"/>
  <c r="W132" i="18" s="1"/>
  <c r="T14" i="18"/>
  <c r="W14" i="18" s="1"/>
  <c r="T25" i="18"/>
  <c r="W25" i="18" s="1"/>
  <c r="T98" i="18"/>
  <c r="W98" i="18" s="1"/>
  <c r="T58" i="18"/>
  <c r="W58" i="18" s="1"/>
  <c r="T119" i="18"/>
  <c r="W119" i="18" s="1"/>
  <c r="T30" i="18"/>
  <c r="W30" i="18" s="1"/>
  <c r="T38" i="18"/>
  <c r="W38" i="18" s="1"/>
  <c r="T114" i="18"/>
  <c r="W114" i="18" s="1"/>
  <c r="T96" i="18"/>
  <c r="W96" i="18" s="1"/>
  <c r="T70" i="18"/>
  <c r="W70" i="18" s="1"/>
  <c r="T18" i="18"/>
  <c r="W18" i="18" s="1"/>
  <c r="T69" i="18"/>
  <c r="W69" i="18" s="1"/>
  <c r="T16" i="18"/>
  <c r="W16" i="18" s="1"/>
  <c r="T124" i="18"/>
  <c r="W124" i="18" s="1"/>
  <c r="T26" i="18"/>
  <c r="W26" i="18" s="1"/>
  <c r="T62" i="18"/>
  <c r="W62" i="18" s="1"/>
  <c r="T28" i="18"/>
  <c r="W28" i="18" s="1"/>
  <c r="T112" i="18"/>
  <c r="W112" i="18" s="1"/>
  <c r="T31" i="18"/>
  <c r="W31" i="18" s="1"/>
  <c r="T21" i="18"/>
  <c r="W21" i="18" s="1"/>
  <c r="T123" i="18"/>
  <c r="W123" i="18" s="1"/>
  <c r="T27" i="12"/>
  <c r="W27" i="12" s="1"/>
  <c r="T10" i="12"/>
  <c r="W10" i="12" s="1"/>
  <c r="T83" i="18"/>
  <c r="W83" i="18" s="1"/>
  <c r="T39" i="18"/>
  <c r="W39" i="18" s="1"/>
  <c r="T121" i="18"/>
  <c r="W121" i="18" s="1"/>
  <c r="T60" i="18"/>
  <c r="W60" i="18" s="1"/>
  <c r="T56" i="18"/>
  <c r="W56" i="18" s="1"/>
  <c r="T48" i="18"/>
  <c r="W48" i="18" s="1"/>
  <c r="T86" i="18"/>
  <c r="W86" i="18" s="1"/>
  <c r="T4" i="18"/>
  <c r="W4" i="18" s="1"/>
  <c r="T87" i="18"/>
  <c r="W87" i="18" s="1"/>
  <c r="T8" i="18"/>
  <c r="W8" i="18" s="1"/>
  <c r="T138" i="18"/>
  <c r="W138" i="18" s="1"/>
  <c r="T126" i="18"/>
  <c r="W126" i="18" s="1"/>
  <c r="T105" i="18"/>
  <c r="W105" i="18" s="1"/>
  <c r="T54" i="18"/>
  <c r="W54" i="18" s="1"/>
  <c r="T7" i="18"/>
  <c r="W7" i="18" s="1"/>
  <c r="T120" i="18"/>
  <c r="W120" i="18" s="1"/>
  <c r="T74" i="18"/>
  <c r="W74" i="18" s="1"/>
  <c r="Y74" i="18" s="1"/>
  <c r="T71" i="18"/>
  <c r="W71" i="18" s="1"/>
  <c r="T73" i="18"/>
  <c r="W73" i="18" s="1"/>
  <c r="T130" i="18"/>
  <c r="W130" i="18" s="1"/>
  <c r="T63" i="18"/>
  <c r="W63" i="18" s="1"/>
  <c r="T115" i="18"/>
  <c r="W115" i="18" s="1"/>
  <c r="T101" i="18"/>
  <c r="W101" i="18" s="1"/>
  <c r="T110" i="18"/>
  <c r="W110" i="18" s="1"/>
  <c r="T137" i="18"/>
  <c r="W137" i="18" s="1"/>
  <c r="T24" i="18"/>
  <c r="W24" i="18" s="1"/>
  <c r="T88" i="18"/>
  <c r="W88" i="18" s="1"/>
  <c r="T89" i="18"/>
  <c r="W89" i="18" s="1"/>
  <c r="T84" i="18"/>
  <c r="W84" i="18" s="1"/>
  <c r="T134" i="18"/>
  <c r="W134" i="18" s="1"/>
  <c r="T128" i="18"/>
  <c r="W128" i="18" s="1"/>
  <c r="T13" i="18"/>
  <c r="W13" i="18" s="1"/>
  <c r="T41" i="18"/>
  <c r="W41" i="18" s="1"/>
  <c r="T64" i="18"/>
  <c r="W64" i="18" s="1"/>
  <c r="T108" i="18"/>
  <c r="W108" i="18" s="1"/>
  <c r="T17" i="18"/>
  <c r="W17" i="18" s="1"/>
  <c r="T117" i="18"/>
  <c r="W117" i="18" s="1"/>
  <c r="T35" i="18"/>
  <c r="W35" i="18" s="1"/>
  <c r="T36" i="18"/>
  <c r="W36" i="18" s="1"/>
  <c r="T131" i="18"/>
  <c r="W131" i="18" s="1"/>
  <c r="T111" i="18"/>
  <c r="W111" i="18" s="1"/>
  <c r="T136" i="18"/>
  <c r="W136" i="18" s="1"/>
  <c r="T19" i="18"/>
  <c r="W19" i="18" s="1"/>
  <c r="T37" i="18"/>
  <c r="W37" i="18" s="1"/>
  <c r="DE73" i="27"/>
  <c r="DH73" i="27" s="1"/>
  <c r="DF102" i="27"/>
  <c r="DE19" i="27"/>
  <c r="DH19" i="27" s="1"/>
  <c r="DE20" i="27"/>
  <c r="DH20" i="27" s="1"/>
  <c r="DE127" i="27"/>
  <c r="DE79" i="27"/>
  <c r="DF7" i="27"/>
  <c r="DF13" i="27"/>
  <c r="DE66" i="27"/>
  <c r="DF137" i="27"/>
  <c r="DG137" i="27"/>
  <c r="DG140" i="27"/>
  <c r="DF127" i="27"/>
  <c r="DE21" i="27"/>
  <c r="DH21" i="27" s="1"/>
  <c r="DF90" i="27"/>
  <c r="DF122" i="27"/>
  <c r="DE95" i="27"/>
  <c r="DH95" i="27" s="1"/>
  <c r="DE35" i="27"/>
  <c r="DG95" i="27"/>
  <c r="DE18" i="27"/>
  <c r="DH18" i="27" s="1"/>
  <c r="DF140" i="27"/>
  <c r="DF132" i="27"/>
  <c r="DH132" i="27" s="1"/>
  <c r="DE58" i="27"/>
  <c r="DE36" i="27"/>
  <c r="DH36" i="27" s="1"/>
  <c r="DE24" i="27"/>
  <c r="DH24" i="27" s="1"/>
  <c r="S22" i="12" s="1"/>
  <c r="DF51" i="27"/>
  <c r="DE51" i="27"/>
  <c r="DG43" i="27"/>
  <c r="DE39" i="27"/>
  <c r="DH39" i="27" s="1"/>
  <c r="DF106" i="27"/>
  <c r="DE139" i="27"/>
  <c r="DH139" i="27" s="1"/>
  <c r="DF98" i="27"/>
  <c r="DH98" i="27" s="1"/>
  <c r="DE118" i="27"/>
  <c r="DH118" i="27" s="1"/>
  <c r="DF87" i="27"/>
  <c r="DH87" i="27" s="1"/>
  <c r="DF6" i="27"/>
  <c r="DH6" i="27" s="1"/>
  <c r="DE60" i="27"/>
  <c r="DH60" i="27" s="1"/>
  <c r="Z42" i="18"/>
  <c r="Z113" i="18"/>
  <c r="Z52" i="18"/>
  <c r="Z94" i="18"/>
  <c r="Z68" i="18"/>
  <c r="Z57" i="18"/>
  <c r="Z65" i="18"/>
  <c r="Z43" i="18"/>
  <c r="DE56" i="27"/>
  <c r="DE106" i="27"/>
  <c r="DH106" i="27" s="1"/>
  <c r="DF48" i="27"/>
  <c r="DG52" i="27"/>
  <c r="S74" i="12"/>
  <c r="S74" i="18"/>
  <c r="DH40" i="27"/>
  <c r="Q22" i="12"/>
  <c r="Q22" i="18"/>
  <c r="X22" i="18"/>
  <c r="X22" i="12"/>
  <c r="Z6" i="18"/>
  <c r="DE126" i="27"/>
  <c r="DH126" i="27" s="1"/>
  <c r="S32" i="12"/>
  <c r="S32" i="18"/>
  <c r="X27" i="18"/>
  <c r="X27" i="12"/>
  <c r="Q27" i="18"/>
  <c r="S123" i="12"/>
  <c r="S123" i="18"/>
  <c r="Q77" i="12"/>
  <c r="X77" i="18"/>
  <c r="Q77" i="18"/>
  <c r="X77" i="12"/>
  <c r="Z59" i="18"/>
  <c r="DE7" i="27"/>
  <c r="DH7" i="27" s="1"/>
  <c r="DF136" i="27"/>
  <c r="DH136" i="27" s="1"/>
  <c r="DG35" i="27"/>
  <c r="DE26" i="27"/>
  <c r="DH26" i="27" s="1"/>
  <c r="DG56" i="27"/>
  <c r="DF108" i="27"/>
  <c r="DH108" i="27" s="1"/>
  <c r="DG97" i="27"/>
  <c r="DF113" i="27"/>
  <c r="DH113" i="27" s="1"/>
  <c r="DE97" i="27"/>
  <c r="DH79" i="27"/>
  <c r="DF28" i="27"/>
  <c r="DE28" i="27"/>
  <c r="DE38" i="27"/>
  <c r="DF71" i="27"/>
  <c r="DG78" i="27"/>
  <c r="DG23" i="27"/>
  <c r="DE23" i="27"/>
  <c r="DG135" i="27"/>
  <c r="DG68" i="27"/>
  <c r="DH68" i="27" s="1"/>
  <c r="DE91" i="27"/>
  <c r="DH91" i="27" s="1"/>
  <c r="DF103" i="27"/>
  <c r="DH103" i="27" s="1"/>
  <c r="DE22" i="27"/>
  <c r="DF41" i="27"/>
  <c r="DH41" i="27" s="1"/>
  <c r="DF46" i="27"/>
  <c r="DE46" i="27"/>
  <c r="DE135" i="27"/>
  <c r="DH135" i="27" s="1"/>
  <c r="DF38" i="27"/>
  <c r="DH38" i="27" s="1"/>
  <c r="DF22" i="27"/>
  <c r="DF78" i="27"/>
  <c r="DE37" i="27"/>
  <c r="DH37" i="27" s="1"/>
  <c r="DH53" i="27"/>
  <c r="DF104" i="27"/>
  <c r="DH104" i="27" s="1"/>
  <c r="DE29" i="27"/>
  <c r="DF29" i="27"/>
  <c r="DE77" i="27"/>
  <c r="DE52" i="27"/>
  <c r="DE80" i="27"/>
  <c r="DH80" i="27" s="1"/>
  <c r="DG71" i="27"/>
  <c r="DF77" i="27"/>
  <c r="DE131" i="27"/>
  <c r="DH131" i="27" s="1"/>
  <c r="DE133" i="27"/>
  <c r="DH133" i="27" s="1"/>
  <c r="DF62" i="27"/>
  <c r="DH62" i="27" s="1"/>
  <c r="DH92" i="27"/>
  <c r="DH120" i="27"/>
  <c r="DH86" i="27"/>
  <c r="DH17" i="27"/>
  <c r="DH121" i="27"/>
  <c r="DH112" i="27"/>
  <c r="DF64" i="27"/>
  <c r="DE64" i="27"/>
  <c r="DH119" i="27"/>
  <c r="DF72" i="27"/>
  <c r="DH72" i="27" s="1"/>
  <c r="DH65" i="27"/>
  <c r="DH124" i="27"/>
  <c r="DH33" i="27"/>
  <c r="DH88" i="27"/>
  <c r="DH13" i="27"/>
  <c r="DF49" i="27"/>
  <c r="DH49" i="27" s="1"/>
  <c r="DH117" i="27"/>
  <c r="DH90" i="27"/>
  <c r="DG25" i="27"/>
  <c r="DE25" i="27"/>
  <c r="DF25" i="27"/>
  <c r="DH75" i="27"/>
  <c r="DH55" i="27"/>
  <c r="DH57" i="27"/>
  <c r="DH123" i="27"/>
  <c r="DH31" i="27"/>
  <c r="DH100" i="27"/>
  <c r="DH48" i="27"/>
  <c r="DH128" i="27"/>
  <c r="DH83" i="27"/>
  <c r="DH50" i="27"/>
  <c r="DH89" i="27"/>
  <c r="DH47" i="27"/>
  <c r="DH138" i="27"/>
  <c r="DH11" i="27"/>
  <c r="DH42" i="27"/>
  <c r="DH32" i="27"/>
  <c r="DH107" i="27"/>
  <c r="DH93" i="27"/>
  <c r="DH140" i="27"/>
  <c r="DH127" i="27"/>
  <c r="DH94" i="27"/>
  <c r="DH43" i="27"/>
  <c r="DH27" i="27"/>
  <c r="DH84" i="27"/>
  <c r="DH9" i="27"/>
  <c r="DH122" i="27"/>
  <c r="DH63" i="27"/>
  <c r="DH58" i="27"/>
  <c r="DH105" i="27"/>
  <c r="DH85" i="27"/>
  <c r="DH10" i="27"/>
  <c r="DH15" i="27"/>
  <c r="DH134" i="27"/>
  <c r="DH102" i="27"/>
  <c r="DH116" i="27"/>
  <c r="DH12" i="27"/>
  <c r="DH30" i="27"/>
  <c r="DH129" i="27"/>
  <c r="DH69" i="27"/>
  <c r="DH66" i="27"/>
  <c r="DH110" i="27"/>
  <c r="DH82" i="27"/>
  <c r="DH114" i="27"/>
  <c r="DF16" i="27"/>
  <c r="DE16" i="27"/>
  <c r="DF8" i="27"/>
  <c r="DE8" i="27"/>
  <c r="DG8" i="27"/>
  <c r="DE14" i="27"/>
  <c r="DF14" i="27"/>
  <c r="DF130" i="27"/>
  <c r="DE130" i="27"/>
  <c r="DG130" i="27"/>
  <c r="Y123" i="18" l="1"/>
  <c r="T22" i="12"/>
  <c r="W22" i="12" s="1"/>
  <c r="T77" i="18"/>
  <c r="W77" i="18" s="1"/>
  <c r="T27" i="18"/>
  <c r="W27" i="18" s="1"/>
  <c r="T77" i="12"/>
  <c r="W77" i="12" s="1"/>
  <c r="T22" i="18"/>
  <c r="W22" i="18" s="1"/>
  <c r="Y22" i="18" s="1"/>
  <c r="DH137" i="27"/>
  <c r="DH77" i="27"/>
  <c r="S135" i="18"/>
  <c r="S135" i="12"/>
  <c r="S22" i="18"/>
  <c r="DH35" i="27"/>
  <c r="S33" i="18" s="1"/>
  <c r="Y33" i="18" s="1"/>
  <c r="DH56" i="27"/>
  <c r="S54" i="12" s="1"/>
  <c r="DH51" i="27"/>
  <c r="DH52" i="27"/>
  <c r="S50" i="18" s="1"/>
  <c r="DH71" i="27"/>
  <c r="S69" i="12" s="1"/>
  <c r="DH97" i="27"/>
  <c r="S95" i="12" s="1"/>
  <c r="S54" i="18"/>
  <c r="Y54" i="18" s="1"/>
  <c r="S5" i="12"/>
  <c r="S5" i="18"/>
  <c r="S64" i="12"/>
  <c r="S64" i="18"/>
  <c r="S8" i="12"/>
  <c r="S8" i="18"/>
  <c r="Y8" i="18" s="1"/>
  <c r="S82" i="12"/>
  <c r="S82" i="18"/>
  <c r="Y82" i="18" s="1"/>
  <c r="S105" i="12"/>
  <c r="S105" i="18"/>
  <c r="Y105" i="18" s="1"/>
  <c r="S16" i="12"/>
  <c r="S16" i="18"/>
  <c r="Y16" i="18" s="1"/>
  <c r="S53" i="12"/>
  <c r="S53" i="18"/>
  <c r="S19" i="12"/>
  <c r="S19" i="18"/>
  <c r="Y19" i="18" s="1"/>
  <c r="S33" i="12"/>
  <c r="S127" i="12"/>
  <c r="S127" i="18"/>
  <c r="Y127" i="18" s="1"/>
  <c r="S10" i="12"/>
  <c r="S10" i="18"/>
  <c r="Y10" i="18" s="1"/>
  <c r="S83" i="12"/>
  <c r="S83" i="18"/>
  <c r="Y83" i="18" s="1"/>
  <c r="S56" i="12"/>
  <c r="S56" i="18"/>
  <c r="S41" i="12"/>
  <c r="S41" i="18"/>
  <c r="Y41" i="18" s="1"/>
  <c r="S125" i="12"/>
  <c r="S125" i="18"/>
  <c r="Y125" i="18" s="1"/>
  <c r="S40" i="12"/>
  <c r="S40" i="18"/>
  <c r="Y40" i="18" s="1"/>
  <c r="S126" i="12"/>
  <c r="S126" i="18"/>
  <c r="Y126" i="18" s="1"/>
  <c r="S11" i="12"/>
  <c r="S11" i="18"/>
  <c r="S112" i="12"/>
  <c r="S112" i="18"/>
  <c r="Y112" i="18" s="1"/>
  <c r="S108" i="12"/>
  <c r="S108" i="18"/>
  <c r="Y108" i="18" s="1"/>
  <c r="S114" i="12"/>
  <c r="S114" i="18"/>
  <c r="Y114" i="18" s="1"/>
  <c r="S13" i="12"/>
  <c r="S13" i="18"/>
  <c r="Y13" i="18" s="1"/>
  <c r="S103" i="12"/>
  <c r="S103" i="18"/>
  <c r="S61" i="12"/>
  <c r="S61" i="18"/>
  <c r="S7" i="12"/>
  <c r="S7" i="18"/>
  <c r="Y7" i="18" s="1"/>
  <c r="S92" i="12"/>
  <c r="S92" i="18"/>
  <c r="S85" i="12"/>
  <c r="S85" i="18"/>
  <c r="Y85" i="18" s="1"/>
  <c r="S9" i="12"/>
  <c r="S9" i="18"/>
  <c r="S48" i="12"/>
  <c r="S48" i="18"/>
  <c r="Y48" i="18" s="1"/>
  <c r="S46" i="12"/>
  <c r="S46" i="18"/>
  <c r="Y46" i="18" s="1"/>
  <c r="S121" i="12"/>
  <c r="S121" i="18"/>
  <c r="Y121" i="18" s="1"/>
  <c r="S55" i="12"/>
  <c r="S55" i="18"/>
  <c r="Y55" i="18" s="1"/>
  <c r="S115" i="12"/>
  <c r="S115" i="18"/>
  <c r="Y115" i="18" s="1"/>
  <c r="S86" i="12"/>
  <c r="S86" i="18"/>
  <c r="Y86" i="18" s="1"/>
  <c r="S63" i="12"/>
  <c r="S63" i="18"/>
  <c r="Y63" i="18" s="1"/>
  <c r="S116" i="12"/>
  <c r="S116" i="18"/>
  <c r="Y116" i="18" s="1"/>
  <c r="S15" i="12"/>
  <c r="S15" i="18"/>
  <c r="Y15" i="18" s="1"/>
  <c r="S84" i="12"/>
  <c r="S84" i="18"/>
  <c r="Y84" i="18" s="1"/>
  <c r="S131" i="12"/>
  <c r="S131" i="18"/>
  <c r="Y131" i="18" s="1"/>
  <c r="S78" i="12"/>
  <c r="S78" i="18"/>
  <c r="S101" i="12"/>
  <c r="S101" i="18"/>
  <c r="S130" i="12"/>
  <c r="S130" i="18"/>
  <c r="Y130" i="18" s="1"/>
  <c r="Y32" i="18"/>
  <c r="S34" i="12"/>
  <c r="S34" i="18"/>
  <c r="Y34" i="18" s="1"/>
  <c r="S136" i="12"/>
  <c r="S136" i="18"/>
  <c r="Y136" i="18" s="1"/>
  <c r="S104" i="12"/>
  <c r="S104" i="18"/>
  <c r="Y104" i="18" s="1"/>
  <c r="S36" i="12"/>
  <c r="S36" i="18"/>
  <c r="Y36" i="18" s="1"/>
  <c r="S102" i="12"/>
  <c r="S102" i="18"/>
  <c r="S28" i="12"/>
  <c r="S28" i="18"/>
  <c r="Y28" i="18" s="1"/>
  <c r="S89" i="12"/>
  <c r="S89" i="18"/>
  <c r="Y89" i="18" s="1"/>
  <c r="S81" i="12"/>
  <c r="S81" i="18"/>
  <c r="Y81" i="18" s="1"/>
  <c r="S133" i="12"/>
  <c r="S133" i="18"/>
  <c r="Y133" i="18" s="1"/>
  <c r="S118" i="12"/>
  <c r="S118" i="18"/>
  <c r="S75" i="12"/>
  <c r="S75" i="18"/>
  <c r="Y75" i="18" s="1"/>
  <c r="S67" i="12"/>
  <c r="S67" i="18"/>
  <c r="Y67" i="18" s="1"/>
  <c r="S17" i="12"/>
  <c r="S17" i="18"/>
  <c r="Y17" i="18" s="1"/>
  <c r="S35" i="12"/>
  <c r="S35" i="18"/>
  <c r="Y35" i="18" s="1"/>
  <c r="S96" i="12"/>
  <c r="S96" i="18"/>
  <c r="Y96" i="18" s="1"/>
  <c r="S58" i="12"/>
  <c r="S58" i="18"/>
  <c r="Y58" i="18" s="1"/>
  <c r="S25" i="12"/>
  <c r="S25" i="18"/>
  <c r="Y25" i="18" s="1"/>
  <c r="S18" i="12"/>
  <c r="S18" i="18"/>
  <c r="Y18" i="18" s="1"/>
  <c r="S91" i="12"/>
  <c r="S91" i="18"/>
  <c r="Y91" i="18" s="1"/>
  <c r="S30" i="12"/>
  <c r="S30" i="18"/>
  <c r="Y30" i="18" s="1"/>
  <c r="S45" i="12"/>
  <c r="S45" i="18"/>
  <c r="Y45" i="18" s="1"/>
  <c r="S111" i="12"/>
  <c r="S111" i="18"/>
  <c r="Y111" i="18" s="1"/>
  <c r="S137" i="12"/>
  <c r="S137" i="18"/>
  <c r="Y137" i="18" s="1"/>
  <c r="S93" i="12"/>
  <c r="S93" i="18"/>
  <c r="S73" i="12"/>
  <c r="S73" i="18"/>
  <c r="Y73" i="18" s="1"/>
  <c r="S47" i="12"/>
  <c r="S47" i="18"/>
  <c r="Y47" i="18" s="1"/>
  <c r="S31" i="12"/>
  <c r="S31" i="18"/>
  <c r="Y31" i="18" s="1"/>
  <c r="S117" i="12"/>
  <c r="S117" i="18"/>
  <c r="Y117" i="18" s="1"/>
  <c r="S110" i="12"/>
  <c r="S110" i="18"/>
  <c r="Y110" i="18" s="1"/>
  <c r="S119" i="12"/>
  <c r="S119" i="18"/>
  <c r="Y119" i="18" s="1"/>
  <c r="S106" i="12"/>
  <c r="S106" i="18"/>
  <c r="Y106" i="18" s="1"/>
  <c r="S90" i="12"/>
  <c r="S90" i="18"/>
  <c r="S51" i="12"/>
  <c r="S51" i="18"/>
  <c r="S66" i="12"/>
  <c r="S66" i="18"/>
  <c r="Y66" i="18" s="1"/>
  <c r="S124" i="12"/>
  <c r="S124" i="18"/>
  <c r="S100" i="12"/>
  <c r="S100" i="18"/>
  <c r="Y100" i="18" s="1"/>
  <c r="S39" i="12"/>
  <c r="S39" i="18"/>
  <c r="Y39" i="18" s="1"/>
  <c r="S98" i="12"/>
  <c r="S98" i="18"/>
  <c r="Y98" i="18" s="1"/>
  <c r="S70" i="12"/>
  <c r="S70" i="18"/>
  <c r="S129" i="12"/>
  <c r="S129" i="18"/>
  <c r="S80" i="12"/>
  <c r="S80" i="18"/>
  <c r="S132" i="12"/>
  <c r="S132" i="18"/>
  <c r="Y132" i="18" s="1"/>
  <c r="S120" i="12"/>
  <c r="S120" i="18"/>
  <c r="Y120" i="18" s="1"/>
  <c r="S24" i="12"/>
  <c r="S24" i="18"/>
  <c r="Y24" i="18" s="1"/>
  <c r="S87" i="12"/>
  <c r="S87" i="18"/>
  <c r="Y87" i="18" s="1"/>
  <c r="S29" i="12"/>
  <c r="S29" i="18"/>
  <c r="Y29" i="18" s="1"/>
  <c r="S4" i="12"/>
  <c r="S4" i="18"/>
  <c r="S88" i="12"/>
  <c r="S88" i="18"/>
  <c r="Y88" i="18" s="1"/>
  <c r="S122" i="12"/>
  <c r="S122" i="18"/>
  <c r="Y122" i="18" s="1"/>
  <c r="S71" i="12"/>
  <c r="S71" i="18"/>
  <c r="Y71" i="18" s="1"/>
  <c r="S37" i="12"/>
  <c r="S37" i="18"/>
  <c r="Y37" i="18" s="1"/>
  <c r="S134" i="12"/>
  <c r="S134" i="18"/>
  <c r="S60" i="12"/>
  <c r="S60" i="18"/>
  <c r="Y60" i="18" s="1"/>
  <c r="S77" i="12"/>
  <c r="S77" i="18"/>
  <c r="Y135" i="18"/>
  <c r="S38" i="12"/>
  <c r="S38" i="18"/>
  <c r="S138" i="12"/>
  <c r="S138" i="18"/>
  <c r="DH23" i="27"/>
  <c r="DH28" i="27"/>
  <c r="DH46" i="27"/>
  <c r="DH22" i="27"/>
  <c r="DH78" i="27"/>
  <c r="DH29" i="27"/>
  <c r="DH25" i="27"/>
  <c r="DH14" i="27"/>
  <c r="DH64" i="27"/>
  <c r="DH16" i="27"/>
  <c r="DH130" i="27"/>
  <c r="Y77" i="18" l="1"/>
  <c r="S69" i="18"/>
  <c r="Y69" i="18" s="1"/>
  <c r="S50" i="12"/>
  <c r="S49" i="18"/>
  <c r="Y49" i="18" s="1"/>
  <c r="S49" i="12"/>
  <c r="S95" i="18"/>
  <c r="S44" i="12"/>
  <c r="S44" i="18"/>
  <c r="S62" i="12"/>
  <c r="S62" i="18"/>
  <c r="S76" i="12"/>
  <c r="S76" i="18"/>
  <c r="Y76" i="18" s="1"/>
  <c r="S21" i="12"/>
  <c r="S21" i="18"/>
  <c r="Y21" i="18" s="1"/>
  <c r="S12" i="12"/>
  <c r="S12" i="18"/>
  <c r="S20" i="12"/>
  <c r="S20" i="18"/>
  <c r="Y20" i="18" s="1"/>
  <c r="Y4" i="18"/>
  <c r="Y70" i="18"/>
  <c r="Y124" i="18"/>
  <c r="Y92" i="18"/>
  <c r="Y5" i="18"/>
  <c r="S23" i="12"/>
  <c r="S23" i="18"/>
  <c r="Y23" i="18" s="1"/>
  <c r="S14" i="12"/>
  <c r="S14" i="18"/>
  <c r="Y14" i="18" s="1"/>
  <c r="S27" i="12"/>
  <c r="S27" i="18"/>
  <c r="Y27" i="18" s="1"/>
  <c r="S26" i="12"/>
  <c r="S26" i="18"/>
  <c r="Y26" i="18" s="1"/>
  <c r="Y38" i="18"/>
  <c r="S128" i="12"/>
  <c r="S128" i="18"/>
  <c r="Y128" i="18" s="1"/>
  <c r="Y134" i="18"/>
  <c r="Y101" i="18"/>
  <c r="Y103" i="18"/>
  <c r="Y56" i="18"/>
  <c r="Y64" i="18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6" i="1"/>
  <c r="J137" i="1"/>
  <c r="J138" i="1"/>
  <c r="J139" i="1"/>
  <c r="J5" i="1"/>
  <c r="Y12" i="18" l="1"/>
  <c r="Y62" i="18"/>
  <c r="Y138" i="18"/>
  <c r="C139" i="1"/>
  <c r="K140" i="27" s="1"/>
  <c r="J138" i="12" l="1"/>
  <c r="J138" i="19"/>
  <c r="L138" i="19" s="1"/>
  <c r="J138" i="18"/>
  <c r="N138" i="19" l="1"/>
  <c r="AA62" i="19" l="1"/>
  <c r="AA54" i="19"/>
  <c r="AA123" i="19"/>
  <c r="AA8" i="19"/>
  <c r="AA55" i="19"/>
  <c r="AA75" i="19"/>
  <c r="AA31" i="19"/>
  <c r="AA10" i="19"/>
  <c r="AA81" i="19"/>
  <c r="AA119" i="19"/>
  <c r="AA43" i="19"/>
  <c r="AA67" i="19"/>
  <c r="AA115" i="19"/>
  <c r="AA108" i="19"/>
  <c r="AA19" i="19"/>
  <c r="AA23" i="19"/>
  <c r="AA37" i="19"/>
  <c r="AA98" i="19"/>
  <c r="AA88" i="19"/>
  <c r="AA134" i="19"/>
  <c r="AA76" i="19"/>
  <c r="AA116" i="19"/>
  <c r="AA63" i="19"/>
  <c r="AA46" i="19"/>
  <c r="AA94" i="19"/>
  <c r="AA68" i="19"/>
  <c r="AA87" i="19"/>
  <c r="AA101" i="19"/>
  <c r="N5" i="20"/>
  <c r="AA36" i="19"/>
  <c r="AA15" i="19"/>
  <c r="AA30" i="19"/>
  <c r="AA29" i="19"/>
  <c r="AA120" i="19"/>
  <c r="AA106" i="19"/>
  <c r="AA52" i="19"/>
  <c r="AA17" i="19"/>
  <c r="AA109" i="19"/>
  <c r="AA16" i="19"/>
  <c r="AA127" i="19"/>
  <c r="AA45" i="19"/>
  <c r="AA66" i="19"/>
  <c r="AA117" i="19"/>
  <c r="AA136" i="19"/>
  <c r="AA28" i="19"/>
  <c r="AA20" i="19"/>
  <c r="AA48" i="19"/>
  <c r="AA58" i="19"/>
  <c r="AA42" i="19"/>
  <c r="AA71" i="19"/>
  <c r="AA96" i="19"/>
  <c r="AA83" i="19"/>
  <c r="AA70" i="19"/>
  <c r="AA60" i="19"/>
  <c r="AA72" i="19"/>
  <c r="AA97" i="19"/>
  <c r="AA12" i="19"/>
  <c r="AA56" i="19"/>
  <c r="AA59" i="19"/>
  <c r="AA113" i="19"/>
  <c r="AA105" i="19"/>
  <c r="AA84" i="19"/>
  <c r="AA73" i="19"/>
  <c r="AA86" i="19"/>
  <c r="AA130" i="19"/>
  <c r="AA35" i="19"/>
  <c r="AA34" i="19"/>
  <c r="AA124" i="19"/>
  <c r="AA91" i="19"/>
  <c r="AA131" i="19"/>
  <c r="AA32" i="19"/>
  <c r="AA26" i="19"/>
  <c r="AA112" i="19"/>
  <c r="AA126" i="19"/>
  <c r="AA79" i="19"/>
  <c r="AA111" i="19"/>
  <c r="AA39" i="19"/>
  <c r="AA110" i="19"/>
  <c r="AA41" i="19"/>
  <c r="AA92" i="19"/>
  <c r="AA25" i="19"/>
  <c r="AA40" i="19"/>
  <c r="AA74" i="19"/>
  <c r="AA138" i="19"/>
  <c r="AA85" i="19"/>
  <c r="AA69" i="19"/>
  <c r="AA33" i="19"/>
  <c r="AA7" i="19"/>
  <c r="AA77" i="19"/>
  <c r="AA47" i="19"/>
  <c r="AA107" i="19"/>
  <c r="AA103" i="19"/>
  <c r="AA24" i="19"/>
  <c r="AA100" i="19"/>
  <c r="AA22" i="19"/>
  <c r="AA122" i="19"/>
  <c r="AA82" i="19"/>
  <c r="AA13" i="19"/>
  <c r="AA64" i="19"/>
  <c r="AA6" i="19"/>
  <c r="AA14" i="19"/>
  <c r="AA65" i="19"/>
  <c r="AA125" i="19"/>
  <c r="AA21" i="19"/>
  <c r="AA128" i="19"/>
  <c r="AA27" i="19"/>
  <c r="AA104" i="19"/>
  <c r="AA121" i="19"/>
  <c r="AA132" i="19"/>
  <c r="AA57" i="19"/>
  <c r="AA114" i="19"/>
  <c r="AA18" i="19"/>
  <c r="AA5" i="19"/>
  <c r="AA137" i="19"/>
  <c r="AA135" i="19"/>
  <c r="AA38" i="19"/>
  <c r="AA49" i="19"/>
  <c r="N24" i="20" l="1"/>
  <c r="N35" i="20"/>
  <c r="Q68" i="20"/>
  <c r="Q91" i="20"/>
  <c r="Q29" i="20"/>
  <c r="P120" i="20"/>
  <c r="P22" i="20"/>
  <c r="P67" i="20"/>
  <c r="O60" i="20"/>
  <c r="O85" i="20"/>
  <c r="O22" i="20"/>
  <c r="N10" i="20"/>
  <c r="N101" i="20"/>
  <c r="N31" i="20"/>
  <c r="N9" i="20"/>
  <c r="N32" i="20"/>
  <c r="Q38" i="20"/>
  <c r="Q61" i="20"/>
  <c r="Q100" i="20"/>
  <c r="P90" i="20"/>
  <c r="P99" i="20"/>
  <c r="P37" i="20"/>
  <c r="O30" i="20"/>
  <c r="O55" i="20"/>
  <c r="O87" i="20"/>
  <c r="O95" i="20"/>
  <c r="N71" i="20"/>
  <c r="N117" i="20"/>
  <c r="N98" i="20"/>
  <c r="N115" i="20"/>
  <c r="Q120" i="20"/>
  <c r="Q31" i="20"/>
  <c r="Q52" i="20"/>
  <c r="P60" i="20"/>
  <c r="P69" i="20"/>
  <c r="P7" i="20"/>
  <c r="O5" i="20"/>
  <c r="O25" i="20"/>
  <c r="O116" i="20"/>
  <c r="O65" i="20"/>
  <c r="N41" i="20"/>
  <c r="Q90" i="20"/>
  <c r="Q17" i="20"/>
  <c r="Q16" i="20"/>
  <c r="P30" i="20"/>
  <c r="P39" i="20"/>
  <c r="P71" i="20"/>
  <c r="P65" i="20"/>
  <c r="O99" i="20"/>
  <c r="Q20" i="20"/>
  <c r="Q43" i="20"/>
  <c r="Q70" i="20"/>
  <c r="P72" i="20"/>
  <c r="P81" i="20"/>
  <c r="P19" i="20"/>
  <c r="O12" i="20"/>
  <c r="O37" i="20"/>
  <c r="O9" i="20"/>
  <c r="O77" i="20"/>
  <c r="N53" i="20"/>
  <c r="Q122" i="20"/>
  <c r="O115" i="20"/>
  <c r="N12" i="20"/>
  <c r="Q66" i="20"/>
  <c r="P17" i="20"/>
  <c r="N64" i="20"/>
  <c r="N44" i="20"/>
  <c r="Q49" i="20"/>
  <c r="P42" i="20"/>
  <c r="O51" i="20"/>
  <c r="N97" i="20"/>
  <c r="Q85" i="20"/>
  <c r="O79" i="20"/>
  <c r="N95" i="20"/>
  <c r="N51" i="20"/>
  <c r="N85" i="20"/>
  <c r="N45" i="20"/>
  <c r="P97" i="20"/>
  <c r="N11" i="20"/>
  <c r="P78" i="20"/>
  <c r="Q5" i="20"/>
  <c r="Q21" i="20"/>
  <c r="Q8" i="20"/>
  <c r="Q65" i="20"/>
  <c r="P44" i="20"/>
  <c r="P64" i="20"/>
  <c r="P103" i="20"/>
  <c r="O96" i="20"/>
  <c r="O121" i="20"/>
  <c r="O58" i="20"/>
  <c r="N46" i="20"/>
  <c r="N18" i="20"/>
  <c r="N67" i="20"/>
  <c r="N75" i="20"/>
  <c r="N33" i="20"/>
  <c r="Q80" i="20"/>
  <c r="Q97" i="20"/>
  <c r="Q35" i="20"/>
  <c r="P14" i="20"/>
  <c r="P28" i="20"/>
  <c r="P73" i="20"/>
  <c r="O66" i="20"/>
  <c r="O91" i="20"/>
  <c r="O28" i="20"/>
  <c r="N16" i="20"/>
  <c r="N107" i="20"/>
  <c r="N37" i="20"/>
  <c r="N27" i="20"/>
  <c r="N104" i="20"/>
  <c r="Q44" i="20"/>
  <c r="Q67" i="20"/>
  <c r="Q112" i="20"/>
  <c r="P96" i="20"/>
  <c r="P111" i="20"/>
  <c r="P43" i="20"/>
  <c r="O36" i="20"/>
  <c r="O61" i="20"/>
  <c r="O105" i="20"/>
  <c r="O101" i="20"/>
  <c r="N30" i="20"/>
  <c r="Q14" i="20"/>
  <c r="Q37" i="20"/>
  <c r="Q64" i="20"/>
  <c r="P66" i="20"/>
  <c r="P75" i="20"/>
  <c r="P13" i="20"/>
  <c r="O6" i="20"/>
  <c r="O31" i="20"/>
  <c r="Q56" i="20"/>
  <c r="Q79" i="20"/>
  <c r="Q11" i="20"/>
  <c r="P108" i="20"/>
  <c r="P10" i="20"/>
  <c r="P55" i="20"/>
  <c r="O48" i="20"/>
  <c r="O73" i="20"/>
  <c r="O10" i="20"/>
  <c r="O113" i="20"/>
  <c r="N89" i="20"/>
  <c r="Q95" i="20"/>
  <c r="O98" i="20"/>
  <c r="N108" i="20"/>
  <c r="Q58" i="20"/>
  <c r="O63" i="20"/>
  <c r="N47" i="20"/>
  <c r="N116" i="20"/>
  <c r="O112" i="20"/>
  <c r="P51" i="20"/>
  <c r="O88" i="20"/>
  <c r="Q82" i="20"/>
  <c r="Q23" i="20"/>
  <c r="O62" i="20"/>
  <c r="N78" i="20"/>
  <c r="N28" i="20"/>
  <c r="N111" i="20"/>
  <c r="Q9" i="20"/>
  <c r="O90" i="20"/>
  <c r="N84" i="20"/>
  <c r="O18" i="20"/>
  <c r="Q72" i="20"/>
  <c r="Q76" i="20"/>
  <c r="Q87" i="20"/>
  <c r="P12" i="20"/>
  <c r="P21" i="20"/>
  <c r="P41" i="20"/>
  <c r="P23" i="20"/>
  <c r="O75" i="20"/>
  <c r="O68" i="20"/>
  <c r="O17" i="20"/>
  <c r="N118" i="20"/>
  <c r="N90" i="20"/>
  <c r="N20" i="20"/>
  <c r="N102" i="20"/>
  <c r="Q42" i="20"/>
  <c r="Q105" i="20"/>
  <c r="Q27" i="20"/>
  <c r="Q107" i="20"/>
  <c r="P92" i="20"/>
  <c r="P106" i="20"/>
  <c r="P110" i="20"/>
  <c r="O33" i="20"/>
  <c r="O38" i="20"/>
  <c r="O100" i="20"/>
  <c r="N88" i="20"/>
  <c r="N60" i="20"/>
  <c r="N109" i="20"/>
  <c r="N113" i="20"/>
  <c r="Q12" i="20"/>
  <c r="Q45" i="20"/>
  <c r="Q92" i="20"/>
  <c r="Q77" i="20"/>
  <c r="P56" i="20"/>
  <c r="P76" i="20"/>
  <c r="P115" i="20"/>
  <c r="O108" i="20"/>
  <c r="O8" i="20"/>
  <c r="O70" i="20"/>
  <c r="N58" i="20"/>
  <c r="N68" i="20"/>
  <c r="Q104" i="20"/>
  <c r="Q109" i="20"/>
  <c r="Q47" i="20"/>
  <c r="P26" i="20"/>
  <c r="P40" i="20"/>
  <c r="P85" i="20"/>
  <c r="O78" i="20"/>
  <c r="Q24" i="20"/>
  <c r="Q69" i="20"/>
  <c r="Q110" i="20"/>
  <c r="Q89" i="20"/>
  <c r="P68" i="20"/>
  <c r="P88" i="20"/>
  <c r="P8" i="20"/>
  <c r="O120" i="20"/>
  <c r="O20" i="20"/>
  <c r="O82" i="20"/>
  <c r="N70" i="20"/>
  <c r="N42" i="20"/>
  <c r="P94" i="20"/>
  <c r="O47" i="20"/>
  <c r="P87" i="20"/>
  <c r="P6" i="20"/>
  <c r="O122" i="20"/>
  <c r="N114" i="20"/>
  <c r="N25" i="20"/>
  <c r="Q102" i="20"/>
  <c r="P89" i="20"/>
  <c r="N76" i="20"/>
  <c r="N100" i="20"/>
  <c r="P16" i="20"/>
  <c r="O11" i="20"/>
  <c r="N55" i="20"/>
  <c r="N93" i="20"/>
  <c r="P25" i="20"/>
  <c r="Q59" i="20"/>
  <c r="O86" i="20"/>
  <c r="N86" i="20"/>
  <c r="N72" i="20"/>
  <c r="Q32" i="20"/>
  <c r="Q55" i="20"/>
  <c r="Q94" i="20"/>
  <c r="P84" i="20"/>
  <c r="P93" i="20"/>
  <c r="P31" i="20"/>
  <c r="O24" i="20"/>
  <c r="O49" i="20"/>
  <c r="O69" i="20"/>
  <c r="O89" i="20"/>
  <c r="N65" i="20"/>
  <c r="N105" i="20"/>
  <c r="N92" i="20"/>
  <c r="N79" i="20"/>
  <c r="Q114" i="20"/>
  <c r="Q25" i="20"/>
  <c r="Q40" i="20"/>
  <c r="P54" i="20"/>
  <c r="P63" i="20"/>
  <c r="P119" i="20"/>
  <c r="P113" i="20"/>
  <c r="O19" i="20"/>
  <c r="O110" i="20"/>
  <c r="O59" i="20"/>
  <c r="N39" i="20"/>
  <c r="N62" i="20"/>
  <c r="N43" i="20"/>
  <c r="Q84" i="20"/>
  <c r="Q106" i="20"/>
  <c r="Q111" i="20"/>
  <c r="P24" i="20"/>
  <c r="P33" i="20"/>
  <c r="P59" i="20"/>
  <c r="P53" i="20"/>
  <c r="O93" i="20"/>
  <c r="O80" i="20"/>
  <c r="O29" i="20"/>
  <c r="N21" i="20"/>
  <c r="Q54" i="20"/>
  <c r="Q10" i="20"/>
  <c r="Q51" i="20"/>
  <c r="Q119" i="20"/>
  <c r="P116" i="20"/>
  <c r="P118" i="20"/>
  <c r="P105" i="20"/>
  <c r="O45" i="20"/>
  <c r="Q96" i="20"/>
  <c r="Q7" i="20"/>
  <c r="Q22" i="20"/>
  <c r="P36" i="20"/>
  <c r="P45" i="20"/>
  <c r="P83" i="20"/>
  <c r="P77" i="20"/>
  <c r="O111" i="20"/>
  <c r="O92" i="20"/>
  <c r="O41" i="20"/>
  <c r="N17" i="20"/>
  <c r="Q81" i="20"/>
  <c r="O15" i="20"/>
  <c r="N23" i="20"/>
  <c r="N49" i="20"/>
  <c r="P29" i="20"/>
  <c r="O71" i="20"/>
  <c r="N91" i="20"/>
  <c r="N122" i="20"/>
  <c r="Q28" i="20"/>
  <c r="O26" i="20"/>
  <c r="N120" i="20"/>
  <c r="Q62" i="20"/>
  <c r="O54" i="20"/>
  <c r="N112" i="20"/>
  <c r="N80" i="20"/>
  <c r="N69" i="20"/>
  <c r="N83" i="20"/>
  <c r="P58" i="20"/>
  <c r="O35" i="20"/>
  <c r="N110" i="20"/>
  <c r="Q36" i="20"/>
  <c r="Q101" i="20"/>
  <c r="P98" i="20"/>
  <c r="O94" i="20"/>
  <c r="N103" i="20"/>
  <c r="Q33" i="20"/>
  <c r="P50" i="20"/>
  <c r="O102" i="20"/>
  <c r="N52" i="20"/>
  <c r="N87" i="20"/>
  <c r="Q103" i="20"/>
  <c r="P34" i="20"/>
  <c r="O97" i="20"/>
  <c r="N7" i="20"/>
  <c r="Q118" i="20"/>
  <c r="P49" i="20"/>
  <c r="Q116" i="20"/>
  <c r="P32" i="20"/>
  <c r="O84" i="20"/>
  <c r="N34" i="20"/>
  <c r="O52" i="20"/>
  <c r="O14" i="20"/>
  <c r="N63" i="20"/>
  <c r="O43" i="20"/>
  <c r="N81" i="20"/>
  <c r="Q121" i="20"/>
  <c r="O107" i="20"/>
  <c r="Q113" i="20"/>
  <c r="Q30" i="20"/>
  <c r="O7" i="20"/>
  <c r="N14" i="20"/>
  <c r="Q108" i="20"/>
  <c r="P48" i="20"/>
  <c r="P101" i="20"/>
  <c r="O53" i="20"/>
  <c r="N56" i="20"/>
  <c r="Q88" i="20"/>
  <c r="P27" i="20"/>
  <c r="O81" i="20"/>
  <c r="N66" i="20"/>
  <c r="Q39" i="20"/>
  <c r="P112" i="20"/>
  <c r="O44" i="20"/>
  <c r="Q18" i="20"/>
  <c r="Q83" i="20"/>
  <c r="P121" i="20"/>
  <c r="Q46" i="20"/>
  <c r="P122" i="20"/>
  <c r="O57" i="20"/>
  <c r="N106" i="20"/>
  <c r="N40" i="20"/>
  <c r="O76" i="20"/>
  <c r="Q13" i="20"/>
  <c r="N121" i="20"/>
  <c r="N8" i="20"/>
  <c r="P38" i="20"/>
  <c r="N74" i="20"/>
  <c r="Q57" i="20"/>
  <c r="Q93" i="20"/>
  <c r="P86" i="20"/>
  <c r="O27" i="20"/>
  <c r="N82" i="20"/>
  <c r="N77" i="20"/>
  <c r="Q74" i="20"/>
  <c r="P70" i="20"/>
  <c r="O21" i="20"/>
  <c r="N99" i="20"/>
  <c r="Q41" i="20"/>
  <c r="P79" i="20"/>
  <c r="O34" i="20"/>
  <c r="Q50" i="20"/>
  <c r="P102" i="20"/>
  <c r="O42" i="20"/>
  <c r="Q115" i="20"/>
  <c r="P52" i="20"/>
  <c r="O109" i="20"/>
  <c r="N6" i="20"/>
  <c r="J4" i="23" s="1"/>
  <c r="N38" i="20"/>
  <c r="N36" i="20"/>
  <c r="P95" i="20"/>
  <c r="P114" i="20"/>
  <c r="N119" i="20"/>
  <c r="O103" i="20"/>
  <c r="Q19" i="20"/>
  <c r="P57" i="20"/>
  <c r="O13" i="20"/>
  <c r="N29" i="20"/>
  <c r="N57" i="20"/>
  <c r="Q99" i="20"/>
  <c r="P47" i="20"/>
  <c r="O74" i="20"/>
  <c r="N96" i="20"/>
  <c r="Q48" i="20"/>
  <c r="P15" i="20"/>
  <c r="O106" i="20"/>
  <c r="P62" i="20"/>
  <c r="O114" i="20"/>
  <c r="Q63" i="20"/>
  <c r="P11" i="20"/>
  <c r="O56" i="20"/>
  <c r="O50" i="20"/>
  <c r="N19" i="20"/>
  <c r="P61" i="20"/>
  <c r="O40" i="20"/>
  <c r="Q15" i="20"/>
  <c r="P100" i="20"/>
  <c r="O32" i="20"/>
  <c r="N54" i="20"/>
  <c r="Q6" i="20"/>
  <c r="Q71" i="20"/>
  <c r="P109" i="20"/>
  <c r="O64" i="20"/>
  <c r="N73" i="20"/>
  <c r="Q86" i="20"/>
  <c r="P20" i="20"/>
  <c r="O72" i="20"/>
  <c r="N22" i="20"/>
  <c r="Q73" i="20"/>
  <c r="P117" i="20"/>
  <c r="O67" i="20"/>
  <c r="Q53" i="20"/>
  <c r="P91" i="20"/>
  <c r="O46" i="20"/>
  <c r="P74" i="20"/>
  <c r="Q75" i="20"/>
  <c r="N48" i="20"/>
  <c r="O83" i="20"/>
  <c r="O16" i="20"/>
  <c r="Q26" i="20"/>
  <c r="N61" i="20"/>
  <c r="Q34" i="20"/>
  <c r="P107" i="20"/>
  <c r="O104" i="20"/>
  <c r="N15" i="20"/>
  <c r="Q78" i="20"/>
  <c r="P18" i="20"/>
  <c r="P35" i="20"/>
  <c r="O23" i="20"/>
  <c r="N26" i="20"/>
  <c r="Q117" i="20"/>
  <c r="P104" i="20"/>
  <c r="O39" i="20"/>
  <c r="N94" i="20"/>
  <c r="Q98" i="20"/>
  <c r="P82" i="20"/>
  <c r="Q60" i="20"/>
  <c r="P5" i="20"/>
  <c r="P46" i="20"/>
  <c r="O118" i="20"/>
  <c r="P80" i="20"/>
  <c r="P9" i="20"/>
  <c r="N50" i="20"/>
  <c r="N59" i="20"/>
  <c r="O119" i="20"/>
  <c r="O117" i="20"/>
  <c r="N13" i="20"/>
  <c r="C4" i="13" l="1"/>
  <c r="D4" i="13"/>
  <c r="D83" i="23" l="1"/>
  <c r="D89" i="23"/>
  <c r="D105" i="23"/>
  <c r="G110" i="23"/>
  <c r="G116" i="23"/>
  <c r="G118" i="23"/>
  <c r="D121" i="23"/>
  <c r="O122" i="23"/>
  <c r="D122" i="23" l="1"/>
  <c r="M122" i="23"/>
  <c r="D117" i="23"/>
  <c r="D118" i="23"/>
  <c r="Q120" i="23"/>
  <c r="Q111" i="23"/>
  <c r="M111" i="23"/>
  <c r="G111" i="23"/>
  <c r="O111" i="23"/>
  <c r="D111" i="23"/>
  <c r="Q82" i="23"/>
  <c r="Q122" i="23"/>
  <c r="Q118" i="23"/>
  <c r="O118" i="23"/>
  <c r="O110" i="23"/>
  <c r="Q110" i="23"/>
  <c r="M110" i="23"/>
  <c r="Q89" i="23"/>
  <c r="O89" i="23"/>
  <c r="D116" i="23"/>
  <c r="D110" i="23"/>
  <c r="D100" i="23"/>
  <c r="G100" i="23"/>
  <c r="G92" i="23"/>
  <c r="M118" i="23"/>
  <c r="M89" i="23"/>
  <c r="O117" i="23"/>
  <c r="O116" i="23"/>
  <c r="M116" i="23"/>
  <c r="Q116" i="23"/>
  <c r="Q100" i="23"/>
  <c r="O100" i="23"/>
  <c r="M100" i="23"/>
  <c r="Q92" i="23"/>
  <c r="O92" i="23"/>
  <c r="M92" i="23"/>
  <c r="Q83" i="23"/>
  <c r="O83" i="23"/>
  <c r="M83" i="23"/>
  <c r="G83" i="23"/>
  <c r="D92" i="23"/>
  <c r="Q115" i="23"/>
  <c r="O115" i="23"/>
  <c r="M115" i="23"/>
  <c r="G115" i="23"/>
  <c r="D115" i="23"/>
  <c r="Q121" i="23"/>
  <c r="O121" i="23"/>
  <c r="M121" i="23"/>
  <c r="G121" i="23"/>
  <c r="Q117" i="23"/>
  <c r="M117" i="23"/>
  <c r="G117" i="23"/>
  <c r="Q105" i="23"/>
  <c r="O105" i="23"/>
  <c r="M105" i="23"/>
  <c r="G105" i="23"/>
  <c r="G122" i="23"/>
  <c r="G89" i="23"/>
  <c r="A6" i="20" l="1"/>
  <c r="AA51" i="12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D7" i="13"/>
  <c r="E7" i="13"/>
  <c r="D11" i="13" s="1"/>
  <c r="F7" i="13"/>
  <c r="G7" i="13"/>
  <c r="E11" i="13" s="1"/>
  <c r="H7" i="13"/>
  <c r="I7" i="13"/>
  <c r="F11" i="13" s="1"/>
  <c r="J7" i="13"/>
  <c r="K7" i="13"/>
  <c r="G11" i="13" s="1"/>
  <c r="L7" i="13"/>
  <c r="M7" i="13"/>
  <c r="H11" i="13" s="1"/>
  <c r="N7" i="13"/>
  <c r="O7" i="13"/>
  <c r="I11" i="13" s="1"/>
  <c r="P7" i="13"/>
  <c r="Q7" i="13"/>
  <c r="J11" i="13" s="1"/>
  <c r="R7" i="13"/>
  <c r="S7" i="13"/>
  <c r="K11" i="13" s="1"/>
  <c r="T7" i="13"/>
  <c r="U7" i="13"/>
  <c r="L11" i="13" s="1"/>
  <c r="V7" i="13"/>
  <c r="W7" i="13"/>
  <c r="M11" i="13" s="1"/>
  <c r="X7" i="13"/>
  <c r="Y7" i="13"/>
  <c r="N11" i="13" s="1"/>
  <c r="Z7" i="13"/>
  <c r="AA7" i="13"/>
  <c r="O11" i="13" s="1"/>
  <c r="AB7" i="13"/>
  <c r="AC7" i="13"/>
  <c r="P11" i="13" s="1"/>
  <c r="AD7" i="13"/>
  <c r="AE7" i="13"/>
  <c r="Q11" i="13" s="1"/>
  <c r="AF7" i="13"/>
  <c r="AG7" i="13"/>
  <c r="R11" i="13" s="1"/>
  <c r="AH7" i="13"/>
  <c r="AI7" i="13"/>
  <c r="S11" i="13" s="1"/>
  <c r="AJ7" i="13"/>
  <c r="AK7" i="13"/>
  <c r="T11" i="13" s="1"/>
  <c r="AL7" i="13"/>
  <c r="AM7" i="13"/>
  <c r="U11" i="13" s="1"/>
  <c r="AN7" i="13"/>
  <c r="AO7" i="13"/>
  <c r="V11" i="13" s="1"/>
  <c r="AP7" i="13"/>
  <c r="AQ7" i="13"/>
  <c r="W11" i="13" s="1"/>
  <c r="AR7" i="13"/>
  <c r="AS7" i="13"/>
  <c r="X11" i="13" s="1"/>
  <c r="AT7" i="13"/>
  <c r="AU7" i="13"/>
  <c r="Y11" i="13" s="1"/>
  <c r="AV7" i="13"/>
  <c r="AW7" i="13"/>
  <c r="Z11" i="13" s="1"/>
  <c r="AX7" i="13"/>
  <c r="C7" i="13"/>
  <c r="C11" i="13" s="1"/>
  <c r="C6" i="13"/>
  <c r="C5" i="13"/>
  <c r="A139" i="1"/>
  <c r="A7" i="20" l="1"/>
  <c r="R5" i="12"/>
  <c r="R9" i="12"/>
  <c r="R13" i="12"/>
  <c r="R17" i="12"/>
  <c r="R21" i="12"/>
  <c r="R25" i="12"/>
  <c r="R29" i="12"/>
  <c r="R33" i="12"/>
  <c r="R37" i="12"/>
  <c r="R41" i="12"/>
  <c r="R45" i="12"/>
  <c r="R49" i="12"/>
  <c r="R53" i="12"/>
  <c r="R57" i="12"/>
  <c r="R61" i="12"/>
  <c r="R65" i="12"/>
  <c r="R69" i="12"/>
  <c r="R73" i="12"/>
  <c r="R77" i="12"/>
  <c r="R81" i="12"/>
  <c r="R85" i="12"/>
  <c r="R89" i="12"/>
  <c r="R93" i="12"/>
  <c r="R97" i="12"/>
  <c r="R101" i="12"/>
  <c r="R105" i="12"/>
  <c r="R109" i="12"/>
  <c r="R113" i="12"/>
  <c r="R117" i="12"/>
  <c r="R121" i="12"/>
  <c r="R125" i="12"/>
  <c r="R129" i="12"/>
  <c r="R133" i="12"/>
  <c r="R137" i="12"/>
  <c r="R6" i="12"/>
  <c r="R10" i="12"/>
  <c r="R14" i="12"/>
  <c r="R18" i="12"/>
  <c r="R22" i="12"/>
  <c r="R26" i="12"/>
  <c r="R30" i="12"/>
  <c r="R34" i="12"/>
  <c r="R38" i="12"/>
  <c r="R42" i="12"/>
  <c r="R46" i="12"/>
  <c r="R50" i="12"/>
  <c r="R54" i="12"/>
  <c r="R58" i="12"/>
  <c r="R62" i="12"/>
  <c r="R66" i="12"/>
  <c r="R70" i="12"/>
  <c r="R74" i="12"/>
  <c r="R78" i="12"/>
  <c r="R82" i="12"/>
  <c r="R86" i="12"/>
  <c r="R90" i="12"/>
  <c r="R94" i="12"/>
  <c r="R98" i="12"/>
  <c r="R102" i="12"/>
  <c r="R106" i="12"/>
  <c r="R110" i="12"/>
  <c r="R114" i="12"/>
  <c r="R118" i="12"/>
  <c r="R122" i="12"/>
  <c r="R126" i="12"/>
  <c r="R130" i="12"/>
  <c r="R134" i="12"/>
  <c r="R138" i="12"/>
  <c r="R7" i="12"/>
  <c r="R15" i="12"/>
  <c r="R23" i="12"/>
  <c r="R31" i="12"/>
  <c r="R39" i="12"/>
  <c r="R47" i="12"/>
  <c r="R55" i="12"/>
  <c r="R63" i="12"/>
  <c r="R71" i="12"/>
  <c r="R79" i="12"/>
  <c r="R87" i="12"/>
  <c r="R95" i="12"/>
  <c r="R103" i="12"/>
  <c r="R111" i="12"/>
  <c r="R119" i="12"/>
  <c r="R127" i="12"/>
  <c r="R135" i="12"/>
  <c r="R19" i="12"/>
  <c r="R35" i="12"/>
  <c r="R51" i="12"/>
  <c r="R67" i="12"/>
  <c r="R83" i="12"/>
  <c r="R99" i="12"/>
  <c r="R115" i="12"/>
  <c r="R131" i="12"/>
  <c r="R8" i="12"/>
  <c r="R16" i="12"/>
  <c r="R24" i="12"/>
  <c r="R32" i="12"/>
  <c r="R40" i="12"/>
  <c r="R48" i="12"/>
  <c r="R56" i="12"/>
  <c r="R64" i="12"/>
  <c r="R72" i="12"/>
  <c r="R80" i="12"/>
  <c r="R88" i="12"/>
  <c r="R96" i="12"/>
  <c r="R104" i="12"/>
  <c r="R112" i="12"/>
  <c r="R120" i="12"/>
  <c r="R128" i="12"/>
  <c r="R136" i="12"/>
  <c r="R11" i="12"/>
  <c r="R27" i="12"/>
  <c r="R43" i="12"/>
  <c r="R59" i="12"/>
  <c r="R75" i="12"/>
  <c r="R91" i="12"/>
  <c r="R107" i="12"/>
  <c r="R123" i="12"/>
  <c r="R4" i="12"/>
  <c r="R12" i="12"/>
  <c r="R44" i="12"/>
  <c r="R76" i="12"/>
  <c r="R108" i="12"/>
  <c r="R20" i="12"/>
  <c r="R84" i="12"/>
  <c r="R60" i="12"/>
  <c r="R124" i="12"/>
  <c r="R36" i="12"/>
  <c r="R68" i="12"/>
  <c r="R100" i="12"/>
  <c r="R132" i="12"/>
  <c r="R52" i="12"/>
  <c r="R116" i="12"/>
  <c r="R28" i="12"/>
  <c r="R92" i="12"/>
  <c r="A8" i="20"/>
  <c r="Y21" i="12" l="1"/>
  <c r="Y13" i="12"/>
  <c r="Y138" i="12"/>
  <c r="Y74" i="12"/>
  <c r="Y125" i="12"/>
  <c r="Y49" i="12"/>
  <c r="Y28" i="12"/>
  <c r="Y112" i="12"/>
  <c r="Y24" i="12"/>
  <c r="Y19" i="12"/>
  <c r="Y54" i="12"/>
  <c r="Y22" i="12"/>
  <c r="Y115" i="12"/>
  <c r="Y69" i="12"/>
  <c r="Y98" i="12"/>
  <c r="Y137" i="12"/>
  <c r="Y105" i="12"/>
  <c r="Y73" i="12"/>
  <c r="Y124" i="12"/>
  <c r="Y92" i="12"/>
  <c r="Y48" i="12"/>
  <c r="Y63" i="12"/>
  <c r="Y31" i="12"/>
  <c r="Y66" i="12"/>
  <c r="Y34" i="12"/>
  <c r="Y111" i="12"/>
  <c r="Y91" i="12"/>
  <c r="Y127" i="12"/>
  <c r="Y107" i="12"/>
  <c r="Y119" i="12"/>
  <c r="Y37" i="12"/>
  <c r="Y122" i="12"/>
  <c r="Y52" i="12"/>
  <c r="Y133" i="12"/>
  <c r="Y117" i="12"/>
  <c r="Y101" i="12"/>
  <c r="Y85" i="12"/>
  <c r="Y65" i="12"/>
  <c r="Y33" i="12"/>
  <c r="Y134" i="12"/>
  <c r="Y68" i="12"/>
  <c r="Y136" i="12"/>
  <c r="Y120" i="12"/>
  <c r="Y104" i="12"/>
  <c r="Y88" i="12"/>
  <c r="Y72" i="12"/>
  <c r="Y40" i="12"/>
  <c r="Y8" i="12"/>
  <c r="Y59" i="12"/>
  <c r="Y43" i="12"/>
  <c r="Y27" i="12"/>
  <c r="Y62" i="12"/>
  <c r="Y46" i="12"/>
  <c r="Y30" i="12"/>
  <c r="Y14" i="12"/>
  <c r="Y131" i="12"/>
  <c r="Y87" i="12"/>
  <c r="Y106" i="12"/>
  <c r="Y20" i="12"/>
  <c r="Y109" i="12"/>
  <c r="Y77" i="12"/>
  <c r="Y17" i="12"/>
  <c r="Y86" i="12"/>
  <c r="Y128" i="12"/>
  <c r="Y96" i="12"/>
  <c r="Y56" i="12"/>
  <c r="Y67" i="12"/>
  <c r="Y35" i="12"/>
  <c r="Y70" i="12"/>
  <c r="Y38" i="12"/>
  <c r="Y123" i="12"/>
  <c r="Y29" i="12"/>
  <c r="Y135" i="12"/>
  <c r="Y130" i="12"/>
  <c r="Y60" i="12"/>
  <c r="Y121" i="12"/>
  <c r="Y89" i="12"/>
  <c r="Y41" i="12"/>
  <c r="Y110" i="12"/>
  <c r="Y12" i="12"/>
  <c r="Y108" i="12"/>
  <c r="Y76" i="12"/>
  <c r="Y16" i="12"/>
  <c r="Y47" i="12"/>
  <c r="Y15" i="12"/>
  <c r="Y18" i="12"/>
  <c r="Y79" i="12"/>
  <c r="Y45" i="12"/>
  <c r="Y83" i="12"/>
  <c r="Y75" i="12"/>
  <c r="Y103" i="12"/>
  <c r="Y5" i="12"/>
  <c r="Y114" i="12"/>
  <c r="Y82" i="12"/>
  <c r="Y36" i="12"/>
  <c r="Y113" i="12"/>
  <c r="Y97" i="12"/>
  <c r="Y81" i="12"/>
  <c r="Y57" i="12"/>
  <c r="Y25" i="12"/>
  <c r="Y126" i="12"/>
  <c r="Y94" i="12"/>
  <c r="Y132" i="12"/>
  <c r="Y116" i="12"/>
  <c r="Y100" i="12"/>
  <c r="Y84" i="12"/>
  <c r="Y64" i="12"/>
  <c r="Y32" i="12"/>
  <c r="Y71" i="12"/>
  <c r="Y55" i="12"/>
  <c r="Y39" i="12"/>
  <c r="Y23" i="12"/>
  <c r="Y7" i="12"/>
  <c r="Y58" i="12"/>
  <c r="Y42" i="12"/>
  <c r="Y26" i="12"/>
  <c r="Y10" i="12"/>
  <c r="A9" i="20"/>
  <c r="Y6" i="12" l="1"/>
  <c r="Z6" i="12" s="1"/>
  <c r="Y4" i="12"/>
  <c r="Z57" i="12"/>
  <c r="Z59" i="12"/>
  <c r="Z68" i="12"/>
  <c r="Z94" i="12"/>
  <c r="Z97" i="12"/>
  <c r="Z79" i="12"/>
  <c r="Z65" i="12"/>
  <c r="Z52" i="12"/>
  <c r="Z42" i="12"/>
  <c r="Z113" i="12"/>
  <c r="Z109" i="12"/>
  <c r="Z43" i="12"/>
  <c r="Z72" i="12"/>
  <c r="A10" i="20"/>
  <c r="Z138" i="20" l="1"/>
  <c r="Z137" i="20"/>
  <c r="AA99" i="12"/>
  <c r="A11" i="20"/>
  <c r="R6" i="20" l="1"/>
  <c r="R10" i="20"/>
  <c r="R14" i="20"/>
  <c r="R18" i="20"/>
  <c r="R22" i="20"/>
  <c r="R26" i="20"/>
  <c r="R30" i="20"/>
  <c r="R34" i="20"/>
  <c r="R38" i="20"/>
  <c r="R42" i="20"/>
  <c r="R46" i="20"/>
  <c r="R50" i="20"/>
  <c r="R54" i="20"/>
  <c r="R7" i="20"/>
  <c r="R11" i="20"/>
  <c r="R15" i="20"/>
  <c r="R19" i="20"/>
  <c r="R23" i="20"/>
  <c r="R27" i="20"/>
  <c r="R31" i="20"/>
  <c r="R35" i="20"/>
  <c r="R39" i="20"/>
  <c r="R43" i="20"/>
  <c r="R47" i="20"/>
  <c r="R51" i="20"/>
  <c r="R55" i="20"/>
  <c r="R59" i="20"/>
  <c r="R63" i="20"/>
  <c r="R67" i="20"/>
  <c r="R71" i="20"/>
  <c r="R12" i="20"/>
  <c r="R20" i="20"/>
  <c r="R28" i="20"/>
  <c r="R36" i="20"/>
  <c r="R44" i="20"/>
  <c r="R52" i="20"/>
  <c r="R58" i="20"/>
  <c r="R72" i="20"/>
  <c r="R13" i="20"/>
  <c r="R21" i="20"/>
  <c r="R29" i="20"/>
  <c r="R37" i="20"/>
  <c r="R45" i="20"/>
  <c r="R53" i="20"/>
  <c r="R60" i="20"/>
  <c r="R61" i="20"/>
  <c r="R62" i="20"/>
  <c r="R76" i="20"/>
  <c r="R80" i="20"/>
  <c r="R84" i="20"/>
  <c r="R88" i="20"/>
  <c r="R92" i="20"/>
  <c r="R96" i="20"/>
  <c r="R100" i="20"/>
  <c r="R9" i="20"/>
  <c r="R25" i="20"/>
  <c r="R41" i="20"/>
  <c r="R57" i="20"/>
  <c r="R68" i="20"/>
  <c r="R70" i="20"/>
  <c r="R81" i="20"/>
  <c r="R82" i="20"/>
  <c r="R83" i="20"/>
  <c r="R97" i="20"/>
  <c r="R98" i="20"/>
  <c r="R99" i="20"/>
  <c r="R105" i="20"/>
  <c r="R109" i="20"/>
  <c r="R113" i="20"/>
  <c r="R117" i="20"/>
  <c r="R121" i="20"/>
  <c r="R16" i="20"/>
  <c r="R32" i="20"/>
  <c r="R8" i="20"/>
  <c r="R24" i="20"/>
  <c r="R40" i="20"/>
  <c r="R56" i="20"/>
  <c r="R65" i="20"/>
  <c r="R85" i="20"/>
  <c r="R86" i="20"/>
  <c r="R87" i="20"/>
  <c r="R101" i="20"/>
  <c r="R102" i="20"/>
  <c r="R103" i="20"/>
  <c r="R104" i="20"/>
  <c r="R108" i="20"/>
  <c r="R112" i="20"/>
  <c r="R116" i="20"/>
  <c r="R120" i="20"/>
  <c r="R48" i="20"/>
  <c r="R33" i="20"/>
  <c r="R64" i="20"/>
  <c r="R77" i="20"/>
  <c r="R79" i="20"/>
  <c r="R94" i="20"/>
  <c r="R106" i="20"/>
  <c r="R114" i="20"/>
  <c r="R122" i="20"/>
  <c r="R17" i="20"/>
  <c r="R89" i="20"/>
  <c r="R91" i="20"/>
  <c r="R107" i="20"/>
  <c r="R49" i="20"/>
  <c r="R69" i="20"/>
  <c r="R73" i="20"/>
  <c r="R75" i="20"/>
  <c r="R90" i="20"/>
  <c r="R111" i="20"/>
  <c r="R119" i="20"/>
  <c r="R66" i="20"/>
  <c r="R78" i="20"/>
  <c r="R93" i="20"/>
  <c r="R95" i="20"/>
  <c r="R110" i="20"/>
  <c r="R118" i="20"/>
  <c r="R74" i="20"/>
  <c r="R115" i="20"/>
  <c r="A12" i="20"/>
  <c r="R5" i="20"/>
  <c r="A13" i="20" l="1"/>
  <c r="A14" i="20" l="1"/>
  <c r="A15" i="20" l="1"/>
  <c r="A16" i="20" l="1"/>
  <c r="A17" i="20" l="1"/>
  <c r="A18" i="20" l="1"/>
  <c r="A19" i="20" l="1"/>
  <c r="A20" i="20" l="1"/>
  <c r="A21" i="20" l="1"/>
  <c r="A22" i="20" l="1"/>
  <c r="A23" i="20" l="1"/>
  <c r="A24" i="20" l="1"/>
  <c r="A25" i="20" l="1"/>
  <c r="A26" i="20" l="1"/>
  <c r="A27" i="20" l="1"/>
  <c r="A28" i="20" l="1"/>
  <c r="A29" i="20" l="1"/>
  <c r="A30" i="20" l="1"/>
  <c r="A31" i="20" l="1"/>
  <c r="A32" i="20" l="1"/>
  <c r="A33" i="20" l="1"/>
  <c r="A34" i="20" l="1"/>
  <c r="A35" i="20" l="1"/>
  <c r="A36" i="20" l="1"/>
  <c r="A37" i="20" l="1"/>
  <c r="A38" i="20" l="1"/>
  <c r="A39" i="20" l="1"/>
  <c r="A40" i="20" l="1"/>
  <c r="A41" i="20" l="1"/>
  <c r="A42" i="20" l="1"/>
  <c r="A43" i="20" l="1"/>
  <c r="A44" i="20" l="1"/>
  <c r="A45" i="20" l="1"/>
  <c r="A46" i="20" l="1"/>
  <c r="A47" i="20" l="1"/>
  <c r="A48" i="20" l="1"/>
  <c r="A49" i="20" l="1"/>
  <c r="A50" i="20" l="1"/>
  <c r="A51" i="20" l="1"/>
  <c r="A52" i="20" l="1"/>
  <c r="A53" i="20" l="1"/>
  <c r="A54" i="20" l="1"/>
  <c r="A55" i="20" l="1"/>
  <c r="A56" i="20" l="1"/>
  <c r="A57" i="20" l="1"/>
  <c r="A58" i="20" l="1"/>
  <c r="A59" i="20" l="1"/>
  <c r="A60" i="20" l="1"/>
  <c r="A61" i="20" l="1"/>
  <c r="A62" i="20" l="1"/>
  <c r="A63" i="20" l="1"/>
  <c r="A64" i="20" l="1"/>
  <c r="A65" i="20" l="1"/>
  <c r="A66" i="20" l="1"/>
  <c r="A67" i="20" l="1"/>
  <c r="A68" i="20" l="1"/>
  <c r="A69" i="20" l="1"/>
  <c r="A70" i="20" l="1"/>
  <c r="A71" i="20" l="1"/>
  <c r="A72" i="20" l="1"/>
  <c r="A73" i="20" l="1"/>
  <c r="A74" i="20" l="1"/>
  <c r="A75" i="20" l="1"/>
  <c r="A76" i="20" l="1"/>
  <c r="A77" i="20" l="1"/>
  <c r="A78" i="20" l="1"/>
  <c r="A79" i="20" l="1"/>
  <c r="A80" i="20" l="1"/>
  <c r="A81" i="20" l="1"/>
  <c r="A82" i="20" l="1"/>
  <c r="A83" i="20" l="1"/>
  <c r="A84" i="20" l="1"/>
  <c r="A85" i="20" l="1"/>
  <c r="A86" i="20" l="1"/>
  <c r="A87" i="20" l="1"/>
  <c r="A88" i="20" l="1"/>
  <c r="A89" i="20" l="1"/>
  <c r="A90" i="20" l="1"/>
  <c r="A91" i="20" l="1"/>
  <c r="A92" i="20" l="1"/>
  <c r="A93" i="20" l="1"/>
  <c r="A94" i="20" l="1"/>
  <c r="A95" i="20" l="1"/>
  <c r="A96" i="20" l="1"/>
  <c r="A97" i="20" l="1"/>
  <c r="A98" i="20" l="1"/>
  <c r="A99" i="20" l="1"/>
  <c r="A100" i="20" l="1"/>
  <c r="A101" i="20" l="1"/>
  <c r="A102" i="20" l="1"/>
  <c r="A103" i="20" l="1"/>
  <c r="A104" i="20" l="1"/>
  <c r="A105" i="20" l="1"/>
  <c r="A106" i="20" l="1"/>
  <c r="A107" i="20" l="1"/>
  <c r="A108" i="20" l="1"/>
  <c r="A109" i="20" l="1"/>
  <c r="A110" i="20" l="1"/>
  <c r="A111" i="20" l="1"/>
  <c r="A112" i="20" l="1"/>
  <c r="A113" i="20" l="1"/>
  <c r="A114" i="20" l="1"/>
  <c r="A115" i="20" l="1"/>
  <c r="A116" i="20" l="1"/>
  <c r="A117" i="20" l="1"/>
  <c r="A118" i="20" l="1"/>
  <c r="A119" i="20" l="1"/>
  <c r="A120" i="20" l="1"/>
  <c r="A121" i="20" l="1"/>
  <c r="A122" i="20" l="1"/>
  <c r="J91" i="23" l="1"/>
  <c r="Q91" i="23"/>
  <c r="M112" i="23"/>
  <c r="D112" i="23"/>
  <c r="O112" i="23"/>
  <c r="G112" i="23"/>
  <c r="Q112" i="23"/>
  <c r="Q94" i="23"/>
  <c r="Q37" i="23"/>
  <c r="Q57" i="23"/>
  <c r="Q44" i="23"/>
  <c r="Q85" i="23"/>
  <c r="P77" i="23"/>
  <c r="P66" i="23"/>
  <c r="J115" i="23"/>
  <c r="J94" i="23"/>
  <c r="P89" i="23"/>
  <c r="P115" i="23"/>
  <c r="J89" i="23"/>
  <c r="P94" i="23"/>
  <c r="J37" i="23"/>
  <c r="P111" i="23"/>
  <c r="P44" i="23"/>
  <c r="P57" i="23"/>
  <c r="J111" i="23"/>
  <c r="P37" i="23"/>
  <c r="P85" i="23"/>
  <c r="J44" i="23"/>
  <c r="P79" i="23"/>
  <c r="J57" i="23"/>
  <c r="P51" i="23"/>
  <c r="J85" i="23"/>
  <c r="L84" i="23"/>
  <c r="L71" i="23"/>
  <c r="C48" i="23"/>
  <c r="L104" i="23"/>
  <c r="L48" i="23"/>
  <c r="C104" i="23"/>
  <c r="C84" i="23"/>
  <c r="C71" i="23"/>
  <c r="C7" i="23"/>
  <c r="L7" i="23"/>
  <c r="L103" i="23"/>
  <c r="N71" i="23"/>
  <c r="F71" i="23"/>
  <c r="L76" i="23"/>
  <c r="L47" i="23"/>
  <c r="C76" i="23"/>
  <c r="L88" i="23"/>
  <c r="C47" i="23"/>
  <c r="L40" i="23"/>
  <c r="C88" i="23"/>
  <c r="C103" i="23"/>
  <c r="C40" i="23"/>
  <c r="C119" i="23"/>
  <c r="L31" i="23"/>
  <c r="L20" i="23"/>
  <c r="L119" i="23"/>
  <c r="C31" i="23"/>
  <c r="P101" i="23"/>
  <c r="P59" i="23"/>
  <c r="P65" i="23"/>
  <c r="P80" i="23"/>
  <c r="P76" i="23"/>
  <c r="P119" i="23"/>
  <c r="P52" i="23"/>
  <c r="P71" i="23"/>
  <c r="P56" i="23"/>
  <c r="P97" i="23"/>
  <c r="P30" i="23"/>
  <c r="P74" i="23"/>
  <c r="P7" i="23"/>
  <c r="P69" i="23"/>
  <c r="P43" i="23"/>
  <c r="P20" i="23"/>
  <c r="P15" i="23"/>
  <c r="P19" i="23"/>
  <c r="P109" i="23"/>
  <c r="P9" i="23"/>
  <c r="P93" i="23"/>
  <c r="P62" i="23"/>
  <c r="P108" i="23"/>
  <c r="P103" i="23"/>
  <c r="P67" i="23"/>
  <c r="P26" i="23"/>
  <c r="P48" i="23"/>
  <c r="P41" i="23"/>
  <c r="P36" i="23"/>
  <c r="P54" i="23"/>
  <c r="P53" i="23"/>
  <c r="P49" i="23"/>
  <c r="P12" i="23"/>
  <c r="P25" i="23"/>
  <c r="P96" i="23"/>
  <c r="P8" i="23"/>
  <c r="P6" i="23"/>
  <c r="P14" i="23"/>
  <c r="P28" i="23"/>
  <c r="P40" i="23"/>
  <c r="P75" i="23"/>
  <c r="P22" i="23"/>
  <c r="P16" i="23"/>
  <c r="P46" i="23"/>
  <c r="P95" i="23"/>
  <c r="P84" i="23"/>
  <c r="P18" i="23"/>
  <c r="P70" i="23"/>
  <c r="P23" i="23"/>
  <c r="P61" i="23"/>
  <c r="P68" i="23"/>
  <c r="P29" i="23"/>
  <c r="P81" i="23"/>
  <c r="P104" i="23"/>
  <c r="P64" i="23"/>
  <c r="P107" i="23"/>
  <c r="P86" i="23"/>
  <c r="P78" i="23"/>
  <c r="P87" i="23"/>
  <c r="P72" i="23"/>
  <c r="P21" i="23"/>
  <c r="P5" i="23"/>
  <c r="P90" i="23"/>
  <c r="P10" i="23"/>
  <c r="P24" i="23"/>
  <c r="P114" i="23"/>
  <c r="P17" i="23"/>
  <c r="P31" i="23"/>
  <c r="P50" i="23"/>
  <c r="P32" i="23"/>
  <c r="P13" i="23"/>
  <c r="P35" i="23"/>
  <c r="P58" i="23"/>
  <c r="P42" i="23"/>
  <c r="P45" i="23"/>
  <c r="P102" i="23"/>
  <c r="P99" i="23"/>
  <c r="P113" i="23"/>
  <c r="P88" i="23"/>
  <c r="P98" i="23"/>
  <c r="P27" i="23"/>
  <c r="P34" i="23"/>
  <c r="P60" i="23"/>
  <c r="P4" i="23"/>
  <c r="P73" i="23"/>
  <c r="P33" i="23"/>
  <c r="P106" i="23"/>
  <c r="P38" i="23"/>
  <c r="P63" i="23"/>
  <c r="P55" i="23"/>
  <c r="P11" i="23"/>
  <c r="P39" i="23"/>
  <c r="P47" i="23"/>
  <c r="C85" i="23"/>
  <c r="L50" i="23"/>
  <c r="L108" i="23"/>
  <c r="C19" i="23"/>
  <c r="L32" i="23"/>
  <c r="L21" i="23"/>
  <c r="L102" i="23"/>
  <c r="L62" i="23"/>
  <c r="C77" i="23"/>
  <c r="C75" i="23"/>
  <c r="C15" i="23"/>
  <c r="C14" i="23"/>
  <c r="C54" i="23"/>
  <c r="C57" i="23"/>
  <c r="C80" i="23"/>
  <c r="C29" i="23"/>
  <c r="L34" i="23"/>
  <c r="C46" i="23"/>
  <c r="L75" i="23"/>
  <c r="L54" i="23"/>
  <c r="L87" i="23"/>
  <c r="C42" i="23"/>
  <c r="L98" i="23"/>
  <c r="C102" i="23"/>
  <c r="L25" i="23"/>
  <c r="C62" i="23"/>
  <c r="L10" i="23"/>
  <c r="L90" i="23"/>
  <c r="C87" i="23"/>
  <c r="C16" i="23"/>
  <c r="L11" i="23"/>
  <c r="L41" i="23"/>
  <c r="C45" i="23"/>
  <c r="L53" i="23"/>
  <c r="L12" i="23"/>
  <c r="L35" i="23"/>
  <c r="L109" i="23"/>
  <c r="C6" i="23"/>
  <c r="C56" i="23"/>
  <c r="C12" i="23"/>
  <c r="L26" i="23"/>
  <c r="C107" i="23"/>
  <c r="L81" i="23"/>
  <c r="L106" i="23"/>
  <c r="L93" i="23"/>
  <c r="C106" i="23"/>
  <c r="L52" i="23"/>
  <c r="C55" i="23"/>
  <c r="L95" i="23"/>
  <c r="L77" i="23"/>
  <c r="C79" i="23"/>
  <c r="C58" i="23"/>
  <c r="C41" i="23"/>
  <c r="C67" i="23"/>
  <c r="L43" i="23"/>
  <c r="C108" i="23"/>
  <c r="L70" i="23"/>
  <c r="L56" i="23"/>
  <c r="L22" i="23"/>
  <c r="L72" i="23"/>
  <c r="L18" i="23"/>
  <c r="C113" i="23"/>
  <c r="L64" i="23"/>
  <c r="L36" i="23"/>
  <c r="L49" i="23"/>
  <c r="L107" i="23"/>
  <c r="L99" i="23"/>
  <c r="C59" i="23"/>
  <c r="C5" i="23"/>
  <c r="C96" i="23"/>
  <c r="C81" i="23"/>
  <c r="C78" i="23"/>
  <c r="C21" i="23"/>
  <c r="L5" i="23"/>
  <c r="C18" i="23"/>
  <c r="L101" i="23"/>
  <c r="C17" i="23"/>
  <c r="L80" i="23"/>
  <c r="L19" i="23"/>
  <c r="C39" i="23"/>
  <c r="C86" i="23"/>
  <c r="L44" i="23"/>
  <c r="C43" i="23"/>
  <c r="C20" i="23"/>
  <c r="L74" i="23"/>
  <c r="L39" i="23"/>
  <c r="L15" i="23"/>
  <c r="L63" i="23"/>
  <c r="L46" i="23"/>
  <c r="C74" i="23"/>
  <c r="C93" i="23"/>
  <c r="C61" i="23"/>
  <c r="L8" i="23"/>
  <c r="C26" i="23"/>
  <c r="C90" i="23"/>
  <c r="L14" i="23"/>
  <c r="L16" i="23"/>
  <c r="C33" i="23"/>
  <c r="C53" i="23"/>
  <c r="C28" i="23"/>
  <c r="L13" i="23"/>
  <c r="C51" i="23"/>
  <c r="C25" i="23"/>
  <c r="L58" i="23"/>
  <c r="C99" i="23"/>
  <c r="C10" i="23"/>
  <c r="L51" i="23"/>
  <c r="C35" i="23"/>
  <c r="L57" i="23"/>
  <c r="L61" i="23"/>
  <c r="L45" i="23"/>
  <c r="L60" i="23"/>
  <c r="C97" i="23"/>
  <c r="L73" i="23"/>
  <c r="L66" i="23"/>
  <c r="L42" i="23"/>
  <c r="C114" i="23"/>
  <c r="L65" i="23"/>
  <c r="L97" i="23"/>
  <c r="L23" i="23"/>
  <c r="C9" i="23"/>
  <c r="C65" i="23"/>
  <c r="L30" i="23"/>
  <c r="L86" i="23"/>
  <c r="C73" i="23"/>
  <c r="L33" i="23"/>
  <c r="L67" i="23"/>
  <c r="L113" i="23"/>
  <c r="L28" i="23"/>
  <c r="L96" i="23"/>
  <c r="L59" i="23"/>
  <c r="L79" i="23"/>
  <c r="L9" i="23"/>
  <c r="C13" i="23"/>
  <c r="C52" i="23"/>
  <c r="C94" i="23"/>
  <c r="L24" i="23"/>
  <c r="C27" i="23"/>
  <c r="C98" i="23"/>
  <c r="C30" i="23"/>
  <c r="L6" i="23"/>
  <c r="L85" i="23"/>
  <c r="L94" i="23"/>
  <c r="C23" i="23"/>
  <c r="C34" i="23"/>
  <c r="L69" i="23"/>
  <c r="C68" i="23"/>
  <c r="L68" i="23"/>
  <c r="C8" i="23"/>
  <c r="C95" i="23"/>
  <c r="L27" i="23"/>
  <c r="L17" i="23"/>
  <c r="C22" i="23"/>
  <c r="C32" i="23"/>
  <c r="C44" i="23"/>
  <c r="L55" i="23"/>
  <c r="C36" i="23"/>
  <c r="C70" i="23"/>
  <c r="C37" i="23"/>
  <c r="C11" i="23"/>
  <c r="C66" i="23"/>
  <c r="C24" i="23"/>
  <c r="L114" i="23"/>
  <c r="C60" i="23"/>
  <c r="L37" i="23"/>
  <c r="L29" i="23"/>
  <c r="C49" i="23"/>
  <c r="L4" i="23"/>
  <c r="C64" i="23"/>
  <c r="L38" i="23"/>
  <c r="C101" i="23"/>
  <c r="C38" i="23"/>
  <c r="C109" i="23"/>
  <c r="C63" i="23"/>
  <c r="L78" i="23"/>
  <c r="C72" i="23"/>
  <c r="C50" i="23"/>
  <c r="C69" i="23"/>
  <c r="J66" i="23"/>
  <c r="Q66" i="23"/>
  <c r="J77" i="23"/>
  <c r="Q51" i="23"/>
  <c r="J51" i="23"/>
  <c r="J82" i="23"/>
  <c r="Q77" i="23"/>
  <c r="P82" i="23"/>
  <c r="C82" i="23"/>
  <c r="C120" i="23"/>
  <c r="L82" i="23"/>
  <c r="L120" i="23"/>
  <c r="J78" i="23"/>
  <c r="J5" i="23"/>
  <c r="J41" i="23"/>
  <c r="J45" i="23"/>
  <c r="J80" i="23"/>
  <c r="J75" i="23"/>
  <c r="J116" i="23"/>
  <c r="J11" i="23"/>
  <c r="J62" i="23"/>
  <c r="J81" i="23"/>
  <c r="J64" i="23"/>
  <c r="J40" i="23"/>
  <c r="J63" i="23"/>
  <c r="J25" i="23"/>
  <c r="J29" i="23"/>
  <c r="J59" i="23"/>
  <c r="J8" i="23"/>
  <c r="J7" i="23"/>
  <c r="J27" i="23"/>
  <c r="J15" i="23"/>
  <c r="J46" i="23"/>
  <c r="J71" i="23"/>
  <c r="J112" i="23"/>
  <c r="J55" i="23"/>
  <c r="J19" i="23"/>
  <c r="J73" i="23"/>
  <c r="J47" i="23"/>
  <c r="J17" i="23"/>
  <c r="J6" i="23"/>
  <c r="J93" i="23"/>
  <c r="J117" i="23"/>
  <c r="J14" i="23"/>
  <c r="J79" i="23"/>
  <c r="J12" i="23"/>
  <c r="J110" i="23"/>
  <c r="J76" i="23"/>
  <c r="J60" i="23"/>
  <c r="J54" i="23"/>
  <c r="J58" i="23"/>
  <c r="J84" i="23"/>
  <c r="J101" i="23"/>
  <c r="J26" i="23"/>
  <c r="J61" i="23"/>
  <c r="J13" i="23"/>
  <c r="J9" i="23"/>
  <c r="J72" i="23"/>
  <c r="J48" i="23"/>
  <c r="J18" i="23"/>
  <c r="J65" i="23"/>
  <c r="J36" i="23"/>
  <c r="J97" i="23"/>
  <c r="J96" i="23"/>
  <c r="J90" i="23"/>
  <c r="J106" i="23"/>
  <c r="J35" i="23"/>
  <c r="J52" i="23"/>
  <c r="J95" i="23"/>
  <c r="J42" i="23"/>
  <c r="J120" i="23"/>
  <c r="J67" i="23"/>
  <c r="J109" i="23"/>
  <c r="J50" i="23"/>
  <c r="J30" i="23"/>
  <c r="J104" i="23"/>
  <c r="J118" i="23"/>
  <c r="J114" i="23"/>
  <c r="J100" i="23"/>
  <c r="J10" i="23"/>
  <c r="J23" i="23"/>
  <c r="J92" i="23"/>
  <c r="J34" i="23"/>
  <c r="J105" i="23"/>
  <c r="J122" i="23"/>
  <c r="J86" i="23"/>
  <c r="J74" i="23"/>
  <c r="J108" i="23"/>
  <c r="J39" i="23"/>
  <c r="J24" i="23"/>
  <c r="J16" i="23"/>
  <c r="J38" i="23"/>
  <c r="J107" i="23"/>
  <c r="J99" i="23"/>
  <c r="J119" i="23"/>
  <c r="J32" i="23"/>
  <c r="J102" i="23"/>
  <c r="J21" i="23"/>
  <c r="J69" i="23"/>
  <c r="J87" i="23"/>
  <c r="J20" i="23"/>
  <c r="J49" i="23"/>
  <c r="J83" i="23"/>
  <c r="J88" i="23"/>
  <c r="J33" i="23"/>
  <c r="J121" i="23"/>
  <c r="J56" i="23"/>
  <c r="J70" i="23"/>
  <c r="J31" i="23"/>
  <c r="J43" i="23"/>
  <c r="J22" i="23"/>
  <c r="J53" i="23"/>
  <c r="J28" i="23"/>
  <c r="J103" i="23"/>
  <c r="J113" i="23"/>
  <c r="J68" i="23"/>
  <c r="J98" i="23"/>
  <c r="P105" i="23"/>
  <c r="P112" i="23"/>
  <c r="P120" i="23"/>
  <c r="P83" i="23"/>
  <c r="P122" i="23"/>
  <c r="P121" i="23"/>
  <c r="P100" i="23"/>
  <c r="P110" i="23"/>
  <c r="P92" i="23"/>
  <c r="P116" i="23"/>
  <c r="P118" i="23"/>
  <c r="P117" i="23"/>
  <c r="Q4" i="23"/>
  <c r="Q78" i="23"/>
  <c r="Q5" i="23"/>
  <c r="Q24" i="23"/>
  <c r="Q31" i="23"/>
  <c r="Q15" i="23"/>
  <c r="Q58" i="23"/>
  <c r="Q34" i="23"/>
  <c r="Q29" i="23"/>
  <c r="Q28" i="23"/>
  <c r="Q63" i="23"/>
  <c r="Q81" i="23"/>
  <c r="Q72" i="23"/>
  <c r="Q17" i="23"/>
  <c r="Q75" i="23"/>
  <c r="Q64" i="23"/>
  <c r="Q25" i="23"/>
  <c r="Q80" i="23"/>
  <c r="Q16" i="23"/>
  <c r="Q119" i="23"/>
  <c r="Q114" i="23"/>
  <c r="Q109" i="23"/>
  <c r="Q74" i="23"/>
  <c r="Q22" i="23"/>
  <c r="Q14" i="23"/>
  <c r="Q40" i="23"/>
  <c r="Q20" i="23"/>
  <c r="Q79" i="23"/>
  <c r="Q27" i="23"/>
  <c r="Q56" i="23"/>
  <c r="Q36" i="23"/>
  <c r="Q46" i="23"/>
  <c r="Q70" i="23"/>
  <c r="Q10" i="23"/>
  <c r="Q50" i="23"/>
  <c r="Q32" i="23"/>
  <c r="Q104" i="23"/>
  <c r="Q49" i="23"/>
  <c r="Q107" i="23"/>
  <c r="Q67" i="23"/>
  <c r="Q96" i="23"/>
  <c r="Q23" i="23"/>
  <c r="Q103" i="23"/>
  <c r="Q53" i="23"/>
  <c r="Q113" i="23"/>
  <c r="Q26" i="23"/>
  <c r="Q47" i="23"/>
  <c r="Q21" i="23"/>
  <c r="Q84" i="23"/>
  <c r="Q12" i="23"/>
  <c r="Q41" i="23"/>
  <c r="Q54" i="23"/>
  <c r="Q68" i="23"/>
  <c r="Q98" i="23"/>
  <c r="Q88" i="23"/>
  <c r="Q61" i="23"/>
  <c r="Q62" i="23"/>
  <c r="Q39" i="23"/>
  <c r="Q18" i="23"/>
  <c r="Q102" i="23"/>
  <c r="Q93" i="23"/>
  <c r="Q30" i="23"/>
  <c r="Q9" i="23"/>
  <c r="Q11" i="23"/>
  <c r="Q108" i="23"/>
  <c r="Q65" i="23"/>
  <c r="Q90" i="23"/>
  <c r="Q52" i="23"/>
  <c r="Q13" i="23"/>
  <c r="Q59" i="23"/>
  <c r="Q99" i="23"/>
  <c r="Q106" i="23"/>
  <c r="Q87" i="23"/>
  <c r="Q6" i="23"/>
  <c r="Q45" i="23"/>
  <c r="Q43" i="23"/>
  <c r="Q86" i="23"/>
  <c r="Q33" i="23"/>
  <c r="Q19" i="23"/>
  <c r="Q76" i="23"/>
  <c r="Q95" i="23"/>
  <c r="Q8" i="23"/>
  <c r="Q101" i="23"/>
  <c r="Q42" i="23"/>
  <c r="Q71" i="23"/>
  <c r="Q7" i="23"/>
  <c r="Q48" i="23"/>
  <c r="Q73" i="23"/>
  <c r="Q38" i="23"/>
  <c r="Q35" i="23"/>
  <c r="Q60" i="23"/>
  <c r="Q55" i="23"/>
  <c r="Q97" i="23"/>
  <c r="Q69" i="23"/>
  <c r="N48" i="23" l="1"/>
  <c r="N76" i="23"/>
  <c r="F70" i="23"/>
  <c r="F49" i="23"/>
  <c r="F23" i="23"/>
  <c r="F97" i="23"/>
  <c r="N53" i="23"/>
  <c r="F46" i="23"/>
  <c r="F53" i="23"/>
  <c r="N79" i="23"/>
  <c r="F55" i="23"/>
  <c r="F34" i="23"/>
  <c r="F6" i="23"/>
  <c r="F10" i="23"/>
  <c r="N74" i="23"/>
  <c r="N75" i="23"/>
  <c r="N66" i="23"/>
  <c r="F15" i="23"/>
  <c r="F75" i="23"/>
  <c r="N95" i="23"/>
  <c r="N107" i="23"/>
  <c r="F79" i="23"/>
  <c r="N31" i="23"/>
  <c r="N113" i="23"/>
  <c r="F67" i="23"/>
  <c r="N42" i="23"/>
  <c r="N4" i="23"/>
  <c r="F21" i="23"/>
  <c r="N56" i="23"/>
  <c r="F72" i="23"/>
  <c r="F12" i="23"/>
  <c r="F14" i="23"/>
  <c r="N23" i="23"/>
  <c r="N54" i="23"/>
  <c r="N78" i="23"/>
  <c r="F93" i="23"/>
  <c r="F20" i="23"/>
  <c r="N17" i="23"/>
  <c r="F8" i="23"/>
  <c r="N20" i="23"/>
  <c r="F51" i="23"/>
  <c r="F29" i="23"/>
  <c r="N11" i="23"/>
  <c r="N10" i="23"/>
  <c r="F102" i="23"/>
  <c r="N58" i="23"/>
  <c r="F62" i="23"/>
  <c r="N46" i="23"/>
  <c r="F77" i="23"/>
  <c r="F68" i="23"/>
  <c r="F104" i="23"/>
  <c r="N84" i="23"/>
  <c r="F76" i="23"/>
  <c r="F17" i="23"/>
  <c r="F47" i="23"/>
  <c r="F4" i="23"/>
  <c r="N19" i="23"/>
  <c r="F19" i="23"/>
  <c r="N86" i="23"/>
  <c r="F80" i="23"/>
  <c r="F69" i="23"/>
  <c r="N114" i="23"/>
  <c r="F25" i="23"/>
  <c r="F109" i="23"/>
  <c r="N87" i="23"/>
  <c r="F35" i="23"/>
  <c r="N103" i="23"/>
  <c r="F106" i="23"/>
  <c r="F59" i="23"/>
  <c r="F57" i="23"/>
  <c r="N96" i="23"/>
  <c r="F88" i="23"/>
  <c r="N60" i="23"/>
  <c r="N61" i="23"/>
  <c r="F42" i="23"/>
  <c r="F99" i="23"/>
  <c r="N69" i="23"/>
  <c r="N6" i="23"/>
  <c r="N39" i="23"/>
  <c r="N32" i="23"/>
  <c r="N41" i="23"/>
  <c r="F58" i="23"/>
  <c r="F113" i="23"/>
  <c r="N9" i="23"/>
  <c r="N98" i="23"/>
  <c r="N65" i="23"/>
  <c r="N18" i="23"/>
  <c r="N63" i="23"/>
  <c r="N101" i="23"/>
  <c r="N119" i="23"/>
  <c r="N15" i="23"/>
  <c r="N49" i="23"/>
  <c r="N43" i="23"/>
  <c r="F119" i="23"/>
  <c r="F13" i="23"/>
  <c r="N8" i="23"/>
  <c r="F40" i="23"/>
  <c r="N77" i="23"/>
  <c r="N37" i="23"/>
  <c r="F54" i="23"/>
  <c r="N106" i="23"/>
  <c r="N104" i="23"/>
  <c r="F48" i="23"/>
  <c r="N7" i="23"/>
  <c r="F39" i="23"/>
  <c r="F103" i="23"/>
  <c r="N35" i="23"/>
  <c r="N30" i="23"/>
  <c r="N22" i="23"/>
  <c r="F56" i="23"/>
  <c r="N52" i="23"/>
  <c r="N44" i="23"/>
  <c r="N27" i="23"/>
  <c r="F37" i="23"/>
  <c r="F32" i="23"/>
  <c r="N40" i="23"/>
  <c r="N109" i="23"/>
  <c r="N72" i="23"/>
  <c r="F36" i="23"/>
  <c r="N64" i="23"/>
  <c r="N51" i="23"/>
  <c r="F45" i="23"/>
  <c r="N14" i="23"/>
  <c r="N12" i="23"/>
  <c r="N38" i="23"/>
  <c r="F81" i="23"/>
  <c r="N67" i="23"/>
  <c r="N24" i="23"/>
  <c r="N29" i="23"/>
  <c r="F22" i="23"/>
  <c r="F9" i="23"/>
  <c r="N50" i="23"/>
  <c r="N73" i="23"/>
  <c r="N70" i="23"/>
  <c r="N26" i="23"/>
  <c r="N34" i="23"/>
  <c r="F24" i="23"/>
  <c r="N55" i="23"/>
  <c r="N94" i="23"/>
  <c r="N81" i="23"/>
  <c r="N97" i="23"/>
  <c r="F73" i="23"/>
  <c r="F107" i="23"/>
  <c r="N88" i="23"/>
  <c r="F90" i="23"/>
  <c r="F66" i="23"/>
  <c r="N90" i="23"/>
  <c r="N62" i="23"/>
  <c r="N59" i="23"/>
  <c r="N85" i="23"/>
  <c r="F94" i="23"/>
  <c r="F64" i="23"/>
  <c r="F84" i="23"/>
  <c r="F7" i="23"/>
  <c r="F78" i="23"/>
  <c r="F86" i="23"/>
  <c r="F31" i="23"/>
  <c r="F16" i="23"/>
  <c r="N102" i="23"/>
  <c r="F74" i="23"/>
  <c r="F43" i="23"/>
  <c r="F27" i="23"/>
  <c r="F11" i="23"/>
  <c r="N99" i="23"/>
  <c r="F65" i="23"/>
  <c r="F41" i="23"/>
  <c r="N36" i="23"/>
  <c r="N68" i="23"/>
  <c r="N47" i="23"/>
  <c r="F95" i="23"/>
  <c r="F5" i="23"/>
  <c r="F28" i="23"/>
  <c r="F38" i="23"/>
  <c r="N21" i="23"/>
  <c r="N16" i="23"/>
  <c r="F61" i="23"/>
  <c r="F98" i="23"/>
  <c r="N13" i="23"/>
  <c r="F101" i="23"/>
  <c r="N5" i="23"/>
  <c r="F33" i="23"/>
  <c r="F85" i="23"/>
  <c r="F30" i="23"/>
  <c r="F114" i="23"/>
  <c r="F108" i="23"/>
  <c r="F50" i="23"/>
  <c r="N45" i="23"/>
  <c r="F87" i="23"/>
  <c r="N108" i="23"/>
  <c r="F60" i="23"/>
  <c r="F18" i="23"/>
  <c r="N93" i="23"/>
  <c r="F26" i="23"/>
  <c r="N25" i="23"/>
  <c r="F52" i="23"/>
  <c r="N57" i="23"/>
  <c r="N80" i="23"/>
  <c r="N28" i="23"/>
  <c r="F63" i="23"/>
  <c r="F44" i="23"/>
  <c r="N33" i="23"/>
  <c r="F96" i="23"/>
  <c r="F82" i="23"/>
  <c r="F120" i="23"/>
  <c r="N120" i="23"/>
  <c r="N82" i="23"/>
  <c r="AA129" i="12" l="1"/>
  <c r="AA90" i="12"/>
  <c r="AA44" i="12"/>
  <c r="AA118" i="12"/>
  <c r="AA50" i="12"/>
  <c r="AA61" i="12"/>
  <c r="AA95" i="12"/>
  <c r="AA53" i="12"/>
  <c r="AA93" i="12"/>
  <c r="AA102" i="12"/>
  <c r="AA80" i="12"/>
  <c r="AA11" i="12"/>
  <c r="AA9" i="12"/>
  <c r="AA78" i="12"/>
  <c r="L109" i="27" l="1" a="1"/>
  <c r="L109" i="27" s="1"/>
  <c r="T109" i="27" a="1"/>
  <c r="T109" i="27" s="1"/>
  <c r="AE109" i="27" a="1"/>
  <c r="AE109" i="27" s="1"/>
  <c r="AF109" i="27" a="1"/>
  <c r="AF109" i="27" s="1"/>
  <c r="P109" i="27" a="1"/>
  <c r="P109" i="27" s="1"/>
  <c r="AI109" i="27" a="1"/>
  <c r="AI109" i="27" s="1"/>
  <c r="AD109" i="27" a="1"/>
  <c r="AD109" i="27" s="1"/>
  <c r="AB109" i="27" a="1"/>
  <c r="AB109" i="27" s="1"/>
  <c r="AA109" i="27" a="1"/>
  <c r="AA109" i="27" s="1"/>
  <c r="AH109" i="27" a="1"/>
  <c r="AH109" i="27" s="1"/>
  <c r="V109" i="27" a="1"/>
  <c r="V109" i="27" s="1"/>
  <c r="R109" i="27" a="1"/>
  <c r="R109" i="27" s="1"/>
  <c r="Z109" i="27" a="1"/>
  <c r="Z109" i="27" s="1"/>
  <c r="X109" i="27" a="1"/>
  <c r="X109" i="27" s="1"/>
  <c r="M109" i="27" a="1"/>
  <c r="M109" i="27" s="1"/>
  <c r="Q109" i="27" a="1"/>
  <c r="Q109" i="27" s="1"/>
  <c r="N109" i="27" a="1"/>
  <c r="N109" i="27" s="1"/>
  <c r="O109" i="27" a="1"/>
  <c r="O109" i="27" s="1"/>
  <c r="Y109" i="27" a="1"/>
  <c r="Y109" i="27" s="1"/>
  <c r="AC109" i="27" a="1"/>
  <c r="AC109" i="27" s="1"/>
  <c r="W109" i="27" a="1"/>
  <c r="W109" i="27" s="1"/>
  <c r="AG109" i="27" a="1"/>
  <c r="AG109" i="27" s="1"/>
  <c r="S109" i="27" a="1"/>
  <c r="S109" i="27" s="1"/>
  <c r="U109" i="27" a="1"/>
  <c r="U109" i="27" s="1"/>
  <c r="M107" i="18" l="1"/>
  <c r="AY109" i="27"/>
  <c r="F107" i="18"/>
  <c r="L107" i="18" s="1"/>
  <c r="M107" i="12"/>
  <c r="F107" i="12"/>
  <c r="L107" i="12" s="1"/>
  <c r="N107" i="18" l="1"/>
  <c r="Z107" i="18" s="1"/>
  <c r="N107" i="12"/>
  <c r="Z107" i="12" l="1"/>
  <c r="AV100" i="27"/>
  <c r="AV102" i="27"/>
  <c r="AV29" i="27"/>
  <c r="AV133" i="27"/>
  <c r="AV124" i="27"/>
  <c r="AV129" i="27"/>
  <c r="AV24" i="27"/>
  <c r="AV68" i="27"/>
  <c r="AV32" i="27"/>
  <c r="AV17" i="27"/>
  <c r="AV36" i="27"/>
  <c r="AV94" i="27"/>
  <c r="AV20" i="27"/>
  <c r="AV75" i="27"/>
  <c r="AV110" i="27"/>
  <c r="AV130" i="27"/>
  <c r="AV39" i="27"/>
  <c r="AV42" i="27"/>
  <c r="AV33" i="27"/>
  <c r="AV16" i="27"/>
  <c r="AV15" i="27"/>
  <c r="AV22" i="27"/>
  <c r="AV62" i="27"/>
  <c r="AV108" i="27"/>
  <c r="AV51" i="27"/>
  <c r="AV38" i="27"/>
  <c r="AV40" i="27"/>
  <c r="AV126" i="27"/>
  <c r="AV26" i="27"/>
  <c r="AV89" i="27"/>
  <c r="AV14" i="27"/>
  <c r="AV79" i="27"/>
  <c r="AV116" i="27"/>
  <c r="AV125" i="27"/>
  <c r="AV122" i="27"/>
  <c r="AV66" i="27"/>
  <c r="AV56" i="27"/>
  <c r="AV121" i="27"/>
  <c r="AV69" i="27"/>
  <c r="F67" i="18" s="1"/>
  <c r="AV50" i="27"/>
  <c r="AV117" i="27"/>
  <c r="AV10" i="27"/>
  <c r="AV35" i="27"/>
  <c r="AV6" i="27"/>
  <c r="AV72" i="27"/>
  <c r="AV7" i="27"/>
  <c r="AV23" i="27"/>
  <c r="AV77" i="27"/>
  <c r="AV9" i="27"/>
  <c r="AV21" i="27"/>
  <c r="AV28" i="27"/>
  <c r="AV41" i="27"/>
  <c r="AV107" i="27"/>
  <c r="AV58" i="27"/>
  <c r="AV112" i="27"/>
  <c r="AV88" i="27"/>
  <c r="AV91" i="27"/>
  <c r="AV18" i="27"/>
  <c r="AV48" i="27"/>
  <c r="AV86" i="27"/>
  <c r="AV127" i="27"/>
  <c r="AV65" i="27"/>
  <c r="AV128" i="27"/>
  <c r="AV105" i="27"/>
  <c r="AV71" i="27"/>
  <c r="AV64" i="27"/>
  <c r="AV137" i="27"/>
  <c r="AV30" i="27"/>
  <c r="AV12" i="27"/>
  <c r="AV27" i="27"/>
  <c r="AV47" i="27"/>
  <c r="AV114" i="27"/>
  <c r="AV19" i="27"/>
  <c r="AV31" i="27"/>
  <c r="AV85" i="27"/>
  <c r="AV43" i="27"/>
  <c r="AV93" i="27"/>
  <c r="AV25" i="27"/>
  <c r="AV34" i="27"/>
  <c r="AV98" i="27"/>
  <c r="AV118" i="27"/>
  <c r="AV134" i="27"/>
  <c r="AV90" i="27"/>
  <c r="AV83" i="27"/>
  <c r="AV73" i="27"/>
  <c r="AV87" i="27"/>
  <c r="AV103" i="27"/>
  <c r="AV119" i="27"/>
  <c r="AV132" i="27"/>
  <c r="AV57" i="27"/>
  <c r="AV84" i="27"/>
  <c r="AV76" i="27"/>
  <c r="AV78" i="27"/>
  <c r="AV123" i="27"/>
  <c r="AV113" i="27"/>
  <c r="AV106" i="27"/>
  <c r="AV60" i="27"/>
  <c r="AV37" i="27"/>
  <c r="AV49" i="27"/>
  <c r="AV138" i="27"/>
  <c r="C7" i="16"/>
  <c r="AV139" i="27"/>
  <c r="AV135" i="27"/>
  <c r="AV136" i="27"/>
  <c r="F47" i="12" l="1"/>
  <c r="M47" i="18"/>
  <c r="F47" i="18"/>
  <c r="M47" i="12"/>
  <c r="M88" i="18"/>
  <c r="M88" i="12"/>
  <c r="F88" i="12"/>
  <c r="F88" i="18"/>
  <c r="M45" i="18"/>
  <c r="F45" i="18"/>
  <c r="F45" i="12"/>
  <c r="M45" i="12"/>
  <c r="F46" i="18"/>
  <c r="F46" i="12"/>
  <c r="M46" i="18"/>
  <c r="M46" i="12"/>
  <c r="M33" i="18"/>
  <c r="F33" i="12"/>
  <c r="M33" i="12"/>
  <c r="F33" i="18"/>
  <c r="F38" i="18"/>
  <c r="M38" i="12"/>
  <c r="M38" i="18"/>
  <c r="F38" i="12"/>
  <c r="F31" i="12"/>
  <c r="M31" i="18"/>
  <c r="F31" i="18"/>
  <c r="M31" i="12"/>
  <c r="M27" i="18"/>
  <c r="F27" i="18"/>
  <c r="M27" i="12"/>
  <c r="M35" i="18"/>
  <c r="M35" i="12"/>
  <c r="F35" i="12"/>
  <c r="F35" i="18"/>
  <c r="M85" i="12"/>
  <c r="F85" i="18"/>
  <c r="F85" i="12"/>
  <c r="M85" i="18"/>
  <c r="F132" i="18"/>
  <c r="M132" i="12"/>
  <c r="M132" i="18"/>
  <c r="F132" i="12"/>
  <c r="M23" i="12"/>
  <c r="M23" i="18"/>
  <c r="F23" i="12"/>
  <c r="F23" i="18"/>
  <c r="F29" i="12"/>
  <c r="M29" i="18"/>
  <c r="F29" i="18"/>
  <c r="M29" i="12"/>
  <c r="M25" i="18"/>
  <c r="F25" i="18"/>
  <c r="F25" i="12"/>
  <c r="M25" i="12"/>
  <c r="F62" i="12"/>
  <c r="M62" i="18"/>
  <c r="F62" i="18"/>
  <c r="M62" i="12"/>
  <c r="F63" i="18"/>
  <c r="M63" i="12"/>
  <c r="M63" i="18"/>
  <c r="F63" i="12"/>
  <c r="M16" i="18"/>
  <c r="F16" i="18"/>
  <c r="F16" i="12"/>
  <c r="M16" i="12"/>
  <c r="F56" i="18"/>
  <c r="M56" i="18"/>
  <c r="F56" i="12"/>
  <c r="M56" i="12"/>
  <c r="M19" i="12"/>
  <c r="F19" i="12"/>
  <c r="M19" i="18"/>
  <c r="F19" i="18"/>
  <c r="F5" i="18"/>
  <c r="F5" i="12"/>
  <c r="M5" i="12"/>
  <c r="M5" i="18"/>
  <c r="F8" i="18"/>
  <c r="M8" i="12"/>
  <c r="F8" i="12"/>
  <c r="M8" i="18"/>
  <c r="M119" i="12"/>
  <c r="M119" i="18"/>
  <c r="F119" i="12"/>
  <c r="F119" i="18"/>
  <c r="M123" i="12"/>
  <c r="F123" i="12"/>
  <c r="F123" i="18"/>
  <c r="M123" i="18"/>
  <c r="M87" i="18"/>
  <c r="M87" i="12"/>
  <c r="F87" i="12"/>
  <c r="F87" i="18"/>
  <c r="F36" i="18"/>
  <c r="M36" i="18"/>
  <c r="M36" i="12"/>
  <c r="F36" i="12"/>
  <c r="F20" i="18"/>
  <c r="M20" i="12"/>
  <c r="F20" i="12"/>
  <c r="M20" i="18"/>
  <c r="F40" i="12"/>
  <c r="M40" i="12"/>
  <c r="M40" i="18"/>
  <c r="F40" i="18"/>
  <c r="F73" i="18"/>
  <c r="M73" i="12"/>
  <c r="M73" i="18"/>
  <c r="F73" i="12"/>
  <c r="F15" i="18"/>
  <c r="M15" i="12"/>
  <c r="F15" i="12"/>
  <c r="M15" i="18"/>
  <c r="M127" i="18"/>
  <c r="F127" i="18"/>
  <c r="M127" i="12"/>
  <c r="F127" i="12"/>
  <c r="F100" i="18"/>
  <c r="F100" i="12"/>
  <c r="M100" i="18"/>
  <c r="M100" i="12"/>
  <c r="F82" i="18"/>
  <c r="F82" i="12"/>
  <c r="M82" i="12"/>
  <c r="M82" i="18"/>
  <c r="M32" i="12"/>
  <c r="M32" i="18"/>
  <c r="F32" i="12"/>
  <c r="F32" i="18"/>
  <c r="M126" i="18"/>
  <c r="F126" i="18"/>
  <c r="F126" i="12"/>
  <c r="M126" i="12"/>
  <c r="F26" i="12"/>
  <c r="M26" i="18"/>
  <c r="F26" i="18"/>
  <c r="M26" i="12"/>
  <c r="F120" i="18"/>
  <c r="M120" i="12"/>
  <c r="F120" i="12"/>
  <c r="M120" i="18"/>
  <c r="M108" i="12"/>
  <c r="F108" i="18"/>
  <c r="M108" i="18"/>
  <c r="F108" i="12"/>
  <c r="M22" i="12"/>
  <c r="M22" i="18"/>
  <c r="F22" i="12"/>
  <c r="F22" i="18"/>
  <c r="F55" i="12"/>
  <c r="M55" i="18"/>
  <c r="M55" i="12"/>
  <c r="F55" i="18"/>
  <c r="M130" i="12"/>
  <c r="F130" i="12"/>
  <c r="M130" i="18"/>
  <c r="F130" i="18"/>
  <c r="M91" i="12"/>
  <c r="F91" i="12"/>
  <c r="F91" i="18"/>
  <c r="M91" i="18"/>
  <c r="F17" i="18"/>
  <c r="M17" i="12"/>
  <c r="M17" i="18"/>
  <c r="F17" i="12"/>
  <c r="M10" i="12"/>
  <c r="M10" i="18"/>
  <c r="F10" i="18"/>
  <c r="F10" i="12"/>
  <c r="F69" i="18"/>
  <c r="M69" i="12"/>
  <c r="F69" i="12"/>
  <c r="M69" i="18"/>
  <c r="M125" i="12"/>
  <c r="F125" i="12"/>
  <c r="M125" i="18"/>
  <c r="F125" i="18"/>
  <c r="M89" i="12"/>
  <c r="F89" i="18"/>
  <c r="F89" i="12"/>
  <c r="M89" i="18"/>
  <c r="M105" i="18"/>
  <c r="F105" i="12"/>
  <c r="F105" i="18"/>
  <c r="M105" i="12"/>
  <c r="M7" i="18"/>
  <c r="F7" i="18"/>
  <c r="F7" i="12"/>
  <c r="M7" i="12"/>
  <c r="M70" i="12"/>
  <c r="M70" i="18"/>
  <c r="F70" i="12"/>
  <c r="F70" i="18"/>
  <c r="M115" i="18"/>
  <c r="F115" i="12"/>
  <c r="M115" i="12"/>
  <c r="F115" i="18"/>
  <c r="F54" i="12"/>
  <c r="M54" i="18"/>
  <c r="F54" i="18"/>
  <c r="M54" i="12"/>
  <c r="F114" i="18"/>
  <c r="M114" i="12"/>
  <c r="F114" i="12"/>
  <c r="M114" i="18"/>
  <c r="F24" i="12"/>
  <c r="M24" i="18"/>
  <c r="F24" i="18"/>
  <c r="M24" i="12"/>
  <c r="F49" i="18"/>
  <c r="M49" i="12"/>
  <c r="F49" i="12"/>
  <c r="M49" i="18"/>
  <c r="F13" i="18"/>
  <c r="M13" i="12"/>
  <c r="M13" i="18"/>
  <c r="F13" i="12"/>
  <c r="M37" i="18"/>
  <c r="F37" i="18"/>
  <c r="F37" i="12"/>
  <c r="M37" i="12"/>
  <c r="M18" i="18"/>
  <c r="F18" i="12"/>
  <c r="F18" i="18"/>
  <c r="M18" i="12"/>
  <c r="F30" i="18"/>
  <c r="M30" i="12"/>
  <c r="F30" i="12"/>
  <c r="M30" i="18"/>
  <c r="M122" i="18"/>
  <c r="F122" i="18"/>
  <c r="F122" i="12"/>
  <c r="M122" i="12"/>
  <c r="F98" i="18"/>
  <c r="M98" i="12"/>
  <c r="F98" i="12"/>
  <c r="M98" i="18"/>
  <c r="M133" i="12"/>
  <c r="F133" i="18"/>
  <c r="M133" i="18"/>
  <c r="F133" i="12"/>
  <c r="F111" i="12"/>
  <c r="M111" i="12"/>
  <c r="F111" i="18"/>
  <c r="M111" i="18"/>
  <c r="M101" i="12"/>
  <c r="F101" i="12"/>
  <c r="M101" i="18"/>
  <c r="F101" i="18"/>
  <c r="F83" i="12"/>
  <c r="M83" i="12"/>
  <c r="M83" i="18"/>
  <c r="F83" i="18"/>
  <c r="M135" i="18"/>
  <c r="F135" i="18"/>
  <c r="M135" i="12"/>
  <c r="F135" i="12"/>
  <c r="F110" i="12"/>
  <c r="F110" i="18"/>
  <c r="M110" i="12"/>
  <c r="M110" i="18"/>
  <c r="M21" i="18"/>
  <c r="F21" i="18"/>
  <c r="M21" i="12"/>
  <c r="F21" i="12"/>
  <c r="M67" i="12"/>
  <c r="M67" i="18"/>
  <c r="F67" i="12"/>
  <c r="F12" i="18"/>
  <c r="F12" i="12"/>
  <c r="M12" i="18"/>
  <c r="M12" i="12"/>
  <c r="F60" i="12"/>
  <c r="F60" i="18"/>
  <c r="M60" i="18"/>
  <c r="M60" i="12"/>
  <c r="F34" i="12"/>
  <c r="F34" i="18"/>
  <c r="M34" i="12"/>
  <c r="M34" i="18"/>
  <c r="M137" i="18"/>
  <c r="M137" i="12"/>
  <c r="F137" i="12"/>
  <c r="F137" i="18"/>
  <c r="M121" i="18"/>
  <c r="F121" i="18"/>
  <c r="M121" i="12"/>
  <c r="F121" i="12"/>
  <c r="M58" i="12"/>
  <c r="M58" i="18"/>
  <c r="F58" i="12"/>
  <c r="F58" i="18"/>
  <c r="F76" i="18"/>
  <c r="M76" i="12"/>
  <c r="M76" i="18"/>
  <c r="F76" i="12"/>
  <c r="F71" i="18"/>
  <c r="F71" i="12"/>
  <c r="M71" i="12"/>
  <c r="M71" i="18"/>
  <c r="F116" i="12"/>
  <c r="F116" i="18"/>
  <c r="M116" i="18"/>
  <c r="M116" i="12"/>
  <c r="M134" i="12"/>
  <c r="F134" i="12"/>
  <c r="M134" i="18"/>
  <c r="F134" i="18"/>
  <c r="F136" i="12"/>
  <c r="M136" i="18"/>
  <c r="F136" i="18"/>
  <c r="M136" i="12"/>
  <c r="M104" i="12"/>
  <c r="F104" i="12"/>
  <c r="F104" i="18"/>
  <c r="M104" i="18"/>
  <c r="F74" i="12"/>
  <c r="F74" i="18"/>
  <c r="M74" i="12"/>
  <c r="M74" i="18"/>
  <c r="M117" i="12"/>
  <c r="F117" i="12"/>
  <c r="F117" i="18"/>
  <c r="M117" i="18"/>
  <c r="F81" i="18"/>
  <c r="M81" i="18"/>
  <c r="M81" i="12"/>
  <c r="F81" i="12"/>
  <c r="M96" i="18"/>
  <c r="F96" i="12"/>
  <c r="M96" i="12"/>
  <c r="F96" i="18"/>
  <c r="M41" i="18"/>
  <c r="F41" i="12"/>
  <c r="F41" i="18"/>
  <c r="M41" i="12"/>
  <c r="F112" i="12"/>
  <c r="F112" i="18"/>
  <c r="M112" i="18"/>
  <c r="M112" i="12"/>
  <c r="F28" i="18"/>
  <c r="M28" i="12"/>
  <c r="M28" i="18"/>
  <c r="F28" i="12"/>
  <c r="M103" i="12"/>
  <c r="F103" i="18"/>
  <c r="F103" i="12"/>
  <c r="M103" i="18"/>
  <c r="M84" i="12"/>
  <c r="F84" i="18"/>
  <c r="F84" i="12"/>
  <c r="M84" i="18"/>
  <c r="F86" i="18"/>
  <c r="M86" i="12"/>
  <c r="F86" i="12"/>
  <c r="M86" i="18"/>
  <c r="M39" i="18"/>
  <c r="M39" i="12"/>
  <c r="F39" i="18"/>
  <c r="F39" i="12"/>
  <c r="M75" i="12"/>
  <c r="F75" i="12"/>
  <c r="M75" i="18"/>
  <c r="F75" i="18"/>
  <c r="F4" i="12"/>
  <c r="M4" i="18"/>
  <c r="F4" i="18"/>
  <c r="M4" i="12"/>
  <c r="F48" i="18"/>
  <c r="M48" i="18"/>
  <c r="M48" i="12"/>
  <c r="F48" i="12"/>
  <c r="M64" i="18"/>
  <c r="F64" i="12"/>
  <c r="F64" i="18"/>
  <c r="M64" i="12"/>
  <c r="M77" i="18"/>
  <c r="F77" i="12"/>
  <c r="M77" i="12"/>
  <c r="F77" i="18"/>
  <c r="M124" i="18"/>
  <c r="F124" i="18"/>
  <c r="M124" i="12"/>
  <c r="F124" i="12"/>
  <c r="M106" i="12"/>
  <c r="M106" i="18"/>
  <c r="F106" i="12"/>
  <c r="F106" i="18"/>
  <c r="F14" i="18"/>
  <c r="F14" i="12"/>
  <c r="M14" i="12"/>
  <c r="M14" i="18"/>
  <c r="M128" i="12"/>
  <c r="M128" i="18"/>
  <c r="F128" i="18"/>
  <c r="F128" i="12"/>
  <c r="F92" i="12"/>
  <c r="M92" i="18"/>
  <c r="M92" i="12"/>
  <c r="F92" i="18"/>
  <c r="F66" i="12"/>
  <c r="M66" i="12"/>
  <c r="M66" i="18"/>
  <c r="F66" i="18"/>
  <c r="M131" i="12"/>
  <c r="F131" i="18"/>
  <c r="M131" i="18"/>
  <c r="F131" i="12"/>
  <c r="BB137" i="27"/>
  <c r="BE137" i="27" s="1"/>
  <c r="BB99" i="27"/>
  <c r="BA99" i="27"/>
  <c r="BA137" i="27" l="1"/>
  <c r="BC137" i="27" s="1"/>
  <c r="BE99" i="27"/>
  <c r="BA91" i="27"/>
  <c r="BB91" i="27"/>
  <c r="BB126" i="27"/>
  <c r="BE126" i="27" s="1"/>
  <c r="BA126" i="27"/>
  <c r="BB30" i="27"/>
  <c r="BE30" i="27" s="1"/>
  <c r="BA30" i="27"/>
  <c r="BB44" i="27"/>
  <c r="BE44" i="27" s="1"/>
  <c r="BA44" i="27"/>
  <c r="BA52" i="27"/>
  <c r="BB52" i="27"/>
  <c r="BE52" i="27" s="1"/>
  <c r="BA134" i="27"/>
  <c r="BB134" i="27"/>
  <c r="BB38" i="27"/>
  <c r="BA38" i="27"/>
  <c r="BB13" i="27"/>
  <c r="BE13" i="27" s="1"/>
  <c r="BA13" i="27"/>
  <c r="BA50" i="27"/>
  <c r="BB50" i="27"/>
  <c r="BE50" i="27" s="1"/>
  <c r="BB74" i="27"/>
  <c r="BA74" i="27"/>
  <c r="BA28" i="27"/>
  <c r="BB28" i="27"/>
  <c r="BB108" i="27"/>
  <c r="BE108" i="27" s="1"/>
  <c r="BA108" i="27"/>
  <c r="BB53" i="27"/>
  <c r="BE53" i="27" s="1"/>
  <c r="BA53" i="27"/>
  <c r="BA76" i="27"/>
  <c r="BB76" i="27"/>
  <c r="BE76" i="27" s="1"/>
  <c r="BB78" i="27"/>
  <c r="BA78" i="27"/>
  <c r="BB127" i="27"/>
  <c r="BE127" i="27" s="1"/>
  <c r="BA127" i="27"/>
  <c r="BB121" i="27"/>
  <c r="BA121" i="27"/>
  <c r="BA46" i="27"/>
  <c r="BB46" i="27"/>
  <c r="BE46" i="27" s="1"/>
  <c r="BB133" i="27"/>
  <c r="BE133" i="27" s="1"/>
  <c r="BA133" i="27"/>
  <c r="BA109" i="27"/>
  <c r="BB109" i="27"/>
  <c r="BA92" i="27"/>
  <c r="BB92" i="27"/>
  <c r="BB32" i="27"/>
  <c r="BE32" i="27" s="1"/>
  <c r="BA32" i="27"/>
  <c r="BB14" i="27"/>
  <c r="BE14" i="27" s="1"/>
  <c r="BA14" i="27"/>
  <c r="BB122" i="27"/>
  <c r="BE122" i="27" s="1"/>
  <c r="BA122" i="27"/>
  <c r="BB21" i="27"/>
  <c r="BE21" i="27" s="1"/>
  <c r="BA21" i="27"/>
  <c r="BB42" i="27"/>
  <c r="BE42" i="27" s="1"/>
  <c r="BA42" i="27"/>
  <c r="BB110" i="27"/>
  <c r="BE110" i="27" s="1"/>
  <c r="BA110" i="27"/>
  <c r="BA120" i="27"/>
  <c r="BB120" i="27"/>
  <c r="BE120" i="27" s="1"/>
  <c r="BA113" i="27"/>
  <c r="BB113" i="27"/>
  <c r="BE113" i="27" s="1"/>
  <c r="BA34" i="27"/>
  <c r="BB34" i="27"/>
  <c r="BE34" i="27" s="1"/>
  <c r="BB54" i="27"/>
  <c r="BA54" i="27"/>
  <c r="BA139" i="27"/>
  <c r="BB139" i="27"/>
  <c r="BE139" i="27" s="1"/>
  <c r="BA90" i="27"/>
  <c r="BB90" i="27"/>
  <c r="BE90" i="27" s="1"/>
  <c r="BA56" i="27"/>
  <c r="BB56" i="27"/>
  <c r="BE56" i="27" s="1"/>
  <c r="BB101" i="27"/>
  <c r="BA101" i="27"/>
  <c r="BB130" i="27"/>
  <c r="BE130" i="27" s="1"/>
  <c r="BA130" i="27"/>
  <c r="BB97" i="27"/>
  <c r="BE97" i="27" s="1"/>
  <c r="BA97" i="27"/>
  <c r="BB83" i="27"/>
  <c r="BE83" i="27" s="1"/>
  <c r="BA83" i="27"/>
  <c r="BB77" i="27"/>
  <c r="BA77" i="27"/>
  <c r="BB20" i="27"/>
  <c r="BE20" i="27" s="1"/>
  <c r="BA20" i="27"/>
  <c r="BB94" i="27"/>
  <c r="BE94" i="27" s="1"/>
  <c r="BA94" i="27"/>
  <c r="BA111" i="27"/>
  <c r="BB111" i="27"/>
  <c r="BE111" i="27" s="1"/>
  <c r="BB79" i="27"/>
  <c r="BE79" i="27" s="1"/>
  <c r="BA79" i="27"/>
  <c r="BB124" i="27"/>
  <c r="BE124" i="27" s="1"/>
  <c r="BA124" i="27"/>
  <c r="BA45" i="27"/>
  <c r="BB45" i="27"/>
  <c r="BA112" i="27"/>
  <c r="BB112" i="27"/>
  <c r="BA11" i="27"/>
  <c r="BB11" i="27"/>
  <c r="BA68" i="27"/>
  <c r="BB68" i="27"/>
  <c r="BE68" i="27" s="1"/>
  <c r="BB41" i="27"/>
  <c r="BA41" i="27"/>
  <c r="BA48" i="27"/>
  <c r="BB48" i="27"/>
  <c r="BE48" i="27" s="1"/>
  <c r="BB40" i="27"/>
  <c r="BE40" i="27" s="1"/>
  <c r="BA40" i="27"/>
  <c r="BB55" i="27"/>
  <c r="BE55" i="27" s="1"/>
  <c r="BA55" i="27"/>
  <c r="BA119" i="27"/>
  <c r="BB119" i="27"/>
  <c r="BE119" i="27" s="1"/>
  <c r="BA49" i="27"/>
  <c r="BB49" i="27"/>
  <c r="BE49" i="27" s="1"/>
  <c r="BA117" i="27"/>
  <c r="BB117" i="27"/>
  <c r="BE117" i="27" s="1"/>
  <c r="BB132" i="27"/>
  <c r="BE132" i="27" s="1"/>
  <c r="BA132" i="27"/>
  <c r="BB62" i="27"/>
  <c r="BE62" i="27" s="1"/>
  <c r="BA62" i="27"/>
  <c r="BB9" i="27"/>
  <c r="BE9" i="27" s="1"/>
  <c r="BA9" i="27"/>
  <c r="BB102" i="27"/>
  <c r="BE102" i="27" s="1"/>
  <c r="BA102" i="27"/>
  <c r="BB51" i="27"/>
  <c r="BE51" i="27" s="1"/>
  <c r="BA51" i="27"/>
  <c r="BB140" i="27"/>
  <c r="BA140" i="27"/>
  <c r="BB129" i="27"/>
  <c r="BE129" i="27" s="1"/>
  <c r="BA129" i="27"/>
  <c r="BB16" i="27"/>
  <c r="BA16" i="27"/>
  <c r="BA43" i="27"/>
  <c r="BB43" i="27"/>
  <c r="BE43" i="27" s="1"/>
  <c r="BA73" i="27"/>
  <c r="BB73" i="27"/>
  <c r="BA35" i="27"/>
  <c r="BB35" i="27"/>
  <c r="BA57" i="27"/>
  <c r="BB57" i="27"/>
  <c r="BE57" i="27" s="1"/>
  <c r="BA85" i="27"/>
  <c r="BB85" i="27"/>
  <c r="BE85" i="27" s="1"/>
  <c r="BB75" i="27"/>
  <c r="BA75" i="27"/>
  <c r="BB125" i="27"/>
  <c r="BE125" i="27" s="1"/>
  <c r="BA125" i="27"/>
  <c r="BB103" i="27"/>
  <c r="BE103" i="27" s="1"/>
  <c r="BA103" i="27"/>
  <c r="BA19" i="27"/>
  <c r="BB19" i="27"/>
  <c r="BE19" i="27" s="1"/>
  <c r="BA72" i="27"/>
  <c r="BB72" i="27"/>
  <c r="BE72" i="27" s="1"/>
  <c r="BB29" i="27"/>
  <c r="BE29" i="27" s="1"/>
  <c r="BA29" i="27"/>
  <c r="BA31" i="27"/>
  <c r="BB31" i="27"/>
  <c r="BA95" i="27"/>
  <c r="BB95" i="27"/>
  <c r="BE95" i="27" s="1"/>
  <c r="BA86" i="27"/>
  <c r="BB86" i="27"/>
  <c r="BE86" i="27" s="1"/>
  <c r="BB36" i="27"/>
  <c r="BE36" i="27" s="1"/>
  <c r="BA36" i="27"/>
  <c r="BA131" i="27"/>
  <c r="BB131" i="27"/>
  <c r="BE131" i="27" s="1"/>
  <c r="BB71" i="27"/>
  <c r="BA71" i="27"/>
  <c r="BB88" i="27"/>
  <c r="BE88" i="27" s="1"/>
  <c r="BA88" i="27"/>
  <c r="BA116" i="27"/>
  <c r="BB116" i="27"/>
  <c r="BE116" i="27" s="1"/>
  <c r="BB59" i="27"/>
  <c r="BA59" i="27"/>
  <c r="BA138" i="27"/>
  <c r="BB138" i="27"/>
  <c r="BB118" i="27"/>
  <c r="BE118" i="27" s="1"/>
  <c r="BA118" i="27"/>
  <c r="BB24" i="27"/>
  <c r="BE24" i="27" s="1"/>
  <c r="BA24" i="27"/>
  <c r="BB135" i="27"/>
  <c r="BE135" i="27" s="1"/>
  <c r="BA135" i="27"/>
  <c r="BB7" i="27"/>
  <c r="BA7" i="27"/>
  <c r="BB10" i="27"/>
  <c r="BE10" i="27" s="1"/>
  <c r="BA10" i="27"/>
  <c r="BB23" i="27"/>
  <c r="BE23" i="27" s="1"/>
  <c r="BA23" i="27"/>
  <c r="BA63" i="27"/>
  <c r="BB63" i="27"/>
  <c r="BE63" i="27" s="1"/>
  <c r="BA6" i="27"/>
  <c r="BB6" i="27"/>
  <c r="BE6" i="27" s="1"/>
  <c r="BA17" i="27"/>
  <c r="BB17" i="27"/>
  <c r="BE17" i="27" s="1"/>
  <c r="BB60" i="27"/>
  <c r="BE60" i="27" s="1"/>
  <c r="BA60" i="27"/>
  <c r="BB104" i="27"/>
  <c r="BE104" i="27" s="1"/>
  <c r="BA104" i="27"/>
  <c r="BB107" i="27"/>
  <c r="BE107" i="27" s="1"/>
  <c r="BA107" i="27"/>
  <c r="BB39" i="27"/>
  <c r="BE39" i="27" s="1"/>
  <c r="BA39" i="27"/>
  <c r="BB128" i="27"/>
  <c r="BA128" i="27"/>
  <c r="BA123" i="27"/>
  <c r="BB123" i="27"/>
  <c r="BE123" i="27" s="1"/>
  <c r="BA84" i="27"/>
  <c r="BB84" i="27"/>
  <c r="BA81" i="27"/>
  <c r="BB81" i="27"/>
  <c r="BE81" i="27" s="1"/>
  <c r="BB58" i="27"/>
  <c r="BE58" i="27" s="1"/>
  <c r="BA58" i="27"/>
  <c r="BA18" i="27"/>
  <c r="BB18" i="27"/>
  <c r="BE18" i="27" s="1"/>
  <c r="BA26" i="27"/>
  <c r="BB26" i="27"/>
  <c r="BB100" i="27"/>
  <c r="BE100" i="27" s="1"/>
  <c r="BA100" i="27"/>
  <c r="BB115" i="27"/>
  <c r="BA115" i="27"/>
  <c r="BA93" i="27"/>
  <c r="BB93" i="27"/>
  <c r="BE93" i="27" s="1"/>
  <c r="BB27" i="27"/>
  <c r="BE27" i="27" s="1"/>
  <c r="BA27" i="27"/>
  <c r="BB98" i="27"/>
  <c r="BE98" i="27" s="1"/>
  <c r="BA98" i="27"/>
  <c r="BC99" i="27"/>
  <c r="BD99" i="27"/>
  <c r="BB66" i="27"/>
  <c r="BE66" i="27" s="1"/>
  <c r="BA66" i="27"/>
  <c r="BA25" i="27"/>
  <c r="BB25" i="27"/>
  <c r="BB106" i="27"/>
  <c r="BE106" i="27" s="1"/>
  <c r="BA106" i="27"/>
  <c r="BB136" i="27"/>
  <c r="BE136" i="27" s="1"/>
  <c r="BA136" i="27"/>
  <c r="BA82" i="27"/>
  <c r="BB82" i="27"/>
  <c r="BE82" i="27" s="1"/>
  <c r="BA80" i="27"/>
  <c r="BB80" i="27"/>
  <c r="BE80" i="27" s="1"/>
  <c r="BA70" i="27"/>
  <c r="BB70" i="27"/>
  <c r="BA87" i="27"/>
  <c r="BB87" i="27"/>
  <c r="BE87" i="27" s="1"/>
  <c r="BB12" i="27"/>
  <c r="BE12" i="27" s="1"/>
  <c r="BA12" i="27"/>
  <c r="BB61" i="27"/>
  <c r="BE61" i="27" s="1"/>
  <c r="BA61" i="27"/>
  <c r="BB65" i="27"/>
  <c r="BA65" i="27"/>
  <c r="BB67" i="27"/>
  <c r="BE67" i="27" s="1"/>
  <c r="BA67" i="27"/>
  <c r="BB8" i="27"/>
  <c r="BE8" i="27" s="1"/>
  <c r="BA8" i="27"/>
  <c r="BB15" i="27"/>
  <c r="BA15" i="27"/>
  <c r="BD15" i="27" s="1"/>
  <c r="BA64" i="27"/>
  <c r="BB64" i="27"/>
  <c r="BE64" i="27" s="1"/>
  <c r="BA37" i="27"/>
  <c r="BB37" i="27"/>
  <c r="BE37" i="27" s="1"/>
  <c r="BA96" i="27"/>
  <c r="BB96" i="27"/>
  <c r="BA114" i="27"/>
  <c r="BB114" i="27"/>
  <c r="BE114" i="27" s="1"/>
  <c r="BA105" i="27"/>
  <c r="BB105" i="27"/>
  <c r="BE105" i="27" s="1"/>
  <c r="BB47" i="27"/>
  <c r="BA47" i="27"/>
  <c r="BA69" i="27"/>
  <c r="BB69" i="27"/>
  <c r="BB33" i="27"/>
  <c r="BE33" i="27" s="1"/>
  <c r="BA33" i="27"/>
  <c r="BB22" i="27"/>
  <c r="BE22" i="27" s="1"/>
  <c r="BA22" i="27"/>
  <c r="BB89" i="27"/>
  <c r="BE89" i="27" s="1"/>
  <c r="BA89" i="27"/>
  <c r="BD137" i="27" l="1"/>
  <c r="BF137" i="27" s="1"/>
  <c r="BE65" i="27"/>
  <c r="BE59" i="27"/>
  <c r="BE28" i="27"/>
  <c r="BE91" i="27"/>
  <c r="BE128" i="27"/>
  <c r="BE7" i="27"/>
  <c r="BE71" i="27"/>
  <c r="BE75" i="27"/>
  <c r="BE16" i="27"/>
  <c r="BE41" i="27"/>
  <c r="BE77" i="27"/>
  <c r="BE54" i="27"/>
  <c r="BE121" i="27"/>
  <c r="BE47" i="27"/>
  <c r="BE15" i="27"/>
  <c r="BE69" i="27"/>
  <c r="BE25" i="27"/>
  <c r="BE26" i="27"/>
  <c r="BE84" i="27"/>
  <c r="BE73" i="27"/>
  <c r="BE11" i="27"/>
  <c r="BE92" i="27"/>
  <c r="BE78" i="27"/>
  <c r="BE38" i="27"/>
  <c r="BE96" i="27"/>
  <c r="BE31" i="27"/>
  <c r="BE35" i="27"/>
  <c r="BE112" i="27"/>
  <c r="BE134" i="27"/>
  <c r="BE115" i="27"/>
  <c r="BE140" i="27"/>
  <c r="BE101" i="27"/>
  <c r="BE74" i="27"/>
  <c r="BE138" i="27"/>
  <c r="BD8" i="27"/>
  <c r="BC8" i="27"/>
  <c r="BC65" i="27"/>
  <c r="BD65" i="27"/>
  <c r="BC12" i="27"/>
  <c r="BD12" i="27"/>
  <c r="BE70" i="27"/>
  <c r="BC106" i="27"/>
  <c r="BD106" i="27"/>
  <c r="BD66" i="27"/>
  <c r="BC66" i="27"/>
  <c r="BC98" i="27"/>
  <c r="BD98" i="27"/>
  <c r="BC100" i="27"/>
  <c r="BD100" i="27"/>
  <c r="BC39" i="27"/>
  <c r="BD39" i="27"/>
  <c r="BD104" i="27"/>
  <c r="BC104" i="27"/>
  <c r="BD10" i="27"/>
  <c r="BC10" i="27"/>
  <c r="BD135" i="27"/>
  <c r="BC135" i="27"/>
  <c r="BD118" i="27"/>
  <c r="BC118" i="27"/>
  <c r="BC59" i="27"/>
  <c r="BD59" i="27"/>
  <c r="BC88" i="27"/>
  <c r="BD88" i="27"/>
  <c r="BC125" i="27"/>
  <c r="BD125" i="27"/>
  <c r="BD129" i="27"/>
  <c r="BC129" i="27"/>
  <c r="BD51" i="27"/>
  <c r="BC51" i="27"/>
  <c r="BD9" i="27"/>
  <c r="BC9" i="27"/>
  <c r="BC132" i="27"/>
  <c r="BD132" i="27"/>
  <c r="BD55" i="27"/>
  <c r="BC55" i="27"/>
  <c r="BC124" i="27"/>
  <c r="BD124" i="27"/>
  <c r="BC20" i="27"/>
  <c r="BD20" i="27"/>
  <c r="BC83" i="27"/>
  <c r="BD83" i="27"/>
  <c r="BD130" i="27"/>
  <c r="BC130" i="27"/>
  <c r="BD42" i="27"/>
  <c r="BC42" i="27"/>
  <c r="BC122" i="27"/>
  <c r="BD122" i="27"/>
  <c r="BD32" i="27"/>
  <c r="BC32" i="27"/>
  <c r="BE109" i="27"/>
  <c r="BC127" i="27"/>
  <c r="BD127" i="27"/>
  <c r="BC108" i="27"/>
  <c r="BD108" i="27"/>
  <c r="BC74" i="27"/>
  <c r="BD74" i="27"/>
  <c r="BD13" i="27"/>
  <c r="BC13" i="27"/>
  <c r="BC44" i="27"/>
  <c r="BD44" i="27"/>
  <c r="BC126" i="27"/>
  <c r="BD126" i="27"/>
  <c r="BD26" i="27"/>
  <c r="BC26" i="27"/>
  <c r="BD22" i="27"/>
  <c r="BC22" i="27"/>
  <c r="BC105" i="27"/>
  <c r="BD105" i="27"/>
  <c r="BD96" i="27"/>
  <c r="BC96" i="27"/>
  <c r="BC64" i="27"/>
  <c r="BD64" i="27"/>
  <c r="BC63" i="27"/>
  <c r="BD63" i="27"/>
  <c r="BC131" i="27"/>
  <c r="BD131" i="27"/>
  <c r="BD86" i="27"/>
  <c r="BC86" i="27"/>
  <c r="BD31" i="27"/>
  <c r="BC31" i="27"/>
  <c r="BD72" i="27"/>
  <c r="BC72" i="27"/>
  <c r="BD85" i="27"/>
  <c r="BC85" i="27"/>
  <c r="BD35" i="27"/>
  <c r="BC35" i="27"/>
  <c r="BD43" i="27"/>
  <c r="BC43" i="27"/>
  <c r="BD49" i="27"/>
  <c r="BC49" i="27"/>
  <c r="BC48" i="27"/>
  <c r="BD48" i="27"/>
  <c r="BC68" i="27"/>
  <c r="BD68" i="27"/>
  <c r="BD112" i="27"/>
  <c r="BC112" i="27"/>
  <c r="BD111" i="27"/>
  <c r="BC111" i="27"/>
  <c r="BD56" i="27"/>
  <c r="BC56" i="27"/>
  <c r="BC139" i="27"/>
  <c r="BD139" i="27"/>
  <c r="BC34" i="27"/>
  <c r="BD34" i="27"/>
  <c r="BC120" i="27"/>
  <c r="BD120" i="27"/>
  <c r="BC109" i="27"/>
  <c r="BD109" i="27"/>
  <c r="BC46" i="27"/>
  <c r="BD46" i="27"/>
  <c r="BD76" i="27"/>
  <c r="BC76" i="27"/>
  <c r="BD134" i="27"/>
  <c r="BC134" i="27"/>
  <c r="BD114" i="27"/>
  <c r="BC114" i="27"/>
  <c r="BD25" i="27"/>
  <c r="BC25" i="27"/>
  <c r="BD69" i="27"/>
  <c r="BC69" i="27"/>
  <c r="BD70" i="27"/>
  <c r="BC70" i="27"/>
  <c r="BC82" i="27"/>
  <c r="BD82" i="27"/>
  <c r="BD93" i="27"/>
  <c r="BC93" i="27"/>
  <c r="BD18" i="27"/>
  <c r="BC18" i="27"/>
  <c r="BD81" i="27"/>
  <c r="BC81" i="27"/>
  <c r="BC123" i="27"/>
  <c r="BD123" i="27"/>
  <c r="BD17" i="27"/>
  <c r="BC17" i="27"/>
  <c r="BD89" i="27"/>
  <c r="BC89" i="27"/>
  <c r="BD33" i="27"/>
  <c r="BC33" i="27"/>
  <c r="BD47" i="27"/>
  <c r="BC47" i="27"/>
  <c r="BC15" i="27"/>
  <c r="BD67" i="27"/>
  <c r="BC67" i="27"/>
  <c r="BD61" i="27"/>
  <c r="BC61" i="27"/>
  <c r="BD136" i="27"/>
  <c r="BC136" i="27"/>
  <c r="BC27" i="27"/>
  <c r="BD27" i="27"/>
  <c r="BD115" i="27"/>
  <c r="BC115" i="27"/>
  <c r="BD58" i="27"/>
  <c r="BC58" i="27"/>
  <c r="BD128" i="27"/>
  <c r="BC128" i="27"/>
  <c r="BD107" i="27"/>
  <c r="BC107" i="27"/>
  <c r="BD60" i="27"/>
  <c r="BC60" i="27"/>
  <c r="BC23" i="27"/>
  <c r="BD23" i="27"/>
  <c r="BD7" i="27"/>
  <c r="BC7" i="27"/>
  <c r="BC24" i="27"/>
  <c r="BD24" i="27"/>
  <c r="BC71" i="27"/>
  <c r="BD71" i="27"/>
  <c r="BC36" i="27"/>
  <c r="BD36" i="27"/>
  <c r="BC29" i="27"/>
  <c r="BD29" i="27"/>
  <c r="BC103" i="27"/>
  <c r="BD103" i="27"/>
  <c r="BC75" i="27"/>
  <c r="BD75" i="27"/>
  <c r="BD16" i="27"/>
  <c r="BC16" i="27"/>
  <c r="BC140" i="27"/>
  <c r="BD140" i="27"/>
  <c r="BD102" i="27"/>
  <c r="BC102" i="27"/>
  <c r="BD62" i="27"/>
  <c r="BC62" i="27"/>
  <c r="BD40" i="27"/>
  <c r="BC40" i="27"/>
  <c r="BD41" i="27"/>
  <c r="BC41" i="27"/>
  <c r="BE45" i="27"/>
  <c r="BD79" i="27"/>
  <c r="BC79" i="27"/>
  <c r="BC94" i="27"/>
  <c r="BD94" i="27"/>
  <c r="BD77" i="27"/>
  <c r="BC77" i="27"/>
  <c r="BC97" i="27"/>
  <c r="BD97" i="27"/>
  <c r="BC101" i="27"/>
  <c r="BD101" i="27"/>
  <c r="BD54" i="27"/>
  <c r="BC54" i="27"/>
  <c r="BD110" i="27"/>
  <c r="BC110" i="27"/>
  <c r="BC21" i="27"/>
  <c r="BD21" i="27"/>
  <c r="BD14" i="27"/>
  <c r="BC14" i="27"/>
  <c r="BC133" i="27"/>
  <c r="BD133" i="27"/>
  <c r="BC121" i="27"/>
  <c r="BD121" i="27"/>
  <c r="BD78" i="27"/>
  <c r="BC78" i="27"/>
  <c r="BD53" i="27"/>
  <c r="BC53" i="27"/>
  <c r="BD38" i="27"/>
  <c r="BC38" i="27"/>
  <c r="BC30" i="27"/>
  <c r="BD30" i="27"/>
  <c r="BD37" i="27"/>
  <c r="BC37" i="27"/>
  <c r="BD87" i="27"/>
  <c r="BC87" i="27"/>
  <c r="BD80" i="27"/>
  <c r="BC80" i="27"/>
  <c r="BC84" i="27"/>
  <c r="BD84" i="27"/>
  <c r="BC6" i="27"/>
  <c r="BD6" i="27"/>
  <c r="BD138" i="27"/>
  <c r="BC138" i="27"/>
  <c r="BD116" i="27"/>
  <c r="BC116" i="27"/>
  <c r="BC95" i="27"/>
  <c r="BD95" i="27"/>
  <c r="BC19" i="27"/>
  <c r="BD19" i="27"/>
  <c r="BC57" i="27"/>
  <c r="BD57" i="27"/>
  <c r="BC73" i="27"/>
  <c r="BD73" i="27"/>
  <c r="BD117" i="27"/>
  <c r="BC117" i="27"/>
  <c r="BC119" i="27"/>
  <c r="BD119" i="27"/>
  <c r="BC11" i="27"/>
  <c r="BD11" i="27"/>
  <c r="BC45" i="27"/>
  <c r="BD45" i="27"/>
  <c r="BC90" i="27"/>
  <c r="BD90" i="27"/>
  <c r="BC113" i="27"/>
  <c r="BD113" i="27"/>
  <c r="BC92" i="27"/>
  <c r="BD92" i="27"/>
  <c r="BD28" i="27"/>
  <c r="BC28" i="27"/>
  <c r="BD50" i="27"/>
  <c r="BC50" i="27"/>
  <c r="BD52" i="27"/>
  <c r="BC52" i="27"/>
  <c r="BC91" i="27"/>
  <c r="BD91" i="27"/>
  <c r="BF32" i="27" l="1"/>
  <c r="BF42" i="27"/>
  <c r="BF51" i="27"/>
  <c r="H135" i="12"/>
  <c r="I135" i="12" s="1"/>
  <c r="L135" i="12" s="1"/>
  <c r="H135" i="18"/>
  <c r="I135" i="18" s="1"/>
  <c r="L135" i="18" s="1"/>
  <c r="BF41" i="27"/>
  <c r="H39" i="18" s="1"/>
  <c r="I39" i="18" s="1"/>
  <c r="L39" i="18" s="1"/>
  <c r="BF62" i="27"/>
  <c r="H60" i="12" s="1"/>
  <c r="I60" i="12" s="1"/>
  <c r="L60" i="12" s="1"/>
  <c r="BF7" i="27"/>
  <c r="H5" i="12" s="1"/>
  <c r="I5" i="12" s="1"/>
  <c r="L5" i="12" s="1"/>
  <c r="BF60" i="27"/>
  <c r="H58" i="18" s="1"/>
  <c r="I58" i="18" s="1"/>
  <c r="L58" i="18" s="1"/>
  <c r="BF128" i="27"/>
  <c r="H126" i="12" s="1"/>
  <c r="I126" i="12" s="1"/>
  <c r="L126" i="12" s="1"/>
  <c r="BF136" i="27"/>
  <c r="H134" i="18" s="1"/>
  <c r="I134" i="18" s="1"/>
  <c r="L134" i="18" s="1"/>
  <c r="BF47" i="27"/>
  <c r="H45" i="12" s="1"/>
  <c r="I45" i="12" s="1"/>
  <c r="L45" i="12" s="1"/>
  <c r="BF89" i="27"/>
  <c r="H87" i="12" s="1"/>
  <c r="I87" i="12" s="1"/>
  <c r="L87" i="12" s="1"/>
  <c r="BF18" i="27"/>
  <c r="H16" i="12" s="1"/>
  <c r="I16" i="12" s="1"/>
  <c r="L16" i="12" s="1"/>
  <c r="BF69" i="27"/>
  <c r="H67" i="12" s="1"/>
  <c r="I67" i="12" s="1"/>
  <c r="L67" i="12" s="1"/>
  <c r="BF114" i="27"/>
  <c r="H112" i="12" s="1"/>
  <c r="I112" i="12" s="1"/>
  <c r="L112" i="12" s="1"/>
  <c r="BF76" i="27"/>
  <c r="H74" i="12" s="1"/>
  <c r="I74" i="12" s="1"/>
  <c r="L74" i="12" s="1"/>
  <c r="BF56" i="27"/>
  <c r="H54" i="12" s="1"/>
  <c r="I54" i="12" s="1"/>
  <c r="L54" i="12" s="1"/>
  <c r="BF85" i="27"/>
  <c r="H83" i="18" s="1"/>
  <c r="I83" i="18" s="1"/>
  <c r="L83" i="18" s="1"/>
  <c r="BF112" i="27"/>
  <c r="H110" i="12" s="1"/>
  <c r="I110" i="12" s="1"/>
  <c r="L110" i="12" s="1"/>
  <c r="BF72" i="27"/>
  <c r="H70" i="18" s="1"/>
  <c r="I70" i="18" s="1"/>
  <c r="L70" i="18" s="1"/>
  <c r="BF43" i="27"/>
  <c r="H41" i="12" s="1"/>
  <c r="I41" i="12" s="1"/>
  <c r="L41" i="12" s="1"/>
  <c r="BF86" i="27"/>
  <c r="H84" i="12" s="1"/>
  <c r="I84" i="12" s="1"/>
  <c r="L84" i="12" s="1"/>
  <c r="BF22" i="27"/>
  <c r="H20" i="18" s="1"/>
  <c r="I20" i="18" s="1"/>
  <c r="L20" i="18" s="1"/>
  <c r="BF13" i="27"/>
  <c r="H11" i="12" s="1"/>
  <c r="I11" i="12" s="1"/>
  <c r="BF135" i="27"/>
  <c r="H133" i="18" s="1"/>
  <c r="I133" i="18" s="1"/>
  <c r="L133" i="18" s="1"/>
  <c r="N133" i="18" s="1"/>
  <c r="BF91" i="27"/>
  <c r="H89" i="12" s="1"/>
  <c r="I89" i="12" s="1"/>
  <c r="L89" i="12" s="1"/>
  <c r="BF92" i="27"/>
  <c r="H90" i="18" s="1"/>
  <c r="I90" i="18" s="1"/>
  <c r="BF90" i="27"/>
  <c r="H88" i="18" s="1"/>
  <c r="I88" i="18" s="1"/>
  <c r="L88" i="18" s="1"/>
  <c r="BF11" i="27"/>
  <c r="H9" i="12" s="1"/>
  <c r="I9" i="12" s="1"/>
  <c r="BF57" i="27"/>
  <c r="H55" i="12" s="1"/>
  <c r="I55" i="12" s="1"/>
  <c r="L55" i="12" s="1"/>
  <c r="BF95" i="27"/>
  <c r="H93" i="12" s="1"/>
  <c r="I93" i="12" s="1"/>
  <c r="BF84" i="27"/>
  <c r="H82" i="18" s="1"/>
  <c r="I82" i="18" s="1"/>
  <c r="L82" i="18" s="1"/>
  <c r="BF30" i="27"/>
  <c r="H28" i="18" s="1"/>
  <c r="I28" i="18" s="1"/>
  <c r="L28" i="18" s="1"/>
  <c r="BF122" i="27"/>
  <c r="H120" i="12" s="1"/>
  <c r="I120" i="12" s="1"/>
  <c r="L120" i="12" s="1"/>
  <c r="BF20" i="27"/>
  <c r="H18" i="18" s="1"/>
  <c r="I18" i="18" s="1"/>
  <c r="L18" i="18" s="1"/>
  <c r="BF88" i="27"/>
  <c r="H86" i="12" s="1"/>
  <c r="I86" i="12" s="1"/>
  <c r="L86" i="12" s="1"/>
  <c r="BF121" i="27"/>
  <c r="H119" i="12" s="1"/>
  <c r="I119" i="12" s="1"/>
  <c r="L119" i="12" s="1"/>
  <c r="BF25" i="27"/>
  <c r="H23" i="18" s="1"/>
  <c r="I23" i="18" s="1"/>
  <c r="L23" i="18" s="1"/>
  <c r="BF49" i="27"/>
  <c r="H47" i="12" s="1"/>
  <c r="I47" i="12" s="1"/>
  <c r="L47" i="12" s="1"/>
  <c r="BF35" i="27"/>
  <c r="H33" i="18" s="1"/>
  <c r="I33" i="18" s="1"/>
  <c r="L33" i="18" s="1"/>
  <c r="BF31" i="27"/>
  <c r="H29" i="18" s="1"/>
  <c r="I29" i="18" s="1"/>
  <c r="L29" i="18" s="1"/>
  <c r="BF52" i="27"/>
  <c r="H50" i="18" s="1"/>
  <c r="I50" i="18" s="1"/>
  <c r="BF28" i="27"/>
  <c r="H26" i="12" s="1"/>
  <c r="I26" i="12" s="1"/>
  <c r="L26" i="12" s="1"/>
  <c r="BF116" i="27"/>
  <c r="H114" i="18" s="1"/>
  <c r="I114" i="18" s="1"/>
  <c r="L114" i="18" s="1"/>
  <c r="BF80" i="27"/>
  <c r="H78" i="18" s="1"/>
  <c r="I78" i="18" s="1"/>
  <c r="BF37" i="27"/>
  <c r="H35" i="18" s="1"/>
  <c r="I35" i="18" s="1"/>
  <c r="L35" i="18" s="1"/>
  <c r="BF38" i="27"/>
  <c r="H36" i="18" s="1"/>
  <c r="I36" i="18" s="1"/>
  <c r="L36" i="18" s="1"/>
  <c r="BF103" i="27"/>
  <c r="H101" i="12" s="1"/>
  <c r="I101" i="12" s="1"/>
  <c r="L101" i="12" s="1"/>
  <c r="BF36" i="27"/>
  <c r="H34" i="12" s="1"/>
  <c r="I34" i="12" s="1"/>
  <c r="L34" i="12" s="1"/>
  <c r="BF24" i="27"/>
  <c r="H22" i="18" s="1"/>
  <c r="I22" i="18" s="1"/>
  <c r="L22" i="18" s="1"/>
  <c r="BF23" i="27"/>
  <c r="H21" i="18" s="1"/>
  <c r="I21" i="18" s="1"/>
  <c r="L21" i="18" s="1"/>
  <c r="BF78" i="27"/>
  <c r="H76" i="12" s="1"/>
  <c r="I76" i="12" s="1"/>
  <c r="L76" i="12" s="1"/>
  <c r="BF27" i="27"/>
  <c r="H25" i="12" s="1"/>
  <c r="I25" i="12" s="1"/>
  <c r="L25" i="12" s="1"/>
  <c r="BF15" i="27"/>
  <c r="H13" i="12" s="1"/>
  <c r="I13" i="12" s="1"/>
  <c r="L13" i="12" s="1"/>
  <c r="BF104" i="27"/>
  <c r="H102" i="18" s="1"/>
  <c r="I102" i="18" s="1"/>
  <c r="BF66" i="27"/>
  <c r="H64" i="18" s="1"/>
  <c r="I64" i="18" s="1"/>
  <c r="L64" i="18" s="1"/>
  <c r="BF26" i="27"/>
  <c r="H24" i="12" s="1"/>
  <c r="I24" i="12" s="1"/>
  <c r="L24" i="12" s="1"/>
  <c r="BF46" i="27"/>
  <c r="H44" i="18" s="1"/>
  <c r="I44" i="18" s="1"/>
  <c r="BF120" i="27"/>
  <c r="H118" i="18" s="1"/>
  <c r="I118" i="18" s="1"/>
  <c r="BF139" i="27"/>
  <c r="H137" i="18" s="1"/>
  <c r="I137" i="18" s="1"/>
  <c r="L137" i="18" s="1"/>
  <c r="BF12" i="27"/>
  <c r="H10" i="12" s="1"/>
  <c r="I10" i="12" s="1"/>
  <c r="L10" i="12" s="1"/>
  <c r="BF39" i="27"/>
  <c r="H37" i="12" s="1"/>
  <c r="I37" i="12" s="1"/>
  <c r="L37" i="12" s="1"/>
  <c r="BF98" i="27"/>
  <c r="H96" i="18" s="1"/>
  <c r="I96" i="18" s="1"/>
  <c r="L96" i="18" s="1"/>
  <c r="BF106" i="27"/>
  <c r="H104" i="12" s="1"/>
  <c r="I104" i="12" s="1"/>
  <c r="L104" i="12" s="1"/>
  <c r="BF73" i="27"/>
  <c r="BF19" i="27"/>
  <c r="BF6" i="27"/>
  <c r="BF133" i="27"/>
  <c r="BF21" i="27"/>
  <c r="BF97" i="27"/>
  <c r="BF94" i="27"/>
  <c r="BF113" i="27"/>
  <c r="BF119" i="27"/>
  <c r="BF50" i="27"/>
  <c r="BF117" i="27"/>
  <c r="BF138" i="27"/>
  <c r="BF87" i="27"/>
  <c r="BF53" i="27"/>
  <c r="BF14" i="27"/>
  <c r="BF110" i="27"/>
  <c r="BF77" i="27"/>
  <c r="BF79" i="27"/>
  <c r="BF140" i="27"/>
  <c r="BF75" i="27"/>
  <c r="BF29" i="27"/>
  <c r="BF71" i="27"/>
  <c r="BF123" i="27"/>
  <c r="BF82" i="27"/>
  <c r="BF34" i="27"/>
  <c r="BF48" i="27"/>
  <c r="BF63" i="27"/>
  <c r="BF126" i="27"/>
  <c r="BF108" i="27"/>
  <c r="H30" i="18"/>
  <c r="I30" i="18" s="1"/>
  <c r="L30" i="18" s="1"/>
  <c r="H30" i="12"/>
  <c r="I30" i="12" s="1"/>
  <c r="L30" i="12" s="1"/>
  <c r="H40" i="12"/>
  <c r="I40" i="12" s="1"/>
  <c r="L40" i="12" s="1"/>
  <c r="H40" i="18"/>
  <c r="I40" i="18" s="1"/>
  <c r="L40" i="18" s="1"/>
  <c r="H49" i="18"/>
  <c r="I49" i="18" s="1"/>
  <c r="L49" i="18" s="1"/>
  <c r="H49" i="12"/>
  <c r="I49" i="12" s="1"/>
  <c r="L49" i="12" s="1"/>
  <c r="BF65" i="27"/>
  <c r="BF40" i="27"/>
  <c r="BF102" i="27"/>
  <c r="BF16" i="27"/>
  <c r="BF107" i="27"/>
  <c r="BF58" i="27"/>
  <c r="BF33" i="27"/>
  <c r="BF17" i="27"/>
  <c r="BF93" i="27"/>
  <c r="BF134" i="27"/>
  <c r="BF83" i="27"/>
  <c r="BF124" i="27"/>
  <c r="BF132" i="27"/>
  <c r="BF125" i="27"/>
  <c r="BF100" i="27"/>
  <c r="BF68" i="27"/>
  <c r="N135" i="18"/>
  <c r="Z135" i="18" s="1"/>
  <c r="BF131" i="27"/>
  <c r="BF64" i="27"/>
  <c r="BF105" i="27"/>
  <c r="BF127" i="27"/>
  <c r="BF130" i="27"/>
  <c r="BF55" i="27"/>
  <c r="BF9" i="27"/>
  <c r="BF129" i="27"/>
  <c r="BF118" i="27"/>
  <c r="BF10" i="27"/>
  <c r="N135" i="12" l="1"/>
  <c r="Z135" i="12" s="1"/>
  <c r="H5" i="18"/>
  <c r="I5" i="18" s="1"/>
  <c r="L5" i="18" s="1"/>
  <c r="H16" i="18"/>
  <c r="I16" i="18" s="1"/>
  <c r="H39" i="12"/>
  <c r="I39" i="12" s="1"/>
  <c r="L39" i="12" s="1"/>
  <c r="H126" i="18"/>
  <c r="I126" i="18" s="1"/>
  <c r="L126" i="18" s="1"/>
  <c r="H21" i="12"/>
  <c r="I21" i="12" s="1"/>
  <c r="L21" i="12" s="1"/>
  <c r="H45" i="18"/>
  <c r="I45" i="18" s="1"/>
  <c r="L45" i="18" s="1"/>
  <c r="H110" i="18"/>
  <c r="I110" i="18" s="1"/>
  <c r="L110" i="18" s="1"/>
  <c r="N110" i="18" s="1"/>
  <c r="Z110" i="18" s="1"/>
  <c r="H13" i="18"/>
  <c r="I13" i="18" s="1"/>
  <c r="L13" i="18" s="1"/>
  <c r="H120" i="18"/>
  <c r="I120" i="18" s="1"/>
  <c r="L120" i="18" s="1"/>
  <c r="H22" i="12"/>
  <c r="I22" i="12" s="1"/>
  <c r="L22" i="12" s="1"/>
  <c r="H55" i="18"/>
  <c r="I55" i="18" s="1"/>
  <c r="L55" i="18" s="1"/>
  <c r="H67" i="18"/>
  <c r="I67" i="18" s="1"/>
  <c r="L67" i="18" s="1"/>
  <c r="H44" i="12"/>
  <c r="I44" i="12" s="1"/>
  <c r="H35" i="12"/>
  <c r="I35" i="12" s="1"/>
  <c r="L35" i="12" s="1"/>
  <c r="H23" i="12"/>
  <c r="I23" i="12" s="1"/>
  <c r="L23" i="12" s="1"/>
  <c r="H83" i="12"/>
  <c r="I83" i="12" s="1"/>
  <c r="L83" i="12" s="1"/>
  <c r="H60" i="18"/>
  <c r="I60" i="18" s="1"/>
  <c r="L60" i="18" s="1"/>
  <c r="H74" i="18"/>
  <c r="I74" i="18" s="1"/>
  <c r="L74" i="18" s="1"/>
  <c r="H89" i="18"/>
  <c r="I89" i="18" s="1"/>
  <c r="L89" i="18" s="1"/>
  <c r="H37" i="18"/>
  <c r="I37" i="18" s="1"/>
  <c r="L37" i="18" s="1"/>
  <c r="H84" i="18"/>
  <c r="I84" i="18" s="1"/>
  <c r="L84" i="18" s="1"/>
  <c r="H134" i="12"/>
  <c r="I134" i="12" s="1"/>
  <c r="L134" i="12" s="1"/>
  <c r="H50" i="12"/>
  <c r="I50" i="12" s="1"/>
  <c r="H58" i="12"/>
  <c r="I58" i="12" s="1"/>
  <c r="L58" i="12" s="1"/>
  <c r="H87" i="18"/>
  <c r="I87" i="18" s="1"/>
  <c r="L87" i="18" s="1"/>
  <c r="H82" i="12"/>
  <c r="I82" i="12" s="1"/>
  <c r="L82" i="12" s="1"/>
  <c r="H70" i="12"/>
  <c r="I70" i="12" s="1"/>
  <c r="L70" i="12" s="1"/>
  <c r="H133" i="12"/>
  <c r="I133" i="12" s="1"/>
  <c r="L133" i="12" s="1"/>
  <c r="N133" i="12" s="1"/>
  <c r="H9" i="18"/>
  <c r="I9" i="18" s="1"/>
  <c r="H24" i="18"/>
  <c r="I24" i="18" s="1"/>
  <c r="L24" i="18" s="1"/>
  <c r="H25" i="18"/>
  <c r="I25" i="18" s="1"/>
  <c r="L25" i="18" s="1"/>
  <c r="H41" i="18"/>
  <c r="I41" i="18" s="1"/>
  <c r="L41" i="18" s="1"/>
  <c r="H102" i="12"/>
  <c r="I102" i="12" s="1"/>
  <c r="H119" i="18"/>
  <c r="I119" i="18" s="1"/>
  <c r="L119" i="18" s="1"/>
  <c r="H78" i="12"/>
  <c r="I78" i="12" s="1"/>
  <c r="H28" i="12"/>
  <c r="I28" i="12" s="1"/>
  <c r="L28" i="12" s="1"/>
  <c r="H54" i="18"/>
  <c r="I54" i="18" s="1"/>
  <c r="L54" i="18" s="1"/>
  <c r="H47" i="18"/>
  <c r="I47" i="18" s="1"/>
  <c r="L47" i="18" s="1"/>
  <c r="H93" i="18"/>
  <c r="I93" i="18" s="1"/>
  <c r="H112" i="18"/>
  <c r="I112" i="18" s="1"/>
  <c r="L112" i="18" s="1"/>
  <c r="H36" i="12"/>
  <c r="I36" i="12" s="1"/>
  <c r="L36" i="12" s="1"/>
  <c r="H26" i="18"/>
  <c r="I26" i="18" s="1"/>
  <c r="L26" i="18" s="1"/>
  <c r="H88" i="12"/>
  <c r="I88" i="12" s="1"/>
  <c r="L88" i="12" s="1"/>
  <c r="H86" i="18"/>
  <c r="I86" i="18" s="1"/>
  <c r="L86" i="18" s="1"/>
  <c r="H18" i="12"/>
  <c r="I18" i="12" s="1"/>
  <c r="L18" i="12" s="1"/>
  <c r="H20" i="12"/>
  <c r="I20" i="12" s="1"/>
  <c r="L20" i="12" s="1"/>
  <c r="H118" i="12"/>
  <c r="I118" i="12" s="1"/>
  <c r="H90" i="12"/>
  <c r="I90" i="12" s="1"/>
  <c r="H96" i="12"/>
  <c r="I96" i="12" s="1"/>
  <c r="L96" i="12" s="1"/>
  <c r="H137" i="12"/>
  <c r="I137" i="12" s="1"/>
  <c r="L137" i="12" s="1"/>
  <c r="H11" i="18"/>
  <c r="I11" i="18" s="1"/>
  <c r="H101" i="18"/>
  <c r="I101" i="18" s="1"/>
  <c r="L101" i="18" s="1"/>
  <c r="H33" i="12"/>
  <c r="I33" i="12" s="1"/>
  <c r="L33" i="12" s="1"/>
  <c r="H76" i="18"/>
  <c r="I76" i="18" s="1"/>
  <c r="L76" i="18" s="1"/>
  <c r="H114" i="12"/>
  <c r="I114" i="12" s="1"/>
  <c r="L114" i="12" s="1"/>
  <c r="H64" i="12"/>
  <c r="I64" i="12" s="1"/>
  <c r="L64" i="12" s="1"/>
  <c r="H104" i="18"/>
  <c r="I104" i="18" s="1"/>
  <c r="L104" i="18" s="1"/>
  <c r="H29" i="12"/>
  <c r="I29" i="12" s="1"/>
  <c r="L29" i="12" s="1"/>
  <c r="H10" i="18"/>
  <c r="I10" i="18" s="1"/>
  <c r="L10" i="18" s="1"/>
  <c r="H34" i="18"/>
  <c r="I34" i="18" s="1"/>
  <c r="L34" i="18" s="1"/>
  <c r="N76" i="12"/>
  <c r="N35" i="18"/>
  <c r="Z35" i="18" s="1"/>
  <c r="H98" i="12"/>
  <c r="I98" i="12" s="1"/>
  <c r="L98" i="12" s="1"/>
  <c r="H98" i="18"/>
  <c r="I98" i="18" s="1"/>
  <c r="L98" i="18" s="1"/>
  <c r="H81" i="12"/>
  <c r="I81" i="12" s="1"/>
  <c r="L81" i="12" s="1"/>
  <c r="H81" i="18"/>
  <c r="I81" i="18" s="1"/>
  <c r="L81" i="18" s="1"/>
  <c r="N29" i="18"/>
  <c r="Z29" i="18" s="1"/>
  <c r="N33" i="18"/>
  <c r="Z33" i="18" s="1"/>
  <c r="H31" i="18"/>
  <c r="I31" i="18" s="1"/>
  <c r="L31" i="18" s="1"/>
  <c r="H31" i="12"/>
  <c r="I31" i="12" s="1"/>
  <c r="L31" i="12" s="1"/>
  <c r="H100" i="12"/>
  <c r="I100" i="12" s="1"/>
  <c r="L100" i="12" s="1"/>
  <c r="H100" i="18"/>
  <c r="I100" i="18" s="1"/>
  <c r="L100" i="18" s="1"/>
  <c r="H63" i="18"/>
  <c r="I63" i="18" s="1"/>
  <c r="L63" i="18" s="1"/>
  <c r="H63" i="12"/>
  <c r="I63" i="12" s="1"/>
  <c r="L63" i="12" s="1"/>
  <c r="N49" i="18"/>
  <c r="Z49" i="18" s="1"/>
  <c r="N30" i="18"/>
  <c r="Z30" i="18" s="1"/>
  <c r="H46" i="18"/>
  <c r="I46" i="18" s="1"/>
  <c r="L46" i="18" s="1"/>
  <c r="H46" i="12"/>
  <c r="I46" i="12" s="1"/>
  <c r="L46" i="12" s="1"/>
  <c r="H69" i="12"/>
  <c r="I69" i="12" s="1"/>
  <c r="L69" i="12" s="1"/>
  <c r="H69" i="18"/>
  <c r="I69" i="18" s="1"/>
  <c r="L69" i="18" s="1"/>
  <c r="H77" i="12"/>
  <c r="I77" i="12" s="1"/>
  <c r="L77" i="12" s="1"/>
  <c r="H77" i="18"/>
  <c r="I77" i="18" s="1"/>
  <c r="L77" i="18" s="1"/>
  <c r="H51" i="18"/>
  <c r="I51" i="18" s="1"/>
  <c r="H51" i="12"/>
  <c r="I51" i="12" s="1"/>
  <c r="H48" i="18"/>
  <c r="I48" i="18" s="1"/>
  <c r="L48" i="18" s="1"/>
  <c r="H48" i="12"/>
  <c r="I48" i="12" s="1"/>
  <c r="L48" i="12" s="1"/>
  <c r="N96" i="18"/>
  <c r="Z96" i="18" s="1"/>
  <c r="N54" i="12"/>
  <c r="N112" i="12"/>
  <c r="N16" i="12"/>
  <c r="N45" i="12"/>
  <c r="N126" i="12"/>
  <c r="N5" i="12"/>
  <c r="N39" i="18"/>
  <c r="Z39" i="18" s="1"/>
  <c r="H131" i="18"/>
  <c r="I131" i="18" s="1"/>
  <c r="L131" i="18" s="1"/>
  <c r="H131" i="12"/>
  <c r="I131" i="12" s="1"/>
  <c r="L131" i="12" s="1"/>
  <c r="N10" i="12"/>
  <c r="H53" i="12"/>
  <c r="I53" i="12" s="1"/>
  <c r="H53" i="18"/>
  <c r="I53" i="18" s="1"/>
  <c r="H66" i="18"/>
  <c r="I66" i="18" s="1"/>
  <c r="L66" i="18" s="1"/>
  <c r="H66" i="12"/>
  <c r="I66" i="12" s="1"/>
  <c r="L66" i="12" s="1"/>
  <c r="N13" i="12"/>
  <c r="N21" i="18"/>
  <c r="Z21" i="18" s="1"/>
  <c r="N34" i="12"/>
  <c r="N114" i="18"/>
  <c r="Z114" i="18" s="1"/>
  <c r="H123" i="18"/>
  <c r="I123" i="18" s="1"/>
  <c r="L123" i="18" s="1"/>
  <c r="H123" i="12"/>
  <c r="I123" i="12" s="1"/>
  <c r="L123" i="12" s="1"/>
  <c r="N24" i="12"/>
  <c r="N47" i="12"/>
  <c r="N23" i="18"/>
  <c r="Z23" i="18" s="1"/>
  <c r="H56" i="12"/>
  <c r="I56" i="12" s="1"/>
  <c r="L56" i="12" s="1"/>
  <c r="H56" i="18"/>
  <c r="I56" i="18" s="1"/>
  <c r="L56" i="18" s="1"/>
  <c r="H38" i="12"/>
  <c r="I38" i="12" s="1"/>
  <c r="L38" i="12" s="1"/>
  <c r="H38" i="18"/>
  <c r="I38" i="18" s="1"/>
  <c r="L38" i="18" s="1"/>
  <c r="N28" i="18"/>
  <c r="Z28" i="18" s="1"/>
  <c r="N40" i="18"/>
  <c r="Z40" i="18" s="1"/>
  <c r="H106" i="18"/>
  <c r="I106" i="18" s="1"/>
  <c r="L106" i="18" s="1"/>
  <c r="H106" i="12"/>
  <c r="I106" i="12" s="1"/>
  <c r="L106" i="12" s="1"/>
  <c r="H32" i="18"/>
  <c r="I32" i="18" s="1"/>
  <c r="L32" i="18" s="1"/>
  <c r="H32" i="12"/>
  <c r="I32" i="12" s="1"/>
  <c r="L32" i="12" s="1"/>
  <c r="H27" i="18"/>
  <c r="I27" i="18" s="1"/>
  <c r="L27" i="18" s="1"/>
  <c r="H27" i="12"/>
  <c r="I27" i="12" s="1"/>
  <c r="L27" i="12" s="1"/>
  <c r="H75" i="12"/>
  <c r="I75" i="12" s="1"/>
  <c r="L75" i="12" s="1"/>
  <c r="H75" i="18"/>
  <c r="I75" i="18" s="1"/>
  <c r="L75" i="18" s="1"/>
  <c r="H85" i="12"/>
  <c r="I85" i="12" s="1"/>
  <c r="L85" i="12" s="1"/>
  <c r="H85" i="18"/>
  <c r="I85" i="18" s="1"/>
  <c r="L85" i="18" s="1"/>
  <c r="H117" i="12"/>
  <c r="I117" i="12" s="1"/>
  <c r="L117" i="12" s="1"/>
  <c r="H117" i="18"/>
  <c r="I117" i="18" s="1"/>
  <c r="L117" i="18" s="1"/>
  <c r="N37" i="12"/>
  <c r="N18" i="18"/>
  <c r="Z18" i="18" s="1"/>
  <c r="N84" i="12"/>
  <c r="N83" i="18"/>
  <c r="Z83" i="18" s="1"/>
  <c r="N74" i="12"/>
  <c r="N67" i="12"/>
  <c r="N134" i="18"/>
  <c r="Z134" i="18" s="1"/>
  <c r="N60" i="12"/>
  <c r="H92" i="12"/>
  <c r="I92" i="12" s="1"/>
  <c r="L92" i="12" s="1"/>
  <c r="H92" i="18"/>
  <c r="I92" i="18" s="1"/>
  <c r="L92" i="18" s="1"/>
  <c r="H4" i="18"/>
  <c r="I4" i="18" s="1"/>
  <c r="L4" i="18" s="1"/>
  <c r="H4" i="12"/>
  <c r="I4" i="12" s="1"/>
  <c r="L4" i="12" s="1"/>
  <c r="H7" i="12"/>
  <c r="I7" i="12" s="1"/>
  <c r="L7" i="12" s="1"/>
  <c r="H7" i="18"/>
  <c r="I7" i="18" s="1"/>
  <c r="L7" i="18" s="1"/>
  <c r="H8" i="18"/>
  <c r="I8" i="18" s="1"/>
  <c r="L8" i="18" s="1"/>
  <c r="H8" i="12"/>
  <c r="I8" i="12" s="1"/>
  <c r="L8" i="12" s="1"/>
  <c r="H62" i="18"/>
  <c r="I62" i="18" s="1"/>
  <c r="L62" i="18" s="1"/>
  <c r="H62" i="12"/>
  <c r="I62" i="12" s="1"/>
  <c r="L62" i="12" s="1"/>
  <c r="H116" i="18"/>
  <c r="I116" i="18" s="1"/>
  <c r="L116" i="18" s="1"/>
  <c r="H116" i="12"/>
  <c r="I116" i="12" s="1"/>
  <c r="L116" i="12" s="1"/>
  <c r="H128" i="12"/>
  <c r="I128" i="12" s="1"/>
  <c r="L128" i="12" s="1"/>
  <c r="H128" i="18"/>
  <c r="I128" i="18" s="1"/>
  <c r="L128" i="18" s="1"/>
  <c r="H129" i="12"/>
  <c r="I129" i="12" s="1"/>
  <c r="H129" i="18"/>
  <c r="I129" i="18" s="1"/>
  <c r="N22" i="18"/>
  <c r="Z22" i="18" s="1"/>
  <c r="H130" i="18"/>
  <c r="I130" i="18" s="1"/>
  <c r="L130" i="18" s="1"/>
  <c r="H130" i="12"/>
  <c r="I130" i="12" s="1"/>
  <c r="L130" i="12" s="1"/>
  <c r="H91" i="12"/>
  <c r="I91" i="12" s="1"/>
  <c r="L91" i="12" s="1"/>
  <c r="H91" i="18"/>
  <c r="I91" i="18" s="1"/>
  <c r="L91" i="18" s="1"/>
  <c r="H105" i="18"/>
  <c r="I105" i="18" s="1"/>
  <c r="L105" i="18" s="1"/>
  <c r="H105" i="12"/>
  <c r="I105" i="12" s="1"/>
  <c r="L105" i="12" s="1"/>
  <c r="N119" i="12"/>
  <c r="N82" i="18"/>
  <c r="Z82" i="18" s="1"/>
  <c r="N88" i="18"/>
  <c r="Z88" i="18" s="1"/>
  <c r="N64" i="18"/>
  <c r="Z64" i="18" s="1"/>
  <c r="N40" i="12"/>
  <c r="H124" i="12"/>
  <c r="I124" i="12" s="1"/>
  <c r="L124" i="12" s="1"/>
  <c r="H124" i="18"/>
  <c r="I124" i="18" s="1"/>
  <c r="L124" i="18" s="1"/>
  <c r="H80" i="12"/>
  <c r="I80" i="12" s="1"/>
  <c r="H80" i="18"/>
  <c r="I80" i="18" s="1"/>
  <c r="H73" i="12"/>
  <c r="I73" i="12" s="1"/>
  <c r="L73" i="12" s="1"/>
  <c r="H73" i="18"/>
  <c r="I73" i="18" s="1"/>
  <c r="L73" i="18" s="1"/>
  <c r="H108" i="18"/>
  <c r="I108" i="18" s="1"/>
  <c r="L108" i="18" s="1"/>
  <c r="H108" i="12"/>
  <c r="I108" i="12" s="1"/>
  <c r="L108" i="12" s="1"/>
  <c r="H136" i="18"/>
  <c r="I136" i="18" s="1"/>
  <c r="L136" i="18" s="1"/>
  <c r="H136" i="12"/>
  <c r="I136" i="12" s="1"/>
  <c r="L136" i="12" s="1"/>
  <c r="H111" i="12"/>
  <c r="I111" i="12" s="1"/>
  <c r="L111" i="12" s="1"/>
  <c r="H111" i="18"/>
  <c r="I111" i="18" s="1"/>
  <c r="L111" i="18" s="1"/>
  <c r="N104" i="12"/>
  <c r="N110" i="12"/>
  <c r="N87" i="12"/>
  <c r="N58" i="18"/>
  <c r="Z58" i="18" s="1"/>
  <c r="H95" i="18"/>
  <c r="I95" i="18" s="1"/>
  <c r="H95" i="12"/>
  <c r="I95" i="12" s="1"/>
  <c r="H17" i="12"/>
  <c r="I17" i="12" s="1"/>
  <c r="L17" i="12" s="1"/>
  <c r="H17" i="18"/>
  <c r="I17" i="18" s="1"/>
  <c r="L17" i="18" s="1"/>
  <c r="H103" i="12"/>
  <c r="I103" i="12" s="1"/>
  <c r="L103" i="12" s="1"/>
  <c r="H103" i="18"/>
  <c r="I103" i="18" s="1"/>
  <c r="L103" i="18" s="1"/>
  <c r="H127" i="18"/>
  <c r="I127" i="18" s="1"/>
  <c r="L127" i="18" s="1"/>
  <c r="H127" i="12"/>
  <c r="I127" i="12" s="1"/>
  <c r="L127" i="12" s="1"/>
  <c r="H125" i="12"/>
  <c r="I125" i="12" s="1"/>
  <c r="L125" i="12" s="1"/>
  <c r="H125" i="18"/>
  <c r="I125" i="18" s="1"/>
  <c r="L125" i="18" s="1"/>
  <c r="N137" i="18"/>
  <c r="Z137" i="18" s="1"/>
  <c r="N25" i="12"/>
  <c r="N101" i="12"/>
  <c r="N36" i="18"/>
  <c r="H122" i="12"/>
  <c r="I122" i="12" s="1"/>
  <c r="L122" i="12" s="1"/>
  <c r="H122" i="18"/>
  <c r="I122" i="18" s="1"/>
  <c r="L122" i="18" s="1"/>
  <c r="H132" i="12"/>
  <c r="I132" i="12" s="1"/>
  <c r="L132" i="12" s="1"/>
  <c r="H132" i="18"/>
  <c r="I132" i="18" s="1"/>
  <c r="L132" i="18" s="1"/>
  <c r="H15" i="18"/>
  <c r="I15" i="18" s="1"/>
  <c r="L15" i="18" s="1"/>
  <c r="H15" i="12"/>
  <c r="I15" i="12" s="1"/>
  <c r="L15" i="12" s="1"/>
  <c r="H14" i="12"/>
  <c r="I14" i="12" s="1"/>
  <c r="L14" i="12" s="1"/>
  <c r="H14" i="18"/>
  <c r="I14" i="18" s="1"/>
  <c r="L14" i="18" s="1"/>
  <c r="N55" i="12"/>
  <c r="N49" i="12"/>
  <c r="N30" i="12"/>
  <c r="H61" i="18"/>
  <c r="I61" i="18" s="1"/>
  <c r="H61" i="12"/>
  <c r="I61" i="12" s="1"/>
  <c r="H121" i="12"/>
  <c r="I121" i="12" s="1"/>
  <c r="L121" i="12" s="1"/>
  <c r="H121" i="18"/>
  <c r="I121" i="18" s="1"/>
  <c r="L121" i="18" s="1"/>
  <c r="H138" i="12"/>
  <c r="I138" i="12" s="1"/>
  <c r="L138" i="12" s="1"/>
  <c r="H138" i="18"/>
  <c r="I138" i="18" s="1"/>
  <c r="L138" i="18" s="1"/>
  <c r="H12" i="12"/>
  <c r="I12" i="12" s="1"/>
  <c r="L12" i="12" s="1"/>
  <c r="H12" i="18"/>
  <c r="I12" i="18" s="1"/>
  <c r="L12" i="18" s="1"/>
  <c r="H115" i="18"/>
  <c r="I115" i="18" s="1"/>
  <c r="L115" i="18" s="1"/>
  <c r="H115" i="12"/>
  <c r="I115" i="12" s="1"/>
  <c r="L115" i="12" s="1"/>
  <c r="N26" i="12"/>
  <c r="N86" i="12"/>
  <c r="N120" i="12"/>
  <c r="N20" i="18"/>
  <c r="Z20" i="18" s="1"/>
  <c r="N70" i="18"/>
  <c r="Z70" i="18" s="1"/>
  <c r="N41" i="12"/>
  <c r="N45" i="18"/>
  <c r="Z45" i="18" s="1"/>
  <c r="H19" i="12"/>
  <c r="I19" i="12" s="1"/>
  <c r="L19" i="12" s="1"/>
  <c r="H19" i="18"/>
  <c r="I19" i="18" s="1"/>
  <c r="L19" i="18" s="1"/>
  <c r="H71" i="12"/>
  <c r="I71" i="12" s="1"/>
  <c r="L71" i="12" s="1"/>
  <c r="H71" i="18"/>
  <c r="I71" i="18" s="1"/>
  <c r="L71" i="18" s="1"/>
  <c r="N89" i="12"/>
  <c r="L16" i="18" l="1"/>
  <c r="N16" i="18" s="1"/>
  <c r="Z16" i="18" s="1"/>
  <c r="N5" i="18"/>
  <c r="Z5" i="18" s="1"/>
  <c r="N13" i="18"/>
  <c r="Z13" i="18" s="1"/>
  <c r="N76" i="18"/>
  <c r="Z76" i="18" s="1"/>
  <c r="N25" i="18"/>
  <c r="Z25" i="18" s="1"/>
  <c r="N89" i="18"/>
  <c r="Z89" i="18" s="1"/>
  <c r="N55" i="18"/>
  <c r="Z55" i="18" s="1"/>
  <c r="N10" i="18"/>
  <c r="Z10" i="18" s="1"/>
  <c r="N112" i="18"/>
  <c r="Z112" i="18" s="1"/>
  <c r="N41" i="18"/>
  <c r="Z41" i="18" s="1"/>
  <c r="N37" i="18"/>
  <c r="Z37" i="18" s="1"/>
  <c r="N67" i="18"/>
  <c r="Z67" i="18" s="1"/>
  <c r="N126" i="18"/>
  <c r="Z126" i="18" s="1"/>
  <c r="N104" i="18"/>
  <c r="Z104" i="18" s="1"/>
  <c r="N26" i="18"/>
  <c r="Z26" i="18" s="1"/>
  <c r="N47" i="18"/>
  <c r="Z47" i="18" s="1"/>
  <c r="N119" i="18"/>
  <c r="Z119" i="18" s="1"/>
  <c r="N24" i="18"/>
  <c r="Z24" i="18" s="1"/>
  <c r="N74" i="18"/>
  <c r="Z74" i="18" s="1"/>
  <c r="N34" i="18"/>
  <c r="Z34" i="18" s="1"/>
  <c r="N101" i="18"/>
  <c r="Z101" i="18" s="1"/>
  <c r="N86" i="18"/>
  <c r="Z86" i="18" s="1"/>
  <c r="N54" i="18"/>
  <c r="Z54" i="18" s="1"/>
  <c r="N87" i="18"/>
  <c r="Z87" i="18" s="1"/>
  <c r="N84" i="18"/>
  <c r="Z84" i="18" s="1"/>
  <c r="N60" i="18"/>
  <c r="Z60" i="18" s="1"/>
  <c r="N120" i="18"/>
  <c r="Z120" i="18" s="1"/>
  <c r="N39" i="12"/>
  <c r="N36" i="12"/>
  <c r="N21" i="12"/>
  <c r="N114" i="12"/>
  <c r="N88" i="12"/>
  <c r="N28" i="12"/>
  <c r="N58" i="12"/>
  <c r="N83" i="12"/>
  <c r="N64" i="12"/>
  <c r="N29" i="12"/>
  <c r="N137" i="12"/>
  <c r="N20" i="12"/>
  <c r="N70" i="12"/>
  <c r="N23" i="12"/>
  <c r="N33" i="12"/>
  <c r="N96" i="12"/>
  <c r="N18" i="12"/>
  <c r="N82" i="12"/>
  <c r="N134" i="12"/>
  <c r="N35" i="12"/>
  <c r="N22" i="12"/>
  <c r="Z89" i="12"/>
  <c r="Z30" i="12"/>
  <c r="Z47" i="12"/>
  <c r="Z13" i="12"/>
  <c r="Z16" i="12"/>
  <c r="Z26" i="12"/>
  <c r="Z49" i="12"/>
  <c r="Z25" i="12"/>
  <c r="Z110" i="12"/>
  <c r="Z119" i="12"/>
  <c r="Z60" i="12"/>
  <c r="Z67" i="12"/>
  <c r="Z84" i="12"/>
  <c r="Z24" i="12"/>
  <c r="Z10" i="12"/>
  <c r="Z5" i="12"/>
  <c r="Z112" i="12"/>
  <c r="Z76" i="12"/>
  <c r="Z120" i="12"/>
  <c r="Z87" i="12"/>
  <c r="Z104" i="12"/>
  <c r="Z74" i="12"/>
  <c r="Z34" i="12"/>
  <c r="Z126" i="12"/>
  <c r="Z54" i="12"/>
  <c r="Z41" i="12"/>
  <c r="Z86" i="12"/>
  <c r="Z55" i="12"/>
  <c r="Z101" i="12"/>
  <c r="Z40" i="12"/>
  <c r="Z37" i="12"/>
  <c r="Z45" i="12"/>
  <c r="N138" i="12"/>
  <c r="N15" i="18"/>
  <c r="Z15" i="18" s="1"/>
  <c r="N122" i="12"/>
  <c r="N19" i="18"/>
  <c r="Z19" i="18" s="1"/>
  <c r="N12" i="18"/>
  <c r="Z12" i="18" s="1"/>
  <c r="N121" i="18"/>
  <c r="Z121" i="18" s="1"/>
  <c r="N14" i="18"/>
  <c r="Z14" i="18" s="1"/>
  <c r="N132" i="18"/>
  <c r="Z132" i="18" s="1"/>
  <c r="N127" i="12"/>
  <c r="N103" i="18"/>
  <c r="Z103" i="18" s="1"/>
  <c r="N17" i="18"/>
  <c r="Z17" i="18" s="1"/>
  <c r="N111" i="18"/>
  <c r="Z111" i="18" s="1"/>
  <c r="N108" i="12"/>
  <c r="N91" i="18"/>
  <c r="Z91" i="18" s="1"/>
  <c r="N128" i="18"/>
  <c r="Z128" i="18" s="1"/>
  <c r="N62" i="12"/>
  <c r="N7" i="18"/>
  <c r="Z7" i="18" s="1"/>
  <c r="N92" i="18"/>
  <c r="Z92" i="18" s="1"/>
  <c r="N85" i="18"/>
  <c r="Z85" i="18" s="1"/>
  <c r="N27" i="12"/>
  <c r="N106" i="12"/>
  <c r="N56" i="18"/>
  <c r="Z56" i="18" s="1"/>
  <c r="N123" i="12"/>
  <c r="N131" i="12"/>
  <c r="N69" i="18"/>
  <c r="Z69" i="18" s="1"/>
  <c r="N63" i="12"/>
  <c r="N100" i="18"/>
  <c r="Z100" i="18" s="1"/>
  <c r="N98" i="18"/>
  <c r="Z98" i="18" s="1"/>
  <c r="N71" i="12"/>
  <c r="N19" i="12"/>
  <c r="N121" i="12"/>
  <c r="N132" i="12"/>
  <c r="N103" i="12"/>
  <c r="N17" i="12"/>
  <c r="N111" i="12"/>
  <c r="N108" i="18"/>
  <c r="Z108" i="18" s="1"/>
  <c r="N91" i="12"/>
  <c r="N128" i="12"/>
  <c r="N62" i="18"/>
  <c r="Z62" i="18" s="1"/>
  <c r="N7" i="12"/>
  <c r="N92" i="12"/>
  <c r="N85" i="12"/>
  <c r="N27" i="18"/>
  <c r="Z27" i="18" s="1"/>
  <c r="N106" i="18"/>
  <c r="Z106" i="18" s="1"/>
  <c r="N56" i="12"/>
  <c r="N123" i="18"/>
  <c r="Z123" i="18" s="1"/>
  <c r="N131" i="18"/>
  <c r="Z131" i="18" s="1"/>
  <c r="N69" i="12"/>
  <c r="N63" i="18"/>
  <c r="Z63" i="18" s="1"/>
  <c r="N100" i="12"/>
  <c r="N98" i="12"/>
  <c r="N12" i="12"/>
  <c r="N14" i="12"/>
  <c r="N127" i="18"/>
  <c r="Z127" i="18" s="1"/>
  <c r="N71" i="18"/>
  <c r="Z71" i="18" s="1"/>
  <c r="N115" i="12"/>
  <c r="N138" i="18"/>
  <c r="Z138" i="18" s="1"/>
  <c r="N15" i="12"/>
  <c r="N122" i="18"/>
  <c r="Z122" i="18" s="1"/>
  <c r="N125" i="18"/>
  <c r="Z125" i="18" s="1"/>
  <c r="N136" i="12"/>
  <c r="N73" i="18"/>
  <c r="Z73" i="18" s="1"/>
  <c r="N124" i="18"/>
  <c r="Z124" i="18" s="1"/>
  <c r="N105" i="12"/>
  <c r="N130" i="12"/>
  <c r="N116" i="12"/>
  <c r="N8" i="12"/>
  <c r="N117" i="18"/>
  <c r="Z117" i="18" s="1"/>
  <c r="N75" i="18"/>
  <c r="Z75" i="18" s="1"/>
  <c r="N32" i="12"/>
  <c r="N38" i="18"/>
  <c r="Z38" i="18" s="1"/>
  <c r="N66" i="12"/>
  <c r="N48" i="12"/>
  <c r="N77" i="18"/>
  <c r="Z77" i="18" s="1"/>
  <c r="N46" i="12"/>
  <c r="N31" i="12"/>
  <c r="N81" i="18"/>
  <c r="Z81" i="18" s="1"/>
  <c r="N115" i="18"/>
  <c r="Z115" i="18" s="1"/>
  <c r="N125" i="12"/>
  <c r="N136" i="18"/>
  <c r="Z136" i="18" s="1"/>
  <c r="N73" i="12"/>
  <c r="N124" i="12"/>
  <c r="N105" i="18"/>
  <c r="Z105" i="18" s="1"/>
  <c r="N130" i="18"/>
  <c r="Z130" i="18" s="1"/>
  <c r="N116" i="18"/>
  <c r="Z116" i="18" s="1"/>
  <c r="N8" i="18"/>
  <c r="Z8" i="18" s="1"/>
  <c r="N117" i="12"/>
  <c r="N75" i="12"/>
  <c r="N32" i="18"/>
  <c r="Z32" i="18" s="1"/>
  <c r="N38" i="12"/>
  <c r="N66" i="18"/>
  <c r="Z66" i="18" s="1"/>
  <c r="N48" i="18"/>
  <c r="Z48" i="18" s="1"/>
  <c r="N77" i="12"/>
  <c r="N46" i="18"/>
  <c r="Z46" i="18" s="1"/>
  <c r="N31" i="18"/>
  <c r="Z31" i="18" s="1"/>
  <c r="N81" i="12"/>
  <c r="Z35" i="12" l="1"/>
  <c r="Z20" i="12"/>
  <c r="Z88" i="12"/>
  <c r="Z134" i="12"/>
  <c r="Z137" i="12"/>
  <c r="Z82" i="12"/>
  <c r="Z23" i="12"/>
  <c r="Z29" i="12"/>
  <c r="Z21" i="12"/>
  <c r="Z96" i="12"/>
  <c r="Z83" i="12"/>
  <c r="Z39" i="12"/>
  <c r="Z33" i="12"/>
  <c r="Z58" i="12"/>
  <c r="Z114" i="12"/>
  <c r="Z22" i="12"/>
  <c r="Z18" i="12"/>
  <c r="Z70" i="12"/>
  <c r="Z64" i="12"/>
  <c r="Z28" i="12"/>
  <c r="Z36" i="12"/>
  <c r="Z124" i="12"/>
  <c r="Z81" i="12"/>
  <c r="Z75" i="12"/>
  <c r="Z73" i="12"/>
  <c r="Z48" i="12"/>
  <c r="Z116" i="12"/>
  <c r="Z15" i="12"/>
  <c r="Z100" i="12"/>
  <c r="Z85" i="12"/>
  <c r="Z128" i="12"/>
  <c r="Z17" i="12"/>
  <c r="Z19" i="12"/>
  <c r="Z63" i="12"/>
  <c r="Z117" i="12"/>
  <c r="Z31" i="12"/>
  <c r="Z66" i="12"/>
  <c r="Z130" i="12"/>
  <c r="Z136" i="12"/>
  <c r="Z14" i="12"/>
  <c r="Z56" i="12"/>
  <c r="Z92" i="12"/>
  <c r="Z91" i="12"/>
  <c r="Z103" i="12"/>
  <c r="Z71" i="12"/>
  <c r="Z106" i="12"/>
  <c r="Z108" i="12"/>
  <c r="Z127" i="12"/>
  <c r="Z138" i="12"/>
  <c r="Z38" i="12"/>
  <c r="Z125" i="12"/>
  <c r="Z46" i="12"/>
  <c r="Z105" i="12"/>
  <c r="Z115" i="12"/>
  <c r="Z12" i="12"/>
  <c r="Z69" i="12"/>
  <c r="Z7" i="12"/>
  <c r="Z132" i="12"/>
  <c r="Z131" i="12"/>
  <c r="Z27" i="12"/>
  <c r="Z62" i="12"/>
  <c r="Z77" i="12"/>
  <c r="Z32" i="12"/>
  <c r="Z8" i="12"/>
  <c r="Z98" i="12"/>
  <c r="Z111" i="12"/>
  <c r="Z121" i="12"/>
  <c r="Z123" i="12"/>
  <c r="Z122" i="12"/>
  <c r="N4" i="12"/>
  <c r="N4" i="18"/>
  <c r="Z4" i="18" s="1"/>
  <c r="AA66" i="18" s="1"/>
  <c r="AA98" i="18" l="1"/>
  <c r="AA108" i="18"/>
  <c r="AA103" i="18"/>
  <c r="AA71" i="18"/>
  <c r="AA19" i="18"/>
  <c r="AA91" i="18"/>
  <c r="AA12" i="18"/>
  <c r="AA63" i="18"/>
  <c r="AA100" i="18"/>
  <c r="AA127" i="18"/>
  <c r="AA27" i="18"/>
  <c r="AA121" i="18"/>
  <c r="AA92" i="18"/>
  <c r="AA62" i="18"/>
  <c r="AA73" i="18"/>
  <c r="AA128" i="18"/>
  <c r="AA77" i="18"/>
  <c r="AA132" i="18"/>
  <c r="AA56" i="18"/>
  <c r="AA123" i="18"/>
  <c r="AA116" i="18"/>
  <c r="AA85" i="18"/>
  <c r="AA81" i="18"/>
  <c r="AA130" i="18"/>
  <c r="AA136" i="18"/>
  <c r="AA125" i="18"/>
  <c r="AA14" i="18"/>
  <c r="AA7" i="18"/>
  <c r="AA69" i="18"/>
  <c r="AA105" i="18"/>
  <c r="Z4" i="12"/>
  <c r="AA106" i="18"/>
  <c r="AA17" i="18"/>
  <c r="AA138" i="18"/>
  <c r="AA72" i="18"/>
  <c r="AA57" i="18"/>
  <c r="AA52" i="18"/>
  <c r="AA65" i="18"/>
  <c r="AA43" i="18"/>
  <c r="AA42" i="18"/>
  <c r="AA113" i="18"/>
  <c r="AA109" i="18"/>
  <c r="AA4" i="18"/>
  <c r="AA79" i="18"/>
  <c r="AA97" i="18"/>
  <c r="AA68" i="18"/>
  <c r="AA59" i="18"/>
  <c r="AA94" i="18"/>
  <c r="AA107" i="18"/>
  <c r="AA6" i="18"/>
  <c r="AA135" i="18"/>
  <c r="AA83" i="18"/>
  <c r="AA26" i="18"/>
  <c r="AA89" i="18"/>
  <c r="AA36" i="18"/>
  <c r="AA47" i="18"/>
  <c r="AA34" i="18"/>
  <c r="AA55" i="18"/>
  <c r="AA86" i="18"/>
  <c r="AA74" i="18"/>
  <c r="AA28" i="18"/>
  <c r="AA33" i="18"/>
  <c r="AA84" i="18"/>
  <c r="AA39" i="18"/>
  <c r="AA10" i="18"/>
  <c r="AA29" i="18"/>
  <c r="AA5" i="18"/>
  <c r="AA24" i="18"/>
  <c r="AA114" i="18"/>
  <c r="AA87" i="18"/>
  <c r="AA35" i="18"/>
  <c r="AA45" i="18"/>
  <c r="AA64" i="18"/>
  <c r="AA22" i="18"/>
  <c r="AA112" i="18"/>
  <c r="AA16" i="18"/>
  <c r="AA110" i="18"/>
  <c r="AA54" i="18"/>
  <c r="AA60" i="18"/>
  <c r="AA70" i="18"/>
  <c r="AA67" i="18"/>
  <c r="AA25" i="18"/>
  <c r="AA82" i="18"/>
  <c r="AA18" i="18"/>
  <c r="AA21" i="18"/>
  <c r="AA96" i="18"/>
  <c r="AA13" i="18"/>
  <c r="AA20" i="18"/>
  <c r="AA104" i="18"/>
  <c r="AA41" i="18"/>
  <c r="AA126" i="18"/>
  <c r="AA119" i="18"/>
  <c r="AA88" i="18"/>
  <c r="AA76" i="18"/>
  <c r="AA37" i="18"/>
  <c r="AA134" i="18"/>
  <c r="AA101" i="18"/>
  <c r="AA40" i="18"/>
  <c r="AA30" i="18"/>
  <c r="AA137" i="18"/>
  <c r="AA58" i="18"/>
  <c r="AA49" i="18"/>
  <c r="AA23" i="18"/>
  <c r="AA120" i="18"/>
  <c r="AA122" i="18"/>
  <c r="AA15" i="18"/>
  <c r="AA31" i="18"/>
  <c r="AA124" i="18"/>
  <c r="AA46" i="18"/>
  <c r="AA38" i="18"/>
  <c r="AA115" i="18"/>
  <c r="AA75" i="18"/>
  <c r="AA111" i="18"/>
  <c r="AA32" i="18"/>
  <c r="AA117" i="18"/>
  <c r="AA131" i="18"/>
  <c r="AA8" i="18"/>
  <c r="AA48" i="18"/>
  <c r="AA112" i="12" l="1"/>
  <c r="AA43" i="12"/>
  <c r="AA60" i="12"/>
  <c r="AA68" i="12"/>
  <c r="AA120" i="12"/>
  <c r="AA131" i="12"/>
  <c r="AA8" i="12"/>
  <c r="AA117" i="12"/>
  <c r="AA87" i="12"/>
  <c r="AA55" i="12"/>
  <c r="AA54" i="12"/>
  <c r="AA113" i="12"/>
  <c r="AA27" i="12"/>
  <c r="AA30" i="12"/>
  <c r="AA13" i="12"/>
  <c r="AA25" i="12"/>
  <c r="AA135" i="12"/>
  <c r="AA97" i="12"/>
  <c r="AA48" i="12"/>
  <c r="AA128" i="12"/>
  <c r="AA21" i="12"/>
  <c r="AA20" i="12"/>
  <c r="AA137" i="12"/>
  <c r="AA94" i="12"/>
  <c r="AA17" i="12"/>
  <c r="AA66" i="12"/>
  <c r="AA38" i="12"/>
  <c r="AA45" i="12"/>
  <c r="AA67" i="12"/>
  <c r="AA18" i="12"/>
  <c r="AA114" i="12"/>
  <c r="AA23" i="12"/>
  <c r="AA134" i="12"/>
  <c r="AA41" i="12"/>
  <c r="AA72" i="12"/>
  <c r="AA4" i="12"/>
  <c r="AA71" i="12"/>
  <c r="AA130" i="12"/>
  <c r="AA69" i="12"/>
  <c r="AA70" i="12"/>
  <c r="AA110" i="12"/>
  <c r="AA88" i="12"/>
  <c r="AA126" i="12"/>
  <c r="AA101" i="12"/>
  <c r="AA83" i="12"/>
  <c r="AA40" i="12"/>
  <c r="AA65" i="12"/>
  <c r="AA107" i="12"/>
  <c r="AA12" i="12"/>
  <c r="AA81" i="12"/>
  <c r="AA10" i="12"/>
  <c r="AA86" i="12"/>
  <c r="AA49" i="12"/>
  <c r="AA34" i="12"/>
  <c r="AA26" i="12"/>
  <c r="AA16" i="12"/>
  <c r="AA64" i="12"/>
  <c r="AA24" i="12"/>
  <c r="AA89" i="12"/>
  <c r="AA37" i="12"/>
  <c r="AA33" i="12"/>
  <c r="AA47" i="12"/>
  <c r="AA82" i="12"/>
  <c r="AA6" i="12"/>
  <c r="AA79" i="12"/>
  <c r="AA42" i="12"/>
  <c r="AA57" i="12"/>
  <c r="AA136" i="12"/>
  <c r="AA77" i="12"/>
  <c r="AA46" i="12"/>
  <c r="AA19" i="12"/>
  <c r="AA121" i="12"/>
  <c r="AA15" i="12"/>
  <c r="AA124" i="12"/>
  <c r="AA105" i="12"/>
  <c r="AA116" i="12"/>
  <c r="AA28" i="12"/>
  <c r="AA5" i="12"/>
  <c r="AA39" i="12"/>
  <c r="AA22" i="12"/>
  <c r="AA74" i="12"/>
  <c r="AA76" i="12"/>
  <c r="AA84" i="12"/>
  <c r="AA35" i="12"/>
  <c r="AA104" i="12"/>
  <c r="AA58" i="12"/>
  <c r="AA119" i="12"/>
  <c r="AA36" i="12"/>
  <c r="AA29" i="12"/>
  <c r="AA96" i="12"/>
  <c r="AA52" i="12"/>
  <c r="AA109" i="12"/>
  <c r="AA59" i="12"/>
  <c r="AA63" i="12"/>
  <c r="AA115" i="12"/>
  <c r="AA7" i="12"/>
  <c r="AA127" i="12"/>
  <c r="AA31" i="12"/>
  <c r="AA73" i="12"/>
  <c r="AA103" i="12"/>
  <c r="AA62" i="12"/>
  <c r="AA138" i="12"/>
  <c r="AA14" i="12"/>
  <c r="AA100" i="12"/>
  <c r="AA91" i="12"/>
  <c r="AA32" i="12"/>
  <c r="AA85" i="12"/>
  <c r="AA98" i="12"/>
  <c r="AA75" i="12"/>
  <c r="AA56" i="12"/>
  <c r="AA111" i="12"/>
  <c r="AA123" i="12"/>
  <c r="AA92" i="12"/>
  <c r="AA132" i="12"/>
  <c r="AA106" i="12"/>
  <c r="AA108" i="12"/>
  <c r="AA125" i="12"/>
  <c r="AA122" i="12"/>
  <c r="J80" i="20"/>
  <c r="J7" i="20"/>
  <c r="K17" i="20"/>
  <c r="K98" i="20"/>
  <c r="J61" i="20"/>
  <c r="I37" i="20"/>
  <c r="H119" i="20"/>
  <c r="H87" i="20"/>
  <c r="K62" i="20"/>
  <c r="K19" i="20"/>
  <c r="I77" i="20"/>
  <c r="H7" i="20"/>
  <c r="H104" i="20"/>
  <c r="I13" i="20"/>
  <c r="I55" i="20"/>
  <c r="K97" i="20"/>
  <c r="J93" i="20"/>
  <c r="K116" i="20"/>
  <c r="I21" i="20"/>
  <c r="K39" i="20"/>
  <c r="J49" i="20"/>
  <c r="J22" i="20"/>
  <c r="J111" i="20"/>
  <c r="I80" i="20"/>
  <c r="K58" i="20"/>
  <c r="H56" i="20"/>
  <c r="K72" i="20"/>
  <c r="H53" i="20"/>
  <c r="H30" i="20"/>
  <c r="I69" i="20"/>
  <c r="J17" i="20"/>
  <c r="I26" i="20"/>
  <c r="H122" i="20"/>
  <c r="J83" i="20"/>
  <c r="H11" i="20"/>
  <c r="K15" i="20"/>
  <c r="J97" i="20"/>
  <c r="K65" i="20"/>
  <c r="H117" i="20"/>
  <c r="K102" i="20"/>
  <c r="K24" i="20"/>
  <c r="I109" i="20"/>
  <c r="H39" i="20"/>
  <c r="H71" i="20"/>
  <c r="H49" i="20"/>
  <c r="K114" i="20"/>
  <c r="I98" i="20"/>
  <c r="H61" i="20"/>
  <c r="J115" i="20"/>
  <c r="K117" i="20"/>
  <c r="J119" i="20"/>
  <c r="H62" i="20"/>
  <c r="H57" i="20"/>
  <c r="K49" i="20"/>
  <c r="I14" i="20"/>
  <c r="K9" i="20"/>
  <c r="H59" i="20"/>
  <c r="K66" i="20"/>
  <c r="K44" i="20"/>
  <c r="J101" i="20"/>
  <c r="H65" i="20"/>
  <c r="J42" i="20"/>
  <c r="I88" i="20"/>
  <c r="J37" i="20"/>
  <c r="I29" i="20"/>
  <c r="H86" i="20"/>
  <c r="H37" i="20"/>
  <c r="K41" i="20"/>
  <c r="K6" i="20"/>
  <c r="I78" i="20"/>
  <c r="I24" i="20"/>
  <c r="K91" i="20"/>
  <c r="I81" i="20"/>
  <c r="J41" i="20"/>
  <c r="K16" i="20"/>
  <c r="K23" i="20"/>
  <c r="J9" i="20"/>
  <c r="K29" i="20"/>
  <c r="I86" i="20"/>
  <c r="I93" i="20"/>
  <c r="K83" i="20"/>
  <c r="J63" i="20"/>
  <c r="I57" i="20"/>
  <c r="K59" i="20"/>
  <c r="H50" i="20"/>
  <c r="H83" i="20"/>
  <c r="H79" i="20"/>
  <c r="K122" i="20"/>
  <c r="H100" i="20"/>
  <c r="H33" i="20"/>
  <c r="J16" i="20"/>
  <c r="K113" i="20"/>
  <c r="K60" i="20"/>
  <c r="I35" i="20"/>
  <c r="J121" i="20"/>
  <c r="J85" i="20"/>
  <c r="J75" i="20"/>
  <c r="J81" i="20"/>
  <c r="J108" i="20"/>
  <c r="I111" i="20"/>
  <c r="J74" i="20"/>
  <c r="J70" i="20"/>
  <c r="I7" i="20"/>
  <c r="I74" i="20"/>
  <c r="J109" i="20"/>
  <c r="J25" i="20"/>
  <c r="I89" i="20"/>
  <c r="K120" i="20"/>
  <c r="K54" i="20"/>
  <c r="I31" i="20"/>
  <c r="H51" i="20"/>
  <c r="J71" i="20"/>
  <c r="H27" i="20"/>
  <c r="J8" i="20"/>
  <c r="K74" i="20"/>
  <c r="K104" i="20"/>
  <c r="J66" i="20"/>
  <c r="J104" i="20"/>
  <c r="I121" i="20"/>
  <c r="K31" i="20"/>
  <c r="J92" i="20"/>
  <c r="J67" i="20"/>
  <c r="H38" i="20"/>
  <c r="K10" i="20"/>
  <c r="H101" i="20"/>
  <c r="K77" i="20"/>
  <c r="I97" i="20"/>
  <c r="I5" i="20"/>
  <c r="H45" i="20"/>
  <c r="I25" i="20"/>
  <c r="H115" i="20"/>
  <c r="H69" i="20"/>
  <c r="K33" i="20"/>
  <c r="H118" i="20"/>
  <c r="J95" i="20"/>
  <c r="J98" i="20"/>
  <c r="J38" i="20"/>
  <c r="H34" i="20"/>
  <c r="K90" i="20"/>
  <c r="K87" i="20"/>
  <c r="K20" i="20"/>
  <c r="I12" i="20"/>
  <c r="H40" i="20"/>
  <c r="H20" i="20"/>
  <c r="K105" i="20"/>
  <c r="I38" i="20"/>
  <c r="I19" i="20"/>
  <c r="H107" i="20"/>
  <c r="H16" i="20"/>
  <c r="I71" i="20"/>
  <c r="I40" i="20"/>
  <c r="H81" i="20"/>
  <c r="K81" i="20"/>
  <c r="H19" i="20"/>
  <c r="H116" i="20"/>
  <c r="I118" i="20"/>
  <c r="I68" i="20"/>
  <c r="K55" i="20"/>
  <c r="K28" i="20"/>
  <c r="J68" i="20"/>
  <c r="K84" i="20"/>
  <c r="I73" i="20"/>
  <c r="J110" i="20"/>
  <c r="I112" i="20"/>
  <c r="I70" i="20"/>
  <c r="J58" i="20"/>
  <c r="J13" i="20"/>
  <c r="K109" i="20"/>
  <c r="H36" i="20"/>
  <c r="V51" i="20"/>
  <c r="I56" i="20"/>
  <c r="K53" i="20"/>
  <c r="H92" i="20"/>
  <c r="J18" i="20"/>
  <c r="K12" i="20"/>
  <c r="I49" i="20"/>
  <c r="K94" i="20"/>
  <c r="I32" i="20"/>
  <c r="H14" i="20"/>
  <c r="H84" i="20"/>
  <c r="H58" i="20"/>
  <c r="K47" i="20"/>
  <c r="I94" i="20"/>
  <c r="H73" i="20"/>
  <c r="J78" i="20"/>
  <c r="J50" i="20"/>
  <c r="J45" i="20"/>
  <c r="I106" i="20"/>
  <c r="H114" i="20"/>
  <c r="H109" i="20"/>
  <c r="K71" i="20"/>
  <c r="J106" i="20"/>
  <c r="K67" i="20"/>
  <c r="H29" i="20"/>
  <c r="H8" i="20"/>
  <c r="H23" i="20"/>
  <c r="J102" i="20"/>
  <c r="I83" i="20"/>
  <c r="H102" i="20"/>
  <c r="H105" i="20"/>
  <c r="H77" i="20"/>
  <c r="K40" i="20"/>
  <c r="I95" i="20"/>
  <c r="I102" i="20"/>
  <c r="J105" i="20"/>
  <c r="K69" i="20"/>
  <c r="K42" i="20"/>
  <c r="I17" i="20"/>
  <c r="K119" i="20"/>
  <c r="H75" i="20"/>
  <c r="K50" i="20"/>
  <c r="I108" i="20"/>
  <c r="I104" i="20"/>
  <c r="H22" i="20"/>
  <c r="H110" i="20"/>
  <c r="H112" i="20"/>
  <c r="I44" i="20"/>
  <c r="H12" i="20"/>
  <c r="J117" i="20"/>
  <c r="I48" i="20"/>
  <c r="J53" i="20"/>
  <c r="I11" i="20"/>
  <c r="I8" i="20"/>
  <c r="I62" i="20"/>
  <c r="J60" i="20"/>
  <c r="H44" i="20"/>
  <c r="I110" i="20"/>
  <c r="K18" i="20"/>
  <c r="I90" i="20"/>
  <c r="I122" i="20"/>
  <c r="H17" i="20"/>
  <c r="H113" i="20"/>
  <c r="H94" i="20"/>
  <c r="H80" i="20"/>
  <c r="J33" i="20"/>
  <c r="I113" i="20"/>
  <c r="K115" i="20"/>
  <c r="H55" i="20"/>
  <c r="I75" i="20"/>
  <c r="I82" i="20"/>
  <c r="K75" i="20"/>
  <c r="I42" i="20"/>
  <c r="K32" i="20"/>
  <c r="I105" i="20"/>
  <c r="K108" i="20"/>
  <c r="I58" i="20"/>
  <c r="K48" i="20"/>
  <c r="I76" i="20"/>
  <c r="H82" i="20"/>
  <c r="I45" i="20"/>
  <c r="K35" i="20"/>
  <c r="H108" i="20"/>
  <c r="H63" i="20"/>
  <c r="K99" i="20"/>
  <c r="K30" i="20"/>
  <c r="K27" i="20"/>
  <c r="J103" i="20"/>
  <c r="H89" i="20"/>
  <c r="K64" i="20"/>
  <c r="I6" i="20"/>
  <c r="I61" i="20"/>
  <c r="H9" i="20"/>
  <c r="I67" i="20"/>
  <c r="J64" i="20"/>
  <c r="J31" i="20"/>
  <c r="H24" i="20"/>
  <c r="I116" i="20"/>
  <c r="J24" i="20"/>
  <c r="J29" i="20"/>
  <c r="K25" i="20"/>
  <c r="H21" i="20"/>
  <c r="K70" i="20"/>
  <c r="J87" i="20"/>
  <c r="H76" i="20"/>
  <c r="K45" i="20"/>
  <c r="J122" i="20"/>
  <c r="K89" i="20"/>
  <c r="H85" i="20"/>
  <c r="I99" i="20"/>
  <c r="H121" i="20"/>
  <c r="J79" i="20"/>
  <c r="K56" i="20"/>
  <c r="K107" i="20"/>
  <c r="J62" i="20"/>
  <c r="I50" i="20"/>
  <c r="H18" i="20"/>
  <c r="J107" i="20"/>
  <c r="H60" i="20"/>
  <c r="H66" i="20"/>
  <c r="H43" i="20"/>
  <c r="J19" i="20"/>
  <c r="I107" i="20"/>
  <c r="J77" i="20"/>
  <c r="H47" i="20"/>
  <c r="H26" i="20"/>
  <c r="J72" i="20"/>
  <c r="H99" i="20"/>
  <c r="K76" i="20"/>
  <c r="K101" i="20"/>
  <c r="J90" i="20"/>
  <c r="I20" i="20"/>
  <c r="K110" i="20"/>
  <c r="K57" i="20"/>
  <c r="J5" i="20"/>
  <c r="J86" i="20"/>
  <c r="K82" i="20"/>
  <c r="J120" i="20"/>
  <c r="H35" i="20"/>
  <c r="H32" i="20"/>
  <c r="K26" i="20"/>
  <c r="K96" i="20"/>
  <c r="J69" i="20"/>
  <c r="H111" i="20"/>
  <c r="H95" i="20"/>
  <c r="H67" i="20"/>
  <c r="K36" i="20"/>
  <c r="H64" i="20"/>
  <c r="J54" i="20"/>
  <c r="I47" i="20"/>
  <c r="K85" i="20"/>
  <c r="J91" i="20"/>
  <c r="J32" i="20"/>
  <c r="J27" i="20"/>
  <c r="K8" i="20"/>
  <c r="J12" i="20"/>
  <c r="J15" i="20"/>
  <c r="H6" i="20"/>
  <c r="H68" i="20"/>
  <c r="J73" i="20"/>
  <c r="J35" i="20"/>
  <c r="J23" i="20"/>
  <c r="H28" i="20"/>
  <c r="I33" i="20"/>
  <c r="J21" i="20"/>
  <c r="I9" i="20"/>
  <c r="J112" i="20"/>
  <c r="I85" i="20"/>
  <c r="H74" i="20"/>
  <c r="I119" i="20"/>
  <c r="K121" i="20"/>
  <c r="H78" i="20"/>
  <c r="I66" i="20"/>
  <c r="K100" i="20"/>
  <c r="I60" i="20"/>
  <c r="H88" i="20"/>
  <c r="K78" i="20"/>
  <c r="H15" i="20"/>
  <c r="H46" i="20"/>
  <c r="I54" i="20"/>
  <c r="K43" i="20"/>
  <c r="I91" i="20"/>
  <c r="K95" i="20"/>
  <c r="K46" i="20"/>
  <c r="I36" i="20"/>
  <c r="J118" i="20"/>
  <c r="I120" i="20"/>
  <c r="J82" i="20"/>
  <c r="H72" i="20"/>
  <c r="I87" i="20"/>
  <c r="I34" i="20"/>
  <c r="J96" i="20"/>
  <c r="K86" i="20"/>
  <c r="H103" i="20"/>
  <c r="H31" i="20"/>
  <c r="J36" i="20"/>
  <c r="J14" i="20"/>
  <c r="I53" i="20"/>
  <c r="J40" i="20"/>
  <c r="J44" i="20"/>
  <c r="I27" i="20"/>
  <c r="K14" i="20"/>
  <c r="V10" i="20"/>
  <c r="V20" i="20"/>
  <c r="V13" i="20"/>
  <c r="V122" i="20"/>
  <c r="V94" i="20"/>
  <c r="I10" i="20"/>
  <c r="J99" i="20"/>
  <c r="I101" i="20"/>
  <c r="K52" i="20"/>
  <c r="H42" i="20"/>
  <c r="I103" i="20"/>
  <c r="K106" i="20"/>
  <c r="I63" i="20"/>
  <c r="I52" i="20"/>
  <c r="I51" i="20"/>
  <c r="K103" i="20"/>
  <c r="I30" i="20"/>
  <c r="I18" i="20"/>
  <c r="J43" i="20"/>
  <c r="J47" i="20"/>
  <c r="I22" i="20"/>
  <c r="H10" i="20"/>
  <c r="H97" i="20"/>
  <c r="I100" i="20"/>
  <c r="J57" i="20"/>
  <c r="I46" i="20"/>
  <c r="I39" i="20"/>
  <c r="J48" i="20"/>
  <c r="K73" i="20"/>
  <c r="K61" i="20"/>
  <c r="J52" i="20"/>
  <c r="I92" i="20"/>
  <c r="J89" i="20"/>
  <c r="I79" i="20"/>
  <c r="K21" i="20"/>
  <c r="J11" i="20"/>
  <c r="H98" i="20"/>
  <c r="J88" i="20"/>
  <c r="I96" i="20"/>
  <c r="V56" i="20"/>
  <c r="V54" i="20"/>
  <c r="V85" i="20"/>
  <c r="V63" i="20"/>
  <c r="V82" i="20"/>
  <c r="V96" i="20"/>
  <c r="V6" i="20"/>
  <c r="V98" i="20"/>
  <c r="V112" i="20"/>
  <c r="V53" i="20"/>
  <c r="V69" i="20"/>
  <c r="H25" i="20"/>
  <c r="J55" i="20"/>
  <c r="I59" i="20"/>
  <c r="J28" i="20"/>
  <c r="I15" i="20"/>
  <c r="K63" i="20"/>
  <c r="H70" i="20"/>
  <c r="J39" i="20"/>
  <c r="I28" i="20"/>
  <c r="J34" i="20"/>
  <c r="J51" i="20"/>
  <c r="K92" i="20"/>
  <c r="K112" i="20"/>
  <c r="I16" i="20"/>
  <c r="J94" i="20"/>
  <c r="J84" i="20"/>
  <c r="H90" i="20"/>
  <c r="H52" i="20"/>
  <c r="J56" i="20"/>
  <c r="K34" i="20"/>
  <c r="K22" i="20"/>
  <c r="H120" i="20"/>
  <c r="H96" i="20"/>
  <c r="H48" i="20"/>
  <c r="K38" i="20"/>
  <c r="K111" i="20"/>
  <c r="J113" i="20"/>
  <c r="I65" i="20"/>
  <c r="H54" i="20"/>
  <c r="I114" i="20"/>
  <c r="J116" i="20"/>
  <c r="J76" i="20"/>
  <c r="I64" i="20"/>
  <c r="V7" i="20"/>
  <c r="V19" i="20"/>
  <c r="V57" i="20"/>
  <c r="V55" i="20"/>
  <c r="V33" i="20"/>
  <c r="V60" i="20"/>
  <c r="K118" i="20"/>
  <c r="I43" i="20"/>
  <c r="J10" i="20"/>
  <c r="H91" i="20"/>
  <c r="J114" i="20"/>
  <c r="K13" i="20"/>
  <c r="J20" i="20"/>
  <c r="H13" i="20"/>
  <c r="J65" i="20"/>
  <c r="J100" i="20"/>
  <c r="K79" i="20"/>
  <c r="K68" i="20"/>
  <c r="I115" i="20"/>
  <c r="I117" i="20"/>
  <c r="I72" i="20"/>
  <c r="J59" i="20"/>
  <c r="J46" i="20"/>
  <c r="K37" i="20"/>
  <c r="J6" i="20"/>
  <c r="K7" i="20"/>
  <c r="H106" i="20"/>
  <c r="K93" i="20"/>
  <c r="J26" i="20"/>
  <c r="I23" i="20"/>
  <c r="K11" i="20"/>
  <c r="K80" i="20"/>
  <c r="I84" i="20"/>
  <c r="I41" i="20"/>
  <c r="J30" i="20"/>
  <c r="K88" i="20"/>
  <c r="H93" i="20"/>
  <c r="K51" i="20"/>
  <c r="H41" i="20"/>
  <c r="T5" i="20"/>
  <c r="V36" i="20"/>
  <c r="V43" i="20"/>
  <c r="V18" i="20"/>
  <c r="V88" i="20"/>
  <c r="V121" i="20"/>
  <c r="V61" i="20"/>
  <c r="V79" i="20"/>
  <c r="V58" i="20"/>
  <c r="V15" i="20"/>
  <c r="V44" i="20"/>
  <c r="V23" i="20"/>
  <c r="V65" i="20"/>
  <c r="V47" i="20"/>
  <c r="V50" i="20"/>
  <c r="V77" i="20"/>
  <c r="V62" i="20"/>
  <c r="V32" i="20"/>
  <c r="V89" i="20"/>
  <c r="V59" i="20"/>
  <c r="V37" i="20"/>
  <c r="V73" i="20"/>
  <c r="V41" i="20"/>
  <c r="V101" i="20"/>
  <c r="V25" i="20"/>
  <c r="V100" i="20"/>
  <c r="V35" i="20"/>
  <c r="V110" i="20"/>
  <c r="V28" i="20"/>
  <c r="V108" i="20"/>
  <c r="V119" i="20"/>
  <c r="V86" i="20"/>
  <c r="V66" i="20"/>
  <c r="V9" i="20"/>
  <c r="V97" i="20"/>
  <c r="V34" i="20"/>
  <c r="V105" i="20"/>
  <c r="V52" i="20"/>
  <c r="V114" i="20"/>
  <c r="V70" i="20"/>
  <c r="V90" i="20"/>
  <c r="V99" i="20"/>
  <c r="V71" i="20"/>
  <c r="V113" i="20"/>
  <c r="V102" i="20"/>
  <c r="V83" i="20"/>
  <c r="V109" i="20"/>
  <c r="V30" i="20"/>
  <c r="V49" i="20"/>
  <c r="V92" i="20"/>
  <c r="V64" i="20"/>
  <c r="T9" i="20"/>
  <c r="W9" i="20" s="1"/>
  <c r="V8" i="20"/>
  <c r="V78" i="20"/>
  <c r="V103" i="20"/>
  <c r="V106" i="20"/>
  <c r="V81" i="20"/>
  <c r="V72" i="20"/>
  <c r="V29" i="20"/>
  <c r="V45" i="20"/>
  <c r="V80" i="20"/>
  <c r="H5" i="20"/>
  <c r="V67" i="20"/>
  <c r="K5" i="20"/>
  <c r="V27" i="20"/>
  <c r="V21" i="20"/>
  <c r="V17" i="20"/>
  <c r="V117" i="20"/>
  <c r="V91" i="20"/>
  <c r="V5" i="20"/>
  <c r="V16" i="20"/>
  <c r="V116" i="20"/>
  <c r="V74" i="20"/>
  <c r="V75" i="20"/>
  <c r="T7" i="20"/>
  <c r="W7" i="20" s="1"/>
  <c r="T80" i="20"/>
  <c r="W80" i="20" s="1"/>
  <c r="T90" i="20"/>
  <c r="W90" i="20" s="1"/>
  <c r="T116" i="20"/>
  <c r="W116" i="20" s="1"/>
  <c r="T37" i="20"/>
  <c r="W37" i="20" s="1"/>
  <c r="T74" i="20"/>
  <c r="W74" i="20" s="1"/>
  <c r="V104" i="20"/>
  <c r="V68" i="20"/>
  <c r="V115" i="20"/>
  <c r="T100" i="20"/>
  <c r="W100" i="20" s="1"/>
  <c r="T68" i="20"/>
  <c r="W68" i="20" s="1"/>
  <c r="T20" i="20"/>
  <c r="W20" i="20" s="1"/>
  <c r="T51" i="20"/>
  <c r="W51" i="20" s="1"/>
  <c r="T32" i="20"/>
  <c r="W32" i="20" s="1"/>
  <c r="T97" i="20"/>
  <c r="W97" i="20" s="1"/>
  <c r="T61" i="20"/>
  <c r="W61" i="20" s="1"/>
  <c r="T44" i="20"/>
  <c r="W44" i="20" s="1"/>
  <c r="V46" i="20"/>
  <c r="T108" i="20"/>
  <c r="W108" i="20" s="1"/>
  <c r="T75" i="20"/>
  <c r="W75" i="20" s="1"/>
  <c r="T18" i="20"/>
  <c r="W18" i="20" s="1"/>
  <c r="V76" i="20"/>
  <c r="T94" i="20"/>
  <c r="W94" i="20" s="1"/>
  <c r="T63" i="20"/>
  <c r="W63" i="20" s="1"/>
  <c r="T33" i="20"/>
  <c r="W33" i="20" s="1"/>
  <c r="T40" i="20"/>
  <c r="W40" i="20" s="1"/>
  <c r="T107" i="20"/>
  <c r="W107" i="20" s="1"/>
  <c r="T16" i="20"/>
  <c r="W16" i="20" s="1"/>
  <c r="T42" i="20"/>
  <c r="W42" i="20" s="1"/>
  <c r="T6" i="20"/>
  <c r="W6" i="20" s="1"/>
  <c r="T118" i="20"/>
  <c r="W118" i="20" s="1"/>
  <c r="T35" i="20"/>
  <c r="W35" i="20" s="1"/>
  <c r="V40" i="20"/>
  <c r="T109" i="20"/>
  <c r="W109" i="20" s="1"/>
  <c r="T10" i="20"/>
  <c r="W10" i="20" s="1"/>
  <c r="T30" i="20"/>
  <c r="W30" i="20" s="1"/>
  <c r="T22" i="20"/>
  <c r="W22" i="20" s="1"/>
  <c r="T119" i="20"/>
  <c r="W119" i="20" s="1"/>
  <c r="T21" i="20"/>
  <c r="W21" i="20" s="1"/>
  <c r="T47" i="20"/>
  <c r="W47" i="20" s="1"/>
  <c r="T31" i="20"/>
  <c r="W31" i="20" s="1"/>
  <c r="V12" i="20"/>
  <c r="T71" i="20"/>
  <c r="W71" i="20" s="1"/>
  <c r="T79" i="20"/>
  <c r="W79" i="20" s="1"/>
  <c r="T62" i="20"/>
  <c r="W62" i="20" s="1"/>
  <c r="T67" i="20"/>
  <c r="W67" i="20" s="1"/>
  <c r="T17" i="20"/>
  <c r="W17" i="20" s="1"/>
  <c r="V84" i="20"/>
  <c r="T66" i="20"/>
  <c r="W66" i="20" s="1"/>
  <c r="V22" i="20"/>
  <c r="T49" i="20"/>
  <c r="W49" i="20" s="1"/>
  <c r="T102" i="20"/>
  <c r="W102" i="20" s="1"/>
  <c r="T46" i="20"/>
  <c r="W46" i="20" s="1"/>
  <c r="T15" i="20"/>
  <c r="W15" i="20" s="1"/>
  <c r="T93" i="20"/>
  <c r="W93" i="20" s="1"/>
  <c r="T115" i="20"/>
  <c r="W115" i="20" s="1"/>
  <c r="T23" i="20"/>
  <c r="W23" i="20" s="1"/>
  <c r="T64" i="20"/>
  <c r="W64" i="20" s="1"/>
  <c r="T117" i="20"/>
  <c r="W117" i="20" s="1"/>
  <c r="T92" i="20"/>
  <c r="W92" i="20" s="1"/>
  <c r="T12" i="20"/>
  <c r="W12" i="20" s="1"/>
  <c r="T43" i="20"/>
  <c r="W43" i="20" s="1"/>
  <c r="T103" i="20"/>
  <c r="W103" i="20" s="1"/>
  <c r="T24" i="20"/>
  <c r="W24" i="20" s="1"/>
  <c r="V93" i="20"/>
  <c r="T41" i="20"/>
  <c r="W41" i="20" s="1"/>
  <c r="T13" i="20"/>
  <c r="W13" i="20" s="1"/>
  <c r="T78" i="20"/>
  <c r="W78" i="20" s="1"/>
  <c r="T57" i="20"/>
  <c r="W57" i="20" s="1"/>
  <c r="V95" i="20"/>
  <c r="V107" i="20"/>
  <c r="U107" i="20" s="1"/>
  <c r="V87" i="20"/>
  <c r="V11" i="20"/>
  <c r="T60" i="20"/>
  <c r="W60" i="20" s="1"/>
  <c r="V48" i="20"/>
  <c r="T101" i="20"/>
  <c r="W101" i="20" s="1"/>
  <c r="T87" i="20"/>
  <c r="W87" i="20" s="1"/>
  <c r="T52" i="20"/>
  <c r="W52" i="20" s="1"/>
  <c r="T113" i="20"/>
  <c r="W113" i="20" s="1"/>
  <c r="V38" i="20"/>
  <c r="V111" i="20"/>
  <c r="V118" i="20"/>
  <c r="V39" i="20"/>
  <c r="T99" i="20"/>
  <c r="W99" i="20" s="1"/>
  <c r="T55" i="20"/>
  <c r="W55" i="20" s="1"/>
  <c r="T98" i="20"/>
  <c r="W98" i="20" s="1"/>
  <c r="T11" i="20"/>
  <c r="W11" i="20" s="1"/>
  <c r="T104" i="20"/>
  <c r="W104" i="20" s="1"/>
  <c r="T26" i="20"/>
  <c r="W26" i="20" s="1"/>
  <c r="V24" i="20"/>
  <c r="T89" i="20"/>
  <c r="W89" i="20" s="1"/>
  <c r="V31" i="20"/>
  <c r="T88" i="20"/>
  <c r="W88" i="20" s="1"/>
  <c r="T27" i="20"/>
  <c r="W27" i="20" s="1"/>
  <c r="T58" i="20"/>
  <c r="W58" i="20" s="1"/>
  <c r="T69" i="20"/>
  <c r="W69" i="20" s="1"/>
  <c r="T39" i="20"/>
  <c r="W39" i="20" s="1"/>
  <c r="T48" i="20"/>
  <c r="W48" i="20" s="1"/>
  <c r="T120" i="20"/>
  <c r="W120" i="20" s="1"/>
  <c r="T85" i="20"/>
  <c r="W85" i="20" s="1"/>
  <c r="V26" i="20"/>
  <c r="T53" i="20"/>
  <c r="W53" i="20" s="1"/>
  <c r="T65" i="20"/>
  <c r="W65" i="20" s="1"/>
  <c r="T59" i="20"/>
  <c r="W59" i="20" s="1"/>
  <c r="V14" i="20"/>
  <c r="V120" i="20"/>
  <c r="T29" i="20"/>
  <c r="W29" i="20" s="1"/>
  <c r="T84" i="20"/>
  <c r="W84" i="20" s="1"/>
  <c r="T112" i="20"/>
  <c r="W112" i="20" s="1"/>
  <c r="T110" i="20"/>
  <c r="W110" i="20" s="1"/>
  <c r="V42" i="20"/>
  <c r="T81" i="20"/>
  <c r="W81" i="20" s="1"/>
  <c r="T38" i="20"/>
  <c r="W38" i="20" s="1"/>
  <c r="T56" i="20"/>
  <c r="W56" i="20" s="1"/>
  <c r="T77" i="20"/>
  <c r="W77" i="20" s="1"/>
  <c r="T86" i="20"/>
  <c r="W86" i="20" s="1"/>
  <c r="T106" i="20"/>
  <c r="W106" i="20" s="1"/>
  <c r="T95" i="20"/>
  <c r="W95" i="20" s="1"/>
  <c r="T76" i="20"/>
  <c r="W76" i="20" s="1"/>
  <c r="T91" i="20"/>
  <c r="W91" i="20" s="1"/>
  <c r="T14" i="20"/>
  <c r="W14" i="20" s="1"/>
  <c r="T45" i="20"/>
  <c r="W45" i="20" s="1"/>
  <c r="T8" i="20"/>
  <c r="W8" i="20" s="1"/>
  <c r="T25" i="20"/>
  <c r="W25" i="20" s="1"/>
  <c r="T122" i="20"/>
  <c r="W122" i="20" s="1"/>
  <c r="T70" i="20"/>
  <c r="W70" i="20" s="1"/>
  <c r="T36" i="20"/>
  <c r="W36" i="20" s="1"/>
  <c r="T73" i="20"/>
  <c r="W73" i="20" s="1"/>
  <c r="T105" i="20"/>
  <c r="W105" i="20" s="1"/>
  <c r="T96" i="20"/>
  <c r="W96" i="20" s="1"/>
  <c r="T54" i="20"/>
  <c r="W54" i="20" s="1"/>
  <c r="T121" i="20"/>
  <c r="W121" i="20" s="1"/>
  <c r="T111" i="20"/>
  <c r="W111" i="20" s="1"/>
  <c r="T19" i="20"/>
  <c r="W19" i="20" s="1"/>
  <c r="T34" i="20"/>
  <c r="W34" i="20" s="1"/>
  <c r="T82" i="20"/>
  <c r="W82" i="20" s="1"/>
  <c r="T83" i="20"/>
  <c r="W83" i="20" s="1"/>
  <c r="T114" i="20"/>
  <c r="W114" i="20" s="1"/>
  <c r="T50" i="20"/>
  <c r="W50" i="20" s="1"/>
  <c r="T28" i="20"/>
  <c r="W28" i="20" s="1"/>
  <c r="T72" i="20"/>
  <c r="W72" i="20" s="1"/>
  <c r="B7" i="20" l="1"/>
  <c r="E64" i="20"/>
  <c r="U24" i="20"/>
  <c r="B21" i="20"/>
  <c r="B13" i="20"/>
  <c r="C8" i="20"/>
  <c r="C26" i="20"/>
  <c r="C119" i="20"/>
  <c r="E11" i="20"/>
  <c r="C51" i="20"/>
  <c r="E49" i="20"/>
  <c r="D98" i="20"/>
  <c r="D40" i="20"/>
  <c r="D15" i="20"/>
  <c r="D30" i="20"/>
  <c r="D106" i="20"/>
  <c r="E14" i="20"/>
  <c r="B86" i="20"/>
  <c r="C95" i="20"/>
  <c r="B72" i="20"/>
  <c r="D74" i="20"/>
  <c r="B8" i="20"/>
  <c r="E104" i="20"/>
  <c r="C39" i="20"/>
  <c r="B44" i="20"/>
  <c r="D11" i="20"/>
  <c r="D46" i="20"/>
  <c r="E97" i="20"/>
  <c r="B42" i="20"/>
  <c r="C81" i="20"/>
  <c r="C94" i="20"/>
  <c r="C113" i="20"/>
  <c r="D54" i="20"/>
  <c r="C72" i="20"/>
  <c r="C7" i="20"/>
  <c r="C53" i="20"/>
  <c r="C5" i="20"/>
  <c r="D84" i="20"/>
  <c r="E96" i="20"/>
  <c r="C122" i="20"/>
  <c r="D18" i="20"/>
  <c r="D110" i="20"/>
  <c r="E44" i="20"/>
  <c r="D8" i="20"/>
  <c r="D9" i="20"/>
  <c r="E8" i="20"/>
  <c r="E7" i="20"/>
  <c r="E27" i="20"/>
  <c r="E25" i="20"/>
  <c r="E70" i="20"/>
  <c r="B94" i="20"/>
  <c r="C49" i="20"/>
  <c r="E94" i="20"/>
  <c r="C48" i="20"/>
  <c r="E73" i="20"/>
  <c r="E107" i="20"/>
  <c r="D116" i="20"/>
  <c r="B83" i="20"/>
  <c r="D32" i="20"/>
  <c r="C109" i="20"/>
  <c r="B93" i="20"/>
  <c r="E65" i="20"/>
  <c r="B84" i="20"/>
  <c r="C75" i="20"/>
  <c r="B55" i="20"/>
  <c r="D122" i="20"/>
  <c r="C78" i="20"/>
  <c r="E13" i="20"/>
  <c r="E59" i="20"/>
  <c r="C61" i="20"/>
  <c r="B115" i="20"/>
  <c r="D65" i="20"/>
  <c r="E119" i="20"/>
  <c r="D107" i="20"/>
  <c r="B25" i="20"/>
  <c r="B119" i="20"/>
  <c r="D119" i="20"/>
  <c r="D94" i="20"/>
  <c r="C60" i="20"/>
  <c r="C111" i="20"/>
  <c r="C80" i="20"/>
  <c r="B60" i="20"/>
  <c r="C88" i="20"/>
  <c r="C57" i="20"/>
  <c r="E43" i="20"/>
  <c r="B19" i="20"/>
  <c r="D118" i="20"/>
  <c r="D108" i="20"/>
  <c r="D81" i="20"/>
  <c r="D59" i="20"/>
  <c r="E62" i="20"/>
  <c r="D113" i="20"/>
  <c r="C35" i="20"/>
  <c r="D75" i="20"/>
  <c r="B122" i="20"/>
  <c r="C46" i="20"/>
  <c r="D76" i="20"/>
  <c r="B38" i="20"/>
  <c r="C44" i="20"/>
  <c r="C12" i="20"/>
  <c r="B43" i="20"/>
  <c r="D20" i="20"/>
  <c r="B45" i="20"/>
  <c r="D105" i="20"/>
  <c r="C19" i="20"/>
  <c r="E115" i="20"/>
  <c r="C30" i="20"/>
  <c r="E91" i="20"/>
  <c r="E118" i="20"/>
  <c r="B37" i="20"/>
  <c r="D112" i="20"/>
  <c r="B65" i="20"/>
  <c r="B33" i="20"/>
  <c r="E114" i="20"/>
  <c r="D55" i="20"/>
  <c r="D38" i="20"/>
  <c r="D10" i="20"/>
  <c r="C120" i="20"/>
  <c r="C87" i="20"/>
  <c r="D64" i="20"/>
  <c r="C34" i="20"/>
  <c r="B20" i="20"/>
  <c r="E103" i="20"/>
  <c r="E6" i="20"/>
  <c r="E98" i="20"/>
  <c r="E89" i="20"/>
  <c r="D26" i="20"/>
  <c r="C28" i="20"/>
  <c r="C47" i="20"/>
  <c r="D80" i="20"/>
  <c r="B68" i="20"/>
  <c r="B66" i="20"/>
  <c r="B98" i="20"/>
  <c r="B74" i="20"/>
  <c r="C37" i="20"/>
  <c r="C62" i="20"/>
  <c r="D121" i="20"/>
  <c r="E54" i="20"/>
  <c r="C68" i="20"/>
  <c r="E34" i="20"/>
  <c r="B70" i="20"/>
  <c r="B27" i="20"/>
  <c r="D39" i="20"/>
  <c r="C29" i="20"/>
  <c r="D62" i="20"/>
  <c r="E9" i="20"/>
  <c r="B95" i="20"/>
  <c r="B105" i="20"/>
  <c r="E41" i="20"/>
  <c r="B76" i="20"/>
  <c r="E76" i="20"/>
  <c r="C98" i="20"/>
  <c r="D95" i="20"/>
  <c r="B102" i="20"/>
  <c r="D114" i="20"/>
  <c r="C58" i="20"/>
  <c r="C73" i="20"/>
  <c r="C10" i="20"/>
  <c r="C74" i="20"/>
  <c r="D25" i="20"/>
  <c r="C56" i="20"/>
  <c r="D35" i="20"/>
  <c r="B24" i="20"/>
  <c r="C70" i="20"/>
  <c r="D49" i="20"/>
  <c r="E29" i="20"/>
  <c r="D83" i="20"/>
  <c r="B10" i="20"/>
  <c r="B28" i="20"/>
  <c r="E28" i="20"/>
  <c r="E101" i="20"/>
  <c r="B109" i="20"/>
  <c r="D19" i="20"/>
  <c r="E56" i="20"/>
  <c r="E12" i="20"/>
  <c r="B22" i="20"/>
  <c r="E93" i="20"/>
  <c r="C89" i="20"/>
  <c r="B52" i="20"/>
  <c r="E121" i="20"/>
  <c r="E52" i="20"/>
  <c r="C71" i="20"/>
  <c r="C50" i="20"/>
  <c r="B39" i="20"/>
  <c r="E48" i="20"/>
  <c r="D33" i="20"/>
  <c r="B12" i="20"/>
  <c r="D72" i="20"/>
  <c r="B111" i="20"/>
  <c r="C55" i="20"/>
  <c r="D101" i="20"/>
  <c r="D97" i="20"/>
  <c r="B32" i="20"/>
  <c r="D37" i="20"/>
  <c r="D12" i="20"/>
  <c r="B36" i="20"/>
  <c r="E55" i="20"/>
  <c r="E10" i="20"/>
  <c r="D34" i="20"/>
  <c r="E57" i="20"/>
  <c r="C41" i="20"/>
  <c r="D57" i="20"/>
  <c r="E23" i="20"/>
  <c r="B116" i="20"/>
  <c r="E95" i="20"/>
  <c r="E47" i="20"/>
  <c r="B113" i="20"/>
  <c r="D5" i="20"/>
  <c r="B48" i="20"/>
  <c r="C15" i="20"/>
  <c r="B75" i="20"/>
  <c r="B14" i="20"/>
  <c r="B54" i="20"/>
  <c r="C54" i="20"/>
  <c r="C102" i="20"/>
  <c r="D53" i="20"/>
  <c r="E92" i="20"/>
  <c r="D102" i="20"/>
  <c r="B107" i="20"/>
  <c r="C9" i="20"/>
  <c r="E46" i="20"/>
  <c r="E71" i="20"/>
  <c r="C24" i="20"/>
  <c r="D28" i="20"/>
  <c r="D91" i="20"/>
  <c r="D63" i="20"/>
  <c r="C33" i="20"/>
  <c r="D73" i="20"/>
  <c r="D21" i="20"/>
  <c r="C67" i="20"/>
  <c r="B26" i="20"/>
  <c r="B112" i="20"/>
  <c r="E82" i="20"/>
  <c r="C93" i="20"/>
  <c r="C96" i="20"/>
  <c r="C63" i="20"/>
  <c r="B101" i="20"/>
  <c r="D16" i="20"/>
  <c r="C110" i="20"/>
  <c r="E45" i="20"/>
  <c r="B62" i="20"/>
  <c r="D93" i="20"/>
  <c r="B16" i="20"/>
  <c r="D78" i="20"/>
  <c r="D44" i="20"/>
  <c r="D31" i="20"/>
  <c r="D29" i="20"/>
  <c r="C23" i="20"/>
  <c r="E15" i="20"/>
  <c r="D24" i="20"/>
  <c r="B61" i="20"/>
  <c r="E60" i="20"/>
  <c r="B80" i="20"/>
  <c r="C69" i="20"/>
  <c r="B118" i="20"/>
  <c r="D67" i="20"/>
  <c r="E32" i="20"/>
  <c r="C118" i="20"/>
  <c r="C42" i="20"/>
  <c r="D56" i="20"/>
  <c r="D77" i="20"/>
  <c r="D61" i="20"/>
  <c r="D66" i="20"/>
  <c r="B85" i="20"/>
  <c r="B50" i="20"/>
  <c r="C92" i="20"/>
  <c r="B100" i="20"/>
  <c r="C13" i="20"/>
  <c r="E33" i="20"/>
  <c r="C91" i="20"/>
  <c r="B91" i="20"/>
  <c r="E68" i="20"/>
  <c r="B117" i="20"/>
  <c r="C45" i="20"/>
  <c r="D88" i="20"/>
  <c r="E19" i="20"/>
  <c r="C25" i="20"/>
  <c r="D96" i="20"/>
  <c r="D60" i="20"/>
  <c r="E74" i="20"/>
  <c r="D120" i="20"/>
  <c r="D6" i="20"/>
  <c r="B58" i="20"/>
  <c r="D23" i="20"/>
  <c r="D92" i="20"/>
  <c r="B23" i="20"/>
  <c r="C40" i="20"/>
  <c r="C82" i="20"/>
  <c r="D42" i="20"/>
  <c r="C85" i="20"/>
  <c r="C77" i="20"/>
  <c r="B77" i="20"/>
  <c r="C99" i="20"/>
  <c r="E100" i="20"/>
  <c r="D45" i="20"/>
  <c r="D71" i="20"/>
  <c r="C32" i="20"/>
  <c r="E105" i="20"/>
  <c r="C86" i="20"/>
  <c r="B99" i="20"/>
  <c r="E22" i="20"/>
  <c r="D89" i="20"/>
  <c r="E111" i="20"/>
  <c r="D117" i="20"/>
  <c r="B34" i="20"/>
  <c r="E35" i="20"/>
  <c r="D48" i="20"/>
  <c r="E113" i="20"/>
  <c r="C31" i="20"/>
  <c r="D109" i="20"/>
  <c r="B47" i="20"/>
  <c r="C112" i="20"/>
  <c r="E84" i="20"/>
  <c r="B31" i="20"/>
  <c r="D22" i="20"/>
  <c r="B30" i="20"/>
  <c r="C83" i="20"/>
  <c r="D111" i="20"/>
  <c r="E112" i="20"/>
  <c r="E17" i="20"/>
  <c r="E109" i="20"/>
  <c r="B57" i="20"/>
  <c r="C76" i="20"/>
  <c r="B87" i="20"/>
  <c r="B5" i="20"/>
  <c r="E67" i="20"/>
  <c r="B59" i="20"/>
  <c r="B41" i="20"/>
  <c r="B78" i="20"/>
  <c r="D87" i="20"/>
  <c r="C17" i="20"/>
  <c r="B121" i="20"/>
  <c r="E16" i="20"/>
  <c r="C65" i="20"/>
  <c r="E31" i="20"/>
  <c r="B67" i="20"/>
  <c r="B49" i="20"/>
  <c r="D100" i="20"/>
  <c r="D14" i="20"/>
  <c r="B46" i="20"/>
  <c r="D17" i="20"/>
  <c r="D50" i="20"/>
  <c r="B9" i="20"/>
  <c r="C105" i="20"/>
  <c r="C36" i="20"/>
  <c r="B120" i="20"/>
  <c r="E61" i="20"/>
  <c r="E90" i="20"/>
  <c r="C79" i="20"/>
  <c r="E66" i="20"/>
  <c r="C116" i="20"/>
  <c r="C20" i="20"/>
  <c r="B53" i="20"/>
  <c r="D47" i="20"/>
  <c r="C115" i="20"/>
  <c r="B104" i="20"/>
  <c r="D70" i="20"/>
  <c r="D104" i="20"/>
  <c r="B89" i="20"/>
  <c r="B69" i="20"/>
  <c r="B15" i="20"/>
  <c r="C117" i="20"/>
  <c r="D58" i="20"/>
  <c r="E39" i="20"/>
  <c r="E69" i="20"/>
  <c r="C6" i="20"/>
  <c r="D82" i="20"/>
  <c r="D41" i="20"/>
  <c r="D7" i="20"/>
  <c r="E20" i="20"/>
  <c r="C52" i="20"/>
  <c r="C14" i="20"/>
  <c r="B97" i="20"/>
  <c r="D115" i="20"/>
  <c r="E102" i="20"/>
  <c r="E63" i="20"/>
  <c r="C106" i="20"/>
  <c r="E30" i="20"/>
  <c r="E18" i="20"/>
  <c r="D86" i="20"/>
  <c r="C64" i="20"/>
  <c r="B18" i="20"/>
  <c r="E51" i="20"/>
  <c r="C59" i="20"/>
  <c r="D68" i="20"/>
  <c r="D36" i="20"/>
  <c r="D43" i="20"/>
  <c r="C101" i="20"/>
  <c r="E79" i="20"/>
  <c r="E24" i="20"/>
  <c r="E106" i="20"/>
  <c r="C43" i="20"/>
  <c r="B17" i="20"/>
  <c r="E83" i="20"/>
  <c r="C103" i="20"/>
  <c r="B51" i="20"/>
  <c r="C16" i="20"/>
  <c r="B90" i="20"/>
  <c r="E5" i="20"/>
  <c r="C97" i="20"/>
  <c r="E42" i="20"/>
  <c r="B96" i="20"/>
  <c r="E75" i="20"/>
  <c r="B40" i="20"/>
  <c r="D103" i="20"/>
  <c r="E87" i="20"/>
  <c r="E117" i="20"/>
  <c r="B106" i="20"/>
  <c r="D85" i="20"/>
  <c r="C121" i="20"/>
  <c r="C66" i="20"/>
  <c r="B103" i="20"/>
  <c r="B29" i="20"/>
  <c r="D99" i="20"/>
  <c r="E108" i="20"/>
  <c r="B110" i="20"/>
  <c r="E40" i="20"/>
  <c r="B82" i="20"/>
  <c r="E122" i="20"/>
  <c r="E21" i="20"/>
  <c r="B108" i="20"/>
  <c r="E120" i="20"/>
  <c r="B71" i="20"/>
  <c r="C21" i="20"/>
  <c r="B81" i="20"/>
  <c r="B114" i="20"/>
  <c r="E58" i="20"/>
  <c r="E110" i="20"/>
  <c r="B35" i="20"/>
  <c r="B88" i="20"/>
  <c r="E86" i="20"/>
  <c r="C104" i="20"/>
  <c r="E36" i="20"/>
  <c r="B63" i="20"/>
  <c r="E26" i="20"/>
  <c r="B64" i="20"/>
  <c r="C100" i="20"/>
  <c r="E78" i="20"/>
  <c r="C27" i="20"/>
  <c r="C114" i="20"/>
  <c r="D27" i="20"/>
  <c r="B56" i="20"/>
  <c r="C18" i="20"/>
  <c r="D79" i="20"/>
  <c r="D52" i="20"/>
  <c r="E72" i="20"/>
  <c r="D90" i="20"/>
  <c r="E38" i="20"/>
  <c r="C90" i="20"/>
  <c r="D51" i="20"/>
  <c r="C108" i="20"/>
  <c r="C22" i="20"/>
  <c r="B11" i="20"/>
  <c r="D13" i="20"/>
  <c r="D69" i="20"/>
  <c r="E85" i="20"/>
  <c r="B79" i="20"/>
  <c r="E99" i="20"/>
  <c r="E80" i="20"/>
  <c r="E37" i="20"/>
  <c r="E53" i="20"/>
  <c r="B92" i="20"/>
  <c r="E50" i="20"/>
  <c r="C11" i="20"/>
  <c r="E81" i="20"/>
  <c r="C84" i="20"/>
  <c r="E77" i="20"/>
  <c r="C107" i="20"/>
  <c r="E88" i="20"/>
  <c r="C38" i="20"/>
  <c r="B6" i="20"/>
  <c r="E116" i="20"/>
  <c r="B73" i="20"/>
  <c r="U116" i="20"/>
  <c r="U118" i="20"/>
  <c r="U26" i="20"/>
  <c r="U31" i="20"/>
  <c r="U42" i="20"/>
  <c r="U120" i="20"/>
  <c r="U22" i="20"/>
  <c r="U93" i="20"/>
  <c r="U87" i="20"/>
  <c r="U68" i="20"/>
  <c r="U14" i="20"/>
  <c r="U111" i="20"/>
  <c r="U11" i="20"/>
  <c r="U40" i="20"/>
  <c r="U115" i="20"/>
  <c r="U16" i="20"/>
  <c r="U17" i="20"/>
  <c r="U67" i="20"/>
  <c r="U29" i="20"/>
  <c r="U103" i="20"/>
  <c r="U64" i="20"/>
  <c r="U109" i="20"/>
  <c r="U71" i="20"/>
  <c r="U114" i="20"/>
  <c r="U97" i="20"/>
  <c r="U119" i="20"/>
  <c r="U35" i="20"/>
  <c r="U41" i="20"/>
  <c r="U89" i="20"/>
  <c r="U50" i="20"/>
  <c r="U44" i="20"/>
  <c r="U61" i="20"/>
  <c r="U43" i="20"/>
  <c r="U60" i="20"/>
  <c r="U19" i="20"/>
  <c r="U53" i="20"/>
  <c r="U96" i="20"/>
  <c r="U54" i="20"/>
  <c r="U94" i="20"/>
  <c r="U10" i="20"/>
  <c r="U38" i="20"/>
  <c r="U84" i="20"/>
  <c r="U75" i="20"/>
  <c r="U21" i="20"/>
  <c r="G120" i="23"/>
  <c r="G17" i="23"/>
  <c r="O45" i="23"/>
  <c r="O72" i="23"/>
  <c r="O54" i="23"/>
  <c r="G6" i="23"/>
  <c r="G41" i="23"/>
  <c r="O101" i="23"/>
  <c r="O119" i="23"/>
  <c r="O50" i="23"/>
  <c r="O49" i="23"/>
  <c r="G72" i="23"/>
  <c r="G12" i="23"/>
  <c r="O96" i="23"/>
  <c r="N112" i="23"/>
  <c r="G57" i="23"/>
  <c r="F100" i="23"/>
  <c r="O33" i="23"/>
  <c r="G21" i="23"/>
  <c r="G76" i="23"/>
  <c r="G53" i="23"/>
  <c r="G32" i="23"/>
  <c r="O66" i="23"/>
  <c r="G27" i="23"/>
  <c r="G81" i="23"/>
  <c r="G91" i="23"/>
  <c r="O87" i="23"/>
  <c r="G18" i="23"/>
  <c r="O14" i="23"/>
  <c r="N110" i="23"/>
  <c r="G67" i="23"/>
  <c r="O43" i="23"/>
  <c r="F121" i="23"/>
  <c r="G99" i="23"/>
  <c r="G93" i="23"/>
  <c r="O79" i="23"/>
  <c r="O113" i="23"/>
  <c r="O108" i="23"/>
  <c r="G64" i="23"/>
  <c r="N105" i="23"/>
  <c r="O21" i="23"/>
  <c r="O57" i="23"/>
  <c r="G113" i="23"/>
  <c r="G108" i="23"/>
  <c r="F118" i="23"/>
  <c r="G54" i="23"/>
  <c r="G47" i="23"/>
  <c r="G37" i="23"/>
  <c r="F111" i="23"/>
  <c r="N115" i="23"/>
  <c r="G10" i="23"/>
  <c r="O41" i="23"/>
  <c r="O12" i="23"/>
  <c r="O29" i="23"/>
  <c r="O95" i="23"/>
  <c r="G75" i="23"/>
  <c r="G22" i="23"/>
  <c r="G87" i="23"/>
  <c r="G50" i="23"/>
  <c r="G66" i="23"/>
  <c r="O28" i="23"/>
  <c r="G15" i="23"/>
  <c r="G114" i="23"/>
  <c r="G25" i="23"/>
  <c r="G104" i="23"/>
  <c r="O19" i="23"/>
  <c r="O70" i="23"/>
  <c r="G56" i="23"/>
  <c r="O88" i="23"/>
  <c r="G61" i="23"/>
  <c r="O77" i="23"/>
  <c r="G106" i="23"/>
  <c r="O11" i="23"/>
  <c r="G38" i="23"/>
  <c r="G19" i="23"/>
  <c r="G26" i="23"/>
  <c r="O102" i="23"/>
  <c r="G109" i="23"/>
  <c r="G70" i="23"/>
  <c r="O98" i="23"/>
  <c r="G28" i="23"/>
  <c r="O36" i="23"/>
  <c r="O55" i="23"/>
  <c r="F83" i="23"/>
  <c r="G20" i="23"/>
  <c r="G29" i="23"/>
  <c r="O7" i="23"/>
  <c r="G80" i="23"/>
  <c r="O62" i="23"/>
  <c r="G101" i="23"/>
  <c r="G44" i="23"/>
  <c r="O63" i="23"/>
  <c r="G88" i="23"/>
  <c r="G98" i="23"/>
  <c r="F116" i="23"/>
  <c r="O56" i="23"/>
  <c r="G43" i="23"/>
  <c r="F105" i="23"/>
  <c r="G13" i="23"/>
  <c r="O4" i="23"/>
  <c r="N111" i="23"/>
  <c r="O68" i="23"/>
  <c r="F110" i="23"/>
  <c r="G11" i="23"/>
  <c r="G48" i="23"/>
  <c r="O31" i="23"/>
  <c r="O61" i="23"/>
  <c r="O71" i="23"/>
  <c r="G95" i="23"/>
  <c r="G7" i="23"/>
  <c r="O30" i="23"/>
  <c r="O104" i="23"/>
  <c r="G94" i="23"/>
  <c r="G35" i="23"/>
  <c r="G24" i="23"/>
  <c r="F89" i="23"/>
  <c r="G74" i="23"/>
  <c r="N118" i="23"/>
  <c r="N122" i="23"/>
  <c r="G33" i="23"/>
  <c r="O91" i="23"/>
  <c r="G86" i="23"/>
  <c r="O103" i="23"/>
  <c r="O53" i="23"/>
  <c r="G82" i="23"/>
  <c r="G84" i="23"/>
  <c r="O22" i="23"/>
  <c r="O47" i="23"/>
  <c r="G69" i="23"/>
  <c r="O97" i="23"/>
  <c r="G55" i="23"/>
  <c r="G65" i="23"/>
  <c r="G14" i="23"/>
  <c r="G46" i="23"/>
  <c r="O26" i="23"/>
  <c r="O34" i="23"/>
  <c r="O80" i="23"/>
  <c r="N117" i="23"/>
  <c r="G16" i="23"/>
  <c r="G90" i="23"/>
  <c r="O8" i="23"/>
  <c r="G31" i="23"/>
  <c r="G119" i="23"/>
  <c r="G96" i="23"/>
  <c r="O52" i="23"/>
  <c r="O59" i="23"/>
  <c r="O65" i="23"/>
  <c r="G5" i="23"/>
  <c r="O35" i="23"/>
  <c r="O106" i="23"/>
  <c r="O82" i="23"/>
  <c r="O15" i="23"/>
  <c r="O39" i="23"/>
  <c r="F122" i="23"/>
  <c r="O10" i="23"/>
  <c r="G39" i="23"/>
  <c r="G42" i="23"/>
  <c r="O5" i="23"/>
  <c r="G9" i="23"/>
  <c r="G102" i="23"/>
  <c r="G107" i="23"/>
  <c r="O84" i="23"/>
  <c r="N89" i="23"/>
  <c r="O60" i="23"/>
  <c r="O75" i="23"/>
  <c r="N116" i="23"/>
  <c r="O73" i="23"/>
  <c r="O93" i="23"/>
  <c r="O18" i="23"/>
  <c r="O20" i="23"/>
  <c r="F112" i="23"/>
  <c r="O9" i="23"/>
  <c r="O38" i="23"/>
  <c r="O48" i="23"/>
  <c r="G79" i="23"/>
  <c r="O76" i="23"/>
  <c r="N121" i="23"/>
  <c r="G73" i="23"/>
  <c r="G52" i="23"/>
  <c r="N83" i="23"/>
  <c r="O107" i="23"/>
  <c r="G23" i="23"/>
  <c r="G103" i="23"/>
  <c r="O44" i="23"/>
  <c r="F115" i="23"/>
  <c r="O25" i="23"/>
  <c r="N100" i="23"/>
  <c r="G58" i="23"/>
  <c r="G85" i="23"/>
  <c r="O37" i="23"/>
  <c r="O74" i="23"/>
  <c r="G4" i="23"/>
  <c r="O94" i="23"/>
  <c r="O109" i="23"/>
  <c r="O46" i="23"/>
  <c r="O51" i="23"/>
  <c r="O85" i="23"/>
  <c r="O78" i="23"/>
  <c r="O6" i="23"/>
  <c r="O23" i="23"/>
  <c r="G34" i="23"/>
  <c r="O120" i="23"/>
  <c r="G60" i="23"/>
  <c r="O99" i="23"/>
  <c r="G49" i="23"/>
  <c r="O42" i="23"/>
  <c r="G68" i="23"/>
  <c r="G45" i="23"/>
  <c r="F92" i="23"/>
  <c r="G77" i="23"/>
  <c r="O17" i="23"/>
  <c r="G40" i="23"/>
  <c r="O69" i="23"/>
  <c r="G36" i="23"/>
  <c r="O86" i="23"/>
  <c r="G63" i="23"/>
  <c r="O13" i="23"/>
  <c r="O16" i="23"/>
  <c r="O81" i="23"/>
  <c r="O114" i="23"/>
  <c r="G51" i="23"/>
  <c r="F117" i="23"/>
  <c r="O27" i="23"/>
  <c r="G62" i="23"/>
  <c r="G8" i="23"/>
  <c r="G59" i="23"/>
  <c r="O24" i="23"/>
  <c r="O64" i="23"/>
  <c r="G30" i="23"/>
  <c r="O58" i="23"/>
  <c r="O67" i="23"/>
  <c r="N92" i="23"/>
  <c r="O90" i="23"/>
  <c r="G78" i="23"/>
  <c r="O40" i="23"/>
  <c r="G97" i="23"/>
  <c r="O32" i="23"/>
  <c r="U72" i="20"/>
  <c r="U78" i="20"/>
  <c r="U92" i="20"/>
  <c r="U83" i="20"/>
  <c r="U99" i="20"/>
  <c r="U52" i="20"/>
  <c r="U9" i="20"/>
  <c r="U108" i="20"/>
  <c r="U100" i="20"/>
  <c r="U73" i="20"/>
  <c r="U32" i="20"/>
  <c r="U47" i="20"/>
  <c r="U15" i="20"/>
  <c r="U121" i="20"/>
  <c r="U36" i="20"/>
  <c r="U33" i="20"/>
  <c r="U7" i="20"/>
  <c r="U112" i="20"/>
  <c r="U82" i="20"/>
  <c r="U56" i="20"/>
  <c r="U122" i="20"/>
  <c r="U39" i="20"/>
  <c r="U48" i="20"/>
  <c r="U104" i="20"/>
  <c r="U74" i="20"/>
  <c r="U91" i="20"/>
  <c r="U27" i="20"/>
  <c r="U80" i="20"/>
  <c r="U81" i="20"/>
  <c r="U8" i="20"/>
  <c r="U49" i="20"/>
  <c r="U102" i="20"/>
  <c r="U90" i="20"/>
  <c r="U105" i="20"/>
  <c r="U66" i="20"/>
  <c r="U28" i="20"/>
  <c r="U25" i="20"/>
  <c r="U37" i="20"/>
  <c r="U62" i="20"/>
  <c r="U65" i="20"/>
  <c r="U58" i="20"/>
  <c r="U88" i="20"/>
  <c r="K71" i="23"/>
  <c r="W5" i="20"/>
  <c r="U5" i="20" s="1"/>
  <c r="U55" i="20"/>
  <c r="U98" i="20"/>
  <c r="U63" i="20"/>
  <c r="U13" i="20"/>
  <c r="U51" i="20"/>
  <c r="U95" i="20"/>
  <c r="U12" i="20"/>
  <c r="U76" i="20"/>
  <c r="U46" i="20"/>
  <c r="U117" i="20"/>
  <c r="L85" i="20"/>
  <c r="L30" i="20"/>
  <c r="L26" i="20"/>
  <c r="L29" i="20"/>
  <c r="L101" i="20"/>
  <c r="L35" i="20"/>
  <c r="L75" i="20"/>
  <c r="L44" i="20"/>
  <c r="L57" i="20"/>
  <c r="L10" i="20"/>
  <c r="L84" i="20"/>
  <c r="L105" i="20"/>
  <c r="L49" i="20"/>
  <c r="L72" i="20"/>
  <c r="L87" i="20"/>
  <c r="L18" i="20"/>
  <c r="L113" i="20"/>
  <c r="L23" i="20"/>
  <c r="L17" i="20"/>
  <c r="L47" i="20"/>
  <c r="L122" i="20"/>
  <c r="L22" i="20"/>
  <c r="L33" i="20"/>
  <c r="L56" i="20"/>
  <c r="L19" i="20"/>
  <c r="L102" i="20"/>
  <c r="L21" i="20"/>
  <c r="L53" i="20"/>
  <c r="L7" i="20"/>
  <c r="L32" i="20"/>
  <c r="L62" i="20"/>
  <c r="L25" i="20"/>
  <c r="L28" i="20"/>
  <c r="L59" i="20"/>
  <c r="L54" i="20"/>
  <c r="L61" i="20"/>
  <c r="L14" i="20"/>
  <c r="L71" i="20"/>
  <c r="L92" i="20"/>
  <c r="L65" i="20"/>
  <c r="L64" i="20"/>
  <c r="L107" i="20"/>
  <c r="L93" i="20"/>
  <c r="L13" i="20"/>
  <c r="L48" i="20"/>
  <c r="L81" i="20"/>
  <c r="L58" i="20"/>
  <c r="L108" i="20"/>
  <c r="L121" i="20"/>
  <c r="L86" i="20"/>
  <c r="L68" i="20"/>
  <c r="L112" i="20"/>
  <c r="L55" i="20"/>
  <c r="L118" i="20"/>
  <c r="L42" i="20"/>
  <c r="L70" i="20"/>
  <c r="L38" i="20"/>
  <c r="L78" i="20"/>
  <c r="L51" i="20"/>
  <c r="L31" i="20"/>
  <c r="L80" i="20"/>
  <c r="L50" i="20"/>
  <c r="L97" i="20"/>
  <c r="L88" i="20"/>
  <c r="L36" i="20"/>
  <c r="L15" i="20"/>
  <c r="L34" i="20"/>
  <c r="L41" i="20"/>
  <c r="L90" i="20"/>
  <c r="L63" i="20"/>
  <c r="L69" i="20"/>
  <c r="L45" i="20"/>
  <c r="L116" i="20"/>
  <c r="L5" i="20"/>
  <c r="L94" i="20"/>
  <c r="L95" i="20"/>
  <c r="L117" i="20"/>
  <c r="L109" i="20"/>
  <c r="L79" i="20"/>
  <c r="L40" i="20"/>
  <c r="L39" i="20"/>
  <c r="L114" i="20"/>
  <c r="L115" i="20"/>
  <c r="L66" i="20"/>
  <c r="L9" i="20"/>
  <c r="L27" i="20"/>
  <c r="L73" i="20"/>
  <c r="L91" i="20"/>
  <c r="L74" i="20"/>
  <c r="L111" i="20"/>
  <c r="L96" i="20"/>
  <c r="L83" i="20"/>
  <c r="L89" i="20"/>
  <c r="L11" i="20"/>
  <c r="L52" i="20"/>
  <c r="L77" i="20"/>
  <c r="L98" i="20"/>
  <c r="L99" i="20"/>
  <c r="L20" i="20"/>
  <c r="L103" i="20"/>
  <c r="L120" i="20"/>
  <c r="L100" i="20"/>
  <c r="L37" i="20"/>
  <c r="L106" i="20"/>
  <c r="L104" i="20"/>
  <c r="L67" i="20"/>
  <c r="L82" i="20"/>
  <c r="L46" i="20"/>
  <c r="L43" i="20"/>
  <c r="L119" i="20"/>
  <c r="L76" i="20"/>
  <c r="L60" i="20"/>
  <c r="L6" i="20"/>
  <c r="L16" i="20"/>
  <c r="L12" i="20"/>
  <c r="L8" i="20"/>
  <c r="L110" i="20"/>
  <c r="L24" i="20"/>
  <c r="U45" i="20"/>
  <c r="U106" i="20"/>
  <c r="U30" i="20"/>
  <c r="U113" i="20"/>
  <c r="U70" i="20"/>
  <c r="U34" i="20"/>
  <c r="U86" i="20"/>
  <c r="U110" i="20"/>
  <c r="U101" i="20"/>
  <c r="U59" i="20"/>
  <c r="U77" i="20"/>
  <c r="U23" i="20"/>
  <c r="U79" i="20"/>
  <c r="U18" i="20"/>
  <c r="U57" i="20"/>
  <c r="U69" i="20"/>
  <c r="U6" i="20"/>
  <c r="U85" i="20"/>
  <c r="U20" i="20"/>
  <c r="K82" i="23" l="1"/>
  <c r="K66" i="23"/>
  <c r="K114" i="23"/>
  <c r="M10" i="23"/>
  <c r="F15" i="20"/>
  <c r="K57" i="23"/>
  <c r="K32" i="23"/>
  <c r="K64" i="23"/>
  <c r="F74" i="20"/>
  <c r="K54" i="23"/>
  <c r="K88" i="23"/>
  <c r="F13" i="20"/>
  <c r="K68" i="23"/>
  <c r="K47" i="23"/>
  <c r="F76" i="20"/>
  <c r="F10" i="20"/>
  <c r="K90" i="23"/>
  <c r="K37" i="23"/>
  <c r="F115" i="20"/>
  <c r="F85" i="20"/>
  <c r="F6" i="20"/>
  <c r="K29" i="23"/>
  <c r="D32" i="23"/>
  <c r="F46" i="20"/>
  <c r="F14" i="20"/>
  <c r="F5" i="20"/>
  <c r="F9" i="20"/>
  <c r="F90" i="20"/>
  <c r="F52" i="20"/>
  <c r="F7" i="20"/>
  <c r="F120" i="20"/>
  <c r="F102" i="20"/>
  <c r="F20" i="20"/>
  <c r="F95" i="20"/>
  <c r="F16" i="20"/>
  <c r="F11" i="20"/>
  <c r="F54" i="20"/>
  <c r="K108" i="23"/>
  <c r="K14" i="23"/>
  <c r="K75" i="23"/>
  <c r="F83" i="20"/>
  <c r="F82" i="20"/>
  <c r="F111" i="20"/>
  <c r="F22" i="20"/>
  <c r="F112" i="20"/>
  <c r="F105" i="20"/>
  <c r="M81" i="23"/>
  <c r="D86" i="23"/>
  <c r="D107" i="23"/>
  <c r="D10" i="23"/>
  <c r="K85" i="23"/>
  <c r="K26" i="23"/>
  <c r="K93" i="23"/>
  <c r="M53" i="23"/>
  <c r="M24" i="23"/>
  <c r="D80" i="23"/>
  <c r="M4" i="23"/>
  <c r="M69" i="23"/>
  <c r="D45" i="23"/>
  <c r="M35" i="23"/>
  <c r="D94" i="23"/>
  <c r="D98" i="23"/>
  <c r="M58" i="23"/>
  <c r="D65" i="23"/>
  <c r="D84" i="23"/>
  <c r="M93" i="23"/>
  <c r="D35" i="23"/>
  <c r="D19" i="23"/>
  <c r="M44" i="23"/>
  <c r="D51" i="23"/>
  <c r="D101" i="23"/>
  <c r="D75" i="23"/>
  <c r="K104" i="23"/>
  <c r="K113" i="23"/>
  <c r="K25" i="23"/>
  <c r="K17" i="23"/>
  <c r="K100" i="23"/>
  <c r="M51" i="23"/>
  <c r="D24" i="23"/>
  <c r="D55" i="23"/>
  <c r="D102" i="23"/>
  <c r="K22" i="23"/>
  <c r="K106" i="23"/>
  <c r="C111" i="23"/>
  <c r="D53" i="23"/>
  <c r="D12" i="23"/>
  <c r="M114" i="23"/>
  <c r="K30" i="23"/>
  <c r="K69" i="23"/>
  <c r="D8" i="23"/>
  <c r="L116" i="23"/>
  <c r="D16" i="23"/>
  <c r="K92" i="23"/>
  <c r="K35" i="23"/>
  <c r="D61" i="23"/>
  <c r="M49" i="23"/>
  <c r="D46" i="23"/>
  <c r="D33" i="23"/>
  <c r="D97" i="23"/>
  <c r="D69" i="23"/>
  <c r="M66" i="23"/>
  <c r="M32" i="23"/>
  <c r="K96" i="23"/>
  <c r="K77" i="23"/>
  <c r="F86" i="20"/>
  <c r="F58" i="20"/>
  <c r="F80" i="20"/>
  <c r="F73" i="20"/>
  <c r="F32" i="20"/>
  <c r="F116" i="20"/>
  <c r="F91" i="20"/>
  <c r="F34" i="20"/>
  <c r="F87" i="20"/>
  <c r="F110" i="20"/>
  <c r="F38" i="20"/>
  <c r="F100" i="20"/>
  <c r="F88" i="20"/>
  <c r="F79" i="20"/>
  <c r="F84" i="20"/>
  <c r="F94" i="20"/>
  <c r="F78" i="20"/>
  <c r="F63" i="20"/>
  <c r="F56" i="20"/>
  <c r="F17" i="20"/>
  <c r="F61" i="20"/>
  <c r="F26" i="20"/>
  <c r="F99" i="20"/>
  <c r="F37" i="20"/>
  <c r="F35" i="20"/>
  <c r="F49" i="20"/>
  <c r="F81" i="20"/>
  <c r="F68" i="20"/>
  <c r="F113" i="20"/>
  <c r="F29" i="20"/>
  <c r="F65" i="20"/>
  <c r="F92" i="20"/>
  <c r="F21" i="20"/>
  <c r="F104" i="20"/>
  <c r="F107" i="20"/>
  <c r="F122" i="20"/>
  <c r="F71" i="20"/>
  <c r="F53" i="20"/>
  <c r="F121" i="20"/>
  <c r="F69" i="20"/>
  <c r="F25" i="20"/>
  <c r="F44" i="20"/>
  <c r="F77" i="20"/>
  <c r="F23" i="20"/>
  <c r="F18" i="20"/>
  <c r="F33" i="20"/>
  <c r="F75" i="20"/>
  <c r="F60" i="20"/>
  <c r="F66" i="20"/>
  <c r="D14" i="23"/>
  <c r="F31" i="20"/>
  <c r="F96" i="20"/>
  <c r="F51" i="20"/>
  <c r="F97" i="20"/>
  <c r="F101" i="20"/>
  <c r="F40" i="20"/>
  <c r="F59" i="20"/>
  <c r="F114" i="20"/>
  <c r="M15" i="23"/>
  <c r="M11" i="23"/>
  <c r="M52" i="23"/>
  <c r="L112" i="23"/>
  <c r="M12" i="23"/>
  <c r="D76" i="23"/>
  <c r="M90" i="23"/>
  <c r="M96" i="23"/>
  <c r="M70" i="23"/>
  <c r="M63" i="23"/>
  <c r="D6" i="23"/>
  <c r="D113" i="23"/>
  <c r="M98" i="23"/>
  <c r="M119" i="23"/>
  <c r="M77" i="23"/>
  <c r="D54" i="23"/>
  <c r="D39" i="23"/>
  <c r="M62" i="23"/>
  <c r="L89" i="23"/>
  <c r="D63" i="23"/>
  <c r="M23" i="23"/>
  <c r="M47" i="23"/>
  <c r="M27" i="23"/>
  <c r="M41" i="23"/>
  <c r="M84" i="23"/>
  <c r="D85" i="23"/>
  <c r="M13" i="23"/>
  <c r="M65" i="23"/>
  <c r="M5" i="23"/>
  <c r="D106" i="23"/>
  <c r="C112" i="23"/>
  <c r="D11" i="23"/>
  <c r="D44" i="23"/>
  <c r="M50" i="23"/>
  <c r="D59" i="23"/>
  <c r="D52" i="23"/>
  <c r="M79" i="23"/>
  <c r="D34" i="23"/>
  <c r="M42" i="23"/>
  <c r="L121" i="23"/>
  <c r="M73" i="23"/>
  <c r="M107" i="23"/>
  <c r="L92" i="23"/>
  <c r="M59" i="23"/>
  <c r="D5" i="23"/>
  <c r="D90" i="23"/>
  <c r="D60" i="23"/>
  <c r="M26" i="23"/>
  <c r="M67" i="23"/>
  <c r="M19" i="23"/>
  <c r="D88" i="23"/>
  <c r="M30" i="23"/>
  <c r="M97" i="23"/>
  <c r="D27" i="23"/>
  <c r="M20" i="23"/>
  <c r="C92" i="23"/>
  <c r="D30" i="23"/>
  <c r="M104" i="23"/>
  <c r="M113" i="23"/>
  <c r="D25" i="23"/>
  <c r="D50" i="23"/>
  <c r="M106" i="23"/>
  <c r="M38" i="23"/>
  <c r="C116" i="23"/>
  <c r="M18" i="23"/>
  <c r="D91" i="23"/>
  <c r="C117" i="23"/>
  <c r="D62" i="23"/>
  <c r="M85" i="23"/>
  <c r="D104" i="23"/>
  <c r="D18" i="23"/>
  <c r="M28" i="23"/>
  <c r="M14" i="23"/>
  <c r="D49" i="23"/>
  <c r="M99" i="23"/>
  <c r="M82" i="23"/>
  <c r="M54" i="23"/>
  <c r="C122" i="23"/>
  <c r="M48" i="23"/>
  <c r="D78" i="23"/>
  <c r="M101" i="23"/>
  <c r="M43" i="23"/>
  <c r="F57" i="20"/>
  <c r="F30" i="20"/>
  <c r="F8" i="20"/>
  <c r="F72" i="20"/>
  <c r="F55" i="20"/>
  <c r="F93" i="20"/>
  <c r="F28" i="20"/>
  <c r="F119" i="20"/>
  <c r="F19" i="20"/>
  <c r="F50" i="20"/>
  <c r="F41" i="20"/>
  <c r="F67" i="20"/>
  <c r="F42" i="20"/>
  <c r="F39" i="20"/>
  <c r="F109" i="20"/>
  <c r="F106" i="20"/>
  <c r="F24" i="20"/>
  <c r="F27" i="20"/>
  <c r="F98" i="20"/>
  <c r="F45" i="20"/>
  <c r="F89" i="20"/>
  <c r="F117" i="20"/>
  <c r="F118" i="20"/>
  <c r="F36" i="20"/>
  <c r="F103" i="20"/>
  <c r="F70" i="20"/>
  <c r="F12" i="20"/>
  <c r="F47" i="20"/>
  <c r="F48" i="20"/>
  <c r="F62" i="20"/>
  <c r="M94" i="23"/>
  <c r="M25" i="23"/>
  <c r="M9" i="23"/>
  <c r="D29" i="23"/>
  <c r="M6" i="23"/>
  <c r="M74" i="23"/>
  <c r="D103" i="23"/>
  <c r="D95" i="23"/>
  <c r="D72" i="23"/>
  <c r="D82" i="23"/>
  <c r="D36" i="23"/>
  <c r="C121" i="23"/>
  <c r="D15" i="23"/>
  <c r="M56" i="23"/>
  <c r="D37" i="23"/>
  <c r="M71" i="23"/>
  <c r="D74" i="23"/>
  <c r="M37" i="23"/>
  <c r="M88" i="23"/>
  <c r="M31" i="23"/>
  <c r="D79" i="23"/>
  <c r="D56" i="23"/>
  <c r="D28" i="23"/>
  <c r="L117" i="23"/>
  <c r="D22" i="23"/>
  <c r="D40" i="23"/>
  <c r="D70" i="23"/>
  <c r="D108" i="23"/>
  <c r="D4" i="23"/>
  <c r="M8" i="23"/>
  <c r="M64" i="23"/>
  <c r="D31" i="23"/>
  <c r="M57" i="23"/>
  <c r="D26" i="23"/>
  <c r="L105" i="23"/>
  <c r="M7" i="23"/>
  <c r="M78" i="23"/>
  <c r="M109" i="23"/>
  <c r="D20" i="23"/>
  <c r="M103" i="23"/>
  <c r="M40" i="23"/>
  <c r="M39" i="23"/>
  <c r="M61" i="23"/>
  <c r="D64" i="23"/>
  <c r="M34" i="23"/>
  <c r="M120" i="23"/>
  <c r="D68" i="23"/>
  <c r="D119" i="23"/>
  <c r="M45" i="23"/>
  <c r="D93" i="23"/>
  <c r="D7" i="23"/>
  <c r="M55" i="23"/>
  <c r="D38" i="23"/>
  <c r="D66" i="23"/>
  <c r="D48" i="23"/>
  <c r="M91" i="23"/>
  <c r="F108" i="20"/>
  <c r="F43" i="20"/>
  <c r="F64" i="20"/>
  <c r="K11" i="23"/>
  <c r="M16" i="23"/>
  <c r="M86" i="23"/>
  <c r="M87" i="23"/>
  <c r="D99" i="23"/>
  <c r="C100" i="23"/>
  <c r="D23" i="23"/>
  <c r="M36" i="23"/>
  <c r="M68" i="23"/>
  <c r="M102" i="23"/>
  <c r="D58" i="23"/>
  <c r="L110" i="23"/>
  <c r="M21" i="23"/>
  <c r="M76" i="23"/>
  <c r="M29" i="23"/>
  <c r="M72" i="23"/>
  <c r="D120" i="23"/>
  <c r="L122" i="23"/>
  <c r="D81" i="23"/>
  <c r="M75" i="23"/>
  <c r="D77" i="23"/>
  <c r="D67" i="23"/>
  <c r="C105" i="23"/>
  <c r="M22" i="23"/>
  <c r="M108" i="23"/>
  <c r="C89" i="23"/>
  <c r="D73" i="23"/>
  <c r="D57" i="23"/>
  <c r="D109" i="23"/>
  <c r="D17" i="23"/>
  <c r="D114" i="23"/>
  <c r="C83" i="23"/>
  <c r="M17" i="23"/>
  <c r="D9" i="23"/>
  <c r="D43" i="23"/>
  <c r="L83" i="23"/>
  <c r="M33" i="23"/>
  <c r="D21" i="23"/>
  <c r="D13" i="23"/>
  <c r="M80" i="23"/>
  <c r="D96" i="23"/>
  <c r="M46" i="23"/>
  <c r="M95" i="23"/>
  <c r="D42" i="23"/>
  <c r="M60" i="23"/>
  <c r="L118" i="23"/>
  <c r="L115" i="23"/>
  <c r="D41" i="23"/>
  <c r="L111" i="23"/>
  <c r="C110" i="23"/>
  <c r="D87" i="23"/>
  <c r="D47" i="23"/>
  <c r="C118" i="23"/>
  <c r="L100" i="23"/>
  <c r="C115" i="23"/>
  <c r="K65" i="23"/>
  <c r="K112" i="23"/>
  <c r="K78" i="23"/>
  <c r="K39" i="23"/>
  <c r="K52" i="23"/>
  <c r="K84" i="23"/>
  <c r="K43" i="23"/>
  <c r="K19" i="23"/>
  <c r="K103" i="23"/>
  <c r="K58" i="23"/>
  <c r="K45" i="23"/>
  <c r="K56" i="23"/>
  <c r="K20" i="23"/>
  <c r="K9" i="23"/>
  <c r="K40" i="23"/>
  <c r="K117" i="23"/>
  <c r="K8" i="23"/>
  <c r="K6" i="23"/>
  <c r="K89" i="23"/>
  <c r="K107" i="23"/>
  <c r="K76" i="23"/>
  <c r="K38" i="23"/>
  <c r="K18" i="23"/>
  <c r="K122" i="23"/>
  <c r="K10" i="23"/>
  <c r="K34" i="23"/>
  <c r="K49" i="23"/>
  <c r="K60" i="23"/>
  <c r="K118" i="23"/>
  <c r="K83" i="23"/>
  <c r="K98" i="23"/>
  <c r="K62" i="23"/>
  <c r="K115" i="23"/>
  <c r="K61" i="23"/>
  <c r="K59" i="23"/>
  <c r="K110" i="23"/>
  <c r="K120" i="23"/>
  <c r="K21" i="23"/>
  <c r="K48" i="23"/>
  <c r="K73" i="23"/>
  <c r="K95" i="23"/>
  <c r="K51" i="23"/>
  <c r="K13" i="23"/>
  <c r="K72" i="23"/>
  <c r="K55" i="23"/>
  <c r="K87" i="23"/>
  <c r="K91" i="23"/>
  <c r="K63" i="23"/>
  <c r="K81" i="23"/>
  <c r="K12" i="23"/>
  <c r="K33" i="23"/>
  <c r="K102" i="23"/>
  <c r="K36" i="23"/>
  <c r="K80" i="23"/>
  <c r="K28" i="23"/>
  <c r="K105" i="23"/>
  <c r="K79" i="23"/>
  <c r="K16" i="23"/>
  <c r="K121" i="23"/>
  <c r="K41" i="23"/>
  <c r="K97" i="23"/>
  <c r="K116" i="23"/>
  <c r="K27" i="23"/>
  <c r="K24" i="23"/>
  <c r="K15" i="23"/>
  <c r="K23" i="23"/>
  <c r="K42" i="23"/>
  <c r="K46" i="23"/>
  <c r="K5" i="23"/>
  <c r="K50" i="23"/>
  <c r="K86" i="23"/>
  <c r="K70" i="23"/>
  <c r="K109" i="23"/>
  <c r="K74" i="23"/>
  <c r="K119" i="23"/>
  <c r="K111" i="23"/>
  <c r="K99" i="23"/>
  <c r="K101" i="23"/>
  <c r="K7" i="23"/>
  <c r="K67" i="23"/>
  <c r="K53" i="23"/>
  <c r="K31" i="23"/>
  <c r="K44" i="23"/>
  <c r="K94" i="23"/>
</calcChain>
</file>

<file path=xl/sharedStrings.xml><?xml version="1.0" encoding="utf-8"?>
<sst xmlns="http://schemas.openxmlformats.org/spreadsheetml/2006/main" count="7154" uniqueCount="418">
  <si>
    <t>TOC</t>
  </si>
  <si>
    <t>é</t>
  </si>
  <si>
    <t>BESID</t>
  </si>
  <si>
    <t>Preference Customer</t>
  </si>
  <si>
    <t>NOTJOE</t>
  </si>
  <si>
    <t>JOE</t>
  </si>
  <si>
    <t>Avg Non-Slice
TOCA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</si>
  <si>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</si>
  <si>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</si>
  <si>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</si>
  <si>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</si>
  <si>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</si>
  <si>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</si>
  <si>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</si>
  <si>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</si>
  <si>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</si>
  <si>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</si>
  <si>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</si>
  <si>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</si>
  <si>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</si>
  <si>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</si>
  <si>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</si>
  <si>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</si>
  <si>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</si>
  <si>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</si>
  <si>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</si>
  <si>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</si>
  <si>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</si>
  <si>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</si>
  <si>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</si>
  <si>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</si>
  <si>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</si>
  <si>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</si>
  <si>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</si>
  <si>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</si>
  <si>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</si>
  <si>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</si>
  <si>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</si>
  <si>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</si>
  <si>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</si>
  <si>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</si>
  <si>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</si>
  <si>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</si>
  <si>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</si>
  <si>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</si>
  <si>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</si>
  <si>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</si>
  <si>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</si>
  <si>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</si>
  <si>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</si>
  <si>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</si>
  <si>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</si>
  <si>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</si>
  <si>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</si>
  <si>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</si>
  <si>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</si>
  <si>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</si>
  <si>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</si>
  <si>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</si>
  <si>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</si>
  <si>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</si>
  <si>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</si>
  <si>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</si>
  <si>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</si>
  <si>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</si>
  <si>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</si>
  <si>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</si>
  <si>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</si>
  <si>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</si>
  <si>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</si>
  <si>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</si>
  <si>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</si>
  <si>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</si>
  <si>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</si>
  <si>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</si>
  <si>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</si>
  <si>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</si>
  <si>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</si>
  <si>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</si>
  <si>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</si>
  <si>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</si>
  <si>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</si>
  <si>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</si>
  <si>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</si>
  <si>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</si>
  <si>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</si>
  <si>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</si>
  <si>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</si>
  <si>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</si>
  <si>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</si>
  <si>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</si>
  <si>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</si>
  <si>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</si>
  <si>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</si>
  <si>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</si>
  <si>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</si>
  <si>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</si>
  <si>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</si>
  <si>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</si>
  <si>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</si>
  <si>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</si>
  <si>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</si>
  <si>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</si>
  <si>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</si>
  <si>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</si>
  <si>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</si>
  <si>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</si>
  <si>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</si>
  <si>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</si>
  <si>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</si>
  <si>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</si>
  <si>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</si>
  <si>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</si>
  <si>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</si>
  <si>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</si>
  <si>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</si>
  <si>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</si>
  <si>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</si>
  <si>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</si>
  <si>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</si>
  <si>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</si>
  <si>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</si>
  <si>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</si>
  <si>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</si>
  <si>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</si>
  <si>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</si>
  <si>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</si>
  <si>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</si>
  <si>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</si>
  <si>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</si>
  <si>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</si>
  <si>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</si>
  <si>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</si>
  <si>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</si>
  <si>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</si>
  <si>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</si>
  <si>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</si>
  <si>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</si>
  <si>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</si>
  <si>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</si>
  <si>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</si>
  <si>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</si>
  <si>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TOCA Computations, RHWMs and Net Requirements</t>
  </si>
  <si>
    <t>HLH</t>
  </si>
  <si>
    <t>LLH</t>
  </si>
  <si>
    <t>Tier 1 Demand Charge Billing Determinant (KW)</t>
  </si>
  <si>
    <t>Preference Customer Parameters</t>
  </si>
  <si>
    <t>AccountName</t>
  </si>
  <si>
    <t>IRD Loads</t>
  </si>
  <si>
    <t>Previous</t>
  </si>
  <si>
    <t>Current</t>
  </si>
  <si>
    <t>Diurnal Hours</t>
  </si>
  <si>
    <t>Annual Hours</t>
  </si>
  <si>
    <t>date</t>
  </si>
  <si>
    <t>days</t>
  </si>
  <si>
    <t>hours</t>
  </si>
  <si>
    <t>#Sun</t>
  </si>
  <si>
    <t>#Hol</t>
  </si>
  <si>
    <t>HLH%</t>
  </si>
  <si>
    <t>year</t>
  </si>
  <si>
    <t>Cost Allocation under Tiered Rates</t>
  </si>
  <si>
    <t>Costs ($000)</t>
  </si>
  <si>
    <t>Rate Period</t>
  </si>
  <si>
    <t>Composite</t>
  </si>
  <si>
    <t>Non-Slice</t>
  </si>
  <si>
    <t>Slice</t>
  </si>
  <si>
    <t>Tier 2</t>
  </si>
  <si>
    <t>Total Costs</t>
  </si>
  <si>
    <t>Adjustments</t>
  </si>
  <si>
    <t>Revenues from Rate Pools to Composite Cost Pool</t>
  </si>
  <si>
    <t>DSI Revenue Credit</t>
  </si>
  <si>
    <t>Exchange Revenues</t>
  </si>
  <si>
    <t>New Resource Revenues</t>
  </si>
  <si>
    <t>FPS Revenues</t>
  </si>
  <si>
    <t>Non-Federal RSS Revenues</t>
  </si>
  <si>
    <t>Other Credits</t>
  </si>
  <si>
    <t>Tiered Rate Elements</t>
  </si>
  <si>
    <t>Unused RHWM Credit Reallocation</t>
  </si>
  <si>
    <t>Balancing Augmentation Adjustment Reallocation</t>
  </si>
  <si>
    <t>Composite Augmentation RSS Revenue Debit/(Credit)</t>
  </si>
  <si>
    <t>Composite Tier 2 RSS Revenue Debit/(Credit)</t>
  </si>
  <si>
    <t>Composite Tier 2 Rate Design Adjustment Debit/(Credit)</t>
  </si>
  <si>
    <t>Transmission Losses Adjustment Reallocation</t>
  </si>
  <si>
    <t>Total</t>
  </si>
  <si>
    <t>Rate Discount Costs Applied to Composite Pool</t>
  </si>
  <si>
    <t>Irigation Rate Discout Costs</t>
  </si>
  <si>
    <t>Low Density Discount Costs</t>
  </si>
  <si>
    <t>Non-Slice Revenues, Credits, and Costs</t>
  </si>
  <si>
    <t>Secondary Revenue</t>
  </si>
  <si>
    <t>Non-federal RSC Revenues</t>
  </si>
  <si>
    <t>Load Shaping Revenue</t>
  </si>
  <si>
    <t>Demand Revenue</t>
  </si>
  <si>
    <t>Non-Slice Augmentation RSC Revenue Debit/(Credit)</t>
  </si>
  <si>
    <t>Non-Slice Tier 2 RSC Revenue Debit/(Credit)</t>
  </si>
  <si>
    <t>Non-Slice Tier 2 Rate Design Debit/(Credit)</t>
  </si>
  <si>
    <t>TRM Costs after Adjustments</t>
  </si>
  <si>
    <t>Billing Determinants</t>
  </si>
  <si>
    <t>TOCA</t>
  </si>
  <si>
    <t>Non-slice TOCA</t>
  </si>
  <si>
    <t>Slice Percentage</t>
  </si>
  <si>
    <t>Annual TRM Rates ($000/percent)</t>
  </si>
  <si>
    <t>Monthly TRM Rates ($/percent)</t>
  </si>
  <si>
    <t>Tier 2 Rates ($/MWh)</t>
  </si>
  <si>
    <t>Tier 2 Short Term</t>
  </si>
  <si>
    <t>Tier 2 Load Growth</t>
  </si>
  <si>
    <t>Tier 2 Vintage 2014</t>
  </si>
  <si>
    <t>Demand (kW)</t>
  </si>
  <si>
    <t>Demand Rate ($/kW/mo.)</t>
  </si>
  <si>
    <t>Demand</t>
  </si>
  <si>
    <t>Load Shaping HLH (MWh)</t>
  </si>
  <si>
    <t>Load Shaping LLH (MWh)</t>
  </si>
  <si>
    <t>Load Shaping HLH Rate ($/MWh)</t>
  </si>
  <si>
    <t>Load Shaping LLH Rate ($/MWh)</t>
  </si>
  <si>
    <t>Load Shaping</t>
  </si>
  <si>
    <t>previous LS</t>
  </si>
  <si>
    <t>current LS</t>
  </si>
  <si>
    <t>previous Demand</t>
  </si>
  <si>
    <t>current Demand</t>
  </si>
  <si>
    <t>Rate Class</t>
  </si>
  <si>
    <t>Charges</t>
  </si>
  <si>
    <t>IRD Discount</t>
  </si>
  <si>
    <t>IRD</t>
  </si>
  <si>
    <t>Tier 1 Energy</t>
  </si>
  <si>
    <t>Tier 1 System Capability</t>
  </si>
  <si>
    <t>previous</t>
  </si>
  <si>
    <t>current</t>
  </si>
  <si>
    <t>Previous Year</t>
  </si>
  <si>
    <t>Current Year</t>
  </si>
  <si>
    <t>Effective Rate</t>
  </si>
  <si>
    <t>Percent Change</t>
  </si>
  <si>
    <t>LSTUR</t>
  </si>
  <si>
    <t>Rank</t>
  </si>
  <si>
    <t>Rate Increase Including Slice and LS</t>
  </si>
  <si>
    <t>Increase</t>
  </si>
  <si>
    <t>Customer</t>
  </si>
  <si>
    <t>Energy</t>
  </si>
  <si>
    <t>Cumulative</t>
  </si>
  <si>
    <t>Rate</t>
  </si>
  <si>
    <t>Rate Increase NonSlice and Previous LS Rates</t>
  </si>
  <si>
    <t>Rate Increase NonSlice and Excluding Load Shaping</t>
  </si>
  <si>
    <t>Rate Increase NonSlice</t>
  </si>
  <si>
    <t>Rate Increase NonSlice Effective Rate to Effective Rate</t>
  </si>
  <si>
    <t>Effective Rate Increase</t>
  </si>
  <si>
    <t>Average Impact</t>
  </si>
  <si>
    <t>Median Impact</t>
  </si>
  <si>
    <t>Average Load Weighted Impact</t>
  </si>
  <si>
    <t>Tier 1 TRM Effective Rate $/MWh previous</t>
  </si>
  <si>
    <t>CHWM 2016</t>
  </si>
  <si>
    <t>TRL 2016</t>
  </si>
  <si>
    <t>TRL 2017</t>
  </si>
  <si>
    <t>NLSL 2016</t>
  </si>
  <si>
    <t>NLSL 2017</t>
  </si>
  <si>
    <t>Existing/Other Resource aMW 2016</t>
  </si>
  <si>
    <t>Existing/Other Resource aMW 2017</t>
  </si>
  <si>
    <t>Existing/Other Resource MWh 2016</t>
  </si>
  <si>
    <t>Existing/Other Resource MWh 2017</t>
  </si>
  <si>
    <t>TRL - NLSL - Exisiting Resource 2016</t>
  </si>
  <si>
    <t>TRL - NLSL - Exisiting Resource 2017</t>
  </si>
  <si>
    <t>TRL - NLSL - Exisiting Resource MWh 2016</t>
  </si>
  <si>
    <t>TRL - NLSL - Exisiting Resource MWh 2017</t>
  </si>
  <si>
    <t>RHWM 2016</t>
  </si>
  <si>
    <t>RHWM MWh 2016</t>
  </si>
  <si>
    <t>Above RHWM 2016</t>
  </si>
  <si>
    <t>Above RHWM 2017</t>
  </si>
  <si>
    <t>TOCA 2016</t>
  </si>
  <si>
    <t>TOCA 2017</t>
  </si>
  <si>
    <t>Slice% 2016</t>
  </si>
  <si>
    <t>Non-slice TOCA 2016</t>
  </si>
  <si>
    <t>Non-slice TOCA 2017</t>
  </si>
  <si>
    <t>T1 Percentage 2016</t>
  </si>
  <si>
    <t>T1 Percentage 2017</t>
  </si>
  <si>
    <t>LDD adjTRL/RHWM 2016</t>
  </si>
  <si>
    <t>LDD adjTRL/RHWM 2017</t>
  </si>
  <si>
    <t>Applicable LDD 2016</t>
  </si>
  <si>
    <t>Applicable LDD 2017</t>
  </si>
  <si>
    <t>RAM2016.xls</t>
  </si>
  <si>
    <t>BP-16 Rate</t>
  </si>
  <si>
    <t>NR Revenues from ESS services</t>
  </si>
  <si>
    <t>Tier 2 Vintage 2016</t>
  </si>
  <si>
    <t>Reshaping physical format of rates for calculations</t>
  </si>
  <si>
    <t>Use Previous at BP-16 Billing Determinants adjusted for 2018 Loads and CSP?</t>
  </si>
  <si>
    <t>TRL 2018</t>
  </si>
  <si>
    <t>TRL 2019</t>
  </si>
  <si>
    <t>CHWM 2018</t>
  </si>
  <si>
    <t>NLSL 2018</t>
  </si>
  <si>
    <t>NLSL 2019</t>
  </si>
  <si>
    <t>Existing/Other Resource aMW 2018</t>
  </si>
  <si>
    <t>Existing/Other Resource aMW 2019</t>
  </si>
  <si>
    <t>Existing/Other Resource MWh 2018</t>
  </si>
  <si>
    <t>Existing/Other Resource MWh 2019</t>
  </si>
  <si>
    <t>RHWM 2018</t>
  </si>
  <si>
    <t>RHWM MWh 2018</t>
  </si>
  <si>
    <t>RHWM MWh 2019</t>
  </si>
  <si>
    <t>Above RHWM 2018</t>
  </si>
  <si>
    <t>Above RHWM 2019</t>
  </si>
  <si>
    <t>Above RHWM Load Served at the LS rate 2018</t>
  </si>
  <si>
    <t>Above RHWM Load Served at the LS rate 2019</t>
  </si>
  <si>
    <t>Total Vintage 2018</t>
  </si>
  <si>
    <t>Total Vintage 2019</t>
  </si>
  <si>
    <t>Remaining Above RHWM 2018</t>
  </si>
  <si>
    <t>Remaining Above RHWM 2019</t>
  </si>
  <si>
    <t>TOCA 2018</t>
  </si>
  <si>
    <t>TOCA 2019</t>
  </si>
  <si>
    <t>Slice% 2018</t>
  </si>
  <si>
    <t>Non-slice TOCA 2018</t>
  </si>
  <si>
    <t>Non-slice TOCA 2019</t>
  </si>
  <si>
    <t>T1 Percentage 2018</t>
  </si>
  <si>
    <t>T1 Percentage 2019</t>
  </si>
  <si>
    <t>LDD adjTRL/RHWM 2018</t>
  </si>
  <si>
    <t>LDD adjTRL/RHWM 2019</t>
  </si>
  <si>
    <t>Applicable LDD 2018</t>
  </si>
  <si>
    <t>Applicable LDD 2019</t>
  </si>
  <si>
    <t>Election 2018</t>
  </si>
  <si>
    <t>Election 2019</t>
  </si>
  <si>
    <t>Amount 2018</t>
  </si>
  <si>
    <t>Amount 2019</t>
  </si>
  <si>
    <t>Tier 2 Amounts 2018</t>
  </si>
  <si>
    <t>Tier 2 Amounts 2019</t>
  </si>
  <si>
    <t>Forecast Net Requirement 2018</t>
  </si>
  <si>
    <t>Forecast Net Requirement 2019</t>
  </si>
  <si>
    <t>Kalispel Tribe Utility</t>
  </si>
  <si>
    <t>TRL - NLSL - Existing Resource 2018</t>
  </si>
  <si>
    <t>TRL - NLSL - Existing Resource 2019</t>
  </si>
  <si>
    <t>TRL - NLSL - Existing Resource MWh 2018</t>
  </si>
  <si>
    <t>TRL - NLSL - Existing Resource MWh 2019</t>
  </si>
  <si>
    <t>Above RHWM Not Served with LS 2018</t>
  </si>
  <si>
    <t>Above RHWM Not Served with LS 2019</t>
  </si>
  <si>
    <t>Composite............................................................................</t>
  </si>
  <si>
    <t>Non-Slice..............................................................................</t>
  </si>
  <si>
    <t>Slice......................................................................................</t>
  </si>
  <si>
    <t xml:space="preserve"> $                      -  </t>
  </si>
  <si>
    <t xml:space="preserve"> $                       -  </t>
  </si>
  <si>
    <t>Tier 2...................................................................................</t>
  </si>
  <si>
    <t>DSI Revenue Credit...............................................................</t>
  </si>
  <si>
    <t>Exchange Revenues...............................................................</t>
  </si>
  <si>
    <t>New Resource Revenues........................................................</t>
  </si>
  <si>
    <t>FPS Revenues........................................................................</t>
  </si>
  <si>
    <t>Non-Federal RSS Revenues....................................................</t>
  </si>
  <si>
    <t>Other Credits.........................................................................</t>
  </si>
  <si>
    <t>Tiered Rate Elements.............................................................</t>
  </si>
  <si>
    <t>Unused RHWM Credit Reallocation.....................................</t>
  </si>
  <si>
    <t>Balancing Augmentation Adjustment Reallocation..................</t>
  </si>
  <si>
    <t>Composite Augmentation RSS Revenue Debit/(Credit)..........</t>
  </si>
  <si>
    <t>Composite Tier 2 RSS Revenue Debit/(Credit)......................</t>
  </si>
  <si>
    <t>Composite Tier 2 Rate Design Adjustment Debit/(Credit).......</t>
  </si>
  <si>
    <t>Transmission Losses Adjustment Reallocation.......................</t>
  </si>
  <si>
    <t>Total......................................................................................</t>
  </si>
  <si>
    <t>Irigation Rate Discout Costs....................................................</t>
  </si>
  <si>
    <t>Low Density Discount Costs...................................................</t>
  </si>
  <si>
    <t>Secondary Revenue................................................................</t>
  </si>
  <si>
    <t>FPS Revenues not classified as Obligations in TRM..................</t>
  </si>
  <si>
    <t>Non-federal RSC Revenues....................................................</t>
  </si>
  <si>
    <t>NR Revenues from ESS services............................................</t>
  </si>
  <si>
    <t>Load Shaping Revenue...........................................................</t>
  </si>
  <si>
    <t>Demand Revenue...................................................................</t>
  </si>
  <si>
    <t>Non-Slice Augmentation RSC Revenue Debit/(Credit)..............</t>
  </si>
  <si>
    <t>Non-Slice Tier 2 RSC Revenue Debit/(Credit)..........................</t>
  </si>
  <si>
    <t>Non-Slice Tier 2 Rate Design Debit/(Credit)............................</t>
  </si>
  <si>
    <t>Transmission Losses Adjustment Reallocation..........................</t>
  </si>
  <si>
    <t>TOCA..................................................................................</t>
  </si>
  <si>
    <t>Non-slice TOCA..................................................................</t>
  </si>
  <si>
    <t>Slice Percentage..................................................................</t>
  </si>
  <si>
    <t xml:space="preserve">                         -  </t>
  </si>
  <si>
    <t xml:space="preserve">                          -  </t>
  </si>
  <si>
    <t>Tier 2 Short Term................................................................</t>
  </si>
  <si>
    <t>Tier 2 Load Growth.............................................................</t>
  </si>
  <si>
    <t>Tier 2 Vintage 2014.............................................................</t>
  </si>
  <si>
    <t>Tier 2 Vintage 2016.............................................................</t>
  </si>
  <si>
    <t>Tier 2 Vintage 3...................................................................</t>
  </si>
  <si>
    <t>RAM2018.xls</t>
  </si>
  <si>
    <t>Product Conversion Adjustment Revenues</t>
  </si>
  <si>
    <t>BP-18 Rate</t>
  </si>
  <si>
    <t>LSTU</t>
  </si>
  <si>
    <t>Tier 2 Load Shaping Flat Block</t>
  </si>
  <si>
    <t>No</t>
  </si>
  <si>
    <t>New Resource aMW 2018</t>
  </si>
  <si>
    <t>New Resource aMW 2019</t>
  </si>
  <si>
    <t>Remarketing 2018</t>
  </si>
  <si>
    <t>Remarketing 2019</t>
  </si>
  <si>
    <t>T2 Remarketing 2018</t>
  </si>
  <si>
    <t>T2 Remarketing 2019</t>
  </si>
  <si>
    <t>NR Remarketing 2018</t>
  </si>
  <si>
    <t>NR Remarketing 2019</t>
  </si>
  <si>
    <t>Rounddown</t>
  </si>
  <si>
    <t>Tier 1 Load Shaping Charges Billing Determinant (MWh)</t>
  </si>
  <si>
    <t>Other Long Term Contract Revenues</t>
  </si>
  <si>
    <t>Tier 2 Vintage 3</t>
  </si>
  <si>
    <t>Staging Table</t>
  </si>
  <si>
    <t xml:space="preserve">Previous Year: </t>
  </si>
  <si>
    <t>Current Year:</t>
  </si>
  <si>
    <t>MWh</t>
  </si>
  <si>
    <t>Demand MW</t>
  </si>
  <si>
    <t>Tier 2 Load Shaping</t>
  </si>
  <si>
    <t>Load Shaping True Up</t>
  </si>
  <si>
    <t>Load Shaping MWh (If Slice/Block Customer then Load Shaping Billing Determinant is the average of the Monthly/Diurnal amounts in both years of the Rate Period)</t>
  </si>
  <si>
    <t>Sum of RHWMs</t>
  </si>
  <si>
    <t>LSTU Credit</t>
  </si>
  <si>
    <t>LSTU Charge</t>
  </si>
  <si>
    <t>Above RHWM Not Served with LS 2016</t>
  </si>
  <si>
    <t>Above RHWM Not Served with LS 2017</t>
  </si>
  <si>
    <t>Hours</t>
  </si>
  <si>
    <t>Special Implimentation Provision</t>
  </si>
  <si>
    <t>NonSlice</t>
  </si>
  <si>
    <t>LDD</t>
  </si>
  <si>
    <t>Include REP Refund amount in Previous and Current Years?</t>
  </si>
  <si>
    <t>Include Tier 2 Load Shaping in Tier 1 Rate Impacts?</t>
  </si>
  <si>
    <t>Slice/Block or Block</t>
  </si>
  <si>
    <t>Yes</t>
  </si>
  <si>
    <t>BPA Customer ID Number</t>
  </si>
  <si>
    <t>BP Customer Name</t>
  </si>
  <si>
    <t>FY 2016 Total Refund</t>
  </si>
  <si>
    <t>FY 2017 Total Refund</t>
  </si>
  <si>
    <t>FY 2018 Total Refund</t>
  </si>
  <si>
    <t>FY 2019 Total Refund</t>
  </si>
  <si>
    <t>REP Refund</t>
  </si>
  <si>
    <t>$$$</t>
  </si>
  <si>
    <t>PNGC LDD</t>
  </si>
  <si>
    <t>PNGC TOCA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</si>
</sst>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_(* #,##0.000_);_(* \(#,##0.000\);_(* &quot;-&quot;????_);_(@_)"/>
    <numFmt numFmtId="167" formatCode="_(* #,##0.0000000_);_(* \(#,##0.0000000\);_(* &quot;-&quot;??_);_(@_)"/>
    <numFmt numFmtId="168" formatCode="_(* #,##0_);_(* \(#,##0\);_(* &quot;-&quot;??_);_(@_)"/>
    <numFmt numFmtId="169" formatCode="0.000%"/>
    <numFmt numFmtId="170" formatCode="_(* #,##0.000_);_(* \(#,##0.000\);_(* &quot;-&quot;??_);_(@_)"/>
    <numFmt numFmtId="171" formatCode="mmm"/>
    <numFmt numFmtId="172" formatCode="@*."/>
    <numFmt numFmtId="173" formatCode="_(&quot;$&quot;* #,##0_);_(&quot;$&quot;* \(#,##0\);_(&quot;$&quot;* &quot;-&quot;??_);_(@_)"/>
    <numFmt numFmtId="174" formatCode="0.0000"/>
    <numFmt numFmtId="175" formatCode="[$-409]mmm\-yy;@"/>
    <numFmt numFmtId="176" formatCode="0.0%"/>
    <numFmt numFmtId="177" formatCode="_(* #,##0.00_);\(* #,##0.00\);_(* &quot;-&quot;??_);_(@_)"/>
    <numFmt numFmtId="178" formatCode="#,##0.0_)\x;\(#,##0.0\)\x;0.0_)\x;@_)_x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\€_(#,##0.00_);\€\(#,##0.00\);\€_(0.00_);@_)"/>
    <numFmt numFmtId="183" formatCode="0.0_)\%;\(0.0\)\%;0.0_)\%;@_)_%"/>
    <numFmt numFmtId="184" formatCode="#,##0.0_)_%;\(#,##0.0\)_%;0.0_)_%;@_)_%"/>
    <numFmt numFmtId="185" formatCode="#,##0.0_)_x;\(#,##0.0\)_x;0.0_)_x;@_)_x"/>
    <numFmt numFmtId="186" formatCode="0.000%;;"/>
    <numFmt numFmtId="187" formatCode="&quot;$&quot;#,##0.0;[Red]\-&quot;$&quot;#,##0.0"/>
    <numFmt numFmtId="188" formatCode="_([$€-2]* #,##0.00_);_([$€-2]* \(#,##0.00\);_([$€-2]* &quot;-&quot;??_)"/>
    <numFmt numFmtId="189" formatCode="_-* #,##0.0_-;\-* #,##0.0_-;_-* &quot;-&quot;??_-;_-@_-"/>
    <numFmt numFmtId="190" formatCode="#,##0.00&quot; $&quot;;\-#,##0.00&quot; $&quot;"/>
    <numFmt numFmtId="191" formatCode="#,##0.0000\ ;[Red]\(#,##0.0000\)"/>
    <numFmt numFmtId="192" formatCode="mmm\-yyyy"/>
    <numFmt numFmtId="193" formatCode="_(* #,##0.00000_);_(* \(#,##0.00000\);_(* &quot;-&quot;??_);_(@_)"/>
    <numFmt numFmtId="194" formatCode="0.0000000"/>
    <numFmt numFmtId="195" formatCode="#,##0.000_);[Red]\(#,##0.000\)"/>
    <numFmt numFmtId="196" formatCode="0.0000000000000"/>
    <numFmt numFmtId="197" formatCode="#,##0.000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0"/>
      <color indexed="22"/>
      <name val="Calibri"/>
      <family val="2"/>
    </font>
    <font>
      <u/>
      <sz val="10"/>
      <color indexed="12"/>
      <name val="Arial"/>
      <family val="2"/>
    </font>
    <font>
      <b/>
      <u/>
      <sz val="8"/>
      <color indexed="12"/>
      <name val="Times"/>
      <family val="1"/>
    </font>
    <font>
      <b/>
      <sz val="10"/>
      <name val="Times"/>
      <family val="1"/>
    </font>
    <font>
      <sz val="10"/>
      <name val="Arial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0"/>
      <name val="Arial"/>
      <family val="2"/>
    </font>
    <font>
      <sz val="10"/>
      <name val="Times"/>
      <family val="1"/>
    </font>
    <font>
      <b/>
      <sz val="12"/>
      <color indexed="48"/>
      <name val="Times New Roman"/>
      <family val="1"/>
    </font>
    <font>
      <sz val="10"/>
      <color indexed="9"/>
      <name val="Times New Roman"/>
      <family val="1"/>
    </font>
    <font>
      <sz val="10"/>
      <color indexed="48"/>
      <name val="Times New Roman"/>
      <family val="1"/>
    </font>
    <font>
      <b/>
      <sz val="10"/>
      <name val="Times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u/>
      <sz val="10"/>
      <color indexed="12"/>
      <name val="Times New Roman"/>
      <family val="1"/>
    </font>
    <font>
      <u/>
      <sz val="10"/>
      <color indexed="12"/>
      <name val="Wingdings"/>
      <charset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48"/>
      <name val="Times New Roman"/>
      <family val="1"/>
    </font>
    <font>
      <sz val="12"/>
      <color indexed="1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4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1"/>
      <name val="??"/>
      <family val="3"/>
      <charset val="129"/>
    </font>
    <font>
      <sz val="10"/>
      <name val="Helv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9"/>
      <color indexed="20"/>
      <name val="Times New Roman"/>
      <family val="1"/>
    </font>
    <font>
      <sz val="10"/>
      <color theme="1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2"/>
      <name val="Times New Roman"/>
      <family val="1"/>
    </font>
    <font>
      <b/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9">
      <alignment horizontal="center"/>
    </xf>
    <xf numFmtId="3" fontId="36" fillId="0" borderId="0" applyFont="0" applyFill="0" applyBorder="0" applyAlignment="0" applyProtection="0"/>
    <xf numFmtId="0" fontId="36" fillId="7" borderId="0" applyNumberFormat="0" applyFont="0" applyBorder="0" applyAlignment="0" applyProtection="0"/>
    <xf numFmtId="0" fontId="12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68" fillId="0" borderId="0" applyNumberFormat="0" applyFill="0" applyBorder="0" applyAlignment="0" applyProtection="0"/>
    <xf numFmtId="38" fontId="40" fillId="10" borderId="0" applyNumberFormat="0" applyFont="0" applyAlignment="0" applyProtection="0"/>
    <xf numFmtId="38" fontId="40" fillId="10" borderId="0" applyNumberFormat="0" applyFont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85" fontId="40" fillId="0" borderId="0" applyFont="0" applyFill="0" applyBorder="0" applyProtection="0">
      <alignment horizontal="right"/>
    </xf>
    <xf numFmtId="185" fontId="40" fillId="0" borderId="0" applyFont="0" applyFill="0" applyBorder="0" applyProtection="0">
      <alignment horizontal="right"/>
    </xf>
    <xf numFmtId="0" fontId="69" fillId="0" borderId="0" applyNumberFormat="0" applyFill="0" applyBorder="0" applyProtection="0">
      <alignment vertical="top"/>
    </xf>
    <xf numFmtId="38" fontId="65" fillId="0" borderId="28" applyNumberFormat="0" applyFill="0" applyAlignment="0" applyProtection="0"/>
    <xf numFmtId="38" fontId="70" fillId="0" borderId="29" applyNumberFormat="0" applyFill="0" applyProtection="0">
      <alignment horizontal="center"/>
    </xf>
    <xf numFmtId="38" fontId="70" fillId="0" borderId="0" applyNumberFormat="0" applyFill="0" applyBorder="0" applyProtection="0">
      <alignment horizontal="left"/>
    </xf>
    <xf numFmtId="38" fontId="71" fillId="0" borderId="0" applyNumberFormat="0" applyFill="0" applyBorder="0" applyProtection="0">
      <alignment horizontal="centerContinuous"/>
    </xf>
    <xf numFmtId="0" fontId="42" fillId="11" borderId="0" applyNumberFormat="0" applyBorder="0" applyAlignment="0" applyProtection="0"/>
    <xf numFmtId="0" fontId="6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42" fillId="12" borderId="0" applyNumberFormat="0" applyBorder="0" applyAlignment="0" applyProtection="0"/>
    <xf numFmtId="0" fontId="62" fillId="12" borderId="0" applyNumberFormat="0" applyBorder="0" applyAlignment="0" applyProtection="0"/>
    <xf numFmtId="0" fontId="72" fillId="12" borderId="0" applyNumberFormat="0" applyBorder="0" applyAlignment="0" applyProtection="0"/>
    <xf numFmtId="0" fontId="72" fillId="12" borderId="0" applyNumberFormat="0" applyBorder="0" applyAlignment="0" applyProtection="0"/>
    <xf numFmtId="0" fontId="42" fillId="13" borderId="0" applyNumberFormat="0" applyBorder="0" applyAlignment="0" applyProtection="0"/>
    <xf numFmtId="0" fontId="62" fillId="13" borderId="0" applyNumberFormat="0" applyBorder="0" applyAlignment="0" applyProtection="0"/>
    <xf numFmtId="0" fontId="72" fillId="13" borderId="0" applyNumberFormat="0" applyBorder="0" applyAlignment="0" applyProtection="0"/>
    <xf numFmtId="0" fontId="72" fillId="13" borderId="0" applyNumberFormat="0" applyBorder="0" applyAlignment="0" applyProtection="0"/>
    <xf numFmtId="0" fontId="42" fillId="14" borderId="0" applyNumberFormat="0" applyBorder="0" applyAlignment="0" applyProtection="0"/>
    <xf numFmtId="0" fontId="6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42" fillId="15" borderId="0" applyNumberFormat="0" applyBorder="0" applyAlignment="0" applyProtection="0"/>
    <xf numFmtId="0" fontId="62" fillId="15" borderId="0" applyNumberFormat="0" applyBorder="0" applyAlignment="0" applyProtection="0"/>
    <xf numFmtId="0" fontId="72" fillId="15" borderId="0" applyNumberFormat="0" applyBorder="0" applyAlignment="0" applyProtection="0"/>
    <xf numFmtId="0" fontId="72" fillId="15" borderId="0" applyNumberFormat="0" applyBorder="0" applyAlignment="0" applyProtection="0"/>
    <xf numFmtId="0" fontId="42" fillId="16" borderId="0" applyNumberFormat="0" applyBorder="0" applyAlignment="0" applyProtection="0"/>
    <xf numFmtId="0" fontId="6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42" fillId="17" borderId="0" applyNumberFormat="0" applyBorder="0" applyAlignment="0" applyProtection="0"/>
    <xf numFmtId="0" fontId="6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42" fillId="18" borderId="0" applyNumberFormat="0" applyBorder="0" applyAlignment="0" applyProtection="0"/>
    <xf numFmtId="0" fontId="62" fillId="18" borderId="0" applyNumberFormat="0" applyBorder="0" applyAlignment="0" applyProtection="0"/>
    <xf numFmtId="0" fontId="72" fillId="18" borderId="0" applyNumberFormat="0" applyBorder="0" applyAlignment="0" applyProtection="0"/>
    <xf numFmtId="0" fontId="72" fillId="18" borderId="0" applyNumberFormat="0" applyBorder="0" applyAlignment="0" applyProtection="0"/>
    <xf numFmtId="0" fontId="42" fillId="19" borderId="0" applyNumberFormat="0" applyBorder="0" applyAlignment="0" applyProtection="0"/>
    <xf numFmtId="0" fontId="62" fillId="19" borderId="0" applyNumberFormat="0" applyBorder="0" applyAlignment="0" applyProtection="0"/>
    <xf numFmtId="0" fontId="72" fillId="19" borderId="0" applyNumberFormat="0" applyBorder="0" applyAlignment="0" applyProtection="0"/>
    <xf numFmtId="0" fontId="72" fillId="19" borderId="0" applyNumberFormat="0" applyBorder="0" applyAlignment="0" applyProtection="0"/>
    <xf numFmtId="0" fontId="42" fillId="14" borderId="0" applyNumberFormat="0" applyBorder="0" applyAlignment="0" applyProtection="0"/>
    <xf numFmtId="0" fontId="6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42" fillId="17" borderId="0" applyNumberFormat="0" applyBorder="0" applyAlignment="0" applyProtection="0"/>
    <xf numFmtId="0" fontId="6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42" fillId="20" borderId="0" applyNumberFormat="0" applyBorder="0" applyAlignment="0" applyProtection="0"/>
    <xf numFmtId="0" fontId="6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43" fillId="21" borderId="0" applyNumberFormat="0" applyBorder="0" applyAlignment="0" applyProtection="0"/>
    <xf numFmtId="0" fontId="39" fillId="21" borderId="0" applyNumberFormat="0" applyBorder="0" applyAlignment="0" applyProtection="0"/>
    <xf numFmtId="0" fontId="73" fillId="21" borderId="0" applyNumberFormat="0" applyBorder="0" applyAlignment="0" applyProtection="0"/>
    <xf numFmtId="0" fontId="73" fillId="21" borderId="0" applyNumberFormat="0" applyBorder="0" applyAlignment="0" applyProtection="0"/>
    <xf numFmtId="0" fontId="43" fillId="18" borderId="0" applyNumberFormat="0" applyBorder="0" applyAlignment="0" applyProtection="0"/>
    <xf numFmtId="0" fontId="39" fillId="18" borderId="0" applyNumberFormat="0" applyBorder="0" applyAlignment="0" applyProtection="0"/>
    <xf numFmtId="0" fontId="73" fillId="18" borderId="0" applyNumberFormat="0" applyBorder="0" applyAlignment="0" applyProtection="0"/>
    <xf numFmtId="0" fontId="73" fillId="18" borderId="0" applyNumberFormat="0" applyBorder="0" applyAlignment="0" applyProtection="0"/>
    <xf numFmtId="0" fontId="43" fillId="19" borderId="0" applyNumberFormat="0" applyBorder="0" applyAlignment="0" applyProtection="0"/>
    <xf numFmtId="0" fontId="39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43" fillId="22" borderId="0" applyNumberFormat="0" applyBorder="0" applyAlignment="0" applyProtection="0"/>
    <xf numFmtId="0" fontId="39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43" fillId="23" borderId="0" applyNumberFormat="0" applyBorder="0" applyAlignment="0" applyProtection="0"/>
    <xf numFmtId="0" fontId="39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43" fillId="24" borderId="0" applyNumberFormat="0" applyBorder="0" applyAlignment="0" applyProtection="0"/>
    <xf numFmtId="0" fontId="39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43" fillId="25" borderId="0" applyNumberFormat="0" applyBorder="0" applyAlignment="0" applyProtection="0"/>
    <xf numFmtId="0" fontId="39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43" fillId="26" borderId="0" applyNumberFormat="0" applyBorder="0" applyAlignment="0" applyProtection="0"/>
    <xf numFmtId="0" fontId="39" fillId="26" borderId="0" applyNumberFormat="0" applyBorder="0" applyAlignment="0" applyProtection="0"/>
    <xf numFmtId="0" fontId="73" fillId="26" borderId="0" applyNumberFormat="0" applyBorder="0" applyAlignment="0" applyProtection="0"/>
    <xf numFmtId="0" fontId="73" fillId="26" borderId="0" applyNumberFormat="0" applyBorder="0" applyAlignment="0" applyProtection="0"/>
    <xf numFmtId="0" fontId="43" fillId="27" borderId="0" applyNumberFormat="0" applyBorder="0" applyAlignment="0" applyProtection="0"/>
    <xf numFmtId="0" fontId="39" fillId="27" borderId="0" applyNumberFormat="0" applyBorder="0" applyAlignment="0" applyProtection="0"/>
    <xf numFmtId="0" fontId="73" fillId="27" borderId="0" applyNumberFormat="0" applyBorder="0" applyAlignment="0" applyProtection="0"/>
    <xf numFmtId="0" fontId="73" fillId="27" borderId="0" applyNumberFormat="0" applyBorder="0" applyAlignment="0" applyProtection="0"/>
    <xf numFmtId="0" fontId="43" fillId="22" borderId="0" applyNumberFormat="0" applyBorder="0" applyAlignment="0" applyProtection="0"/>
    <xf numFmtId="0" fontId="39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43" fillId="23" borderId="0" applyNumberFormat="0" applyBorder="0" applyAlignment="0" applyProtection="0"/>
    <xf numFmtId="0" fontId="39" fillId="23" borderId="0" applyNumberFormat="0" applyBorder="0" applyAlignment="0" applyProtection="0"/>
    <xf numFmtId="0" fontId="73" fillId="23" borderId="0" applyNumberFormat="0" applyBorder="0" applyAlignment="0" applyProtection="0"/>
    <xf numFmtId="0" fontId="73" fillId="23" borderId="0" applyNumberFormat="0" applyBorder="0" applyAlignment="0" applyProtection="0"/>
    <xf numFmtId="0" fontId="43" fillId="28" borderId="0" applyNumberFormat="0" applyBorder="0" applyAlignment="0" applyProtection="0"/>
    <xf numFmtId="0" fontId="39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63" fillId="0" borderId="0" applyNumberFormat="0" applyFill="0" applyBorder="0" applyAlignment="0">
      <protection locked="0"/>
    </xf>
    <xf numFmtId="0" fontId="44" fillId="12" borderId="0" applyNumberFormat="0" applyBorder="0" applyAlignment="0" applyProtection="0"/>
    <xf numFmtId="0" fontId="75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45" fillId="29" borderId="30" applyNumberFormat="0" applyAlignment="0" applyProtection="0"/>
    <xf numFmtId="0" fontId="77" fillId="29" borderId="30" applyNumberFormat="0" applyAlignment="0" applyProtection="0"/>
    <xf numFmtId="0" fontId="76" fillId="29" borderId="30" applyNumberFormat="0" applyAlignment="0" applyProtection="0"/>
    <xf numFmtId="0" fontId="76" fillId="29" borderId="30" applyNumberFormat="0" applyAlignment="0" applyProtection="0"/>
    <xf numFmtId="0" fontId="46" fillId="30" borderId="31" applyNumberFormat="0" applyAlignment="0" applyProtection="0"/>
    <xf numFmtId="0" fontId="66" fillId="30" borderId="31" applyNumberFormat="0" applyAlignment="0" applyProtection="0"/>
    <xf numFmtId="0" fontId="78" fillId="30" borderId="31" applyNumberFormat="0" applyAlignment="0" applyProtection="0"/>
    <xf numFmtId="0" fontId="78" fillId="30" borderId="31" applyNumberFormat="0" applyAlignment="0" applyProtection="0"/>
    <xf numFmtId="43" fontId="12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4" fontId="40" fillId="0" borderId="0" applyFont="0" applyFill="0" applyBorder="0" applyAlignment="0" applyProtection="0"/>
    <xf numFmtId="14" fontId="4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32" applyNumberFormat="0" applyFont="0" applyFill="0" applyAlignment="0" applyProtection="0"/>
    <xf numFmtId="0" fontId="4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1" fillId="0" borderId="0" applyFill="0" applyBorder="0" applyProtection="0">
      <alignment horizontal="left"/>
    </xf>
    <xf numFmtId="0" fontId="48" fillId="13" borderId="0" applyNumberFormat="0" applyBorder="0" applyAlignment="0" applyProtection="0"/>
    <xf numFmtId="0" fontId="64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3" fillId="0" borderId="0" applyProtection="0">
      <alignment horizontal="right"/>
    </xf>
    <xf numFmtId="0" fontId="49" fillId="0" borderId="33" applyNumberFormat="0" applyFill="0" applyAlignment="0" applyProtection="0"/>
    <xf numFmtId="0" fontId="49" fillId="0" borderId="33" applyNumberFormat="0" applyFill="0" applyAlignment="0" applyProtection="0"/>
    <xf numFmtId="0" fontId="84" fillId="0" borderId="33" applyNumberFormat="0" applyFill="0" applyAlignment="0" applyProtection="0"/>
    <xf numFmtId="0" fontId="84" fillId="0" borderId="33" applyNumberFormat="0" applyFill="0" applyAlignment="0" applyProtection="0"/>
    <xf numFmtId="0" fontId="50" fillId="0" borderId="34" applyNumberFormat="0" applyFill="0" applyAlignment="0" applyProtection="0"/>
    <xf numFmtId="0" fontId="50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86" fillId="0" borderId="35" applyNumberFormat="0" applyFill="0" applyAlignment="0" applyProtection="0"/>
    <xf numFmtId="0" fontId="86" fillId="0" borderId="3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16" borderId="30" applyNumberFormat="0" applyAlignment="0" applyProtection="0"/>
    <xf numFmtId="0" fontId="88" fillId="16" borderId="30" applyNumberFormat="0" applyAlignment="0" applyProtection="0"/>
    <xf numFmtId="0" fontId="87" fillId="16" borderId="30" applyNumberFormat="0" applyAlignment="0" applyProtection="0"/>
    <xf numFmtId="0" fontId="87" fillId="16" borderId="30" applyNumberFormat="0" applyAlignment="0" applyProtection="0"/>
    <xf numFmtId="0" fontId="54" fillId="0" borderId="36" applyNumberFormat="0" applyFill="0" applyAlignment="0" applyProtection="0"/>
    <xf numFmtId="0" fontId="90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79" fillId="0" borderId="0" applyFont="0" applyFill="0" applyBorder="0" applyAlignment="0" applyProtection="0">
      <alignment horizontal="right"/>
    </xf>
    <xf numFmtId="0" fontId="55" fillId="10" borderId="0" applyNumberFormat="0" applyBorder="0" applyAlignment="0" applyProtection="0"/>
    <xf numFmtId="0" fontId="92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2" fillId="0" borderId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56" fillId="29" borderId="38" applyNumberFormat="0" applyAlignment="0" applyProtection="0"/>
    <xf numFmtId="0" fontId="94" fillId="29" borderId="38" applyNumberFormat="0" applyAlignment="0" applyProtection="0"/>
    <xf numFmtId="0" fontId="93" fillId="29" borderId="38" applyNumberFormat="0" applyAlignment="0" applyProtection="0"/>
    <xf numFmtId="0" fontId="93" fillId="29" borderId="38" applyNumberFormat="0" applyAlignment="0" applyProtection="0"/>
    <xf numFmtId="1" fontId="95" fillId="0" borderId="0" applyProtection="0">
      <alignment horizontal="right" vertical="center"/>
    </xf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186" fontId="41" fillId="0" borderId="10" applyFont="0" applyFill="0" applyBorder="0" applyAlignment="0" applyProtection="0"/>
    <xf numFmtId="186" fontId="41" fillId="0" borderId="10" applyFont="0" applyFill="0" applyBorder="0" applyAlignment="0" applyProtection="0"/>
    <xf numFmtId="186" fontId="41" fillId="0" borderId="10" applyFont="0" applyFill="0" applyBorder="0" applyAlignment="0" applyProtection="0"/>
    <xf numFmtId="186" fontId="41" fillId="0" borderId="10" applyFont="0" applyFill="0" applyBorder="0" applyAlignment="0" applyProtection="0"/>
    <xf numFmtId="186" fontId="41" fillId="0" borderId="10" applyFont="0" applyFill="0" applyBorder="0" applyAlignment="0" applyProtection="0"/>
    <xf numFmtId="186" fontId="41" fillId="0" borderId="10" applyFont="0" applyFill="0" applyBorder="0" applyAlignment="0" applyProtection="0"/>
    <xf numFmtId="186" fontId="41" fillId="0" borderId="10" applyFont="0" applyFill="0" applyBorder="0" applyAlignment="0" applyProtection="0"/>
    <xf numFmtId="186" fontId="41" fillId="0" borderId="10" applyFont="0" applyFill="0" applyBorder="0" applyAlignment="0" applyProtection="0"/>
    <xf numFmtId="0" fontId="96" fillId="0" borderId="0" applyNumberFormat="0" applyFill="0" applyBorder="0" applyAlignment="0" applyProtection="0"/>
    <xf numFmtId="0" fontId="97" fillId="3" borderId="0" applyNumberFormat="0" applyFont="0" applyBorder="0" applyAlignment="0" applyProtection="0"/>
    <xf numFmtId="0" fontId="97" fillId="3" borderId="0" applyNumberFormat="0" applyFont="0" applyBorder="0" applyAlignment="0" applyProtection="0"/>
    <xf numFmtId="0" fontId="97" fillId="3" borderId="0" applyNumberFormat="0" applyFont="0" applyBorder="0" applyAlignment="0" applyProtection="0"/>
    <xf numFmtId="0" fontId="97" fillId="3" borderId="0" applyNumberFormat="0" applyFont="0" applyBorder="0" applyAlignment="0" applyProtection="0"/>
    <xf numFmtId="0" fontId="97" fillId="3" borderId="0" applyNumberFormat="0" applyFont="0" applyBorder="0" applyAlignment="0" applyProtection="0"/>
    <xf numFmtId="0" fontId="97" fillId="3" borderId="0" applyNumberFormat="0" applyFont="0" applyBorder="0" applyAlignment="0" applyProtection="0"/>
    <xf numFmtId="0" fontId="97" fillId="3" borderId="0" applyNumberFormat="0" applyFont="0" applyBorder="0" applyAlignment="0" applyProtection="0"/>
    <xf numFmtId="0" fontId="98" fillId="0" borderId="0" applyBorder="0" applyProtection="0">
      <alignment vertical="center"/>
    </xf>
    <xf numFmtId="0" fontId="98" fillId="0" borderId="1" applyBorder="0" applyProtection="0">
      <alignment horizontal="right" vertical="center"/>
    </xf>
    <xf numFmtId="0" fontId="99" fillId="32" borderId="0" applyBorder="0" applyProtection="0">
      <alignment horizontal="centerContinuous" vertical="center"/>
    </xf>
    <xf numFmtId="0" fontId="99" fillId="9" borderId="1" applyBorder="0" applyProtection="0">
      <alignment horizontal="centerContinuous" vertical="center"/>
    </xf>
    <xf numFmtId="0" fontId="100" fillId="0" borderId="0" applyBorder="0" applyProtection="0">
      <alignment horizontal="left"/>
    </xf>
    <xf numFmtId="0" fontId="100" fillId="0" borderId="0" applyBorder="0" applyProtection="0">
      <alignment horizontal="left"/>
    </xf>
    <xf numFmtId="0" fontId="67" fillId="0" borderId="0" applyFill="0" applyBorder="0" applyProtection="0">
      <alignment horizontal="left"/>
    </xf>
    <xf numFmtId="0" fontId="40" fillId="0" borderId="10" applyFill="0" applyBorder="0" applyProtection="0">
      <alignment horizontal="left" vertical="top"/>
    </xf>
    <xf numFmtId="0" fontId="40" fillId="0" borderId="10" applyFill="0" applyBorder="0" applyProtection="0">
      <alignment horizontal="left" vertical="top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39" applyNumberFormat="0" applyFill="0" applyAlignment="0" applyProtection="0"/>
    <xf numFmtId="0" fontId="61" fillId="0" borderId="39" applyNumberFormat="0" applyFill="0" applyAlignment="0" applyProtection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9" fillId="0" borderId="0"/>
    <xf numFmtId="0" fontId="53" fillId="16" borderId="30" applyNumberFormat="0" applyAlignment="0" applyProtection="0"/>
    <xf numFmtId="9" fontId="29" fillId="0" borderId="0" applyFont="0" applyFill="0" applyBorder="0" applyAlignment="0" applyProtection="0"/>
    <xf numFmtId="0" fontId="53" fillId="16" borderId="30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29" fillId="0" borderId="0"/>
    <xf numFmtId="43" fontId="1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9">
      <alignment horizontal="center"/>
    </xf>
    <xf numFmtId="3" fontId="36" fillId="0" borderId="0" applyFont="0" applyFill="0" applyBorder="0" applyAlignment="0" applyProtection="0"/>
    <xf numFmtId="0" fontId="36" fillId="7" borderId="0" applyNumberFormat="0" applyFon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4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8" borderId="0" applyNumberFormat="0" applyBorder="0" applyAlignment="0" applyProtection="0"/>
    <xf numFmtId="187" fontId="16" fillId="33" borderId="40">
      <alignment horizontal="center" vertical="center"/>
    </xf>
    <xf numFmtId="0" fontId="44" fillId="12" borderId="0" applyNumberFormat="0" applyBorder="0" applyAlignment="0" applyProtection="0"/>
    <xf numFmtId="0" fontId="45" fillId="29" borderId="30" applyNumberFormat="0" applyAlignment="0" applyProtection="0"/>
    <xf numFmtId="0" fontId="46" fillId="30" borderId="31" applyNumberFormat="0" applyAlignment="0" applyProtection="0"/>
    <xf numFmtId="43" fontId="12" fillId="0" borderId="0" applyFont="0" applyFill="0" applyBorder="0" applyAlignment="0" applyProtection="0"/>
    <xf numFmtId="0" fontId="103" fillId="0" borderId="0"/>
    <xf numFmtId="44" fontId="12" fillId="0" borderId="0" applyFont="0" applyFill="0" applyBorder="0" applyAlignment="0" applyProtection="0"/>
    <xf numFmtId="6" fontId="104" fillId="0" borderId="0">
      <protection locked="0"/>
    </xf>
    <xf numFmtId="188" fontId="1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89" fontId="12" fillId="0" borderId="0">
      <protection locked="0"/>
    </xf>
    <xf numFmtId="189" fontId="12" fillId="0" borderId="0">
      <protection locked="0"/>
    </xf>
    <xf numFmtId="0" fontId="105" fillId="0" borderId="0"/>
    <xf numFmtId="0" fontId="48" fillId="13" borderId="0" applyNumberFormat="0" applyBorder="0" applyAlignment="0" applyProtection="0"/>
    <xf numFmtId="38" fontId="40" fillId="3" borderId="0" applyNumberFormat="0" applyBorder="0" applyAlignment="0" applyProtection="0"/>
    <xf numFmtId="0" fontId="106" fillId="0" borderId="0" applyNumberFormat="0" applyFill="0" applyBorder="0" applyAlignment="0" applyProtection="0"/>
    <xf numFmtId="190" fontId="12" fillId="0" borderId="0">
      <protection locked="0"/>
    </xf>
    <xf numFmtId="190" fontId="12" fillId="0" borderId="0">
      <protection locked="0"/>
    </xf>
    <xf numFmtId="190" fontId="12" fillId="0" borderId="0">
      <protection locked="0"/>
    </xf>
    <xf numFmtId="190" fontId="12" fillId="0" borderId="0">
      <protection locked="0"/>
    </xf>
    <xf numFmtId="0" fontId="63" fillId="0" borderId="41" applyNumberFormat="0" applyFill="0" applyAlignment="0" applyProtection="0"/>
    <xf numFmtId="10" fontId="40" fillId="34" borderId="11" applyNumberFormat="0" applyBorder="0" applyAlignment="0" applyProtection="0"/>
    <xf numFmtId="0" fontId="53" fillId="16" borderId="30" applyNumberFormat="0" applyAlignment="0" applyProtection="0"/>
    <xf numFmtId="0" fontId="54" fillId="0" borderId="36" applyNumberFormat="0" applyFill="0" applyAlignment="0" applyProtection="0"/>
    <xf numFmtId="0" fontId="55" fillId="10" borderId="0" applyNumberFormat="0" applyBorder="0" applyAlignment="0" applyProtection="0"/>
    <xf numFmtId="37" fontId="107" fillId="0" borderId="0"/>
    <xf numFmtId="191" fontId="16" fillId="0" borderId="0"/>
    <xf numFmtId="0" fontId="1" fillId="0" borderId="0"/>
    <xf numFmtId="0" fontId="1" fillId="0" borderId="0"/>
    <xf numFmtId="0" fontId="56" fillId="29" borderId="38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2" fontId="12" fillId="0" borderId="0" applyFill="0" applyBorder="0" applyAlignment="0" applyProtection="0">
      <alignment wrapText="1"/>
    </xf>
    <xf numFmtId="192" fontId="12" fillId="0" borderId="0" applyFill="0" applyBorder="0" applyAlignment="0" applyProtection="0">
      <alignment wrapText="1"/>
    </xf>
    <xf numFmtId="0" fontId="58" fillId="0" borderId="39" applyNumberFormat="0" applyFill="0" applyAlignment="0" applyProtection="0"/>
    <xf numFmtId="37" fontId="40" fillId="8" borderId="0" applyNumberFormat="0" applyBorder="0" applyAlignment="0" applyProtection="0"/>
    <xf numFmtId="37" fontId="40" fillId="0" borderId="0"/>
    <xf numFmtId="37" fontId="40" fillId="8" borderId="0" applyNumberFormat="0" applyBorder="0" applyAlignment="0" applyProtection="0"/>
    <xf numFmtId="3" fontId="108" fillId="0" borderId="41" applyProtection="0"/>
    <xf numFmtId="0" fontId="109" fillId="0" borderId="0">
      <alignment horizontal="center"/>
    </xf>
    <xf numFmtId="0" fontId="5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2" fillId="0" borderId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8" borderId="0" applyNumberFormat="0" applyBorder="0" applyAlignment="0" applyProtection="0"/>
    <xf numFmtId="0" fontId="75" fillId="12" borderId="0" applyNumberFormat="0" applyBorder="0" applyAlignment="0" applyProtection="0"/>
    <xf numFmtId="0" fontId="77" fillId="29" borderId="30" applyNumberFormat="0" applyAlignment="0" applyProtection="0"/>
    <xf numFmtId="0" fontId="66" fillId="30" borderId="31" applyNumberFormat="0" applyAlignment="0" applyProtection="0"/>
    <xf numFmtId="43" fontId="12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1" fillId="0" borderId="0" applyNumberFormat="0" applyFill="0" applyBorder="0" applyAlignment="0" applyProtection="0"/>
    <xf numFmtId="0" fontId="64" fillId="13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88" fillId="16" borderId="30" applyNumberFormat="0" applyAlignment="0" applyProtection="0"/>
    <xf numFmtId="0" fontId="90" fillId="0" borderId="36" applyNumberFormat="0" applyFill="0" applyAlignment="0" applyProtection="0"/>
    <xf numFmtId="0" fontId="92" fillId="10" borderId="0" applyNumberFormat="0" applyBorder="0" applyAlignment="0" applyProtection="0"/>
    <xf numFmtId="0" fontId="12" fillId="31" borderId="37" applyNumberFormat="0" applyFont="0" applyAlignment="0" applyProtection="0"/>
    <xf numFmtId="0" fontId="94" fillId="29" borderId="38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1" fillId="0" borderId="39" applyNumberFormat="0" applyFill="0" applyAlignment="0" applyProtection="0"/>
    <xf numFmtId="0" fontId="60" fillId="0" borderId="0" applyNumberFormat="0" applyFill="0" applyBorder="0" applyAlignment="0" applyProtection="0"/>
    <xf numFmtId="0" fontId="12" fillId="0" borderId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72" fillId="14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8" borderId="0" applyNumberFormat="0" applyBorder="0" applyAlignment="0" applyProtection="0"/>
    <xf numFmtId="187" fontId="16" fillId="33" borderId="40">
      <alignment horizontal="center" vertical="center"/>
    </xf>
    <xf numFmtId="0" fontId="63" fillId="0" borderId="0" applyNumberFormat="0" applyFill="0" applyBorder="0" applyAlignment="0">
      <protection locked="0"/>
    </xf>
    <xf numFmtId="0" fontId="74" fillId="12" borderId="0" applyNumberFormat="0" applyBorder="0" applyAlignment="0" applyProtection="0"/>
    <xf numFmtId="0" fontId="76" fillId="29" borderId="30" applyNumberFormat="0" applyAlignment="0" applyProtection="0"/>
    <xf numFmtId="0" fontId="76" fillId="29" borderId="30" applyNumberFormat="0" applyAlignment="0" applyProtection="0"/>
    <xf numFmtId="0" fontId="45" fillId="29" borderId="30" applyNumberFormat="0" applyAlignment="0" applyProtection="0"/>
    <xf numFmtId="0" fontId="76" fillId="29" borderId="30" applyNumberFormat="0" applyAlignment="0" applyProtection="0"/>
    <xf numFmtId="0" fontId="78" fillId="30" borderId="31" applyNumberFormat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4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11" fillId="0" borderId="0" applyProtection="0"/>
    <xf numFmtId="0" fontId="111" fillId="0" borderId="0" applyProtection="0"/>
    <xf numFmtId="0" fontId="111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112" fillId="0" borderId="0" applyProtection="0"/>
    <xf numFmtId="0" fontId="112" fillId="0" borderId="0" applyProtection="0"/>
    <xf numFmtId="0" fontId="112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113" fillId="0" borderId="0" applyProtection="0"/>
    <xf numFmtId="0" fontId="113" fillId="0" borderId="0" applyProtection="0"/>
    <xf numFmtId="0" fontId="113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114" fillId="0" borderId="0" applyProtection="0"/>
    <xf numFmtId="0" fontId="114" fillId="0" borderId="0" applyProtection="0"/>
    <xf numFmtId="0" fontId="114" fillId="0" borderId="0" applyProtection="0"/>
    <xf numFmtId="189" fontId="12" fillId="0" borderId="0">
      <protection locked="0"/>
    </xf>
    <xf numFmtId="0" fontId="82" fillId="13" borderId="0" applyNumberFormat="0" applyBorder="0" applyAlignment="0" applyProtection="0"/>
    <xf numFmtId="38" fontId="40" fillId="3" borderId="0" applyNumberFormat="0" applyBorder="0" applyAlignment="0" applyProtection="0"/>
    <xf numFmtId="0" fontId="83" fillId="0" borderId="0" applyProtection="0">
      <alignment horizontal="right"/>
    </xf>
    <xf numFmtId="0" fontId="84" fillId="0" borderId="33" applyNumberFormat="0" applyFill="0" applyAlignment="0" applyProtection="0"/>
    <xf numFmtId="0" fontId="85" fillId="0" borderId="34" applyNumberFormat="0" applyFill="0" applyAlignment="0" applyProtection="0"/>
    <xf numFmtId="0" fontId="86" fillId="0" borderId="35" applyNumberFormat="0" applyFill="0" applyAlignment="0" applyProtection="0"/>
    <xf numFmtId="0" fontId="86" fillId="0" borderId="0" applyNumberFormat="0" applyFill="0" applyBorder="0" applyAlignment="0" applyProtection="0"/>
    <xf numFmtId="190" fontId="12" fillId="0" borderId="0">
      <protection locked="0"/>
    </xf>
    <xf numFmtId="190" fontId="12" fillId="0" borderId="0">
      <protection locked="0"/>
    </xf>
    <xf numFmtId="0" fontId="63" fillId="0" borderId="41" applyNumberFormat="0" applyFill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75" fontId="52" fillId="0" borderId="0" applyNumberFormat="0" applyFill="0" applyBorder="0" applyAlignment="0" applyProtection="0">
      <alignment vertical="top"/>
      <protection locked="0"/>
    </xf>
    <xf numFmtId="10" fontId="40" fillId="34" borderId="11" applyNumberFormat="0" applyBorder="0" applyAlignment="0" applyProtection="0"/>
    <xf numFmtId="10" fontId="40" fillId="34" borderId="11" applyNumberFormat="0" applyBorder="0" applyAlignment="0" applyProtection="0"/>
    <xf numFmtId="10" fontId="40" fillId="34" borderId="11" applyNumberFormat="0" applyBorder="0" applyAlignment="0" applyProtection="0"/>
    <xf numFmtId="0" fontId="87" fillId="16" borderId="30" applyNumberFormat="0" applyAlignment="0" applyProtection="0"/>
    <xf numFmtId="0" fontId="87" fillId="16" borderId="30" applyNumberFormat="0" applyAlignment="0" applyProtection="0"/>
    <xf numFmtId="0" fontId="53" fillId="16" borderId="30" applyNumberFormat="0" applyAlignment="0" applyProtection="0"/>
    <xf numFmtId="0" fontId="87" fillId="16" borderId="30" applyNumberFormat="0" applyAlignment="0" applyProtection="0"/>
    <xf numFmtId="0" fontId="87" fillId="16" borderId="30" applyNumberFormat="0" applyAlignment="0" applyProtection="0"/>
    <xf numFmtId="0" fontId="89" fillId="0" borderId="36" applyNumberFormat="0" applyFill="0" applyAlignment="0" applyProtection="0"/>
    <xf numFmtId="0" fontId="91" fillId="10" borderId="0" applyNumberFormat="0" applyBorder="0" applyAlignment="0" applyProtection="0"/>
    <xf numFmtId="37" fontId="107" fillId="0" borderId="0"/>
    <xf numFmtId="37" fontId="107" fillId="0" borderId="0"/>
    <xf numFmtId="191" fontId="16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1" fillId="0" borderId="0"/>
    <xf numFmtId="175" fontId="29" fillId="0" borderId="0"/>
    <xf numFmtId="175" fontId="29" fillId="0" borderId="0"/>
    <xf numFmtId="0" fontId="110" fillId="0" borderId="0"/>
    <xf numFmtId="0" fontId="29" fillId="31" borderId="37" applyNumberFormat="0" applyFont="0" applyAlignment="0" applyProtection="0"/>
    <xf numFmtId="0" fontId="29" fillId="31" borderId="37" applyNumberFormat="0" applyFont="0" applyAlignment="0" applyProtection="0"/>
    <xf numFmtId="0" fontId="29" fillId="31" borderId="37" applyNumberFormat="0" applyFont="0" applyAlignment="0" applyProtection="0"/>
    <xf numFmtId="0" fontId="29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29" fillId="31" borderId="37" applyNumberFormat="0" applyFont="0" applyAlignment="0" applyProtection="0"/>
    <xf numFmtId="0" fontId="29" fillId="31" borderId="37" applyNumberFormat="0" applyFont="0" applyAlignment="0" applyProtection="0"/>
    <xf numFmtId="0" fontId="94" fillId="29" borderId="38" applyNumberFormat="0" applyAlignment="0" applyProtection="0"/>
    <xf numFmtId="0" fontId="93" fillId="29" borderId="38" applyNumberFormat="0" applyAlignment="0" applyProtection="0"/>
    <xf numFmtId="0" fontId="93" fillId="29" borderId="38" applyNumberFormat="0" applyAlignment="0" applyProtection="0"/>
    <xf numFmtId="0" fontId="93" fillId="29" borderId="38" applyNumberFormat="0" applyAlignment="0" applyProtection="0"/>
    <xf numFmtId="0" fontId="93" fillId="29" borderId="38" applyNumberFormat="0" applyAlignment="0" applyProtection="0"/>
    <xf numFmtId="0" fontId="93" fillId="29" borderId="38" applyNumberFormat="0" applyAlignment="0" applyProtection="0"/>
    <xf numFmtId="0" fontId="93" fillId="29" borderId="38" applyNumberFormat="0" applyAlignment="0" applyProtection="0"/>
    <xf numFmtId="0" fontId="56" fillId="29" borderId="38" applyNumberFormat="0" applyAlignment="0" applyProtection="0"/>
    <xf numFmtId="0" fontId="56" fillId="29" borderId="38" applyNumberFormat="0" applyAlignment="0" applyProtection="0"/>
    <xf numFmtId="0" fontId="56" fillId="29" borderId="38" applyNumberFormat="0" applyAlignment="0" applyProtection="0"/>
    <xf numFmtId="0" fontId="93" fillId="29" borderId="38" applyNumberFormat="0" applyAlignment="0" applyProtection="0"/>
    <xf numFmtId="0" fontId="93" fillId="29" borderId="38" applyNumberForma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2" fontId="12" fillId="0" borderId="0" applyFill="0" applyBorder="0" applyAlignment="0" applyProtection="0">
      <alignment wrapText="1"/>
    </xf>
    <xf numFmtId="0" fontId="57" fillId="0" borderId="0" applyNumberFormat="0" applyFill="0" applyBorder="0" applyAlignment="0" applyProtection="0"/>
    <xf numFmtId="0" fontId="12" fillId="0" borderId="0"/>
    <xf numFmtId="0" fontId="101" fillId="0" borderId="39" applyNumberFormat="0" applyFill="0" applyAlignment="0" applyProtection="0"/>
    <xf numFmtId="0" fontId="101" fillId="0" borderId="39" applyNumberFormat="0" applyFill="0" applyAlignment="0" applyProtection="0"/>
    <xf numFmtId="0" fontId="58" fillId="0" borderId="39" applyNumberFormat="0" applyFill="0" applyAlignment="0" applyProtection="0"/>
    <xf numFmtId="0" fontId="101" fillId="0" borderId="39" applyNumberFormat="0" applyFill="0" applyAlignment="0" applyProtection="0"/>
    <xf numFmtId="37" fontId="40" fillId="8" borderId="0" applyNumberFormat="0" applyBorder="0" applyAlignment="0" applyProtection="0"/>
    <xf numFmtId="37" fontId="40" fillId="0" borderId="0"/>
    <xf numFmtId="37" fontId="40" fillId="0" borderId="0"/>
    <xf numFmtId="0" fontId="102" fillId="0" borderId="0" applyNumberForma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53" fillId="16" borderId="30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3" fillId="16" borderId="30" applyNumberFormat="0" applyAlignment="0" applyProtection="0"/>
    <xf numFmtId="9" fontId="29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1" borderId="37" applyNumberFormat="0" applyFont="0" applyAlignment="0" applyProtection="0"/>
    <xf numFmtId="9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53" fillId="16" borderId="30" applyNumberFormat="0" applyAlignment="0" applyProtection="0"/>
    <xf numFmtId="0" fontId="29" fillId="0" borderId="0"/>
    <xf numFmtId="183" fontId="40" fillId="0" borderId="0" applyFont="0" applyFill="0" applyBorder="0" applyAlignment="0" applyProtection="0"/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38" fontId="40" fillId="10" borderId="0" applyNumberFormat="0" applyFont="0" applyAlignment="0" applyProtection="0"/>
    <xf numFmtId="38" fontId="40" fillId="10" borderId="0" applyNumberFormat="0" applyFont="0" applyAlignment="0" applyProtection="0"/>
    <xf numFmtId="178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85" fontId="40" fillId="0" borderId="0" applyFont="0" applyFill="0" applyBorder="0" applyProtection="0">
      <alignment horizontal="right"/>
    </xf>
    <xf numFmtId="185" fontId="40" fillId="0" borderId="0" applyFont="0" applyFill="0" applyBorder="0" applyProtection="0">
      <alignment horizontal="right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4" fontId="40" fillId="0" borderId="0" applyFont="0" applyFill="0" applyBorder="0" applyAlignment="0" applyProtection="0"/>
    <xf numFmtId="6" fontId="104" fillId="0" borderId="0">
      <protection locked="0"/>
    </xf>
    <xf numFmtId="188" fontId="16" fillId="0" borderId="0" applyFont="0" applyFill="0" applyBorder="0" applyAlignment="0" applyProtection="0"/>
    <xf numFmtId="189" fontId="12" fillId="0" borderId="0">
      <protection locked="0"/>
    </xf>
    <xf numFmtId="190" fontId="12" fillId="0" borderId="0">
      <protection locked="0"/>
    </xf>
    <xf numFmtId="190" fontId="12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1" fillId="0" borderId="0"/>
    <xf numFmtId="0" fontId="12" fillId="31" borderId="37" applyNumberFormat="0" applyFont="0" applyAlignment="0" applyProtection="0"/>
    <xf numFmtId="10" fontId="12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0" fontId="37" fillId="0" borderId="19">
      <alignment horizontal="center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0" fontId="36" fillId="7" borderId="0" applyNumberFormat="0" applyFont="0" applyBorder="0" applyAlignment="0" applyProtection="0"/>
    <xf numFmtId="0" fontId="12" fillId="0" borderId="0" applyNumberFormat="0" applyFill="0" applyBorder="0" applyProtection="0">
      <alignment horizontal="right" wrapText="1"/>
    </xf>
    <xf numFmtId="192" fontId="12" fillId="0" borderId="0" applyFill="0" applyBorder="0" applyAlignment="0" applyProtection="0">
      <alignment wrapText="1"/>
    </xf>
    <xf numFmtId="0" fontId="40" fillId="0" borderId="10" applyFill="0" applyBorder="0" applyProtection="0">
      <alignment horizontal="left" vertical="top"/>
    </xf>
    <xf numFmtId="0" fontId="40" fillId="0" borderId="10" applyFill="0" applyBorder="0" applyProtection="0">
      <alignment horizontal="left" vertical="top"/>
    </xf>
    <xf numFmtId="0" fontId="40" fillId="0" borderId="10" applyFill="0" applyBorder="0" applyProtection="0">
      <alignment horizontal="left" vertical="top"/>
    </xf>
    <xf numFmtId="0" fontId="59" fillId="0" borderId="0" applyNumberFormat="0" applyFill="0" applyBorder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29" fillId="0" borderId="0"/>
    <xf numFmtId="0" fontId="53" fillId="16" borderId="30" applyNumberFormat="0" applyAlignment="0" applyProtection="0"/>
    <xf numFmtId="0" fontId="29" fillId="0" borderId="0"/>
    <xf numFmtId="9" fontId="29" fillId="0" borderId="0" applyFont="0" applyFill="0" applyBorder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53" fillId="16" borderId="30" applyNumberFormat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53" fillId="16" borderId="30" applyNumberFormat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2" fillId="0" borderId="0"/>
    <xf numFmtId="44" fontId="29" fillId="0" borderId="0" applyFont="0" applyFill="0" applyBorder="0" applyAlignment="0" applyProtection="0"/>
    <xf numFmtId="0" fontId="12" fillId="31" borderId="37" applyNumberFormat="0" applyFont="0" applyAlignment="0" applyProtection="0"/>
    <xf numFmtId="14" fontId="4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1" borderId="37" applyNumberFormat="0" applyFont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6" fillId="0" borderId="0" applyFont="0" applyFill="0" applyBorder="0" applyAlignment="0" applyProtection="0"/>
    <xf numFmtId="189" fontId="12" fillId="0" borderId="0">
      <protection locked="0"/>
    </xf>
    <xf numFmtId="190" fontId="12" fillId="0" borderId="0">
      <protection locked="0"/>
    </xf>
    <xf numFmtId="190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0" fontId="12" fillId="31" borderId="37" applyNumberFormat="0" applyFon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2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04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0" fontId="2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9" fillId="0" borderId="0"/>
    <xf numFmtId="175" fontId="29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53" fillId="16" borderId="30" applyNumberFormat="0" applyAlignment="0" applyProtection="0"/>
    <xf numFmtId="9" fontId="29" fillId="0" borderId="0" applyFont="0" applyFill="0" applyBorder="0" applyAlignment="0" applyProtection="0"/>
    <xf numFmtId="0" fontId="122" fillId="0" borderId="0"/>
    <xf numFmtId="9" fontId="29" fillId="0" borderId="0" applyFont="0" applyFill="0" applyBorder="0" applyAlignment="0" applyProtection="0"/>
    <xf numFmtId="0" fontId="122" fillId="0" borderId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53" fillId="16" borderId="30" applyNumberFormat="0" applyAlignment="0" applyProtection="0"/>
    <xf numFmtId="0" fontId="122" fillId="0" borderId="0"/>
    <xf numFmtId="0" fontId="122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2" fillId="0" borderId="0"/>
    <xf numFmtId="9" fontId="29" fillId="0" borderId="0" applyFont="0" applyFill="0" applyBorder="0" applyAlignment="0" applyProtection="0"/>
    <xf numFmtId="0" fontId="122" fillId="0" borderId="0"/>
    <xf numFmtId="0" fontId="122" fillId="0" borderId="0"/>
    <xf numFmtId="0" fontId="53" fillId="16" borderId="30" applyNumberFormat="0" applyAlignment="0" applyProtection="0"/>
    <xf numFmtId="0" fontId="53" fillId="16" borderId="30" applyNumberFormat="0" applyAlignment="0" applyProtection="0"/>
    <xf numFmtId="9" fontId="29" fillId="0" borderId="0" applyFont="0" applyFill="0" applyBorder="0" applyAlignment="0" applyProtection="0"/>
    <xf numFmtId="0" fontId="122" fillId="0" borderId="0"/>
    <xf numFmtId="9" fontId="29" fillId="0" borderId="0" applyFont="0" applyFill="0" applyBorder="0" applyAlignment="0" applyProtection="0"/>
    <xf numFmtId="0" fontId="122" fillId="0" borderId="0"/>
    <xf numFmtId="0" fontId="29" fillId="0" borderId="0"/>
    <xf numFmtId="0" fontId="29" fillId="0" borderId="0"/>
    <xf numFmtId="0" fontId="29" fillId="0" borderId="0"/>
    <xf numFmtId="0" fontId="53" fillId="16" borderId="30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2" fillId="0" borderId="0"/>
    <xf numFmtId="0" fontId="53" fillId="16" borderId="30" applyNumberFormat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6" fillId="0" borderId="0"/>
  </cellStyleXfs>
  <cellXfs count="440">
    <xf numFmtId="0" fontId="0" fillId="0" borderId="0" xfId="0"/>
    <xf numFmtId="0" fontId="0" fillId="2" borderId="0" xfId="0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/>
    <xf numFmtId="164" fontId="7" fillId="0" borderId="0" xfId="0" applyNumberFormat="1" applyFont="1" applyFill="1"/>
    <xf numFmtId="165" fontId="7" fillId="0" borderId="0" xfId="0" applyNumberFormat="1" applyFont="1" applyFill="1"/>
    <xf numFmtId="164" fontId="8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9" fontId="7" fillId="0" borderId="0" xfId="3" applyFont="1" applyFill="1"/>
    <xf numFmtId="169" fontId="7" fillId="0" borderId="0" xfId="3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0" fontId="17" fillId="0" borderId="0" xfId="0" applyFont="1" applyFill="1"/>
    <xf numFmtId="0" fontId="5" fillId="2" borderId="0" xfId="0" applyFont="1" applyFill="1" applyAlignment="1"/>
    <xf numFmtId="0" fontId="0" fillId="2" borderId="0" xfId="0" applyFill="1" applyAlignment="1"/>
    <xf numFmtId="164" fontId="7" fillId="0" borderId="0" xfId="0" applyNumberFormat="1" applyFont="1" applyFill="1" applyAlignment="1"/>
    <xf numFmtId="167" fontId="7" fillId="0" borderId="0" xfId="0" applyNumberFormat="1" applyFont="1" applyFill="1" applyAlignment="1"/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16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7" fontId="6" fillId="0" borderId="0" xfId="0" applyNumberFormat="1" applyFont="1" applyFill="1" applyBorder="1" applyAlignment="1">
      <alignment horizontal="right" wrapText="1"/>
    </xf>
    <xf numFmtId="37" fontId="6" fillId="0" borderId="7" xfId="0" applyNumberFormat="1" applyFont="1" applyFill="1" applyBorder="1" applyAlignment="1">
      <alignment horizontal="right" wrapText="1"/>
    </xf>
    <xf numFmtId="0" fontId="22" fillId="2" borderId="8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0" fontId="16" fillId="0" borderId="2" xfId="0" applyFont="1" applyFill="1" applyBorder="1" applyAlignment="1">
      <alignment horizontal="right"/>
    </xf>
    <xf numFmtId="0" fontId="16" fillId="0" borderId="0" xfId="0" applyFont="1" applyFill="1" applyBorder="1" applyAlignment="1"/>
    <xf numFmtId="0" fontId="16" fillId="0" borderId="1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 wrapText="1"/>
    </xf>
    <xf numFmtId="0" fontId="19" fillId="0" borderId="0" xfId="0" applyFont="1" applyFill="1" applyAlignment="1"/>
    <xf numFmtId="0" fontId="19" fillId="0" borderId="0" xfId="0" applyFont="1" applyFill="1" applyBorder="1" applyAlignment="1">
      <alignment horizontal="center"/>
    </xf>
    <xf numFmtId="0" fontId="23" fillId="0" borderId="0" xfId="0" applyFont="1" applyFill="1" applyAlignment="1"/>
    <xf numFmtId="0" fontId="20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171" fontId="16" fillId="0" borderId="2" xfId="0" applyNumberFormat="1" applyFont="1" applyFill="1" applyBorder="1" applyAlignment="1"/>
    <xf numFmtId="0" fontId="16" fillId="0" borderId="4" xfId="0" applyFont="1" applyFill="1" applyBorder="1" applyAlignment="1"/>
    <xf numFmtId="1" fontId="16" fillId="0" borderId="3" xfId="0" applyNumberFormat="1" applyFont="1" applyFill="1" applyBorder="1" applyAlignment="1"/>
    <xf numFmtId="2" fontId="16" fillId="0" borderId="13" xfId="0" applyNumberFormat="1" applyFont="1" applyFill="1" applyBorder="1" applyAlignment="1"/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171" fontId="16" fillId="0" borderId="10" xfId="0" applyNumberFormat="1" applyFont="1" applyFill="1" applyBorder="1" applyAlignment="1"/>
    <xf numFmtId="1" fontId="16" fillId="0" borderId="7" xfId="0" applyNumberFormat="1" applyFont="1" applyFill="1" applyBorder="1" applyAlignment="1"/>
    <xf numFmtId="2" fontId="16" fillId="0" borderId="14" xfId="0" applyNumberFormat="1" applyFont="1" applyFill="1" applyBorder="1" applyAlignment="1"/>
    <xf numFmtId="0" fontId="16" fillId="0" borderId="10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171" fontId="16" fillId="0" borderId="5" xfId="0" applyNumberFormat="1" applyFont="1" applyFill="1" applyBorder="1" applyAlignment="1"/>
    <xf numFmtId="0" fontId="16" fillId="0" borderId="1" xfId="0" applyFont="1" applyFill="1" applyBorder="1" applyAlignment="1"/>
    <xf numFmtId="1" fontId="16" fillId="0" borderId="6" xfId="0" applyNumberFormat="1" applyFont="1" applyFill="1" applyBorder="1" applyAlignment="1"/>
    <xf numFmtId="2" fontId="16" fillId="0" borderId="15" xfId="0" applyNumberFormat="1" applyFont="1" applyFill="1" applyBorder="1" applyAlignment="1"/>
    <xf numFmtId="0" fontId="26" fillId="2" borderId="0" xfId="4" applyFont="1" applyFill="1" applyAlignment="1" applyProtection="1"/>
    <xf numFmtId="0" fontId="16" fillId="5" borderId="0" xfId="0" applyFont="1" applyFill="1" applyAlignment="1"/>
    <xf numFmtId="0" fontId="27" fillId="2" borderId="0" xfId="4" applyFont="1" applyFill="1" applyAlignment="1" applyProtection="1"/>
    <xf numFmtId="173" fontId="0" fillId="0" borderId="0" xfId="0" applyNumberFormat="1"/>
    <xf numFmtId="173" fontId="0" fillId="0" borderId="1" xfId="0" applyNumberFormat="1" applyBorder="1"/>
    <xf numFmtId="168" fontId="0" fillId="0" borderId="0" xfId="0" applyNumberFormat="1"/>
    <xf numFmtId="0" fontId="28" fillId="0" borderId="16" xfId="0" applyFont="1" applyFill="1" applyBorder="1" applyAlignment="1">
      <alignment horizontal="left" wrapText="1"/>
    </xf>
    <xf numFmtId="0" fontId="30" fillId="0" borderId="16" xfId="0" applyFont="1" applyBorder="1" applyAlignment="1">
      <alignment wrapText="1"/>
    </xf>
    <xf numFmtId="175" fontId="30" fillId="0" borderId="0" xfId="0" applyNumberFormat="1" applyFont="1"/>
    <xf numFmtId="168" fontId="0" fillId="0" borderId="0" xfId="1" applyNumberFormat="1" applyFont="1"/>
    <xf numFmtId="44" fontId="0" fillId="0" borderId="0" xfId="2" applyNumberFormat="1" applyFont="1"/>
    <xf numFmtId="173" fontId="0" fillId="0" borderId="0" xfId="2" applyNumberFormat="1" applyFont="1"/>
    <xf numFmtId="175" fontId="30" fillId="0" borderId="1" xfId="0" applyNumberFormat="1" applyFont="1" applyBorder="1"/>
    <xf numFmtId="168" fontId="0" fillId="0" borderId="1" xfId="1" applyNumberFormat="1" applyFont="1" applyBorder="1"/>
    <xf numFmtId="44" fontId="0" fillId="0" borderId="1" xfId="2" applyNumberFormat="1" applyFont="1" applyBorder="1"/>
    <xf numFmtId="173" fontId="0" fillId="0" borderId="1" xfId="2" applyNumberFormat="1" applyFont="1" applyBorder="1"/>
    <xf numFmtId="44" fontId="31" fillId="0" borderId="0" xfId="2" applyNumberFormat="1" applyFont="1"/>
    <xf numFmtId="44" fontId="31" fillId="0" borderId="1" xfId="2" applyNumberFormat="1" applyFont="1" applyBorder="1"/>
    <xf numFmtId="0" fontId="3" fillId="0" borderId="0" xfId="0" applyFont="1"/>
    <xf numFmtId="0" fontId="5" fillId="0" borderId="0" xfId="0" applyFont="1" applyFill="1" applyAlignment="1"/>
    <xf numFmtId="164" fontId="6" fillId="0" borderId="0" xfId="0" applyNumberFormat="1" applyFont="1" applyFill="1" applyAlignment="1"/>
    <xf numFmtId="0" fontId="10" fillId="0" borderId="0" xfId="4" applyFont="1" applyFill="1" applyAlignment="1" applyProtection="1"/>
    <xf numFmtId="0" fontId="11" fillId="0" borderId="0" xfId="0" applyFont="1" applyFill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32" fillId="0" borderId="0" xfId="0" applyFont="1"/>
    <xf numFmtId="0" fontId="33" fillId="0" borderId="0" xfId="0" applyFont="1"/>
    <xf numFmtId="0" fontId="33" fillId="0" borderId="0" xfId="0" applyFont="1" applyFill="1"/>
    <xf numFmtId="0" fontId="35" fillId="4" borderId="1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0" fillId="4" borderId="11" xfId="0" applyFill="1" applyBorder="1" applyAlignment="1">
      <alignment horizontal="center"/>
    </xf>
    <xf numFmtId="0" fontId="13" fillId="0" borderId="0" xfId="4" applyFont="1" applyFill="1" applyBorder="1" applyAlignment="1" applyProtection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/>
    <xf numFmtId="43" fontId="38" fillId="0" borderId="0" xfId="1" applyFont="1"/>
    <xf numFmtId="43" fontId="0" fillId="0" borderId="0" xfId="1" applyFont="1"/>
    <xf numFmtId="43" fontId="3" fillId="0" borderId="0" xfId="1" applyFont="1" applyAlignment="1">
      <alignment wrapText="1"/>
    </xf>
    <xf numFmtId="43" fontId="0" fillId="6" borderId="25" xfId="1" applyFont="1" applyFill="1" applyBorder="1"/>
    <xf numFmtId="43" fontId="0" fillId="6" borderId="26" xfId="1" applyFont="1" applyFill="1" applyBorder="1"/>
    <xf numFmtId="43" fontId="0" fillId="6" borderId="27" xfId="1" applyFont="1" applyFill="1" applyBorder="1"/>
    <xf numFmtId="9" fontId="0" fillId="6" borderId="20" xfId="3" applyFont="1" applyFill="1" applyBorder="1"/>
    <xf numFmtId="9" fontId="0" fillId="6" borderId="21" xfId="3" applyFont="1" applyFill="1" applyBorder="1"/>
    <xf numFmtId="9" fontId="0" fillId="6" borderId="22" xfId="3" applyFont="1" applyFill="1" applyBorder="1"/>
    <xf numFmtId="9" fontId="0" fillId="6" borderId="17" xfId="3" applyFont="1" applyFill="1" applyBorder="1"/>
    <xf numFmtId="9" fontId="0" fillId="6" borderId="0" xfId="3" applyFont="1" applyFill="1" applyBorder="1"/>
    <xf numFmtId="9" fontId="0" fillId="6" borderId="18" xfId="3" applyFont="1" applyFill="1" applyBorder="1"/>
    <xf numFmtId="9" fontId="0" fillId="6" borderId="23" xfId="3" applyFont="1" applyFill="1" applyBorder="1"/>
    <xf numFmtId="9" fontId="0" fillId="6" borderId="19" xfId="3" applyFont="1" applyFill="1" applyBorder="1"/>
    <xf numFmtId="9" fontId="0" fillId="6" borderId="24" xfId="3" applyFont="1" applyFill="1" applyBorder="1"/>
    <xf numFmtId="9" fontId="0" fillId="0" borderId="0" xfId="3" applyFont="1"/>
    <xf numFmtId="1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1" fontId="7" fillId="4" borderId="11" xfId="0" applyNumberFormat="1" applyFont="1" applyFill="1" applyBorder="1" applyAlignment="1">
      <alignment horizontal="left"/>
    </xf>
    <xf numFmtId="44" fontId="7" fillId="4" borderId="11" xfId="2" applyFont="1" applyFill="1" applyBorder="1" applyAlignment="1">
      <alignment horizontal="left"/>
    </xf>
    <xf numFmtId="44" fontId="7" fillId="0" borderId="11" xfId="2" applyFont="1" applyFill="1" applyBorder="1" applyAlignment="1">
      <alignment horizontal="left"/>
    </xf>
    <xf numFmtId="2" fontId="16" fillId="4" borderId="11" xfId="0" applyNumberFormat="1" applyFont="1" applyFill="1" applyBorder="1" applyAlignment="1">
      <alignment horizontal="center"/>
    </xf>
    <xf numFmtId="9" fontId="0" fillId="0" borderId="0" xfId="0" applyNumberFormat="1"/>
    <xf numFmtId="168" fontId="0" fillId="0" borderId="0" xfId="1" applyNumberFormat="1" applyFont="1"/>
    <xf numFmtId="175" fontId="30" fillId="0" borderId="0" xfId="782" applyNumberFormat="1" applyFont="1" applyBorder="1"/>
    <xf numFmtId="175" fontId="30" fillId="0" borderId="0" xfId="1006" applyNumberFormat="1" applyFont="1" applyBorder="1"/>
    <xf numFmtId="175" fontId="3" fillId="0" borderId="3" xfId="0" applyNumberFormat="1" applyFont="1" applyBorder="1" applyAlignment="1">
      <alignment horizontal="center"/>
    </xf>
    <xf numFmtId="4" fontId="0" fillId="4" borderId="11" xfId="0" applyNumberForma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Fill="1"/>
    <xf numFmtId="175" fontId="3" fillId="0" borderId="2" xfId="0" applyNumberFormat="1" applyFont="1" applyBorder="1" applyAlignment="1">
      <alignment horizontal="center"/>
    </xf>
    <xf numFmtId="0" fontId="29" fillId="0" borderId="0" xfId="780"/>
    <xf numFmtId="0" fontId="116" fillId="0" borderId="0" xfId="780" applyFont="1"/>
    <xf numFmtId="173" fontId="116" fillId="0" borderId="0" xfId="780" applyNumberFormat="1" applyFont="1"/>
    <xf numFmtId="0" fontId="115" fillId="0" borderId="16" xfId="780" applyFont="1" applyBorder="1" applyAlignment="1">
      <alignment horizontal="center"/>
    </xf>
    <xf numFmtId="0" fontId="115" fillId="0" borderId="16" xfId="780" applyFont="1" applyBorder="1" applyAlignment="1">
      <alignment horizontal="left"/>
    </xf>
    <xf numFmtId="0" fontId="116" fillId="0" borderId="16" xfId="780" applyFont="1" applyBorder="1" applyAlignment="1">
      <alignment horizontal="center"/>
    </xf>
    <xf numFmtId="173" fontId="116" fillId="0" borderId="16" xfId="780" applyNumberFormat="1" applyFont="1" applyBorder="1" applyAlignment="1">
      <alignment horizontal="center"/>
    </xf>
    <xf numFmtId="0" fontId="118" fillId="0" borderId="16" xfId="5" applyFont="1" applyBorder="1" applyAlignment="1">
      <alignment horizontal="left"/>
    </xf>
    <xf numFmtId="44" fontId="31" fillId="0" borderId="0" xfId="803" applyNumberFormat="1" applyFont="1" applyBorder="1"/>
    <xf numFmtId="0" fontId="24" fillId="0" borderId="0" xfId="787" applyFont="1" applyFill="1"/>
    <xf numFmtId="173" fontId="29" fillId="0" borderId="0" xfId="782" applyNumberFormat="1" applyBorder="1"/>
    <xf numFmtId="173" fontId="29" fillId="0" borderId="0" xfId="803" applyNumberFormat="1" applyFont="1" applyBorder="1"/>
    <xf numFmtId="173" fontId="29" fillId="0" borderId="0" xfId="1006" applyNumberFormat="1" applyBorder="1"/>
    <xf numFmtId="168" fontId="29" fillId="0" borderId="0" xfId="148" applyNumberFormat="1" applyFont="1" applyBorder="1"/>
    <xf numFmtId="44" fontId="29" fillId="0" borderId="0" xfId="803" applyNumberFormat="1" applyFont="1" applyBorder="1"/>
    <xf numFmtId="164" fontId="7" fillId="0" borderId="0" xfId="0" applyNumberFormat="1" applyFont="1" applyFill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7" xfId="3" applyNumberFormat="1" applyFont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3" fillId="35" borderId="0" xfId="0" applyNumberFormat="1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37" fontId="0" fillId="35" borderId="0" xfId="0" applyNumberFormat="1" applyFill="1"/>
    <xf numFmtId="0" fontId="2" fillId="0" borderId="0" xfId="0" applyFont="1" applyAlignment="1"/>
    <xf numFmtId="0" fontId="3" fillId="35" borderId="0" xfId="0" applyFont="1" applyFill="1" applyAlignment="1"/>
    <xf numFmtId="43" fontId="0" fillId="0" borderId="7" xfId="0" applyNumberFormat="1" applyFill="1" applyBorder="1"/>
    <xf numFmtId="168" fontId="0" fillId="0" borderId="0" xfId="0" applyNumberFormat="1" applyFill="1"/>
    <xf numFmtId="0" fontId="123" fillId="0" borderId="0" xfId="0" applyFont="1" applyFill="1" applyAlignment="1">
      <alignment horizontal="center" vertic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168" fontId="0" fillId="0" borderId="0" xfId="1" applyNumberFormat="1" applyFont="1"/>
    <xf numFmtId="170" fontId="0" fillId="0" borderId="0" xfId="1" applyNumberFormat="1" applyFont="1"/>
    <xf numFmtId="167" fontId="0" fillId="0" borderId="0" xfId="1" applyNumberFormat="1" applyFont="1"/>
    <xf numFmtId="170" fontId="0" fillId="0" borderId="0" xfId="0" applyNumberFormat="1"/>
    <xf numFmtId="43" fontId="0" fillId="0" borderId="0" xfId="0" applyNumberFormat="1"/>
    <xf numFmtId="0" fontId="0" fillId="0" borderId="0" xfId="0" applyFill="1"/>
    <xf numFmtId="0" fontId="120" fillId="0" borderId="0" xfId="0" applyFont="1" applyFill="1"/>
    <xf numFmtId="168" fontId="0" fillId="0" borderId="0" xfId="1" applyNumberFormat="1" applyFont="1" applyFill="1"/>
    <xf numFmtId="193" fontId="0" fillId="0" borderId="0" xfId="0" applyNumberFormat="1"/>
    <xf numFmtId="170" fontId="0" fillId="0" borderId="0" xfId="1" applyNumberFormat="1" applyFont="1" applyFill="1"/>
    <xf numFmtId="167" fontId="0" fillId="0" borderId="0" xfId="1" applyNumberFormat="1" applyFont="1" applyFill="1"/>
    <xf numFmtId="0" fontId="0" fillId="0" borderId="0" xfId="0"/>
    <xf numFmtId="0" fontId="3" fillId="0" borderId="0" xfId="0" applyFont="1"/>
    <xf numFmtId="168" fontId="0" fillId="0" borderId="0" xfId="1" applyNumberFormat="1" applyFont="1"/>
    <xf numFmtId="175" fontId="3" fillId="0" borderId="2" xfId="0" applyNumberFormat="1" applyFont="1" applyBorder="1" applyAlignment="1">
      <alignment horizontal="center"/>
    </xf>
    <xf numFmtId="175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1" fillId="0" borderId="0" xfId="0" applyFont="1" applyFill="1"/>
    <xf numFmtId="0" fontId="9" fillId="0" borderId="0" xfId="4" applyAlignment="1" applyProtection="1"/>
    <xf numFmtId="0" fontId="0" fillId="0" borderId="0" xfId="0"/>
    <xf numFmtId="0" fontId="3" fillId="0" borderId="0" xfId="0" applyFont="1"/>
    <xf numFmtId="168" fontId="0" fillId="0" borderId="0" xfId="1" applyNumberFormat="1" applyFont="1"/>
    <xf numFmtId="175" fontId="3" fillId="0" borderId="2" xfId="0" applyNumberFormat="1" applyFont="1" applyBorder="1" applyAlignment="1">
      <alignment horizontal="center"/>
    </xf>
    <xf numFmtId="175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1" fillId="0" borderId="0" xfId="0" applyFont="1" applyFill="1"/>
    <xf numFmtId="0" fontId="9" fillId="0" borderId="0" xfId="4" applyAlignment="1" applyProtection="1"/>
    <xf numFmtId="194" fontId="0" fillId="0" borderId="0" xfId="2" applyNumberFormat="1" applyFont="1" applyFill="1"/>
    <xf numFmtId="194" fontId="0" fillId="0" borderId="0" xfId="2" applyNumberFormat="1" applyFont="1"/>
    <xf numFmtId="173" fontId="116" fillId="0" borderId="0" xfId="1025" applyNumberFormat="1" applyFont="1" applyBorder="1"/>
    <xf numFmtId="173" fontId="116" fillId="0" borderId="1" xfId="1025" applyNumberFormat="1" applyFont="1" applyBorder="1"/>
    <xf numFmtId="172" fontId="118" fillId="0" borderId="0" xfId="5" applyNumberFormat="1" applyFont="1" applyBorder="1"/>
    <xf numFmtId="172" fontId="118" fillId="0" borderId="1" xfId="5" applyNumberFormat="1" applyFont="1" applyBorder="1"/>
    <xf numFmtId="173" fontId="116" fillId="0" borderId="0" xfId="1019" applyNumberFormat="1" applyFont="1" applyBorder="1"/>
    <xf numFmtId="0" fontId="115" fillId="0" borderId="0" xfId="1019" applyFont="1" applyAlignment="1">
      <alignment horizontal="right"/>
    </xf>
    <xf numFmtId="173" fontId="116" fillId="0" borderId="0" xfId="1030" applyNumberFormat="1" applyFont="1" applyBorder="1"/>
    <xf numFmtId="173" fontId="116" fillId="0" borderId="0" xfId="1030" applyNumberFormat="1" applyFont="1" applyFill="1" applyBorder="1"/>
    <xf numFmtId="173" fontId="116" fillId="0" borderId="0" xfId="1030" applyNumberFormat="1" applyFont="1"/>
    <xf numFmtId="0" fontId="115" fillId="0" borderId="16" xfId="1030" applyFont="1" applyBorder="1" applyAlignment="1">
      <alignment horizontal="center"/>
    </xf>
    <xf numFmtId="0" fontId="115" fillId="0" borderId="16" xfId="1030" applyFont="1" applyBorder="1" applyAlignment="1">
      <alignment horizontal="left"/>
    </xf>
    <xf numFmtId="173" fontId="116" fillId="0" borderId="1" xfId="1030" applyNumberFormat="1" applyFont="1" applyBorder="1"/>
    <xf numFmtId="173" fontId="117" fillId="0" borderId="0" xfId="1030" applyNumberFormat="1" applyFont="1"/>
    <xf numFmtId="44" fontId="117" fillId="0" borderId="0" xfId="1030" applyNumberFormat="1" applyFont="1"/>
    <xf numFmtId="0" fontId="118" fillId="0" borderId="1" xfId="5" applyFont="1" applyBorder="1" applyAlignment="1">
      <alignment horizontal="left"/>
    </xf>
    <xf numFmtId="172" fontId="119" fillId="0" borderId="0" xfId="5" applyNumberFormat="1" applyFont="1" applyBorder="1"/>
    <xf numFmtId="172" fontId="119" fillId="0" borderId="0" xfId="5" applyNumberFormat="1" applyFont="1" applyBorder="1" applyAlignment="1">
      <alignment horizontal="left" indent="1"/>
    </xf>
    <xf numFmtId="172" fontId="119" fillId="0" borderId="1" xfId="5" applyNumberFormat="1" applyFont="1" applyBorder="1" applyAlignment="1">
      <alignment horizontal="left" indent="1"/>
    </xf>
    <xf numFmtId="173" fontId="116" fillId="0" borderId="0" xfId="1018" applyNumberFormat="1" applyFont="1"/>
    <xf numFmtId="0" fontId="115" fillId="0" borderId="16" xfId="1018" applyFont="1" applyBorder="1" applyAlignment="1">
      <alignment horizontal="center"/>
    </xf>
    <xf numFmtId="0" fontId="115" fillId="0" borderId="16" xfId="1018" applyFont="1" applyBorder="1" applyAlignment="1">
      <alignment horizontal="left"/>
    </xf>
    <xf numFmtId="173" fontId="116" fillId="0" borderId="0" xfId="1018" applyNumberFormat="1" applyFont="1" applyFill="1"/>
    <xf numFmtId="173" fontId="116" fillId="0" borderId="1" xfId="1018" applyNumberFormat="1" applyFont="1" applyFill="1" applyBorder="1"/>
    <xf numFmtId="0" fontId="118" fillId="0" borderId="1" xfId="5" applyFont="1" applyBorder="1" applyAlignment="1">
      <alignment horizontal="left"/>
    </xf>
    <xf numFmtId="172" fontId="119" fillId="0" borderId="0" xfId="5" applyNumberFormat="1" applyFont="1" applyBorder="1"/>
    <xf numFmtId="172" fontId="119" fillId="0" borderId="0" xfId="5" applyNumberFormat="1" applyFont="1" applyFill="1" applyBorder="1"/>
    <xf numFmtId="172" fontId="119" fillId="0" borderId="1" xfId="5" applyNumberFormat="1" applyFont="1" applyFill="1" applyBorder="1"/>
    <xf numFmtId="173" fontId="116" fillId="0" borderId="0" xfId="1023" applyNumberFormat="1" applyFont="1" applyBorder="1"/>
    <xf numFmtId="0" fontId="115" fillId="0" borderId="16" xfId="1023" applyFont="1" applyBorder="1" applyAlignment="1">
      <alignment horizontal="center"/>
    </xf>
    <xf numFmtId="0" fontId="115" fillId="0" borderId="16" xfId="1023" applyFont="1" applyBorder="1" applyAlignment="1">
      <alignment horizontal="left"/>
    </xf>
    <xf numFmtId="0" fontId="118" fillId="0" borderId="16" xfId="5" applyFont="1" applyBorder="1" applyAlignment="1">
      <alignment horizontal="left"/>
    </xf>
    <xf numFmtId="172" fontId="118" fillId="0" borderId="0" xfId="5" applyNumberFormat="1" applyFont="1" applyBorder="1"/>
    <xf numFmtId="0" fontId="116" fillId="0" borderId="0" xfId="1011" applyFont="1"/>
    <xf numFmtId="173" fontId="116" fillId="0" borderId="0" xfId="1011" applyNumberFormat="1" applyFont="1" applyBorder="1"/>
    <xf numFmtId="173" fontId="116" fillId="0" borderId="0" xfId="1011" applyNumberFormat="1" applyFont="1"/>
    <xf numFmtId="174" fontId="116" fillId="0" borderId="0" xfId="1011" applyNumberFormat="1" applyFont="1" applyBorder="1"/>
    <xf numFmtId="0" fontId="115" fillId="0" borderId="16" xfId="1011" applyFont="1" applyBorder="1" applyAlignment="1">
      <alignment horizontal="center"/>
    </xf>
    <xf numFmtId="0" fontId="115" fillId="0" borderId="16" xfId="1011" applyFont="1" applyBorder="1" applyAlignment="1">
      <alignment horizontal="left"/>
    </xf>
    <xf numFmtId="173" fontId="116" fillId="0" borderId="1" xfId="1011" applyNumberFormat="1" applyFont="1" applyBorder="1"/>
    <xf numFmtId="173" fontId="116" fillId="0" borderId="0" xfId="1011" applyNumberFormat="1" applyFont="1" applyFill="1"/>
    <xf numFmtId="168" fontId="116" fillId="0" borderId="0" xfId="1011" applyNumberFormat="1" applyFont="1"/>
    <xf numFmtId="44" fontId="116" fillId="0" borderId="0" xfId="1011" applyNumberFormat="1" applyFont="1" applyBorder="1"/>
    <xf numFmtId="0" fontId="118" fillId="0" borderId="16" xfId="5" applyFont="1" applyBorder="1" applyAlignment="1">
      <alignment horizontal="left"/>
    </xf>
    <xf numFmtId="172" fontId="118" fillId="0" borderId="0" xfId="5" applyNumberFormat="1" applyFont="1" applyBorder="1"/>
    <xf numFmtId="172" fontId="118" fillId="0" borderId="1" xfId="5" applyNumberFormat="1" applyFont="1" applyBorder="1"/>
    <xf numFmtId="0" fontId="115" fillId="0" borderId="0" xfId="1011" applyFont="1" applyAlignment="1">
      <alignment horizontal="right"/>
    </xf>
    <xf numFmtId="0" fontId="118" fillId="0" borderId="1" xfId="5" applyFont="1" applyBorder="1" applyAlignment="1">
      <alignment horizontal="left"/>
    </xf>
    <xf numFmtId="172" fontId="119" fillId="0" borderId="0" xfId="5" applyNumberFormat="1" applyFont="1" applyBorder="1"/>
    <xf numFmtId="172" fontId="119" fillId="0" borderId="0" xfId="5" applyNumberFormat="1" applyFont="1" applyBorder="1" applyAlignment="1">
      <alignment horizontal="left" indent="1"/>
    </xf>
    <xf numFmtId="172" fontId="119" fillId="0" borderId="0" xfId="5" applyNumberFormat="1" applyFont="1" applyBorder="1" applyAlignment="1">
      <alignment horizontal="left"/>
    </xf>
    <xf numFmtId="172" fontId="119" fillId="0" borderId="1" xfId="5" applyNumberFormat="1" applyFont="1" applyBorder="1"/>
    <xf numFmtId="172" fontId="118" fillId="0" borderId="0" xfId="5" applyNumberFormat="1" applyFont="1" applyFill="1" applyBorder="1"/>
    <xf numFmtId="0" fontId="0" fillId="0" borderId="0" xfId="0"/>
    <xf numFmtId="0" fontId="3" fillId="0" borderId="0" xfId="0" applyFont="1"/>
    <xf numFmtId="170" fontId="0" fillId="0" borderId="0" xfId="1" applyNumberFormat="1" applyFont="1"/>
    <xf numFmtId="167" fontId="0" fillId="0" borderId="0" xfId="1" applyNumberFormat="1" applyFont="1"/>
    <xf numFmtId="43" fontId="0" fillId="0" borderId="0" xfId="0" applyNumberFormat="1"/>
    <xf numFmtId="0" fontId="0" fillId="0" borderId="0" xfId="0" applyFill="1"/>
    <xf numFmtId="0" fontId="120" fillId="0" borderId="0" xfId="0" applyFont="1" applyFill="1"/>
    <xf numFmtId="0" fontId="121" fillId="0" borderId="0" xfId="0" applyFont="1" applyFill="1"/>
    <xf numFmtId="193" fontId="0" fillId="0" borderId="0" xfId="0" applyNumberFormat="1"/>
    <xf numFmtId="170" fontId="0" fillId="0" borderId="0" xfId="1" applyNumberFormat="1" applyFont="1" applyFill="1"/>
    <xf numFmtId="167" fontId="0" fillId="0" borderId="0" xfId="1" applyNumberFormat="1" applyFont="1" applyFill="1"/>
    <xf numFmtId="0" fontId="9" fillId="0" borderId="0" xfId="4" applyAlignment="1" applyProtection="1"/>
    <xf numFmtId="0" fontId="0" fillId="0" borderId="0" xfId="0"/>
    <xf numFmtId="0" fontId="0" fillId="2" borderId="0" xfId="0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/>
    <xf numFmtId="164" fontId="7" fillId="0" borderId="0" xfId="0" applyNumberFormat="1" applyFont="1" applyFill="1"/>
    <xf numFmtId="165" fontId="7" fillId="0" borderId="0" xfId="0" applyNumberFormat="1" applyFont="1" applyFill="1"/>
    <xf numFmtId="164" fontId="8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9" fontId="7" fillId="0" borderId="0" xfId="3" applyFont="1" applyFill="1"/>
    <xf numFmtId="169" fontId="7" fillId="0" borderId="0" xfId="3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0" fontId="17" fillId="0" borderId="0" xfId="0" applyFont="1" applyFill="1"/>
    <xf numFmtId="0" fontId="5" fillId="2" borderId="0" xfId="0" applyFont="1" applyFill="1" applyAlignment="1"/>
    <xf numFmtId="0" fontId="0" fillId="2" borderId="0" xfId="0" applyFill="1" applyAlignment="1"/>
    <xf numFmtId="164" fontId="7" fillId="0" borderId="0" xfId="0" applyNumberFormat="1" applyFont="1" applyFill="1" applyAlignment="1"/>
    <xf numFmtId="167" fontId="7" fillId="0" borderId="0" xfId="0" applyNumberFormat="1" applyFont="1" applyFill="1" applyAlignment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16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7" fontId="6" fillId="0" borderId="0" xfId="0" applyNumberFormat="1" applyFont="1" applyFill="1" applyBorder="1" applyAlignment="1">
      <alignment horizontal="right" wrapText="1"/>
    </xf>
    <xf numFmtId="37" fontId="6" fillId="0" borderId="7" xfId="0" applyNumberFormat="1" applyFont="1" applyFill="1" applyBorder="1" applyAlignment="1">
      <alignment horizontal="right" wrapText="1"/>
    </xf>
    <xf numFmtId="0" fontId="26" fillId="2" borderId="0" xfId="4" applyFont="1" applyFill="1" applyAlignment="1" applyProtection="1"/>
    <xf numFmtId="0" fontId="16" fillId="5" borderId="0" xfId="0" applyFont="1" applyFill="1" applyAlignment="1"/>
    <xf numFmtId="0" fontId="27" fillId="2" borderId="0" xfId="4" applyFont="1" applyFill="1" applyAlignment="1" applyProtection="1"/>
    <xf numFmtId="173" fontId="0" fillId="0" borderId="0" xfId="0" applyNumberFormat="1"/>
    <xf numFmtId="173" fontId="0" fillId="0" borderId="1" xfId="0" applyNumberFormat="1" applyBorder="1"/>
    <xf numFmtId="168" fontId="0" fillId="0" borderId="0" xfId="0" applyNumberFormat="1"/>
    <xf numFmtId="0" fontId="28" fillId="0" borderId="16" xfId="0" applyFont="1" applyFill="1" applyBorder="1" applyAlignment="1">
      <alignment horizontal="left" wrapText="1"/>
    </xf>
    <xf numFmtId="0" fontId="30" fillId="0" borderId="16" xfId="0" applyFont="1" applyBorder="1" applyAlignment="1">
      <alignment wrapText="1"/>
    </xf>
    <xf numFmtId="175" fontId="30" fillId="0" borderId="0" xfId="0" applyNumberFormat="1" applyFont="1"/>
    <xf numFmtId="168" fontId="0" fillId="0" borderId="0" xfId="1" applyNumberFormat="1" applyFont="1"/>
    <xf numFmtId="44" fontId="0" fillId="0" borderId="0" xfId="2" applyNumberFormat="1" applyFont="1"/>
    <xf numFmtId="173" fontId="0" fillId="0" borderId="0" xfId="2" applyNumberFormat="1" applyFont="1"/>
    <xf numFmtId="175" fontId="30" fillId="0" borderId="1" xfId="0" applyNumberFormat="1" applyFont="1" applyBorder="1"/>
    <xf numFmtId="168" fontId="0" fillId="0" borderId="1" xfId="1" applyNumberFormat="1" applyFont="1" applyBorder="1"/>
    <xf numFmtId="44" fontId="0" fillId="0" borderId="1" xfId="2" applyNumberFormat="1" applyFont="1" applyBorder="1"/>
    <xf numFmtId="173" fontId="0" fillId="0" borderId="1" xfId="2" applyNumberFormat="1" applyFont="1" applyBorder="1"/>
    <xf numFmtId="44" fontId="31" fillId="0" borderId="0" xfId="2" applyNumberFormat="1" applyFont="1"/>
    <xf numFmtId="44" fontId="31" fillId="0" borderId="1" xfId="2" applyNumberFormat="1" applyFont="1" applyBorder="1"/>
    <xf numFmtId="0" fontId="3" fillId="0" borderId="0" xfId="0" applyFont="1"/>
    <xf numFmtId="170" fontId="0" fillId="0" borderId="0" xfId="1" applyNumberFormat="1" applyFont="1"/>
    <xf numFmtId="170" fontId="0" fillId="0" borderId="0" xfId="0" applyNumberFormat="1"/>
    <xf numFmtId="175" fontId="30" fillId="0" borderId="0" xfId="782" applyNumberFormat="1" applyFont="1" applyBorder="1"/>
    <xf numFmtId="175" fontId="30" fillId="0" borderId="0" xfId="1006" applyNumberFormat="1" applyFont="1" applyBorder="1"/>
    <xf numFmtId="175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5" fontId="3" fillId="0" borderId="2" xfId="0" applyNumberFormat="1" applyFont="1" applyBorder="1" applyAlignment="1">
      <alignment horizontal="center"/>
    </xf>
    <xf numFmtId="0" fontId="0" fillId="0" borderId="0" xfId="0" applyBorder="1"/>
    <xf numFmtId="0" fontId="29" fillId="0" borderId="0" xfId="780"/>
    <xf numFmtId="0" fontId="116" fillId="0" borderId="0" xfId="780" applyFont="1"/>
    <xf numFmtId="173" fontId="116" fillId="0" borderId="0" xfId="780" applyNumberFormat="1" applyFont="1"/>
    <xf numFmtId="0" fontId="115" fillId="0" borderId="16" xfId="780" applyFont="1" applyBorder="1" applyAlignment="1">
      <alignment horizontal="center"/>
    </xf>
    <xf numFmtId="0" fontId="115" fillId="0" borderId="16" xfId="780" applyFont="1" applyBorder="1" applyAlignment="1">
      <alignment horizontal="left"/>
    </xf>
    <xf numFmtId="0" fontId="116" fillId="0" borderId="16" xfId="780" applyFont="1" applyBorder="1" applyAlignment="1">
      <alignment horizontal="center"/>
    </xf>
    <xf numFmtId="173" fontId="116" fillId="0" borderId="16" xfId="780" applyNumberFormat="1" applyFont="1" applyBorder="1" applyAlignment="1">
      <alignment horizontal="center"/>
    </xf>
    <xf numFmtId="0" fontId="118" fillId="0" borderId="16" xfId="5" applyFont="1" applyBorder="1" applyAlignment="1">
      <alignment horizontal="left"/>
    </xf>
    <xf numFmtId="172" fontId="118" fillId="0" borderId="0" xfId="5" applyNumberFormat="1" applyFont="1" applyBorder="1"/>
    <xf numFmtId="172" fontId="118" fillId="0" borderId="1" xfId="5" applyNumberFormat="1" applyFont="1" applyBorder="1"/>
    <xf numFmtId="0" fontId="118" fillId="0" borderId="1" xfId="5" applyFont="1" applyBorder="1" applyAlignment="1">
      <alignment horizontal="left"/>
    </xf>
    <xf numFmtId="172" fontId="119" fillId="0" borderId="0" xfId="5" applyNumberFormat="1" applyFont="1" applyBorder="1"/>
    <xf numFmtId="172" fontId="119" fillId="0" borderId="0" xfId="5" applyNumberFormat="1" applyFont="1" applyBorder="1" applyAlignment="1">
      <alignment horizontal="left" indent="1"/>
    </xf>
    <xf numFmtId="172" fontId="119" fillId="0" borderId="1" xfId="5" applyNumberFormat="1" applyFont="1" applyBorder="1" applyAlignment="1">
      <alignment horizontal="left" indent="1"/>
    </xf>
    <xf numFmtId="172" fontId="119" fillId="0" borderId="0" xfId="5" applyNumberFormat="1" applyFont="1" applyFill="1" applyBorder="1"/>
    <xf numFmtId="172" fontId="119" fillId="0" borderId="1" xfId="5" applyNumberFormat="1" applyFont="1" applyFill="1" applyBorder="1"/>
    <xf numFmtId="172" fontId="119" fillId="0" borderId="0" xfId="5" applyNumberFormat="1" applyFont="1" applyBorder="1" applyAlignment="1">
      <alignment horizontal="left"/>
    </xf>
    <xf numFmtId="172" fontId="119" fillId="0" borderId="1" xfId="5" applyNumberFormat="1" applyFont="1" applyBorder="1"/>
    <xf numFmtId="172" fontId="118" fillId="0" borderId="0" xfId="5" applyNumberFormat="1" applyFont="1" applyFill="1" applyBorder="1"/>
    <xf numFmtId="44" fontId="31" fillId="0" borderId="0" xfId="803" applyNumberFormat="1" applyFont="1" applyBorder="1"/>
    <xf numFmtId="0" fontId="24" fillId="0" borderId="0" xfId="787" applyFont="1" applyFill="1"/>
    <xf numFmtId="173" fontId="29" fillId="0" borderId="0" xfId="782" applyNumberFormat="1" applyBorder="1"/>
    <xf numFmtId="173" fontId="29" fillId="0" borderId="0" xfId="803" applyNumberFormat="1" applyFont="1" applyBorder="1"/>
    <xf numFmtId="173" fontId="29" fillId="0" borderId="0" xfId="1006" applyNumberFormat="1" applyBorder="1"/>
    <xf numFmtId="168" fontId="29" fillId="0" borderId="0" xfId="148" applyNumberFormat="1" applyFont="1" applyBorder="1"/>
    <xf numFmtId="44" fontId="29" fillId="0" borderId="0" xfId="803" applyNumberFormat="1" applyFont="1" applyBorder="1"/>
    <xf numFmtId="164" fontId="7" fillId="0" borderId="0" xfId="0" applyNumberFormat="1" applyFont="1" applyFill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3" fillId="35" borderId="0" xfId="0" applyNumberFormat="1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37" fontId="0" fillId="35" borderId="0" xfId="0" applyNumberFormat="1" applyFill="1"/>
    <xf numFmtId="0" fontId="2" fillId="0" borderId="0" xfId="0" applyFont="1" applyAlignment="1"/>
    <xf numFmtId="0" fontId="3" fillId="35" borderId="0" xfId="0" applyFont="1" applyFill="1" applyAlignment="1"/>
    <xf numFmtId="0" fontId="0" fillId="0" borderId="0" xfId="0"/>
    <xf numFmtId="0" fontId="0" fillId="0" borderId="0" xfId="0" applyFill="1"/>
    <xf numFmtId="0" fontId="3" fillId="0" borderId="0" xfId="0" applyFont="1" applyAlignment="1">
      <alignment horizontal="right"/>
    </xf>
    <xf numFmtId="0" fontId="0" fillId="36" borderId="0" xfId="0" applyFill="1"/>
    <xf numFmtId="0" fontId="0" fillId="37" borderId="0" xfId="0" applyFill="1"/>
    <xf numFmtId="1" fontId="7" fillId="0" borderId="0" xfId="0" applyNumberFormat="1" applyFont="1" applyFill="1"/>
    <xf numFmtId="1" fontId="8" fillId="0" borderId="0" xfId="0" applyNumberFormat="1" applyFont="1" applyFill="1"/>
    <xf numFmtId="1" fontId="7" fillId="0" borderId="0" xfId="0" applyNumberFormat="1" applyFont="1" applyFill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1" fontId="0" fillId="0" borderId="0" xfId="0" applyNumberFormat="1" applyFill="1"/>
    <xf numFmtId="1" fontId="7" fillId="0" borderId="0" xfId="0" applyNumberFormat="1" applyFont="1" applyFill="1" applyAlignment="1"/>
    <xf numFmtId="0" fontId="3" fillId="0" borderId="0" xfId="0" applyFont="1" applyAlignment="1">
      <alignment horizontal="left"/>
    </xf>
    <xf numFmtId="0" fontId="14" fillId="0" borderId="0" xfId="0" applyFont="1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ont="1" applyFill="1" applyAlignment="1">
      <alignment horizontal="center" vertical="center" wrapText="1"/>
    </xf>
    <xf numFmtId="175" fontId="0" fillId="36" borderId="0" xfId="0" applyNumberFormat="1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2" applyNumberFormat="1" applyFont="1"/>
    <xf numFmtId="38" fontId="0" fillId="0" borderId="0" xfId="2" applyNumberFormat="1" applyFont="1"/>
    <xf numFmtId="0" fontId="3" fillId="0" borderId="0" xfId="0" applyFont="1" applyFill="1" applyAlignment="1">
      <alignment horizontal="right"/>
    </xf>
    <xf numFmtId="195" fontId="0" fillId="0" borderId="0" xfId="2" applyNumberFormat="1" applyFont="1"/>
    <xf numFmtId="0" fontId="3" fillId="0" borderId="0" xfId="0" applyFont="1" applyAlignment="1">
      <alignment horizontal="center"/>
    </xf>
    <xf numFmtId="1" fontId="0" fillId="36" borderId="0" xfId="0" applyNumberFormat="1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/>
    </xf>
    <xf numFmtId="175" fontId="0" fillId="37" borderId="0" xfId="0" applyNumberFormat="1" applyFont="1" applyFill="1" applyAlignment="1">
      <alignment horizontal="center" vertical="center" wrapText="1"/>
    </xf>
    <xf numFmtId="1" fontId="0" fillId="37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94" fontId="0" fillId="0" borderId="0" xfId="0" applyNumberFormat="1"/>
    <xf numFmtId="196" fontId="0" fillId="0" borderId="0" xfId="2" applyNumberFormat="1" applyFont="1"/>
    <xf numFmtId="0" fontId="0" fillId="0" borderId="0" xfId="0"/>
    <xf numFmtId="0" fontId="0" fillId="0" borderId="0" xfId="0" applyFill="1"/>
    <xf numFmtId="168" fontId="0" fillId="0" borderId="0" xfId="1" applyNumberFormat="1" applyFont="1"/>
    <xf numFmtId="168" fontId="0" fillId="0" borderId="0" xfId="1" applyNumberFormat="1" applyFont="1"/>
    <xf numFmtId="0" fontId="0" fillId="0" borderId="0" xfId="0"/>
    <xf numFmtId="195" fontId="0" fillId="0" borderId="0" xfId="2" quotePrefix="1" applyNumberFormat="1" applyFont="1"/>
    <xf numFmtId="194" fontId="0" fillId="0" borderId="0" xfId="2" quotePrefix="1" applyNumberFormat="1" applyFont="1"/>
    <xf numFmtId="196" fontId="0" fillId="0" borderId="0" xfId="2" quotePrefix="1" applyNumberFormat="1" applyFont="1"/>
    <xf numFmtId="195" fontId="0" fillId="0" borderId="0" xfId="0" applyNumberFormat="1"/>
    <xf numFmtId="0" fontId="0" fillId="36" borderId="0" xfId="0" quotePrefix="1" applyFill="1"/>
    <xf numFmtId="0" fontId="0" fillId="37" borderId="0" xfId="0" quotePrefix="1" applyFill="1"/>
    <xf numFmtId="0" fontId="124" fillId="0" borderId="0" xfId="0" applyFont="1"/>
    <xf numFmtId="0" fontId="3" fillId="36" borderId="0" xfId="0" applyFont="1" applyFill="1" applyAlignment="1">
      <alignment horizontal="center"/>
    </xf>
    <xf numFmtId="0" fontId="3" fillId="36" borderId="0" xfId="0" applyFont="1" applyFill="1" applyBorder="1" applyAlignment="1">
      <alignment horizontal="center"/>
    </xf>
    <xf numFmtId="37" fontId="0" fillId="0" borderId="0" xfId="1" applyNumberFormat="1" applyFont="1" applyFill="1" applyBorder="1"/>
    <xf numFmtId="37" fontId="0" fillId="0" borderId="0" xfId="2" applyNumberFormat="1" applyFont="1" applyFill="1" applyBorder="1"/>
    <xf numFmtId="37" fontId="0" fillId="0" borderId="0" xfId="1" quotePrefix="1" applyNumberFormat="1" applyFont="1" applyFill="1" applyBorder="1"/>
    <xf numFmtId="0" fontId="3" fillId="37" borderId="0" xfId="0" applyFont="1" applyFill="1" applyBorder="1" applyAlignment="1">
      <alignment horizontal="center"/>
    </xf>
    <xf numFmtId="0" fontId="3" fillId="37" borderId="0" xfId="0" applyFont="1" applyFill="1" applyAlignment="1">
      <alignment horizontal="center"/>
    </xf>
    <xf numFmtId="37" fontId="0" fillId="0" borderId="0" xfId="0" applyNumberFormat="1"/>
    <xf numFmtId="10" fontId="0" fillId="0" borderId="0" xfId="3" applyNumberFormat="1" applyFont="1"/>
    <xf numFmtId="168" fontId="116" fillId="38" borderId="0" xfId="1011" applyNumberFormat="1" applyFont="1" applyFill="1"/>
    <xf numFmtId="44" fontId="0" fillId="38" borderId="0" xfId="2" applyNumberFormat="1" applyFont="1" applyFill="1"/>
    <xf numFmtId="44" fontId="0" fillId="38" borderId="1" xfId="2" applyNumberFormat="1" applyFont="1" applyFill="1" applyBorder="1"/>
    <xf numFmtId="44" fontId="116" fillId="38" borderId="0" xfId="1011" applyNumberFormat="1" applyFont="1" applyFill="1" applyBorder="1"/>
    <xf numFmtId="0" fontId="0" fillId="38" borderId="0" xfId="0" applyFill="1"/>
    <xf numFmtId="0" fontId="3" fillId="0" borderId="0" xfId="0" applyFont="1" applyFill="1" applyAlignment="1">
      <alignment horizontal="center"/>
    </xf>
    <xf numFmtId="0" fontId="34" fillId="0" borderId="1" xfId="0" applyFont="1" applyBorder="1" applyAlignment="1">
      <alignment horizontal="center"/>
    </xf>
    <xf numFmtId="1" fontId="41" fillId="0" borderId="11" xfId="0" applyNumberFormat="1" applyFont="1" applyFill="1" applyBorder="1" applyAlignment="1">
      <alignment horizontal="center"/>
    </xf>
    <xf numFmtId="1" fontId="41" fillId="0" borderId="11" xfId="0" applyNumberFormat="1" applyFont="1" applyFill="1" applyBorder="1" applyAlignment="1">
      <alignment horizontal="left"/>
    </xf>
    <xf numFmtId="0" fontId="125" fillId="2" borderId="1" xfId="0" applyFont="1" applyFill="1" applyBorder="1" applyAlignment="1"/>
    <xf numFmtId="0" fontId="125" fillId="2" borderId="1" xfId="0" applyFont="1" applyFill="1" applyBorder="1" applyAlignment="1">
      <alignment horizontal="center"/>
    </xf>
    <xf numFmtId="0" fontId="125" fillId="0" borderId="1" xfId="1045" applyFont="1" applyFill="1" applyBorder="1" applyAlignment="1">
      <alignment horizontal="center" wrapText="1"/>
    </xf>
    <xf numFmtId="173" fontId="41" fillId="0" borderId="11" xfId="2" applyNumberFormat="1" applyFont="1" applyFill="1" applyBorder="1"/>
    <xf numFmtId="44" fontId="0" fillId="0" borderId="0" xfId="2" applyFont="1"/>
    <xf numFmtId="0" fontId="0" fillId="0" borderId="0" xfId="0"/>
    <xf numFmtId="0" fontId="0" fillId="0" borderId="0" xfId="0" applyFill="1"/>
    <xf numFmtId="0" fontId="0" fillId="0" borderId="0" xfId="0"/>
    <xf numFmtId="170" fontId="0" fillId="0" borderId="0" xfId="1" applyNumberFormat="1" applyFont="1"/>
    <xf numFmtId="0" fontId="0" fillId="0" borderId="0" xfId="0"/>
    <xf numFmtId="170" fontId="0" fillId="0" borderId="0" xfId="1" applyNumberFormat="1" applyFont="1"/>
    <xf numFmtId="168" fontId="0" fillId="0" borderId="0" xfId="1" applyNumberFormat="1" applyFont="1"/>
    <xf numFmtId="168" fontId="0" fillId="0" borderId="0" xfId="1" applyNumberFormat="1" applyFont="1"/>
    <xf numFmtId="44" fontId="0" fillId="0" borderId="0" xfId="0" applyNumberFormat="1"/>
    <xf numFmtId="2" fontId="0" fillId="0" borderId="0" xfId="0" applyNumberFormat="1" applyFill="1"/>
    <xf numFmtId="197" fontId="0" fillId="4" borderId="11" xfId="0" applyNumberFormat="1" applyFill="1" applyBorder="1"/>
    <xf numFmtId="0" fontId="3" fillId="0" borderId="0" xfId="0" applyFont="1" applyAlignment="1">
      <alignment horizontal="left" vertical="top"/>
    </xf>
  </cellXfs>
  <cellStyles count="1046">
    <cellStyle name="_%(SignOnly)" xfId="13"/>
    <cellStyle name="_%(SignOnly) 2" xfId="14"/>
    <cellStyle name="_%(SignOnly) 2 2" xfId="690"/>
    <cellStyle name="_%(SignOnly) 3" xfId="691"/>
    <cellStyle name="_%(SignSpaceOnly)" xfId="15"/>
    <cellStyle name="_%(SignSpaceOnly) 2" xfId="16"/>
    <cellStyle name="_%(SignSpaceOnly) 2 2" xfId="692"/>
    <cellStyle name="_%(SignSpaceOnly) 3" xfId="693"/>
    <cellStyle name="_Comma" xfId="17"/>
    <cellStyle name="_Comma 2" xfId="18"/>
    <cellStyle name="_Comma 2 2" xfId="694"/>
    <cellStyle name="_Comma 3" xfId="695"/>
    <cellStyle name="_Currency" xfId="19"/>
    <cellStyle name="_Currency 2" xfId="20"/>
    <cellStyle name="_Currency 2 2" xfId="696"/>
    <cellStyle name="_Currency 3" xfId="697"/>
    <cellStyle name="_CurrencySpace" xfId="21"/>
    <cellStyle name="_CurrencySpace 2" xfId="22"/>
    <cellStyle name="_CurrencySpace 2 2" xfId="698"/>
    <cellStyle name="_CurrencySpace 3" xfId="699"/>
    <cellStyle name="_Euro" xfId="23"/>
    <cellStyle name="_Euro 2" xfId="24"/>
    <cellStyle name="_Euro 2 2" xfId="700"/>
    <cellStyle name="_Euro 3" xfId="701"/>
    <cellStyle name="_Heading" xfId="25"/>
    <cellStyle name="_Highlight" xfId="26"/>
    <cellStyle name="_Highlight 2" xfId="27"/>
    <cellStyle name="_Highlight 2 2" xfId="702"/>
    <cellStyle name="_Highlight 3" xfId="703"/>
    <cellStyle name="_Multiple" xfId="28"/>
    <cellStyle name="_Multiple 2" xfId="29"/>
    <cellStyle name="_Multiple 2 2" xfId="704"/>
    <cellStyle name="_Multiple 3" xfId="705"/>
    <cellStyle name="_MultipleSpace" xfId="30"/>
    <cellStyle name="_MultipleSpace 2" xfId="31"/>
    <cellStyle name="_MultipleSpace 2 2" xfId="706"/>
    <cellStyle name="_MultipleSpace 3" xfId="707"/>
    <cellStyle name="_SubHeading" xfId="32"/>
    <cellStyle name="_Table" xfId="33"/>
    <cellStyle name="_TableHead" xfId="34"/>
    <cellStyle name="_TableRowHead" xfId="35"/>
    <cellStyle name="_TableSuperHead" xfId="36"/>
    <cellStyle name="20% - Accent1 2" xfId="38"/>
    <cellStyle name="20% - Accent1 2 2" xfId="340"/>
    <cellStyle name="20% - Accent1 2 2 2" xfId="412"/>
    <cellStyle name="20% - Accent1 3" xfId="39"/>
    <cellStyle name="20% - Accent1 4" xfId="40"/>
    <cellStyle name="20% - Accent1 5" xfId="37"/>
    <cellStyle name="20% - Accent1 6" xfId="455"/>
    <cellStyle name="20% - Accent2 2" xfId="42"/>
    <cellStyle name="20% - Accent2 2 2" xfId="341"/>
    <cellStyle name="20% - Accent2 2 2 2" xfId="413"/>
    <cellStyle name="20% - Accent2 3" xfId="43"/>
    <cellStyle name="20% - Accent2 4" xfId="44"/>
    <cellStyle name="20% - Accent2 5" xfId="41"/>
    <cellStyle name="20% - Accent2 6" xfId="456"/>
    <cellStyle name="20% - Accent3 2" xfId="46"/>
    <cellStyle name="20% - Accent3 2 2" xfId="342"/>
    <cellStyle name="20% - Accent3 2 2 2" xfId="414"/>
    <cellStyle name="20% - Accent3 3" xfId="47"/>
    <cellStyle name="20% - Accent3 4" xfId="48"/>
    <cellStyle name="20% - Accent3 5" xfId="45"/>
    <cellStyle name="20% - Accent3 6" xfId="457"/>
    <cellStyle name="20% - Accent4 2" xfId="50"/>
    <cellStyle name="20% - Accent4 2 2" xfId="343"/>
    <cellStyle name="20% - Accent4 2 2 2" xfId="415"/>
    <cellStyle name="20% - Accent4 3" xfId="51"/>
    <cellStyle name="20% - Accent4 4" xfId="52"/>
    <cellStyle name="20% - Accent4 5" xfId="49"/>
    <cellStyle name="20% - Accent4 6" xfId="458"/>
    <cellStyle name="20% - Accent5 2" xfId="54"/>
    <cellStyle name="20% - Accent5 2 2" xfId="344"/>
    <cellStyle name="20% - Accent5 2 2 2" xfId="416"/>
    <cellStyle name="20% - Accent5 3" xfId="55"/>
    <cellStyle name="20% - Accent5 4" xfId="56"/>
    <cellStyle name="20% - Accent5 5" xfId="53"/>
    <cellStyle name="20% - Accent5 6" xfId="459"/>
    <cellStyle name="20% - Accent6 2" xfId="58"/>
    <cellStyle name="20% - Accent6 2 2" xfId="345"/>
    <cellStyle name="20% - Accent6 2 2 2" xfId="417"/>
    <cellStyle name="20% - Accent6 3" xfId="59"/>
    <cellStyle name="20% - Accent6 4" xfId="60"/>
    <cellStyle name="20% - Accent6 5" xfId="57"/>
    <cellStyle name="20% - Accent6 6" xfId="460"/>
    <cellStyle name="40% - Accent1 2" xfId="62"/>
    <cellStyle name="40% - Accent1 2 2" xfId="346"/>
    <cellStyle name="40% - Accent1 2 2 2" xfId="418"/>
    <cellStyle name="40% - Accent1 3" xfId="63"/>
    <cellStyle name="40% - Accent1 4" xfId="64"/>
    <cellStyle name="40% - Accent1 5" xfId="61"/>
    <cellStyle name="40% - Accent1 6" xfId="461"/>
    <cellStyle name="40% - Accent2 2" xfId="66"/>
    <cellStyle name="40% - Accent2 2 2" xfId="347"/>
    <cellStyle name="40% - Accent2 2 2 2" xfId="419"/>
    <cellStyle name="40% - Accent2 3" xfId="67"/>
    <cellStyle name="40% - Accent2 4" xfId="68"/>
    <cellStyle name="40% - Accent2 5" xfId="65"/>
    <cellStyle name="40% - Accent2 6" xfId="462"/>
    <cellStyle name="40% - Accent3 2" xfId="70"/>
    <cellStyle name="40% - Accent3 2 2" xfId="348"/>
    <cellStyle name="40% - Accent3 2 2 2" xfId="420"/>
    <cellStyle name="40% - Accent3 3" xfId="71"/>
    <cellStyle name="40% - Accent3 4" xfId="72"/>
    <cellStyle name="40% - Accent3 5" xfId="69"/>
    <cellStyle name="40% - Accent3 6" xfId="463"/>
    <cellStyle name="40% - Accent4 2" xfId="74"/>
    <cellStyle name="40% - Accent4 2 2" xfId="349"/>
    <cellStyle name="40% - Accent4 2 2 2" xfId="421"/>
    <cellStyle name="40% - Accent4 3" xfId="75"/>
    <cellStyle name="40% - Accent4 4" xfId="76"/>
    <cellStyle name="40% - Accent4 5" xfId="73"/>
    <cellStyle name="40% - Accent4 6" xfId="464"/>
    <cellStyle name="40% - Accent5 2" xfId="78"/>
    <cellStyle name="40% - Accent5 2 2" xfId="350"/>
    <cellStyle name="40% - Accent5 2 2 2" xfId="422"/>
    <cellStyle name="40% - Accent5 3" xfId="79"/>
    <cellStyle name="40% - Accent5 4" xfId="80"/>
    <cellStyle name="40% - Accent5 5" xfId="77"/>
    <cellStyle name="40% - Accent5 6" xfId="465"/>
    <cellStyle name="40% - Accent6 2" xfId="82"/>
    <cellStyle name="40% - Accent6 2 2" xfId="351"/>
    <cellStyle name="40% - Accent6 2 2 2" xfId="423"/>
    <cellStyle name="40% - Accent6 3" xfId="83"/>
    <cellStyle name="40% - Accent6 4" xfId="84"/>
    <cellStyle name="40% - Accent6 5" xfId="81"/>
    <cellStyle name="40% - Accent6 6" xfId="466"/>
    <cellStyle name="60% - Accent1 2" xfId="86"/>
    <cellStyle name="60% - Accent1 2 2" xfId="352"/>
    <cellStyle name="60% - Accent1 2 2 2" xfId="424"/>
    <cellStyle name="60% - Accent1 3" xfId="87"/>
    <cellStyle name="60% - Accent1 4" xfId="88"/>
    <cellStyle name="60% - Accent1 5" xfId="85"/>
    <cellStyle name="60% - Accent1 6" xfId="467"/>
    <cellStyle name="60% - Accent2 2" xfId="90"/>
    <cellStyle name="60% - Accent2 2 2" xfId="353"/>
    <cellStyle name="60% - Accent2 2 2 2" xfId="425"/>
    <cellStyle name="60% - Accent2 3" xfId="91"/>
    <cellStyle name="60% - Accent2 4" xfId="92"/>
    <cellStyle name="60% - Accent2 5" xfId="89"/>
    <cellStyle name="60% - Accent2 6" xfId="468"/>
    <cellStyle name="60% - Accent3 2" xfId="94"/>
    <cellStyle name="60% - Accent3 2 2" xfId="354"/>
    <cellStyle name="60% - Accent3 2 2 2" xfId="426"/>
    <cellStyle name="60% - Accent3 3" xfId="95"/>
    <cellStyle name="60% - Accent3 4" xfId="96"/>
    <cellStyle name="60% - Accent3 5" xfId="93"/>
    <cellStyle name="60% - Accent3 6" xfId="469"/>
    <cellStyle name="60% - Accent4 2" xfId="98"/>
    <cellStyle name="60% - Accent4 2 2" xfId="355"/>
    <cellStyle name="60% - Accent4 2 2 2" xfId="427"/>
    <cellStyle name="60% - Accent4 3" xfId="99"/>
    <cellStyle name="60% - Accent4 4" xfId="100"/>
    <cellStyle name="60% - Accent4 5" xfId="97"/>
    <cellStyle name="60% - Accent4 6" xfId="470"/>
    <cellStyle name="60% - Accent5 2" xfId="102"/>
    <cellStyle name="60% - Accent5 2 2" xfId="356"/>
    <cellStyle name="60% - Accent5 2 2 2" xfId="428"/>
    <cellStyle name="60% - Accent5 3" xfId="103"/>
    <cellStyle name="60% - Accent5 4" xfId="104"/>
    <cellStyle name="60% - Accent5 5" xfId="101"/>
    <cellStyle name="60% - Accent5 6" xfId="471"/>
    <cellStyle name="60% - Accent6 2" xfId="106"/>
    <cellStyle name="60% - Accent6 2 2" xfId="357"/>
    <cellStyle name="60% - Accent6 2 2 2" xfId="429"/>
    <cellStyle name="60% - Accent6 3" xfId="107"/>
    <cellStyle name="60% - Accent6 4" xfId="108"/>
    <cellStyle name="60% - Accent6 5" xfId="105"/>
    <cellStyle name="60% - Accent6 6" xfId="472"/>
    <cellStyle name="Accent1 2" xfId="110"/>
    <cellStyle name="Accent1 2 2" xfId="358"/>
    <cellStyle name="Accent1 2 2 2" xfId="430"/>
    <cellStyle name="Accent1 3" xfId="111"/>
    <cellStyle name="Accent1 4" xfId="112"/>
    <cellStyle name="Accent1 5" xfId="109"/>
    <cellStyle name="Accent1 6" xfId="473"/>
    <cellStyle name="Accent2 2" xfId="114"/>
    <cellStyle name="Accent2 2 2" xfId="359"/>
    <cellStyle name="Accent2 2 2 2" xfId="431"/>
    <cellStyle name="Accent2 3" xfId="115"/>
    <cellStyle name="Accent2 4" xfId="116"/>
    <cellStyle name="Accent2 5" xfId="113"/>
    <cellStyle name="Accent2 6" xfId="474"/>
    <cellStyle name="Accent3 2" xfId="118"/>
    <cellStyle name="Accent3 2 2" xfId="360"/>
    <cellStyle name="Accent3 2 2 2" xfId="432"/>
    <cellStyle name="Accent3 3" xfId="119"/>
    <cellStyle name="Accent3 4" xfId="120"/>
    <cellStyle name="Accent3 5" xfId="117"/>
    <cellStyle name="Accent3 6" xfId="475"/>
    <cellStyle name="Accent4 2" xfId="122"/>
    <cellStyle name="Accent4 2 2" xfId="361"/>
    <cellStyle name="Accent4 2 2 2" xfId="433"/>
    <cellStyle name="Accent4 3" xfId="123"/>
    <cellStyle name="Accent4 4" xfId="124"/>
    <cellStyle name="Accent4 5" xfId="121"/>
    <cellStyle name="Accent4 6" xfId="476"/>
    <cellStyle name="Accent5 2" xfId="126"/>
    <cellStyle name="Accent5 2 2" xfId="362"/>
    <cellStyle name="Accent5 2 2 2" xfId="434"/>
    <cellStyle name="Accent5 3" xfId="127"/>
    <cellStyle name="Accent5 4" xfId="128"/>
    <cellStyle name="Accent5 5" xfId="125"/>
    <cellStyle name="Accent5 6" xfId="477"/>
    <cellStyle name="Accent6 2" xfId="130"/>
    <cellStyle name="Accent6 2 2" xfId="363"/>
    <cellStyle name="Accent6 2 2 2" xfId="435"/>
    <cellStyle name="Accent6 3" xfId="131"/>
    <cellStyle name="Accent6 4" xfId="132"/>
    <cellStyle name="Accent6 5" xfId="129"/>
    <cellStyle name="Accent6 6" xfId="478"/>
    <cellStyle name="Actual Date" xfId="364"/>
    <cellStyle name="Actual Date 2" xfId="479"/>
    <cellStyle name="Adjustable" xfId="133"/>
    <cellStyle name="Adjustable 2" xfId="480"/>
    <cellStyle name="Bad 2" xfId="135"/>
    <cellStyle name="Bad 2 2" xfId="365"/>
    <cellStyle name="Bad 2 2 2" xfId="436"/>
    <cellStyle name="Bad 3" xfId="136"/>
    <cellStyle name="Bad 4" xfId="137"/>
    <cellStyle name="Bad 5" xfId="134"/>
    <cellStyle name="Bad 6" xfId="481"/>
    <cellStyle name="Calculation 2" xfId="139"/>
    <cellStyle name="Calculation 2 2" xfId="366"/>
    <cellStyle name="Calculation 2 2 2" xfId="437"/>
    <cellStyle name="Calculation 3" xfId="140"/>
    <cellStyle name="Calculation 3 2" xfId="482"/>
    <cellStyle name="Calculation 4" xfId="141"/>
    <cellStyle name="Calculation 4 2" xfId="483"/>
    <cellStyle name="Calculation 5" xfId="138"/>
    <cellStyle name="Calculation 5 2" xfId="484"/>
    <cellStyle name="Calculation 6" xfId="485"/>
    <cellStyle name="Check Cell 2" xfId="143"/>
    <cellStyle name="Check Cell 2 2" xfId="367"/>
    <cellStyle name="Check Cell 2 2 2" xfId="438"/>
    <cellStyle name="Check Cell 3" xfId="144"/>
    <cellStyle name="Check Cell 4" xfId="145"/>
    <cellStyle name="Check Cell 5" xfId="142"/>
    <cellStyle name="Check Cell 6" xfId="486"/>
    <cellStyle name="Comma" xfId="1" builtinId="3"/>
    <cellStyle name="Comma 0" xfId="147"/>
    <cellStyle name="Comma 10" xfId="148"/>
    <cellStyle name="Comma 11" xfId="149"/>
    <cellStyle name="Comma 12" xfId="146"/>
    <cellStyle name="Comma 12 2" xfId="487"/>
    <cellStyle name="Comma 12 3" xfId="678"/>
    <cellStyle name="Comma 13" xfId="488"/>
    <cellStyle name="Comma 13 2" xfId="489"/>
    <cellStyle name="Comma 13 3" xfId="490"/>
    <cellStyle name="Comma 13 3 2" xfId="837"/>
    <cellStyle name="Comma 13 3 2 2" xfId="898"/>
    <cellStyle name="Comma 13 3 3" xfId="920"/>
    <cellStyle name="Comma 13 3 4" xfId="883"/>
    <cellStyle name="Comma 13 3 5" xfId="979"/>
    <cellStyle name="Comma 13 3 6" xfId="822"/>
    <cellStyle name="Comma 14" xfId="491"/>
    <cellStyle name="Comma 14 2" xfId="492"/>
    <cellStyle name="Comma 14 2 2" xfId="493"/>
    <cellStyle name="Comma 14 3" xfId="494"/>
    <cellStyle name="Comma 15" xfId="495"/>
    <cellStyle name="Comma 15 2" xfId="496"/>
    <cellStyle name="Comma 15 2 2" xfId="497"/>
    <cellStyle name="Comma 15 2 2 2" xfId="840"/>
    <cellStyle name="Comma 15 2 2 2 2" xfId="901"/>
    <cellStyle name="Comma 15 2 2 3" xfId="923"/>
    <cellStyle name="Comma 15 2 2 4" xfId="886"/>
    <cellStyle name="Comma 15 2 2 5" xfId="982"/>
    <cellStyle name="Comma 15 2 2 6" xfId="825"/>
    <cellStyle name="Comma 15 2 3" xfId="839"/>
    <cellStyle name="Comma 15 2 3 2" xfId="900"/>
    <cellStyle name="Comma 15 2 4" xfId="922"/>
    <cellStyle name="Comma 15 2 5" xfId="885"/>
    <cellStyle name="Comma 15 2 6" xfId="981"/>
    <cellStyle name="Comma 15 2 7" xfId="824"/>
    <cellStyle name="Comma 15 3" xfId="498"/>
    <cellStyle name="Comma 15 3 2" xfId="841"/>
    <cellStyle name="Comma 15 3 2 2" xfId="902"/>
    <cellStyle name="Comma 15 3 3" xfId="924"/>
    <cellStyle name="Comma 15 3 4" xfId="887"/>
    <cellStyle name="Comma 15 3 5" xfId="983"/>
    <cellStyle name="Comma 15 3 6" xfId="826"/>
    <cellStyle name="Comma 15 4" xfId="838"/>
    <cellStyle name="Comma 15 4 2" xfId="899"/>
    <cellStyle name="Comma 15 5" xfId="921"/>
    <cellStyle name="Comma 15 6" xfId="884"/>
    <cellStyle name="Comma 15 7" xfId="980"/>
    <cellStyle name="Comma 15 8" xfId="823"/>
    <cellStyle name="Comma 16" xfId="499"/>
    <cellStyle name="Comma 17" xfId="500"/>
    <cellStyle name="Comma 18" xfId="676"/>
    <cellStyle name="Comma 18 2" xfId="973"/>
    <cellStyle name="Comma 18 3" xfId="919"/>
    <cellStyle name="Comma 2" xfId="150"/>
    <cellStyle name="Comma 2 2" xfId="151"/>
    <cellStyle name="Comma 2 2 2" xfId="368"/>
    <cellStyle name="Comma 2 2 2 2" xfId="501"/>
    <cellStyle name="Comma 2 2 2 3" xfId="925"/>
    <cellStyle name="Comma 2 2 3" xfId="502"/>
    <cellStyle name="Comma 2 2 4" xfId="708"/>
    <cellStyle name="Comma 2 2 4 2" xfId="842"/>
    <cellStyle name="Comma 2 2_Augmentation" xfId="503"/>
    <cellStyle name="Comma 2 3" xfId="152"/>
    <cellStyle name="Comma 2 3 2" xfId="504"/>
    <cellStyle name="Comma 2 3 3" xfId="843"/>
    <cellStyle name="Comma 2 3 3 2" xfId="903"/>
    <cellStyle name="Comma 2 3 4" xfId="878"/>
    <cellStyle name="Comma 2 3 5" xfId="799"/>
    <cellStyle name="Comma 2 4" xfId="331"/>
    <cellStyle name="Comma 2 4 2" xfId="505"/>
    <cellStyle name="Comma 2 4 3" xfId="683"/>
    <cellStyle name="Comma 2 5" xfId="506"/>
    <cellStyle name="Comma 3" xfId="153"/>
    <cellStyle name="Comma 3 2" xfId="439"/>
    <cellStyle name="Comma 4" xfId="154"/>
    <cellStyle name="Comma 4 2" xfId="507"/>
    <cellStyle name="Comma 5" xfId="155"/>
    <cellStyle name="Comma 5 2" xfId="156"/>
    <cellStyle name="Comma 5 2 2" xfId="508"/>
    <cellStyle name="Comma 5 3" xfId="157"/>
    <cellStyle name="Comma 6" xfId="158"/>
    <cellStyle name="Comma 6 2" xfId="159"/>
    <cellStyle name="Comma 6 2 2" xfId="509"/>
    <cellStyle name="Comma 6 3" xfId="510"/>
    <cellStyle name="Comma 7" xfId="160"/>
    <cellStyle name="Comma 7 2" xfId="161"/>
    <cellStyle name="Comma 7 2 2" xfId="511"/>
    <cellStyle name="Comma 7 3" xfId="512"/>
    <cellStyle name="Comma 8" xfId="162"/>
    <cellStyle name="Comma 8 2" xfId="163"/>
    <cellStyle name="Comma 9" xfId="164"/>
    <cellStyle name="Comma 9 2" xfId="513"/>
    <cellStyle name="Comma0 - Style1" xfId="369"/>
    <cellStyle name="Currency" xfId="2" builtinId="4"/>
    <cellStyle name="Currency 0" xfId="166"/>
    <cellStyle name="Currency 10" xfId="514"/>
    <cellStyle name="Currency 10 2" xfId="926"/>
    <cellStyle name="Currency 10 3" xfId="803"/>
    <cellStyle name="Currency 11" xfId="515"/>
    <cellStyle name="Currency 12" xfId="668"/>
    <cellStyle name="Currency 2" xfId="167"/>
    <cellStyle name="Currency 2 2" xfId="370"/>
    <cellStyle name="Currency 2 2 2" xfId="440"/>
    <cellStyle name="Currency 2 2 3" xfId="927"/>
    <cellStyle name="Currency 2 3" xfId="516"/>
    <cellStyle name="Currency 2 4" xfId="709"/>
    <cellStyle name="Currency 2 4 2" xfId="844"/>
    <cellStyle name="Currency 2_Augmentation" xfId="517"/>
    <cellStyle name="Currency 3" xfId="168"/>
    <cellStyle name="Currency 3 2" xfId="518"/>
    <cellStyle name="Currency 4" xfId="169"/>
    <cellStyle name="Currency 5" xfId="170"/>
    <cellStyle name="Currency 6" xfId="165"/>
    <cellStyle name="Currency 6 2" xfId="519"/>
    <cellStyle name="Currency 6 3" xfId="679"/>
    <cellStyle name="Currency 7" xfId="520"/>
    <cellStyle name="Currency 7 2" xfId="521"/>
    <cellStyle name="Currency 7 3" xfId="522"/>
    <cellStyle name="Currency 7 3 2" xfId="845"/>
    <cellStyle name="Currency 7 3 2 2" xfId="904"/>
    <cellStyle name="Currency 7 3 3" xfId="928"/>
    <cellStyle name="Currency 7 3 4" xfId="888"/>
    <cellStyle name="Currency 7 3 5" xfId="984"/>
    <cellStyle name="Currency 7 3 6" xfId="827"/>
    <cellStyle name="Currency 8" xfId="523"/>
    <cellStyle name="Currency 8 2" xfId="524"/>
    <cellStyle name="Currency 8 3" xfId="525"/>
    <cellStyle name="Currency 9" xfId="526"/>
    <cellStyle name="Currency 9 2" xfId="527"/>
    <cellStyle name="Currency 9 2 2" xfId="528"/>
    <cellStyle name="Currency 9 2 2 2" xfId="847"/>
    <cellStyle name="Currency 9 2 2 2 2" xfId="906"/>
    <cellStyle name="Currency 9 2 2 3" xfId="931"/>
    <cellStyle name="Currency 9 2 2 4" xfId="890"/>
    <cellStyle name="Currency 9 2 2 5" xfId="987"/>
    <cellStyle name="Currency 9 2 2 6" xfId="829"/>
    <cellStyle name="Currency 9 2 3" xfId="846"/>
    <cellStyle name="Currency 9 2 3 2" xfId="905"/>
    <cellStyle name="Currency 9 2 4" xfId="930"/>
    <cellStyle name="Currency 9 2 5" xfId="889"/>
    <cellStyle name="Currency 9 2 6" xfId="986"/>
    <cellStyle name="Currency 9 2 7" xfId="828"/>
    <cellStyle name="Currency 9 3" xfId="529"/>
    <cellStyle name="Currency 9 3 2" xfId="848"/>
    <cellStyle name="Currency 9 3 2 2" xfId="907"/>
    <cellStyle name="Currency 9 3 3" xfId="932"/>
    <cellStyle name="Currency 9 3 4" xfId="891"/>
    <cellStyle name="Currency 9 3 5" xfId="988"/>
    <cellStyle name="Currency 9 3 6" xfId="830"/>
    <cellStyle name="Currency 9 4" xfId="929"/>
    <cellStyle name="Currency 9 5" xfId="985"/>
    <cellStyle name="Currency 9 6" xfId="810"/>
    <cellStyle name="Date" xfId="171"/>
    <cellStyle name="Date 2" xfId="172"/>
    <cellStyle name="Date 2 2" xfId="710"/>
    <cellStyle name="Date 3" xfId="371"/>
    <cellStyle name="Date 3 2" xfId="933"/>
    <cellStyle name="Date 3 3" xfId="805"/>
    <cellStyle name="Date 4" xfId="711"/>
    <cellStyle name="Date Aligned" xfId="173"/>
    <cellStyle name="Date_Augmentation" xfId="530"/>
    <cellStyle name="Dotted Line" xfId="174"/>
    <cellStyle name="Euro" xfId="372"/>
    <cellStyle name="Euro 2" xfId="712"/>
    <cellStyle name="Euro 2 2" xfId="849"/>
    <cellStyle name="Explanatory Text 2" xfId="176"/>
    <cellStyle name="Explanatory Text 2 2" xfId="373"/>
    <cellStyle name="Explanatory Text 2 2 2" xfId="441"/>
    <cellStyle name="Explanatory Text 3" xfId="177"/>
    <cellStyle name="Explanatory Text 4" xfId="178"/>
    <cellStyle name="Explanatory Text 5" xfId="175"/>
    <cellStyle name="Explanatory Text 6" xfId="531"/>
    <cellStyle name="F2" xfId="532"/>
    <cellStyle name="F2 2" xfId="533"/>
    <cellStyle name="F2 2 2" xfId="534"/>
    <cellStyle name="F3" xfId="535"/>
    <cellStyle name="F3 2" xfId="536"/>
    <cellStyle name="F3 3" xfId="537"/>
    <cellStyle name="F3 3 2" xfId="538"/>
    <cellStyle name="F4" xfId="539"/>
    <cellStyle name="F4 2" xfId="540"/>
    <cellStyle name="F4 2 2" xfId="541"/>
    <cellStyle name="F5" xfId="542"/>
    <cellStyle name="F5 2" xfId="543"/>
    <cellStyle name="F5 3" xfId="544"/>
    <cellStyle name="F5 3 2" xfId="545"/>
    <cellStyle name="F6" xfId="546"/>
    <cellStyle name="F6 2" xfId="547"/>
    <cellStyle name="F6 2 2" xfId="548"/>
    <cellStyle name="F7" xfId="549"/>
    <cellStyle name="F7 2" xfId="550"/>
    <cellStyle name="F7 3" xfId="551"/>
    <cellStyle name="F7 3 2" xfId="552"/>
    <cellStyle name="F8" xfId="553"/>
    <cellStyle name="F8 2" xfId="554"/>
    <cellStyle name="F8 2 2" xfId="555"/>
    <cellStyle name="Fixed" xfId="374"/>
    <cellStyle name="Fixed 2" xfId="375"/>
    <cellStyle name="Fixed 2 2" xfId="556"/>
    <cellStyle name="Fixed 3" xfId="713"/>
    <cellStyle name="Fixed 3 2" xfId="850"/>
    <cellStyle name="Fixed1 - Style1" xfId="376"/>
    <cellStyle name="Footnote" xfId="179"/>
    <cellStyle name="Good 2" xfId="181"/>
    <cellStyle name="Good 2 2" xfId="377"/>
    <cellStyle name="Good 2 2 2" xfId="442"/>
    <cellStyle name="Good 3" xfId="182"/>
    <cellStyle name="Good 4" xfId="183"/>
    <cellStyle name="Good 5" xfId="180"/>
    <cellStyle name="Good 6" xfId="557"/>
    <cellStyle name="Grey" xfId="378"/>
    <cellStyle name="Grey 2" xfId="558"/>
    <cellStyle name="Hard Percent" xfId="184"/>
    <cellStyle name="Header" xfId="185"/>
    <cellStyle name="HEADER 2" xfId="379"/>
    <cellStyle name="Header 2 2" xfId="559"/>
    <cellStyle name="Heading 1 2" xfId="187"/>
    <cellStyle name="Heading 1 3" xfId="188"/>
    <cellStyle name="Heading 1 4" xfId="189"/>
    <cellStyle name="Heading 1 5" xfId="186"/>
    <cellStyle name="Heading 1 6" xfId="560"/>
    <cellStyle name="Heading 2 2" xfId="191"/>
    <cellStyle name="Heading 2 3" xfId="192"/>
    <cellStyle name="Heading 2 4" xfId="193"/>
    <cellStyle name="Heading 2 5" xfId="190"/>
    <cellStyle name="Heading 2 6" xfId="561"/>
    <cellStyle name="Heading 3 2" xfId="195"/>
    <cellStyle name="Heading 3 3" xfId="196"/>
    <cellStyle name="Heading 3 4" xfId="197"/>
    <cellStyle name="Heading 3 5" xfId="194"/>
    <cellStyle name="Heading 3 6" xfId="562"/>
    <cellStyle name="Heading 4 2" xfId="199"/>
    <cellStyle name="Heading 4 3" xfId="200"/>
    <cellStyle name="Heading 4 4" xfId="201"/>
    <cellStyle name="Heading 4 5" xfId="198"/>
    <cellStyle name="Heading 4 6" xfId="563"/>
    <cellStyle name="Heading1" xfId="380"/>
    <cellStyle name="Heading1 2" xfId="381"/>
    <cellStyle name="Heading1 2 2" xfId="564"/>
    <cellStyle name="Heading1 3" xfId="714"/>
    <cellStyle name="Heading1 3 2" xfId="851"/>
    <cellStyle name="Heading2" xfId="382"/>
    <cellStyle name="Heading2 2" xfId="383"/>
    <cellStyle name="Heading2 2 2" xfId="565"/>
    <cellStyle name="Heading2 3" xfId="715"/>
    <cellStyle name="Heading2 3 2" xfId="852"/>
    <cellStyle name="HIGHLIGHT" xfId="384"/>
    <cellStyle name="HIGHLIGHT 2" xfId="566"/>
    <cellStyle name="Hyperlink" xfId="4" builtinId="8"/>
    <cellStyle name="Hyperlink 2" xfId="202"/>
    <cellStyle name="Hyperlink 2 2" xfId="203"/>
    <cellStyle name="Hyperlink 2 2 2" xfId="716"/>
    <cellStyle name="Hyperlink 2 3" xfId="333"/>
    <cellStyle name="Hyperlink 2_Augmentation" xfId="567"/>
    <cellStyle name="Hyperlink 3" xfId="204"/>
    <cellStyle name="Hyperlink 3 2" xfId="443"/>
    <cellStyle name="Hyperlink 3 2 2" xfId="934"/>
    <cellStyle name="Hyperlink 3 2 3" xfId="806"/>
    <cellStyle name="Hyperlink 4" xfId="332"/>
    <cellStyle name="Hyperlink 4 2" xfId="444"/>
    <cellStyle name="Hyperlink 5" xfId="568"/>
    <cellStyle name="Input [yellow]" xfId="385"/>
    <cellStyle name="Input [yellow] 2" xfId="569"/>
    <cellStyle name="Input [yellow] 2 2" xfId="570"/>
    <cellStyle name="Input [yellow] 3" xfId="571"/>
    <cellStyle name="Input 10" xfId="717"/>
    <cellStyle name="Input 11" xfId="718"/>
    <cellStyle name="Input 12" xfId="719"/>
    <cellStyle name="Input 13" xfId="720"/>
    <cellStyle name="Input 14" xfId="721"/>
    <cellStyle name="Input 15" xfId="722"/>
    <cellStyle name="Input 16" xfId="723"/>
    <cellStyle name="Input 17" xfId="724"/>
    <cellStyle name="Input 18" xfId="725"/>
    <cellStyle name="Input 19" xfId="726"/>
    <cellStyle name="Input 2" xfId="206"/>
    <cellStyle name="Input 2 2" xfId="386"/>
    <cellStyle name="Input 2 2 2" xfId="445"/>
    <cellStyle name="Input 20" xfId="727"/>
    <cellStyle name="Input 21" xfId="728"/>
    <cellStyle name="Input 22" xfId="729"/>
    <cellStyle name="Input 23" xfId="730"/>
    <cellStyle name="Input 24" xfId="669"/>
    <cellStyle name="Input 25" xfId="672"/>
    <cellStyle name="Input 26" xfId="688"/>
    <cellStyle name="Input 27" xfId="781"/>
    <cellStyle name="Input 28" xfId="784"/>
    <cellStyle name="Input 29" xfId="797"/>
    <cellStyle name="Input 3" xfId="207"/>
    <cellStyle name="Input 3 2" xfId="572"/>
    <cellStyle name="Input 30" xfId="791"/>
    <cellStyle name="Input 31" xfId="779"/>
    <cellStyle name="Input 32" xfId="1007"/>
    <cellStyle name="Input 33" xfId="778"/>
    <cellStyle name="Input 34" xfId="785"/>
    <cellStyle name="Input 35" xfId="1017"/>
    <cellStyle name="Input 36" xfId="1012"/>
    <cellStyle name="Input 37" xfId="1040"/>
    <cellStyle name="Input 38" xfId="1028"/>
    <cellStyle name="Input 39" xfId="1036"/>
    <cellStyle name="Input 4" xfId="208"/>
    <cellStyle name="Input 4 2" xfId="573"/>
    <cellStyle name="Input 40" xfId="1015"/>
    <cellStyle name="Input 41" xfId="1027"/>
    <cellStyle name="Input 42" xfId="1013"/>
    <cellStyle name="Input 43" xfId="1014"/>
    <cellStyle name="Input 44" xfId="1016"/>
    <cellStyle name="Input 5" xfId="205"/>
    <cellStyle name="Input 5 2" xfId="574"/>
    <cellStyle name="Input 6" xfId="329"/>
    <cellStyle name="Input 6 2" xfId="575"/>
    <cellStyle name="Input 7" xfId="323"/>
    <cellStyle name="Input 7 2" xfId="576"/>
    <cellStyle name="Input 8" xfId="325"/>
    <cellStyle name="Input 9" xfId="328"/>
    <cellStyle name="Linked Cell 2" xfId="210"/>
    <cellStyle name="Linked Cell 2 2" xfId="387"/>
    <cellStyle name="Linked Cell 2 2 2" xfId="446"/>
    <cellStyle name="Linked Cell 3" xfId="211"/>
    <cellStyle name="Linked Cell 4" xfId="212"/>
    <cellStyle name="Linked Cell 5" xfId="209"/>
    <cellStyle name="Linked Cell 6" xfId="577"/>
    <cellStyle name="Multiple" xfId="213"/>
    <cellStyle name="Neutral 2" xfId="215"/>
    <cellStyle name="Neutral 2 2" xfId="388"/>
    <cellStyle name="Neutral 2 2 2" xfId="447"/>
    <cellStyle name="Neutral 3" xfId="216"/>
    <cellStyle name="Neutral 4" xfId="217"/>
    <cellStyle name="Neutral 5" xfId="214"/>
    <cellStyle name="Neutral 6" xfId="578"/>
    <cellStyle name="no dec" xfId="389"/>
    <cellStyle name="no dec 2" xfId="579"/>
    <cellStyle name="no dec 2 2" xfId="580"/>
    <cellStyle name="Normal" xfId="0" builtinId="0"/>
    <cellStyle name="Normal - Style1" xfId="390"/>
    <cellStyle name="Normal - Style1 2" xfId="581"/>
    <cellStyle name="Normal 10" xfId="322"/>
    <cellStyle name="Normal 10 2" xfId="583"/>
    <cellStyle name="Normal 10 2 2" xfId="853"/>
    <cellStyle name="Normal 10 2 2 2" xfId="908"/>
    <cellStyle name="Normal 10 2 3" xfId="936"/>
    <cellStyle name="Normal 10 2 4" xfId="892"/>
    <cellStyle name="Normal 10 2 5" xfId="989"/>
    <cellStyle name="Normal 10 2 6" xfId="831"/>
    <cellStyle name="Normal 10 3" xfId="582"/>
    <cellStyle name="Normal 10 4" xfId="935"/>
    <cellStyle name="Normal 10 5" xfId="1000"/>
    <cellStyle name="Normal 11" xfId="410"/>
    <cellStyle name="Normal 11 2" xfId="585"/>
    <cellStyle name="Normal 11 2 2" xfId="854"/>
    <cellStyle name="Normal 11 2 2 2" xfId="909"/>
    <cellStyle name="Normal 11 2 3" xfId="938"/>
    <cellStyle name="Normal 11 2 4" xfId="893"/>
    <cellStyle name="Normal 11 2 5" xfId="990"/>
    <cellStyle name="Normal 11 2 6" xfId="832"/>
    <cellStyle name="Normal 11 3" xfId="584"/>
    <cellStyle name="Normal 11 4" xfId="937"/>
    <cellStyle name="Normal 11 5" xfId="1001"/>
    <cellStyle name="Normal 12" xfId="409"/>
    <cellStyle name="Normal 12 2" xfId="586"/>
    <cellStyle name="Normal 12 3" xfId="1002"/>
    <cellStyle name="Normal 13" xfId="411"/>
    <cellStyle name="Normal 13 2" xfId="587"/>
    <cellStyle name="Normal 13 3" xfId="939"/>
    <cellStyle name="Normal 13 4" xfId="811"/>
    <cellStyle name="Normal 13 5" xfId="1003"/>
    <cellStyle name="Normal 14" xfId="588"/>
    <cellStyle name="Normal 14 2" xfId="589"/>
    <cellStyle name="Normal 14 2 2" xfId="590"/>
    <cellStyle name="Normal 14 2 2 2" xfId="856"/>
    <cellStyle name="Normal 14 2 2 2 2" xfId="911"/>
    <cellStyle name="Normal 14 2 2 3" xfId="942"/>
    <cellStyle name="Normal 14 2 2 4" xfId="895"/>
    <cellStyle name="Normal 14 2 2 5" xfId="993"/>
    <cellStyle name="Normal 14 2 2 6" xfId="834"/>
    <cellStyle name="Normal 14 2 3" xfId="855"/>
    <cellStyle name="Normal 14 2 3 2" xfId="910"/>
    <cellStyle name="Normal 14 2 4" xfId="941"/>
    <cellStyle name="Normal 14 2 5" xfId="894"/>
    <cellStyle name="Normal 14 2 6" xfId="992"/>
    <cellStyle name="Normal 14 2 7" xfId="833"/>
    <cellStyle name="Normal 14 3" xfId="591"/>
    <cellStyle name="Normal 14 3 2" xfId="857"/>
    <cellStyle name="Normal 14 3 2 2" xfId="912"/>
    <cellStyle name="Normal 14 3 3" xfId="943"/>
    <cellStyle name="Normal 14 3 4" xfId="896"/>
    <cellStyle name="Normal 14 3 5" xfId="994"/>
    <cellStyle name="Normal 14 3 6" xfId="835"/>
    <cellStyle name="Normal 14 4" xfId="940"/>
    <cellStyle name="Normal 14 5" xfId="991"/>
    <cellStyle name="Normal 14 6" xfId="809"/>
    <cellStyle name="Normal 15" xfId="592"/>
    <cellStyle name="Normal 15 2" xfId="944"/>
    <cellStyle name="Normal 15 3" xfId="812"/>
    <cellStyle name="Normal 16" xfId="593"/>
    <cellStyle name="Normal 16 2" xfId="945"/>
    <cellStyle name="Normal 16 3" xfId="815"/>
    <cellStyle name="Normal 17" xfId="594"/>
    <cellStyle name="Normal 17 2" xfId="858"/>
    <cellStyle name="Normal 17 3" xfId="946"/>
    <cellStyle name="Normal 17 4" xfId="816"/>
    <cellStyle name="Normal 18" xfId="595"/>
    <cellStyle name="Normal 18 2" xfId="859"/>
    <cellStyle name="Normal 18 3" xfId="947"/>
    <cellStyle name="Normal 18 4" xfId="819"/>
    <cellStyle name="Normal 19" xfId="596"/>
    <cellStyle name="Normal 19 2" xfId="860"/>
    <cellStyle name="Normal 19 3" xfId="948"/>
    <cellStyle name="Normal 19 4" xfId="995"/>
    <cellStyle name="Normal 19 5" xfId="820"/>
    <cellStyle name="Normal 2" xfId="218"/>
    <cellStyle name="Normal 2 2" xfId="597"/>
    <cellStyle name="Normal 20" xfId="598"/>
    <cellStyle name="Normal 20 2" xfId="861"/>
    <cellStyle name="Normal 20 3" xfId="949"/>
    <cellStyle name="Normal 20 4" xfId="996"/>
    <cellStyle name="Normal 20 5" xfId="821"/>
    <cellStyle name="Normal 21" xfId="599"/>
    <cellStyle name="Normal 22" xfId="600"/>
    <cellStyle name="Normal 23" xfId="601"/>
    <cellStyle name="Normal 24" xfId="454"/>
    <cellStyle name="Normal 25" xfId="658"/>
    <cellStyle name="Normal 26" xfId="674"/>
    <cellStyle name="Normal 26 2" xfId="971"/>
    <cellStyle name="Normal 26 3" xfId="918"/>
    <cellStyle name="Normal 27" xfId="682"/>
    <cellStyle name="Normal 27 2" xfId="975"/>
    <cellStyle name="Normal 27 3" xfId="876"/>
    <cellStyle name="Normal 28" xfId="667"/>
    <cellStyle name="Normal 28 2" xfId="877"/>
    <cellStyle name="Normal 28 2 2" xfId="1033"/>
    <cellStyle name="Normal 28 3" xfId="1042"/>
    <cellStyle name="Normal 29" xfId="689"/>
    <cellStyle name="Normal 29 2" xfId="960"/>
    <cellStyle name="Normal 29 2 2" xfId="1035"/>
    <cellStyle name="Normal 29 3" xfId="1044"/>
    <cellStyle name="Normal 3" xfId="219"/>
    <cellStyle name="Normal 3 2" xfId="602"/>
    <cellStyle name="Normal 3 2 2" xfId="862"/>
    <cellStyle name="Normal 30" xfId="687"/>
    <cellStyle name="Normal 30 2" xfId="961"/>
    <cellStyle name="Normal 30 2 2" xfId="1034"/>
    <cellStyle name="Normal 30 3" xfId="1043"/>
    <cellStyle name="Normal 31" xfId="789"/>
    <cellStyle name="Normal 31 2" xfId="962"/>
    <cellStyle name="Normal 32" xfId="792"/>
    <cellStyle name="Normal 32 2" xfId="963"/>
    <cellStyle name="Normal 33" xfId="964"/>
    <cellStyle name="Normal 34" xfId="968"/>
    <cellStyle name="Normal 35" xfId="798"/>
    <cellStyle name="Normal 36" xfId="999"/>
    <cellStyle name="Normal 37" xfId="780"/>
    <cellStyle name="Normal 38" xfId="795"/>
    <cellStyle name="Normal 39" xfId="782"/>
    <cellStyle name="Normal 4" xfId="220"/>
    <cellStyle name="Normal 4 2" xfId="391"/>
    <cellStyle name="Normal 4 2 2" xfId="603"/>
    <cellStyle name="Normal 4 2 2 2" xfId="951"/>
    <cellStyle name="Normal 4 2 2 3" xfId="913"/>
    <cellStyle name="Normal 4 2 2 4" xfId="863"/>
    <cellStyle name="Normal 4 2 3" xfId="684"/>
    <cellStyle name="Normal 4 2 3 2" xfId="976"/>
    <cellStyle name="Normal 4 2 3 3" xfId="950"/>
    <cellStyle name="Normal 4 2 4" xfId="881"/>
    <cellStyle name="Normal 4 2 5" xfId="966"/>
    <cellStyle name="Normal 4 2 6" xfId="969"/>
    <cellStyle name="Normal 4 2 7" xfId="817"/>
    <cellStyle name="Normal 40" xfId="1006"/>
    <cellStyle name="Normal 41" xfId="787"/>
    <cellStyle name="Normal 42" xfId="1005"/>
    <cellStyle name="Normal 43" xfId="1025"/>
    <cellStyle name="Normal 44" xfId="1019"/>
    <cellStyle name="Normal 45" xfId="1030"/>
    <cellStyle name="Normal 46" xfId="1018"/>
    <cellStyle name="Normal 47" xfId="1039"/>
    <cellStyle name="Normal 48" xfId="1032"/>
    <cellStyle name="Normal 49" xfId="1026"/>
    <cellStyle name="Normal 5" xfId="221"/>
    <cellStyle name="Normal 5 2" xfId="392"/>
    <cellStyle name="Normal 5 2 2" xfId="685"/>
    <cellStyle name="Normal 5 2 2 2" xfId="914"/>
    <cellStyle name="Normal 5 2 2 3" xfId="977"/>
    <cellStyle name="Normal 5 2 2 4" xfId="864"/>
    <cellStyle name="Normal 5 2 3" xfId="731"/>
    <cellStyle name="Normal 5 2 3 2" xfId="998"/>
    <cellStyle name="Normal 5 2 3 3" xfId="952"/>
    <cellStyle name="Normal 5 2 4" xfId="882"/>
    <cellStyle name="Normal 5 2 5" xfId="967"/>
    <cellStyle name="Normal 5 2 6" xfId="970"/>
    <cellStyle name="Normal 5 2 7" xfId="818"/>
    <cellStyle name="Normal 50" xfId="1023"/>
    <cellStyle name="Normal 51" xfId="1009"/>
    <cellStyle name="Normal 52" xfId="1011"/>
    <cellStyle name="Normal 6" xfId="222"/>
    <cellStyle name="Normal 6 2" xfId="604"/>
    <cellStyle name="Normal 7" xfId="12"/>
    <cellStyle name="Normal 7 2" xfId="605"/>
    <cellStyle name="Normal 7 3" xfId="675"/>
    <cellStyle name="Normal 7 3 2" xfId="866"/>
    <cellStyle name="Normal 7 3 2 2" xfId="916"/>
    <cellStyle name="Normal 7 3 3" xfId="880"/>
    <cellStyle name="Normal 7 3 4" xfId="972"/>
    <cellStyle name="Normal 7 3 5" xfId="807"/>
    <cellStyle name="Normal 7 4" xfId="865"/>
    <cellStyle name="Normal 7 4 2" xfId="915"/>
    <cellStyle name="Normal 7 5" xfId="879"/>
    <cellStyle name="Normal 7 6" xfId="800"/>
    <cellStyle name="Normal 8" xfId="223"/>
    <cellStyle name="Normal 8 2" xfId="607"/>
    <cellStyle name="Normal 8 3" xfId="608"/>
    <cellStyle name="Normal 8 3 2" xfId="867"/>
    <cellStyle name="Normal 8 3 2 2" xfId="917"/>
    <cellStyle name="Normal 8 3 3" xfId="954"/>
    <cellStyle name="Normal 8 3 4" xfId="897"/>
    <cellStyle name="Normal 8 3 5" xfId="997"/>
    <cellStyle name="Normal 8 3 6" xfId="836"/>
    <cellStyle name="Normal 8 4" xfId="606"/>
    <cellStyle name="Normal 8 5" xfId="953"/>
    <cellStyle name="Normal 9" xfId="330"/>
    <cellStyle name="Normal 9 2" xfId="610"/>
    <cellStyle name="Normal 9 2 2" xfId="611"/>
    <cellStyle name="Normal 9 3" xfId="609"/>
    <cellStyle name="Normal 9 3 2" xfId="956"/>
    <cellStyle name="Normal 9 3 3" xfId="868"/>
    <cellStyle name="Normal 9 4" xfId="955"/>
    <cellStyle name="Normal 9 5" xfId="802"/>
    <cellStyle name="Normal 9 6" xfId="1004"/>
    <cellStyle name="Normal_Book2 (2)" xfId="1045"/>
    <cellStyle name="Normal_RAM_Prog_07" xfId="5"/>
    <cellStyle name="Note 10" xfId="612"/>
    <cellStyle name="Note 10 2" xfId="613"/>
    <cellStyle name="Note 10 3" xfId="869"/>
    <cellStyle name="Note 10 4" xfId="804"/>
    <cellStyle name="Note 11" xfId="614"/>
    <cellStyle name="Note 11 2" xfId="615"/>
    <cellStyle name="Note 12" xfId="616"/>
    <cellStyle name="Note 2" xfId="225"/>
    <cellStyle name="Note 2 2" xfId="448"/>
    <cellStyle name="Note 2 2 2" xfId="617"/>
    <cellStyle name="Note 2 3" xfId="618"/>
    <cellStyle name="Note 2 3 2" xfId="870"/>
    <cellStyle name="Note 2_I_Secondary" xfId="732"/>
    <cellStyle name="Note 3" xfId="226"/>
    <cellStyle name="Note 3 2" xfId="619"/>
    <cellStyle name="Note 4" xfId="227"/>
    <cellStyle name="Note 4 2" xfId="620"/>
    <cellStyle name="Note 5" xfId="228"/>
    <cellStyle name="Note 5 2" xfId="621"/>
    <cellStyle name="Note 6" xfId="229"/>
    <cellStyle name="Note 6 2" xfId="622"/>
    <cellStyle name="Note 7" xfId="224"/>
    <cellStyle name="Note 7 2" xfId="623"/>
    <cellStyle name="Note 7 3" xfId="680"/>
    <cellStyle name="Note 8" xfId="624"/>
    <cellStyle name="Note 8 2" xfId="625"/>
    <cellStyle name="Note 9" xfId="626"/>
    <cellStyle name="Note 9 2" xfId="627"/>
    <cellStyle name="Note 9 3" xfId="871"/>
    <cellStyle name="Note 9 4" xfId="808"/>
    <cellStyle name="Output 2" xfId="231"/>
    <cellStyle name="Output 2 2" xfId="393"/>
    <cellStyle name="Output 2 2 2" xfId="449"/>
    <cellStyle name="Output 2 3" xfId="628"/>
    <cellStyle name="Output 3" xfId="232"/>
    <cellStyle name="Output 3 2" xfId="629"/>
    <cellStyle name="Output 3 2 2" xfId="630"/>
    <cellStyle name="Output 3 3" xfId="631"/>
    <cellStyle name="Output 4" xfId="233"/>
    <cellStyle name="Output 4 2" xfId="632"/>
    <cellStyle name="Output 4 2 2" xfId="633"/>
    <cellStyle name="Output 4 3" xfId="634"/>
    <cellStyle name="Output 5" xfId="230"/>
    <cellStyle name="Output 5 2" xfId="635"/>
    <cellStyle name="Output 5 2 2" xfId="636"/>
    <cellStyle name="Output 5 3" xfId="637"/>
    <cellStyle name="Output 6" xfId="638"/>
    <cellStyle name="Output 6 2" xfId="639"/>
    <cellStyle name="Page Number" xfId="234"/>
    <cellStyle name="Percent" xfId="3" builtinId="5"/>
    <cellStyle name="Percent [2]" xfId="394"/>
    <cellStyle name="Percent [2] 2" xfId="395"/>
    <cellStyle name="Percent [2] 2 2" xfId="640"/>
    <cellStyle name="Percent [2] 3" xfId="733"/>
    <cellStyle name="Percent [2] 3 2" xfId="872"/>
    <cellStyle name="Percent 10" xfId="236"/>
    <cellStyle name="Percent 11" xfId="235"/>
    <cellStyle name="Percent 11 2" xfId="641"/>
    <cellStyle name="Percent 11 3" xfId="681"/>
    <cellStyle name="Percent 12" xfId="327"/>
    <cellStyle name="Percent 13" xfId="408"/>
    <cellStyle name="Percent 13 2" xfId="643"/>
    <cellStyle name="Percent 13 3" xfId="642"/>
    <cellStyle name="Percent 14" xfId="324"/>
    <cellStyle name="Percent 14 2" xfId="645"/>
    <cellStyle name="Percent 14 3" xfId="644"/>
    <cellStyle name="Percent 15" xfId="326"/>
    <cellStyle name="Percent 15 2" xfId="646"/>
    <cellStyle name="Percent 16" xfId="450"/>
    <cellStyle name="Percent 16 2" xfId="957"/>
    <cellStyle name="Percent 16 3" xfId="813"/>
    <cellStyle name="Percent 17" xfId="647"/>
    <cellStyle name="Percent 17 2" xfId="958"/>
    <cellStyle name="Percent 17 3" xfId="814"/>
    <cellStyle name="Percent 18" xfId="648"/>
    <cellStyle name="Percent 19" xfId="677"/>
    <cellStyle name="Percent 19 2" xfId="974"/>
    <cellStyle name="Percent 19 3" xfId="965"/>
    <cellStyle name="Percent 2" xfId="237"/>
    <cellStyle name="Percent 2 2" xfId="396"/>
    <cellStyle name="Percent 2 2 2" xfId="873"/>
    <cellStyle name="Percent 20" xfId="686"/>
    <cellStyle name="Percent 20 2" xfId="978"/>
    <cellStyle name="Percent 21" xfId="670"/>
    <cellStyle name="Percent 22" xfId="671"/>
    <cellStyle name="Percent 22 2" xfId="801"/>
    <cellStyle name="Percent 23" xfId="673"/>
    <cellStyle name="Percent 24" xfId="793"/>
    <cellStyle name="Percent 25" xfId="788"/>
    <cellStyle name="Percent 26" xfId="796"/>
    <cellStyle name="Percent 27" xfId="790"/>
    <cellStyle name="Percent 28" xfId="794"/>
    <cellStyle name="Percent 29" xfId="1008"/>
    <cellStyle name="Percent 3" xfId="238"/>
    <cellStyle name="Percent 3 2" xfId="451"/>
    <cellStyle name="Percent 30" xfId="786"/>
    <cellStyle name="Percent 31" xfId="783"/>
    <cellStyle name="Percent 32" xfId="1021"/>
    <cellStyle name="Percent 33" xfId="1024"/>
    <cellStyle name="Percent 34" xfId="1038"/>
    <cellStyle name="Percent 35" xfId="1041"/>
    <cellStyle name="Percent 36" xfId="1037"/>
    <cellStyle name="Percent 37" xfId="1031"/>
    <cellStyle name="Percent 38" xfId="1022"/>
    <cellStyle name="Percent 39" xfId="1029"/>
    <cellStyle name="Percent 4" xfId="239"/>
    <cellStyle name="Percent 4 2" xfId="240"/>
    <cellStyle name="Percent 4 2 2" xfId="649"/>
    <cellStyle name="Percent 4 3" xfId="241"/>
    <cellStyle name="Percent 40" xfId="1010"/>
    <cellStyle name="Percent 41" xfId="1020"/>
    <cellStyle name="Percent 5" xfId="242"/>
    <cellStyle name="Percent 5 2" xfId="243"/>
    <cellStyle name="Percent 5 2 2" xfId="650"/>
    <cellStyle name="Percent 5 3" xfId="651"/>
    <cellStyle name="Percent 6" xfId="244"/>
    <cellStyle name="Percent 6 2" xfId="245"/>
    <cellStyle name="Percent 6 2 2" xfId="652"/>
    <cellStyle name="Percent 6 3" xfId="653"/>
    <cellStyle name="Percent 7" xfId="246"/>
    <cellStyle name="Percent 7 2" xfId="247"/>
    <cellStyle name="Percent 8" xfId="248"/>
    <cellStyle name="Percent 8 2" xfId="654"/>
    <cellStyle name="Percent 9" xfId="249"/>
    <cellStyle name="PSChar" xfId="6"/>
    <cellStyle name="PSChar 2" xfId="250"/>
    <cellStyle name="PSChar 2 2" xfId="734"/>
    <cellStyle name="PSChar 3" xfId="251"/>
    <cellStyle name="PSChar 3 2" xfId="735"/>
    <cellStyle name="PSChar 4" xfId="252"/>
    <cellStyle name="PSChar 4 2" xfId="253"/>
    <cellStyle name="PSChar 4 2 2" xfId="736"/>
    <cellStyle name="PSChar 4 3" xfId="737"/>
    <cellStyle name="PSChar 5" xfId="254"/>
    <cellStyle name="PSChar 5 2" xfId="255"/>
    <cellStyle name="PSChar 5 2 2" xfId="738"/>
    <cellStyle name="PSChar 5 3" xfId="739"/>
    <cellStyle name="PSChar 6" xfId="334"/>
    <cellStyle name="PSDate" xfId="7"/>
    <cellStyle name="PSDate 2" xfId="256"/>
    <cellStyle name="PSDate 2 2" xfId="740"/>
    <cellStyle name="PSDate 3" xfId="257"/>
    <cellStyle name="PSDate 3 2" xfId="741"/>
    <cellStyle name="PSDate 4" xfId="258"/>
    <cellStyle name="PSDate 4 2" xfId="259"/>
    <cellStyle name="PSDate 4 2 2" xfId="742"/>
    <cellStyle name="PSDate 4 3" xfId="743"/>
    <cellStyle name="PSDate 5" xfId="260"/>
    <cellStyle name="PSDate 5 2" xfId="261"/>
    <cellStyle name="PSDate 5 2 2" xfId="744"/>
    <cellStyle name="PSDate 5 3" xfId="745"/>
    <cellStyle name="PSDate 6" xfId="335"/>
    <cellStyle name="PSDec" xfId="8"/>
    <cellStyle name="PSDec 2" xfId="262"/>
    <cellStyle name="PSDec 2 2" xfId="746"/>
    <cellStyle name="PSDec 3" xfId="263"/>
    <cellStyle name="PSDec 3 2" xfId="747"/>
    <cellStyle name="PSDec 4" xfId="264"/>
    <cellStyle name="PSDec 4 2" xfId="265"/>
    <cellStyle name="PSDec 4 2 2" xfId="748"/>
    <cellStyle name="PSDec 4 3" xfId="749"/>
    <cellStyle name="PSDec 5" xfId="266"/>
    <cellStyle name="PSDec 5 2" xfId="267"/>
    <cellStyle name="PSDec 5 2 2" xfId="750"/>
    <cellStyle name="PSDec 5 3" xfId="751"/>
    <cellStyle name="PSDec 6" xfId="336"/>
    <cellStyle name="PSHeading" xfId="9"/>
    <cellStyle name="PSHeading 2" xfId="268"/>
    <cellStyle name="PSHeading 2 2" xfId="752"/>
    <cellStyle name="PSHeading 3" xfId="269"/>
    <cellStyle name="PSHeading 3 2" xfId="753"/>
    <cellStyle name="PSHeading 4" xfId="270"/>
    <cellStyle name="PSHeading 4 2" xfId="271"/>
    <cellStyle name="PSHeading 4 2 2" xfId="754"/>
    <cellStyle name="PSHeading 4 3" xfId="755"/>
    <cellStyle name="PSHeading 4_I_Secondary" xfId="756"/>
    <cellStyle name="PSHeading 5" xfId="272"/>
    <cellStyle name="PSHeading 5 2" xfId="273"/>
    <cellStyle name="PSHeading 5 2 2" xfId="757"/>
    <cellStyle name="PSHeading 5 3" xfId="758"/>
    <cellStyle name="PSHeading 5_I_Secondary" xfId="759"/>
    <cellStyle name="PSHeading 6" xfId="337"/>
    <cellStyle name="PSHeading_358_CGS_Lewis_UT_70Conserv" xfId="274"/>
    <cellStyle name="PSInt" xfId="10"/>
    <cellStyle name="PSInt 2" xfId="275"/>
    <cellStyle name="PSInt 2 2" xfId="760"/>
    <cellStyle name="PSInt 3" xfId="276"/>
    <cellStyle name="PSInt 3 2" xfId="761"/>
    <cellStyle name="PSInt 4" xfId="277"/>
    <cellStyle name="PSInt 4 2" xfId="278"/>
    <cellStyle name="PSInt 4 2 2" xfId="762"/>
    <cellStyle name="PSInt 4 3" xfId="763"/>
    <cellStyle name="PSInt 5" xfId="279"/>
    <cellStyle name="PSInt 5 2" xfId="280"/>
    <cellStyle name="PSInt 5 2 2" xfId="764"/>
    <cellStyle name="PSInt 5 3" xfId="765"/>
    <cellStyle name="PSInt 6" xfId="338"/>
    <cellStyle name="PSSpacer" xfId="11"/>
    <cellStyle name="PSSpacer 2" xfId="281"/>
    <cellStyle name="PSSpacer 2 2" xfId="766"/>
    <cellStyle name="PSSpacer 3" xfId="282"/>
    <cellStyle name="PSSpacer 3 2" xfId="767"/>
    <cellStyle name="PSSpacer 4" xfId="283"/>
    <cellStyle name="PSSpacer 4 2" xfId="284"/>
    <cellStyle name="PSSpacer 4 2 2" xfId="768"/>
    <cellStyle name="PSSpacer 4 3" xfId="769"/>
    <cellStyle name="PSSpacer 5" xfId="285"/>
    <cellStyle name="PSSpacer 5 2" xfId="286"/>
    <cellStyle name="PSSpacer 5 2 2" xfId="770"/>
    <cellStyle name="PSSpacer 5 3" xfId="771"/>
    <cellStyle name="PSSpacer 6" xfId="339"/>
    <cellStyle name="Rate" xfId="287"/>
    <cellStyle name="Rate 2" xfId="288"/>
    <cellStyle name="Rate 3" xfId="289"/>
    <cellStyle name="Rate 4" xfId="290"/>
    <cellStyle name="Rate 4 2" xfId="291"/>
    <cellStyle name="Rate 5" xfId="292"/>
    <cellStyle name="Rate 5 2" xfId="293"/>
    <cellStyle name="Rate 6" xfId="294"/>
    <cellStyle name="Reference" xfId="295"/>
    <cellStyle name="SectionBreak" xfId="296"/>
    <cellStyle name="SectionBreak 2" xfId="297"/>
    <cellStyle name="SectionBreak 3" xfId="298"/>
    <cellStyle name="SectionBreak 4" xfId="299"/>
    <cellStyle name="SectionBreak 4 2" xfId="300"/>
    <cellStyle name="SectionBreak 5" xfId="301"/>
    <cellStyle name="SectionBreak 5 2" xfId="302"/>
    <cellStyle name="Style 27" xfId="397"/>
    <cellStyle name="Style 27 2" xfId="398"/>
    <cellStyle name="Style 27 2 2" xfId="655"/>
    <cellStyle name="Style 27 3" xfId="772"/>
    <cellStyle name="Style 27 3 2" xfId="874"/>
    <cellStyle name="Style 28" xfId="399"/>
    <cellStyle name="Style 28 2" xfId="400"/>
    <cellStyle name="Style 28 2 2" xfId="656"/>
    <cellStyle name="Style 28 3" xfId="773"/>
    <cellStyle name="Style 28 3 2" xfId="875"/>
    <cellStyle name="Table Head" xfId="303"/>
    <cellStyle name="Table Head Aligned" xfId="304"/>
    <cellStyle name="Table Head Blue" xfId="305"/>
    <cellStyle name="Table Head Green" xfId="306"/>
    <cellStyle name="Table Heading" xfId="307"/>
    <cellStyle name="Table Heading 2" xfId="308"/>
    <cellStyle name="Table Title" xfId="309"/>
    <cellStyle name="Table Units" xfId="310"/>
    <cellStyle name="Table Units 2" xfId="311"/>
    <cellStyle name="Table Units 2 2" xfId="774"/>
    <cellStyle name="Table Units 3" xfId="775"/>
    <cellStyle name="Table Units_I_Secondary" xfId="776"/>
    <cellStyle name="Title 2" xfId="313"/>
    <cellStyle name="Title 3" xfId="312"/>
    <cellStyle name="Title 4" xfId="657"/>
    <cellStyle name="Total 2" xfId="315"/>
    <cellStyle name="Total 2 2" xfId="401"/>
    <cellStyle name="Total 2 2 2" xfId="452"/>
    <cellStyle name="Total 3" xfId="316"/>
    <cellStyle name="Total 3 2" xfId="659"/>
    <cellStyle name="Total 4" xfId="317"/>
    <cellStyle name="Total 4 2" xfId="660"/>
    <cellStyle name="Total 5" xfId="314"/>
    <cellStyle name="Total 5 2" xfId="661"/>
    <cellStyle name="Total 6" xfId="662"/>
    <cellStyle name="Unprot" xfId="402"/>
    <cellStyle name="Unprot 2" xfId="663"/>
    <cellStyle name="Unprot$" xfId="403"/>
    <cellStyle name="Unprot$ 2" xfId="664"/>
    <cellStyle name="Unprot$ 2 2" xfId="665"/>
    <cellStyle name="Unprot_Current Summary" xfId="404"/>
    <cellStyle name="Unprotect" xfId="405"/>
    <cellStyle name="v" xfId="406"/>
    <cellStyle name="Warning Text 2" xfId="319"/>
    <cellStyle name="Warning Text 2 2" xfId="407"/>
    <cellStyle name="Warning Text 2 2 2" xfId="453"/>
    <cellStyle name="Warning Text 2 2 3" xfId="959"/>
    <cellStyle name="Warning Text 2 3" xfId="777"/>
    <cellStyle name="Warning Text 3" xfId="320"/>
    <cellStyle name="Warning Text 4" xfId="321"/>
    <cellStyle name="Warning Text 5" xfId="318"/>
    <cellStyle name="Warning Text 6" xfId="666"/>
  </cellStyles>
  <dxfs count="9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hartsheet" Target="chartsheets/sheet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hartsheet" Target="chartsheets/sheet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- Rate Change BP-16 to BP-18 by Customer Type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Load Following</c:v>
          </c:tx>
          <c:spPr>
            <a:ln>
              <a:solidFill>
                <a:schemeClr val="tx1"/>
              </a:solidFill>
            </a:ln>
          </c:spPr>
          <c:invertIfNegative val="0"/>
          <c:dPt>
            <c:idx val="68"/>
            <c:invertIfNegative val="0"/>
            <c:bubble3D val="0"/>
          </c:dPt>
          <c:dPt>
            <c:idx val="11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cat>
            <c:strRef>
              <c:f>Restatement!$B$4:$B$122</c:f>
              <c:strCache>
                <c:ptCount val="119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Alder Mutual</c:v>
                </c:pt>
                <c:pt idx="7">
                  <c:v>Asotin County PUD #1</c:v>
                </c:pt>
                <c:pt idx="8">
                  <c:v>U.S. Naval Station, Everett (Jim Creek)</c:v>
                </c:pt>
                <c:pt idx="9">
                  <c:v>Drain, City of</c:v>
                </c:pt>
                <c:pt idx="10">
                  <c:v>Coulee Dam, City of</c:v>
                </c:pt>
                <c:pt idx="11">
                  <c:v>Troy, City of</c:v>
                </c:pt>
                <c:pt idx="12">
                  <c:v>Cascade Locks, City of</c:v>
                </c:pt>
                <c:pt idx="13">
                  <c:v>Riverside Elec Coop</c:v>
                </c:pt>
                <c:pt idx="14">
                  <c:v>East End Mutual Electric</c:v>
                </c:pt>
                <c:pt idx="15">
                  <c:v>Energy Northwest</c:v>
                </c:pt>
                <c:pt idx="16">
                  <c:v>Chewelah, City of</c:v>
                </c:pt>
                <c:pt idx="17">
                  <c:v>Soda Springs, City of</c:v>
                </c:pt>
                <c:pt idx="18">
                  <c:v>Columbia Power Coop</c:v>
                </c:pt>
                <c:pt idx="19">
                  <c:v>Eatonville, City of</c:v>
                </c:pt>
                <c:pt idx="20">
                  <c:v>McCleary, City of</c:v>
                </c:pt>
                <c:pt idx="21">
                  <c:v>Sumas, Town of</c:v>
                </c:pt>
                <c:pt idx="22">
                  <c:v>Plummer, City of</c:v>
                </c:pt>
                <c:pt idx="23">
                  <c:v>Umpqua Indian Utility Cooperative</c:v>
                </c:pt>
                <c:pt idx="24">
                  <c:v>Steilacoom, Town of</c:v>
                </c:pt>
                <c:pt idx="25">
                  <c:v>Heyburn, City of</c:v>
                </c:pt>
                <c:pt idx="26">
                  <c:v>Wahkiakum County PUD #1</c:v>
                </c:pt>
                <c:pt idx="27">
                  <c:v>Grant County PUD #2</c:v>
                </c:pt>
                <c:pt idx="28">
                  <c:v>Bonners Ferry, City of</c:v>
                </c:pt>
                <c:pt idx="29">
                  <c:v>Nespelem Valley Elec Coop</c:v>
                </c:pt>
                <c:pt idx="30">
                  <c:v>U.S. Airforce Base, Fairchild</c:v>
                </c:pt>
                <c:pt idx="31">
                  <c:v>Idaho County L &amp; P</c:v>
                </c:pt>
                <c:pt idx="32">
                  <c:v>Weiser, City of</c:v>
                </c:pt>
                <c:pt idx="33">
                  <c:v>Southside Elec Lines</c:v>
                </c:pt>
                <c:pt idx="34">
                  <c:v>Milton, Town of</c:v>
                </c:pt>
                <c:pt idx="35">
                  <c:v>Bandon, City of</c:v>
                </c:pt>
                <c:pt idx="36">
                  <c:v>Monmouth, City of</c:v>
                </c:pt>
                <c:pt idx="37">
                  <c:v>Blaine, City of</c:v>
                </c:pt>
                <c:pt idx="38">
                  <c:v>Mason County PUD #1</c:v>
                </c:pt>
                <c:pt idx="39">
                  <c:v>Rupert, City of</c:v>
                </c:pt>
                <c:pt idx="40">
                  <c:v>Lost River Elec Coop</c:v>
                </c:pt>
                <c:pt idx="41">
                  <c:v>Kittitas County PUD #1</c:v>
                </c:pt>
                <c:pt idx="42">
                  <c:v>Yakama Power</c:v>
                </c:pt>
                <c:pt idx="43">
                  <c:v>Milton-Freewater, City of</c:v>
                </c:pt>
                <c:pt idx="44">
                  <c:v>Ohop Mutual Light Company</c:v>
                </c:pt>
                <c:pt idx="45">
                  <c:v>Tanner Elec Coop</c:v>
                </c:pt>
                <c:pt idx="46">
                  <c:v>Ferry County PUD #1</c:v>
                </c:pt>
                <c:pt idx="47">
                  <c:v>Columbia Basin Elec Coop</c:v>
                </c:pt>
                <c:pt idx="48">
                  <c:v>Hermiston, City of</c:v>
                </c:pt>
                <c:pt idx="49">
                  <c:v>Hood River Elec Coop</c:v>
                </c:pt>
                <c:pt idx="50">
                  <c:v>Wasco Elec Coop</c:v>
                </c:pt>
                <c:pt idx="51">
                  <c:v>Burley, City of</c:v>
                </c:pt>
                <c:pt idx="52">
                  <c:v>Parkland L &amp; W</c:v>
                </c:pt>
                <c:pt idx="53">
                  <c:v>Surprise Valley Elec Coop</c:v>
                </c:pt>
                <c:pt idx="54">
                  <c:v>Skamania County PUD #1</c:v>
                </c:pt>
                <c:pt idx="55">
                  <c:v>Cheney, City of</c:v>
                </c:pt>
                <c:pt idx="56">
                  <c:v>Port of Seattle - SETAC In'tl. Airport</c:v>
                </c:pt>
                <c:pt idx="57">
                  <c:v>Ravalli County Elec Coop</c:v>
                </c:pt>
                <c:pt idx="58">
                  <c:v>Vigilante Elec Coop</c:v>
                </c:pt>
                <c:pt idx="59">
                  <c:v>U.S. Naval Submarine Base, Bangor</c:v>
                </c:pt>
                <c:pt idx="60">
                  <c:v>Canby, City of</c:v>
                </c:pt>
                <c:pt idx="61">
                  <c:v>Ashland, City of</c:v>
                </c:pt>
                <c:pt idx="62">
                  <c:v>Harney Elec Coop</c:v>
                </c:pt>
                <c:pt idx="63">
                  <c:v>Glacier Elec  Coop</c:v>
                </c:pt>
                <c:pt idx="64">
                  <c:v>Ellensburg, City of</c:v>
                </c:pt>
                <c:pt idx="65">
                  <c:v>Centralia, City of</c:v>
                </c:pt>
                <c:pt idx="66">
                  <c:v>Forest Grove, City of</c:v>
                </c:pt>
                <c:pt idx="67">
                  <c:v>Pend Oreille County PUD  #1</c:v>
                </c:pt>
                <c:pt idx="68">
                  <c:v>Modern Elec Coop</c:v>
                </c:pt>
                <c:pt idx="69">
                  <c:v>Whatcom County PUD #1</c:v>
                </c:pt>
                <c:pt idx="70">
                  <c:v>Missoula Elec Coop</c:v>
                </c:pt>
                <c:pt idx="71">
                  <c:v>Vera Irrigation District</c:v>
                </c:pt>
                <c:pt idx="72">
                  <c:v>U.S. DOE Richland Operations Office</c:v>
                </c:pt>
                <c:pt idx="73">
                  <c:v>United Electric Coop</c:v>
                </c:pt>
                <c:pt idx="74">
                  <c:v>U.S. Naval Base,  Bremerton</c:v>
                </c:pt>
                <c:pt idx="75">
                  <c:v>Salmon River Elec Coop</c:v>
                </c:pt>
                <c:pt idx="76">
                  <c:v>Elmhurst Mutual P &amp; L</c:v>
                </c:pt>
                <c:pt idx="77">
                  <c:v>Lakeview L &amp; P (WA)</c:v>
                </c:pt>
                <c:pt idx="78">
                  <c:v>Klickitat County PUD #1</c:v>
                </c:pt>
                <c:pt idx="79">
                  <c:v>Pacific County PUD #2</c:v>
                </c:pt>
                <c:pt idx="80">
                  <c:v>Mission Valley</c:v>
                </c:pt>
                <c:pt idx="81">
                  <c:v>Columbia REA</c:v>
                </c:pt>
                <c:pt idx="82">
                  <c:v>Salem Elec Coop</c:v>
                </c:pt>
                <c:pt idx="83">
                  <c:v>Jefferson County PUD #1</c:v>
                </c:pt>
                <c:pt idx="84">
                  <c:v>Midstate Elec Coop</c:v>
                </c:pt>
                <c:pt idx="85">
                  <c:v>Okanogan County PUD #1</c:v>
                </c:pt>
                <c:pt idx="86">
                  <c:v>Kootenai Electric Coop</c:v>
                </c:pt>
                <c:pt idx="87">
                  <c:v>Tillamook PUD #1</c:v>
                </c:pt>
                <c:pt idx="88">
                  <c:v>Emerald PUD</c:v>
                </c:pt>
                <c:pt idx="89">
                  <c:v>Columbia River PUD</c:v>
                </c:pt>
                <c:pt idx="90">
                  <c:v>Big Bend Elec Coop</c:v>
                </c:pt>
                <c:pt idx="91">
                  <c:v>Northern Wasco County PUD</c:v>
                </c:pt>
                <c:pt idx="92">
                  <c:v>Benton REA</c:v>
                </c:pt>
                <c:pt idx="93">
                  <c:v>Peninsula Light Company</c:v>
                </c:pt>
                <c:pt idx="94">
                  <c:v>Oregon Trail Coop</c:v>
                </c:pt>
                <c:pt idx="95">
                  <c:v>Clallam County PUD #1</c:v>
                </c:pt>
                <c:pt idx="96">
                  <c:v>Idaho Falls Power</c:v>
                </c:pt>
                <c:pt idx="97">
                  <c:v>Mason County PUD #3</c:v>
                </c:pt>
                <c:pt idx="98">
                  <c:v>McMinnville, City of</c:v>
                </c:pt>
                <c:pt idx="99">
                  <c:v>Port Angeles, City of</c:v>
                </c:pt>
                <c:pt idx="100">
                  <c:v>Lower Valley Energy</c:v>
                </c:pt>
                <c:pt idx="101">
                  <c:v>Clatskanie PUD</c:v>
                </c:pt>
                <c:pt idx="102">
                  <c:v>Wells Rural Elec Coop</c:v>
                </c:pt>
                <c:pt idx="103">
                  <c:v>Springfield Utility Board</c:v>
                </c:pt>
                <c:pt idx="104">
                  <c:v>Richland, City of</c:v>
                </c:pt>
                <c:pt idx="105">
                  <c:v>Inland P &amp; L</c:v>
                </c:pt>
                <c:pt idx="106">
                  <c:v>Lewis County PUD #1</c:v>
                </c:pt>
                <c:pt idx="107">
                  <c:v>Franklin County PUD #1</c:v>
                </c:pt>
                <c:pt idx="108">
                  <c:v>Grays Harbor PUD #1</c:v>
                </c:pt>
                <c:pt idx="109">
                  <c:v>Central Lincoln PUD</c:v>
                </c:pt>
                <c:pt idx="110">
                  <c:v>Flathead Elec Coop</c:v>
                </c:pt>
                <c:pt idx="111">
                  <c:v>Benton County PUD #1</c:v>
                </c:pt>
                <c:pt idx="112">
                  <c:v>Eugene Water &amp; Electric Board</c:v>
                </c:pt>
                <c:pt idx="113">
                  <c:v>Clark County PUD #1</c:v>
                </c:pt>
                <c:pt idx="114">
                  <c:v>Tacoma Public Utilities</c:v>
                </c:pt>
                <c:pt idx="115">
                  <c:v>PNGC Aggregate</c:v>
                </c:pt>
                <c:pt idx="116">
                  <c:v>Seattle City Light</c:v>
                </c:pt>
                <c:pt idx="117">
                  <c:v>Cowlitz County PUD #1</c:v>
                </c:pt>
                <c:pt idx="118">
                  <c:v>Snohomish County PUD #1</c:v>
                </c:pt>
              </c:strCache>
            </c:strRef>
          </c:cat>
          <c:val>
            <c:numRef>
              <c:f>Restatement!$G$4:$G$122</c:f>
              <c:numCache>
                <c:formatCode>0%</c:formatCode>
                <c:ptCount val="119"/>
                <c:pt idx="0">
                  <c:v>5.6784053578918137E-2</c:v>
                </c:pt>
                <c:pt idx="1">
                  <c:v>1.3425087595296592E-2</c:v>
                </c:pt>
                <c:pt idx="2">
                  <c:v>5.126189009046711E-2</c:v>
                </c:pt>
                <c:pt idx="3">
                  <c:v>5.8879657181834855E-2</c:v>
                </c:pt>
                <c:pt idx="4">
                  <c:v>5.9794267339912777E-2</c:v>
                </c:pt>
                <c:pt idx="5">
                  <c:v>5.3023826104613203E-2</c:v>
                </c:pt>
                <c:pt idx="6">
                  <c:v>7.175532759575276E-2</c:v>
                </c:pt>
                <c:pt idx="7">
                  <c:v>4.0043759629013742E-3</c:v>
                </c:pt>
                <c:pt idx="8">
                  <c:v>4.734845853643721E-2</c:v>
                </c:pt>
                <c:pt idx="9">
                  <c:v>4.9508385477905259E-2</c:v>
                </c:pt>
                <c:pt idx="10">
                  <c:v>6.0226895852710349E-2</c:v>
                </c:pt>
                <c:pt idx="11">
                  <c:v>5.4125436745247502E-2</c:v>
                </c:pt>
                <c:pt idx="12">
                  <c:v>4.5454125796055012E-2</c:v>
                </c:pt>
                <c:pt idx="13">
                  <c:v>4.3346935521793473E-2</c:v>
                </c:pt>
                <c:pt idx="14">
                  <c:v>4.0714947344018038E-2</c:v>
                </c:pt>
                <c:pt idx="15">
                  <c:v>5.6369503451939584E-2</c:v>
                </c:pt>
                <c:pt idx="16">
                  <c:v>5.3492879805552951E-2</c:v>
                </c:pt>
                <c:pt idx="17">
                  <c:v>4.7636392277422779E-2</c:v>
                </c:pt>
                <c:pt idx="18">
                  <c:v>4.8189283131027327E-2</c:v>
                </c:pt>
                <c:pt idx="19">
                  <c:v>5.7904160202564503E-2</c:v>
                </c:pt>
                <c:pt idx="20">
                  <c:v>5.2295024593795425E-2</c:v>
                </c:pt>
                <c:pt idx="21">
                  <c:v>4.4500110419016137E-2</c:v>
                </c:pt>
                <c:pt idx="22">
                  <c:v>5.0567691797188674E-2</c:v>
                </c:pt>
                <c:pt idx="23">
                  <c:v>4.3681435138267277E-2</c:v>
                </c:pt>
                <c:pt idx="24">
                  <c:v>5.1640292264401921E-2</c:v>
                </c:pt>
                <c:pt idx="25">
                  <c:v>1.7502851967159172E-2</c:v>
                </c:pt>
                <c:pt idx="26">
                  <c:v>6.3405843094528347E-2</c:v>
                </c:pt>
                <c:pt idx="27">
                  <c:v>6.0342463233277632E-2</c:v>
                </c:pt>
                <c:pt idx="28">
                  <c:v>6.2866037615217918E-2</c:v>
                </c:pt>
                <c:pt idx="29">
                  <c:v>3.5615061836198558E-2</c:v>
                </c:pt>
                <c:pt idx="30">
                  <c:v>4.3787764972972321E-2</c:v>
                </c:pt>
                <c:pt idx="31">
                  <c:v>4.9844720871603965E-2</c:v>
                </c:pt>
                <c:pt idx="32">
                  <c:v>4.9466121064649871E-2</c:v>
                </c:pt>
                <c:pt idx="33">
                  <c:v>2.9644206212160462E-2</c:v>
                </c:pt>
                <c:pt idx="34">
                  <c:v>4.9642291876446309E-2</c:v>
                </c:pt>
                <c:pt idx="35">
                  <c:v>5.1290126885538356E-2</c:v>
                </c:pt>
                <c:pt idx="36">
                  <c:v>5.1180350222315596E-2</c:v>
                </c:pt>
                <c:pt idx="37">
                  <c:v>4.9464773453938626E-2</c:v>
                </c:pt>
                <c:pt idx="38">
                  <c:v>5.8293123052621798E-2</c:v>
                </c:pt>
                <c:pt idx="39">
                  <c:v>4.9500477881759153E-2</c:v>
                </c:pt>
                <c:pt idx="40">
                  <c:v>2.7722223863294371E-2</c:v>
                </c:pt>
                <c:pt idx="41">
                  <c:v>5.3725946259070456E-2</c:v>
                </c:pt>
                <c:pt idx="42">
                  <c:v>-4.2533240043217235E-2</c:v>
                </c:pt>
                <c:pt idx="43">
                  <c:v>5.3828992145806609E-2</c:v>
                </c:pt>
                <c:pt idx="44">
                  <c:v>5.6945470749116156E-2</c:v>
                </c:pt>
                <c:pt idx="45">
                  <c:v>4.981663136809833E-2</c:v>
                </c:pt>
                <c:pt idx="46">
                  <c:v>6.1105709266038755E-2</c:v>
                </c:pt>
                <c:pt idx="47">
                  <c:v>6.8353165663822768E-2</c:v>
                </c:pt>
                <c:pt idx="48">
                  <c:v>4.6019800713200665E-2</c:v>
                </c:pt>
                <c:pt idx="49">
                  <c:v>5.443754382587862E-2</c:v>
                </c:pt>
                <c:pt idx="50">
                  <c:v>4.9276827336409035E-2</c:v>
                </c:pt>
                <c:pt idx="51">
                  <c:v>4.8359702080006617E-2</c:v>
                </c:pt>
                <c:pt idx="52">
                  <c:v>5.4942662503735029E-2</c:v>
                </c:pt>
                <c:pt idx="53">
                  <c:v>2.4486599903849937E-2</c:v>
                </c:pt>
                <c:pt idx="54">
                  <c:v>6.7881995062330169E-2</c:v>
                </c:pt>
                <c:pt idx="55">
                  <c:v>6.6667723707924953E-2</c:v>
                </c:pt>
                <c:pt idx="56">
                  <c:v>3.8871701116223845E-2</c:v>
                </c:pt>
                <c:pt idx="57">
                  <c:v>4.6111172007150536E-2</c:v>
                </c:pt>
                <c:pt idx="58">
                  <c:v>3.3134630262394271E-2</c:v>
                </c:pt>
                <c:pt idx="59">
                  <c:v>4.9250589154254509E-2</c:v>
                </c:pt>
                <c:pt idx="60">
                  <c:v>2.6402967266843325E-2</c:v>
                </c:pt>
                <c:pt idx="61">
                  <c:v>4.7454690640837072E-2</c:v>
                </c:pt>
                <c:pt idx="62">
                  <c:v>4.7265133621543498E-3</c:v>
                </c:pt>
                <c:pt idx="63">
                  <c:v>4.860896710799345E-2</c:v>
                </c:pt>
                <c:pt idx="64">
                  <c:v>4.6886936839704463E-2</c:v>
                </c:pt>
                <c:pt idx="65">
                  <c:v>8.3910702224163414E-2</c:v>
                </c:pt>
                <c:pt idx="66">
                  <c:v>4.7821128830615844E-2</c:v>
                </c:pt>
                <c:pt idx="68">
                  <c:v>4.8044175430222102E-2</c:v>
                </c:pt>
                <c:pt idx="69">
                  <c:v>4.6034846594706691E-2</c:v>
                </c:pt>
                <c:pt idx="70">
                  <c:v>4.5307527673636772E-2</c:v>
                </c:pt>
                <c:pt idx="71">
                  <c:v>4.8846895560599402E-2</c:v>
                </c:pt>
                <c:pt idx="72">
                  <c:v>6.0157194807881398E-2</c:v>
                </c:pt>
                <c:pt idx="73">
                  <c:v>3.7785151930806116E-2</c:v>
                </c:pt>
                <c:pt idx="74">
                  <c:v>4.7371453708598077E-2</c:v>
                </c:pt>
                <c:pt idx="75">
                  <c:v>4.6273305199727721E-2</c:v>
                </c:pt>
                <c:pt idx="76">
                  <c:v>5.6967176280829701E-2</c:v>
                </c:pt>
                <c:pt idx="77">
                  <c:v>5.0285783129084383E-2</c:v>
                </c:pt>
                <c:pt idx="78">
                  <c:v>3.9013322894584368E-2</c:v>
                </c:pt>
                <c:pt idx="79">
                  <c:v>0</c:v>
                </c:pt>
                <c:pt idx="80">
                  <c:v>5.3080928727231136E-2</c:v>
                </c:pt>
                <c:pt idx="81">
                  <c:v>1.8014214151025776E-2</c:v>
                </c:pt>
                <c:pt idx="82">
                  <c:v>5.0054876932702941E-2</c:v>
                </c:pt>
                <c:pt idx="83">
                  <c:v>5.1521817024703154E-2</c:v>
                </c:pt>
                <c:pt idx="84">
                  <c:v>4.8621317731773583E-2</c:v>
                </c:pt>
                <c:pt idx="85">
                  <c:v>0</c:v>
                </c:pt>
                <c:pt idx="86">
                  <c:v>4.9892829675388883E-2</c:v>
                </c:pt>
                <c:pt idx="87">
                  <c:v>5.2398102858942197E-2</c:v>
                </c:pt>
                <c:pt idx="88">
                  <c:v>0</c:v>
                </c:pt>
                <c:pt idx="89">
                  <c:v>4.6049644620740349E-2</c:v>
                </c:pt>
                <c:pt idx="90">
                  <c:v>1.9851147369402078E-2</c:v>
                </c:pt>
                <c:pt idx="91">
                  <c:v>4.5229983639093696E-2</c:v>
                </c:pt>
                <c:pt idx="92">
                  <c:v>3.9286961095428286E-2</c:v>
                </c:pt>
                <c:pt idx="93">
                  <c:v>5.0659768698291252E-2</c:v>
                </c:pt>
                <c:pt idx="94">
                  <c:v>4.6140525415232059E-2</c:v>
                </c:pt>
                <c:pt idx="95">
                  <c:v>4.6236530585700431E-2</c:v>
                </c:pt>
                <c:pt idx="96">
                  <c:v>0</c:v>
                </c:pt>
                <c:pt idx="97">
                  <c:v>5.236258498255375E-2</c:v>
                </c:pt>
                <c:pt idx="98">
                  <c:v>2.318916695110973E-2</c:v>
                </c:pt>
                <c:pt idx="99">
                  <c:v>5.7975681473632301E-2</c:v>
                </c:pt>
                <c:pt idx="100">
                  <c:v>6.0446847293756045E-2</c:v>
                </c:pt>
                <c:pt idx="101">
                  <c:v>0</c:v>
                </c:pt>
                <c:pt idx="102">
                  <c:v>3.6460293459106285E-2</c:v>
                </c:pt>
                <c:pt idx="103">
                  <c:v>4.9389524829965392E-2</c:v>
                </c:pt>
                <c:pt idx="104">
                  <c:v>4.8012717667834437E-2</c:v>
                </c:pt>
                <c:pt idx="105">
                  <c:v>4.9197776184108255E-2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4.9537912739837209E-2</c:v>
                </c:pt>
                <c:pt idx="110">
                  <c:v>5.6954836321639668E-2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4.2420682684360944E-2</c:v>
                </c:pt>
                <c:pt idx="116">
                  <c:v>7.4326852013117284E-2</c:v>
                </c:pt>
                <c:pt idx="117">
                  <c:v>0</c:v>
                </c:pt>
                <c:pt idx="118">
                  <c:v>0</c:v>
                </c:pt>
              </c:numCache>
            </c:numRef>
          </c:val>
        </c:ser>
        <c:ser>
          <c:idx val="1"/>
          <c:order val="1"/>
          <c:tx>
            <c:v>Block of Slice Block</c:v>
          </c:tx>
          <c:invertIfNegative val="0"/>
          <c:val>
            <c:numRef>
              <c:f>Restatement!$F$4:$F$122</c:f>
              <c:numCache>
                <c:formatCode>0%</c:formatCode>
                <c:ptCount val="1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6.502400004976483E-2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7.3709831627048583E-2</c:v>
                </c:pt>
                <c:pt idx="86">
                  <c:v>0</c:v>
                </c:pt>
                <c:pt idx="87">
                  <c:v>0</c:v>
                </c:pt>
                <c:pt idx="88">
                  <c:v>6.5804081483126664E-2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5.9503304567774862E-2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5.7373944321207127E-2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6.5765725507158868E-2</c:v>
                </c:pt>
                <c:pt idx="107">
                  <c:v>5.2773529640208761E-2</c:v>
                </c:pt>
                <c:pt idx="108">
                  <c:v>5.9871226345604045E-2</c:v>
                </c:pt>
                <c:pt idx="109">
                  <c:v>0</c:v>
                </c:pt>
                <c:pt idx="110">
                  <c:v>0</c:v>
                </c:pt>
                <c:pt idx="111">
                  <c:v>5.0674028582994524E-2</c:v>
                </c:pt>
                <c:pt idx="112">
                  <c:v>5.963067708375025E-2</c:v>
                </c:pt>
                <c:pt idx="113">
                  <c:v>6.1000050635547698E-2</c:v>
                </c:pt>
                <c:pt idx="114">
                  <c:v>6.0185006573978184E-2</c:v>
                </c:pt>
                <c:pt idx="115">
                  <c:v>0</c:v>
                </c:pt>
                <c:pt idx="116">
                  <c:v>0</c:v>
                </c:pt>
                <c:pt idx="117">
                  <c:v>5.4577026677398388E-2</c:v>
                </c:pt>
                <c:pt idx="118">
                  <c:v>5.8933405439394404E-2</c:v>
                </c:pt>
              </c:numCache>
            </c:numRef>
          </c:val>
        </c:ser>
        <c:ser>
          <c:idx val="2"/>
          <c:order val="2"/>
          <c:tx>
            <c:v>Block</c:v>
          </c:tx>
          <c:invertIfNegative val="0"/>
          <c:val>
            <c:numRef>
              <c:f>Restatement!$E$4:$E$122</c:f>
              <c:numCache>
                <c:formatCode>0%</c:formatCode>
                <c:ptCount val="11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602368"/>
        <c:axId val="138625024"/>
      </c:barChart>
      <c:lineChart>
        <c:grouping val="standard"/>
        <c:varyColors val="0"/>
        <c:ser>
          <c:idx val="3"/>
          <c:order val="3"/>
          <c:tx>
            <c:v>w/o Load Shaping Charges</c:v>
          </c:tx>
          <c:spPr>
            <a:ln w="44450">
              <a:noFill/>
            </a:ln>
          </c:spPr>
          <c:marker>
            <c:symbol val="dash"/>
            <c:size val="3"/>
            <c:spPr>
              <a:ln>
                <a:solidFill>
                  <a:schemeClr val="tx1"/>
                </a:solidFill>
              </a:ln>
            </c:spPr>
          </c:marker>
          <c:val>
            <c:numRef>
              <c:f>Restatement!$J$4:$J$122</c:f>
              <c:numCache>
                <c:formatCode>_(* #,##0.00_);_(* \(#,##0.00\);_(* "-"??_);_(@_)</c:formatCode>
                <c:ptCount val="119"/>
                <c:pt idx="0">
                  <c:v>5.5345470774911976E-2</c:v>
                </c:pt>
                <c:pt idx="1">
                  <c:v>-3.2246690807469752E-2</c:v>
                </c:pt>
                <c:pt idx="2">
                  <c:v>4.3541720381195609E-2</c:v>
                </c:pt>
                <c:pt idx="3">
                  <c:v>4.6735678743682466E-2</c:v>
                </c:pt>
                <c:pt idx="4">
                  <c:v>4.3286335204630398E-2</c:v>
                </c:pt>
                <c:pt idx="5">
                  <c:v>4.3982434960579631E-2</c:v>
                </c:pt>
                <c:pt idx="6">
                  <c:v>6.1186688864842062E-2</c:v>
                </c:pt>
                <c:pt idx="7">
                  <c:v>2.6689956690916301E-2</c:v>
                </c:pt>
                <c:pt idx="8">
                  <c:v>4.4503654167864851E-2</c:v>
                </c:pt>
                <c:pt idx="9">
                  <c:v>4.1755003762504031E-2</c:v>
                </c:pt>
                <c:pt idx="10">
                  <c:v>4.5994401807098143E-2</c:v>
                </c:pt>
                <c:pt idx="11">
                  <c:v>4.2442258361022438E-2</c:v>
                </c:pt>
                <c:pt idx="12">
                  <c:v>3.0388121045026213E-2</c:v>
                </c:pt>
                <c:pt idx="13">
                  <c:v>4.6000498139178177E-2</c:v>
                </c:pt>
                <c:pt idx="14">
                  <c:v>4.6260271442996242E-2</c:v>
                </c:pt>
                <c:pt idx="15">
                  <c:v>4.7428601002217033E-2</c:v>
                </c:pt>
                <c:pt idx="16">
                  <c:v>4.3882526207966309E-2</c:v>
                </c:pt>
                <c:pt idx="17">
                  <c:v>4.0049625163070944E-2</c:v>
                </c:pt>
                <c:pt idx="18">
                  <c:v>4.5346276972284695E-2</c:v>
                </c:pt>
                <c:pt idx="19">
                  <c:v>4.8199048439456028E-2</c:v>
                </c:pt>
                <c:pt idx="20">
                  <c:v>4.1235409941160248E-2</c:v>
                </c:pt>
                <c:pt idx="21">
                  <c:v>4.2402085183187353E-2</c:v>
                </c:pt>
                <c:pt idx="22">
                  <c:v>4.3038431263584059E-2</c:v>
                </c:pt>
                <c:pt idx="23">
                  <c:v>4.4319704139932421E-2</c:v>
                </c:pt>
                <c:pt idx="24">
                  <c:v>4.3589641946689128E-2</c:v>
                </c:pt>
                <c:pt idx="25">
                  <c:v>4.2199759878010688E-2</c:v>
                </c:pt>
                <c:pt idx="26">
                  <c:v>5.2094511549118656E-2</c:v>
                </c:pt>
                <c:pt idx="27">
                  <c:v>4.4206188065802524E-2</c:v>
                </c:pt>
                <c:pt idx="28">
                  <c:v>4.05005238428639E-2</c:v>
                </c:pt>
                <c:pt idx="29">
                  <c:v>2.8099929830230103E-2</c:v>
                </c:pt>
                <c:pt idx="30">
                  <c:v>4.2863133028096814E-2</c:v>
                </c:pt>
                <c:pt idx="31">
                  <c:v>3.9179336694748997E-2</c:v>
                </c:pt>
                <c:pt idx="32">
                  <c:v>4.3006866483401539E-2</c:v>
                </c:pt>
                <c:pt idx="33">
                  <c:v>4.8781240250259525E-2</c:v>
                </c:pt>
                <c:pt idx="34">
                  <c:v>4.2439895399423583E-2</c:v>
                </c:pt>
                <c:pt idx="35">
                  <c:v>4.4957498670859235E-2</c:v>
                </c:pt>
                <c:pt idx="36">
                  <c:v>4.2540644117066387E-2</c:v>
                </c:pt>
                <c:pt idx="37">
                  <c:v>4.3100317518482714E-2</c:v>
                </c:pt>
                <c:pt idx="38">
                  <c:v>4.7596038524862667E-2</c:v>
                </c:pt>
                <c:pt idx="39">
                  <c:v>4.1345382871131334E-2</c:v>
                </c:pt>
                <c:pt idx="40">
                  <c:v>4.5487139102331396E-2</c:v>
                </c:pt>
                <c:pt idx="41">
                  <c:v>4.4367246524456963E-2</c:v>
                </c:pt>
                <c:pt idx="42">
                  <c:v>-3.0602465447891174E-2</c:v>
                </c:pt>
                <c:pt idx="43">
                  <c:v>4.4112462287826781E-2</c:v>
                </c:pt>
                <c:pt idx="44">
                  <c:v>4.4793767999481239E-2</c:v>
                </c:pt>
                <c:pt idx="45">
                  <c:v>4.5209596893748608E-2</c:v>
                </c:pt>
                <c:pt idx="46">
                  <c:v>5.3986205938941205E-2</c:v>
                </c:pt>
                <c:pt idx="47">
                  <c:v>3.2369405514871358E-2</c:v>
                </c:pt>
                <c:pt idx="48">
                  <c:v>4.2850961320106795E-2</c:v>
                </c:pt>
                <c:pt idx="49">
                  <c:v>4.4426344416493652E-2</c:v>
                </c:pt>
                <c:pt idx="50">
                  <c:v>4.1377085652177556E-2</c:v>
                </c:pt>
                <c:pt idx="51">
                  <c:v>4.1982424902671567E-2</c:v>
                </c:pt>
                <c:pt idx="52">
                  <c:v>4.6209432669052045E-2</c:v>
                </c:pt>
                <c:pt idx="53">
                  <c:v>4.1016249324201032E-2</c:v>
                </c:pt>
                <c:pt idx="54">
                  <c:v>5.9102021851874027E-2</c:v>
                </c:pt>
                <c:pt idx="55">
                  <c:v>4.0681615576358784E-2</c:v>
                </c:pt>
                <c:pt idx="56">
                  <c:v>3.9344405703798123E-2</c:v>
                </c:pt>
                <c:pt idx="57">
                  <c:v>4.0530469914287257E-2</c:v>
                </c:pt>
                <c:pt idx="58">
                  <c:v>4.1114731803831239E-2</c:v>
                </c:pt>
                <c:pt idx="59">
                  <c:v>4.4317543905916308E-2</c:v>
                </c:pt>
                <c:pt idx="60">
                  <c:v>4.2140019476717971E-2</c:v>
                </c:pt>
                <c:pt idx="61">
                  <c:v>4.183656039756322E-2</c:v>
                </c:pt>
                <c:pt idx="62">
                  <c:v>4.5397874269875689E-2</c:v>
                </c:pt>
                <c:pt idx="63">
                  <c:v>5.1718641172364473E-2</c:v>
                </c:pt>
                <c:pt idx="64">
                  <c:v>4.2382800264472657E-2</c:v>
                </c:pt>
                <c:pt idx="65">
                  <c:v>4.3953954023971453E-2</c:v>
                </c:pt>
                <c:pt idx="66">
                  <c:v>4.1659463166263636E-2</c:v>
                </c:pt>
                <c:pt idx="67">
                  <c:v>#N/A</c:v>
                </c:pt>
                <c:pt idx="68">
                  <c:v>4.1395766944461183E-2</c:v>
                </c:pt>
                <c:pt idx="69">
                  <c:v>4.4592496997808886E-2</c:v>
                </c:pt>
                <c:pt idx="70">
                  <c:v>3.8718079354859242E-2</c:v>
                </c:pt>
                <c:pt idx="71">
                  <c:v>4.1498849685795314E-2</c:v>
                </c:pt>
                <c:pt idx="72">
                  <c:v>5.0544745448693758E-2</c:v>
                </c:pt>
                <c:pt idx="73">
                  <c:v>4.3735050130586185E-2</c:v>
                </c:pt>
                <c:pt idx="74">
                  <c:v>4.1569553751688221E-2</c:v>
                </c:pt>
                <c:pt idx="75">
                  <c:v>4.0632782605194831E-2</c:v>
                </c:pt>
                <c:pt idx="76">
                  <c:v>4.6720160855619745E-2</c:v>
                </c:pt>
                <c:pt idx="77">
                  <c:v>4.4383830537384386E-2</c:v>
                </c:pt>
                <c:pt idx="78">
                  <c:v>3.2278040031060724E-2</c:v>
                </c:pt>
                <c:pt idx="79">
                  <c:v>4.7511037968354118E-2</c:v>
                </c:pt>
                <c:pt idx="80">
                  <c:v>3.7257758195489238E-2</c:v>
                </c:pt>
                <c:pt idx="81">
                  <c:v>3.7788956786441917E-2</c:v>
                </c:pt>
                <c:pt idx="82">
                  <c:v>4.3948619573353984E-2</c:v>
                </c:pt>
                <c:pt idx="83">
                  <c:v>3.9552893086220953E-2</c:v>
                </c:pt>
                <c:pt idx="84">
                  <c:v>4.4041208396775944E-2</c:v>
                </c:pt>
                <c:pt idx="85">
                  <c:v>5.2202051881906075E-2</c:v>
                </c:pt>
                <c:pt idx="86">
                  <c:v>4.1283895945496203E-2</c:v>
                </c:pt>
                <c:pt idx="87">
                  <c:v>4.5451557623561512E-2</c:v>
                </c:pt>
                <c:pt idx="88">
                  <c:v>5.1881665222593701E-2</c:v>
                </c:pt>
                <c:pt idx="89">
                  <c:v>4.1094100012290483E-2</c:v>
                </c:pt>
                <c:pt idx="90">
                  <c:v>4.0921129528611586E-2</c:v>
                </c:pt>
                <c:pt idx="91">
                  <c:v>4.7511037968357359E-2</c:v>
                </c:pt>
                <c:pt idx="92">
                  <c:v>4.9284855604446877E-2</c:v>
                </c:pt>
                <c:pt idx="93">
                  <c:v>4.6457772327192288E-2</c:v>
                </c:pt>
                <c:pt idx="94">
                  <c:v>4.2975073610992232E-2</c:v>
                </c:pt>
                <c:pt idx="95">
                  <c:v>4.36352725279247E-2</c:v>
                </c:pt>
                <c:pt idx="96">
                  <c:v>4.7511037968358122E-2</c:v>
                </c:pt>
                <c:pt idx="97">
                  <c:v>4.2234714333620187E-2</c:v>
                </c:pt>
                <c:pt idx="98">
                  <c:v>4.2215377429668237E-2</c:v>
                </c:pt>
                <c:pt idx="99">
                  <c:v>5.2714334090117367E-2</c:v>
                </c:pt>
                <c:pt idx="100">
                  <c:v>4.6330088375569241E-2</c:v>
                </c:pt>
                <c:pt idx="101">
                  <c:v>4.751103796835876E-2</c:v>
                </c:pt>
                <c:pt idx="102">
                  <c:v>3.9604973088429307E-2</c:v>
                </c:pt>
                <c:pt idx="103">
                  <c:v>4.0734838981016659E-2</c:v>
                </c:pt>
                <c:pt idx="104">
                  <c:v>4.1917664614336853E-2</c:v>
                </c:pt>
                <c:pt idx="105">
                  <c:v>4.1547877507259467E-2</c:v>
                </c:pt>
                <c:pt idx="106">
                  <c:v>5.0388744856814327E-2</c:v>
                </c:pt>
                <c:pt idx="107">
                  <c:v>4.9996229943777414E-2</c:v>
                </c:pt>
                <c:pt idx="108">
                  <c:v>4.7511037968354389E-2</c:v>
                </c:pt>
                <c:pt idx="109">
                  <c:v>4.4101384501228198E-2</c:v>
                </c:pt>
                <c:pt idx="110">
                  <c:v>4.0686383415350871E-2</c:v>
                </c:pt>
                <c:pt idx="111">
                  <c:v>5.2320546065085134E-2</c:v>
                </c:pt>
                <c:pt idx="112">
                  <c:v>4.7511037968351121E-2</c:v>
                </c:pt>
                <c:pt idx="113">
                  <c:v>4.7511037968359031E-2</c:v>
                </c:pt>
                <c:pt idx="114">
                  <c:v>4.7511037968351162E-2</c:v>
                </c:pt>
                <c:pt idx="115">
                  <c:v>4.1275896966846054E-2</c:v>
                </c:pt>
                <c:pt idx="116">
                  <c:v>4.751103796835654E-2</c:v>
                </c:pt>
                <c:pt idx="117">
                  <c:v>4.7511037968352925E-2</c:v>
                </c:pt>
                <c:pt idx="118">
                  <c:v>4.7511037968354673E-2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628096"/>
        <c:axId val="138626560"/>
      </c:lineChart>
      <c:catAx>
        <c:axId val="138602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/>
          <a:lstStyle/>
          <a:p>
            <a:pPr>
              <a:defRPr sz="400"/>
            </a:pPr>
            <a:endParaRPr lang="en-US"/>
          </a:p>
        </c:txPr>
        <c:crossAx val="138625024"/>
        <c:crosses val="autoZero"/>
        <c:auto val="1"/>
        <c:lblAlgn val="ctr"/>
        <c:lblOffset val="100"/>
        <c:noMultiLvlLbl val="0"/>
      </c:catAx>
      <c:valAx>
        <c:axId val="1386250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700"/>
            </a:pPr>
            <a:endParaRPr lang="en-US"/>
          </a:p>
        </c:txPr>
        <c:crossAx val="138602368"/>
        <c:crosses val="autoZero"/>
        <c:crossBetween val="between"/>
      </c:valAx>
      <c:valAx>
        <c:axId val="138626560"/>
        <c:scaling>
          <c:orientation val="minMax"/>
          <c:max val="0.16000000000000003"/>
          <c:min val="0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138628096"/>
        <c:crosses val="max"/>
        <c:crossBetween val="between"/>
      </c:valAx>
      <c:catAx>
        <c:axId val="138628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38626560"/>
        <c:crosses val="autoZero"/>
        <c:auto val="1"/>
        <c:lblAlgn val="ctr"/>
        <c:lblOffset val="100"/>
        <c:noMultiLvlLbl val="0"/>
      </c:catAx>
      <c:spPr>
        <a:effectLst/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- Effective Rate Change BP-16 to BP-18 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Load Following</c:v>
          </c:tx>
          <c:spPr>
            <a:ln>
              <a:solidFill>
                <a:schemeClr val="tx1"/>
              </a:solidFill>
            </a:ln>
          </c:spPr>
          <c:invertIfNegative val="0"/>
          <c:dPt>
            <c:idx val="68"/>
            <c:invertIfNegative val="0"/>
            <c:bubble3D val="0"/>
          </c:dPt>
          <c:cat>
            <c:strRef>
              <c:f>Restatement!$B$4:$B$122</c:f>
              <c:strCache>
                <c:ptCount val="119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Alder Mutual</c:v>
                </c:pt>
                <c:pt idx="7">
                  <c:v>Asotin County PUD #1</c:v>
                </c:pt>
                <c:pt idx="8">
                  <c:v>U.S. Naval Station, Everett (Jim Creek)</c:v>
                </c:pt>
                <c:pt idx="9">
                  <c:v>Drain, City of</c:v>
                </c:pt>
                <c:pt idx="10">
                  <c:v>Coulee Dam, City of</c:v>
                </c:pt>
                <c:pt idx="11">
                  <c:v>Troy, City of</c:v>
                </c:pt>
                <c:pt idx="12">
                  <c:v>Cascade Locks, City of</c:v>
                </c:pt>
                <c:pt idx="13">
                  <c:v>Riverside Elec Coop</c:v>
                </c:pt>
                <c:pt idx="14">
                  <c:v>East End Mutual Electric</c:v>
                </c:pt>
                <c:pt idx="15">
                  <c:v>Energy Northwest</c:v>
                </c:pt>
                <c:pt idx="16">
                  <c:v>Chewelah, City of</c:v>
                </c:pt>
                <c:pt idx="17">
                  <c:v>Soda Springs, City of</c:v>
                </c:pt>
                <c:pt idx="18">
                  <c:v>Columbia Power Coop</c:v>
                </c:pt>
                <c:pt idx="19">
                  <c:v>Eatonville, City of</c:v>
                </c:pt>
                <c:pt idx="20">
                  <c:v>McCleary, City of</c:v>
                </c:pt>
                <c:pt idx="21">
                  <c:v>Sumas, Town of</c:v>
                </c:pt>
                <c:pt idx="22">
                  <c:v>Plummer, City of</c:v>
                </c:pt>
                <c:pt idx="23">
                  <c:v>Umpqua Indian Utility Cooperative</c:v>
                </c:pt>
                <c:pt idx="24">
                  <c:v>Steilacoom, Town of</c:v>
                </c:pt>
                <c:pt idx="25">
                  <c:v>Heyburn, City of</c:v>
                </c:pt>
                <c:pt idx="26">
                  <c:v>Wahkiakum County PUD #1</c:v>
                </c:pt>
                <c:pt idx="27">
                  <c:v>Grant County PUD #2</c:v>
                </c:pt>
                <c:pt idx="28">
                  <c:v>Bonners Ferry, City of</c:v>
                </c:pt>
                <c:pt idx="29">
                  <c:v>Nespelem Valley Elec Coop</c:v>
                </c:pt>
                <c:pt idx="30">
                  <c:v>U.S. Airforce Base, Fairchild</c:v>
                </c:pt>
                <c:pt idx="31">
                  <c:v>Idaho County L &amp; P</c:v>
                </c:pt>
                <c:pt idx="32">
                  <c:v>Weiser, City of</c:v>
                </c:pt>
                <c:pt idx="33">
                  <c:v>Southside Elec Lines</c:v>
                </c:pt>
                <c:pt idx="34">
                  <c:v>Milton, Town of</c:v>
                </c:pt>
                <c:pt idx="35">
                  <c:v>Bandon, City of</c:v>
                </c:pt>
                <c:pt idx="36">
                  <c:v>Monmouth, City of</c:v>
                </c:pt>
                <c:pt idx="37">
                  <c:v>Blaine, City of</c:v>
                </c:pt>
                <c:pt idx="38">
                  <c:v>Mason County PUD #1</c:v>
                </c:pt>
                <c:pt idx="39">
                  <c:v>Rupert, City of</c:v>
                </c:pt>
                <c:pt idx="40">
                  <c:v>Lost River Elec Coop</c:v>
                </c:pt>
                <c:pt idx="41">
                  <c:v>Kittitas County PUD #1</c:v>
                </c:pt>
                <c:pt idx="42">
                  <c:v>Yakama Power</c:v>
                </c:pt>
                <c:pt idx="43">
                  <c:v>Milton-Freewater, City of</c:v>
                </c:pt>
                <c:pt idx="44">
                  <c:v>Ohop Mutual Light Company</c:v>
                </c:pt>
                <c:pt idx="45">
                  <c:v>Tanner Elec Coop</c:v>
                </c:pt>
                <c:pt idx="46">
                  <c:v>Ferry County PUD #1</c:v>
                </c:pt>
                <c:pt idx="47">
                  <c:v>Columbia Basin Elec Coop</c:v>
                </c:pt>
                <c:pt idx="48">
                  <c:v>Hermiston, City of</c:v>
                </c:pt>
                <c:pt idx="49">
                  <c:v>Hood River Elec Coop</c:v>
                </c:pt>
                <c:pt idx="50">
                  <c:v>Wasco Elec Coop</c:v>
                </c:pt>
                <c:pt idx="51">
                  <c:v>Burley, City of</c:v>
                </c:pt>
                <c:pt idx="52">
                  <c:v>Parkland L &amp; W</c:v>
                </c:pt>
                <c:pt idx="53">
                  <c:v>Surprise Valley Elec Coop</c:v>
                </c:pt>
                <c:pt idx="54">
                  <c:v>Skamania County PUD #1</c:v>
                </c:pt>
                <c:pt idx="55">
                  <c:v>Cheney, City of</c:v>
                </c:pt>
                <c:pt idx="56">
                  <c:v>Port of Seattle - SETAC In'tl. Airport</c:v>
                </c:pt>
                <c:pt idx="57">
                  <c:v>Ravalli County Elec Coop</c:v>
                </c:pt>
                <c:pt idx="58">
                  <c:v>Vigilante Elec Coop</c:v>
                </c:pt>
                <c:pt idx="59">
                  <c:v>U.S. Naval Submarine Base, Bangor</c:v>
                </c:pt>
                <c:pt idx="60">
                  <c:v>Canby, City of</c:v>
                </c:pt>
                <c:pt idx="61">
                  <c:v>Ashland, City of</c:v>
                </c:pt>
                <c:pt idx="62">
                  <c:v>Harney Elec Coop</c:v>
                </c:pt>
                <c:pt idx="63">
                  <c:v>Glacier Elec  Coop</c:v>
                </c:pt>
                <c:pt idx="64">
                  <c:v>Ellensburg, City of</c:v>
                </c:pt>
                <c:pt idx="65">
                  <c:v>Centralia, City of</c:v>
                </c:pt>
                <c:pt idx="66">
                  <c:v>Forest Grove, City of</c:v>
                </c:pt>
                <c:pt idx="67">
                  <c:v>Pend Oreille County PUD  #1</c:v>
                </c:pt>
                <c:pt idx="68">
                  <c:v>Modern Elec Coop</c:v>
                </c:pt>
                <c:pt idx="69">
                  <c:v>Whatcom County PUD #1</c:v>
                </c:pt>
                <c:pt idx="70">
                  <c:v>Missoula Elec Coop</c:v>
                </c:pt>
                <c:pt idx="71">
                  <c:v>Vera Irrigation District</c:v>
                </c:pt>
                <c:pt idx="72">
                  <c:v>U.S. DOE Richland Operations Office</c:v>
                </c:pt>
                <c:pt idx="73">
                  <c:v>United Electric Coop</c:v>
                </c:pt>
                <c:pt idx="74">
                  <c:v>U.S. Naval Base,  Bremerton</c:v>
                </c:pt>
                <c:pt idx="75">
                  <c:v>Salmon River Elec Coop</c:v>
                </c:pt>
                <c:pt idx="76">
                  <c:v>Elmhurst Mutual P &amp; L</c:v>
                </c:pt>
                <c:pt idx="77">
                  <c:v>Lakeview L &amp; P (WA)</c:v>
                </c:pt>
                <c:pt idx="78">
                  <c:v>Klickitat County PUD #1</c:v>
                </c:pt>
                <c:pt idx="79">
                  <c:v>Pacific County PUD #2</c:v>
                </c:pt>
                <c:pt idx="80">
                  <c:v>Mission Valley</c:v>
                </c:pt>
                <c:pt idx="81">
                  <c:v>Columbia REA</c:v>
                </c:pt>
                <c:pt idx="82">
                  <c:v>Salem Elec Coop</c:v>
                </c:pt>
                <c:pt idx="83">
                  <c:v>Jefferson County PUD #1</c:v>
                </c:pt>
                <c:pt idx="84">
                  <c:v>Midstate Elec Coop</c:v>
                </c:pt>
                <c:pt idx="85">
                  <c:v>Okanogan County PUD #1</c:v>
                </c:pt>
                <c:pt idx="86">
                  <c:v>Kootenai Electric Coop</c:v>
                </c:pt>
                <c:pt idx="87">
                  <c:v>Tillamook PUD #1</c:v>
                </c:pt>
                <c:pt idx="88">
                  <c:v>Emerald PUD</c:v>
                </c:pt>
                <c:pt idx="89">
                  <c:v>Columbia River PUD</c:v>
                </c:pt>
                <c:pt idx="90">
                  <c:v>Big Bend Elec Coop</c:v>
                </c:pt>
                <c:pt idx="91">
                  <c:v>Northern Wasco County PUD</c:v>
                </c:pt>
                <c:pt idx="92">
                  <c:v>Benton REA</c:v>
                </c:pt>
                <c:pt idx="93">
                  <c:v>Peninsula Light Company</c:v>
                </c:pt>
                <c:pt idx="94">
                  <c:v>Oregon Trail Coop</c:v>
                </c:pt>
                <c:pt idx="95">
                  <c:v>Clallam County PUD #1</c:v>
                </c:pt>
                <c:pt idx="96">
                  <c:v>Idaho Falls Power</c:v>
                </c:pt>
                <c:pt idx="97">
                  <c:v>Mason County PUD #3</c:v>
                </c:pt>
                <c:pt idx="98">
                  <c:v>McMinnville, City of</c:v>
                </c:pt>
                <c:pt idx="99">
                  <c:v>Port Angeles, City of</c:v>
                </c:pt>
                <c:pt idx="100">
                  <c:v>Lower Valley Energy</c:v>
                </c:pt>
                <c:pt idx="101">
                  <c:v>Clatskanie PUD</c:v>
                </c:pt>
                <c:pt idx="102">
                  <c:v>Wells Rural Elec Coop</c:v>
                </c:pt>
                <c:pt idx="103">
                  <c:v>Springfield Utility Board</c:v>
                </c:pt>
                <c:pt idx="104">
                  <c:v>Richland, City of</c:v>
                </c:pt>
                <c:pt idx="105">
                  <c:v>Inland P &amp; L</c:v>
                </c:pt>
                <c:pt idx="106">
                  <c:v>Lewis County PUD #1</c:v>
                </c:pt>
                <c:pt idx="107">
                  <c:v>Franklin County PUD #1</c:v>
                </c:pt>
                <c:pt idx="108">
                  <c:v>Grays Harbor PUD #1</c:v>
                </c:pt>
                <c:pt idx="109">
                  <c:v>Central Lincoln PUD</c:v>
                </c:pt>
                <c:pt idx="110">
                  <c:v>Flathead Elec Coop</c:v>
                </c:pt>
                <c:pt idx="111">
                  <c:v>Benton County PUD #1</c:v>
                </c:pt>
                <c:pt idx="112">
                  <c:v>Eugene Water &amp; Electric Board</c:v>
                </c:pt>
                <c:pt idx="113">
                  <c:v>Clark County PUD #1</c:v>
                </c:pt>
                <c:pt idx="114">
                  <c:v>Tacoma Public Utilities</c:v>
                </c:pt>
                <c:pt idx="115">
                  <c:v>PNGC Aggregate</c:v>
                </c:pt>
                <c:pt idx="116">
                  <c:v>Seattle City Light</c:v>
                </c:pt>
                <c:pt idx="117">
                  <c:v>Cowlitz County PUD #1</c:v>
                </c:pt>
                <c:pt idx="118">
                  <c:v>Snohomish County PUD #1</c:v>
                </c:pt>
              </c:strCache>
            </c:strRef>
          </c:cat>
          <c:val>
            <c:numRef>
              <c:f>Restatement!$K$4:$K$122</c:f>
              <c:numCache>
                <c:formatCode>_(* #,##0.00_);_(* \(#,##0.00\);_(* "-"??_);_(@_)</c:formatCode>
                <c:ptCount val="119"/>
                <c:pt idx="0">
                  <c:v>0.16114366520033951</c:v>
                </c:pt>
                <c:pt idx="1">
                  <c:v>0.21681241219211378</c:v>
                </c:pt>
                <c:pt idx="2">
                  <c:v>7.729628706277536E-2</c:v>
                </c:pt>
                <c:pt idx="3">
                  <c:v>9.2490881003451708E-2</c:v>
                </c:pt>
                <c:pt idx="4">
                  <c:v>0.13363759541951636</c:v>
                </c:pt>
                <c:pt idx="5">
                  <c:v>6.2052986451380576E-2</c:v>
                </c:pt>
                <c:pt idx="6">
                  <c:v>4.8278316720959946E-2</c:v>
                </c:pt>
                <c:pt idx="7">
                  <c:v>0.17629759722487615</c:v>
                </c:pt>
                <c:pt idx="8">
                  <c:v>5.7910064300826791E-2</c:v>
                </c:pt>
                <c:pt idx="9">
                  <c:v>4.5560362198475479E-2</c:v>
                </c:pt>
                <c:pt idx="10">
                  <c:v>8.1326496059485498E-2</c:v>
                </c:pt>
                <c:pt idx="11">
                  <c:v>2.1305845346243135E-2</c:v>
                </c:pt>
                <c:pt idx="12">
                  <c:v>-1.8664466433812144E-2</c:v>
                </c:pt>
                <c:pt idx="13">
                  <c:v>3.9442516690951557E-2</c:v>
                </c:pt>
                <c:pt idx="14">
                  <c:v>0.10421228975955033</c:v>
                </c:pt>
                <c:pt idx="15">
                  <c:v>3.5166167994625797E-2</c:v>
                </c:pt>
                <c:pt idx="16">
                  <c:v>6.1481889711731075E-2</c:v>
                </c:pt>
                <c:pt idx="17">
                  <c:v>5.5772312293424386E-2</c:v>
                </c:pt>
                <c:pt idx="18">
                  <c:v>0.10536896579896693</c:v>
                </c:pt>
                <c:pt idx="19">
                  <c:v>4.8453531712860709E-2</c:v>
                </c:pt>
                <c:pt idx="20">
                  <c:v>4.6344701348388861E-2</c:v>
                </c:pt>
                <c:pt idx="21">
                  <c:v>5.325772251965577E-2</c:v>
                </c:pt>
                <c:pt idx="22">
                  <c:v>3.6755609418271495E-2</c:v>
                </c:pt>
                <c:pt idx="23">
                  <c:v>6.8150126268859967E-2</c:v>
                </c:pt>
                <c:pt idx="24">
                  <c:v>6.2552307569589738E-2</c:v>
                </c:pt>
                <c:pt idx="25">
                  <c:v>-6.2265808590046157E-2</c:v>
                </c:pt>
                <c:pt idx="26">
                  <c:v>7.9784995800390668E-2</c:v>
                </c:pt>
                <c:pt idx="27">
                  <c:v>0.10969441239593025</c:v>
                </c:pt>
                <c:pt idx="28">
                  <c:v>0.11169624402065814</c:v>
                </c:pt>
                <c:pt idx="29">
                  <c:v>-1.5814495053040334E-3</c:v>
                </c:pt>
                <c:pt idx="30">
                  <c:v>5.0562662368305311E-2</c:v>
                </c:pt>
                <c:pt idx="31">
                  <c:v>5.7122960183908722E-2</c:v>
                </c:pt>
                <c:pt idx="32">
                  <c:v>5.4124896725946225E-2</c:v>
                </c:pt>
                <c:pt idx="33">
                  <c:v>3.4392699616218048E-2</c:v>
                </c:pt>
                <c:pt idx="34">
                  <c:v>5.2199862674715103E-2</c:v>
                </c:pt>
                <c:pt idx="35">
                  <c:v>5.4371423578624345E-2</c:v>
                </c:pt>
                <c:pt idx="36">
                  <c:v>6.0673643935742705E-2</c:v>
                </c:pt>
                <c:pt idx="37">
                  <c:v>6.9842564741644075E-2</c:v>
                </c:pt>
                <c:pt idx="38">
                  <c:v>4.7422579675368892E-2</c:v>
                </c:pt>
                <c:pt idx="39">
                  <c:v>8.3087771514488429E-2</c:v>
                </c:pt>
                <c:pt idx="40">
                  <c:v>4.6815304700363658E-2</c:v>
                </c:pt>
                <c:pt idx="41">
                  <c:v>0.11844584286819959</c:v>
                </c:pt>
                <c:pt idx="42">
                  <c:v>1.023496874402996E-2</c:v>
                </c:pt>
                <c:pt idx="43">
                  <c:v>7.0763769290874023E-2</c:v>
                </c:pt>
                <c:pt idx="44">
                  <c:v>6.4344251813559294E-2</c:v>
                </c:pt>
                <c:pt idx="45">
                  <c:v>9.1704808537112825E-2</c:v>
                </c:pt>
                <c:pt idx="46">
                  <c:v>6.2080213377076809E-2</c:v>
                </c:pt>
                <c:pt idx="47">
                  <c:v>0.1501262154738483</c:v>
                </c:pt>
                <c:pt idx="48">
                  <c:v>5.5092979723656565E-2</c:v>
                </c:pt>
                <c:pt idx="49">
                  <c:v>9.5941022382898034E-2</c:v>
                </c:pt>
                <c:pt idx="50">
                  <c:v>1.980630679692541E-2</c:v>
                </c:pt>
                <c:pt idx="51">
                  <c:v>5.0762356074436799E-2</c:v>
                </c:pt>
                <c:pt idx="52">
                  <c:v>6.762128228204789E-2</c:v>
                </c:pt>
                <c:pt idx="53">
                  <c:v>6.2334832101042403E-2</c:v>
                </c:pt>
                <c:pt idx="54">
                  <c:v>5.9065145160319021E-2</c:v>
                </c:pt>
                <c:pt idx="55">
                  <c:v>8.9242146599281424E-2</c:v>
                </c:pt>
                <c:pt idx="56">
                  <c:v>4.4608013861787699E-2</c:v>
                </c:pt>
                <c:pt idx="57">
                  <c:v>4.6057565269465028E-2</c:v>
                </c:pt>
                <c:pt idx="58">
                  <c:v>5.3965108381611948E-2</c:v>
                </c:pt>
                <c:pt idx="59">
                  <c:v>3.2731742913203243E-2</c:v>
                </c:pt>
                <c:pt idx="60">
                  <c:v>1.9794470223620797E-2</c:v>
                </c:pt>
                <c:pt idx="61">
                  <c:v>5.8073124606458526E-2</c:v>
                </c:pt>
                <c:pt idx="62">
                  <c:v>9.6460888353746554E-3</c:v>
                </c:pt>
                <c:pt idx="63">
                  <c:v>6.5242297229240354E-2</c:v>
                </c:pt>
                <c:pt idx="64">
                  <c:v>3.4430418343613933E-2</c:v>
                </c:pt>
                <c:pt idx="65">
                  <c:v>7.0791493690331331E-2</c:v>
                </c:pt>
                <c:pt idx="66">
                  <c:v>7.6644792684032792E-2</c:v>
                </c:pt>
                <c:pt idx="67">
                  <c:v>#N/A</c:v>
                </c:pt>
                <c:pt idx="68">
                  <c:v>4.413695654667249E-2</c:v>
                </c:pt>
                <c:pt idx="69">
                  <c:v>4.7131391118830246E-2</c:v>
                </c:pt>
                <c:pt idx="70">
                  <c:v>4.5913661612384082E-2</c:v>
                </c:pt>
                <c:pt idx="71">
                  <c:v>7.0222808428273886E-2</c:v>
                </c:pt>
                <c:pt idx="72">
                  <c:v>2.4660921585944351E-2</c:v>
                </c:pt>
                <c:pt idx="73">
                  <c:v>4.7198345242477568E-2</c:v>
                </c:pt>
                <c:pt idx="74">
                  <c:v>3.1394122927452361E-2</c:v>
                </c:pt>
                <c:pt idx="75">
                  <c:v>4.1008180433786734E-2</c:v>
                </c:pt>
                <c:pt idx="76">
                  <c:v>7.1312289638824744E-2</c:v>
                </c:pt>
                <c:pt idx="77">
                  <c:v>5.9510327506618665E-2</c:v>
                </c:pt>
                <c:pt idx="78">
                  <c:v>0.1411943476881421</c:v>
                </c:pt>
                <c:pt idx="79">
                  <c:v>6.5042460633643273E-2</c:v>
                </c:pt>
                <c:pt idx="80">
                  <c:v>5.5084907963591112E-2</c:v>
                </c:pt>
                <c:pt idx="81">
                  <c:v>9.0016020023109267E-3</c:v>
                </c:pt>
                <c:pt idx="82">
                  <c:v>5.5422430775696974E-2</c:v>
                </c:pt>
                <c:pt idx="83">
                  <c:v>6.3763127447734602E-2</c:v>
                </c:pt>
                <c:pt idx="84">
                  <c:v>7.0780457096947025E-2</c:v>
                </c:pt>
                <c:pt idx="85">
                  <c:v>7.3714261907603662E-2</c:v>
                </c:pt>
                <c:pt idx="86">
                  <c:v>5.3928184859203698E-2</c:v>
                </c:pt>
                <c:pt idx="87">
                  <c:v>5.59331520891031E-2</c:v>
                </c:pt>
                <c:pt idx="88">
                  <c:v>5.5598907077517357E-2</c:v>
                </c:pt>
                <c:pt idx="89">
                  <c:v>5.3189864103897921E-2</c:v>
                </c:pt>
                <c:pt idx="90">
                  <c:v>1.9878915301076772E-2</c:v>
                </c:pt>
                <c:pt idx="91">
                  <c:v>4.5528855012484382E-2</c:v>
                </c:pt>
                <c:pt idx="92">
                  <c:v>4.185871755343773E-2</c:v>
                </c:pt>
                <c:pt idx="93">
                  <c:v>7.317827536306587E-2</c:v>
                </c:pt>
                <c:pt idx="94">
                  <c:v>8.2830144381970561E-2</c:v>
                </c:pt>
                <c:pt idx="95">
                  <c:v>7.8937003978983844E-2</c:v>
                </c:pt>
                <c:pt idx="96">
                  <c:v>5.9624097589028535E-2</c:v>
                </c:pt>
                <c:pt idx="97">
                  <c:v>5.437634045592632E-2</c:v>
                </c:pt>
                <c:pt idx="98">
                  <c:v>7.9850960636070001E-2</c:v>
                </c:pt>
                <c:pt idx="99">
                  <c:v>6.1509001467480173E-2</c:v>
                </c:pt>
                <c:pt idx="100">
                  <c:v>8.4034915542129829E-2</c:v>
                </c:pt>
                <c:pt idx="101">
                  <c:v>5.741203482754198E-2</c:v>
                </c:pt>
                <c:pt idx="102">
                  <c:v>4.4809539907913365E-2</c:v>
                </c:pt>
                <c:pt idx="103">
                  <c:v>5.7391119374585298E-2</c:v>
                </c:pt>
                <c:pt idx="104">
                  <c:v>6.0941177235981581E-2</c:v>
                </c:pt>
                <c:pt idx="105">
                  <c:v>8.0431680630637326E-2</c:v>
                </c:pt>
                <c:pt idx="106">
                  <c:v>5.8824102296539449E-2</c:v>
                </c:pt>
                <c:pt idx="107">
                  <c:v>5.2775081662099321E-2</c:v>
                </c:pt>
                <c:pt idx="108">
                  <c:v>5.9869106079758705E-2</c:v>
                </c:pt>
                <c:pt idx="109">
                  <c:v>5.18846237520727E-2</c:v>
                </c:pt>
                <c:pt idx="110">
                  <c:v>7.3682462383962255E-2</c:v>
                </c:pt>
                <c:pt idx="111">
                  <c:v>5.0677849918093543E-2</c:v>
                </c:pt>
                <c:pt idx="112">
                  <c:v>5.9670903771364747E-2</c:v>
                </c:pt>
                <c:pt idx="113">
                  <c:v>6.0986913815558319E-2</c:v>
                </c:pt>
                <c:pt idx="114">
                  <c:v>6.0127720456846223E-2</c:v>
                </c:pt>
                <c:pt idx="115">
                  <c:v>-4.4335758570806183E-2</c:v>
                </c:pt>
                <c:pt idx="116">
                  <c:v>8.0050702142280938E-2</c:v>
                </c:pt>
                <c:pt idx="117">
                  <c:v>5.4577060436671099E-2</c:v>
                </c:pt>
                <c:pt idx="118">
                  <c:v>5.8933512277311806E-2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163520"/>
        <c:axId val="139165056"/>
      </c:barChart>
      <c:catAx>
        <c:axId val="1391635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/>
          <a:lstStyle/>
          <a:p>
            <a:pPr>
              <a:defRPr sz="400"/>
            </a:pPr>
            <a:endParaRPr lang="en-US"/>
          </a:p>
        </c:txPr>
        <c:crossAx val="139165056"/>
        <c:crosses val="autoZero"/>
        <c:auto val="1"/>
        <c:lblAlgn val="ctr"/>
        <c:lblOffset val="100"/>
        <c:noMultiLvlLbl val="0"/>
      </c:catAx>
      <c:valAx>
        <c:axId val="1391650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700"/>
            </a:pPr>
            <a:endParaRPr lang="en-US"/>
          </a:p>
        </c:txPr>
        <c:crossAx val="139163520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Estimated Rate Impacts - Ordered from Highest to Lowest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Rate Increase</c:v>
          </c:tx>
          <c:invertIfNegative val="0"/>
          <c:cat>
            <c:strRef>
              <c:f>Outputs!$H$5:$H$124</c:f>
              <c:strCache>
                <c:ptCount val="118"/>
                <c:pt idx="0">
                  <c:v>Centralia, City of</c:v>
                </c:pt>
                <c:pt idx="1">
                  <c:v>Seattle City Light</c:v>
                </c:pt>
                <c:pt idx="2">
                  <c:v>Okanogan County PUD #1</c:v>
                </c:pt>
                <c:pt idx="3">
                  <c:v>Alder Mutual</c:v>
                </c:pt>
                <c:pt idx="4">
                  <c:v>Columbia Basin Elec Coop</c:v>
                </c:pt>
                <c:pt idx="5">
                  <c:v>Skamania County PUD #1</c:v>
                </c:pt>
                <c:pt idx="6">
                  <c:v>Cheney, City of</c:v>
                </c:pt>
                <c:pt idx="7">
                  <c:v>Emerald PUD</c:v>
                </c:pt>
                <c:pt idx="8">
                  <c:v>Lewis County PUD #1</c:v>
                </c:pt>
                <c:pt idx="9">
                  <c:v>Pacific County PUD #2</c:v>
                </c:pt>
                <c:pt idx="10">
                  <c:v>Wahkiakum County PUD #1</c:v>
                </c:pt>
                <c:pt idx="11">
                  <c:v>Bonners Ferry, City of</c:v>
                </c:pt>
                <c:pt idx="12">
                  <c:v>Ferry County PUD #1</c:v>
                </c:pt>
                <c:pt idx="13">
                  <c:v>Clark County PUD #1</c:v>
                </c:pt>
                <c:pt idx="14">
                  <c:v>Lower Valley Energy</c:v>
                </c:pt>
                <c:pt idx="15">
                  <c:v>Grant County PUD #2</c:v>
                </c:pt>
                <c:pt idx="16">
                  <c:v>Coulee Dam, City of</c:v>
                </c:pt>
                <c:pt idx="17">
                  <c:v>Tacoma Public Utilities</c:v>
                </c:pt>
                <c:pt idx="18">
                  <c:v>U.S. DOE Richland Operations Office</c:v>
                </c:pt>
                <c:pt idx="19">
                  <c:v>Grays Harbor PUD #1</c:v>
                </c:pt>
                <c:pt idx="20">
                  <c:v>U.S. DOE Albany Research Center</c:v>
                </c:pt>
                <c:pt idx="21">
                  <c:v>Eugene Water &amp; Electric Board</c:v>
                </c:pt>
                <c:pt idx="22">
                  <c:v>Idaho Falls Power</c:v>
                </c:pt>
                <c:pt idx="23">
                  <c:v>Snohomish County PUD #1</c:v>
                </c:pt>
                <c:pt idx="24">
                  <c:v>Albion, City of</c:v>
                </c:pt>
                <c:pt idx="25">
                  <c:v>Mason County PUD #1</c:v>
                </c:pt>
                <c:pt idx="26">
                  <c:v>Port Angeles, City of</c:v>
                </c:pt>
                <c:pt idx="27">
                  <c:v>Eatonville, City of</c:v>
                </c:pt>
                <c:pt idx="28">
                  <c:v>Clatskanie PUD</c:v>
                </c:pt>
                <c:pt idx="29">
                  <c:v>Elmhurst Mutual P &amp; L</c:v>
                </c:pt>
                <c:pt idx="30">
                  <c:v>Flathead Elec Coop</c:v>
                </c:pt>
                <c:pt idx="31">
                  <c:v>Ohop Mutual Light Company</c:v>
                </c:pt>
                <c:pt idx="32">
                  <c:v>Minidoka, City of</c:v>
                </c:pt>
                <c:pt idx="33">
                  <c:v>Energy Northwest</c:v>
                </c:pt>
                <c:pt idx="34">
                  <c:v>Parkland L &amp; W</c:v>
                </c:pt>
                <c:pt idx="35">
                  <c:v>Cowlitz County PUD #1</c:v>
                </c:pt>
                <c:pt idx="36">
                  <c:v>Hood River Elec Coop</c:v>
                </c:pt>
                <c:pt idx="37">
                  <c:v>Troy, City of</c:v>
                </c:pt>
                <c:pt idx="38">
                  <c:v>Milton-Freewater, City of</c:v>
                </c:pt>
                <c:pt idx="39">
                  <c:v>Kittitas County PUD #1</c:v>
                </c:pt>
                <c:pt idx="40">
                  <c:v>Chewelah, City of</c:v>
                </c:pt>
                <c:pt idx="41">
                  <c:v>Mission Valley</c:v>
                </c:pt>
                <c:pt idx="42">
                  <c:v>Farmers Elec Coop</c:v>
                </c:pt>
                <c:pt idx="43">
                  <c:v>Franklin County PUD #1</c:v>
                </c:pt>
                <c:pt idx="44">
                  <c:v>Tillamook PUD #1</c:v>
                </c:pt>
                <c:pt idx="45">
                  <c:v>Mason County PUD #3</c:v>
                </c:pt>
                <c:pt idx="46">
                  <c:v>McCleary, City of</c:v>
                </c:pt>
                <c:pt idx="47">
                  <c:v>Steilacoom, Town of</c:v>
                </c:pt>
                <c:pt idx="48">
                  <c:v>Jefferson County PUD #1</c:v>
                </c:pt>
                <c:pt idx="49">
                  <c:v>Bandon, City of</c:v>
                </c:pt>
                <c:pt idx="50">
                  <c:v>Declo, City of</c:v>
                </c:pt>
                <c:pt idx="51">
                  <c:v>Monmouth, City of</c:v>
                </c:pt>
                <c:pt idx="52">
                  <c:v>Benton County PUD #1</c:v>
                </c:pt>
                <c:pt idx="53">
                  <c:v>Peninsula Light Company</c:v>
                </c:pt>
                <c:pt idx="54">
                  <c:v>Plummer, City of</c:v>
                </c:pt>
                <c:pt idx="55">
                  <c:v>Lakeview L &amp; P (WA)</c:v>
                </c:pt>
                <c:pt idx="56">
                  <c:v>Salem Elec Coop</c:v>
                </c:pt>
                <c:pt idx="57">
                  <c:v>Kootenai Electric Coop</c:v>
                </c:pt>
                <c:pt idx="58">
                  <c:v>Idaho County L &amp; P</c:v>
                </c:pt>
                <c:pt idx="59">
                  <c:v>Tanner Elec Coop</c:v>
                </c:pt>
                <c:pt idx="60">
                  <c:v>Milton, Town of</c:v>
                </c:pt>
                <c:pt idx="61">
                  <c:v>Central Lincoln PUD</c:v>
                </c:pt>
                <c:pt idx="62">
                  <c:v>Drain, City of</c:v>
                </c:pt>
                <c:pt idx="63">
                  <c:v>Rupert, City of</c:v>
                </c:pt>
                <c:pt idx="64">
                  <c:v>Weiser, City of</c:v>
                </c:pt>
                <c:pt idx="65">
                  <c:v>Blaine, City of</c:v>
                </c:pt>
                <c:pt idx="66">
                  <c:v>Springfield Utility Board</c:v>
                </c:pt>
                <c:pt idx="67">
                  <c:v>Wasco Elec Coop</c:v>
                </c:pt>
                <c:pt idx="68">
                  <c:v>U.S. Naval Submarine Base, Bangor</c:v>
                </c:pt>
                <c:pt idx="69">
                  <c:v>Inland P &amp; L</c:v>
                </c:pt>
                <c:pt idx="70">
                  <c:v>Vera Irrigation District</c:v>
                </c:pt>
                <c:pt idx="71">
                  <c:v>Midstate Elec Coop</c:v>
                </c:pt>
                <c:pt idx="72">
                  <c:v>Glacier Elec  Coop</c:v>
                </c:pt>
                <c:pt idx="73">
                  <c:v>Burley, City of</c:v>
                </c:pt>
                <c:pt idx="74">
                  <c:v>Columbia Power Coop</c:v>
                </c:pt>
                <c:pt idx="75">
                  <c:v>Modern Elec Coop</c:v>
                </c:pt>
                <c:pt idx="76">
                  <c:v>Richland, City of</c:v>
                </c:pt>
                <c:pt idx="77">
                  <c:v>Forest Grove, City of</c:v>
                </c:pt>
                <c:pt idx="78">
                  <c:v>Soda Springs, City of</c:v>
                </c:pt>
                <c:pt idx="79">
                  <c:v>Ashland, City of</c:v>
                </c:pt>
                <c:pt idx="80">
                  <c:v>U.S. Naval Base,  Bremerton</c:v>
                </c:pt>
                <c:pt idx="81">
                  <c:v>U.S. Naval Station, Everett (Jim Creek)</c:v>
                </c:pt>
                <c:pt idx="82">
                  <c:v>Ellensburg, City of</c:v>
                </c:pt>
                <c:pt idx="83">
                  <c:v>Salmon River Elec Coop</c:v>
                </c:pt>
                <c:pt idx="84">
                  <c:v>Clallam County PUD #1</c:v>
                </c:pt>
                <c:pt idx="85">
                  <c:v>Oregon Trail Coop</c:v>
                </c:pt>
                <c:pt idx="86">
                  <c:v>Ravalli County Elec Coop</c:v>
                </c:pt>
                <c:pt idx="87">
                  <c:v>Columbia River PUD</c:v>
                </c:pt>
                <c:pt idx="88">
                  <c:v>Whatcom County PUD #1</c:v>
                </c:pt>
                <c:pt idx="89">
                  <c:v>Hermiston, City of</c:v>
                </c:pt>
                <c:pt idx="90">
                  <c:v>Cascade Locks, City of</c:v>
                </c:pt>
                <c:pt idx="91">
                  <c:v>Missoula Elec Coop</c:v>
                </c:pt>
                <c:pt idx="92">
                  <c:v>Northern Wasco County PUD</c:v>
                </c:pt>
                <c:pt idx="93">
                  <c:v>Sumas, Town of</c:v>
                </c:pt>
                <c:pt idx="94">
                  <c:v>U.S. Airforce Base, Fairchild</c:v>
                </c:pt>
                <c:pt idx="95">
                  <c:v>Umpqua Indian Utility Cooperative</c:v>
                </c:pt>
                <c:pt idx="96">
                  <c:v>Riverside Elec Coop</c:v>
                </c:pt>
                <c:pt idx="97">
                  <c:v>PNGC Aggregate</c:v>
                </c:pt>
                <c:pt idx="98">
                  <c:v>East End Mutual Electric</c:v>
                </c:pt>
                <c:pt idx="99">
                  <c:v>Benton REA</c:v>
                </c:pt>
                <c:pt idx="100">
                  <c:v>Klickitat County PUD #1</c:v>
                </c:pt>
                <c:pt idx="101">
                  <c:v>Port of Seattle - SETAC In'tl. Airport</c:v>
                </c:pt>
                <c:pt idx="102">
                  <c:v>United Electric Coop</c:v>
                </c:pt>
                <c:pt idx="103">
                  <c:v>Wells Rural Elec Coop</c:v>
                </c:pt>
                <c:pt idx="104">
                  <c:v>Nespelem Valley Elec Coop</c:v>
                </c:pt>
                <c:pt idx="105">
                  <c:v>Vigilante Elec Coop</c:v>
                </c:pt>
                <c:pt idx="106">
                  <c:v>Southside Elec Lines</c:v>
                </c:pt>
                <c:pt idx="107">
                  <c:v>Lost River Elec Coop</c:v>
                </c:pt>
                <c:pt idx="108">
                  <c:v>Canby, City of</c:v>
                </c:pt>
                <c:pt idx="109">
                  <c:v>Surprise Valley Elec Coop</c:v>
                </c:pt>
                <c:pt idx="110">
                  <c:v>McMinnville, City of</c:v>
                </c:pt>
                <c:pt idx="111">
                  <c:v>Big Bend Elec Coop</c:v>
                </c:pt>
                <c:pt idx="112">
                  <c:v>Columbia REA</c:v>
                </c:pt>
                <c:pt idx="113">
                  <c:v>Heyburn, City of</c:v>
                </c:pt>
                <c:pt idx="114">
                  <c:v>Consolidated Irrigation District #19</c:v>
                </c:pt>
                <c:pt idx="115">
                  <c:v>Harney Elec Coop</c:v>
                </c:pt>
                <c:pt idx="116">
                  <c:v>Asotin County PUD #1</c:v>
                </c:pt>
                <c:pt idx="117">
                  <c:v>Yakama Power</c:v>
                </c:pt>
              </c:strCache>
            </c:strRef>
          </c:cat>
          <c:val>
            <c:numRef>
              <c:f>Outputs!$I$5:$I$124</c:f>
              <c:numCache>
                <c:formatCode>0%</c:formatCode>
                <c:ptCount val="120"/>
                <c:pt idx="0">
                  <c:v>8.3910702224163414E-2</c:v>
                </c:pt>
                <c:pt idx="1">
                  <c:v>7.4326852013117284E-2</c:v>
                </c:pt>
                <c:pt idx="2">
                  <c:v>7.3709831627048583E-2</c:v>
                </c:pt>
                <c:pt idx="3">
                  <c:v>7.175532759575276E-2</c:v>
                </c:pt>
                <c:pt idx="4">
                  <c:v>6.8353165663822768E-2</c:v>
                </c:pt>
                <c:pt idx="5">
                  <c:v>6.7881995062330169E-2</c:v>
                </c:pt>
                <c:pt idx="6">
                  <c:v>6.6667723707924953E-2</c:v>
                </c:pt>
                <c:pt idx="7">
                  <c:v>6.5804081483126664E-2</c:v>
                </c:pt>
                <c:pt idx="8">
                  <c:v>6.5765725507158868E-2</c:v>
                </c:pt>
                <c:pt idx="9">
                  <c:v>6.502400004976483E-2</c:v>
                </c:pt>
                <c:pt idx="10">
                  <c:v>6.3405843094528347E-2</c:v>
                </c:pt>
                <c:pt idx="11">
                  <c:v>6.2866037615217918E-2</c:v>
                </c:pt>
                <c:pt idx="12">
                  <c:v>6.1105709266038755E-2</c:v>
                </c:pt>
                <c:pt idx="13">
                  <c:v>6.1000050635547698E-2</c:v>
                </c:pt>
                <c:pt idx="14">
                  <c:v>6.0446847293756045E-2</c:v>
                </c:pt>
                <c:pt idx="15">
                  <c:v>6.0342463233277632E-2</c:v>
                </c:pt>
                <c:pt idx="16">
                  <c:v>6.0226895852710349E-2</c:v>
                </c:pt>
                <c:pt idx="17">
                  <c:v>6.0185006573978184E-2</c:v>
                </c:pt>
                <c:pt idx="18">
                  <c:v>6.0157194807881398E-2</c:v>
                </c:pt>
                <c:pt idx="19">
                  <c:v>5.9871226345604045E-2</c:v>
                </c:pt>
                <c:pt idx="20">
                  <c:v>5.9794267339912777E-2</c:v>
                </c:pt>
                <c:pt idx="21">
                  <c:v>5.963067708375025E-2</c:v>
                </c:pt>
                <c:pt idx="22">
                  <c:v>5.9503304567774862E-2</c:v>
                </c:pt>
                <c:pt idx="23">
                  <c:v>5.8933405439394404E-2</c:v>
                </c:pt>
                <c:pt idx="24">
                  <c:v>5.8879657181834855E-2</c:v>
                </c:pt>
                <c:pt idx="25">
                  <c:v>5.8293123052621798E-2</c:v>
                </c:pt>
                <c:pt idx="26">
                  <c:v>5.7975681473632301E-2</c:v>
                </c:pt>
                <c:pt idx="27">
                  <c:v>5.7904160202564503E-2</c:v>
                </c:pt>
                <c:pt idx="28">
                  <c:v>5.7373944321207127E-2</c:v>
                </c:pt>
                <c:pt idx="29">
                  <c:v>5.6967176280829701E-2</c:v>
                </c:pt>
                <c:pt idx="30">
                  <c:v>5.6954836321639668E-2</c:v>
                </c:pt>
                <c:pt idx="31">
                  <c:v>5.6945470749116156E-2</c:v>
                </c:pt>
                <c:pt idx="32">
                  <c:v>5.6784053578918137E-2</c:v>
                </c:pt>
                <c:pt idx="33">
                  <c:v>5.6369503451939584E-2</c:v>
                </c:pt>
                <c:pt idx="34">
                  <c:v>5.4942662503735029E-2</c:v>
                </c:pt>
                <c:pt idx="35">
                  <c:v>5.4577026677398388E-2</c:v>
                </c:pt>
                <c:pt idx="36">
                  <c:v>5.443754382587862E-2</c:v>
                </c:pt>
                <c:pt idx="37">
                  <c:v>5.4125436745247502E-2</c:v>
                </c:pt>
                <c:pt idx="38">
                  <c:v>5.3828992145806609E-2</c:v>
                </c:pt>
                <c:pt idx="39">
                  <c:v>5.3725946259070456E-2</c:v>
                </c:pt>
                <c:pt idx="40">
                  <c:v>5.3492879805552951E-2</c:v>
                </c:pt>
                <c:pt idx="41">
                  <c:v>5.3080928727231136E-2</c:v>
                </c:pt>
                <c:pt idx="42">
                  <c:v>5.3023826104613203E-2</c:v>
                </c:pt>
                <c:pt idx="43">
                  <c:v>5.2773529640208761E-2</c:v>
                </c:pt>
                <c:pt idx="44">
                  <c:v>5.2398102858942197E-2</c:v>
                </c:pt>
                <c:pt idx="45">
                  <c:v>5.236258498255375E-2</c:v>
                </c:pt>
                <c:pt idx="46">
                  <c:v>5.2295024593795425E-2</c:v>
                </c:pt>
                <c:pt idx="47">
                  <c:v>5.1640292264401921E-2</c:v>
                </c:pt>
                <c:pt idx="48">
                  <c:v>5.1521817024703154E-2</c:v>
                </c:pt>
                <c:pt idx="49">
                  <c:v>5.1290126885538356E-2</c:v>
                </c:pt>
                <c:pt idx="50">
                  <c:v>5.126189009046711E-2</c:v>
                </c:pt>
                <c:pt idx="51">
                  <c:v>5.1180350222315596E-2</c:v>
                </c:pt>
                <c:pt idx="52">
                  <c:v>5.0674028582994524E-2</c:v>
                </c:pt>
                <c:pt idx="53">
                  <c:v>5.0659768698291252E-2</c:v>
                </c:pt>
                <c:pt idx="54">
                  <c:v>5.0567691797188674E-2</c:v>
                </c:pt>
                <c:pt idx="55">
                  <c:v>5.0285783129084383E-2</c:v>
                </c:pt>
                <c:pt idx="56">
                  <c:v>5.0054876932702941E-2</c:v>
                </c:pt>
                <c:pt idx="57">
                  <c:v>4.9892829675388883E-2</c:v>
                </c:pt>
                <c:pt idx="58">
                  <c:v>4.9844720871603965E-2</c:v>
                </c:pt>
                <c:pt idx="59">
                  <c:v>4.981663136809833E-2</c:v>
                </c:pt>
                <c:pt idx="60">
                  <c:v>4.9642291876446309E-2</c:v>
                </c:pt>
                <c:pt idx="61">
                  <c:v>4.9537912739837209E-2</c:v>
                </c:pt>
                <c:pt idx="62">
                  <c:v>4.9508385477905259E-2</c:v>
                </c:pt>
                <c:pt idx="63">
                  <c:v>4.9500477881759153E-2</c:v>
                </c:pt>
                <c:pt idx="64">
                  <c:v>4.9466121064649871E-2</c:v>
                </c:pt>
                <c:pt idx="65">
                  <c:v>4.9464773453938626E-2</c:v>
                </c:pt>
                <c:pt idx="66">
                  <c:v>4.9389524829965392E-2</c:v>
                </c:pt>
                <c:pt idx="67">
                  <c:v>4.9276827336409035E-2</c:v>
                </c:pt>
                <c:pt idx="68">
                  <c:v>4.9250589154254509E-2</c:v>
                </c:pt>
                <c:pt idx="69">
                  <c:v>4.9197776184108255E-2</c:v>
                </c:pt>
                <c:pt idx="70">
                  <c:v>4.8846895560599402E-2</c:v>
                </c:pt>
                <c:pt idx="71">
                  <c:v>4.8621317731773583E-2</c:v>
                </c:pt>
                <c:pt idx="72">
                  <c:v>4.860896710799345E-2</c:v>
                </c:pt>
                <c:pt idx="73">
                  <c:v>4.8359702080006617E-2</c:v>
                </c:pt>
                <c:pt idx="74">
                  <c:v>4.8189283131027327E-2</c:v>
                </c:pt>
                <c:pt idx="75">
                  <c:v>4.8044175430222102E-2</c:v>
                </c:pt>
                <c:pt idx="76">
                  <c:v>4.8012717667834437E-2</c:v>
                </c:pt>
                <c:pt idx="77">
                  <c:v>4.7821128830615844E-2</c:v>
                </c:pt>
                <c:pt idx="78">
                  <c:v>4.7636392277422779E-2</c:v>
                </c:pt>
                <c:pt idx="79">
                  <c:v>4.7454690640837072E-2</c:v>
                </c:pt>
                <c:pt idx="80">
                  <c:v>4.7371453708598077E-2</c:v>
                </c:pt>
                <c:pt idx="81">
                  <c:v>4.734845853643721E-2</c:v>
                </c:pt>
                <c:pt idx="82">
                  <c:v>4.6886936839704463E-2</c:v>
                </c:pt>
                <c:pt idx="83">
                  <c:v>4.6273305199727721E-2</c:v>
                </c:pt>
                <c:pt idx="84">
                  <c:v>4.6236530585700431E-2</c:v>
                </c:pt>
                <c:pt idx="85">
                  <c:v>4.6140525415232059E-2</c:v>
                </c:pt>
                <c:pt idx="86">
                  <c:v>4.6111172007150536E-2</c:v>
                </c:pt>
                <c:pt idx="87">
                  <c:v>4.6049644620740349E-2</c:v>
                </c:pt>
                <c:pt idx="88">
                  <c:v>4.6034846594706691E-2</c:v>
                </c:pt>
                <c:pt idx="89">
                  <c:v>4.6019800713200665E-2</c:v>
                </c:pt>
                <c:pt idx="90">
                  <c:v>4.5454125796055012E-2</c:v>
                </c:pt>
                <c:pt idx="91">
                  <c:v>4.5307527673636772E-2</c:v>
                </c:pt>
                <c:pt idx="92">
                  <c:v>4.5229983639093696E-2</c:v>
                </c:pt>
                <c:pt idx="93">
                  <c:v>4.4500110419016137E-2</c:v>
                </c:pt>
                <c:pt idx="94">
                  <c:v>4.3787764972972321E-2</c:v>
                </c:pt>
                <c:pt idx="95">
                  <c:v>4.3681435138267277E-2</c:v>
                </c:pt>
                <c:pt idx="96">
                  <c:v>4.3346935521793473E-2</c:v>
                </c:pt>
                <c:pt idx="97">
                  <c:v>4.2420682684360944E-2</c:v>
                </c:pt>
                <c:pt idx="98">
                  <c:v>4.0714947344018038E-2</c:v>
                </c:pt>
                <c:pt idx="99">
                  <c:v>3.9286961095428286E-2</c:v>
                </c:pt>
                <c:pt idx="100">
                  <c:v>3.9013322894584368E-2</c:v>
                </c:pt>
                <c:pt idx="101">
                  <c:v>3.8871701116223845E-2</c:v>
                </c:pt>
                <c:pt idx="102">
                  <c:v>3.7785151930806116E-2</c:v>
                </c:pt>
                <c:pt idx="103">
                  <c:v>3.6460293459106285E-2</c:v>
                </c:pt>
                <c:pt idx="104">
                  <c:v>3.5615061836198558E-2</c:v>
                </c:pt>
                <c:pt idx="105">
                  <c:v>3.3134630262394271E-2</c:v>
                </c:pt>
                <c:pt idx="106">
                  <c:v>2.9644206212160462E-2</c:v>
                </c:pt>
                <c:pt idx="107">
                  <c:v>2.7722223863294371E-2</c:v>
                </c:pt>
                <c:pt idx="108">
                  <c:v>2.6402967266843325E-2</c:v>
                </c:pt>
                <c:pt idx="109">
                  <c:v>2.4486599903849937E-2</c:v>
                </c:pt>
                <c:pt idx="110">
                  <c:v>2.318916695110973E-2</c:v>
                </c:pt>
                <c:pt idx="111">
                  <c:v>1.9851147369402078E-2</c:v>
                </c:pt>
                <c:pt idx="112">
                  <c:v>1.8014214151025776E-2</c:v>
                </c:pt>
                <c:pt idx="113">
                  <c:v>1.7502851967159172E-2</c:v>
                </c:pt>
                <c:pt idx="114">
                  <c:v>1.3425087595296592E-2</c:v>
                </c:pt>
                <c:pt idx="115">
                  <c:v>4.7265133621543498E-3</c:v>
                </c:pt>
                <c:pt idx="116">
                  <c:v>4.0043759629013742E-3</c:v>
                </c:pt>
                <c:pt idx="117">
                  <c:v>-4.2533240043217235E-2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9360128"/>
        <c:axId val="139361664"/>
      </c:barChart>
      <c:lineChart>
        <c:grouping val="standard"/>
        <c:varyColors val="0"/>
        <c:ser>
          <c:idx val="1"/>
          <c:order val="1"/>
          <c:tx>
            <c:v>Cumulative GWhs</c:v>
          </c:tx>
          <c:marker>
            <c:symbol val="square"/>
            <c:size val="3"/>
          </c:marker>
          <c:val>
            <c:numRef>
              <c:f>Outputs!$L$5:$L$124</c:f>
              <c:numCache>
                <c:formatCode>_(* #,##0_);_(* \(#,##0\);_(* "-"??_);_(@_)</c:formatCode>
                <c:ptCount val="120"/>
                <c:pt idx="0">
                  <c:v>188.50940506464556</c:v>
                </c:pt>
                <c:pt idx="1">
                  <c:v>4662.5964703515638</c:v>
                </c:pt>
                <c:pt idx="2">
                  <c:v>4836.8804729192661</c:v>
                </c:pt>
                <c:pt idx="3">
                  <c:v>4841.6021129192659</c:v>
                </c:pt>
                <c:pt idx="4">
                  <c:v>4935.2486364432016</c:v>
                </c:pt>
                <c:pt idx="5">
                  <c:v>5068.8182293919217</c:v>
                </c:pt>
                <c:pt idx="6">
                  <c:v>5199.1932293808477</c:v>
                </c:pt>
                <c:pt idx="7">
                  <c:v>5402.0192323791043</c:v>
                </c:pt>
                <c:pt idx="8">
                  <c:v>5761.5912377216646</c:v>
                </c:pt>
                <c:pt idx="9">
                  <c:v>5888.4802396033738</c:v>
                </c:pt>
                <c:pt idx="10">
                  <c:v>5931.5878322308763</c:v>
                </c:pt>
                <c:pt idx="11">
                  <c:v>5977.4376722308762</c:v>
                </c:pt>
                <c:pt idx="12">
                  <c:v>6062.4866364935151</c:v>
                </c:pt>
                <c:pt idx="13">
                  <c:v>7334.5636552845172</c:v>
                </c:pt>
                <c:pt idx="14">
                  <c:v>8076.1541971037477</c:v>
                </c:pt>
                <c:pt idx="15">
                  <c:v>8120.9002771037476</c:v>
                </c:pt>
                <c:pt idx="16">
                  <c:v>8137.3946193443644</c:v>
                </c:pt>
                <c:pt idx="17">
                  <c:v>9605.1656410809901</c:v>
                </c:pt>
                <c:pt idx="18">
                  <c:v>9763.8254393957395</c:v>
                </c:pt>
                <c:pt idx="19">
                  <c:v>10288.181447145709</c:v>
                </c:pt>
                <c:pt idx="20">
                  <c:v>10292.132207145709</c:v>
                </c:pt>
                <c:pt idx="21">
                  <c:v>11264.428221519605</c:v>
                </c:pt>
                <c:pt idx="22">
                  <c:v>11502.389225041521</c:v>
                </c:pt>
                <c:pt idx="23">
                  <c:v>14938.424275703717</c:v>
                </c:pt>
                <c:pt idx="24">
                  <c:v>14941.682918753686</c:v>
                </c:pt>
                <c:pt idx="25">
                  <c:v>15017.763318883812</c:v>
                </c:pt>
                <c:pt idx="26">
                  <c:v>15287.741421822524</c:v>
                </c:pt>
                <c:pt idx="27">
                  <c:v>15316.324688239498</c:v>
                </c:pt>
                <c:pt idx="28">
                  <c:v>15610.298692600065</c:v>
                </c:pt>
                <c:pt idx="29">
                  <c:v>15887.318633641467</c:v>
                </c:pt>
                <c:pt idx="30">
                  <c:v>17298.261597619319</c:v>
                </c:pt>
                <c:pt idx="31">
                  <c:v>17383.917291868998</c:v>
                </c:pt>
                <c:pt idx="32">
                  <c:v>17384.728869881867</c:v>
                </c:pt>
                <c:pt idx="33">
                  <c:v>17405.874209218873</c:v>
                </c:pt>
                <c:pt idx="34">
                  <c:v>17524.993549956711</c:v>
                </c:pt>
                <c:pt idx="35">
                  <c:v>19803.735583600181</c:v>
                </c:pt>
                <c:pt idx="36">
                  <c:v>19916.632741247307</c:v>
                </c:pt>
                <c:pt idx="37">
                  <c:v>19934.196541247307</c:v>
                </c:pt>
                <c:pt idx="38">
                  <c:v>20015.461036486337</c:v>
                </c:pt>
                <c:pt idx="39">
                  <c:v>20099.092756486338</c:v>
                </c:pt>
                <c:pt idx="40">
                  <c:v>20121.440128823077</c:v>
                </c:pt>
                <c:pt idx="41">
                  <c:v>20447.11848059556</c:v>
                </c:pt>
                <c:pt idx="42">
                  <c:v>20451.459515659375</c:v>
                </c:pt>
                <c:pt idx="43">
                  <c:v>20982.798523498899</c:v>
                </c:pt>
                <c:pt idx="44">
                  <c:v>21457.70263643143</c:v>
                </c:pt>
                <c:pt idx="45">
                  <c:v>22146.641596431429</c:v>
                </c:pt>
                <c:pt idx="46">
                  <c:v>22177.710442898904</c:v>
                </c:pt>
                <c:pt idx="47">
                  <c:v>22218.888919499692</c:v>
                </c:pt>
                <c:pt idx="48">
                  <c:v>22597.30174509991</c:v>
                </c:pt>
                <c:pt idx="49">
                  <c:v>22662.330300054033</c:v>
                </c:pt>
                <c:pt idx="50">
                  <c:v>22665.422580054033</c:v>
                </c:pt>
                <c:pt idx="51">
                  <c:v>22737.508620054032</c:v>
                </c:pt>
                <c:pt idx="52">
                  <c:v>23631.011633217302</c:v>
                </c:pt>
                <c:pt idx="53">
                  <c:v>24220.217356813293</c:v>
                </c:pt>
                <c:pt idx="54">
                  <c:v>24253.756670309438</c:v>
                </c:pt>
                <c:pt idx="55">
                  <c:v>24526.163909283652</c:v>
                </c:pt>
                <c:pt idx="56">
                  <c:v>24853.70191606208</c:v>
                </c:pt>
                <c:pt idx="57">
                  <c:v>25293.283675475213</c:v>
                </c:pt>
                <c:pt idx="58">
                  <c:v>25346.842315475213</c:v>
                </c:pt>
                <c:pt idx="59">
                  <c:v>25438.718774862464</c:v>
                </c:pt>
                <c:pt idx="60">
                  <c:v>25497.628196797683</c:v>
                </c:pt>
                <c:pt idx="61">
                  <c:v>26841.528454333788</c:v>
                </c:pt>
                <c:pt idx="62">
                  <c:v>26858.032294333789</c:v>
                </c:pt>
                <c:pt idx="63">
                  <c:v>26939.24625433379</c:v>
                </c:pt>
                <c:pt idx="64">
                  <c:v>26993.79477433379</c:v>
                </c:pt>
                <c:pt idx="65">
                  <c:v>27069.183334333789</c:v>
                </c:pt>
                <c:pt idx="66">
                  <c:v>27896.018928396665</c:v>
                </c:pt>
                <c:pt idx="67">
                  <c:v>28004.204914064474</c:v>
                </c:pt>
                <c:pt idx="68">
                  <c:v>28175.148128551496</c:v>
                </c:pt>
                <c:pt idx="69">
                  <c:v>29059.374139741481</c:v>
                </c:pt>
                <c:pt idx="70">
                  <c:v>29293.448551156445</c:v>
                </c:pt>
                <c:pt idx="71">
                  <c:v>29685.107529870449</c:v>
                </c:pt>
                <c:pt idx="72">
                  <c:v>29845.647529212623</c:v>
                </c:pt>
                <c:pt idx="73">
                  <c:v>29965.887096981169</c:v>
                </c:pt>
                <c:pt idx="74">
                  <c:v>29992.501494358203</c:v>
                </c:pt>
                <c:pt idx="75">
                  <c:v>30219.061374358203</c:v>
                </c:pt>
                <c:pt idx="76">
                  <c:v>31111.614442418162</c:v>
                </c:pt>
                <c:pt idx="77">
                  <c:v>31341.599482418162</c:v>
                </c:pt>
                <c:pt idx="78">
                  <c:v>31367.77436241816</c:v>
                </c:pt>
                <c:pt idx="79">
                  <c:v>31542.833443067608</c:v>
                </c:pt>
                <c:pt idx="80">
                  <c:v>31796.537177729755</c:v>
                </c:pt>
                <c:pt idx="81">
                  <c:v>31808.579018914188</c:v>
                </c:pt>
                <c:pt idx="82">
                  <c:v>32014.53646392993</c:v>
                </c:pt>
                <c:pt idx="83">
                  <c:v>32114.092850382418</c:v>
                </c:pt>
                <c:pt idx="84">
                  <c:v>32758.955855942917</c:v>
                </c:pt>
                <c:pt idx="85">
                  <c:v>33441.456215942919</c:v>
                </c:pt>
                <c:pt idx="86">
                  <c:v>33601.045895942916</c:v>
                </c:pt>
                <c:pt idx="87">
                  <c:v>34091.890945103994</c:v>
                </c:pt>
                <c:pt idx="88">
                  <c:v>34321.932872450438</c:v>
                </c:pt>
                <c:pt idx="89">
                  <c:v>34430.43923804014</c:v>
                </c:pt>
                <c:pt idx="90">
                  <c:v>34450.92887804014</c:v>
                </c:pt>
                <c:pt idx="91">
                  <c:v>34683.524398040143</c:v>
                </c:pt>
                <c:pt idx="92">
                  <c:v>35241.755398040143</c:v>
                </c:pt>
                <c:pt idx="93">
                  <c:v>35273.15123804014</c:v>
                </c:pt>
                <c:pt idx="94">
                  <c:v>35320.894955746015</c:v>
                </c:pt>
                <c:pt idx="95">
                  <c:v>35344.531197092518</c:v>
                </c:pt>
                <c:pt idx="96">
                  <c:v>35364.985797092515</c:v>
                </c:pt>
                <c:pt idx="97">
                  <c:v>39934.666077092515</c:v>
                </c:pt>
                <c:pt idx="98">
                  <c:v>39957.827517092519</c:v>
                </c:pt>
                <c:pt idx="99">
                  <c:v>40464.251318594681</c:v>
                </c:pt>
                <c:pt idx="100">
                  <c:v>40780.233278594678</c:v>
                </c:pt>
                <c:pt idx="101">
                  <c:v>40929.162038594681</c:v>
                </c:pt>
                <c:pt idx="102">
                  <c:v>41187.54598036431</c:v>
                </c:pt>
                <c:pt idx="103">
                  <c:v>41990.902810407482</c:v>
                </c:pt>
                <c:pt idx="104">
                  <c:v>42039.029538147086</c:v>
                </c:pt>
                <c:pt idx="105">
                  <c:v>42204.111738147083</c:v>
                </c:pt>
                <c:pt idx="106">
                  <c:v>42262.427058147085</c:v>
                </c:pt>
                <c:pt idx="107">
                  <c:v>42344.534538147083</c:v>
                </c:pt>
                <c:pt idx="108">
                  <c:v>42519.585618147081</c:v>
                </c:pt>
                <c:pt idx="109">
                  <c:v>42661.217298147079</c:v>
                </c:pt>
                <c:pt idx="110">
                  <c:v>43419.557350235504</c:v>
                </c:pt>
                <c:pt idx="111">
                  <c:v>43947.014470235503</c:v>
                </c:pt>
                <c:pt idx="112">
                  <c:v>44271.905350235502</c:v>
                </c:pt>
                <c:pt idx="113">
                  <c:v>44313.427750235503</c:v>
                </c:pt>
                <c:pt idx="114">
                  <c:v>44315.389990235504</c:v>
                </c:pt>
                <c:pt idx="115">
                  <c:v>44511.500110235502</c:v>
                </c:pt>
                <c:pt idx="116">
                  <c:v>44516.440750235502</c:v>
                </c:pt>
                <c:pt idx="117">
                  <c:v>44661.903023357649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73184"/>
        <c:axId val="139371648"/>
      </c:lineChart>
      <c:catAx>
        <c:axId val="13936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400"/>
            </a:pPr>
            <a:endParaRPr lang="en-US"/>
          </a:p>
        </c:txPr>
        <c:crossAx val="139361664"/>
        <c:crosses val="autoZero"/>
        <c:auto val="1"/>
        <c:lblAlgn val="ctr"/>
        <c:lblOffset val="100"/>
        <c:noMultiLvlLbl val="0"/>
      </c:catAx>
      <c:valAx>
        <c:axId val="1393616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800"/>
            </a:pPr>
            <a:endParaRPr lang="en-US"/>
          </a:p>
        </c:txPr>
        <c:crossAx val="139360128"/>
        <c:crosses val="autoZero"/>
        <c:crossBetween val="between"/>
      </c:valAx>
      <c:valAx>
        <c:axId val="139371648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txPr>
          <a:bodyPr rot="-5340000" vert="horz" anchor="t" anchorCtr="1"/>
          <a:lstStyle/>
          <a:p>
            <a:pPr>
              <a:defRPr sz="800"/>
            </a:pPr>
            <a:endParaRPr lang="en-US"/>
          </a:p>
        </c:txPr>
        <c:crossAx val="139373184"/>
        <c:crosses val="max"/>
        <c:crossBetween val="between"/>
      </c:valAx>
      <c:catAx>
        <c:axId val="139373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3937164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1">
    <tabColor rgb="FFFFFF99"/>
  </sheetPr>
  <sheetViews>
    <sheetView tabSelected="1" workbookViewId="0"/>
  </sheetViews>
  <pageMargins left="0.25" right="0.25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">
    <tabColor rgb="FFFFFF99"/>
  </sheetPr>
  <sheetViews>
    <sheetView zoomScale="120" workbookViewId="0"/>
  </sheetViews>
  <pageMargins left="0.25" right="0.25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22">
    <tabColor rgb="FFFFFF99"/>
  </sheetPr>
  <sheetViews>
    <sheetView workbookViewId="0"/>
  </sheetViews>
  <pageMargins left="0.25" right="0.25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678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0.29175</cdr:x>
      <cdr:y>0.10926</cdr:y>
    </cdr:from>
    <cdr:to>
      <cdr:x>0.70624</cdr:x>
      <cdr:y>0.14264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0" y="685800"/>
          <a:ext cx="39243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59058" cy="62718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4678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s8701\Desktop\PublicRateImpacts_BP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_TRM_12"/>
      <sheetName val="Rates_TRM_14"/>
      <sheetName val="Billing Determinants_TRM"/>
      <sheetName val="TRM-12_Charges"/>
      <sheetName val="Charges_TRM&amp;Impacts"/>
      <sheetName val="PastedResults&amp;Sorted"/>
      <sheetName val="Live"/>
      <sheetName val="NoSliceEffectiveRate"/>
      <sheetName val="ByGroupRateImpact2"/>
      <sheetName val="Impact&amp;Impact5"/>
      <sheetName val="NoSliceRateImpact1"/>
    </sheetNames>
    <sheetDataSet>
      <sheetData sheetId="0"/>
      <sheetData sheetId="1"/>
      <sheetData sheetId="2"/>
      <sheetData sheetId="3"/>
      <sheetData sheetId="4"/>
      <sheetData sheetId="5">
        <row r="2">
          <cell r="W2" t="str">
            <v>Load Following IRD Customer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U400"/>
  <sheetViews>
    <sheetView workbookViewId="0">
      <selection activeCell="U33" sqref="U33"/>
    </sheetView>
  </sheetViews>
  <sheetFormatPr defaultRowHeight="15"/>
  <cols>
    <col min="1" max="1" width="14.7109375" style="33" bestFit="1" customWidth="1"/>
    <col min="2" max="2" width="5" style="33" customWidth="1"/>
    <col min="3" max="3" width="5.7109375" style="33" customWidth="1"/>
    <col min="4" max="4" width="7.42578125" style="33" customWidth="1"/>
    <col min="5" max="9" width="5" style="33" customWidth="1"/>
    <col min="10" max="10" width="5" style="36" bestFit="1" customWidth="1"/>
    <col min="11" max="11" width="5.140625" style="36" bestFit="1" customWidth="1"/>
    <col min="12" max="12" width="5.5703125" style="36" bestFit="1" customWidth="1"/>
    <col min="13" max="13" width="6.28515625" style="33" customWidth="1"/>
    <col min="14" max="14" width="5" style="33" customWidth="1"/>
    <col min="16" max="16" width="15.28515625" customWidth="1"/>
  </cols>
  <sheetData>
    <row r="1" spans="1:21">
      <c r="A1" s="39"/>
      <c r="B1" s="39"/>
      <c r="C1" s="39"/>
      <c r="D1" s="39"/>
      <c r="E1" s="39"/>
      <c r="F1" s="39"/>
      <c r="G1" s="39"/>
      <c r="H1" s="39"/>
      <c r="I1" s="39"/>
      <c r="J1" s="88"/>
      <c r="K1" s="39"/>
      <c r="L1" s="39"/>
      <c r="M1" s="39"/>
      <c r="N1" s="39"/>
      <c r="O1" s="2"/>
    </row>
    <row r="2" spans="1:21">
      <c r="A2" s="88"/>
      <c r="B2" s="88"/>
      <c r="C2" s="88"/>
      <c r="D2" s="88"/>
      <c r="E2" s="88"/>
      <c r="F2" s="88"/>
      <c r="G2" s="88"/>
      <c r="H2" s="88"/>
      <c r="I2" s="88"/>
      <c r="J2" s="88"/>
      <c r="K2" s="39"/>
      <c r="L2" s="39"/>
      <c r="M2" s="39"/>
      <c r="N2" s="39"/>
      <c r="O2" s="2"/>
    </row>
    <row r="3" spans="1:21" ht="15.75">
      <c r="B3" s="42" t="s">
        <v>151</v>
      </c>
      <c r="C3" s="43"/>
      <c r="D3" s="43"/>
      <c r="E3" s="43"/>
      <c r="F3" s="43"/>
      <c r="G3" s="43"/>
      <c r="H3" s="43"/>
      <c r="I3" s="43"/>
      <c r="J3" s="43"/>
      <c r="K3" s="42" t="s">
        <v>152</v>
      </c>
      <c r="L3" s="44"/>
      <c r="M3" s="44"/>
      <c r="N3" s="43"/>
      <c r="O3" s="2"/>
      <c r="P3" s="42" t="s">
        <v>226</v>
      </c>
      <c r="R3" s="100">
        <v>2016</v>
      </c>
    </row>
    <row r="4" spans="1:21" ht="26.25">
      <c r="A4" s="90"/>
      <c r="B4" s="91" t="s">
        <v>153</v>
      </c>
      <c r="C4" s="92" t="s">
        <v>154</v>
      </c>
      <c r="D4" s="92" t="s">
        <v>155</v>
      </c>
      <c r="E4" s="92" t="s">
        <v>156</v>
      </c>
      <c r="F4" s="92" t="s">
        <v>157</v>
      </c>
      <c r="G4" s="92" t="s">
        <v>143</v>
      </c>
      <c r="H4" s="93" t="s">
        <v>144</v>
      </c>
      <c r="I4" s="94" t="s">
        <v>158</v>
      </c>
      <c r="J4" s="95"/>
      <c r="K4" s="91" t="s">
        <v>159</v>
      </c>
      <c r="L4" s="92" t="s">
        <v>154</v>
      </c>
      <c r="M4" s="93" t="s">
        <v>155</v>
      </c>
      <c r="N4" s="95"/>
      <c r="O4" s="2"/>
      <c r="P4" s="42" t="s">
        <v>227</v>
      </c>
      <c r="R4" s="101">
        <v>2018</v>
      </c>
    </row>
    <row r="5" spans="1:21">
      <c r="A5" s="46">
        <v>2011</v>
      </c>
      <c r="B5" s="47">
        <v>40544</v>
      </c>
      <c r="C5" s="48">
        <v>31</v>
      </c>
      <c r="D5" s="48">
        <v>744</v>
      </c>
      <c r="E5" s="48">
        <v>5</v>
      </c>
      <c r="F5" s="48">
        <v>1</v>
      </c>
      <c r="G5" s="48">
        <v>400</v>
      </c>
      <c r="H5" s="49">
        <v>344</v>
      </c>
      <c r="I5" s="50">
        <v>0.5376344086021505</v>
      </c>
      <c r="J5" s="33"/>
      <c r="K5" s="51">
        <v>2009</v>
      </c>
      <c r="L5" s="52">
        <v>365</v>
      </c>
      <c r="M5" s="53">
        <v>8760</v>
      </c>
    </row>
    <row r="6" spans="1:21">
      <c r="B6" s="54">
        <v>40575</v>
      </c>
      <c r="C6" s="33">
        <v>28</v>
      </c>
      <c r="D6" s="33">
        <v>672</v>
      </c>
      <c r="E6" s="33">
        <v>4</v>
      </c>
      <c r="F6" s="33">
        <v>0</v>
      </c>
      <c r="G6" s="33">
        <v>384</v>
      </c>
      <c r="H6" s="55">
        <v>288</v>
      </c>
      <c r="I6" s="56">
        <v>0.5714285714285714</v>
      </c>
      <c r="J6" s="33"/>
      <c r="K6" s="57">
        <v>2010</v>
      </c>
      <c r="L6" s="36">
        <v>365</v>
      </c>
      <c r="M6" s="58">
        <v>8760</v>
      </c>
    </row>
    <row r="7" spans="1:21">
      <c r="B7" s="54">
        <v>40603</v>
      </c>
      <c r="C7" s="33">
        <v>31</v>
      </c>
      <c r="D7" s="33">
        <v>743</v>
      </c>
      <c r="E7" s="33">
        <v>4</v>
      </c>
      <c r="F7" s="33">
        <v>0</v>
      </c>
      <c r="G7" s="33">
        <v>432</v>
      </c>
      <c r="H7" s="55">
        <v>311</v>
      </c>
      <c r="I7" s="56">
        <v>0.58142664872139971</v>
      </c>
      <c r="J7" s="33"/>
      <c r="K7" s="57">
        <v>2011</v>
      </c>
      <c r="L7" s="36">
        <v>365</v>
      </c>
      <c r="M7" s="58">
        <v>8760</v>
      </c>
      <c r="P7" s="96"/>
    </row>
    <row r="8" spans="1:21" ht="15.75">
      <c r="B8" s="54">
        <v>40634</v>
      </c>
      <c r="C8" s="33">
        <v>30</v>
      </c>
      <c r="D8" s="33">
        <v>720</v>
      </c>
      <c r="E8" s="33">
        <v>4</v>
      </c>
      <c r="F8" s="33">
        <v>0</v>
      </c>
      <c r="G8" s="33">
        <v>416</v>
      </c>
      <c r="H8" s="55">
        <v>304</v>
      </c>
      <c r="I8" s="56">
        <v>0.57777777777777772</v>
      </c>
      <c r="J8" s="33"/>
      <c r="K8" s="57">
        <v>2012</v>
      </c>
      <c r="L8" s="36">
        <v>366</v>
      </c>
      <c r="M8" s="58">
        <v>8784</v>
      </c>
      <c r="P8" s="42" t="s">
        <v>280</v>
      </c>
    </row>
    <row r="9" spans="1:21">
      <c r="B9" s="54">
        <v>40664</v>
      </c>
      <c r="C9" s="33">
        <v>31</v>
      </c>
      <c r="D9" s="33">
        <v>744</v>
      </c>
      <c r="E9" s="33">
        <v>5</v>
      </c>
      <c r="F9" s="33">
        <v>1</v>
      </c>
      <c r="G9" s="33">
        <v>400</v>
      </c>
      <c r="H9" s="55">
        <v>344</v>
      </c>
      <c r="I9" s="56">
        <v>0.5376344086021505</v>
      </c>
      <c r="J9" s="33"/>
      <c r="K9" s="57">
        <v>2013</v>
      </c>
      <c r="L9" s="36">
        <v>365</v>
      </c>
      <c r="M9" s="58">
        <v>8760</v>
      </c>
      <c r="R9" s="99" t="s">
        <v>407</v>
      </c>
    </row>
    <row r="10" spans="1:21">
      <c r="B10" s="54">
        <v>40695</v>
      </c>
      <c r="C10" s="33">
        <v>30</v>
      </c>
      <c r="D10" s="33">
        <v>720</v>
      </c>
      <c r="E10" s="33">
        <v>4</v>
      </c>
      <c r="F10" s="33">
        <v>0</v>
      </c>
      <c r="G10" s="33">
        <v>416</v>
      </c>
      <c r="H10" s="55">
        <v>304</v>
      </c>
      <c r="I10" s="56">
        <v>0.57777777777777772</v>
      </c>
      <c r="J10" s="33"/>
      <c r="K10" s="57">
        <v>2014</v>
      </c>
      <c r="L10" s="36">
        <v>365</v>
      </c>
      <c r="M10" s="58">
        <v>8760</v>
      </c>
    </row>
    <row r="11" spans="1:21" ht="15.75">
      <c r="B11" s="54">
        <v>40725</v>
      </c>
      <c r="C11" s="33">
        <v>31</v>
      </c>
      <c r="D11" s="33">
        <v>744</v>
      </c>
      <c r="E11" s="33">
        <v>5</v>
      </c>
      <c r="F11" s="33">
        <v>1</v>
      </c>
      <c r="G11" s="33">
        <v>400</v>
      </c>
      <c r="H11" s="55">
        <v>344</v>
      </c>
      <c r="I11" s="56">
        <v>0.5376344086021505</v>
      </c>
      <c r="J11" s="33"/>
      <c r="K11" s="57">
        <v>2015</v>
      </c>
      <c r="L11" s="36">
        <v>365</v>
      </c>
      <c r="M11" s="58">
        <v>8760</v>
      </c>
      <c r="P11" s="42" t="s">
        <v>404</v>
      </c>
      <c r="Q11" s="397"/>
      <c r="R11" s="397"/>
      <c r="S11" s="397"/>
      <c r="T11" s="397"/>
    </row>
    <row r="12" spans="1:21">
      <c r="B12" s="54">
        <v>40756</v>
      </c>
      <c r="C12" s="33">
        <v>31</v>
      </c>
      <c r="D12" s="33">
        <v>744</v>
      </c>
      <c r="E12" s="33">
        <v>4</v>
      </c>
      <c r="F12" s="33">
        <v>0</v>
      </c>
      <c r="G12" s="33">
        <v>432</v>
      </c>
      <c r="H12" s="55">
        <v>312</v>
      </c>
      <c r="I12" s="56">
        <v>0.58064516129032262</v>
      </c>
      <c r="J12" s="33"/>
      <c r="K12" s="57">
        <v>2016</v>
      </c>
      <c r="L12" s="36">
        <v>366</v>
      </c>
      <c r="M12" s="58">
        <v>8784</v>
      </c>
      <c r="P12" s="397"/>
      <c r="Q12" s="397"/>
      <c r="R12" s="99" t="s">
        <v>374</v>
      </c>
      <c r="S12" s="397"/>
      <c r="T12" s="397"/>
    </row>
    <row r="13" spans="1:21">
      <c r="B13" s="54">
        <v>40787</v>
      </c>
      <c r="C13" s="33">
        <v>30</v>
      </c>
      <c r="D13" s="33">
        <v>720</v>
      </c>
      <c r="E13" s="33">
        <v>4</v>
      </c>
      <c r="F13" s="33">
        <v>1</v>
      </c>
      <c r="G13" s="33">
        <v>400</v>
      </c>
      <c r="H13" s="55">
        <v>320</v>
      </c>
      <c r="I13" s="56">
        <v>0.55555555555555558</v>
      </c>
      <c r="J13" s="33"/>
      <c r="K13" s="57">
        <v>2017</v>
      </c>
      <c r="L13" s="36">
        <v>365</v>
      </c>
      <c r="M13" s="58">
        <v>8760</v>
      </c>
    </row>
    <row r="14" spans="1:21" ht="15.75">
      <c r="B14" s="54">
        <v>40817</v>
      </c>
      <c r="C14" s="33">
        <v>31</v>
      </c>
      <c r="D14" s="33">
        <v>744</v>
      </c>
      <c r="E14" s="33">
        <v>5</v>
      </c>
      <c r="F14" s="33">
        <v>0</v>
      </c>
      <c r="G14" s="33">
        <v>416</v>
      </c>
      <c r="H14" s="55">
        <v>328</v>
      </c>
      <c r="I14" s="56">
        <v>0.55913978494623651</v>
      </c>
      <c r="J14" s="33"/>
      <c r="K14" s="57">
        <v>2018</v>
      </c>
      <c r="L14" s="36">
        <v>365</v>
      </c>
      <c r="M14" s="58">
        <v>8760</v>
      </c>
      <c r="P14" s="42" t="s">
        <v>405</v>
      </c>
      <c r="Q14" s="397"/>
      <c r="R14" s="397"/>
      <c r="S14" s="397"/>
      <c r="T14" s="397"/>
      <c r="U14" s="397"/>
    </row>
    <row r="15" spans="1:21">
      <c r="B15" s="54">
        <v>40848</v>
      </c>
      <c r="C15" s="33">
        <v>30</v>
      </c>
      <c r="D15" s="33">
        <v>721</v>
      </c>
      <c r="E15" s="33">
        <v>4</v>
      </c>
      <c r="F15" s="33">
        <v>1</v>
      </c>
      <c r="G15" s="33">
        <v>400</v>
      </c>
      <c r="H15" s="55">
        <v>321</v>
      </c>
      <c r="I15" s="56">
        <v>0.55478502080443826</v>
      </c>
      <c r="J15" s="33"/>
      <c r="K15" s="57">
        <v>2019</v>
      </c>
      <c r="L15" s="36">
        <v>365</v>
      </c>
      <c r="M15" s="58">
        <v>8760</v>
      </c>
      <c r="P15" s="397"/>
      <c r="Q15" s="397"/>
      <c r="R15" s="99" t="s">
        <v>374</v>
      </c>
      <c r="S15" s="397"/>
      <c r="T15" s="397"/>
      <c r="U15" s="397"/>
    </row>
    <row r="16" spans="1:21">
      <c r="B16" s="54">
        <v>40878</v>
      </c>
      <c r="C16" s="33">
        <v>31</v>
      </c>
      <c r="D16" s="33">
        <v>744</v>
      </c>
      <c r="E16" s="33">
        <v>4</v>
      </c>
      <c r="F16" s="33">
        <v>1</v>
      </c>
      <c r="G16" s="33">
        <v>416</v>
      </c>
      <c r="H16" s="55">
        <v>328</v>
      </c>
      <c r="I16" s="56">
        <v>0.55913978494623651</v>
      </c>
      <c r="J16" s="33"/>
      <c r="K16" s="57">
        <v>2020</v>
      </c>
      <c r="L16" s="36">
        <v>366</v>
      </c>
      <c r="M16" s="58">
        <v>8784</v>
      </c>
    </row>
    <row r="17" spans="1:13">
      <c r="A17" s="46">
        <v>2012</v>
      </c>
      <c r="B17" s="54">
        <v>40909</v>
      </c>
      <c r="C17" s="33">
        <v>31</v>
      </c>
      <c r="D17" s="33">
        <v>744</v>
      </c>
      <c r="E17" s="33">
        <v>5</v>
      </c>
      <c r="F17" s="33">
        <v>1</v>
      </c>
      <c r="G17" s="33">
        <v>400</v>
      </c>
      <c r="H17" s="55">
        <v>344</v>
      </c>
      <c r="I17" s="56">
        <v>0.5376344086021505</v>
      </c>
      <c r="J17" s="33"/>
      <c r="K17" s="57">
        <v>2021</v>
      </c>
      <c r="L17" s="36">
        <v>365</v>
      </c>
      <c r="M17" s="58">
        <v>8760</v>
      </c>
    </row>
    <row r="18" spans="1:13">
      <c r="B18" s="54">
        <v>40940</v>
      </c>
      <c r="C18" s="33">
        <v>29</v>
      </c>
      <c r="D18" s="33">
        <v>696</v>
      </c>
      <c r="E18" s="33">
        <v>4</v>
      </c>
      <c r="F18" s="33">
        <v>0</v>
      </c>
      <c r="G18" s="33">
        <v>400</v>
      </c>
      <c r="H18" s="55">
        <v>296</v>
      </c>
      <c r="I18" s="56">
        <v>0.57471264367816088</v>
      </c>
      <c r="J18" s="33"/>
      <c r="K18" s="57">
        <v>2022</v>
      </c>
      <c r="L18" s="36">
        <v>365</v>
      </c>
      <c r="M18" s="58">
        <v>8760</v>
      </c>
    </row>
    <row r="19" spans="1:13">
      <c r="B19" s="54">
        <v>40969</v>
      </c>
      <c r="C19" s="33">
        <v>31</v>
      </c>
      <c r="D19" s="33">
        <v>743</v>
      </c>
      <c r="E19" s="33">
        <v>4</v>
      </c>
      <c r="F19" s="33">
        <v>0</v>
      </c>
      <c r="G19" s="33">
        <v>432</v>
      </c>
      <c r="H19" s="55">
        <v>311</v>
      </c>
      <c r="I19" s="56">
        <v>0.58142664872139971</v>
      </c>
      <c r="J19" s="33"/>
      <c r="K19" s="57">
        <v>2023</v>
      </c>
      <c r="L19" s="36">
        <v>365</v>
      </c>
      <c r="M19" s="58">
        <v>8760</v>
      </c>
    </row>
    <row r="20" spans="1:13">
      <c r="B20" s="54">
        <v>41000</v>
      </c>
      <c r="C20" s="33">
        <v>30</v>
      </c>
      <c r="D20" s="33">
        <v>720</v>
      </c>
      <c r="E20" s="33">
        <v>5</v>
      </c>
      <c r="F20" s="33">
        <v>0</v>
      </c>
      <c r="G20" s="33">
        <v>400</v>
      </c>
      <c r="H20" s="55">
        <v>320</v>
      </c>
      <c r="I20" s="56">
        <v>0.55555555555555558</v>
      </c>
      <c r="J20" s="33"/>
      <c r="K20" s="57">
        <v>2024</v>
      </c>
      <c r="L20" s="36">
        <v>366</v>
      </c>
      <c r="M20" s="58">
        <v>8784</v>
      </c>
    </row>
    <row r="21" spans="1:13">
      <c r="B21" s="54">
        <v>41030</v>
      </c>
      <c r="C21" s="33">
        <v>31</v>
      </c>
      <c r="D21" s="33">
        <v>744</v>
      </c>
      <c r="E21" s="33">
        <v>4</v>
      </c>
      <c r="F21" s="33">
        <v>1</v>
      </c>
      <c r="G21" s="33">
        <v>416</v>
      </c>
      <c r="H21" s="55">
        <v>328</v>
      </c>
      <c r="I21" s="56">
        <v>0.55913978494623651</v>
      </c>
      <c r="J21" s="33"/>
      <c r="K21" s="57">
        <v>2025</v>
      </c>
      <c r="L21" s="36">
        <v>365</v>
      </c>
      <c r="M21" s="58">
        <v>8760</v>
      </c>
    </row>
    <row r="22" spans="1:13">
      <c r="B22" s="54">
        <v>41061</v>
      </c>
      <c r="C22" s="33">
        <v>30</v>
      </c>
      <c r="D22" s="33">
        <v>720</v>
      </c>
      <c r="E22" s="33">
        <v>4</v>
      </c>
      <c r="F22" s="33">
        <v>0</v>
      </c>
      <c r="G22" s="33">
        <v>416</v>
      </c>
      <c r="H22" s="55">
        <v>304</v>
      </c>
      <c r="I22" s="56">
        <v>0.57777777777777772</v>
      </c>
      <c r="J22" s="33"/>
      <c r="K22" s="57">
        <v>2026</v>
      </c>
      <c r="L22" s="36">
        <v>365</v>
      </c>
      <c r="M22" s="58">
        <v>8760</v>
      </c>
    </row>
    <row r="23" spans="1:13">
      <c r="B23" s="54">
        <v>41091</v>
      </c>
      <c r="C23" s="33">
        <v>31</v>
      </c>
      <c r="D23" s="33">
        <v>744</v>
      </c>
      <c r="E23" s="33">
        <v>5</v>
      </c>
      <c r="F23" s="33">
        <v>1</v>
      </c>
      <c r="G23" s="33">
        <v>400</v>
      </c>
      <c r="H23" s="55">
        <v>344</v>
      </c>
      <c r="I23" s="56">
        <v>0.5376344086021505</v>
      </c>
      <c r="J23" s="33"/>
      <c r="K23" s="57">
        <v>2027</v>
      </c>
      <c r="L23" s="36">
        <v>365</v>
      </c>
      <c r="M23" s="58">
        <v>8760</v>
      </c>
    </row>
    <row r="24" spans="1:13">
      <c r="B24" s="54">
        <v>41122</v>
      </c>
      <c r="C24" s="33">
        <v>31</v>
      </c>
      <c r="D24" s="33">
        <v>744</v>
      </c>
      <c r="E24" s="33">
        <v>4</v>
      </c>
      <c r="F24" s="33">
        <v>0</v>
      </c>
      <c r="G24" s="33">
        <v>432</v>
      </c>
      <c r="H24" s="55">
        <v>312</v>
      </c>
      <c r="I24" s="56">
        <v>0.58064516129032262</v>
      </c>
      <c r="J24" s="33"/>
      <c r="K24" s="57">
        <v>2028</v>
      </c>
      <c r="L24" s="36">
        <v>366</v>
      </c>
      <c r="M24" s="58">
        <v>8784</v>
      </c>
    </row>
    <row r="25" spans="1:13">
      <c r="B25" s="54">
        <v>41153</v>
      </c>
      <c r="C25" s="33">
        <v>30</v>
      </c>
      <c r="D25" s="33">
        <v>720</v>
      </c>
      <c r="E25" s="33">
        <v>5</v>
      </c>
      <c r="F25" s="33">
        <v>1</v>
      </c>
      <c r="G25" s="33">
        <v>384</v>
      </c>
      <c r="H25" s="55">
        <v>336</v>
      </c>
      <c r="I25" s="56">
        <v>0.53333333333333333</v>
      </c>
      <c r="J25" s="33"/>
      <c r="K25" s="57">
        <v>2029</v>
      </c>
      <c r="L25" s="36">
        <v>365</v>
      </c>
      <c r="M25" s="58">
        <v>8760</v>
      </c>
    </row>
    <row r="26" spans="1:13">
      <c r="B26" s="54">
        <v>41183</v>
      </c>
      <c r="C26" s="33">
        <v>31</v>
      </c>
      <c r="D26" s="33">
        <v>744</v>
      </c>
      <c r="E26" s="33">
        <v>4</v>
      </c>
      <c r="F26" s="33">
        <v>0</v>
      </c>
      <c r="G26" s="33">
        <v>432</v>
      </c>
      <c r="H26" s="55">
        <v>312</v>
      </c>
      <c r="I26" s="56">
        <v>0.58064516129032262</v>
      </c>
      <c r="J26" s="33"/>
      <c r="K26" s="57">
        <v>2030</v>
      </c>
      <c r="L26" s="36">
        <v>365</v>
      </c>
      <c r="M26" s="58">
        <v>8760</v>
      </c>
    </row>
    <row r="27" spans="1:13">
      <c r="B27" s="54">
        <v>41214</v>
      </c>
      <c r="C27" s="33">
        <v>30</v>
      </c>
      <c r="D27" s="33">
        <v>721</v>
      </c>
      <c r="E27" s="33">
        <v>4</v>
      </c>
      <c r="F27" s="33">
        <v>1</v>
      </c>
      <c r="G27" s="33">
        <v>400</v>
      </c>
      <c r="H27" s="55">
        <v>321</v>
      </c>
      <c r="I27" s="56">
        <v>0.55478502080443826</v>
      </c>
      <c r="J27" s="33"/>
      <c r="K27" s="57">
        <v>2031</v>
      </c>
      <c r="L27" s="36">
        <v>365</v>
      </c>
      <c r="M27" s="58">
        <v>8760</v>
      </c>
    </row>
    <row r="28" spans="1:13">
      <c r="B28" s="54">
        <v>41244</v>
      </c>
      <c r="C28" s="33">
        <v>31</v>
      </c>
      <c r="D28" s="33">
        <v>744</v>
      </c>
      <c r="E28" s="33">
        <v>5</v>
      </c>
      <c r="F28" s="33">
        <v>1</v>
      </c>
      <c r="G28" s="33">
        <v>400</v>
      </c>
      <c r="H28" s="55">
        <v>344</v>
      </c>
      <c r="I28" s="56">
        <v>0.5376344086021505</v>
      </c>
      <c r="J28" s="33"/>
      <c r="K28" s="57">
        <v>2032</v>
      </c>
      <c r="L28" s="36">
        <v>366</v>
      </c>
      <c r="M28" s="58">
        <v>8784</v>
      </c>
    </row>
    <row r="29" spans="1:13">
      <c r="A29" s="46">
        <v>2013</v>
      </c>
      <c r="B29" s="54">
        <v>41275</v>
      </c>
      <c r="C29" s="33">
        <v>31</v>
      </c>
      <c r="D29" s="33">
        <v>744</v>
      </c>
      <c r="E29" s="33">
        <v>4</v>
      </c>
      <c r="F29" s="33">
        <v>1</v>
      </c>
      <c r="G29" s="33">
        <v>416</v>
      </c>
      <c r="H29" s="55">
        <v>328</v>
      </c>
      <c r="I29" s="56">
        <v>0.55913978494623651</v>
      </c>
      <c r="J29" s="33"/>
      <c r="K29" s="57">
        <v>2033</v>
      </c>
      <c r="L29" s="36">
        <v>365</v>
      </c>
      <c r="M29" s="58">
        <v>8760</v>
      </c>
    </row>
    <row r="30" spans="1:13">
      <c r="B30" s="54">
        <v>41306</v>
      </c>
      <c r="C30" s="33">
        <v>28</v>
      </c>
      <c r="D30" s="33">
        <v>672</v>
      </c>
      <c r="E30" s="33">
        <v>4</v>
      </c>
      <c r="F30" s="33">
        <v>0</v>
      </c>
      <c r="G30" s="33">
        <v>384</v>
      </c>
      <c r="H30" s="55">
        <v>288</v>
      </c>
      <c r="I30" s="56">
        <v>0.5714285714285714</v>
      </c>
      <c r="J30" s="33"/>
      <c r="K30" s="57">
        <v>2034</v>
      </c>
      <c r="L30" s="36">
        <v>365</v>
      </c>
      <c r="M30" s="58">
        <v>8760</v>
      </c>
    </row>
    <row r="31" spans="1:13">
      <c r="B31" s="54">
        <v>41334</v>
      </c>
      <c r="C31" s="33">
        <v>31</v>
      </c>
      <c r="D31" s="33">
        <v>743</v>
      </c>
      <c r="E31" s="33">
        <v>5</v>
      </c>
      <c r="F31" s="33">
        <v>0</v>
      </c>
      <c r="G31" s="33">
        <v>416</v>
      </c>
      <c r="H31" s="55">
        <v>327</v>
      </c>
      <c r="I31" s="56">
        <v>0.55989232839838488</v>
      </c>
      <c r="J31" s="33"/>
      <c r="K31" s="57">
        <v>2035</v>
      </c>
      <c r="L31" s="36">
        <v>365</v>
      </c>
      <c r="M31" s="58">
        <v>8760</v>
      </c>
    </row>
    <row r="32" spans="1:13">
      <c r="B32" s="54">
        <v>41365</v>
      </c>
      <c r="C32" s="33">
        <v>30</v>
      </c>
      <c r="D32" s="33">
        <v>720</v>
      </c>
      <c r="E32" s="33">
        <v>4</v>
      </c>
      <c r="F32" s="33">
        <v>0</v>
      </c>
      <c r="G32" s="33">
        <v>416</v>
      </c>
      <c r="H32" s="55">
        <v>304</v>
      </c>
      <c r="I32" s="56">
        <v>0.57777777777777772</v>
      </c>
      <c r="J32" s="33"/>
      <c r="K32" s="57">
        <v>2036</v>
      </c>
      <c r="L32" s="36">
        <v>366</v>
      </c>
      <c r="M32" s="58">
        <v>8784</v>
      </c>
    </row>
    <row r="33" spans="1:13">
      <c r="B33" s="54">
        <v>41395</v>
      </c>
      <c r="C33" s="33">
        <v>31</v>
      </c>
      <c r="D33" s="33">
        <v>744</v>
      </c>
      <c r="E33" s="33">
        <v>4</v>
      </c>
      <c r="F33" s="33">
        <v>1</v>
      </c>
      <c r="G33" s="33">
        <v>416</v>
      </c>
      <c r="H33" s="55">
        <v>328</v>
      </c>
      <c r="I33" s="56">
        <v>0.55913978494623651</v>
      </c>
      <c r="J33" s="33"/>
      <c r="K33" s="57">
        <v>2037</v>
      </c>
      <c r="L33" s="36">
        <v>365</v>
      </c>
      <c r="M33" s="58">
        <v>8760</v>
      </c>
    </row>
    <row r="34" spans="1:13">
      <c r="B34" s="54">
        <v>41426</v>
      </c>
      <c r="C34" s="33">
        <v>30</v>
      </c>
      <c r="D34" s="33">
        <v>720</v>
      </c>
      <c r="E34" s="33">
        <v>5</v>
      </c>
      <c r="F34" s="33">
        <v>0</v>
      </c>
      <c r="G34" s="33">
        <v>400</v>
      </c>
      <c r="H34" s="55">
        <v>320</v>
      </c>
      <c r="I34" s="56">
        <v>0.55555555555555558</v>
      </c>
      <c r="J34" s="33"/>
      <c r="K34" s="57">
        <v>2038</v>
      </c>
      <c r="L34" s="36">
        <v>365</v>
      </c>
      <c r="M34" s="58">
        <v>8760</v>
      </c>
    </row>
    <row r="35" spans="1:13">
      <c r="B35" s="54">
        <v>41456</v>
      </c>
      <c r="C35" s="33">
        <v>31</v>
      </c>
      <c r="D35" s="33">
        <v>744</v>
      </c>
      <c r="E35" s="33">
        <v>4</v>
      </c>
      <c r="F35" s="33">
        <v>1</v>
      </c>
      <c r="G35" s="33">
        <v>416</v>
      </c>
      <c r="H35" s="55">
        <v>328</v>
      </c>
      <c r="I35" s="56">
        <v>0.55913978494623651</v>
      </c>
      <c r="J35" s="33"/>
      <c r="K35" s="57">
        <v>2039</v>
      </c>
      <c r="L35" s="36">
        <v>365</v>
      </c>
      <c r="M35" s="58">
        <v>8760</v>
      </c>
    </row>
    <row r="36" spans="1:13">
      <c r="B36" s="54">
        <v>41487</v>
      </c>
      <c r="C36" s="33">
        <v>31</v>
      </c>
      <c r="D36" s="33">
        <v>744</v>
      </c>
      <c r="E36" s="33">
        <v>4</v>
      </c>
      <c r="F36" s="33">
        <v>0</v>
      </c>
      <c r="G36" s="33">
        <v>432</v>
      </c>
      <c r="H36" s="55">
        <v>312</v>
      </c>
      <c r="I36" s="56">
        <v>0.58064516129032262</v>
      </c>
      <c r="J36" s="33"/>
      <c r="K36" s="57">
        <v>2040</v>
      </c>
      <c r="L36" s="36">
        <v>366</v>
      </c>
      <c r="M36" s="58">
        <v>8784</v>
      </c>
    </row>
    <row r="37" spans="1:13">
      <c r="B37" s="54">
        <v>41518</v>
      </c>
      <c r="C37" s="33">
        <v>30</v>
      </c>
      <c r="D37" s="33">
        <v>720</v>
      </c>
      <c r="E37" s="33">
        <v>5</v>
      </c>
      <c r="F37" s="33">
        <v>1</v>
      </c>
      <c r="G37" s="33">
        <v>384</v>
      </c>
      <c r="H37" s="55">
        <v>336</v>
      </c>
      <c r="I37" s="56">
        <v>0.53333333333333333</v>
      </c>
      <c r="J37" s="33"/>
      <c r="K37" s="57">
        <v>2041</v>
      </c>
      <c r="L37" s="36">
        <v>365</v>
      </c>
      <c r="M37" s="58">
        <v>8760</v>
      </c>
    </row>
    <row r="38" spans="1:13">
      <c r="B38" s="54">
        <v>41548</v>
      </c>
      <c r="C38" s="33">
        <v>31</v>
      </c>
      <c r="D38" s="33">
        <v>744</v>
      </c>
      <c r="E38" s="33">
        <v>4</v>
      </c>
      <c r="F38" s="33">
        <v>0</v>
      </c>
      <c r="G38" s="33">
        <v>432</v>
      </c>
      <c r="H38" s="55">
        <v>312</v>
      </c>
      <c r="I38" s="56">
        <v>0.58064516129032262</v>
      </c>
      <c r="J38" s="33"/>
      <c r="K38" s="57">
        <v>2042</v>
      </c>
      <c r="L38" s="36">
        <v>365</v>
      </c>
      <c r="M38" s="58">
        <v>8760</v>
      </c>
    </row>
    <row r="39" spans="1:13">
      <c r="B39" s="54">
        <v>41579</v>
      </c>
      <c r="C39" s="33">
        <v>30</v>
      </c>
      <c r="D39" s="33">
        <v>721</v>
      </c>
      <c r="E39" s="33">
        <v>4</v>
      </c>
      <c r="F39" s="33">
        <v>1</v>
      </c>
      <c r="G39" s="33">
        <v>400</v>
      </c>
      <c r="H39" s="55">
        <v>321</v>
      </c>
      <c r="I39" s="56">
        <v>0.55478502080443826</v>
      </c>
      <c r="J39" s="33"/>
      <c r="K39" s="57">
        <v>2043</v>
      </c>
      <c r="L39" s="36">
        <v>365</v>
      </c>
      <c r="M39" s="58">
        <v>8760</v>
      </c>
    </row>
    <row r="40" spans="1:13">
      <c r="B40" s="54">
        <v>41609</v>
      </c>
      <c r="C40" s="33">
        <v>31</v>
      </c>
      <c r="D40" s="33">
        <v>744</v>
      </c>
      <c r="E40" s="33">
        <v>5</v>
      </c>
      <c r="F40" s="33">
        <v>1</v>
      </c>
      <c r="G40" s="33">
        <v>400</v>
      </c>
      <c r="H40" s="55">
        <v>344</v>
      </c>
      <c r="I40" s="56">
        <v>0.5376344086021505</v>
      </c>
      <c r="J40" s="33"/>
      <c r="K40" s="59">
        <v>2044</v>
      </c>
      <c r="L40" s="60">
        <v>366</v>
      </c>
      <c r="M40" s="61">
        <v>8784</v>
      </c>
    </row>
    <row r="41" spans="1:13">
      <c r="A41" s="46">
        <v>2014</v>
      </c>
      <c r="B41" s="54">
        <v>41640</v>
      </c>
      <c r="C41" s="33">
        <v>31</v>
      </c>
      <c r="D41" s="33">
        <v>744</v>
      </c>
      <c r="E41" s="33">
        <v>4</v>
      </c>
      <c r="F41" s="33">
        <v>1</v>
      </c>
      <c r="G41" s="33">
        <v>416</v>
      </c>
      <c r="H41" s="55">
        <v>328</v>
      </c>
      <c r="I41" s="56">
        <v>0.55913978494623651</v>
      </c>
      <c r="J41" s="33"/>
      <c r="M41" s="36"/>
    </row>
    <row r="42" spans="1:13">
      <c r="B42" s="54">
        <v>41671</v>
      </c>
      <c r="C42" s="33">
        <v>28</v>
      </c>
      <c r="D42" s="33">
        <v>672</v>
      </c>
      <c r="E42" s="33">
        <v>4</v>
      </c>
      <c r="F42" s="33">
        <v>0</v>
      </c>
      <c r="G42" s="33">
        <v>384</v>
      </c>
      <c r="H42" s="55">
        <v>288</v>
      </c>
      <c r="I42" s="56">
        <v>0.5714285714285714</v>
      </c>
      <c r="J42" s="33"/>
      <c r="M42" s="36"/>
    </row>
    <row r="43" spans="1:13">
      <c r="B43" s="54">
        <v>41699</v>
      </c>
      <c r="C43" s="33">
        <v>31</v>
      </c>
      <c r="D43" s="33">
        <v>743</v>
      </c>
      <c r="E43" s="33">
        <v>5</v>
      </c>
      <c r="F43" s="33">
        <v>0</v>
      </c>
      <c r="G43" s="33">
        <v>416</v>
      </c>
      <c r="H43" s="55">
        <v>327</v>
      </c>
      <c r="I43" s="56">
        <v>0.55989232839838488</v>
      </c>
      <c r="J43" s="33"/>
      <c r="M43" s="36"/>
    </row>
    <row r="44" spans="1:13">
      <c r="B44" s="54">
        <v>41730</v>
      </c>
      <c r="C44" s="33">
        <v>30</v>
      </c>
      <c r="D44" s="33">
        <v>720</v>
      </c>
      <c r="E44" s="33">
        <v>4</v>
      </c>
      <c r="F44" s="33">
        <v>0</v>
      </c>
      <c r="G44" s="33">
        <v>416</v>
      </c>
      <c r="H44" s="55">
        <v>304</v>
      </c>
      <c r="I44" s="56">
        <v>0.57777777777777772</v>
      </c>
      <c r="J44" s="33"/>
      <c r="M44" s="36"/>
    </row>
    <row r="45" spans="1:13">
      <c r="B45" s="54">
        <v>41760</v>
      </c>
      <c r="C45" s="33">
        <v>31</v>
      </c>
      <c r="D45" s="33">
        <v>744</v>
      </c>
      <c r="E45" s="33">
        <v>4</v>
      </c>
      <c r="F45" s="33">
        <v>1</v>
      </c>
      <c r="G45" s="33">
        <v>416</v>
      </c>
      <c r="H45" s="55">
        <v>328</v>
      </c>
      <c r="I45" s="56">
        <v>0.55913978494623651</v>
      </c>
      <c r="J45" s="33"/>
      <c r="M45" s="36"/>
    </row>
    <row r="46" spans="1:13">
      <c r="B46" s="54">
        <v>41791</v>
      </c>
      <c r="C46" s="33">
        <v>30</v>
      </c>
      <c r="D46" s="33">
        <v>720</v>
      </c>
      <c r="E46" s="33">
        <v>5</v>
      </c>
      <c r="F46" s="33">
        <v>0</v>
      </c>
      <c r="G46" s="33">
        <v>400</v>
      </c>
      <c r="H46" s="55">
        <v>320</v>
      </c>
      <c r="I46" s="56">
        <v>0.55555555555555558</v>
      </c>
      <c r="J46" s="33"/>
      <c r="M46" s="36"/>
    </row>
    <row r="47" spans="1:13">
      <c r="B47" s="54">
        <v>41821</v>
      </c>
      <c r="C47" s="33">
        <v>31</v>
      </c>
      <c r="D47" s="33">
        <v>744</v>
      </c>
      <c r="E47" s="33">
        <v>4</v>
      </c>
      <c r="F47" s="33">
        <v>1</v>
      </c>
      <c r="G47" s="33">
        <v>416</v>
      </c>
      <c r="H47" s="55">
        <v>328</v>
      </c>
      <c r="I47" s="56">
        <v>0.55913978494623651</v>
      </c>
      <c r="J47" s="33"/>
      <c r="M47" s="36"/>
    </row>
    <row r="48" spans="1:13">
      <c r="B48" s="54">
        <v>41852</v>
      </c>
      <c r="C48" s="33">
        <v>31</v>
      </c>
      <c r="D48" s="33">
        <v>744</v>
      </c>
      <c r="E48" s="33">
        <v>5</v>
      </c>
      <c r="F48" s="33">
        <v>0</v>
      </c>
      <c r="G48" s="33">
        <v>416</v>
      </c>
      <c r="H48" s="55">
        <v>328</v>
      </c>
      <c r="I48" s="56">
        <v>0.55913978494623651</v>
      </c>
      <c r="J48" s="33"/>
      <c r="M48" s="36"/>
    </row>
    <row r="49" spans="1:13">
      <c r="B49" s="54">
        <v>41883</v>
      </c>
      <c r="C49" s="33">
        <v>30</v>
      </c>
      <c r="D49" s="33">
        <v>720</v>
      </c>
      <c r="E49" s="33">
        <v>4</v>
      </c>
      <c r="F49" s="33">
        <v>1</v>
      </c>
      <c r="G49" s="33">
        <v>400</v>
      </c>
      <c r="H49" s="55">
        <v>320</v>
      </c>
      <c r="I49" s="56">
        <v>0.55555555555555558</v>
      </c>
      <c r="J49" s="33"/>
      <c r="M49" s="36"/>
    </row>
    <row r="50" spans="1:13">
      <c r="B50" s="54">
        <v>41913</v>
      </c>
      <c r="C50" s="33">
        <v>31</v>
      </c>
      <c r="D50" s="33">
        <v>744</v>
      </c>
      <c r="E50" s="33">
        <v>4</v>
      </c>
      <c r="F50" s="33">
        <v>0</v>
      </c>
      <c r="G50" s="33">
        <v>432</v>
      </c>
      <c r="H50" s="55">
        <v>312</v>
      </c>
      <c r="I50" s="56">
        <v>0.58064516129032262</v>
      </c>
      <c r="J50" s="33"/>
      <c r="M50" s="36"/>
    </row>
    <row r="51" spans="1:13">
      <c r="B51" s="54">
        <v>41944</v>
      </c>
      <c r="C51" s="33">
        <v>30</v>
      </c>
      <c r="D51" s="33">
        <v>721</v>
      </c>
      <c r="E51" s="33">
        <v>5</v>
      </c>
      <c r="F51" s="33">
        <v>1</v>
      </c>
      <c r="G51" s="33">
        <v>384</v>
      </c>
      <c r="H51" s="55">
        <v>337</v>
      </c>
      <c r="I51" s="56">
        <v>0.53259361997226073</v>
      </c>
      <c r="J51" s="33"/>
      <c r="M51" s="36"/>
    </row>
    <row r="52" spans="1:13">
      <c r="B52" s="54">
        <v>41974</v>
      </c>
      <c r="C52" s="33">
        <v>31</v>
      </c>
      <c r="D52" s="33">
        <v>744</v>
      </c>
      <c r="E52" s="33">
        <v>4</v>
      </c>
      <c r="F52" s="33">
        <v>1</v>
      </c>
      <c r="G52" s="33">
        <v>416</v>
      </c>
      <c r="H52" s="55">
        <v>328</v>
      </c>
      <c r="I52" s="56">
        <v>0.55913978494623651</v>
      </c>
      <c r="J52" s="33"/>
      <c r="M52" s="36"/>
    </row>
    <row r="53" spans="1:13">
      <c r="A53" s="46">
        <v>2015</v>
      </c>
      <c r="B53" s="54">
        <v>42005</v>
      </c>
      <c r="C53" s="33">
        <v>31</v>
      </c>
      <c r="D53" s="33">
        <v>744</v>
      </c>
      <c r="E53" s="33">
        <v>4</v>
      </c>
      <c r="F53" s="33">
        <v>1</v>
      </c>
      <c r="G53" s="33">
        <v>416</v>
      </c>
      <c r="H53" s="55">
        <v>328</v>
      </c>
      <c r="I53" s="56">
        <v>0.55913978494623651</v>
      </c>
      <c r="J53" s="33"/>
      <c r="M53" s="36"/>
    </row>
    <row r="54" spans="1:13">
      <c r="B54" s="54">
        <v>42036</v>
      </c>
      <c r="C54" s="33">
        <v>28</v>
      </c>
      <c r="D54" s="33">
        <v>672</v>
      </c>
      <c r="E54" s="33">
        <v>4</v>
      </c>
      <c r="F54" s="33">
        <v>0</v>
      </c>
      <c r="G54" s="33">
        <v>384</v>
      </c>
      <c r="H54" s="55">
        <v>288</v>
      </c>
      <c r="I54" s="56">
        <v>0.5714285714285714</v>
      </c>
      <c r="J54" s="33"/>
      <c r="M54" s="36"/>
    </row>
    <row r="55" spans="1:13">
      <c r="B55" s="54">
        <v>42064</v>
      </c>
      <c r="C55" s="33">
        <v>31</v>
      </c>
      <c r="D55" s="33">
        <v>743</v>
      </c>
      <c r="E55" s="33">
        <v>5</v>
      </c>
      <c r="F55" s="33">
        <v>0</v>
      </c>
      <c r="G55" s="33">
        <v>416</v>
      </c>
      <c r="H55" s="55">
        <v>327</v>
      </c>
      <c r="I55" s="56">
        <v>0.55989232839838488</v>
      </c>
      <c r="J55" s="33"/>
      <c r="M55" s="36"/>
    </row>
    <row r="56" spans="1:13">
      <c r="B56" s="54">
        <v>42095</v>
      </c>
      <c r="C56" s="33">
        <v>30</v>
      </c>
      <c r="D56" s="33">
        <v>720</v>
      </c>
      <c r="E56" s="33">
        <v>4</v>
      </c>
      <c r="F56" s="33">
        <v>0</v>
      </c>
      <c r="G56" s="33">
        <v>416</v>
      </c>
      <c r="H56" s="55">
        <v>304</v>
      </c>
      <c r="I56" s="56">
        <v>0.57777777777777772</v>
      </c>
      <c r="J56" s="33"/>
      <c r="M56" s="36"/>
    </row>
    <row r="57" spans="1:13">
      <c r="B57" s="54">
        <v>42125</v>
      </c>
      <c r="C57" s="33">
        <v>31</v>
      </c>
      <c r="D57" s="33">
        <v>744</v>
      </c>
      <c r="E57" s="33">
        <v>5</v>
      </c>
      <c r="F57" s="33">
        <v>1</v>
      </c>
      <c r="G57" s="33">
        <v>400</v>
      </c>
      <c r="H57" s="55">
        <v>344</v>
      </c>
      <c r="I57" s="56">
        <v>0.5376344086021505</v>
      </c>
      <c r="J57" s="33"/>
      <c r="M57" s="36"/>
    </row>
    <row r="58" spans="1:13">
      <c r="B58" s="54">
        <v>42156</v>
      </c>
      <c r="C58" s="33">
        <v>30</v>
      </c>
      <c r="D58" s="33">
        <v>720</v>
      </c>
      <c r="E58" s="33">
        <v>4</v>
      </c>
      <c r="F58" s="33">
        <v>0</v>
      </c>
      <c r="G58" s="33">
        <v>416</v>
      </c>
      <c r="H58" s="55">
        <v>304</v>
      </c>
      <c r="I58" s="56">
        <v>0.57777777777777772</v>
      </c>
      <c r="J58" s="33"/>
      <c r="M58" s="36"/>
    </row>
    <row r="59" spans="1:13">
      <c r="B59" s="54">
        <v>42186</v>
      </c>
      <c r="C59" s="33">
        <v>31</v>
      </c>
      <c r="D59" s="33">
        <v>744</v>
      </c>
      <c r="E59" s="33">
        <v>4</v>
      </c>
      <c r="F59" s="33">
        <v>1</v>
      </c>
      <c r="G59" s="33">
        <v>416</v>
      </c>
      <c r="H59" s="55">
        <v>328</v>
      </c>
      <c r="I59" s="56">
        <v>0.55913978494623651</v>
      </c>
      <c r="J59" s="33"/>
      <c r="M59" s="36"/>
    </row>
    <row r="60" spans="1:13">
      <c r="B60" s="54">
        <v>42217</v>
      </c>
      <c r="C60" s="33">
        <v>31</v>
      </c>
      <c r="D60" s="33">
        <v>744</v>
      </c>
      <c r="E60" s="33">
        <v>5</v>
      </c>
      <c r="F60" s="33">
        <v>0</v>
      </c>
      <c r="G60" s="33">
        <v>416</v>
      </c>
      <c r="H60" s="55">
        <v>328</v>
      </c>
      <c r="I60" s="56">
        <v>0.55913978494623651</v>
      </c>
      <c r="J60" s="33"/>
      <c r="M60" s="36"/>
    </row>
    <row r="61" spans="1:13">
      <c r="B61" s="54">
        <v>42248</v>
      </c>
      <c r="C61" s="33">
        <v>30</v>
      </c>
      <c r="D61" s="33">
        <v>720</v>
      </c>
      <c r="E61" s="33">
        <v>4</v>
      </c>
      <c r="F61" s="33">
        <v>1</v>
      </c>
      <c r="G61" s="33">
        <v>400</v>
      </c>
      <c r="H61" s="55">
        <v>320</v>
      </c>
      <c r="I61" s="56">
        <v>0.55555555555555558</v>
      </c>
      <c r="J61" s="33"/>
      <c r="M61" s="36"/>
    </row>
    <row r="62" spans="1:13">
      <c r="B62" s="54">
        <v>42278</v>
      </c>
      <c r="C62" s="33">
        <v>31</v>
      </c>
      <c r="D62" s="33">
        <v>744</v>
      </c>
      <c r="E62" s="33">
        <v>4</v>
      </c>
      <c r="F62" s="33">
        <v>0</v>
      </c>
      <c r="G62" s="33">
        <v>432</v>
      </c>
      <c r="H62" s="55">
        <v>312</v>
      </c>
      <c r="I62" s="56">
        <v>0.58064516129032262</v>
      </c>
      <c r="J62" s="33"/>
      <c r="M62" s="36"/>
    </row>
    <row r="63" spans="1:13">
      <c r="B63" s="54">
        <v>42309</v>
      </c>
      <c r="C63" s="33">
        <v>30</v>
      </c>
      <c r="D63" s="33">
        <v>721</v>
      </c>
      <c r="E63" s="33">
        <v>5</v>
      </c>
      <c r="F63" s="33">
        <v>1</v>
      </c>
      <c r="G63" s="33">
        <v>384</v>
      </c>
      <c r="H63" s="55">
        <v>337</v>
      </c>
      <c r="I63" s="56">
        <v>0.53259361997226073</v>
      </c>
      <c r="J63" s="33"/>
      <c r="M63" s="36"/>
    </row>
    <row r="64" spans="1:13">
      <c r="B64" s="54">
        <v>42339</v>
      </c>
      <c r="C64" s="33">
        <v>31</v>
      </c>
      <c r="D64" s="33">
        <v>744</v>
      </c>
      <c r="E64" s="33">
        <v>4</v>
      </c>
      <c r="F64" s="33">
        <v>1</v>
      </c>
      <c r="G64" s="33">
        <v>416</v>
      </c>
      <c r="H64" s="55">
        <v>328</v>
      </c>
      <c r="I64" s="56">
        <v>0.55913978494623651</v>
      </c>
      <c r="J64" s="33"/>
      <c r="M64" s="36"/>
    </row>
    <row r="65" spans="1:13">
      <c r="A65" s="46">
        <v>2016</v>
      </c>
      <c r="B65" s="54">
        <v>42370</v>
      </c>
      <c r="C65" s="33">
        <v>31</v>
      </c>
      <c r="D65" s="33">
        <v>744</v>
      </c>
      <c r="E65" s="33">
        <v>5</v>
      </c>
      <c r="F65" s="33">
        <v>1</v>
      </c>
      <c r="G65" s="33">
        <v>400</v>
      </c>
      <c r="H65" s="55">
        <v>344</v>
      </c>
      <c r="I65" s="56">
        <v>0.5376344086021505</v>
      </c>
      <c r="J65" s="33"/>
      <c r="M65" s="36"/>
    </row>
    <row r="66" spans="1:13">
      <c r="B66" s="54">
        <v>42401</v>
      </c>
      <c r="C66" s="33">
        <v>29</v>
      </c>
      <c r="D66" s="33">
        <v>696</v>
      </c>
      <c r="E66" s="33">
        <v>4</v>
      </c>
      <c r="F66" s="33">
        <v>0</v>
      </c>
      <c r="G66" s="33">
        <v>400</v>
      </c>
      <c r="H66" s="55">
        <v>296</v>
      </c>
      <c r="I66" s="56">
        <v>0.57471264367816088</v>
      </c>
      <c r="J66" s="33"/>
      <c r="M66" s="36"/>
    </row>
    <row r="67" spans="1:13">
      <c r="B67" s="54">
        <v>42430</v>
      </c>
      <c r="C67" s="33">
        <v>31</v>
      </c>
      <c r="D67" s="33">
        <v>743</v>
      </c>
      <c r="E67" s="33">
        <v>4</v>
      </c>
      <c r="F67" s="33">
        <v>0</v>
      </c>
      <c r="G67" s="33">
        <v>432</v>
      </c>
      <c r="H67" s="55">
        <v>311</v>
      </c>
      <c r="I67" s="56">
        <v>0.58142664872139971</v>
      </c>
      <c r="J67" s="33"/>
      <c r="M67" s="36"/>
    </row>
    <row r="68" spans="1:13">
      <c r="B68" s="54">
        <v>42461</v>
      </c>
      <c r="C68" s="33">
        <v>30</v>
      </c>
      <c r="D68" s="33">
        <v>720</v>
      </c>
      <c r="E68" s="33">
        <v>4</v>
      </c>
      <c r="F68" s="33">
        <v>0</v>
      </c>
      <c r="G68" s="33">
        <v>416</v>
      </c>
      <c r="H68" s="55">
        <v>304</v>
      </c>
      <c r="I68" s="56">
        <v>0.57777777777777772</v>
      </c>
      <c r="J68" s="33"/>
      <c r="M68" s="36"/>
    </row>
    <row r="69" spans="1:13">
      <c r="B69" s="54">
        <v>42491</v>
      </c>
      <c r="C69" s="33">
        <v>31</v>
      </c>
      <c r="D69" s="33">
        <v>744</v>
      </c>
      <c r="E69" s="33">
        <v>5</v>
      </c>
      <c r="F69" s="33">
        <v>1</v>
      </c>
      <c r="G69" s="33">
        <v>400</v>
      </c>
      <c r="H69" s="55">
        <v>344</v>
      </c>
      <c r="I69" s="56">
        <v>0.5376344086021505</v>
      </c>
      <c r="J69" s="33"/>
      <c r="M69" s="36"/>
    </row>
    <row r="70" spans="1:13">
      <c r="B70" s="54">
        <v>42522</v>
      </c>
      <c r="C70" s="33">
        <v>30</v>
      </c>
      <c r="D70" s="33">
        <v>720</v>
      </c>
      <c r="E70" s="33">
        <v>4</v>
      </c>
      <c r="F70" s="33">
        <v>0</v>
      </c>
      <c r="G70" s="33">
        <v>416</v>
      </c>
      <c r="H70" s="55">
        <v>304</v>
      </c>
      <c r="I70" s="56">
        <v>0.57777777777777772</v>
      </c>
      <c r="J70" s="33"/>
      <c r="M70" s="36"/>
    </row>
    <row r="71" spans="1:13">
      <c r="B71" s="54">
        <v>42552</v>
      </c>
      <c r="C71" s="33">
        <v>31</v>
      </c>
      <c r="D71" s="33">
        <v>744</v>
      </c>
      <c r="E71" s="33">
        <v>5</v>
      </c>
      <c r="F71" s="33">
        <v>1</v>
      </c>
      <c r="G71" s="33">
        <v>400</v>
      </c>
      <c r="H71" s="55">
        <v>344</v>
      </c>
      <c r="I71" s="56">
        <v>0.5376344086021505</v>
      </c>
      <c r="J71" s="33"/>
      <c r="M71" s="36"/>
    </row>
    <row r="72" spans="1:13">
      <c r="B72" s="54">
        <v>42583</v>
      </c>
      <c r="C72" s="33">
        <v>31</v>
      </c>
      <c r="D72" s="33">
        <v>744</v>
      </c>
      <c r="E72" s="33">
        <v>4</v>
      </c>
      <c r="F72" s="33">
        <v>0</v>
      </c>
      <c r="G72" s="33">
        <v>432</v>
      </c>
      <c r="H72" s="55">
        <v>312</v>
      </c>
      <c r="I72" s="56">
        <v>0.58064516129032262</v>
      </c>
      <c r="J72" s="33"/>
      <c r="M72" s="36"/>
    </row>
    <row r="73" spans="1:13">
      <c r="B73" s="54">
        <v>42614</v>
      </c>
      <c r="C73" s="33">
        <v>30</v>
      </c>
      <c r="D73" s="33">
        <v>720</v>
      </c>
      <c r="E73" s="33">
        <v>4</v>
      </c>
      <c r="F73" s="33">
        <v>1</v>
      </c>
      <c r="G73" s="33">
        <v>400</v>
      </c>
      <c r="H73" s="55">
        <v>320</v>
      </c>
      <c r="I73" s="56">
        <v>0.55555555555555558</v>
      </c>
      <c r="J73" s="33"/>
      <c r="M73" s="36"/>
    </row>
    <row r="74" spans="1:13">
      <c r="B74" s="54">
        <v>42644</v>
      </c>
      <c r="C74" s="33">
        <v>31</v>
      </c>
      <c r="D74" s="33">
        <v>744</v>
      </c>
      <c r="E74" s="33">
        <v>5</v>
      </c>
      <c r="F74" s="33">
        <v>0</v>
      </c>
      <c r="G74" s="33">
        <v>416</v>
      </c>
      <c r="H74" s="55">
        <v>328</v>
      </c>
      <c r="I74" s="56">
        <v>0.55913978494623651</v>
      </c>
      <c r="J74" s="33"/>
      <c r="M74" s="36"/>
    </row>
    <row r="75" spans="1:13">
      <c r="B75" s="54">
        <v>42675</v>
      </c>
      <c r="C75" s="33">
        <v>30</v>
      </c>
      <c r="D75" s="33">
        <v>721</v>
      </c>
      <c r="E75" s="33">
        <v>4</v>
      </c>
      <c r="F75" s="33">
        <v>1</v>
      </c>
      <c r="G75" s="33">
        <v>400</v>
      </c>
      <c r="H75" s="55">
        <v>321</v>
      </c>
      <c r="I75" s="56">
        <v>0.55478502080443826</v>
      </c>
      <c r="J75" s="33"/>
      <c r="M75" s="36"/>
    </row>
    <row r="76" spans="1:13">
      <c r="B76" s="54">
        <v>42705</v>
      </c>
      <c r="C76" s="33">
        <v>31</v>
      </c>
      <c r="D76" s="33">
        <v>744</v>
      </c>
      <c r="E76" s="33">
        <v>4</v>
      </c>
      <c r="F76" s="33">
        <v>1</v>
      </c>
      <c r="G76" s="33">
        <v>416</v>
      </c>
      <c r="H76" s="55">
        <v>328</v>
      </c>
      <c r="I76" s="56">
        <v>0.55913978494623651</v>
      </c>
      <c r="J76" s="33"/>
      <c r="M76" s="36"/>
    </row>
    <row r="77" spans="1:13">
      <c r="A77" s="46">
        <v>2017</v>
      </c>
      <c r="B77" s="54">
        <v>42736</v>
      </c>
      <c r="C77" s="33">
        <v>31</v>
      </c>
      <c r="D77" s="33">
        <v>744</v>
      </c>
      <c r="E77" s="33">
        <v>5</v>
      </c>
      <c r="F77" s="33">
        <v>1</v>
      </c>
      <c r="G77" s="33">
        <v>400</v>
      </c>
      <c r="H77" s="55">
        <v>344</v>
      </c>
      <c r="I77" s="56">
        <v>0.5376344086021505</v>
      </c>
      <c r="J77" s="33"/>
      <c r="M77" s="36"/>
    </row>
    <row r="78" spans="1:13">
      <c r="B78" s="54">
        <v>42767</v>
      </c>
      <c r="C78" s="33">
        <v>28</v>
      </c>
      <c r="D78" s="33">
        <v>672</v>
      </c>
      <c r="E78" s="33">
        <v>4</v>
      </c>
      <c r="F78" s="33">
        <v>0</v>
      </c>
      <c r="G78" s="33">
        <v>384</v>
      </c>
      <c r="H78" s="55">
        <v>288</v>
      </c>
      <c r="I78" s="56">
        <v>0.5714285714285714</v>
      </c>
      <c r="J78" s="33"/>
      <c r="M78" s="36"/>
    </row>
    <row r="79" spans="1:13">
      <c r="B79" s="54">
        <v>42795</v>
      </c>
      <c r="C79" s="33">
        <v>31</v>
      </c>
      <c r="D79" s="33">
        <v>743</v>
      </c>
      <c r="E79" s="33">
        <v>4</v>
      </c>
      <c r="F79" s="33">
        <v>0</v>
      </c>
      <c r="G79" s="33">
        <v>432</v>
      </c>
      <c r="H79" s="55">
        <v>311</v>
      </c>
      <c r="I79" s="56">
        <v>0.58142664872139971</v>
      </c>
      <c r="J79" s="33"/>
      <c r="M79" s="36"/>
    </row>
    <row r="80" spans="1:13">
      <c r="B80" s="54">
        <v>42826</v>
      </c>
      <c r="C80" s="33">
        <v>30</v>
      </c>
      <c r="D80" s="33">
        <v>720</v>
      </c>
      <c r="E80" s="33">
        <v>5</v>
      </c>
      <c r="F80" s="33">
        <v>0</v>
      </c>
      <c r="G80" s="33">
        <v>400</v>
      </c>
      <c r="H80" s="55">
        <v>320</v>
      </c>
      <c r="I80" s="56">
        <v>0.55555555555555558</v>
      </c>
      <c r="J80" s="33"/>
      <c r="M80" s="36"/>
    </row>
    <row r="81" spans="1:13">
      <c r="B81" s="54">
        <v>42856</v>
      </c>
      <c r="C81" s="33">
        <v>31</v>
      </c>
      <c r="D81" s="33">
        <v>744</v>
      </c>
      <c r="E81" s="33">
        <v>4</v>
      </c>
      <c r="F81" s="33">
        <v>1</v>
      </c>
      <c r="G81" s="33">
        <v>416</v>
      </c>
      <c r="H81" s="55">
        <v>328</v>
      </c>
      <c r="I81" s="56">
        <v>0.55913978494623651</v>
      </c>
      <c r="J81" s="33"/>
      <c r="M81" s="36"/>
    </row>
    <row r="82" spans="1:13">
      <c r="B82" s="54">
        <v>42887</v>
      </c>
      <c r="C82" s="33">
        <v>30</v>
      </c>
      <c r="D82" s="33">
        <v>720</v>
      </c>
      <c r="E82" s="33">
        <v>4</v>
      </c>
      <c r="F82" s="33">
        <v>0</v>
      </c>
      <c r="G82" s="33">
        <v>416</v>
      </c>
      <c r="H82" s="55">
        <v>304</v>
      </c>
      <c r="I82" s="56">
        <v>0.57777777777777772</v>
      </c>
      <c r="J82" s="33"/>
      <c r="M82" s="36"/>
    </row>
    <row r="83" spans="1:13">
      <c r="B83" s="54">
        <v>42917</v>
      </c>
      <c r="C83" s="33">
        <v>31</v>
      </c>
      <c r="D83" s="33">
        <v>744</v>
      </c>
      <c r="E83" s="33">
        <v>5</v>
      </c>
      <c r="F83" s="33">
        <v>1</v>
      </c>
      <c r="G83" s="33">
        <v>400</v>
      </c>
      <c r="H83" s="55">
        <v>344</v>
      </c>
      <c r="I83" s="56">
        <v>0.5376344086021505</v>
      </c>
      <c r="J83" s="33"/>
      <c r="M83" s="36"/>
    </row>
    <row r="84" spans="1:13">
      <c r="B84" s="54">
        <v>42948</v>
      </c>
      <c r="C84" s="33">
        <v>31</v>
      </c>
      <c r="D84" s="33">
        <v>744</v>
      </c>
      <c r="E84" s="33">
        <v>4</v>
      </c>
      <c r="F84" s="33">
        <v>0</v>
      </c>
      <c r="G84" s="33">
        <v>432</v>
      </c>
      <c r="H84" s="55">
        <v>312</v>
      </c>
      <c r="I84" s="56">
        <v>0.58064516129032262</v>
      </c>
      <c r="J84" s="33"/>
      <c r="M84" s="36"/>
    </row>
    <row r="85" spans="1:13">
      <c r="B85" s="54">
        <v>42979</v>
      </c>
      <c r="C85" s="33">
        <v>30</v>
      </c>
      <c r="D85" s="33">
        <v>720</v>
      </c>
      <c r="E85" s="33">
        <v>4</v>
      </c>
      <c r="F85" s="33">
        <v>1</v>
      </c>
      <c r="G85" s="33">
        <v>400</v>
      </c>
      <c r="H85" s="55">
        <v>320</v>
      </c>
      <c r="I85" s="56">
        <v>0.55555555555555558</v>
      </c>
      <c r="J85" s="33"/>
      <c r="M85" s="36"/>
    </row>
    <row r="86" spans="1:13">
      <c r="B86" s="54">
        <v>43009</v>
      </c>
      <c r="C86" s="33">
        <v>31</v>
      </c>
      <c r="D86" s="33">
        <v>744</v>
      </c>
      <c r="E86" s="33">
        <v>5</v>
      </c>
      <c r="F86" s="33">
        <v>0</v>
      </c>
      <c r="G86" s="33">
        <v>416</v>
      </c>
      <c r="H86" s="55">
        <v>328</v>
      </c>
      <c r="I86" s="56">
        <v>0.55913978494623651</v>
      </c>
      <c r="J86" s="33"/>
      <c r="M86" s="36"/>
    </row>
    <row r="87" spans="1:13">
      <c r="B87" s="54">
        <v>43040</v>
      </c>
      <c r="C87" s="33">
        <v>30</v>
      </c>
      <c r="D87" s="33">
        <v>721</v>
      </c>
      <c r="E87" s="33">
        <v>4</v>
      </c>
      <c r="F87" s="33">
        <v>1</v>
      </c>
      <c r="G87" s="33">
        <v>400</v>
      </c>
      <c r="H87" s="55">
        <v>321</v>
      </c>
      <c r="I87" s="56">
        <v>0.55478502080443826</v>
      </c>
      <c r="J87" s="33"/>
      <c r="M87" s="36"/>
    </row>
    <row r="88" spans="1:13">
      <c r="B88" s="54">
        <v>43070</v>
      </c>
      <c r="C88" s="33">
        <v>31</v>
      </c>
      <c r="D88" s="33">
        <v>744</v>
      </c>
      <c r="E88" s="33">
        <v>5</v>
      </c>
      <c r="F88" s="33">
        <v>1</v>
      </c>
      <c r="G88" s="33">
        <v>400</v>
      </c>
      <c r="H88" s="55">
        <v>344</v>
      </c>
      <c r="I88" s="56">
        <v>0.5376344086021505</v>
      </c>
      <c r="J88" s="33"/>
      <c r="M88" s="36"/>
    </row>
    <row r="89" spans="1:13">
      <c r="A89" s="46">
        <v>2018</v>
      </c>
      <c r="B89" s="54">
        <v>43101</v>
      </c>
      <c r="C89" s="33">
        <v>31</v>
      </c>
      <c r="D89" s="33">
        <v>744</v>
      </c>
      <c r="E89" s="33">
        <v>4</v>
      </c>
      <c r="F89" s="33">
        <v>1</v>
      </c>
      <c r="G89" s="33">
        <v>416</v>
      </c>
      <c r="H89" s="55">
        <v>328</v>
      </c>
      <c r="I89" s="56">
        <v>0.55913978494623651</v>
      </c>
      <c r="J89" s="33"/>
      <c r="M89" s="36"/>
    </row>
    <row r="90" spans="1:13">
      <c r="B90" s="54">
        <v>43132</v>
      </c>
      <c r="C90" s="33">
        <v>28</v>
      </c>
      <c r="D90" s="33">
        <v>672</v>
      </c>
      <c r="E90" s="33">
        <v>4</v>
      </c>
      <c r="F90" s="33">
        <v>0</v>
      </c>
      <c r="G90" s="33">
        <v>384</v>
      </c>
      <c r="H90" s="55">
        <v>288</v>
      </c>
      <c r="I90" s="56">
        <v>0.5714285714285714</v>
      </c>
      <c r="J90" s="33"/>
      <c r="M90" s="36"/>
    </row>
    <row r="91" spans="1:13">
      <c r="B91" s="54">
        <v>43160</v>
      </c>
      <c r="C91" s="33">
        <v>31</v>
      </c>
      <c r="D91" s="33">
        <v>743</v>
      </c>
      <c r="E91" s="33">
        <v>4</v>
      </c>
      <c r="F91" s="33">
        <v>0</v>
      </c>
      <c r="G91" s="33">
        <v>432</v>
      </c>
      <c r="H91" s="55">
        <v>311</v>
      </c>
      <c r="I91" s="56">
        <v>0.58142664872139971</v>
      </c>
      <c r="J91" s="33"/>
      <c r="M91" s="36"/>
    </row>
    <row r="92" spans="1:13">
      <c r="B92" s="54">
        <v>43191</v>
      </c>
      <c r="C92" s="33">
        <v>30</v>
      </c>
      <c r="D92" s="33">
        <v>720</v>
      </c>
      <c r="E92" s="33">
        <v>5</v>
      </c>
      <c r="F92" s="33">
        <v>0</v>
      </c>
      <c r="G92" s="33">
        <v>400</v>
      </c>
      <c r="H92" s="55">
        <v>320</v>
      </c>
      <c r="I92" s="56">
        <v>0.55555555555555558</v>
      </c>
      <c r="J92" s="33"/>
      <c r="M92" s="36"/>
    </row>
    <row r="93" spans="1:13">
      <c r="B93" s="54">
        <v>43221</v>
      </c>
      <c r="C93" s="33">
        <v>31</v>
      </c>
      <c r="D93" s="33">
        <v>744</v>
      </c>
      <c r="E93" s="33">
        <v>4</v>
      </c>
      <c r="F93" s="33">
        <v>1</v>
      </c>
      <c r="G93" s="33">
        <v>416</v>
      </c>
      <c r="H93" s="55">
        <v>328</v>
      </c>
      <c r="I93" s="56">
        <v>0.55913978494623651</v>
      </c>
      <c r="J93" s="33"/>
      <c r="M93" s="36"/>
    </row>
    <row r="94" spans="1:13">
      <c r="B94" s="54">
        <v>43252</v>
      </c>
      <c r="C94" s="33">
        <v>30</v>
      </c>
      <c r="D94" s="33">
        <v>720</v>
      </c>
      <c r="E94" s="33">
        <v>4</v>
      </c>
      <c r="F94" s="33">
        <v>0</v>
      </c>
      <c r="G94" s="33">
        <v>416</v>
      </c>
      <c r="H94" s="55">
        <v>304</v>
      </c>
      <c r="I94" s="56">
        <v>0.57777777777777772</v>
      </c>
      <c r="J94" s="33"/>
      <c r="M94" s="36"/>
    </row>
    <row r="95" spans="1:13">
      <c r="B95" s="54">
        <v>43282</v>
      </c>
      <c r="C95" s="33">
        <v>31</v>
      </c>
      <c r="D95" s="33">
        <v>744</v>
      </c>
      <c r="E95" s="33">
        <v>5</v>
      </c>
      <c r="F95" s="33">
        <v>1</v>
      </c>
      <c r="G95" s="33">
        <v>400</v>
      </c>
      <c r="H95" s="55">
        <v>344</v>
      </c>
      <c r="I95" s="56">
        <v>0.5376344086021505</v>
      </c>
      <c r="J95" s="33"/>
      <c r="M95" s="36"/>
    </row>
    <row r="96" spans="1:13">
      <c r="B96" s="54">
        <v>43313</v>
      </c>
      <c r="C96" s="33">
        <v>31</v>
      </c>
      <c r="D96" s="33">
        <v>744</v>
      </c>
      <c r="E96" s="33">
        <v>4</v>
      </c>
      <c r="F96" s="33">
        <v>0</v>
      </c>
      <c r="G96" s="33">
        <v>432</v>
      </c>
      <c r="H96" s="55">
        <v>312</v>
      </c>
      <c r="I96" s="56">
        <v>0.58064516129032262</v>
      </c>
      <c r="J96" s="33"/>
      <c r="M96" s="36"/>
    </row>
    <row r="97" spans="1:13">
      <c r="B97" s="54">
        <v>43344</v>
      </c>
      <c r="C97" s="33">
        <v>30</v>
      </c>
      <c r="D97" s="33">
        <v>720</v>
      </c>
      <c r="E97" s="33">
        <v>5</v>
      </c>
      <c r="F97" s="33">
        <v>1</v>
      </c>
      <c r="G97" s="33">
        <v>384</v>
      </c>
      <c r="H97" s="55">
        <v>336</v>
      </c>
      <c r="I97" s="56">
        <v>0.53333333333333333</v>
      </c>
      <c r="J97" s="33"/>
      <c r="M97" s="36"/>
    </row>
    <row r="98" spans="1:13">
      <c r="B98" s="54">
        <v>43374</v>
      </c>
      <c r="C98" s="33">
        <v>31</v>
      </c>
      <c r="D98" s="33">
        <v>744</v>
      </c>
      <c r="E98" s="33">
        <v>4</v>
      </c>
      <c r="F98" s="33">
        <v>0</v>
      </c>
      <c r="G98" s="33">
        <v>432</v>
      </c>
      <c r="H98" s="55">
        <v>312</v>
      </c>
      <c r="I98" s="56">
        <v>0.58064516129032262</v>
      </c>
      <c r="J98" s="33"/>
      <c r="M98" s="36"/>
    </row>
    <row r="99" spans="1:13">
      <c r="B99" s="54">
        <v>43405</v>
      </c>
      <c r="C99" s="33">
        <v>30</v>
      </c>
      <c r="D99" s="33">
        <v>721</v>
      </c>
      <c r="E99" s="33">
        <v>4</v>
      </c>
      <c r="F99" s="33">
        <v>1</v>
      </c>
      <c r="G99" s="33">
        <v>400</v>
      </c>
      <c r="H99" s="55">
        <v>321</v>
      </c>
      <c r="I99" s="56">
        <v>0.55478502080443826</v>
      </c>
      <c r="J99" s="33"/>
      <c r="M99" s="36"/>
    </row>
    <row r="100" spans="1:13">
      <c r="B100" s="54">
        <v>43435</v>
      </c>
      <c r="C100" s="33">
        <v>31</v>
      </c>
      <c r="D100" s="33">
        <v>744</v>
      </c>
      <c r="E100" s="33">
        <v>5</v>
      </c>
      <c r="F100" s="33">
        <v>1</v>
      </c>
      <c r="G100" s="33">
        <v>400</v>
      </c>
      <c r="H100" s="55">
        <v>344</v>
      </c>
      <c r="I100" s="56">
        <v>0.5376344086021505</v>
      </c>
      <c r="J100" s="33"/>
      <c r="M100" s="36"/>
    </row>
    <row r="101" spans="1:13">
      <c r="A101" s="46">
        <v>2019</v>
      </c>
      <c r="B101" s="54">
        <v>43466</v>
      </c>
      <c r="C101" s="33">
        <v>31</v>
      </c>
      <c r="D101" s="33">
        <v>744</v>
      </c>
      <c r="E101" s="33">
        <v>4</v>
      </c>
      <c r="F101" s="33">
        <v>1</v>
      </c>
      <c r="G101" s="33">
        <v>416</v>
      </c>
      <c r="H101" s="55">
        <v>328</v>
      </c>
      <c r="I101" s="56">
        <v>0.55913978494623651</v>
      </c>
      <c r="J101" s="33"/>
      <c r="M101" s="36"/>
    </row>
    <row r="102" spans="1:13">
      <c r="B102" s="54">
        <v>43497</v>
      </c>
      <c r="C102" s="33">
        <v>28</v>
      </c>
      <c r="D102" s="33">
        <v>672</v>
      </c>
      <c r="E102" s="33">
        <v>4</v>
      </c>
      <c r="F102" s="33">
        <v>0</v>
      </c>
      <c r="G102" s="33">
        <v>384</v>
      </c>
      <c r="H102" s="55">
        <v>288</v>
      </c>
      <c r="I102" s="56">
        <v>0.5714285714285714</v>
      </c>
      <c r="J102" s="33"/>
      <c r="M102" s="36"/>
    </row>
    <row r="103" spans="1:13">
      <c r="B103" s="54">
        <v>43525</v>
      </c>
      <c r="C103" s="33">
        <v>31</v>
      </c>
      <c r="D103" s="33">
        <v>743</v>
      </c>
      <c r="E103" s="33">
        <v>5</v>
      </c>
      <c r="F103" s="33">
        <v>0</v>
      </c>
      <c r="G103" s="33">
        <v>416</v>
      </c>
      <c r="H103" s="55">
        <v>327</v>
      </c>
      <c r="I103" s="56">
        <v>0.55989232839838488</v>
      </c>
      <c r="J103" s="33"/>
      <c r="M103" s="36"/>
    </row>
    <row r="104" spans="1:13">
      <c r="B104" s="54">
        <v>43556</v>
      </c>
      <c r="C104" s="33">
        <v>30</v>
      </c>
      <c r="D104" s="33">
        <v>720</v>
      </c>
      <c r="E104" s="33">
        <v>4</v>
      </c>
      <c r="F104" s="33">
        <v>0</v>
      </c>
      <c r="G104" s="33">
        <v>416</v>
      </c>
      <c r="H104" s="55">
        <v>304</v>
      </c>
      <c r="I104" s="56">
        <v>0.57777777777777772</v>
      </c>
      <c r="J104" s="33"/>
      <c r="M104" s="36"/>
    </row>
    <row r="105" spans="1:13">
      <c r="B105" s="54">
        <v>43586</v>
      </c>
      <c r="C105" s="33">
        <v>31</v>
      </c>
      <c r="D105" s="33">
        <v>744</v>
      </c>
      <c r="E105" s="33">
        <v>4</v>
      </c>
      <c r="F105" s="33">
        <v>1</v>
      </c>
      <c r="G105" s="33">
        <v>416</v>
      </c>
      <c r="H105" s="55">
        <v>328</v>
      </c>
      <c r="I105" s="56">
        <v>0.55913978494623651</v>
      </c>
      <c r="J105" s="33"/>
      <c r="M105" s="36"/>
    </row>
    <row r="106" spans="1:13">
      <c r="B106" s="54">
        <v>43617</v>
      </c>
      <c r="C106" s="33">
        <v>30</v>
      </c>
      <c r="D106" s="33">
        <v>720</v>
      </c>
      <c r="E106" s="33">
        <v>5</v>
      </c>
      <c r="F106" s="33">
        <v>0</v>
      </c>
      <c r="G106" s="33">
        <v>400</v>
      </c>
      <c r="H106" s="55">
        <v>320</v>
      </c>
      <c r="I106" s="56">
        <v>0.55555555555555558</v>
      </c>
      <c r="J106" s="33"/>
      <c r="M106" s="36"/>
    </row>
    <row r="107" spans="1:13">
      <c r="B107" s="54">
        <v>43647</v>
      </c>
      <c r="C107" s="33">
        <v>31</v>
      </c>
      <c r="D107" s="33">
        <v>744</v>
      </c>
      <c r="E107" s="33">
        <v>4</v>
      </c>
      <c r="F107" s="33">
        <v>1</v>
      </c>
      <c r="G107" s="33">
        <v>416</v>
      </c>
      <c r="H107" s="55">
        <v>328</v>
      </c>
      <c r="I107" s="56">
        <v>0.55913978494623651</v>
      </c>
      <c r="J107" s="33"/>
      <c r="M107" s="36"/>
    </row>
    <row r="108" spans="1:13">
      <c r="B108" s="54">
        <v>43678</v>
      </c>
      <c r="C108" s="33">
        <v>31</v>
      </c>
      <c r="D108" s="33">
        <v>744</v>
      </c>
      <c r="E108" s="33">
        <v>4</v>
      </c>
      <c r="F108" s="33">
        <v>0</v>
      </c>
      <c r="G108" s="33">
        <v>432</v>
      </c>
      <c r="H108" s="55">
        <v>312</v>
      </c>
      <c r="I108" s="56">
        <v>0.58064516129032262</v>
      </c>
      <c r="J108" s="33"/>
      <c r="M108" s="36"/>
    </row>
    <row r="109" spans="1:13">
      <c r="B109" s="54">
        <v>43709</v>
      </c>
      <c r="C109" s="33">
        <v>30</v>
      </c>
      <c r="D109" s="33">
        <v>720</v>
      </c>
      <c r="E109" s="33">
        <v>5</v>
      </c>
      <c r="F109" s="33">
        <v>1</v>
      </c>
      <c r="G109" s="33">
        <v>384</v>
      </c>
      <c r="H109" s="55">
        <v>336</v>
      </c>
      <c r="I109" s="56">
        <v>0.53333333333333333</v>
      </c>
      <c r="J109" s="33"/>
      <c r="M109" s="36"/>
    </row>
    <row r="110" spans="1:13">
      <c r="B110" s="54">
        <v>43739</v>
      </c>
      <c r="C110" s="33">
        <v>31</v>
      </c>
      <c r="D110" s="33">
        <v>744</v>
      </c>
      <c r="E110" s="33">
        <v>4</v>
      </c>
      <c r="F110" s="33">
        <v>0</v>
      </c>
      <c r="G110" s="33">
        <v>432</v>
      </c>
      <c r="H110" s="55">
        <v>312</v>
      </c>
      <c r="I110" s="56">
        <v>0.58064516129032262</v>
      </c>
      <c r="J110" s="33"/>
      <c r="M110" s="36"/>
    </row>
    <row r="111" spans="1:13">
      <c r="B111" s="54">
        <v>43770</v>
      </c>
      <c r="C111" s="33">
        <v>30</v>
      </c>
      <c r="D111" s="33">
        <v>721</v>
      </c>
      <c r="E111" s="33">
        <v>4</v>
      </c>
      <c r="F111" s="33">
        <v>1</v>
      </c>
      <c r="G111" s="33">
        <v>400</v>
      </c>
      <c r="H111" s="55">
        <v>321</v>
      </c>
      <c r="I111" s="56">
        <v>0.55478502080443826</v>
      </c>
      <c r="J111" s="33"/>
      <c r="M111" s="36"/>
    </row>
    <row r="112" spans="1:13">
      <c r="B112" s="62">
        <v>43800</v>
      </c>
      <c r="C112" s="63">
        <v>31</v>
      </c>
      <c r="D112" s="63">
        <v>744</v>
      </c>
      <c r="E112" s="63">
        <v>5</v>
      </c>
      <c r="F112" s="63">
        <v>1</v>
      </c>
      <c r="G112" s="63">
        <v>400</v>
      </c>
      <c r="H112" s="64">
        <v>344</v>
      </c>
      <c r="I112" s="65">
        <v>0.5376344086021505</v>
      </c>
      <c r="J112" s="33"/>
      <c r="M112" s="36"/>
    </row>
    <row r="113" spans="10:13">
      <c r="J113" s="33"/>
      <c r="M113" s="36"/>
    </row>
    <row r="114" spans="10:13">
      <c r="J114" s="33"/>
      <c r="M114" s="36"/>
    </row>
    <row r="115" spans="10:13">
      <c r="J115" s="33"/>
      <c r="M115" s="36"/>
    </row>
    <row r="116" spans="10:13">
      <c r="J116" s="33"/>
      <c r="M116" s="36"/>
    </row>
    <row r="117" spans="10:13">
      <c r="J117" s="33"/>
      <c r="M117" s="36"/>
    </row>
    <row r="118" spans="10:13">
      <c r="J118" s="33"/>
      <c r="M118" s="36"/>
    </row>
    <row r="119" spans="10:13">
      <c r="J119" s="33"/>
      <c r="M119" s="36"/>
    </row>
    <row r="120" spans="10:13">
      <c r="J120" s="33"/>
      <c r="M120" s="36"/>
    </row>
    <row r="121" spans="10:13">
      <c r="J121" s="33"/>
      <c r="M121" s="36"/>
    </row>
    <row r="122" spans="10:13">
      <c r="J122" s="33"/>
      <c r="M122" s="36"/>
    </row>
    <row r="123" spans="10:13">
      <c r="J123" s="33"/>
      <c r="M123" s="36"/>
    </row>
    <row r="124" spans="10:13">
      <c r="J124" s="33"/>
      <c r="M124" s="36"/>
    </row>
    <row r="125" spans="10:13">
      <c r="J125" s="33"/>
      <c r="M125" s="36"/>
    </row>
    <row r="126" spans="10:13">
      <c r="J126" s="33"/>
      <c r="M126" s="36"/>
    </row>
    <row r="127" spans="10:13">
      <c r="J127" s="33"/>
      <c r="M127" s="36"/>
    </row>
    <row r="128" spans="10:13">
      <c r="J128" s="33"/>
      <c r="M128" s="36"/>
    </row>
    <row r="129" spans="10:13">
      <c r="J129" s="33"/>
      <c r="M129" s="36"/>
    </row>
    <row r="130" spans="10:13">
      <c r="J130" s="33"/>
      <c r="M130" s="36"/>
    </row>
    <row r="131" spans="10:13">
      <c r="J131" s="33"/>
      <c r="M131" s="36"/>
    </row>
    <row r="132" spans="10:13">
      <c r="J132" s="33"/>
      <c r="M132" s="36"/>
    </row>
    <row r="133" spans="10:13">
      <c r="J133" s="33"/>
      <c r="M133" s="36"/>
    </row>
    <row r="134" spans="10:13">
      <c r="J134" s="33"/>
      <c r="M134" s="36"/>
    </row>
    <row r="135" spans="10:13">
      <c r="J135" s="33"/>
      <c r="M135" s="36"/>
    </row>
    <row r="136" spans="10:13">
      <c r="J136" s="33"/>
      <c r="M136" s="36"/>
    </row>
    <row r="137" spans="10:13">
      <c r="J137" s="33"/>
      <c r="M137" s="36"/>
    </row>
    <row r="138" spans="10:13">
      <c r="J138" s="33"/>
      <c r="M138" s="36"/>
    </row>
    <row r="139" spans="10:13">
      <c r="J139" s="33"/>
      <c r="M139" s="36"/>
    </row>
    <row r="140" spans="10:13">
      <c r="J140" s="33"/>
      <c r="M140" s="36"/>
    </row>
    <row r="141" spans="10:13">
      <c r="J141" s="33"/>
      <c r="M141" s="36"/>
    </row>
    <row r="142" spans="10:13">
      <c r="J142" s="33"/>
      <c r="M142" s="36"/>
    </row>
    <row r="143" spans="10:13">
      <c r="J143" s="33"/>
      <c r="M143" s="36"/>
    </row>
    <row r="144" spans="10:13">
      <c r="J144" s="33"/>
      <c r="M144" s="36"/>
    </row>
    <row r="145" spans="10:13">
      <c r="J145" s="33"/>
      <c r="M145" s="36"/>
    </row>
    <row r="146" spans="10:13">
      <c r="J146" s="33"/>
      <c r="M146" s="36"/>
    </row>
    <row r="147" spans="10:13">
      <c r="J147" s="33"/>
      <c r="M147" s="36"/>
    </row>
    <row r="148" spans="10:13">
      <c r="J148" s="33"/>
      <c r="M148" s="36"/>
    </row>
    <row r="149" spans="10:13">
      <c r="J149" s="33"/>
      <c r="M149" s="36"/>
    </row>
    <row r="150" spans="10:13">
      <c r="J150" s="33"/>
      <c r="M150" s="36"/>
    </row>
    <row r="151" spans="10:13">
      <c r="J151" s="33"/>
      <c r="M151" s="36"/>
    </row>
    <row r="152" spans="10:13">
      <c r="J152" s="33"/>
      <c r="M152" s="36"/>
    </row>
    <row r="153" spans="10:13">
      <c r="J153" s="33"/>
      <c r="M153" s="36"/>
    </row>
    <row r="154" spans="10:13">
      <c r="J154" s="33"/>
      <c r="M154" s="36"/>
    </row>
    <row r="155" spans="10:13">
      <c r="J155" s="33"/>
      <c r="M155" s="36"/>
    </row>
    <row r="156" spans="10:13">
      <c r="J156" s="33"/>
      <c r="M156" s="36"/>
    </row>
    <row r="157" spans="10:13">
      <c r="J157" s="33"/>
      <c r="M157" s="36"/>
    </row>
    <row r="158" spans="10:13">
      <c r="J158" s="33"/>
      <c r="M158" s="36"/>
    </row>
    <row r="159" spans="10:13">
      <c r="J159" s="33"/>
      <c r="M159" s="36"/>
    </row>
    <row r="160" spans="10:13">
      <c r="J160" s="33"/>
      <c r="M160" s="36"/>
    </row>
    <row r="161" spans="10:13">
      <c r="J161" s="33"/>
      <c r="M161" s="36"/>
    </row>
    <row r="162" spans="10:13">
      <c r="J162" s="33"/>
      <c r="M162" s="36"/>
    </row>
    <row r="163" spans="10:13">
      <c r="J163" s="33"/>
      <c r="M163" s="36"/>
    </row>
    <row r="164" spans="10:13">
      <c r="J164" s="33"/>
      <c r="M164" s="36"/>
    </row>
    <row r="165" spans="10:13">
      <c r="J165" s="33"/>
      <c r="M165" s="36"/>
    </row>
    <row r="166" spans="10:13">
      <c r="J166" s="33"/>
      <c r="M166" s="36"/>
    </row>
    <row r="167" spans="10:13">
      <c r="J167" s="33"/>
      <c r="M167" s="36"/>
    </row>
    <row r="168" spans="10:13">
      <c r="J168" s="33"/>
      <c r="M168" s="36"/>
    </row>
    <row r="169" spans="10:13">
      <c r="J169" s="33"/>
      <c r="M169" s="36"/>
    </row>
    <row r="170" spans="10:13">
      <c r="J170" s="33"/>
      <c r="M170" s="36"/>
    </row>
    <row r="171" spans="10:13">
      <c r="J171" s="33"/>
      <c r="M171" s="36"/>
    </row>
    <row r="172" spans="10:13">
      <c r="J172" s="33"/>
      <c r="M172" s="36"/>
    </row>
    <row r="173" spans="10:13">
      <c r="J173" s="33"/>
      <c r="M173" s="36"/>
    </row>
    <row r="174" spans="10:13">
      <c r="J174" s="33"/>
      <c r="M174" s="36"/>
    </row>
    <row r="175" spans="10:13">
      <c r="J175" s="33"/>
      <c r="M175" s="36"/>
    </row>
    <row r="176" spans="10:13">
      <c r="J176" s="33"/>
      <c r="M176" s="36"/>
    </row>
    <row r="177" spans="10:13">
      <c r="J177" s="33"/>
      <c r="M177" s="36"/>
    </row>
    <row r="178" spans="10:13">
      <c r="J178" s="33"/>
      <c r="M178" s="36"/>
    </row>
    <row r="179" spans="10:13">
      <c r="J179" s="33"/>
      <c r="M179" s="36"/>
    </row>
    <row r="180" spans="10:13">
      <c r="J180" s="33"/>
      <c r="M180" s="36"/>
    </row>
    <row r="181" spans="10:13">
      <c r="J181" s="33"/>
      <c r="M181" s="36"/>
    </row>
    <row r="182" spans="10:13">
      <c r="J182" s="33"/>
      <c r="M182" s="36"/>
    </row>
    <row r="183" spans="10:13">
      <c r="J183" s="33"/>
      <c r="M183" s="36"/>
    </row>
    <row r="184" spans="10:13">
      <c r="J184" s="33"/>
      <c r="M184" s="36"/>
    </row>
    <row r="185" spans="10:13">
      <c r="J185" s="33"/>
      <c r="M185" s="36"/>
    </row>
    <row r="186" spans="10:13">
      <c r="J186" s="33"/>
      <c r="M186" s="36"/>
    </row>
    <row r="187" spans="10:13">
      <c r="J187" s="33"/>
      <c r="M187" s="36"/>
    </row>
    <row r="188" spans="10:13">
      <c r="J188" s="33"/>
      <c r="M188" s="36"/>
    </row>
    <row r="189" spans="10:13">
      <c r="J189" s="33"/>
      <c r="M189" s="36"/>
    </row>
    <row r="190" spans="10:13">
      <c r="J190" s="33"/>
      <c r="M190" s="36"/>
    </row>
    <row r="191" spans="10:13">
      <c r="J191" s="33"/>
      <c r="M191" s="36"/>
    </row>
    <row r="192" spans="10:13">
      <c r="J192" s="33"/>
      <c r="M192" s="36"/>
    </row>
    <row r="193" spans="10:13">
      <c r="J193" s="33"/>
      <c r="M193" s="36"/>
    </row>
    <row r="194" spans="10:13">
      <c r="J194" s="33"/>
      <c r="M194" s="36"/>
    </row>
    <row r="195" spans="10:13">
      <c r="J195" s="33"/>
      <c r="M195" s="36"/>
    </row>
    <row r="196" spans="10:13">
      <c r="J196" s="33"/>
      <c r="M196" s="36"/>
    </row>
    <row r="197" spans="10:13">
      <c r="J197" s="33"/>
      <c r="M197" s="36"/>
    </row>
    <row r="198" spans="10:13">
      <c r="J198" s="33"/>
      <c r="M198" s="36"/>
    </row>
    <row r="199" spans="10:13">
      <c r="J199" s="33"/>
      <c r="M199" s="36"/>
    </row>
    <row r="200" spans="10:13">
      <c r="J200" s="33"/>
      <c r="M200" s="36"/>
    </row>
    <row r="201" spans="10:13">
      <c r="J201" s="33"/>
      <c r="M201" s="36"/>
    </row>
    <row r="202" spans="10:13">
      <c r="J202" s="33"/>
      <c r="M202" s="36"/>
    </row>
    <row r="203" spans="10:13">
      <c r="J203" s="33"/>
      <c r="M203" s="36"/>
    </row>
    <row r="204" spans="10:13">
      <c r="J204" s="33"/>
      <c r="M204" s="36"/>
    </row>
    <row r="205" spans="10:13">
      <c r="J205" s="33"/>
      <c r="M205" s="36"/>
    </row>
    <row r="206" spans="10:13">
      <c r="J206" s="33"/>
      <c r="M206" s="36"/>
    </row>
    <row r="207" spans="10:13">
      <c r="J207" s="33"/>
      <c r="M207" s="36"/>
    </row>
    <row r="208" spans="10:13">
      <c r="J208" s="33"/>
      <c r="M208" s="36"/>
    </row>
    <row r="209" spans="10:13">
      <c r="J209" s="33"/>
      <c r="M209" s="36"/>
    </row>
    <row r="210" spans="10:13">
      <c r="J210" s="33"/>
      <c r="M210" s="36"/>
    </row>
    <row r="211" spans="10:13">
      <c r="J211" s="33"/>
      <c r="M211" s="36"/>
    </row>
    <row r="212" spans="10:13">
      <c r="J212" s="33"/>
      <c r="M212" s="36"/>
    </row>
    <row r="213" spans="10:13">
      <c r="J213" s="33"/>
      <c r="M213" s="36"/>
    </row>
    <row r="214" spans="10:13">
      <c r="J214" s="33"/>
      <c r="M214" s="36"/>
    </row>
    <row r="215" spans="10:13">
      <c r="J215" s="33"/>
      <c r="M215" s="36"/>
    </row>
    <row r="216" spans="10:13">
      <c r="J216" s="33"/>
      <c r="M216" s="36"/>
    </row>
    <row r="217" spans="10:13">
      <c r="J217" s="33"/>
      <c r="M217" s="36"/>
    </row>
    <row r="218" spans="10:13">
      <c r="J218" s="33"/>
      <c r="M218" s="36"/>
    </row>
    <row r="219" spans="10:13">
      <c r="J219" s="33"/>
      <c r="M219" s="36"/>
    </row>
    <row r="220" spans="10:13">
      <c r="J220" s="33"/>
      <c r="M220" s="36"/>
    </row>
    <row r="221" spans="10:13">
      <c r="J221" s="33"/>
      <c r="M221" s="36"/>
    </row>
    <row r="222" spans="10:13">
      <c r="J222" s="33"/>
      <c r="M222" s="36"/>
    </row>
    <row r="223" spans="10:13">
      <c r="J223" s="33"/>
      <c r="M223" s="36"/>
    </row>
    <row r="224" spans="10:13">
      <c r="J224" s="33"/>
      <c r="M224" s="36"/>
    </row>
    <row r="225" spans="10:13">
      <c r="J225" s="33"/>
      <c r="M225" s="36"/>
    </row>
    <row r="226" spans="10:13">
      <c r="J226" s="33"/>
      <c r="M226" s="36"/>
    </row>
    <row r="227" spans="10:13">
      <c r="J227" s="33"/>
      <c r="M227" s="36"/>
    </row>
    <row r="228" spans="10:13">
      <c r="J228" s="33"/>
      <c r="M228" s="36"/>
    </row>
    <row r="229" spans="10:13">
      <c r="J229" s="33"/>
      <c r="M229" s="36"/>
    </row>
    <row r="230" spans="10:13">
      <c r="J230" s="33"/>
      <c r="M230" s="36"/>
    </row>
    <row r="231" spans="10:13">
      <c r="J231" s="33"/>
      <c r="M231" s="36"/>
    </row>
    <row r="232" spans="10:13">
      <c r="J232" s="33"/>
      <c r="M232" s="36"/>
    </row>
    <row r="233" spans="10:13">
      <c r="J233" s="33"/>
      <c r="M233" s="36"/>
    </row>
    <row r="234" spans="10:13">
      <c r="J234" s="33"/>
      <c r="M234" s="36"/>
    </row>
    <row r="235" spans="10:13">
      <c r="J235" s="33"/>
      <c r="M235" s="36"/>
    </row>
    <row r="236" spans="10:13">
      <c r="J236" s="33"/>
      <c r="M236" s="36"/>
    </row>
    <row r="237" spans="10:13">
      <c r="J237" s="33"/>
      <c r="M237" s="36"/>
    </row>
    <row r="238" spans="10:13">
      <c r="J238" s="33"/>
      <c r="M238" s="36"/>
    </row>
    <row r="239" spans="10:13">
      <c r="J239" s="33"/>
      <c r="M239" s="36"/>
    </row>
    <row r="240" spans="10:13">
      <c r="J240" s="33"/>
      <c r="M240" s="36"/>
    </row>
    <row r="241" spans="10:13">
      <c r="J241" s="33"/>
      <c r="M241" s="36"/>
    </row>
    <row r="242" spans="10:13">
      <c r="J242" s="33"/>
      <c r="M242" s="36"/>
    </row>
    <row r="243" spans="10:13">
      <c r="J243" s="33"/>
      <c r="M243" s="36"/>
    </row>
    <row r="244" spans="10:13">
      <c r="J244" s="33"/>
      <c r="M244" s="36"/>
    </row>
    <row r="245" spans="10:13">
      <c r="J245" s="33"/>
      <c r="M245" s="36"/>
    </row>
    <row r="246" spans="10:13">
      <c r="J246" s="33"/>
      <c r="M246" s="36"/>
    </row>
    <row r="247" spans="10:13">
      <c r="J247" s="33"/>
      <c r="M247" s="36"/>
    </row>
    <row r="248" spans="10:13">
      <c r="J248" s="33"/>
      <c r="M248" s="36"/>
    </row>
    <row r="249" spans="10:13">
      <c r="J249" s="33"/>
      <c r="M249" s="36"/>
    </row>
    <row r="250" spans="10:13">
      <c r="J250" s="33"/>
      <c r="M250" s="36"/>
    </row>
    <row r="251" spans="10:13">
      <c r="J251" s="33"/>
      <c r="M251" s="36"/>
    </row>
    <row r="252" spans="10:13">
      <c r="J252" s="33"/>
      <c r="M252" s="36"/>
    </row>
    <row r="253" spans="10:13">
      <c r="J253" s="33"/>
      <c r="M253" s="36"/>
    </row>
    <row r="254" spans="10:13">
      <c r="J254" s="33"/>
      <c r="M254" s="36"/>
    </row>
    <row r="255" spans="10:13">
      <c r="J255" s="33"/>
      <c r="M255" s="36"/>
    </row>
    <row r="256" spans="10:13">
      <c r="J256" s="33"/>
      <c r="M256" s="36"/>
    </row>
    <row r="257" spans="10:13">
      <c r="J257" s="33"/>
      <c r="M257" s="36"/>
    </row>
    <row r="258" spans="10:13">
      <c r="J258" s="33"/>
      <c r="M258" s="36"/>
    </row>
    <row r="259" spans="10:13">
      <c r="J259" s="33"/>
      <c r="M259" s="36"/>
    </row>
    <row r="260" spans="10:13">
      <c r="J260" s="33"/>
      <c r="M260" s="36"/>
    </row>
    <row r="261" spans="10:13">
      <c r="J261" s="33"/>
      <c r="M261" s="36"/>
    </row>
    <row r="262" spans="10:13">
      <c r="J262" s="33"/>
      <c r="M262" s="36"/>
    </row>
    <row r="263" spans="10:13">
      <c r="J263" s="33"/>
      <c r="M263" s="36"/>
    </row>
    <row r="264" spans="10:13">
      <c r="J264" s="33"/>
      <c r="M264" s="36"/>
    </row>
    <row r="265" spans="10:13">
      <c r="J265" s="33"/>
      <c r="M265" s="36"/>
    </row>
    <row r="266" spans="10:13">
      <c r="J266" s="33"/>
      <c r="M266" s="36"/>
    </row>
    <row r="267" spans="10:13">
      <c r="J267" s="33"/>
      <c r="M267" s="36"/>
    </row>
    <row r="268" spans="10:13">
      <c r="J268" s="33"/>
      <c r="M268" s="36"/>
    </row>
    <row r="269" spans="10:13">
      <c r="J269" s="33"/>
      <c r="M269" s="36"/>
    </row>
    <row r="270" spans="10:13">
      <c r="J270" s="33"/>
      <c r="M270" s="36"/>
    </row>
    <row r="271" spans="10:13">
      <c r="J271" s="33"/>
      <c r="M271" s="36"/>
    </row>
    <row r="272" spans="10:13">
      <c r="J272" s="33"/>
      <c r="M272" s="36"/>
    </row>
    <row r="273" spans="10:13">
      <c r="J273" s="33"/>
      <c r="M273" s="36"/>
    </row>
    <row r="274" spans="10:13">
      <c r="J274" s="33"/>
      <c r="M274" s="36"/>
    </row>
    <row r="275" spans="10:13">
      <c r="J275" s="33"/>
      <c r="M275" s="36"/>
    </row>
    <row r="276" spans="10:13">
      <c r="J276" s="33"/>
      <c r="M276" s="36"/>
    </row>
    <row r="277" spans="10:13">
      <c r="J277" s="33"/>
      <c r="M277" s="36"/>
    </row>
    <row r="278" spans="10:13">
      <c r="J278" s="33"/>
      <c r="M278" s="36"/>
    </row>
    <row r="279" spans="10:13">
      <c r="J279" s="33"/>
      <c r="M279" s="36"/>
    </row>
    <row r="280" spans="10:13">
      <c r="J280" s="33"/>
      <c r="M280" s="36"/>
    </row>
    <row r="281" spans="10:13">
      <c r="J281" s="33"/>
      <c r="M281" s="36"/>
    </row>
    <row r="282" spans="10:13">
      <c r="J282" s="33"/>
      <c r="M282" s="36"/>
    </row>
    <row r="283" spans="10:13">
      <c r="J283" s="33"/>
      <c r="M283" s="36"/>
    </row>
    <row r="284" spans="10:13">
      <c r="J284" s="33"/>
      <c r="M284" s="36"/>
    </row>
    <row r="285" spans="10:13">
      <c r="J285" s="33"/>
      <c r="M285" s="36"/>
    </row>
    <row r="286" spans="10:13">
      <c r="J286" s="33"/>
      <c r="M286" s="36"/>
    </row>
    <row r="287" spans="10:13">
      <c r="J287" s="33"/>
      <c r="M287" s="36"/>
    </row>
    <row r="288" spans="10:13">
      <c r="J288" s="33"/>
      <c r="M288" s="36"/>
    </row>
    <row r="289" spans="10:13">
      <c r="J289" s="33"/>
      <c r="M289" s="36"/>
    </row>
    <row r="290" spans="10:13">
      <c r="J290" s="33"/>
      <c r="M290" s="36"/>
    </row>
    <row r="291" spans="10:13">
      <c r="J291" s="33"/>
      <c r="M291" s="36"/>
    </row>
    <row r="292" spans="10:13">
      <c r="J292" s="33"/>
      <c r="M292" s="36"/>
    </row>
    <row r="293" spans="10:13">
      <c r="J293" s="33"/>
      <c r="M293" s="36"/>
    </row>
    <row r="294" spans="10:13">
      <c r="J294" s="33"/>
      <c r="M294" s="36"/>
    </row>
    <row r="295" spans="10:13">
      <c r="J295" s="33"/>
      <c r="M295" s="36"/>
    </row>
    <row r="296" spans="10:13">
      <c r="J296" s="33"/>
      <c r="M296" s="36"/>
    </row>
    <row r="297" spans="10:13">
      <c r="J297" s="33"/>
      <c r="M297" s="36"/>
    </row>
    <row r="298" spans="10:13">
      <c r="J298" s="33"/>
      <c r="M298" s="36"/>
    </row>
    <row r="299" spans="10:13">
      <c r="J299" s="33"/>
      <c r="M299" s="36"/>
    </row>
    <row r="300" spans="10:13">
      <c r="J300" s="33"/>
      <c r="M300" s="36"/>
    </row>
    <row r="301" spans="10:13">
      <c r="J301" s="33"/>
      <c r="M301" s="36"/>
    </row>
    <row r="302" spans="10:13">
      <c r="J302" s="33"/>
      <c r="M302" s="36"/>
    </row>
    <row r="303" spans="10:13">
      <c r="J303" s="33"/>
      <c r="M303" s="36"/>
    </row>
    <row r="304" spans="10:13">
      <c r="J304" s="33"/>
      <c r="M304" s="36"/>
    </row>
    <row r="305" spans="10:13">
      <c r="J305" s="33"/>
      <c r="M305" s="36"/>
    </row>
    <row r="306" spans="10:13">
      <c r="J306" s="33"/>
      <c r="M306" s="36"/>
    </row>
    <row r="307" spans="10:13">
      <c r="J307" s="33"/>
      <c r="M307" s="36"/>
    </row>
    <row r="308" spans="10:13">
      <c r="J308" s="33"/>
      <c r="M308" s="36"/>
    </row>
    <row r="309" spans="10:13">
      <c r="J309" s="33"/>
      <c r="M309" s="36"/>
    </row>
    <row r="310" spans="10:13">
      <c r="J310" s="33"/>
      <c r="M310" s="36"/>
    </row>
    <row r="311" spans="10:13">
      <c r="J311" s="33"/>
      <c r="M311" s="36"/>
    </row>
    <row r="312" spans="10:13">
      <c r="J312" s="33"/>
      <c r="M312" s="36"/>
    </row>
    <row r="313" spans="10:13">
      <c r="J313" s="33"/>
      <c r="M313" s="36"/>
    </row>
    <row r="314" spans="10:13">
      <c r="J314" s="33"/>
      <c r="M314" s="36"/>
    </row>
    <row r="315" spans="10:13">
      <c r="J315" s="33"/>
      <c r="M315" s="36"/>
    </row>
    <row r="316" spans="10:13">
      <c r="J316" s="33"/>
      <c r="M316" s="36"/>
    </row>
    <row r="317" spans="10:13">
      <c r="J317" s="33"/>
      <c r="M317" s="36"/>
    </row>
    <row r="318" spans="10:13">
      <c r="J318" s="33"/>
      <c r="M318" s="36"/>
    </row>
    <row r="319" spans="10:13">
      <c r="J319" s="33"/>
      <c r="M319" s="36"/>
    </row>
    <row r="320" spans="10:13">
      <c r="J320" s="33"/>
      <c r="M320" s="36"/>
    </row>
    <row r="321" spans="10:13">
      <c r="J321" s="33"/>
      <c r="M321" s="36"/>
    </row>
    <row r="322" spans="10:13">
      <c r="J322" s="33"/>
      <c r="M322" s="36"/>
    </row>
    <row r="323" spans="10:13">
      <c r="J323" s="33"/>
      <c r="M323" s="36"/>
    </row>
    <row r="324" spans="10:13">
      <c r="J324" s="33"/>
      <c r="M324" s="36"/>
    </row>
    <row r="325" spans="10:13">
      <c r="J325" s="33"/>
      <c r="M325" s="36"/>
    </row>
    <row r="326" spans="10:13">
      <c r="J326" s="33"/>
      <c r="M326" s="36"/>
    </row>
    <row r="327" spans="10:13">
      <c r="J327" s="33"/>
      <c r="M327" s="36"/>
    </row>
    <row r="328" spans="10:13">
      <c r="J328" s="33"/>
      <c r="M328" s="36"/>
    </row>
    <row r="329" spans="10:13">
      <c r="J329" s="33"/>
      <c r="M329" s="36"/>
    </row>
    <row r="330" spans="10:13">
      <c r="J330" s="33"/>
      <c r="M330" s="36"/>
    </row>
    <row r="331" spans="10:13">
      <c r="J331" s="33"/>
      <c r="M331" s="36"/>
    </row>
    <row r="332" spans="10:13">
      <c r="J332" s="33"/>
      <c r="M332" s="36"/>
    </row>
    <row r="333" spans="10:13">
      <c r="J333" s="33"/>
      <c r="M333" s="36"/>
    </row>
    <row r="334" spans="10:13">
      <c r="J334" s="33"/>
      <c r="M334" s="36"/>
    </row>
    <row r="335" spans="10:13">
      <c r="J335" s="33"/>
      <c r="M335" s="36"/>
    </row>
    <row r="336" spans="10:13">
      <c r="J336" s="33"/>
      <c r="M336" s="36"/>
    </row>
    <row r="337" spans="10:13">
      <c r="J337" s="33"/>
      <c r="M337" s="36"/>
    </row>
    <row r="338" spans="10:13">
      <c r="J338" s="33"/>
      <c r="M338" s="36"/>
    </row>
    <row r="339" spans="10:13">
      <c r="J339" s="33"/>
      <c r="M339" s="36"/>
    </row>
    <row r="340" spans="10:13">
      <c r="J340" s="33"/>
      <c r="M340" s="36"/>
    </row>
    <row r="341" spans="10:13">
      <c r="J341" s="33"/>
      <c r="M341" s="36"/>
    </row>
    <row r="342" spans="10:13">
      <c r="J342" s="33"/>
      <c r="M342" s="36"/>
    </row>
    <row r="343" spans="10:13">
      <c r="J343" s="33"/>
      <c r="M343" s="36"/>
    </row>
    <row r="344" spans="10:13">
      <c r="J344" s="33"/>
      <c r="M344" s="36"/>
    </row>
    <row r="345" spans="10:13">
      <c r="J345" s="33"/>
      <c r="M345" s="36"/>
    </row>
    <row r="346" spans="10:13">
      <c r="J346" s="33"/>
      <c r="M346" s="36"/>
    </row>
    <row r="347" spans="10:13">
      <c r="J347" s="33"/>
      <c r="M347" s="36"/>
    </row>
    <row r="348" spans="10:13">
      <c r="J348" s="33"/>
      <c r="M348" s="36"/>
    </row>
    <row r="349" spans="10:13">
      <c r="J349" s="33"/>
      <c r="M349" s="36"/>
    </row>
    <row r="350" spans="10:13">
      <c r="J350" s="33"/>
      <c r="M350" s="36"/>
    </row>
    <row r="351" spans="10:13">
      <c r="J351" s="33"/>
      <c r="M351" s="36"/>
    </row>
    <row r="352" spans="10:13">
      <c r="J352" s="33"/>
      <c r="M352" s="36"/>
    </row>
    <row r="353" spans="10:13">
      <c r="J353" s="33"/>
      <c r="M353" s="36"/>
    </row>
    <row r="354" spans="10:13">
      <c r="J354" s="33"/>
      <c r="M354" s="36"/>
    </row>
    <row r="355" spans="10:13">
      <c r="J355" s="33"/>
      <c r="M355" s="36"/>
    </row>
    <row r="356" spans="10:13">
      <c r="J356" s="33"/>
      <c r="M356" s="36"/>
    </row>
    <row r="357" spans="10:13">
      <c r="J357" s="33"/>
      <c r="M357" s="36"/>
    </row>
    <row r="358" spans="10:13">
      <c r="J358" s="33"/>
      <c r="M358" s="36"/>
    </row>
    <row r="359" spans="10:13">
      <c r="J359" s="33"/>
      <c r="M359" s="36"/>
    </row>
    <row r="360" spans="10:13">
      <c r="J360" s="33"/>
      <c r="M360" s="36"/>
    </row>
    <row r="361" spans="10:13">
      <c r="J361" s="33"/>
      <c r="M361" s="36"/>
    </row>
    <row r="362" spans="10:13">
      <c r="J362" s="33"/>
      <c r="M362" s="36"/>
    </row>
    <row r="363" spans="10:13">
      <c r="J363" s="33"/>
      <c r="M363" s="36"/>
    </row>
    <row r="364" spans="10:13">
      <c r="J364" s="33"/>
      <c r="M364" s="36"/>
    </row>
    <row r="365" spans="10:13">
      <c r="J365" s="33"/>
      <c r="M365" s="36"/>
    </row>
    <row r="366" spans="10:13">
      <c r="J366" s="33"/>
      <c r="M366" s="36"/>
    </row>
    <row r="367" spans="10:13">
      <c r="J367" s="33"/>
      <c r="M367" s="36"/>
    </row>
    <row r="368" spans="10:13">
      <c r="J368" s="33"/>
      <c r="M368" s="36"/>
    </row>
    <row r="369" spans="10:13">
      <c r="J369" s="33"/>
      <c r="M369" s="36"/>
    </row>
    <row r="370" spans="10:13">
      <c r="J370" s="33"/>
      <c r="M370" s="36"/>
    </row>
    <row r="371" spans="10:13">
      <c r="J371" s="33"/>
      <c r="M371" s="36"/>
    </row>
    <row r="372" spans="10:13">
      <c r="J372" s="33"/>
      <c r="M372" s="36"/>
    </row>
    <row r="373" spans="10:13">
      <c r="J373" s="33"/>
      <c r="M373" s="36"/>
    </row>
    <row r="374" spans="10:13">
      <c r="J374" s="33"/>
      <c r="M374" s="36"/>
    </row>
    <row r="375" spans="10:13">
      <c r="J375" s="33"/>
      <c r="M375" s="36"/>
    </row>
    <row r="376" spans="10:13">
      <c r="J376" s="33"/>
      <c r="M376" s="36"/>
    </row>
    <row r="377" spans="10:13">
      <c r="J377" s="33"/>
      <c r="M377" s="36"/>
    </row>
    <row r="378" spans="10:13">
      <c r="J378" s="33"/>
      <c r="M378" s="36"/>
    </row>
    <row r="379" spans="10:13">
      <c r="J379" s="33"/>
      <c r="M379" s="36"/>
    </row>
    <row r="380" spans="10:13">
      <c r="J380" s="33"/>
      <c r="M380" s="36"/>
    </row>
    <row r="381" spans="10:13">
      <c r="J381" s="33"/>
      <c r="M381" s="36"/>
    </row>
    <row r="382" spans="10:13">
      <c r="J382" s="33"/>
      <c r="M382" s="36"/>
    </row>
    <row r="383" spans="10:13">
      <c r="J383" s="33"/>
      <c r="M383" s="36"/>
    </row>
    <row r="384" spans="10:13">
      <c r="J384" s="33"/>
      <c r="M384" s="36"/>
    </row>
    <row r="385" spans="10:13">
      <c r="J385" s="33"/>
      <c r="M385" s="36"/>
    </row>
    <row r="386" spans="10:13">
      <c r="J386" s="33"/>
      <c r="M386" s="36"/>
    </row>
    <row r="387" spans="10:13">
      <c r="J387" s="33"/>
      <c r="M387" s="36"/>
    </row>
    <row r="388" spans="10:13">
      <c r="J388" s="33"/>
      <c r="M388" s="36"/>
    </row>
    <row r="389" spans="10:13">
      <c r="J389" s="33"/>
      <c r="M389" s="36"/>
    </row>
    <row r="390" spans="10:13">
      <c r="J390" s="33"/>
      <c r="M390" s="36"/>
    </row>
    <row r="391" spans="10:13">
      <c r="J391" s="33"/>
      <c r="M391" s="36"/>
    </row>
    <row r="392" spans="10:13">
      <c r="J392" s="33"/>
      <c r="M392" s="36"/>
    </row>
    <row r="393" spans="10:13">
      <c r="J393" s="33"/>
      <c r="M393" s="36"/>
    </row>
    <row r="394" spans="10:13">
      <c r="J394" s="33"/>
      <c r="M394" s="36"/>
    </row>
    <row r="395" spans="10:13">
      <c r="J395" s="33"/>
      <c r="M395" s="36"/>
    </row>
    <row r="396" spans="10:13">
      <c r="J396" s="33"/>
      <c r="M396" s="36"/>
    </row>
    <row r="397" spans="10:13">
      <c r="J397" s="33"/>
      <c r="M397" s="36"/>
    </row>
    <row r="398" spans="10:13">
      <c r="J398" s="33"/>
      <c r="M398" s="36"/>
    </row>
    <row r="399" spans="10:13">
      <c r="J399" s="33"/>
      <c r="M399" s="36"/>
    </row>
    <row r="400" spans="10:13">
      <c r="J400" s="33"/>
      <c r="M400" s="36"/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BN407"/>
  <sheetViews>
    <sheetView zoomScale="85" zoomScaleNormal="85" workbookViewId="0">
      <pane xSplit="2" ySplit="2" topLeftCell="C60" activePane="bottomRight" state="frozen"/>
      <selection pane="topRight" activeCell="C1" sqref="C1"/>
      <selection pane="bottomLeft" activeCell="A3" sqref="A3"/>
      <selection pane="bottomRight" activeCell="L93" sqref="L93"/>
    </sheetView>
  </sheetViews>
  <sheetFormatPr defaultRowHeight="15"/>
  <cols>
    <col min="1" max="1" width="8.7109375" style="294" customWidth="1"/>
    <col min="2" max="2" width="35.28515625" style="294" bestFit="1" customWidth="1"/>
    <col min="3" max="3" width="8" style="294" bestFit="1" customWidth="1"/>
    <col min="4" max="4" width="4.140625" style="294" bestFit="1" customWidth="1"/>
    <col min="5" max="5" width="9" style="273" bestFit="1" customWidth="1"/>
    <col min="6" max="7" width="10.5703125" style="273" bestFit="1" customWidth="1"/>
    <col min="8" max="9" width="9.5703125" style="273" bestFit="1" customWidth="1"/>
    <col min="10" max="10" width="18.7109375" style="273" customWidth="1"/>
    <col min="11" max="12" width="18.7109375" style="285" customWidth="1"/>
    <col min="13" max="13" width="18.7109375" style="273" customWidth="1"/>
    <col min="14" max="16" width="10.85546875" style="273" bestFit="1" customWidth="1"/>
    <col min="17" max="17" width="10.85546875" style="284" bestFit="1" customWidth="1"/>
    <col min="18" max="18" width="11.42578125" style="273" bestFit="1" customWidth="1"/>
    <col min="19" max="19" width="12.140625" style="273" customWidth="1"/>
    <col min="20" max="20" width="16.5703125" style="286" customWidth="1" collapsed="1"/>
    <col min="21" max="21" width="16.5703125" style="286" customWidth="1"/>
    <col min="22" max="23" width="16.5703125" style="356" customWidth="1"/>
    <col min="24" max="25" width="13.28515625" style="356" customWidth="1"/>
    <col min="26" max="26" width="13.28515625" style="273" customWidth="1"/>
    <col min="27" max="27" width="11.7109375" style="273" bestFit="1" customWidth="1" collapsed="1"/>
    <col min="28" max="29" width="11.7109375" style="273" bestFit="1" customWidth="1"/>
    <col min="30" max="30" width="11" style="294" bestFit="1" customWidth="1"/>
    <col min="31" max="33" width="11" style="294" customWidth="1"/>
    <col min="34" max="35" width="14.28515625" style="294" bestFit="1" customWidth="1"/>
    <col min="36" max="41" width="11" style="273" customWidth="1"/>
    <col min="42" max="42" width="11" style="273" customWidth="1" collapsed="1"/>
    <col min="43" max="46" width="8.140625" style="273" bestFit="1" customWidth="1"/>
    <col min="47" max="48" width="9" style="273" bestFit="1" customWidth="1"/>
    <col min="49" max="49" width="10" style="273" bestFit="1" customWidth="1"/>
    <col min="50" max="50" width="9.140625" style="273"/>
    <col min="51" max="59" width="13.7109375" style="273" customWidth="1"/>
    <col min="60" max="255" width="9.140625" style="273"/>
    <col min="256" max="256" width="0" style="273" hidden="1" customWidth="1"/>
    <col min="257" max="257" width="9.140625" style="273"/>
    <col min="258" max="258" width="28.140625" style="273" customWidth="1"/>
    <col min="259" max="260" width="0" style="273" hidden="1" customWidth="1"/>
    <col min="261" max="267" width="11" style="273" customWidth="1"/>
    <col min="268" max="269" width="0" style="273" hidden="1" customWidth="1"/>
    <col min="270" max="271" width="11" style="273" customWidth="1"/>
    <col min="272" max="273" width="0" style="273" hidden="1" customWidth="1"/>
    <col min="274" max="274" width="11" style="273" customWidth="1"/>
    <col min="275" max="275" width="16.5703125" style="273" customWidth="1"/>
    <col min="276" max="279" width="11" style="273" customWidth="1"/>
    <col min="280" max="281" width="11.140625" style="273" customWidth="1"/>
    <col min="282" max="305" width="11" style="273" customWidth="1"/>
    <col min="306" max="511" width="9.140625" style="273"/>
    <col min="512" max="512" width="0" style="273" hidden="1" customWidth="1"/>
    <col min="513" max="513" width="9.140625" style="273"/>
    <col min="514" max="514" width="28.140625" style="273" customWidth="1"/>
    <col min="515" max="516" width="0" style="273" hidden="1" customWidth="1"/>
    <col min="517" max="523" width="11" style="273" customWidth="1"/>
    <col min="524" max="525" width="0" style="273" hidden="1" customWidth="1"/>
    <col min="526" max="527" width="11" style="273" customWidth="1"/>
    <col min="528" max="529" width="0" style="273" hidden="1" customWidth="1"/>
    <col min="530" max="530" width="11" style="273" customWidth="1"/>
    <col min="531" max="531" width="16.5703125" style="273" customWidth="1"/>
    <col min="532" max="535" width="11" style="273" customWidth="1"/>
    <col min="536" max="537" width="11.140625" style="273" customWidth="1"/>
    <col min="538" max="561" width="11" style="273" customWidth="1"/>
    <col min="562" max="767" width="9.140625" style="273"/>
    <col min="768" max="768" width="0" style="273" hidden="1" customWidth="1"/>
    <col min="769" max="769" width="9.140625" style="273"/>
    <col min="770" max="770" width="28.140625" style="273" customWidth="1"/>
    <col min="771" max="772" width="0" style="273" hidden="1" customWidth="1"/>
    <col min="773" max="779" width="11" style="273" customWidth="1"/>
    <col min="780" max="781" width="0" style="273" hidden="1" customWidth="1"/>
    <col min="782" max="783" width="11" style="273" customWidth="1"/>
    <col min="784" max="785" width="0" style="273" hidden="1" customWidth="1"/>
    <col min="786" max="786" width="11" style="273" customWidth="1"/>
    <col min="787" max="787" width="16.5703125" style="273" customWidth="1"/>
    <col min="788" max="791" width="11" style="273" customWidth="1"/>
    <col min="792" max="793" width="11.140625" style="273" customWidth="1"/>
    <col min="794" max="817" width="11" style="273" customWidth="1"/>
    <col min="818" max="1023" width="9.140625" style="273"/>
    <col min="1024" max="1024" width="0" style="273" hidden="1" customWidth="1"/>
    <col min="1025" max="1025" width="9.140625" style="273"/>
    <col min="1026" max="1026" width="28.140625" style="273" customWidth="1"/>
    <col min="1027" max="1028" width="0" style="273" hidden="1" customWidth="1"/>
    <col min="1029" max="1035" width="11" style="273" customWidth="1"/>
    <col min="1036" max="1037" width="0" style="273" hidden="1" customWidth="1"/>
    <col min="1038" max="1039" width="11" style="273" customWidth="1"/>
    <col min="1040" max="1041" width="0" style="273" hidden="1" customWidth="1"/>
    <col min="1042" max="1042" width="11" style="273" customWidth="1"/>
    <col min="1043" max="1043" width="16.5703125" style="273" customWidth="1"/>
    <col min="1044" max="1047" width="11" style="273" customWidth="1"/>
    <col min="1048" max="1049" width="11.140625" style="273" customWidth="1"/>
    <col min="1050" max="1073" width="11" style="273" customWidth="1"/>
    <col min="1074" max="1279" width="9.140625" style="273"/>
    <col min="1280" max="1280" width="0" style="273" hidden="1" customWidth="1"/>
    <col min="1281" max="1281" width="9.140625" style="273"/>
    <col min="1282" max="1282" width="28.140625" style="273" customWidth="1"/>
    <col min="1283" max="1284" width="0" style="273" hidden="1" customWidth="1"/>
    <col min="1285" max="1291" width="11" style="273" customWidth="1"/>
    <col min="1292" max="1293" width="0" style="273" hidden="1" customWidth="1"/>
    <col min="1294" max="1295" width="11" style="273" customWidth="1"/>
    <col min="1296" max="1297" width="0" style="273" hidden="1" customWidth="1"/>
    <col min="1298" max="1298" width="11" style="273" customWidth="1"/>
    <col min="1299" max="1299" width="16.5703125" style="273" customWidth="1"/>
    <col min="1300" max="1303" width="11" style="273" customWidth="1"/>
    <col min="1304" max="1305" width="11.140625" style="273" customWidth="1"/>
    <col min="1306" max="1329" width="11" style="273" customWidth="1"/>
    <col min="1330" max="1535" width="9.140625" style="273"/>
    <col min="1536" max="1536" width="0" style="273" hidden="1" customWidth="1"/>
    <col min="1537" max="1537" width="9.140625" style="273"/>
    <col min="1538" max="1538" width="28.140625" style="273" customWidth="1"/>
    <col min="1539" max="1540" width="0" style="273" hidden="1" customWidth="1"/>
    <col min="1541" max="1547" width="11" style="273" customWidth="1"/>
    <col min="1548" max="1549" width="0" style="273" hidden="1" customWidth="1"/>
    <col min="1550" max="1551" width="11" style="273" customWidth="1"/>
    <col min="1552" max="1553" width="0" style="273" hidden="1" customWidth="1"/>
    <col min="1554" max="1554" width="11" style="273" customWidth="1"/>
    <col min="1555" max="1555" width="16.5703125" style="273" customWidth="1"/>
    <col min="1556" max="1559" width="11" style="273" customWidth="1"/>
    <col min="1560" max="1561" width="11.140625" style="273" customWidth="1"/>
    <col min="1562" max="1585" width="11" style="273" customWidth="1"/>
    <col min="1586" max="1791" width="9.140625" style="273"/>
    <col min="1792" max="1792" width="0" style="273" hidden="1" customWidth="1"/>
    <col min="1793" max="1793" width="9.140625" style="273"/>
    <col min="1794" max="1794" width="28.140625" style="273" customWidth="1"/>
    <col min="1795" max="1796" width="0" style="273" hidden="1" customWidth="1"/>
    <col min="1797" max="1803" width="11" style="273" customWidth="1"/>
    <col min="1804" max="1805" width="0" style="273" hidden="1" customWidth="1"/>
    <col min="1806" max="1807" width="11" style="273" customWidth="1"/>
    <col min="1808" max="1809" width="0" style="273" hidden="1" customWidth="1"/>
    <col min="1810" max="1810" width="11" style="273" customWidth="1"/>
    <col min="1811" max="1811" width="16.5703125" style="273" customWidth="1"/>
    <col min="1812" max="1815" width="11" style="273" customWidth="1"/>
    <col min="1816" max="1817" width="11.140625" style="273" customWidth="1"/>
    <col min="1818" max="1841" width="11" style="273" customWidth="1"/>
    <col min="1842" max="2047" width="9.140625" style="273"/>
    <col min="2048" max="2048" width="0" style="273" hidden="1" customWidth="1"/>
    <col min="2049" max="2049" width="9.140625" style="273"/>
    <col min="2050" max="2050" width="28.140625" style="273" customWidth="1"/>
    <col min="2051" max="2052" width="0" style="273" hidden="1" customWidth="1"/>
    <col min="2053" max="2059" width="11" style="273" customWidth="1"/>
    <col min="2060" max="2061" width="0" style="273" hidden="1" customWidth="1"/>
    <col min="2062" max="2063" width="11" style="273" customWidth="1"/>
    <col min="2064" max="2065" width="0" style="273" hidden="1" customWidth="1"/>
    <col min="2066" max="2066" width="11" style="273" customWidth="1"/>
    <col min="2067" max="2067" width="16.5703125" style="273" customWidth="1"/>
    <col min="2068" max="2071" width="11" style="273" customWidth="1"/>
    <col min="2072" max="2073" width="11.140625" style="273" customWidth="1"/>
    <col min="2074" max="2097" width="11" style="273" customWidth="1"/>
    <col min="2098" max="2303" width="9.140625" style="273"/>
    <col min="2304" max="2304" width="0" style="273" hidden="1" customWidth="1"/>
    <col min="2305" max="2305" width="9.140625" style="273"/>
    <col min="2306" max="2306" width="28.140625" style="273" customWidth="1"/>
    <col min="2307" max="2308" width="0" style="273" hidden="1" customWidth="1"/>
    <col min="2309" max="2315" width="11" style="273" customWidth="1"/>
    <col min="2316" max="2317" width="0" style="273" hidden="1" customWidth="1"/>
    <col min="2318" max="2319" width="11" style="273" customWidth="1"/>
    <col min="2320" max="2321" width="0" style="273" hidden="1" customWidth="1"/>
    <col min="2322" max="2322" width="11" style="273" customWidth="1"/>
    <col min="2323" max="2323" width="16.5703125" style="273" customWidth="1"/>
    <col min="2324" max="2327" width="11" style="273" customWidth="1"/>
    <col min="2328" max="2329" width="11.140625" style="273" customWidth="1"/>
    <col min="2330" max="2353" width="11" style="273" customWidth="1"/>
    <col min="2354" max="2559" width="9.140625" style="273"/>
    <col min="2560" max="2560" width="0" style="273" hidden="1" customWidth="1"/>
    <col min="2561" max="2561" width="9.140625" style="273"/>
    <col min="2562" max="2562" width="28.140625" style="273" customWidth="1"/>
    <col min="2563" max="2564" width="0" style="273" hidden="1" customWidth="1"/>
    <col min="2565" max="2571" width="11" style="273" customWidth="1"/>
    <col min="2572" max="2573" width="0" style="273" hidden="1" customWidth="1"/>
    <col min="2574" max="2575" width="11" style="273" customWidth="1"/>
    <col min="2576" max="2577" width="0" style="273" hidden="1" customWidth="1"/>
    <col min="2578" max="2578" width="11" style="273" customWidth="1"/>
    <col min="2579" max="2579" width="16.5703125" style="273" customWidth="1"/>
    <col min="2580" max="2583" width="11" style="273" customWidth="1"/>
    <col min="2584" max="2585" width="11.140625" style="273" customWidth="1"/>
    <col min="2586" max="2609" width="11" style="273" customWidth="1"/>
    <col min="2610" max="2815" width="9.140625" style="273"/>
    <col min="2816" max="2816" width="0" style="273" hidden="1" customWidth="1"/>
    <col min="2817" max="2817" width="9.140625" style="273"/>
    <col min="2818" max="2818" width="28.140625" style="273" customWidth="1"/>
    <col min="2819" max="2820" width="0" style="273" hidden="1" customWidth="1"/>
    <col min="2821" max="2827" width="11" style="273" customWidth="1"/>
    <col min="2828" max="2829" width="0" style="273" hidden="1" customWidth="1"/>
    <col min="2830" max="2831" width="11" style="273" customWidth="1"/>
    <col min="2832" max="2833" width="0" style="273" hidden="1" customWidth="1"/>
    <col min="2834" max="2834" width="11" style="273" customWidth="1"/>
    <col min="2835" max="2835" width="16.5703125" style="273" customWidth="1"/>
    <col min="2836" max="2839" width="11" style="273" customWidth="1"/>
    <col min="2840" max="2841" width="11.140625" style="273" customWidth="1"/>
    <col min="2842" max="2865" width="11" style="273" customWidth="1"/>
    <col min="2866" max="3071" width="9.140625" style="273"/>
    <col min="3072" max="3072" width="0" style="273" hidden="1" customWidth="1"/>
    <col min="3073" max="3073" width="9.140625" style="273"/>
    <col min="3074" max="3074" width="28.140625" style="273" customWidth="1"/>
    <col min="3075" max="3076" width="0" style="273" hidden="1" customWidth="1"/>
    <col min="3077" max="3083" width="11" style="273" customWidth="1"/>
    <col min="3084" max="3085" width="0" style="273" hidden="1" customWidth="1"/>
    <col min="3086" max="3087" width="11" style="273" customWidth="1"/>
    <col min="3088" max="3089" width="0" style="273" hidden="1" customWidth="1"/>
    <col min="3090" max="3090" width="11" style="273" customWidth="1"/>
    <col min="3091" max="3091" width="16.5703125" style="273" customWidth="1"/>
    <col min="3092" max="3095" width="11" style="273" customWidth="1"/>
    <col min="3096" max="3097" width="11.140625" style="273" customWidth="1"/>
    <col min="3098" max="3121" width="11" style="273" customWidth="1"/>
    <col min="3122" max="3327" width="9.140625" style="273"/>
    <col min="3328" max="3328" width="0" style="273" hidden="1" customWidth="1"/>
    <col min="3329" max="3329" width="9.140625" style="273"/>
    <col min="3330" max="3330" width="28.140625" style="273" customWidth="1"/>
    <col min="3331" max="3332" width="0" style="273" hidden="1" customWidth="1"/>
    <col min="3333" max="3339" width="11" style="273" customWidth="1"/>
    <col min="3340" max="3341" width="0" style="273" hidden="1" customWidth="1"/>
    <col min="3342" max="3343" width="11" style="273" customWidth="1"/>
    <col min="3344" max="3345" width="0" style="273" hidden="1" customWidth="1"/>
    <col min="3346" max="3346" width="11" style="273" customWidth="1"/>
    <col min="3347" max="3347" width="16.5703125" style="273" customWidth="1"/>
    <col min="3348" max="3351" width="11" style="273" customWidth="1"/>
    <col min="3352" max="3353" width="11.140625" style="273" customWidth="1"/>
    <col min="3354" max="3377" width="11" style="273" customWidth="1"/>
    <col min="3378" max="3583" width="9.140625" style="273"/>
    <col min="3584" max="3584" width="0" style="273" hidden="1" customWidth="1"/>
    <col min="3585" max="3585" width="9.140625" style="273"/>
    <col min="3586" max="3586" width="28.140625" style="273" customWidth="1"/>
    <col min="3587" max="3588" width="0" style="273" hidden="1" customWidth="1"/>
    <col min="3589" max="3595" width="11" style="273" customWidth="1"/>
    <col min="3596" max="3597" width="0" style="273" hidden="1" customWidth="1"/>
    <col min="3598" max="3599" width="11" style="273" customWidth="1"/>
    <col min="3600" max="3601" width="0" style="273" hidden="1" customWidth="1"/>
    <col min="3602" max="3602" width="11" style="273" customWidth="1"/>
    <col min="3603" max="3603" width="16.5703125" style="273" customWidth="1"/>
    <col min="3604" max="3607" width="11" style="273" customWidth="1"/>
    <col min="3608" max="3609" width="11.140625" style="273" customWidth="1"/>
    <col min="3610" max="3633" width="11" style="273" customWidth="1"/>
    <col min="3634" max="3839" width="9.140625" style="273"/>
    <col min="3840" max="3840" width="0" style="273" hidden="1" customWidth="1"/>
    <col min="3841" max="3841" width="9.140625" style="273"/>
    <col min="3842" max="3842" width="28.140625" style="273" customWidth="1"/>
    <col min="3843" max="3844" width="0" style="273" hidden="1" customWidth="1"/>
    <col min="3845" max="3851" width="11" style="273" customWidth="1"/>
    <col min="3852" max="3853" width="0" style="273" hidden="1" customWidth="1"/>
    <col min="3854" max="3855" width="11" style="273" customWidth="1"/>
    <col min="3856" max="3857" width="0" style="273" hidden="1" customWidth="1"/>
    <col min="3858" max="3858" width="11" style="273" customWidth="1"/>
    <col min="3859" max="3859" width="16.5703125" style="273" customWidth="1"/>
    <col min="3860" max="3863" width="11" style="273" customWidth="1"/>
    <col min="3864" max="3865" width="11.140625" style="273" customWidth="1"/>
    <col min="3866" max="3889" width="11" style="273" customWidth="1"/>
    <col min="3890" max="4095" width="9.140625" style="273"/>
    <col min="4096" max="4096" width="0" style="273" hidden="1" customWidth="1"/>
    <col min="4097" max="4097" width="9.140625" style="273"/>
    <col min="4098" max="4098" width="28.140625" style="273" customWidth="1"/>
    <col min="4099" max="4100" width="0" style="273" hidden="1" customWidth="1"/>
    <col min="4101" max="4107" width="11" style="273" customWidth="1"/>
    <col min="4108" max="4109" width="0" style="273" hidden="1" customWidth="1"/>
    <col min="4110" max="4111" width="11" style="273" customWidth="1"/>
    <col min="4112" max="4113" width="0" style="273" hidden="1" customWidth="1"/>
    <col min="4114" max="4114" width="11" style="273" customWidth="1"/>
    <col min="4115" max="4115" width="16.5703125" style="273" customWidth="1"/>
    <col min="4116" max="4119" width="11" style="273" customWidth="1"/>
    <col min="4120" max="4121" width="11.140625" style="273" customWidth="1"/>
    <col min="4122" max="4145" width="11" style="273" customWidth="1"/>
    <col min="4146" max="4351" width="9.140625" style="273"/>
    <col min="4352" max="4352" width="0" style="273" hidden="1" customWidth="1"/>
    <col min="4353" max="4353" width="9.140625" style="273"/>
    <col min="4354" max="4354" width="28.140625" style="273" customWidth="1"/>
    <col min="4355" max="4356" width="0" style="273" hidden="1" customWidth="1"/>
    <col min="4357" max="4363" width="11" style="273" customWidth="1"/>
    <col min="4364" max="4365" width="0" style="273" hidden="1" customWidth="1"/>
    <col min="4366" max="4367" width="11" style="273" customWidth="1"/>
    <col min="4368" max="4369" width="0" style="273" hidden="1" customWidth="1"/>
    <col min="4370" max="4370" width="11" style="273" customWidth="1"/>
    <col min="4371" max="4371" width="16.5703125" style="273" customWidth="1"/>
    <col min="4372" max="4375" width="11" style="273" customWidth="1"/>
    <col min="4376" max="4377" width="11.140625" style="273" customWidth="1"/>
    <col min="4378" max="4401" width="11" style="273" customWidth="1"/>
    <col min="4402" max="4607" width="9.140625" style="273"/>
    <col min="4608" max="4608" width="0" style="273" hidden="1" customWidth="1"/>
    <col min="4609" max="4609" width="9.140625" style="273"/>
    <col min="4610" max="4610" width="28.140625" style="273" customWidth="1"/>
    <col min="4611" max="4612" width="0" style="273" hidden="1" customWidth="1"/>
    <col min="4613" max="4619" width="11" style="273" customWidth="1"/>
    <col min="4620" max="4621" width="0" style="273" hidden="1" customWidth="1"/>
    <col min="4622" max="4623" width="11" style="273" customWidth="1"/>
    <col min="4624" max="4625" width="0" style="273" hidden="1" customWidth="1"/>
    <col min="4626" max="4626" width="11" style="273" customWidth="1"/>
    <col min="4627" max="4627" width="16.5703125" style="273" customWidth="1"/>
    <col min="4628" max="4631" width="11" style="273" customWidth="1"/>
    <col min="4632" max="4633" width="11.140625" style="273" customWidth="1"/>
    <col min="4634" max="4657" width="11" style="273" customWidth="1"/>
    <col min="4658" max="4863" width="9.140625" style="273"/>
    <col min="4864" max="4864" width="0" style="273" hidden="1" customWidth="1"/>
    <col min="4865" max="4865" width="9.140625" style="273"/>
    <col min="4866" max="4866" width="28.140625" style="273" customWidth="1"/>
    <col min="4867" max="4868" width="0" style="273" hidden="1" customWidth="1"/>
    <col min="4869" max="4875" width="11" style="273" customWidth="1"/>
    <col min="4876" max="4877" width="0" style="273" hidden="1" customWidth="1"/>
    <col min="4878" max="4879" width="11" style="273" customWidth="1"/>
    <col min="4880" max="4881" width="0" style="273" hidden="1" customWidth="1"/>
    <col min="4882" max="4882" width="11" style="273" customWidth="1"/>
    <col min="4883" max="4883" width="16.5703125" style="273" customWidth="1"/>
    <col min="4884" max="4887" width="11" style="273" customWidth="1"/>
    <col min="4888" max="4889" width="11.140625" style="273" customWidth="1"/>
    <col min="4890" max="4913" width="11" style="273" customWidth="1"/>
    <col min="4914" max="5119" width="9.140625" style="273"/>
    <col min="5120" max="5120" width="0" style="273" hidden="1" customWidth="1"/>
    <col min="5121" max="5121" width="9.140625" style="273"/>
    <col min="5122" max="5122" width="28.140625" style="273" customWidth="1"/>
    <col min="5123" max="5124" width="0" style="273" hidden="1" customWidth="1"/>
    <col min="5125" max="5131" width="11" style="273" customWidth="1"/>
    <col min="5132" max="5133" width="0" style="273" hidden="1" customWidth="1"/>
    <col min="5134" max="5135" width="11" style="273" customWidth="1"/>
    <col min="5136" max="5137" width="0" style="273" hidden="1" customWidth="1"/>
    <col min="5138" max="5138" width="11" style="273" customWidth="1"/>
    <col min="5139" max="5139" width="16.5703125" style="273" customWidth="1"/>
    <col min="5140" max="5143" width="11" style="273" customWidth="1"/>
    <col min="5144" max="5145" width="11.140625" style="273" customWidth="1"/>
    <col min="5146" max="5169" width="11" style="273" customWidth="1"/>
    <col min="5170" max="5375" width="9.140625" style="273"/>
    <col min="5376" max="5376" width="0" style="273" hidden="1" customWidth="1"/>
    <col min="5377" max="5377" width="9.140625" style="273"/>
    <col min="5378" max="5378" width="28.140625" style="273" customWidth="1"/>
    <col min="5379" max="5380" width="0" style="273" hidden="1" customWidth="1"/>
    <col min="5381" max="5387" width="11" style="273" customWidth="1"/>
    <col min="5388" max="5389" width="0" style="273" hidden="1" customWidth="1"/>
    <col min="5390" max="5391" width="11" style="273" customWidth="1"/>
    <col min="5392" max="5393" width="0" style="273" hidden="1" customWidth="1"/>
    <col min="5394" max="5394" width="11" style="273" customWidth="1"/>
    <col min="5395" max="5395" width="16.5703125" style="273" customWidth="1"/>
    <col min="5396" max="5399" width="11" style="273" customWidth="1"/>
    <col min="5400" max="5401" width="11.140625" style="273" customWidth="1"/>
    <col min="5402" max="5425" width="11" style="273" customWidth="1"/>
    <col min="5426" max="5631" width="9.140625" style="273"/>
    <col min="5632" max="5632" width="0" style="273" hidden="1" customWidth="1"/>
    <col min="5633" max="5633" width="9.140625" style="273"/>
    <col min="5634" max="5634" width="28.140625" style="273" customWidth="1"/>
    <col min="5635" max="5636" width="0" style="273" hidden="1" customWidth="1"/>
    <col min="5637" max="5643" width="11" style="273" customWidth="1"/>
    <col min="5644" max="5645" width="0" style="273" hidden="1" customWidth="1"/>
    <col min="5646" max="5647" width="11" style="273" customWidth="1"/>
    <col min="5648" max="5649" width="0" style="273" hidden="1" customWidth="1"/>
    <col min="5650" max="5650" width="11" style="273" customWidth="1"/>
    <col min="5651" max="5651" width="16.5703125" style="273" customWidth="1"/>
    <col min="5652" max="5655" width="11" style="273" customWidth="1"/>
    <col min="5656" max="5657" width="11.140625" style="273" customWidth="1"/>
    <col min="5658" max="5681" width="11" style="273" customWidth="1"/>
    <col min="5682" max="5887" width="9.140625" style="273"/>
    <col min="5888" max="5888" width="0" style="273" hidden="1" customWidth="1"/>
    <col min="5889" max="5889" width="9.140625" style="273"/>
    <col min="5890" max="5890" width="28.140625" style="273" customWidth="1"/>
    <col min="5891" max="5892" width="0" style="273" hidden="1" customWidth="1"/>
    <col min="5893" max="5899" width="11" style="273" customWidth="1"/>
    <col min="5900" max="5901" width="0" style="273" hidden="1" customWidth="1"/>
    <col min="5902" max="5903" width="11" style="273" customWidth="1"/>
    <col min="5904" max="5905" width="0" style="273" hidden="1" customWidth="1"/>
    <col min="5906" max="5906" width="11" style="273" customWidth="1"/>
    <col min="5907" max="5907" width="16.5703125" style="273" customWidth="1"/>
    <col min="5908" max="5911" width="11" style="273" customWidth="1"/>
    <col min="5912" max="5913" width="11.140625" style="273" customWidth="1"/>
    <col min="5914" max="5937" width="11" style="273" customWidth="1"/>
    <col min="5938" max="6143" width="9.140625" style="273"/>
    <col min="6144" max="6144" width="0" style="273" hidden="1" customWidth="1"/>
    <col min="6145" max="6145" width="9.140625" style="273"/>
    <col min="6146" max="6146" width="28.140625" style="273" customWidth="1"/>
    <col min="6147" max="6148" width="0" style="273" hidden="1" customWidth="1"/>
    <col min="6149" max="6155" width="11" style="273" customWidth="1"/>
    <col min="6156" max="6157" width="0" style="273" hidden="1" customWidth="1"/>
    <col min="6158" max="6159" width="11" style="273" customWidth="1"/>
    <col min="6160" max="6161" width="0" style="273" hidden="1" customWidth="1"/>
    <col min="6162" max="6162" width="11" style="273" customWidth="1"/>
    <col min="6163" max="6163" width="16.5703125" style="273" customWidth="1"/>
    <col min="6164" max="6167" width="11" style="273" customWidth="1"/>
    <col min="6168" max="6169" width="11.140625" style="273" customWidth="1"/>
    <col min="6170" max="6193" width="11" style="273" customWidth="1"/>
    <col min="6194" max="6399" width="9.140625" style="273"/>
    <col min="6400" max="6400" width="0" style="273" hidden="1" customWidth="1"/>
    <col min="6401" max="6401" width="9.140625" style="273"/>
    <col min="6402" max="6402" width="28.140625" style="273" customWidth="1"/>
    <col min="6403" max="6404" width="0" style="273" hidden="1" customWidth="1"/>
    <col min="6405" max="6411" width="11" style="273" customWidth="1"/>
    <col min="6412" max="6413" width="0" style="273" hidden="1" customWidth="1"/>
    <col min="6414" max="6415" width="11" style="273" customWidth="1"/>
    <col min="6416" max="6417" width="0" style="273" hidden="1" customWidth="1"/>
    <col min="6418" max="6418" width="11" style="273" customWidth="1"/>
    <col min="6419" max="6419" width="16.5703125" style="273" customWidth="1"/>
    <col min="6420" max="6423" width="11" style="273" customWidth="1"/>
    <col min="6424" max="6425" width="11.140625" style="273" customWidth="1"/>
    <col min="6426" max="6449" width="11" style="273" customWidth="1"/>
    <col min="6450" max="6655" width="9.140625" style="273"/>
    <col min="6656" max="6656" width="0" style="273" hidden="1" customWidth="1"/>
    <col min="6657" max="6657" width="9.140625" style="273"/>
    <col min="6658" max="6658" width="28.140625" style="273" customWidth="1"/>
    <col min="6659" max="6660" width="0" style="273" hidden="1" customWidth="1"/>
    <col min="6661" max="6667" width="11" style="273" customWidth="1"/>
    <col min="6668" max="6669" width="0" style="273" hidden="1" customWidth="1"/>
    <col min="6670" max="6671" width="11" style="273" customWidth="1"/>
    <col min="6672" max="6673" width="0" style="273" hidden="1" customWidth="1"/>
    <col min="6674" max="6674" width="11" style="273" customWidth="1"/>
    <col min="6675" max="6675" width="16.5703125" style="273" customWidth="1"/>
    <col min="6676" max="6679" width="11" style="273" customWidth="1"/>
    <col min="6680" max="6681" width="11.140625" style="273" customWidth="1"/>
    <col min="6682" max="6705" width="11" style="273" customWidth="1"/>
    <col min="6706" max="6911" width="9.140625" style="273"/>
    <col min="6912" max="6912" width="0" style="273" hidden="1" customWidth="1"/>
    <col min="6913" max="6913" width="9.140625" style="273"/>
    <col min="6914" max="6914" width="28.140625" style="273" customWidth="1"/>
    <col min="6915" max="6916" width="0" style="273" hidden="1" customWidth="1"/>
    <col min="6917" max="6923" width="11" style="273" customWidth="1"/>
    <col min="6924" max="6925" width="0" style="273" hidden="1" customWidth="1"/>
    <col min="6926" max="6927" width="11" style="273" customWidth="1"/>
    <col min="6928" max="6929" width="0" style="273" hidden="1" customWidth="1"/>
    <col min="6930" max="6930" width="11" style="273" customWidth="1"/>
    <col min="6931" max="6931" width="16.5703125" style="273" customWidth="1"/>
    <col min="6932" max="6935" width="11" style="273" customWidth="1"/>
    <col min="6936" max="6937" width="11.140625" style="273" customWidth="1"/>
    <col min="6938" max="6961" width="11" style="273" customWidth="1"/>
    <col min="6962" max="7167" width="9.140625" style="273"/>
    <col min="7168" max="7168" width="0" style="273" hidden="1" customWidth="1"/>
    <col min="7169" max="7169" width="9.140625" style="273"/>
    <col min="7170" max="7170" width="28.140625" style="273" customWidth="1"/>
    <col min="7171" max="7172" width="0" style="273" hidden="1" customWidth="1"/>
    <col min="7173" max="7179" width="11" style="273" customWidth="1"/>
    <col min="7180" max="7181" width="0" style="273" hidden="1" customWidth="1"/>
    <col min="7182" max="7183" width="11" style="273" customWidth="1"/>
    <col min="7184" max="7185" width="0" style="273" hidden="1" customWidth="1"/>
    <col min="7186" max="7186" width="11" style="273" customWidth="1"/>
    <col min="7187" max="7187" width="16.5703125" style="273" customWidth="1"/>
    <col min="7188" max="7191" width="11" style="273" customWidth="1"/>
    <col min="7192" max="7193" width="11.140625" style="273" customWidth="1"/>
    <col min="7194" max="7217" width="11" style="273" customWidth="1"/>
    <col min="7218" max="7423" width="9.140625" style="273"/>
    <col min="7424" max="7424" width="0" style="273" hidden="1" customWidth="1"/>
    <col min="7425" max="7425" width="9.140625" style="273"/>
    <col min="7426" max="7426" width="28.140625" style="273" customWidth="1"/>
    <col min="7427" max="7428" width="0" style="273" hidden="1" customWidth="1"/>
    <col min="7429" max="7435" width="11" style="273" customWidth="1"/>
    <col min="7436" max="7437" width="0" style="273" hidden="1" customWidth="1"/>
    <col min="7438" max="7439" width="11" style="273" customWidth="1"/>
    <col min="7440" max="7441" width="0" style="273" hidden="1" customWidth="1"/>
    <col min="7442" max="7442" width="11" style="273" customWidth="1"/>
    <col min="7443" max="7443" width="16.5703125" style="273" customWidth="1"/>
    <col min="7444" max="7447" width="11" style="273" customWidth="1"/>
    <col min="7448" max="7449" width="11.140625" style="273" customWidth="1"/>
    <col min="7450" max="7473" width="11" style="273" customWidth="1"/>
    <col min="7474" max="7679" width="9.140625" style="273"/>
    <col min="7680" max="7680" width="0" style="273" hidden="1" customWidth="1"/>
    <col min="7681" max="7681" width="9.140625" style="273"/>
    <col min="7682" max="7682" width="28.140625" style="273" customWidth="1"/>
    <col min="7683" max="7684" width="0" style="273" hidden="1" customWidth="1"/>
    <col min="7685" max="7691" width="11" style="273" customWidth="1"/>
    <col min="7692" max="7693" width="0" style="273" hidden="1" customWidth="1"/>
    <col min="7694" max="7695" width="11" style="273" customWidth="1"/>
    <col min="7696" max="7697" width="0" style="273" hidden="1" customWidth="1"/>
    <col min="7698" max="7698" width="11" style="273" customWidth="1"/>
    <col min="7699" max="7699" width="16.5703125" style="273" customWidth="1"/>
    <col min="7700" max="7703" width="11" style="273" customWidth="1"/>
    <col min="7704" max="7705" width="11.140625" style="273" customWidth="1"/>
    <col min="7706" max="7729" width="11" style="273" customWidth="1"/>
    <col min="7730" max="7935" width="9.140625" style="273"/>
    <col min="7936" max="7936" width="0" style="273" hidden="1" customWidth="1"/>
    <col min="7937" max="7937" width="9.140625" style="273"/>
    <col min="7938" max="7938" width="28.140625" style="273" customWidth="1"/>
    <col min="7939" max="7940" width="0" style="273" hidden="1" customWidth="1"/>
    <col min="7941" max="7947" width="11" style="273" customWidth="1"/>
    <col min="7948" max="7949" width="0" style="273" hidden="1" customWidth="1"/>
    <col min="7950" max="7951" width="11" style="273" customWidth="1"/>
    <col min="7952" max="7953" width="0" style="273" hidden="1" customWidth="1"/>
    <col min="7954" max="7954" width="11" style="273" customWidth="1"/>
    <col min="7955" max="7955" width="16.5703125" style="273" customWidth="1"/>
    <col min="7956" max="7959" width="11" style="273" customWidth="1"/>
    <col min="7960" max="7961" width="11.140625" style="273" customWidth="1"/>
    <col min="7962" max="7985" width="11" style="273" customWidth="1"/>
    <col min="7986" max="8191" width="9.140625" style="273"/>
    <col min="8192" max="8192" width="0" style="273" hidden="1" customWidth="1"/>
    <col min="8193" max="8193" width="9.140625" style="273"/>
    <col min="8194" max="8194" width="28.140625" style="273" customWidth="1"/>
    <col min="8195" max="8196" width="0" style="273" hidden="1" customWidth="1"/>
    <col min="8197" max="8203" width="11" style="273" customWidth="1"/>
    <col min="8204" max="8205" width="0" style="273" hidden="1" customWidth="1"/>
    <col min="8206" max="8207" width="11" style="273" customWidth="1"/>
    <col min="8208" max="8209" width="0" style="273" hidden="1" customWidth="1"/>
    <col min="8210" max="8210" width="11" style="273" customWidth="1"/>
    <col min="8211" max="8211" width="16.5703125" style="273" customWidth="1"/>
    <col min="8212" max="8215" width="11" style="273" customWidth="1"/>
    <col min="8216" max="8217" width="11.140625" style="273" customWidth="1"/>
    <col min="8218" max="8241" width="11" style="273" customWidth="1"/>
    <col min="8242" max="8447" width="9.140625" style="273"/>
    <col min="8448" max="8448" width="0" style="273" hidden="1" customWidth="1"/>
    <col min="8449" max="8449" width="9.140625" style="273"/>
    <col min="8450" max="8450" width="28.140625" style="273" customWidth="1"/>
    <col min="8451" max="8452" width="0" style="273" hidden="1" customWidth="1"/>
    <col min="8453" max="8459" width="11" style="273" customWidth="1"/>
    <col min="8460" max="8461" width="0" style="273" hidden="1" customWidth="1"/>
    <col min="8462" max="8463" width="11" style="273" customWidth="1"/>
    <col min="8464" max="8465" width="0" style="273" hidden="1" customWidth="1"/>
    <col min="8466" max="8466" width="11" style="273" customWidth="1"/>
    <col min="8467" max="8467" width="16.5703125" style="273" customWidth="1"/>
    <col min="8468" max="8471" width="11" style="273" customWidth="1"/>
    <col min="8472" max="8473" width="11.140625" style="273" customWidth="1"/>
    <col min="8474" max="8497" width="11" style="273" customWidth="1"/>
    <col min="8498" max="8703" width="9.140625" style="273"/>
    <col min="8704" max="8704" width="0" style="273" hidden="1" customWidth="1"/>
    <col min="8705" max="8705" width="9.140625" style="273"/>
    <col min="8706" max="8706" width="28.140625" style="273" customWidth="1"/>
    <col min="8707" max="8708" width="0" style="273" hidden="1" customWidth="1"/>
    <col min="8709" max="8715" width="11" style="273" customWidth="1"/>
    <col min="8716" max="8717" width="0" style="273" hidden="1" customWidth="1"/>
    <col min="8718" max="8719" width="11" style="273" customWidth="1"/>
    <col min="8720" max="8721" width="0" style="273" hidden="1" customWidth="1"/>
    <col min="8722" max="8722" width="11" style="273" customWidth="1"/>
    <col min="8723" max="8723" width="16.5703125" style="273" customWidth="1"/>
    <col min="8724" max="8727" width="11" style="273" customWidth="1"/>
    <col min="8728" max="8729" width="11.140625" style="273" customWidth="1"/>
    <col min="8730" max="8753" width="11" style="273" customWidth="1"/>
    <col min="8754" max="8959" width="9.140625" style="273"/>
    <col min="8960" max="8960" width="0" style="273" hidden="1" customWidth="1"/>
    <col min="8961" max="8961" width="9.140625" style="273"/>
    <col min="8962" max="8962" width="28.140625" style="273" customWidth="1"/>
    <col min="8963" max="8964" width="0" style="273" hidden="1" customWidth="1"/>
    <col min="8965" max="8971" width="11" style="273" customWidth="1"/>
    <col min="8972" max="8973" width="0" style="273" hidden="1" customWidth="1"/>
    <col min="8974" max="8975" width="11" style="273" customWidth="1"/>
    <col min="8976" max="8977" width="0" style="273" hidden="1" customWidth="1"/>
    <col min="8978" max="8978" width="11" style="273" customWidth="1"/>
    <col min="8979" max="8979" width="16.5703125" style="273" customWidth="1"/>
    <col min="8980" max="8983" width="11" style="273" customWidth="1"/>
    <col min="8984" max="8985" width="11.140625" style="273" customWidth="1"/>
    <col min="8986" max="9009" width="11" style="273" customWidth="1"/>
    <col min="9010" max="9215" width="9.140625" style="273"/>
    <col min="9216" max="9216" width="0" style="273" hidden="1" customWidth="1"/>
    <col min="9217" max="9217" width="9.140625" style="273"/>
    <col min="9218" max="9218" width="28.140625" style="273" customWidth="1"/>
    <col min="9219" max="9220" width="0" style="273" hidden="1" customWidth="1"/>
    <col min="9221" max="9227" width="11" style="273" customWidth="1"/>
    <col min="9228" max="9229" width="0" style="273" hidden="1" customWidth="1"/>
    <col min="9230" max="9231" width="11" style="273" customWidth="1"/>
    <col min="9232" max="9233" width="0" style="273" hidden="1" customWidth="1"/>
    <col min="9234" max="9234" width="11" style="273" customWidth="1"/>
    <col min="9235" max="9235" width="16.5703125" style="273" customWidth="1"/>
    <col min="9236" max="9239" width="11" style="273" customWidth="1"/>
    <col min="9240" max="9241" width="11.140625" style="273" customWidth="1"/>
    <col min="9242" max="9265" width="11" style="273" customWidth="1"/>
    <col min="9266" max="9471" width="9.140625" style="273"/>
    <col min="9472" max="9472" width="0" style="273" hidden="1" customWidth="1"/>
    <col min="9473" max="9473" width="9.140625" style="273"/>
    <col min="9474" max="9474" width="28.140625" style="273" customWidth="1"/>
    <col min="9475" max="9476" width="0" style="273" hidden="1" customWidth="1"/>
    <col min="9477" max="9483" width="11" style="273" customWidth="1"/>
    <col min="9484" max="9485" width="0" style="273" hidden="1" customWidth="1"/>
    <col min="9486" max="9487" width="11" style="273" customWidth="1"/>
    <col min="9488" max="9489" width="0" style="273" hidden="1" customWidth="1"/>
    <col min="9490" max="9490" width="11" style="273" customWidth="1"/>
    <col min="9491" max="9491" width="16.5703125" style="273" customWidth="1"/>
    <col min="9492" max="9495" width="11" style="273" customWidth="1"/>
    <col min="9496" max="9497" width="11.140625" style="273" customWidth="1"/>
    <col min="9498" max="9521" width="11" style="273" customWidth="1"/>
    <col min="9522" max="9727" width="9.140625" style="273"/>
    <col min="9728" max="9728" width="0" style="273" hidden="1" customWidth="1"/>
    <col min="9729" max="9729" width="9.140625" style="273"/>
    <col min="9730" max="9730" width="28.140625" style="273" customWidth="1"/>
    <col min="9731" max="9732" width="0" style="273" hidden="1" customWidth="1"/>
    <col min="9733" max="9739" width="11" style="273" customWidth="1"/>
    <col min="9740" max="9741" width="0" style="273" hidden="1" customWidth="1"/>
    <col min="9742" max="9743" width="11" style="273" customWidth="1"/>
    <col min="9744" max="9745" width="0" style="273" hidden="1" customWidth="1"/>
    <col min="9746" max="9746" width="11" style="273" customWidth="1"/>
    <col min="9747" max="9747" width="16.5703125" style="273" customWidth="1"/>
    <col min="9748" max="9751" width="11" style="273" customWidth="1"/>
    <col min="9752" max="9753" width="11.140625" style="273" customWidth="1"/>
    <col min="9754" max="9777" width="11" style="273" customWidth="1"/>
    <col min="9778" max="9983" width="9.140625" style="273"/>
    <col min="9984" max="9984" width="0" style="273" hidden="1" customWidth="1"/>
    <col min="9985" max="9985" width="9.140625" style="273"/>
    <col min="9986" max="9986" width="28.140625" style="273" customWidth="1"/>
    <col min="9987" max="9988" width="0" style="273" hidden="1" customWidth="1"/>
    <col min="9989" max="9995" width="11" style="273" customWidth="1"/>
    <col min="9996" max="9997" width="0" style="273" hidden="1" customWidth="1"/>
    <col min="9998" max="9999" width="11" style="273" customWidth="1"/>
    <col min="10000" max="10001" width="0" style="273" hidden="1" customWidth="1"/>
    <col min="10002" max="10002" width="11" style="273" customWidth="1"/>
    <col min="10003" max="10003" width="16.5703125" style="273" customWidth="1"/>
    <col min="10004" max="10007" width="11" style="273" customWidth="1"/>
    <col min="10008" max="10009" width="11.140625" style="273" customWidth="1"/>
    <col min="10010" max="10033" width="11" style="273" customWidth="1"/>
    <col min="10034" max="10239" width="9.140625" style="273"/>
    <col min="10240" max="10240" width="0" style="273" hidden="1" customWidth="1"/>
    <col min="10241" max="10241" width="9.140625" style="273"/>
    <col min="10242" max="10242" width="28.140625" style="273" customWidth="1"/>
    <col min="10243" max="10244" width="0" style="273" hidden="1" customWidth="1"/>
    <col min="10245" max="10251" width="11" style="273" customWidth="1"/>
    <col min="10252" max="10253" width="0" style="273" hidden="1" customWidth="1"/>
    <col min="10254" max="10255" width="11" style="273" customWidth="1"/>
    <col min="10256" max="10257" width="0" style="273" hidden="1" customWidth="1"/>
    <col min="10258" max="10258" width="11" style="273" customWidth="1"/>
    <col min="10259" max="10259" width="16.5703125" style="273" customWidth="1"/>
    <col min="10260" max="10263" width="11" style="273" customWidth="1"/>
    <col min="10264" max="10265" width="11.140625" style="273" customWidth="1"/>
    <col min="10266" max="10289" width="11" style="273" customWidth="1"/>
    <col min="10290" max="10495" width="9.140625" style="273"/>
    <col min="10496" max="10496" width="0" style="273" hidden="1" customWidth="1"/>
    <col min="10497" max="10497" width="9.140625" style="273"/>
    <col min="10498" max="10498" width="28.140625" style="273" customWidth="1"/>
    <col min="10499" max="10500" width="0" style="273" hidden="1" customWidth="1"/>
    <col min="10501" max="10507" width="11" style="273" customWidth="1"/>
    <col min="10508" max="10509" width="0" style="273" hidden="1" customWidth="1"/>
    <col min="10510" max="10511" width="11" style="273" customWidth="1"/>
    <col min="10512" max="10513" width="0" style="273" hidden="1" customWidth="1"/>
    <col min="10514" max="10514" width="11" style="273" customWidth="1"/>
    <col min="10515" max="10515" width="16.5703125" style="273" customWidth="1"/>
    <col min="10516" max="10519" width="11" style="273" customWidth="1"/>
    <col min="10520" max="10521" width="11.140625" style="273" customWidth="1"/>
    <col min="10522" max="10545" width="11" style="273" customWidth="1"/>
    <col min="10546" max="10751" width="9.140625" style="273"/>
    <col min="10752" max="10752" width="0" style="273" hidden="1" customWidth="1"/>
    <col min="10753" max="10753" width="9.140625" style="273"/>
    <col min="10754" max="10754" width="28.140625" style="273" customWidth="1"/>
    <col min="10755" max="10756" width="0" style="273" hidden="1" customWidth="1"/>
    <col min="10757" max="10763" width="11" style="273" customWidth="1"/>
    <col min="10764" max="10765" width="0" style="273" hidden="1" customWidth="1"/>
    <col min="10766" max="10767" width="11" style="273" customWidth="1"/>
    <col min="10768" max="10769" width="0" style="273" hidden="1" customWidth="1"/>
    <col min="10770" max="10770" width="11" style="273" customWidth="1"/>
    <col min="10771" max="10771" width="16.5703125" style="273" customWidth="1"/>
    <col min="10772" max="10775" width="11" style="273" customWidth="1"/>
    <col min="10776" max="10777" width="11.140625" style="273" customWidth="1"/>
    <col min="10778" max="10801" width="11" style="273" customWidth="1"/>
    <col min="10802" max="11007" width="9.140625" style="273"/>
    <col min="11008" max="11008" width="0" style="273" hidden="1" customWidth="1"/>
    <col min="11009" max="11009" width="9.140625" style="273"/>
    <col min="11010" max="11010" width="28.140625" style="273" customWidth="1"/>
    <col min="11011" max="11012" width="0" style="273" hidden="1" customWidth="1"/>
    <col min="11013" max="11019" width="11" style="273" customWidth="1"/>
    <col min="11020" max="11021" width="0" style="273" hidden="1" customWidth="1"/>
    <col min="11022" max="11023" width="11" style="273" customWidth="1"/>
    <col min="11024" max="11025" width="0" style="273" hidden="1" customWidth="1"/>
    <col min="11026" max="11026" width="11" style="273" customWidth="1"/>
    <col min="11027" max="11027" width="16.5703125" style="273" customWidth="1"/>
    <col min="11028" max="11031" width="11" style="273" customWidth="1"/>
    <col min="11032" max="11033" width="11.140625" style="273" customWidth="1"/>
    <col min="11034" max="11057" width="11" style="273" customWidth="1"/>
    <col min="11058" max="11263" width="9.140625" style="273"/>
    <col min="11264" max="11264" width="0" style="273" hidden="1" customWidth="1"/>
    <col min="11265" max="11265" width="9.140625" style="273"/>
    <col min="11266" max="11266" width="28.140625" style="273" customWidth="1"/>
    <col min="11267" max="11268" width="0" style="273" hidden="1" customWidth="1"/>
    <col min="11269" max="11275" width="11" style="273" customWidth="1"/>
    <col min="11276" max="11277" width="0" style="273" hidden="1" customWidth="1"/>
    <col min="11278" max="11279" width="11" style="273" customWidth="1"/>
    <col min="11280" max="11281" width="0" style="273" hidden="1" customWidth="1"/>
    <col min="11282" max="11282" width="11" style="273" customWidth="1"/>
    <col min="11283" max="11283" width="16.5703125" style="273" customWidth="1"/>
    <col min="11284" max="11287" width="11" style="273" customWidth="1"/>
    <col min="11288" max="11289" width="11.140625" style="273" customWidth="1"/>
    <col min="11290" max="11313" width="11" style="273" customWidth="1"/>
    <col min="11314" max="11519" width="9.140625" style="273"/>
    <col min="11520" max="11520" width="0" style="273" hidden="1" customWidth="1"/>
    <col min="11521" max="11521" width="9.140625" style="273"/>
    <col min="11522" max="11522" width="28.140625" style="273" customWidth="1"/>
    <col min="11523" max="11524" width="0" style="273" hidden="1" customWidth="1"/>
    <col min="11525" max="11531" width="11" style="273" customWidth="1"/>
    <col min="11532" max="11533" width="0" style="273" hidden="1" customWidth="1"/>
    <col min="11534" max="11535" width="11" style="273" customWidth="1"/>
    <col min="11536" max="11537" width="0" style="273" hidden="1" customWidth="1"/>
    <col min="11538" max="11538" width="11" style="273" customWidth="1"/>
    <col min="11539" max="11539" width="16.5703125" style="273" customWidth="1"/>
    <col min="11540" max="11543" width="11" style="273" customWidth="1"/>
    <col min="11544" max="11545" width="11.140625" style="273" customWidth="1"/>
    <col min="11546" max="11569" width="11" style="273" customWidth="1"/>
    <col min="11570" max="11775" width="9.140625" style="273"/>
    <col min="11776" max="11776" width="0" style="273" hidden="1" customWidth="1"/>
    <col min="11777" max="11777" width="9.140625" style="273"/>
    <col min="11778" max="11778" width="28.140625" style="273" customWidth="1"/>
    <col min="11779" max="11780" width="0" style="273" hidden="1" customWidth="1"/>
    <col min="11781" max="11787" width="11" style="273" customWidth="1"/>
    <col min="11788" max="11789" width="0" style="273" hidden="1" customWidth="1"/>
    <col min="11790" max="11791" width="11" style="273" customWidth="1"/>
    <col min="11792" max="11793" width="0" style="273" hidden="1" customWidth="1"/>
    <col min="11794" max="11794" width="11" style="273" customWidth="1"/>
    <col min="11795" max="11795" width="16.5703125" style="273" customWidth="1"/>
    <col min="11796" max="11799" width="11" style="273" customWidth="1"/>
    <col min="11800" max="11801" width="11.140625" style="273" customWidth="1"/>
    <col min="11802" max="11825" width="11" style="273" customWidth="1"/>
    <col min="11826" max="12031" width="9.140625" style="273"/>
    <col min="12032" max="12032" width="0" style="273" hidden="1" customWidth="1"/>
    <col min="12033" max="12033" width="9.140625" style="273"/>
    <col min="12034" max="12034" width="28.140625" style="273" customWidth="1"/>
    <col min="12035" max="12036" width="0" style="273" hidden="1" customWidth="1"/>
    <col min="12037" max="12043" width="11" style="273" customWidth="1"/>
    <col min="12044" max="12045" width="0" style="273" hidden="1" customWidth="1"/>
    <col min="12046" max="12047" width="11" style="273" customWidth="1"/>
    <col min="12048" max="12049" width="0" style="273" hidden="1" customWidth="1"/>
    <col min="12050" max="12050" width="11" style="273" customWidth="1"/>
    <col min="12051" max="12051" width="16.5703125" style="273" customWidth="1"/>
    <col min="12052" max="12055" width="11" style="273" customWidth="1"/>
    <col min="12056" max="12057" width="11.140625" style="273" customWidth="1"/>
    <col min="12058" max="12081" width="11" style="273" customWidth="1"/>
    <col min="12082" max="12287" width="9.140625" style="273"/>
    <col min="12288" max="12288" width="0" style="273" hidden="1" customWidth="1"/>
    <col min="12289" max="12289" width="9.140625" style="273"/>
    <col min="12290" max="12290" width="28.140625" style="273" customWidth="1"/>
    <col min="12291" max="12292" width="0" style="273" hidden="1" customWidth="1"/>
    <col min="12293" max="12299" width="11" style="273" customWidth="1"/>
    <col min="12300" max="12301" width="0" style="273" hidden="1" customWidth="1"/>
    <col min="12302" max="12303" width="11" style="273" customWidth="1"/>
    <col min="12304" max="12305" width="0" style="273" hidden="1" customWidth="1"/>
    <col min="12306" max="12306" width="11" style="273" customWidth="1"/>
    <col min="12307" max="12307" width="16.5703125" style="273" customWidth="1"/>
    <col min="12308" max="12311" width="11" style="273" customWidth="1"/>
    <col min="12312" max="12313" width="11.140625" style="273" customWidth="1"/>
    <col min="12314" max="12337" width="11" style="273" customWidth="1"/>
    <col min="12338" max="12543" width="9.140625" style="273"/>
    <col min="12544" max="12544" width="0" style="273" hidden="1" customWidth="1"/>
    <col min="12545" max="12545" width="9.140625" style="273"/>
    <col min="12546" max="12546" width="28.140625" style="273" customWidth="1"/>
    <col min="12547" max="12548" width="0" style="273" hidden="1" customWidth="1"/>
    <col min="12549" max="12555" width="11" style="273" customWidth="1"/>
    <col min="12556" max="12557" width="0" style="273" hidden="1" customWidth="1"/>
    <col min="12558" max="12559" width="11" style="273" customWidth="1"/>
    <col min="12560" max="12561" width="0" style="273" hidden="1" customWidth="1"/>
    <col min="12562" max="12562" width="11" style="273" customWidth="1"/>
    <col min="12563" max="12563" width="16.5703125" style="273" customWidth="1"/>
    <col min="12564" max="12567" width="11" style="273" customWidth="1"/>
    <col min="12568" max="12569" width="11.140625" style="273" customWidth="1"/>
    <col min="12570" max="12593" width="11" style="273" customWidth="1"/>
    <col min="12594" max="12799" width="9.140625" style="273"/>
    <col min="12800" max="12800" width="0" style="273" hidden="1" customWidth="1"/>
    <col min="12801" max="12801" width="9.140625" style="273"/>
    <col min="12802" max="12802" width="28.140625" style="273" customWidth="1"/>
    <col min="12803" max="12804" width="0" style="273" hidden="1" customWidth="1"/>
    <col min="12805" max="12811" width="11" style="273" customWidth="1"/>
    <col min="12812" max="12813" width="0" style="273" hidden="1" customWidth="1"/>
    <col min="12814" max="12815" width="11" style="273" customWidth="1"/>
    <col min="12816" max="12817" width="0" style="273" hidden="1" customWidth="1"/>
    <col min="12818" max="12818" width="11" style="273" customWidth="1"/>
    <col min="12819" max="12819" width="16.5703125" style="273" customWidth="1"/>
    <col min="12820" max="12823" width="11" style="273" customWidth="1"/>
    <col min="12824" max="12825" width="11.140625" style="273" customWidth="1"/>
    <col min="12826" max="12849" width="11" style="273" customWidth="1"/>
    <col min="12850" max="13055" width="9.140625" style="273"/>
    <col min="13056" max="13056" width="0" style="273" hidden="1" customWidth="1"/>
    <col min="13057" max="13057" width="9.140625" style="273"/>
    <col min="13058" max="13058" width="28.140625" style="273" customWidth="1"/>
    <col min="13059" max="13060" width="0" style="273" hidden="1" customWidth="1"/>
    <col min="13061" max="13067" width="11" style="273" customWidth="1"/>
    <col min="13068" max="13069" width="0" style="273" hidden="1" customWidth="1"/>
    <col min="13070" max="13071" width="11" style="273" customWidth="1"/>
    <col min="13072" max="13073" width="0" style="273" hidden="1" customWidth="1"/>
    <col min="13074" max="13074" width="11" style="273" customWidth="1"/>
    <col min="13075" max="13075" width="16.5703125" style="273" customWidth="1"/>
    <col min="13076" max="13079" width="11" style="273" customWidth="1"/>
    <col min="13080" max="13081" width="11.140625" style="273" customWidth="1"/>
    <col min="13082" max="13105" width="11" style="273" customWidth="1"/>
    <col min="13106" max="13311" width="9.140625" style="273"/>
    <col min="13312" max="13312" width="0" style="273" hidden="1" customWidth="1"/>
    <col min="13313" max="13313" width="9.140625" style="273"/>
    <col min="13314" max="13314" width="28.140625" style="273" customWidth="1"/>
    <col min="13315" max="13316" width="0" style="273" hidden="1" customWidth="1"/>
    <col min="13317" max="13323" width="11" style="273" customWidth="1"/>
    <col min="13324" max="13325" width="0" style="273" hidden="1" customWidth="1"/>
    <col min="13326" max="13327" width="11" style="273" customWidth="1"/>
    <col min="13328" max="13329" width="0" style="273" hidden="1" customWidth="1"/>
    <col min="13330" max="13330" width="11" style="273" customWidth="1"/>
    <col min="13331" max="13331" width="16.5703125" style="273" customWidth="1"/>
    <col min="13332" max="13335" width="11" style="273" customWidth="1"/>
    <col min="13336" max="13337" width="11.140625" style="273" customWidth="1"/>
    <col min="13338" max="13361" width="11" style="273" customWidth="1"/>
    <col min="13362" max="13567" width="9.140625" style="273"/>
    <col min="13568" max="13568" width="0" style="273" hidden="1" customWidth="1"/>
    <col min="13569" max="13569" width="9.140625" style="273"/>
    <col min="13570" max="13570" width="28.140625" style="273" customWidth="1"/>
    <col min="13571" max="13572" width="0" style="273" hidden="1" customWidth="1"/>
    <col min="13573" max="13579" width="11" style="273" customWidth="1"/>
    <col min="13580" max="13581" width="0" style="273" hidden="1" customWidth="1"/>
    <col min="13582" max="13583" width="11" style="273" customWidth="1"/>
    <col min="13584" max="13585" width="0" style="273" hidden="1" customWidth="1"/>
    <col min="13586" max="13586" width="11" style="273" customWidth="1"/>
    <col min="13587" max="13587" width="16.5703125" style="273" customWidth="1"/>
    <col min="13588" max="13591" width="11" style="273" customWidth="1"/>
    <col min="13592" max="13593" width="11.140625" style="273" customWidth="1"/>
    <col min="13594" max="13617" width="11" style="273" customWidth="1"/>
    <col min="13618" max="13823" width="9.140625" style="273"/>
    <col min="13824" max="13824" width="0" style="273" hidden="1" customWidth="1"/>
    <col min="13825" max="13825" width="9.140625" style="273"/>
    <col min="13826" max="13826" width="28.140625" style="273" customWidth="1"/>
    <col min="13827" max="13828" width="0" style="273" hidden="1" customWidth="1"/>
    <col min="13829" max="13835" width="11" style="273" customWidth="1"/>
    <col min="13836" max="13837" width="0" style="273" hidden="1" customWidth="1"/>
    <col min="13838" max="13839" width="11" style="273" customWidth="1"/>
    <col min="13840" max="13841" width="0" style="273" hidden="1" customWidth="1"/>
    <col min="13842" max="13842" width="11" style="273" customWidth="1"/>
    <col min="13843" max="13843" width="16.5703125" style="273" customWidth="1"/>
    <col min="13844" max="13847" width="11" style="273" customWidth="1"/>
    <col min="13848" max="13849" width="11.140625" style="273" customWidth="1"/>
    <col min="13850" max="13873" width="11" style="273" customWidth="1"/>
    <col min="13874" max="14079" width="9.140625" style="273"/>
    <col min="14080" max="14080" width="0" style="273" hidden="1" customWidth="1"/>
    <col min="14081" max="14081" width="9.140625" style="273"/>
    <col min="14082" max="14082" width="28.140625" style="273" customWidth="1"/>
    <col min="14083" max="14084" width="0" style="273" hidden="1" customWidth="1"/>
    <col min="14085" max="14091" width="11" style="273" customWidth="1"/>
    <col min="14092" max="14093" width="0" style="273" hidden="1" customWidth="1"/>
    <col min="14094" max="14095" width="11" style="273" customWidth="1"/>
    <col min="14096" max="14097" width="0" style="273" hidden="1" customWidth="1"/>
    <col min="14098" max="14098" width="11" style="273" customWidth="1"/>
    <col min="14099" max="14099" width="16.5703125" style="273" customWidth="1"/>
    <col min="14100" max="14103" width="11" style="273" customWidth="1"/>
    <col min="14104" max="14105" width="11.140625" style="273" customWidth="1"/>
    <col min="14106" max="14129" width="11" style="273" customWidth="1"/>
    <col min="14130" max="14335" width="9.140625" style="273"/>
    <col min="14336" max="14336" width="0" style="273" hidden="1" customWidth="1"/>
    <col min="14337" max="14337" width="9.140625" style="273"/>
    <col min="14338" max="14338" width="28.140625" style="273" customWidth="1"/>
    <col min="14339" max="14340" width="0" style="273" hidden="1" customWidth="1"/>
    <col min="14341" max="14347" width="11" style="273" customWidth="1"/>
    <col min="14348" max="14349" width="0" style="273" hidden="1" customWidth="1"/>
    <col min="14350" max="14351" width="11" style="273" customWidth="1"/>
    <col min="14352" max="14353" width="0" style="273" hidden="1" customWidth="1"/>
    <col min="14354" max="14354" width="11" style="273" customWidth="1"/>
    <col min="14355" max="14355" width="16.5703125" style="273" customWidth="1"/>
    <col min="14356" max="14359" width="11" style="273" customWidth="1"/>
    <col min="14360" max="14361" width="11.140625" style="273" customWidth="1"/>
    <col min="14362" max="14385" width="11" style="273" customWidth="1"/>
    <col min="14386" max="14591" width="9.140625" style="273"/>
    <col min="14592" max="14592" width="0" style="273" hidden="1" customWidth="1"/>
    <col min="14593" max="14593" width="9.140625" style="273"/>
    <col min="14594" max="14594" width="28.140625" style="273" customWidth="1"/>
    <col min="14595" max="14596" width="0" style="273" hidden="1" customWidth="1"/>
    <col min="14597" max="14603" width="11" style="273" customWidth="1"/>
    <col min="14604" max="14605" width="0" style="273" hidden="1" customWidth="1"/>
    <col min="14606" max="14607" width="11" style="273" customWidth="1"/>
    <col min="14608" max="14609" width="0" style="273" hidden="1" customWidth="1"/>
    <col min="14610" max="14610" width="11" style="273" customWidth="1"/>
    <col min="14611" max="14611" width="16.5703125" style="273" customWidth="1"/>
    <col min="14612" max="14615" width="11" style="273" customWidth="1"/>
    <col min="14616" max="14617" width="11.140625" style="273" customWidth="1"/>
    <col min="14618" max="14641" width="11" style="273" customWidth="1"/>
    <col min="14642" max="14847" width="9.140625" style="273"/>
    <col min="14848" max="14848" width="0" style="273" hidden="1" customWidth="1"/>
    <col min="14849" max="14849" width="9.140625" style="273"/>
    <col min="14850" max="14850" width="28.140625" style="273" customWidth="1"/>
    <col min="14851" max="14852" width="0" style="273" hidden="1" customWidth="1"/>
    <col min="14853" max="14859" width="11" style="273" customWidth="1"/>
    <col min="14860" max="14861" width="0" style="273" hidden="1" customWidth="1"/>
    <col min="14862" max="14863" width="11" style="273" customWidth="1"/>
    <col min="14864" max="14865" width="0" style="273" hidden="1" customWidth="1"/>
    <col min="14866" max="14866" width="11" style="273" customWidth="1"/>
    <col min="14867" max="14867" width="16.5703125" style="273" customWidth="1"/>
    <col min="14868" max="14871" width="11" style="273" customWidth="1"/>
    <col min="14872" max="14873" width="11.140625" style="273" customWidth="1"/>
    <col min="14874" max="14897" width="11" style="273" customWidth="1"/>
    <col min="14898" max="15103" width="9.140625" style="273"/>
    <col min="15104" max="15104" width="0" style="273" hidden="1" customWidth="1"/>
    <col min="15105" max="15105" width="9.140625" style="273"/>
    <col min="15106" max="15106" width="28.140625" style="273" customWidth="1"/>
    <col min="15107" max="15108" width="0" style="273" hidden="1" customWidth="1"/>
    <col min="15109" max="15115" width="11" style="273" customWidth="1"/>
    <col min="15116" max="15117" width="0" style="273" hidden="1" customWidth="1"/>
    <col min="15118" max="15119" width="11" style="273" customWidth="1"/>
    <col min="15120" max="15121" width="0" style="273" hidden="1" customWidth="1"/>
    <col min="15122" max="15122" width="11" style="273" customWidth="1"/>
    <col min="15123" max="15123" width="16.5703125" style="273" customWidth="1"/>
    <col min="15124" max="15127" width="11" style="273" customWidth="1"/>
    <col min="15128" max="15129" width="11.140625" style="273" customWidth="1"/>
    <col min="15130" max="15153" width="11" style="273" customWidth="1"/>
    <col min="15154" max="15359" width="9.140625" style="273"/>
    <col min="15360" max="15360" width="0" style="273" hidden="1" customWidth="1"/>
    <col min="15361" max="15361" width="9.140625" style="273"/>
    <col min="15362" max="15362" width="28.140625" style="273" customWidth="1"/>
    <col min="15363" max="15364" width="0" style="273" hidden="1" customWidth="1"/>
    <col min="15365" max="15371" width="11" style="273" customWidth="1"/>
    <col min="15372" max="15373" width="0" style="273" hidden="1" customWidth="1"/>
    <col min="15374" max="15375" width="11" style="273" customWidth="1"/>
    <col min="15376" max="15377" width="0" style="273" hidden="1" customWidth="1"/>
    <col min="15378" max="15378" width="11" style="273" customWidth="1"/>
    <col min="15379" max="15379" width="16.5703125" style="273" customWidth="1"/>
    <col min="15380" max="15383" width="11" style="273" customWidth="1"/>
    <col min="15384" max="15385" width="11.140625" style="273" customWidth="1"/>
    <col min="15386" max="15409" width="11" style="273" customWidth="1"/>
    <col min="15410" max="15615" width="9.140625" style="273"/>
    <col min="15616" max="15616" width="0" style="273" hidden="1" customWidth="1"/>
    <col min="15617" max="15617" width="9.140625" style="273"/>
    <col min="15618" max="15618" width="28.140625" style="273" customWidth="1"/>
    <col min="15619" max="15620" width="0" style="273" hidden="1" customWidth="1"/>
    <col min="15621" max="15627" width="11" style="273" customWidth="1"/>
    <col min="15628" max="15629" width="0" style="273" hidden="1" customWidth="1"/>
    <col min="15630" max="15631" width="11" style="273" customWidth="1"/>
    <col min="15632" max="15633" width="0" style="273" hidden="1" customWidth="1"/>
    <col min="15634" max="15634" width="11" style="273" customWidth="1"/>
    <col min="15635" max="15635" width="16.5703125" style="273" customWidth="1"/>
    <col min="15636" max="15639" width="11" style="273" customWidth="1"/>
    <col min="15640" max="15641" width="11.140625" style="273" customWidth="1"/>
    <col min="15642" max="15665" width="11" style="273" customWidth="1"/>
    <col min="15666" max="15871" width="9.140625" style="273"/>
    <col min="15872" max="15872" width="0" style="273" hidden="1" customWidth="1"/>
    <col min="15873" max="15873" width="9.140625" style="273"/>
    <col min="15874" max="15874" width="28.140625" style="273" customWidth="1"/>
    <col min="15875" max="15876" width="0" style="273" hidden="1" customWidth="1"/>
    <col min="15877" max="15883" width="11" style="273" customWidth="1"/>
    <col min="15884" max="15885" width="0" style="273" hidden="1" customWidth="1"/>
    <col min="15886" max="15887" width="11" style="273" customWidth="1"/>
    <col min="15888" max="15889" width="0" style="273" hidden="1" customWidth="1"/>
    <col min="15890" max="15890" width="11" style="273" customWidth="1"/>
    <col min="15891" max="15891" width="16.5703125" style="273" customWidth="1"/>
    <col min="15892" max="15895" width="11" style="273" customWidth="1"/>
    <col min="15896" max="15897" width="11.140625" style="273" customWidth="1"/>
    <col min="15898" max="15921" width="11" style="273" customWidth="1"/>
    <col min="15922" max="16127" width="9.140625" style="273"/>
    <col min="16128" max="16128" width="0" style="273" hidden="1" customWidth="1"/>
    <col min="16129" max="16129" width="9.140625" style="273"/>
    <col min="16130" max="16130" width="28.140625" style="273" customWidth="1"/>
    <col min="16131" max="16132" width="0" style="273" hidden="1" customWidth="1"/>
    <col min="16133" max="16139" width="11" style="273" customWidth="1"/>
    <col min="16140" max="16141" width="0" style="273" hidden="1" customWidth="1"/>
    <col min="16142" max="16143" width="11" style="273" customWidth="1"/>
    <col min="16144" max="16145" width="0" style="273" hidden="1" customWidth="1"/>
    <col min="16146" max="16146" width="11" style="273" customWidth="1"/>
    <col min="16147" max="16147" width="16.5703125" style="273" customWidth="1"/>
    <col min="16148" max="16151" width="11" style="273" customWidth="1"/>
    <col min="16152" max="16153" width="11.140625" style="273" customWidth="1"/>
    <col min="16154" max="16177" width="11" style="273" customWidth="1"/>
    <col min="16178" max="16384" width="9.140625" style="273"/>
  </cols>
  <sheetData>
    <row r="1" spans="1:66" s="272" customFormat="1" ht="15.75">
      <c r="A1" s="265" t="s">
        <v>142</v>
      </c>
      <c r="B1" s="271"/>
      <c r="C1" s="357"/>
      <c r="D1" s="357"/>
      <c r="E1" s="357">
        <v>6</v>
      </c>
      <c r="F1" s="357">
        <f>E1+1</f>
        <v>7</v>
      </c>
      <c r="G1" s="357">
        <f t="shared" ref="G1:S1" si="0">F1+1</f>
        <v>8</v>
      </c>
      <c r="H1" s="357">
        <f t="shared" si="0"/>
        <v>9</v>
      </c>
      <c r="I1" s="357">
        <f t="shared" si="0"/>
        <v>10</v>
      </c>
      <c r="J1" s="357">
        <f t="shared" si="0"/>
        <v>11</v>
      </c>
      <c r="K1" s="357">
        <f t="shared" si="0"/>
        <v>12</v>
      </c>
      <c r="L1" s="357">
        <f t="shared" si="0"/>
        <v>13</v>
      </c>
      <c r="M1" s="357">
        <f t="shared" si="0"/>
        <v>14</v>
      </c>
      <c r="N1" s="357">
        <f t="shared" si="0"/>
        <v>15</v>
      </c>
      <c r="O1" s="357">
        <f t="shared" si="0"/>
        <v>16</v>
      </c>
      <c r="P1" s="357">
        <f t="shared" si="0"/>
        <v>17</v>
      </c>
      <c r="Q1" s="357">
        <f t="shared" si="0"/>
        <v>18</v>
      </c>
      <c r="R1" s="357">
        <f t="shared" si="0"/>
        <v>19</v>
      </c>
      <c r="S1" s="357">
        <f t="shared" si="0"/>
        <v>20</v>
      </c>
      <c r="T1" s="357">
        <v>22</v>
      </c>
      <c r="U1" s="357">
        <v>23</v>
      </c>
      <c r="V1" s="357">
        <v>24</v>
      </c>
      <c r="W1" s="357">
        <v>25</v>
      </c>
      <c r="X1" s="357">
        <v>32</v>
      </c>
      <c r="Y1" s="357">
        <f>X1+1</f>
        <v>33</v>
      </c>
      <c r="Z1" s="357">
        <f t="shared" ref="Z1:AI1" si="1">Y1+1</f>
        <v>34</v>
      </c>
      <c r="AA1" s="357">
        <f t="shared" si="1"/>
        <v>35</v>
      </c>
      <c r="AB1" s="357">
        <f t="shared" si="1"/>
        <v>36</v>
      </c>
      <c r="AC1" s="357">
        <f t="shared" si="1"/>
        <v>37</v>
      </c>
      <c r="AD1" s="357">
        <f t="shared" si="1"/>
        <v>38</v>
      </c>
      <c r="AE1" s="357">
        <f t="shared" si="1"/>
        <v>39</v>
      </c>
      <c r="AF1" s="357">
        <f t="shared" si="1"/>
        <v>40</v>
      </c>
      <c r="AG1" s="357">
        <f t="shared" si="1"/>
        <v>41</v>
      </c>
      <c r="AH1" s="357">
        <f t="shared" si="1"/>
        <v>42</v>
      </c>
      <c r="AI1" s="357">
        <f t="shared" si="1"/>
        <v>43</v>
      </c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</row>
    <row r="2" spans="1:66" ht="60">
      <c r="A2" s="357" t="s">
        <v>2</v>
      </c>
      <c r="B2" s="357" t="s">
        <v>3</v>
      </c>
      <c r="C2" s="357" t="s">
        <v>4</v>
      </c>
      <c r="D2" s="357" t="s">
        <v>5</v>
      </c>
      <c r="E2" s="357" t="s">
        <v>247</v>
      </c>
      <c r="F2" s="357" t="s">
        <v>248</v>
      </c>
      <c r="G2" s="357" t="s">
        <v>249</v>
      </c>
      <c r="H2" s="357" t="s">
        <v>250</v>
      </c>
      <c r="I2" s="357" t="s">
        <v>251</v>
      </c>
      <c r="J2" s="357" t="s">
        <v>252</v>
      </c>
      <c r="K2" s="357" t="s">
        <v>253</v>
      </c>
      <c r="L2" s="357" t="s">
        <v>254</v>
      </c>
      <c r="M2" s="357" t="s">
        <v>255</v>
      </c>
      <c r="N2" s="357" t="s">
        <v>256</v>
      </c>
      <c r="O2" s="357" t="s">
        <v>257</v>
      </c>
      <c r="P2" s="357" t="s">
        <v>258</v>
      </c>
      <c r="Q2" s="357" t="s">
        <v>259</v>
      </c>
      <c r="R2" s="357" t="s">
        <v>260</v>
      </c>
      <c r="S2" s="357" t="s">
        <v>261</v>
      </c>
      <c r="T2" s="357" t="s">
        <v>262</v>
      </c>
      <c r="U2" s="357" t="s">
        <v>263</v>
      </c>
      <c r="V2" s="357" t="s">
        <v>398</v>
      </c>
      <c r="W2" s="357" t="s">
        <v>399</v>
      </c>
      <c r="X2" s="357" t="s">
        <v>264</v>
      </c>
      <c r="Y2" s="357" t="s">
        <v>265</v>
      </c>
      <c r="Z2" s="357" t="s">
        <v>266</v>
      </c>
      <c r="AA2" s="357" t="s">
        <v>267</v>
      </c>
      <c r="AB2" s="357" t="s">
        <v>268</v>
      </c>
      <c r="AC2" s="357" t="s">
        <v>6</v>
      </c>
      <c r="AD2" s="357" t="s">
        <v>269</v>
      </c>
      <c r="AE2" s="357" t="s">
        <v>270</v>
      </c>
      <c r="AF2" s="357" t="s">
        <v>271</v>
      </c>
      <c r="AG2" s="357" t="s">
        <v>272</v>
      </c>
      <c r="AH2" s="357" t="s">
        <v>273</v>
      </c>
      <c r="AI2" s="357" t="s">
        <v>274</v>
      </c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</row>
    <row r="3" spans="1:66">
      <c r="A3" s="271">
        <v>10005</v>
      </c>
      <c r="B3" s="271" t="s">
        <v>7</v>
      </c>
      <c r="C3" s="428">
        <v>1</v>
      </c>
      <c r="D3" s="428">
        <v>0</v>
      </c>
      <c r="E3" s="431">
        <v>0.55600000000000005</v>
      </c>
      <c r="F3" s="433">
        <v>0.53887295081967213</v>
      </c>
      <c r="G3" s="433">
        <v>0.54034931506849315</v>
      </c>
      <c r="H3" s="433">
        <v>0</v>
      </c>
      <c r="I3" s="433">
        <v>0</v>
      </c>
      <c r="J3" s="433">
        <v>0</v>
      </c>
      <c r="K3" s="433">
        <v>0</v>
      </c>
      <c r="L3" s="433">
        <v>0</v>
      </c>
      <c r="M3" s="433">
        <v>0</v>
      </c>
      <c r="N3" s="433">
        <v>0.53800000000000003</v>
      </c>
      <c r="O3" s="433">
        <v>0.54200000000000004</v>
      </c>
      <c r="P3" s="433">
        <v>4725.7920000000004</v>
      </c>
      <c r="Q3" s="433">
        <v>4747.92</v>
      </c>
      <c r="R3" s="433">
        <v>0.54200000000000004</v>
      </c>
      <c r="S3" s="433">
        <v>4760.9279999999999</v>
      </c>
      <c r="T3" s="433">
        <v>0</v>
      </c>
      <c r="U3" s="433">
        <v>0</v>
      </c>
      <c r="V3" s="433">
        <v>0</v>
      </c>
      <c r="W3" s="433">
        <v>0</v>
      </c>
      <c r="X3" s="433">
        <v>7.7000000000000001E-5</v>
      </c>
      <c r="Y3" s="433">
        <v>7.7600000000000002E-5</v>
      </c>
      <c r="Z3" s="433">
        <v>0</v>
      </c>
      <c r="AA3" s="433">
        <v>7.7000000000000001E-5</v>
      </c>
      <c r="AB3" s="433">
        <v>7.7600000000000002E-5</v>
      </c>
      <c r="AC3" s="433">
        <v>7.7300000000000009E-5</v>
      </c>
      <c r="AD3" s="433">
        <v>0.99929825486009349</v>
      </c>
      <c r="AE3" s="433">
        <v>1</v>
      </c>
      <c r="AF3" s="433">
        <v>1</v>
      </c>
      <c r="AG3" s="433">
        <v>1</v>
      </c>
      <c r="AH3" s="433">
        <v>0.06</v>
      </c>
      <c r="AI3" s="433">
        <v>4.4999999999999998E-2</v>
      </c>
      <c r="AJ3" s="262"/>
      <c r="AK3" s="262"/>
      <c r="AL3" s="262"/>
      <c r="AM3" s="262"/>
      <c r="AN3" s="262"/>
      <c r="AO3" s="262"/>
      <c r="AP3" s="262"/>
      <c r="AQ3" s="271"/>
      <c r="AR3" s="271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271"/>
      <c r="BH3" s="271"/>
      <c r="BI3" s="271"/>
      <c r="BJ3" s="271"/>
      <c r="BK3" s="271"/>
      <c r="BL3" s="271"/>
      <c r="BM3" s="271"/>
      <c r="BN3" s="271"/>
    </row>
    <row r="4" spans="1:66">
      <c r="A4" s="271">
        <v>10015</v>
      </c>
      <c r="B4" s="271" t="s">
        <v>8</v>
      </c>
      <c r="C4" s="428">
        <v>1</v>
      </c>
      <c r="D4" s="428">
        <v>0</v>
      </c>
      <c r="E4" s="433">
        <v>0.58199999999999996</v>
      </c>
      <c r="F4" s="433">
        <v>0.64646004098360632</v>
      </c>
      <c r="G4" s="433">
        <v>0.64823116438356143</v>
      </c>
      <c r="H4" s="433">
        <v>0</v>
      </c>
      <c r="I4" s="433">
        <v>0</v>
      </c>
      <c r="J4" s="433">
        <v>0</v>
      </c>
      <c r="K4" s="433">
        <v>0</v>
      </c>
      <c r="L4" s="433">
        <v>0</v>
      </c>
      <c r="M4" s="433">
        <v>0</v>
      </c>
      <c r="N4" s="433">
        <v>0.59099999999999997</v>
      </c>
      <c r="O4" s="433">
        <v>0.59699999999999998</v>
      </c>
      <c r="P4" s="433">
        <v>5191.3440000000001</v>
      </c>
      <c r="Q4" s="433">
        <v>5229.7199999999993</v>
      </c>
      <c r="R4" s="433">
        <v>0.56799999999999995</v>
      </c>
      <c r="S4" s="433">
        <v>4989.3119999999999</v>
      </c>
      <c r="T4" s="433">
        <v>2.3E-2</v>
      </c>
      <c r="U4" s="433">
        <v>2.9000000000000001E-2</v>
      </c>
      <c r="V4" s="433">
        <v>0</v>
      </c>
      <c r="W4" s="433">
        <v>0</v>
      </c>
      <c r="X4" s="433">
        <v>8.1299999999999997E-5</v>
      </c>
      <c r="Y4" s="433">
        <v>8.1299999999999997E-5</v>
      </c>
      <c r="Z4" s="433">
        <v>0</v>
      </c>
      <c r="AA4" s="433">
        <v>8.1299999999999997E-5</v>
      </c>
      <c r="AB4" s="433">
        <v>8.1299999999999997E-5</v>
      </c>
      <c r="AC4" s="433">
        <v>8.1299999999999997E-5</v>
      </c>
      <c r="AD4" s="433">
        <v>0.9609300996621355</v>
      </c>
      <c r="AE4" s="433">
        <v>0.95117126390101758</v>
      </c>
      <c r="AF4" s="433">
        <v>1.040492957746479</v>
      </c>
      <c r="AG4" s="433">
        <v>1.051056338028169</v>
      </c>
      <c r="AH4" s="433">
        <v>0</v>
      </c>
      <c r="AI4" s="433">
        <v>0</v>
      </c>
      <c r="AJ4" s="262"/>
      <c r="AK4" s="262"/>
      <c r="AL4" s="262"/>
      <c r="AM4" s="262"/>
      <c r="AN4" s="262"/>
      <c r="AO4" s="262"/>
      <c r="AP4" s="262"/>
      <c r="AQ4" s="271"/>
      <c r="AR4" s="271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271"/>
      <c r="BH4" s="271"/>
      <c r="BI4" s="271"/>
      <c r="BJ4" s="271"/>
      <c r="BK4" s="271"/>
      <c r="BL4" s="271"/>
      <c r="BM4" s="271"/>
      <c r="BN4" s="271"/>
    </row>
    <row r="5" spans="1:66">
      <c r="A5" s="271">
        <v>10024</v>
      </c>
      <c r="B5" s="271" t="s">
        <v>9</v>
      </c>
      <c r="C5" s="428">
        <v>1</v>
      </c>
      <c r="D5" s="428">
        <v>0</v>
      </c>
      <c r="E5" s="433">
        <v>204.59100000000001</v>
      </c>
      <c r="F5" s="433">
        <v>209.55130157103824</v>
      </c>
      <c r="G5" s="433">
        <v>210.85816381278536</v>
      </c>
      <c r="H5" s="433">
        <v>0</v>
      </c>
      <c r="I5" s="433">
        <v>0</v>
      </c>
      <c r="J5" s="433">
        <v>0.91814663023679421</v>
      </c>
      <c r="K5" s="433">
        <v>0.91883561643835621</v>
      </c>
      <c r="L5" s="433">
        <v>8065</v>
      </c>
      <c r="M5" s="433">
        <v>8049</v>
      </c>
      <c r="N5" s="433">
        <v>208.63300000000001</v>
      </c>
      <c r="O5" s="433">
        <v>209.93899999999999</v>
      </c>
      <c r="P5" s="433">
        <v>1832632.2720000001</v>
      </c>
      <c r="Q5" s="433">
        <v>1839065.64</v>
      </c>
      <c r="R5" s="433">
        <v>199.61699999999999</v>
      </c>
      <c r="S5" s="433">
        <v>1753435.7279999999</v>
      </c>
      <c r="T5" s="433">
        <v>4.7690000000000001</v>
      </c>
      <c r="U5" s="433">
        <v>6.9329999999999998</v>
      </c>
      <c r="V5" s="433">
        <v>4.7690000000000001</v>
      </c>
      <c r="W5" s="433">
        <v>6.9329999999999998</v>
      </c>
      <c r="X5" s="433">
        <v>2.8585800000000001E-2</v>
      </c>
      <c r="Y5" s="433">
        <v>2.8585800000000001E-2</v>
      </c>
      <c r="Z5" s="433">
        <v>1.36981E-2</v>
      </c>
      <c r="AA5" s="433">
        <v>1.4887700000000002E-2</v>
      </c>
      <c r="AB5" s="433">
        <v>1.4887700000000002E-2</v>
      </c>
      <c r="AC5" s="433">
        <v>1.4887700000000002E-2</v>
      </c>
      <c r="AD5" s="433">
        <v>0.97677221777954704</v>
      </c>
      <c r="AE5" s="433">
        <v>0.96658105508952685</v>
      </c>
      <c r="AF5" s="433">
        <v>1.0451664938356955</v>
      </c>
      <c r="AG5" s="433">
        <v>1.051709022778621</v>
      </c>
      <c r="AH5" s="433">
        <v>0</v>
      </c>
      <c r="AI5" s="433">
        <v>0</v>
      </c>
      <c r="AJ5" s="262"/>
      <c r="AK5" s="262"/>
      <c r="AL5" s="262"/>
      <c r="AM5" s="262"/>
      <c r="AN5" s="262"/>
      <c r="AO5" s="262"/>
      <c r="AP5" s="262"/>
      <c r="AQ5" s="271"/>
      <c r="AR5" s="271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271"/>
      <c r="BH5" s="271"/>
      <c r="BI5" s="271"/>
      <c r="BJ5" s="271"/>
      <c r="BK5" s="271"/>
      <c r="BL5" s="271"/>
      <c r="BM5" s="271"/>
      <c r="BN5" s="271"/>
    </row>
    <row r="6" spans="1:66">
      <c r="A6" s="271">
        <v>10025</v>
      </c>
      <c r="B6" s="271" t="s">
        <v>10</v>
      </c>
      <c r="C6" s="428">
        <v>1</v>
      </c>
      <c r="D6" s="428">
        <v>0</v>
      </c>
      <c r="E6" s="433">
        <v>67.728000000000009</v>
      </c>
      <c r="F6" s="433">
        <v>65.211274362477241</v>
      </c>
      <c r="G6" s="433">
        <v>65.389935388127853</v>
      </c>
      <c r="H6" s="433">
        <v>0</v>
      </c>
      <c r="I6" s="433">
        <v>0</v>
      </c>
      <c r="J6" s="433">
        <v>0</v>
      </c>
      <c r="K6" s="433">
        <v>0</v>
      </c>
      <c r="L6" s="433">
        <v>0</v>
      </c>
      <c r="M6" s="433">
        <v>0</v>
      </c>
      <c r="N6" s="433">
        <v>69.528000000000006</v>
      </c>
      <c r="O6" s="433">
        <v>70.504000000000005</v>
      </c>
      <c r="P6" s="433">
        <v>610733.95200000005</v>
      </c>
      <c r="Q6" s="433">
        <v>617615.04</v>
      </c>
      <c r="R6" s="433">
        <v>66.081000000000003</v>
      </c>
      <c r="S6" s="433">
        <v>580455.50400000007</v>
      </c>
      <c r="T6" s="433">
        <v>3.4470000000000001</v>
      </c>
      <c r="U6" s="433">
        <v>4.423</v>
      </c>
      <c r="V6" s="433">
        <v>3.4470000000000001</v>
      </c>
      <c r="W6" s="433">
        <v>4.423</v>
      </c>
      <c r="X6" s="433">
        <v>9.4629999999999992E-3</v>
      </c>
      <c r="Y6" s="433">
        <v>9.4629999999999992E-3</v>
      </c>
      <c r="Z6" s="433">
        <v>0</v>
      </c>
      <c r="AA6" s="433">
        <v>9.4629999999999992E-3</v>
      </c>
      <c r="AB6" s="433">
        <v>9.4629999999999992E-3</v>
      </c>
      <c r="AC6" s="433">
        <v>9.4629999999999992E-3</v>
      </c>
      <c r="AD6" s="433">
        <v>0.95042152231614863</v>
      </c>
      <c r="AE6" s="433">
        <v>0.93726950226929628</v>
      </c>
      <c r="AF6" s="433">
        <v>1.0521632541880419</v>
      </c>
      <c r="AG6" s="433">
        <v>1.0669330064617666</v>
      </c>
      <c r="AH6" s="433">
        <v>6.3130000000000006E-2</v>
      </c>
      <c r="AI6" s="433">
        <v>6.4019999999999994E-2</v>
      </c>
      <c r="AJ6" s="262"/>
      <c r="AK6" s="262"/>
      <c r="AL6" s="262"/>
      <c r="AM6" s="262"/>
      <c r="AN6" s="262"/>
      <c r="AO6" s="262"/>
      <c r="AP6" s="262"/>
      <c r="AQ6" s="271"/>
      <c r="AR6" s="271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271"/>
      <c r="BH6" s="271"/>
      <c r="BI6" s="271"/>
      <c r="BJ6" s="271"/>
      <c r="BK6" s="271"/>
      <c r="BL6" s="271"/>
      <c r="BM6" s="271"/>
      <c r="BN6" s="271"/>
    </row>
    <row r="7" spans="1:66">
      <c r="A7" s="273">
        <v>10027</v>
      </c>
      <c r="B7" s="273" t="s">
        <v>11</v>
      </c>
      <c r="C7" s="429">
        <v>1</v>
      </c>
      <c r="D7" s="429">
        <v>0</v>
      </c>
      <c r="E7" s="433">
        <v>62.106999999999999</v>
      </c>
      <c r="F7" s="433">
        <v>63.567230760473592</v>
      </c>
      <c r="G7" s="433">
        <v>63.74138755707763</v>
      </c>
      <c r="H7" s="433">
        <v>0</v>
      </c>
      <c r="I7" s="433">
        <v>0</v>
      </c>
      <c r="J7" s="433">
        <v>0</v>
      </c>
      <c r="K7" s="433">
        <v>0</v>
      </c>
      <c r="L7" s="433">
        <v>0</v>
      </c>
      <c r="M7" s="433">
        <v>0</v>
      </c>
      <c r="N7" s="433">
        <v>60.704000000000001</v>
      </c>
      <c r="O7" s="433">
        <v>61.23</v>
      </c>
      <c r="P7" s="433">
        <v>533223.93599999999</v>
      </c>
      <c r="Q7" s="433">
        <v>536374.79999999993</v>
      </c>
      <c r="R7" s="433">
        <v>60.597000000000001</v>
      </c>
      <c r="S7" s="433">
        <v>532284.04800000007</v>
      </c>
      <c r="T7" s="433">
        <v>0.107</v>
      </c>
      <c r="U7" s="433">
        <v>0.63300000000000001</v>
      </c>
      <c r="V7" s="433">
        <v>0.107</v>
      </c>
      <c r="W7" s="433">
        <v>0.63300000000000001</v>
      </c>
      <c r="X7" s="433">
        <v>8.6777E-3</v>
      </c>
      <c r="Y7" s="433">
        <v>8.6777E-3</v>
      </c>
      <c r="Z7" s="433">
        <v>0</v>
      </c>
      <c r="AA7" s="433">
        <v>8.6777E-3</v>
      </c>
      <c r="AB7" s="433">
        <v>8.6777E-3</v>
      </c>
      <c r="AC7" s="433">
        <v>8.6777E-3</v>
      </c>
      <c r="AD7" s="433">
        <v>0.99823232184001098</v>
      </c>
      <c r="AE7" s="433">
        <v>0.98966156142815598</v>
      </c>
      <c r="AF7" s="433">
        <v>1.0017657639817152</v>
      </c>
      <c r="AG7" s="433">
        <v>1.0104460616862221</v>
      </c>
      <c r="AH7" s="433">
        <v>7.0120000000000002E-2</v>
      </c>
      <c r="AI7" s="433">
        <v>7.0730000000000001E-2</v>
      </c>
      <c r="AJ7" s="269"/>
      <c r="AK7" s="269"/>
      <c r="AL7" s="269"/>
      <c r="AM7" s="269"/>
      <c r="AN7" s="269"/>
      <c r="AO7" s="269"/>
      <c r="AP7" s="269"/>
      <c r="AS7" s="268"/>
      <c r="AT7" s="268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268"/>
      <c r="BF7" s="268"/>
      <c r="BG7" s="271"/>
      <c r="BM7" s="271"/>
      <c r="BN7" s="271"/>
    </row>
    <row r="8" spans="1:66">
      <c r="A8" s="271">
        <v>10029</v>
      </c>
      <c r="B8" s="271" t="s">
        <v>12</v>
      </c>
      <c r="C8" s="428">
        <v>0</v>
      </c>
      <c r="D8" s="428">
        <v>1</v>
      </c>
      <c r="E8" s="433">
        <v>17.879000000000001</v>
      </c>
      <c r="F8" s="433">
        <v>19.535349840619304</v>
      </c>
      <c r="G8" s="433">
        <v>19.588871347031962</v>
      </c>
      <c r="H8" s="433">
        <v>0</v>
      </c>
      <c r="I8" s="433">
        <v>0</v>
      </c>
      <c r="J8" s="433">
        <v>0</v>
      </c>
      <c r="K8" s="433">
        <v>0</v>
      </c>
      <c r="L8" s="433">
        <v>0</v>
      </c>
      <c r="M8" s="433">
        <v>0</v>
      </c>
      <c r="N8" s="433">
        <v>19.667000000000002</v>
      </c>
      <c r="O8" s="433">
        <v>19.873999999999999</v>
      </c>
      <c r="P8" s="433">
        <v>172754.92800000001</v>
      </c>
      <c r="Q8" s="433">
        <v>174096.24</v>
      </c>
      <c r="R8" s="433">
        <v>17.443999999999999</v>
      </c>
      <c r="S8" s="433">
        <v>153228.09599999999</v>
      </c>
      <c r="T8" s="433">
        <v>2.2229999999999999</v>
      </c>
      <c r="U8" s="433">
        <v>2.4300000000000002</v>
      </c>
      <c r="V8" s="433">
        <v>2.2229999999999999</v>
      </c>
      <c r="W8" s="433">
        <v>2.4300000000000002</v>
      </c>
      <c r="X8" s="433">
        <v>2.4979999999999998E-3</v>
      </c>
      <c r="Y8" s="433">
        <v>2.4979999999999998E-3</v>
      </c>
      <c r="Z8" s="433">
        <v>0</v>
      </c>
      <c r="AA8" s="433">
        <v>2.4979999999999998E-3</v>
      </c>
      <c r="AB8" s="433">
        <v>2.4979999999999998E-3</v>
      </c>
      <c r="AC8" s="433">
        <v>2.4979999999999998E-3</v>
      </c>
      <c r="AD8" s="433">
        <v>0.88694836270415778</v>
      </c>
      <c r="AE8" s="433">
        <v>0.87772773737871179</v>
      </c>
      <c r="AF8" s="433">
        <v>1.1274363678055492</v>
      </c>
      <c r="AG8" s="433">
        <v>1.1393029121761065</v>
      </c>
      <c r="AH8" s="433">
        <v>6.2010000000000003E-2</v>
      </c>
      <c r="AI8" s="433">
        <v>6.2659999999999993E-2</v>
      </c>
      <c r="AJ8" s="262"/>
      <c r="AK8" s="262"/>
      <c r="AL8" s="262"/>
      <c r="AM8" s="262"/>
      <c r="AN8" s="262"/>
      <c r="AO8" s="262"/>
      <c r="AP8" s="262"/>
      <c r="AQ8" s="271"/>
      <c r="AR8" s="271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271"/>
      <c r="BH8" s="271"/>
      <c r="BI8" s="271"/>
      <c r="BJ8" s="271"/>
      <c r="BK8" s="271"/>
      <c r="BL8" s="271"/>
      <c r="BM8" s="271"/>
      <c r="BN8" s="271"/>
    </row>
    <row r="9" spans="1:66">
      <c r="A9" s="271">
        <v>10044</v>
      </c>
      <c r="B9" s="271" t="s">
        <v>13</v>
      </c>
      <c r="C9" s="428">
        <v>1</v>
      </c>
      <c r="D9" s="428">
        <v>0</v>
      </c>
      <c r="E9" s="433">
        <v>20.611999999999998</v>
      </c>
      <c r="F9" s="433">
        <v>20.501985541894356</v>
      </c>
      <c r="G9" s="433">
        <v>20.558155365296805</v>
      </c>
      <c r="H9" s="433">
        <v>0</v>
      </c>
      <c r="I9" s="433">
        <v>0</v>
      </c>
      <c r="J9" s="433">
        <v>0</v>
      </c>
      <c r="K9" s="433">
        <v>0</v>
      </c>
      <c r="L9" s="433">
        <v>0</v>
      </c>
      <c r="M9" s="433">
        <v>0</v>
      </c>
      <c r="N9" s="433">
        <v>21.792000000000002</v>
      </c>
      <c r="O9" s="433">
        <v>21.96</v>
      </c>
      <c r="P9" s="433">
        <v>191420.92800000001</v>
      </c>
      <c r="Q9" s="433">
        <v>192369.6</v>
      </c>
      <c r="R9" s="433">
        <v>20.111000000000001</v>
      </c>
      <c r="S9" s="433">
        <v>176655.024</v>
      </c>
      <c r="T9" s="433">
        <v>1.681</v>
      </c>
      <c r="U9" s="433">
        <v>1.849</v>
      </c>
      <c r="V9" s="433">
        <v>1.681</v>
      </c>
      <c r="W9" s="433">
        <v>1.849</v>
      </c>
      <c r="X9" s="433">
        <v>2.8800000000000002E-3</v>
      </c>
      <c r="Y9" s="433">
        <v>2.8800000000000002E-3</v>
      </c>
      <c r="Z9" s="433">
        <v>0</v>
      </c>
      <c r="AA9" s="433">
        <v>2.8800000000000002E-3</v>
      </c>
      <c r="AB9" s="433">
        <v>2.8800000000000002E-3</v>
      </c>
      <c r="AC9" s="433">
        <v>2.8800000000000002E-3</v>
      </c>
      <c r="AD9" s="433">
        <v>0.9228727893473182</v>
      </c>
      <c r="AE9" s="433">
        <v>0.91581192210686602</v>
      </c>
      <c r="AF9" s="433">
        <v>1.0835860971607578</v>
      </c>
      <c r="AG9" s="433">
        <v>1.0919397344736712</v>
      </c>
      <c r="AH9" s="433">
        <v>0</v>
      </c>
      <c r="AI9" s="433">
        <v>0</v>
      </c>
      <c r="AJ9" s="262"/>
      <c r="AK9" s="262"/>
      <c r="AL9" s="262"/>
      <c r="AM9" s="262"/>
      <c r="AN9" s="262"/>
      <c r="AO9" s="262"/>
      <c r="AP9" s="262"/>
      <c r="AQ9" s="271"/>
      <c r="AR9" s="271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271"/>
      <c r="BH9" s="271"/>
      <c r="BI9" s="271"/>
      <c r="BJ9" s="271"/>
      <c r="BK9" s="271"/>
      <c r="BL9" s="271"/>
      <c r="BM9" s="271"/>
      <c r="BN9" s="271"/>
    </row>
    <row r="10" spans="1:66">
      <c r="A10" s="271">
        <v>10046</v>
      </c>
      <c r="B10" s="271" t="s">
        <v>14</v>
      </c>
      <c r="C10" s="428">
        <v>0</v>
      </c>
      <c r="D10" s="428">
        <v>1</v>
      </c>
      <c r="E10" s="433">
        <v>83.072000000000003</v>
      </c>
      <c r="F10" s="433">
        <v>84.32081010928961</v>
      </c>
      <c r="G10" s="433">
        <v>84.551826027397254</v>
      </c>
      <c r="H10" s="433">
        <v>0</v>
      </c>
      <c r="I10" s="433">
        <v>0</v>
      </c>
      <c r="J10" s="433">
        <v>0</v>
      </c>
      <c r="K10" s="433">
        <v>0</v>
      </c>
      <c r="L10" s="433">
        <v>0</v>
      </c>
      <c r="M10" s="433">
        <v>0</v>
      </c>
      <c r="N10" s="433">
        <v>82.298000000000002</v>
      </c>
      <c r="O10" s="433">
        <v>82.947000000000003</v>
      </c>
      <c r="P10" s="433">
        <v>722905.63199999998</v>
      </c>
      <c r="Q10" s="433">
        <v>726615.72</v>
      </c>
      <c r="R10" s="433">
        <v>81.052000000000007</v>
      </c>
      <c r="S10" s="433">
        <v>711960.76800000004</v>
      </c>
      <c r="T10" s="433">
        <v>1.246</v>
      </c>
      <c r="U10" s="433">
        <v>1.895</v>
      </c>
      <c r="V10" s="433">
        <v>1.246</v>
      </c>
      <c r="W10" s="433">
        <v>1.895</v>
      </c>
      <c r="X10" s="433">
        <v>1.16069E-2</v>
      </c>
      <c r="Y10" s="433">
        <v>1.16069E-2</v>
      </c>
      <c r="Z10" s="433">
        <v>0</v>
      </c>
      <c r="AA10" s="433">
        <v>1.16069E-2</v>
      </c>
      <c r="AB10" s="433">
        <v>1.16069E-2</v>
      </c>
      <c r="AC10" s="433">
        <v>1.16069E-2</v>
      </c>
      <c r="AD10" s="433">
        <v>0.98486394571519387</v>
      </c>
      <c r="AE10" s="433">
        <v>0.97715709690767716</v>
      </c>
      <c r="AF10" s="433">
        <v>1.0153728470611458</v>
      </c>
      <c r="AG10" s="433">
        <v>1.0233800523120959</v>
      </c>
      <c r="AH10" s="433">
        <v>7.1080000000000004E-2</v>
      </c>
      <c r="AI10" s="433">
        <v>7.1639999999999995E-2</v>
      </c>
      <c r="AJ10" s="262"/>
      <c r="AK10" s="262"/>
      <c r="AL10" s="262"/>
      <c r="AM10" s="262"/>
      <c r="AN10" s="262"/>
      <c r="AO10" s="262"/>
      <c r="AP10" s="262"/>
      <c r="AQ10" s="271"/>
      <c r="AR10" s="271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271"/>
      <c r="BH10" s="271"/>
      <c r="BI10" s="271"/>
      <c r="BJ10" s="271"/>
      <c r="BK10" s="271"/>
      <c r="BL10" s="271"/>
      <c r="BM10" s="271"/>
      <c r="BN10" s="271"/>
    </row>
    <row r="11" spans="1:66">
      <c r="A11" s="271">
        <v>10047</v>
      </c>
      <c r="B11" s="271" t="s">
        <v>15</v>
      </c>
      <c r="C11" s="428">
        <v>1</v>
      </c>
      <c r="D11" s="428">
        <v>0</v>
      </c>
      <c r="E11" s="433">
        <v>159.01</v>
      </c>
      <c r="F11" s="433">
        <v>152.99410724043716</v>
      </c>
      <c r="G11" s="433">
        <v>153.41326917808217</v>
      </c>
      <c r="H11" s="433">
        <v>0</v>
      </c>
      <c r="I11" s="433">
        <v>0</v>
      </c>
      <c r="J11" s="433">
        <v>0</v>
      </c>
      <c r="K11" s="433">
        <v>0</v>
      </c>
      <c r="L11" s="433">
        <v>0</v>
      </c>
      <c r="M11" s="433">
        <v>0</v>
      </c>
      <c r="N11" s="433">
        <v>153.10400000000001</v>
      </c>
      <c r="O11" s="433">
        <v>153.501</v>
      </c>
      <c r="P11" s="433">
        <v>1344865.5360000001</v>
      </c>
      <c r="Q11" s="433">
        <v>1344668.76</v>
      </c>
      <c r="R11" s="433">
        <v>155.14400000000001</v>
      </c>
      <c r="S11" s="433">
        <v>1362784.8959999999</v>
      </c>
      <c r="T11" s="433">
        <v>0</v>
      </c>
      <c r="U11" s="433">
        <v>0</v>
      </c>
      <c r="V11" s="433">
        <v>0</v>
      </c>
      <c r="W11" s="433">
        <v>0</v>
      </c>
      <c r="X11" s="433">
        <v>2.1925E-2</v>
      </c>
      <c r="Y11" s="433">
        <v>2.1981799999999999E-2</v>
      </c>
      <c r="Z11" s="433">
        <v>0</v>
      </c>
      <c r="AA11" s="433">
        <v>2.1925E-2</v>
      </c>
      <c r="AB11" s="433">
        <v>2.1981799999999999E-2</v>
      </c>
      <c r="AC11" s="433">
        <v>2.1953399999999998E-2</v>
      </c>
      <c r="AD11" s="433">
        <v>1</v>
      </c>
      <c r="AE11" s="433">
        <v>0.99999766261772727</v>
      </c>
      <c r="AF11" s="433">
        <v>1</v>
      </c>
      <c r="AG11" s="433">
        <v>1</v>
      </c>
      <c r="AH11" s="433">
        <v>0</v>
      </c>
      <c r="AI11" s="433">
        <v>0</v>
      </c>
      <c r="AJ11" s="262"/>
      <c r="AK11" s="262"/>
      <c r="AL11" s="262"/>
      <c r="AM11" s="262"/>
      <c r="AN11" s="262"/>
      <c r="AO11" s="262"/>
      <c r="AP11" s="262"/>
      <c r="AQ11" s="271"/>
      <c r="AR11" s="271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271"/>
      <c r="BH11" s="271"/>
      <c r="BI11" s="271"/>
      <c r="BJ11" s="271"/>
      <c r="BK11" s="271"/>
      <c r="BL11" s="271"/>
      <c r="BM11" s="271"/>
      <c r="BN11" s="271"/>
    </row>
    <row r="12" spans="1:66">
      <c r="A12" s="271">
        <v>10055</v>
      </c>
      <c r="B12" s="271" t="s">
        <v>16</v>
      </c>
      <c r="C12" s="428">
        <v>1</v>
      </c>
      <c r="D12" s="428">
        <v>0</v>
      </c>
      <c r="E12" s="433">
        <v>0.40400000000000003</v>
      </c>
      <c r="F12" s="433">
        <v>0.37097484061930786</v>
      </c>
      <c r="G12" s="433">
        <v>0.3719912100456621</v>
      </c>
      <c r="H12" s="433">
        <v>0</v>
      </c>
      <c r="I12" s="433">
        <v>0</v>
      </c>
      <c r="J12" s="433">
        <v>0</v>
      </c>
      <c r="K12" s="433">
        <v>0</v>
      </c>
      <c r="L12" s="433">
        <v>0</v>
      </c>
      <c r="M12" s="433">
        <v>0</v>
      </c>
      <c r="N12" s="433">
        <v>0.40200000000000002</v>
      </c>
      <c r="O12" s="433">
        <v>0.40500000000000003</v>
      </c>
      <c r="P12" s="433">
        <v>3531.1680000000001</v>
      </c>
      <c r="Q12" s="433">
        <v>3547.8</v>
      </c>
      <c r="R12" s="433">
        <v>0.39400000000000002</v>
      </c>
      <c r="S12" s="433">
        <v>3460.8960000000002</v>
      </c>
      <c r="T12" s="433">
        <v>8.0000000000000002E-3</v>
      </c>
      <c r="U12" s="433">
        <v>1.0999999999999999E-2</v>
      </c>
      <c r="V12" s="433">
        <v>0</v>
      </c>
      <c r="W12" s="433">
        <v>0</v>
      </c>
      <c r="X12" s="433">
        <v>5.6400000000000002E-5</v>
      </c>
      <c r="Y12" s="433">
        <v>5.6400000000000002E-5</v>
      </c>
      <c r="Z12" s="433">
        <v>0</v>
      </c>
      <c r="AA12" s="433">
        <v>5.6400000000000002E-5</v>
      </c>
      <c r="AB12" s="433">
        <v>5.6400000000000002E-5</v>
      </c>
      <c r="AC12" s="433">
        <v>5.6400000000000002E-5</v>
      </c>
      <c r="AD12" s="433">
        <v>0.98073347325164018</v>
      </c>
      <c r="AE12" s="433">
        <v>0.97340307063616582</v>
      </c>
      <c r="AF12" s="433">
        <v>1.0203045685279188</v>
      </c>
      <c r="AG12" s="433">
        <v>1.0279187817258884</v>
      </c>
      <c r="AH12" s="433">
        <v>0</v>
      </c>
      <c r="AI12" s="433">
        <v>0</v>
      </c>
      <c r="AJ12" s="262"/>
      <c r="AK12" s="262"/>
      <c r="AL12" s="262"/>
      <c r="AM12" s="262"/>
      <c r="AN12" s="262"/>
      <c r="AO12" s="262"/>
      <c r="AP12" s="262"/>
      <c r="AQ12" s="271"/>
      <c r="AR12" s="271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271"/>
      <c r="BH12" s="271"/>
      <c r="BI12" s="271"/>
      <c r="BJ12" s="271"/>
      <c r="BK12" s="271"/>
      <c r="BL12" s="271"/>
      <c r="BM12" s="271"/>
      <c r="BN12" s="271"/>
    </row>
    <row r="13" spans="1:66">
      <c r="A13" s="271">
        <v>10057</v>
      </c>
      <c r="B13" s="271" t="s">
        <v>17</v>
      </c>
      <c r="C13" s="428">
        <v>1</v>
      </c>
      <c r="D13" s="428">
        <v>0</v>
      </c>
      <c r="E13" s="433">
        <v>21.382999999999999</v>
      </c>
      <c r="F13" s="433">
        <v>20.086985200364296</v>
      </c>
      <c r="G13" s="433">
        <v>20.142018036529677</v>
      </c>
      <c r="H13" s="433">
        <v>0</v>
      </c>
      <c r="I13" s="433">
        <v>0</v>
      </c>
      <c r="J13" s="433">
        <v>0.15801457194899818</v>
      </c>
      <c r="K13" s="433">
        <v>0.15810502283105024</v>
      </c>
      <c r="L13" s="433">
        <v>1388</v>
      </c>
      <c r="M13" s="433">
        <v>1385</v>
      </c>
      <c r="N13" s="433">
        <v>20.876000000000001</v>
      </c>
      <c r="O13" s="433">
        <v>20.984000000000002</v>
      </c>
      <c r="P13" s="433">
        <v>183374.78400000001</v>
      </c>
      <c r="Q13" s="433">
        <v>183819.84000000003</v>
      </c>
      <c r="R13" s="433">
        <v>20.863</v>
      </c>
      <c r="S13" s="433">
        <v>183260.592</v>
      </c>
      <c r="T13" s="433">
        <v>1.2999999999999999E-2</v>
      </c>
      <c r="U13" s="433">
        <v>0.121</v>
      </c>
      <c r="V13" s="433">
        <v>0</v>
      </c>
      <c r="W13" s="433">
        <v>0</v>
      </c>
      <c r="X13" s="433">
        <v>2.9876E-3</v>
      </c>
      <c r="Y13" s="433">
        <v>2.9876E-3</v>
      </c>
      <c r="Z13" s="433">
        <v>0</v>
      </c>
      <c r="AA13" s="433">
        <v>2.9876E-3</v>
      </c>
      <c r="AB13" s="433">
        <v>2.9876E-3</v>
      </c>
      <c r="AC13" s="433">
        <v>2.9876E-3</v>
      </c>
      <c r="AD13" s="433">
        <v>0.99934460136510617</v>
      </c>
      <c r="AE13" s="433">
        <v>0.99427729732386305</v>
      </c>
      <c r="AF13" s="433">
        <v>1.0006231126875331</v>
      </c>
      <c r="AG13" s="433">
        <v>1.005799741168576</v>
      </c>
      <c r="AH13" s="433">
        <v>0</v>
      </c>
      <c r="AI13" s="433">
        <v>0</v>
      </c>
      <c r="AJ13" s="262"/>
      <c r="AK13" s="262"/>
      <c r="AL13" s="262"/>
      <c r="AM13" s="262"/>
      <c r="AN13" s="262"/>
      <c r="AO13" s="262"/>
      <c r="AP13" s="262"/>
      <c r="AQ13" s="271"/>
      <c r="AR13" s="271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271"/>
      <c r="BH13" s="271"/>
      <c r="BI13" s="271"/>
      <c r="BJ13" s="271"/>
      <c r="BK13" s="271"/>
      <c r="BL13" s="271"/>
      <c r="BM13" s="271"/>
      <c r="BN13" s="271"/>
    </row>
    <row r="14" spans="1:66">
      <c r="A14" s="271">
        <v>10059</v>
      </c>
      <c r="B14" s="271" t="s">
        <v>18</v>
      </c>
      <c r="C14" s="428">
        <v>1</v>
      </c>
      <c r="D14" s="428">
        <v>0</v>
      </c>
      <c r="E14" s="433">
        <v>7.7530000000000001</v>
      </c>
      <c r="F14" s="433">
        <v>7.4030685336976321</v>
      </c>
      <c r="G14" s="433">
        <v>7.4233509132420092</v>
      </c>
      <c r="H14" s="433">
        <v>0</v>
      </c>
      <c r="I14" s="433">
        <v>0</v>
      </c>
      <c r="J14" s="433">
        <v>0</v>
      </c>
      <c r="K14" s="433">
        <v>0</v>
      </c>
      <c r="L14" s="433">
        <v>0</v>
      </c>
      <c r="M14" s="433">
        <v>0</v>
      </c>
      <c r="N14" s="433">
        <v>7.5549999999999997</v>
      </c>
      <c r="O14" s="433">
        <v>7.5940000000000003</v>
      </c>
      <c r="P14" s="433">
        <v>66363.12</v>
      </c>
      <c r="Q14" s="433">
        <v>66523.44</v>
      </c>
      <c r="R14" s="433">
        <v>7.5650000000000004</v>
      </c>
      <c r="S14" s="433">
        <v>66450.960000000006</v>
      </c>
      <c r="T14" s="433">
        <v>0</v>
      </c>
      <c r="U14" s="433">
        <v>2.9000000000000001E-2</v>
      </c>
      <c r="V14" s="433">
        <v>0</v>
      </c>
      <c r="W14" s="433">
        <v>0</v>
      </c>
      <c r="X14" s="433">
        <v>1.0819E-3</v>
      </c>
      <c r="Y14" s="433">
        <v>1.0832999999999999E-3</v>
      </c>
      <c r="Z14" s="433">
        <v>0</v>
      </c>
      <c r="AA14" s="433">
        <v>1.0819E-3</v>
      </c>
      <c r="AB14" s="433">
        <v>1.0832999999999999E-3</v>
      </c>
      <c r="AC14" s="433">
        <v>1.0826E-3</v>
      </c>
      <c r="AD14" s="433">
        <v>1</v>
      </c>
      <c r="AE14" s="433">
        <v>0.9961994070133886</v>
      </c>
      <c r="AF14" s="433">
        <v>1</v>
      </c>
      <c r="AG14" s="433">
        <v>1.0038334434897553</v>
      </c>
      <c r="AH14" s="433">
        <v>0</v>
      </c>
      <c r="AI14" s="433">
        <v>0</v>
      </c>
      <c r="AJ14" s="262"/>
      <c r="AK14" s="262"/>
      <c r="AL14" s="262"/>
      <c r="AM14" s="262"/>
      <c r="AN14" s="262"/>
      <c r="AO14" s="262"/>
      <c r="AP14" s="262"/>
      <c r="AQ14" s="271"/>
      <c r="AR14" s="271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271"/>
      <c r="BH14" s="271"/>
      <c r="BI14" s="271"/>
      <c r="BJ14" s="271"/>
      <c r="BK14" s="271"/>
      <c r="BL14" s="271"/>
      <c r="BM14" s="271"/>
      <c r="BN14" s="271"/>
    </row>
    <row r="15" spans="1:66">
      <c r="A15" s="271">
        <v>10061</v>
      </c>
      <c r="B15" s="271" t="s">
        <v>19</v>
      </c>
      <c r="C15" s="428">
        <v>1</v>
      </c>
      <c r="D15" s="428">
        <v>0</v>
      </c>
      <c r="E15" s="433">
        <v>8.8770000000000007</v>
      </c>
      <c r="F15" s="433">
        <v>8.7965085382513681</v>
      </c>
      <c r="G15" s="433">
        <v>8.8206085616438372</v>
      </c>
      <c r="H15" s="433">
        <v>0</v>
      </c>
      <c r="I15" s="433">
        <v>0</v>
      </c>
      <c r="J15" s="433">
        <v>0</v>
      </c>
      <c r="K15" s="433">
        <v>0</v>
      </c>
      <c r="L15" s="433">
        <v>0</v>
      </c>
      <c r="M15" s="433">
        <v>0</v>
      </c>
      <c r="N15" s="433">
        <v>9.3979999999999997</v>
      </c>
      <c r="O15" s="433">
        <v>9.5280000000000005</v>
      </c>
      <c r="P15" s="433">
        <v>82552.031999999992</v>
      </c>
      <c r="Q15" s="433">
        <v>83465.279999999999</v>
      </c>
      <c r="R15" s="433">
        <v>8.6609999999999996</v>
      </c>
      <c r="S15" s="433">
        <v>76078.224000000002</v>
      </c>
      <c r="T15" s="433">
        <v>0.73699999999999999</v>
      </c>
      <c r="U15" s="433">
        <v>0.86699999999999999</v>
      </c>
      <c r="V15" s="433">
        <v>0</v>
      </c>
      <c r="W15" s="433">
        <v>0</v>
      </c>
      <c r="X15" s="433">
        <v>1.2403E-3</v>
      </c>
      <c r="Y15" s="433">
        <v>1.2403E-3</v>
      </c>
      <c r="Z15" s="433">
        <v>0</v>
      </c>
      <c r="AA15" s="433">
        <v>1.2403E-3</v>
      </c>
      <c r="AB15" s="433">
        <v>1.2403E-3</v>
      </c>
      <c r="AC15" s="433">
        <v>1.2403E-3</v>
      </c>
      <c r="AD15" s="433">
        <v>0.92161042840634666</v>
      </c>
      <c r="AE15" s="433">
        <v>0.90906348701483852</v>
      </c>
      <c r="AF15" s="433">
        <v>1.085094099988454</v>
      </c>
      <c r="AG15" s="433">
        <v>1.1001039140976794</v>
      </c>
      <c r="AH15" s="433">
        <v>0</v>
      </c>
      <c r="AI15" s="433">
        <v>0</v>
      </c>
      <c r="AJ15" s="262"/>
      <c r="AK15" s="262"/>
      <c r="AL15" s="262"/>
      <c r="AM15" s="262"/>
      <c r="AN15" s="262"/>
      <c r="AO15" s="262"/>
      <c r="AP15" s="262"/>
      <c r="AQ15" s="271"/>
      <c r="AR15" s="271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271"/>
      <c r="BH15" s="271"/>
      <c r="BI15" s="271"/>
      <c r="BJ15" s="271"/>
      <c r="BK15" s="271"/>
      <c r="BL15" s="271"/>
      <c r="BM15" s="271"/>
      <c r="BN15" s="271"/>
    </row>
    <row r="16" spans="1:66">
      <c r="A16" s="271">
        <v>10062</v>
      </c>
      <c r="B16" s="271" t="s">
        <v>20</v>
      </c>
      <c r="C16" s="428">
        <v>1</v>
      </c>
      <c r="D16" s="428">
        <v>0</v>
      </c>
      <c r="E16" s="433">
        <v>5.399</v>
      </c>
      <c r="F16" s="433">
        <v>8.4596506147540982</v>
      </c>
      <c r="G16" s="433">
        <v>8.4828277397260266</v>
      </c>
      <c r="H16" s="433">
        <v>0</v>
      </c>
      <c r="I16" s="433">
        <v>0</v>
      </c>
      <c r="J16" s="433">
        <v>1.8781876138433515</v>
      </c>
      <c r="K16" s="433">
        <v>1.8811643835616438</v>
      </c>
      <c r="L16" s="433">
        <v>16498</v>
      </c>
      <c r="M16" s="433">
        <v>16479</v>
      </c>
      <c r="N16" s="433">
        <v>6.0490000000000004</v>
      </c>
      <c r="O16" s="433">
        <v>6.048</v>
      </c>
      <c r="P16" s="433">
        <v>53134.416000000005</v>
      </c>
      <c r="Q16" s="433">
        <v>52980.480000000003</v>
      </c>
      <c r="R16" s="433">
        <v>5.2679999999999998</v>
      </c>
      <c r="S16" s="433">
        <v>46274.112000000001</v>
      </c>
      <c r="T16" s="433">
        <v>0.78100000000000003</v>
      </c>
      <c r="U16" s="433">
        <v>0.78</v>
      </c>
      <c r="V16" s="433">
        <v>0</v>
      </c>
      <c r="W16" s="433">
        <v>0</v>
      </c>
      <c r="X16" s="433">
        <v>7.5440000000000001E-4</v>
      </c>
      <c r="Y16" s="433">
        <v>7.5440000000000001E-4</v>
      </c>
      <c r="Z16" s="433">
        <v>0</v>
      </c>
      <c r="AA16" s="433">
        <v>7.5440000000000001E-4</v>
      </c>
      <c r="AB16" s="433">
        <v>7.5440000000000001E-4</v>
      </c>
      <c r="AC16" s="433">
        <v>7.5440000000000001E-4</v>
      </c>
      <c r="AD16" s="433">
        <v>0.90148562982341851</v>
      </c>
      <c r="AE16" s="433">
        <v>0.90166004289963408</v>
      </c>
      <c r="AF16" s="433">
        <v>1.1482536066818527</v>
      </c>
      <c r="AG16" s="433">
        <v>1.1480637813211845</v>
      </c>
      <c r="AH16" s="433">
        <v>0</v>
      </c>
      <c r="AI16" s="433">
        <v>0</v>
      </c>
      <c r="AJ16" s="262"/>
      <c r="AK16" s="262"/>
      <c r="AL16" s="262"/>
      <c r="AM16" s="262"/>
      <c r="AN16" s="262"/>
      <c r="AO16" s="262"/>
      <c r="AP16" s="262"/>
      <c r="AQ16" s="271"/>
      <c r="AR16" s="271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271"/>
      <c r="BH16" s="271"/>
      <c r="BI16" s="271"/>
      <c r="BJ16" s="271"/>
      <c r="BK16" s="271"/>
      <c r="BL16" s="271"/>
      <c r="BM16" s="271"/>
      <c r="BN16" s="271"/>
    </row>
    <row r="17" spans="1:66">
      <c r="A17" s="271">
        <v>10064</v>
      </c>
      <c r="B17" s="271" t="s">
        <v>21</v>
      </c>
      <c r="C17" s="428">
        <v>1</v>
      </c>
      <c r="D17" s="428">
        <v>0</v>
      </c>
      <c r="E17" s="433">
        <v>14.273999999999999</v>
      </c>
      <c r="F17" s="433">
        <v>13.694458788706738</v>
      </c>
      <c r="G17" s="433">
        <v>13.731977853881277</v>
      </c>
      <c r="H17" s="433">
        <v>0</v>
      </c>
      <c r="I17" s="433">
        <v>0</v>
      </c>
      <c r="J17" s="433">
        <v>0</v>
      </c>
      <c r="K17" s="433">
        <v>0</v>
      </c>
      <c r="L17" s="433">
        <v>0</v>
      </c>
      <c r="M17" s="433">
        <v>0</v>
      </c>
      <c r="N17" s="433">
        <v>13.752000000000001</v>
      </c>
      <c r="O17" s="433">
        <v>13.792</v>
      </c>
      <c r="P17" s="433">
        <v>120797.568</v>
      </c>
      <c r="Q17" s="433">
        <v>120817.92</v>
      </c>
      <c r="R17" s="433">
        <v>13.927</v>
      </c>
      <c r="S17" s="433">
        <v>122334.768</v>
      </c>
      <c r="T17" s="433">
        <v>0</v>
      </c>
      <c r="U17" s="433">
        <v>0</v>
      </c>
      <c r="V17" s="433">
        <v>0</v>
      </c>
      <c r="W17" s="433">
        <v>0</v>
      </c>
      <c r="X17" s="433">
        <v>1.9692999999999998E-3</v>
      </c>
      <c r="Y17" s="433">
        <v>1.9751E-3</v>
      </c>
      <c r="Z17" s="433">
        <v>0</v>
      </c>
      <c r="AA17" s="433">
        <v>1.9692999999999998E-3</v>
      </c>
      <c r="AB17" s="433">
        <v>1.9751E-3</v>
      </c>
      <c r="AC17" s="433">
        <v>1.9721999999999999E-3</v>
      </c>
      <c r="AD17" s="433">
        <v>0.99998042293214562</v>
      </c>
      <c r="AE17" s="433">
        <v>1</v>
      </c>
      <c r="AF17" s="433">
        <v>1</v>
      </c>
      <c r="AG17" s="433">
        <v>1</v>
      </c>
      <c r="AH17" s="433">
        <v>0</v>
      </c>
      <c r="AI17" s="433">
        <v>0</v>
      </c>
      <c r="AJ17" s="262"/>
      <c r="AK17" s="262"/>
      <c r="AL17" s="262"/>
      <c r="AM17" s="262"/>
      <c r="AN17" s="262"/>
      <c r="AO17" s="262"/>
      <c r="AP17" s="262"/>
      <c r="AQ17" s="271"/>
      <c r="AR17" s="271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271"/>
      <c r="BH17" s="271"/>
      <c r="BI17" s="271"/>
      <c r="BJ17" s="271"/>
      <c r="BK17" s="271"/>
      <c r="BL17" s="271"/>
      <c r="BM17" s="271"/>
      <c r="BN17" s="271"/>
    </row>
    <row r="18" spans="1:66">
      <c r="A18" s="271">
        <v>10065</v>
      </c>
      <c r="B18" s="271" t="s">
        <v>22</v>
      </c>
      <c r="C18" s="428">
        <v>1</v>
      </c>
      <c r="D18" s="428">
        <v>0</v>
      </c>
      <c r="E18" s="433">
        <v>2.4129999999999998</v>
      </c>
      <c r="F18" s="433">
        <v>2.3888551912568299</v>
      </c>
      <c r="G18" s="433">
        <v>2.3953999999999995</v>
      </c>
      <c r="H18" s="433">
        <v>0</v>
      </c>
      <c r="I18" s="433">
        <v>0</v>
      </c>
      <c r="J18" s="433">
        <v>0</v>
      </c>
      <c r="K18" s="433">
        <v>0</v>
      </c>
      <c r="L18" s="433">
        <v>0</v>
      </c>
      <c r="M18" s="433">
        <v>0</v>
      </c>
      <c r="N18" s="433">
        <v>2.1880000000000002</v>
      </c>
      <c r="O18" s="433">
        <v>2.1890000000000001</v>
      </c>
      <c r="P18" s="433">
        <v>19219.392</v>
      </c>
      <c r="Q18" s="433">
        <v>19175.64</v>
      </c>
      <c r="R18" s="433">
        <v>2.3540000000000001</v>
      </c>
      <c r="S18" s="433">
        <v>20677.536</v>
      </c>
      <c r="T18" s="433">
        <v>0</v>
      </c>
      <c r="U18" s="433">
        <v>0</v>
      </c>
      <c r="V18" s="433">
        <v>0</v>
      </c>
      <c r="W18" s="433">
        <v>0</v>
      </c>
      <c r="X18" s="433">
        <v>3.1330000000000003E-4</v>
      </c>
      <c r="Y18" s="433">
        <v>3.1349999999999998E-4</v>
      </c>
      <c r="Z18" s="433">
        <v>0</v>
      </c>
      <c r="AA18" s="433">
        <v>3.1330000000000003E-4</v>
      </c>
      <c r="AB18" s="433">
        <v>3.1349999999999998E-4</v>
      </c>
      <c r="AC18" s="433">
        <v>3.1340000000000003E-4</v>
      </c>
      <c r="AD18" s="433">
        <v>0.99974690394992727</v>
      </c>
      <c r="AE18" s="433">
        <v>1</v>
      </c>
      <c r="AF18" s="433">
        <v>1</v>
      </c>
      <c r="AG18" s="433">
        <v>1</v>
      </c>
      <c r="AH18" s="433">
        <v>5.5E-2</v>
      </c>
      <c r="AI18" s="433">
        <v>5.5E-2</v>
      </c>
      <c r="AJ18" s="262"/>
      <c r="AK18" s="262"/>
      <c r="AL18" s="262"/>
      <c r="AM18" s="262"/>
      <c r="AN18" s="262"/>
      <c r="AO18" s="262"/>
      <c r="AP18" s="262"/>
      <c r="AQ18" s="271"/>
      <c r="AR18" s="271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271"/>
      <c r="BH18" s="271"/>
      <c r="BI18" s="271"/>
      <c r="BJ18" s="271"/>
      <c r="BK18" s="271"/>
      <c r="BL18" s="271"/>
      <c r="BM18" s="271"/>
      <c r="BN18" s="271"/>
    </row>
    <row r="19" spans="1:66">
      <c r="A19" s="271">
        <v>10066</v>
      </c>
      <c r="B19" s="271" t="s">
        <v>23</v>
      </c>
      <c r="C19" s="428">
        <v>1</v>
      </c>
      <c r="D19" s="428">
        <v>0</v>
      </c>
      <c r="E19" s="433">
        <v>24.734999999999999</v>
      </c>
      <c r="F19" s="433">
        <v>29.99155305100183</v>
      </c>
      <c r="G19" s="433">
        <v>30.073721689497727</v>
      </c>
      <c r="H19" s="433">
        <v>0</v>
      </c>
      <c r="I19" s="433">
        <v>0</v>
      </c>
      <c r="J19" s="433">
        <v>7.1094034608378873</v>
      </c>
      <c r="K19" s="433">
        <v>7.1143835616438356</v>
      </c>
      <c r="L19" s="433">
        <v>62449</v>
      </c>
      <c r="M19" s="433">
        <v>62322</v>
      </c>
      <c r="N19" s="433">
        <v>24.678999999999998</v>
      </c>
      <c r="O19" s="433">
        <v>25.088999999999999</v>
      </c>
      <c r="P19" s="433">
        <v>216780.33599999998</v>
      </c>
      <c r="Q19" s="433">
        <v>219779.63999999998</v>
      </c>
      <c r="R19" s="433">
        <v>24.134</v>
      </c>
      <c r="S19" s="433">
        <v>211993.05600000001</v>
      </c>
      <c r="T19" s="433">
        <v>0.54500000000000004</v>
      </c>
      <c r="U19" s="433">
        <v>0.95499999999999996</v>
      </c>
      <c r="V19" s="433">
        <v>0</v>
      </c>
      <c r="W19" s="433">
        <v>0</v>
      </c>
      <c r="X19" s="433">
        <v>3.4561000000000001E-3</v>
      </c>
      <c r="Y19" s="433">
        <v>3.4561000000000001E-3</v>
      </c>
      <c r="Z19" s="433">
        <v>0</v>
      </c>
      <c r="AA19" s="433">
        <v>3.4561000000000001E-3</v>
      </c>
      <c r="AB19" s="433">
        <v>3.4561000000000001E-3</v>
      </c>
      <c r="AC19" s="433">
        <v>3.4561000000000001E-3</v>
      </c>
      <c r="AD19" s="433">
        <v>0.98286262540048075</v>
      </c>
      <c r="AE19" s="433">
        <v>0.97034895249827224</v>
      </c>
      <c r="AF19" s="433">
        <v>1.0225822491091405</v>
      </c>
      <c r="AG19" s="433">
        <v>1.039570730090329</v>
      </c>
      <c r="AH19" s="433">
        <v>0</v>
      </c>
      <c r="AI19" s="433">
        <v>0</v>
      </c>
      <c r="AJ19" s="262"/>
      <c r="AK19" s="262"/>
      <c r="AL19" s="262"/>
      <c r="AM19" s="262"/>
      <c r="AN19" s="262"/>
      <c r="AO19" s="262"/>
      <c r="AP19" s="262"/>
      <c r="AQ19" s="271"/>
      <c r="AR19" s="271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271"/>
      <c r="BH19" s="271"/>
      <c r="BI19" s="271"/>
      <c r="BJ19" s="271"/>
      <c r="BK19" s="271"/>
      <c r="BL19" s="271"/>
      <c r="BM19" s="271"/>
      <c r="BN19" s="271"/>
    </row>
    <row r="20" spans="1:66">
      <c r="A20" s="271">
        <v>10067</v>
      </c>
      <c r="B20" s="271" t="s">
        <v>24</v>
      </c>
      <c r="C20" s="428">
        <v>1</v>
      </c>
      <c r="D20" s="428">
        <v>0</v>
      </c>
      <c r="E20" s="433">
        <v>16.053000000000001</v>
      </c>
      <c r="F20" s="433">
        <v>16.758078096539165</v>
      </c>
      <c r="G20" s="433">
        <v>16.803990639269411</v>
      </c>
      <c r="H20" s="433">
        <v>0</v>
      </c>
      <c r="I20" s="433">
        <v>0</v>
      </c>
      <c r="J20" s="433">
        <v>0</v>
      </c>
      <c r="K20" s="433">
        <v>0</v>
      </c>
      <c r="L20" s="433">
        <v>0</v>
      </c>
      <c r="M20" s="433">
        <v>0</v>
      </c>
      <c r="N20" s="433">
        <v>16.492000000000001</v>
      </c>
      <c r="O20" s="433">
        <v>16.765000000000001</v>
      </c>
      <c r="P20" s="433">
        <v>144865.728</v>
      </c>
      <c r="Q20" s="433">
        <v>146861.4</v>
      </c>
      <c r="R20" s="433">
        <v>15.663</v>
      </c>
      <c r="S20" s="433">
        <v>137583.79200000002</v>
      </c>
      <c r="T20" s="433">
        <v>0.82899999999999996</v>
      </c>
      <c r="U20" s="433">
        <v>1.1020000000000001</v>
      </c>
      <c r="V20" s="433">
        <v>0</v>
      </c>
      <c r="W20" s="433">
        <v>1.1020000000000001</v>
      </c>
      <c r="X20" s="433">
        <v>2.2430000000000002E-3</v>
      </c>
      <c r="Y20" s="433">
        <v>2.2430000000000002E-3</v>
      </c>
      <c r="Z20" s="433">
        <v>0</v>
      </c>
      <c r="AA20" s="433">
        <v>2.2430000000000002E-3</v>
      </c>
      <c r="AB20" s="433">
        <v>2.2430000000000002E-3</v>
      </c>
      <c r="AC20" s="433">
        <v>2.2430000000000002E-3</v>
      </c>
      <c r="AD20" s="433">
        <v>0.94971002109590608</v>
      </c>
      <c r="AE20" s="433">
        <v>0.93429695880518171</v>
      </c>
      <c r="AF20" s="433">
        <v>1.0529272808529657</v>
      </c>
      <c r="AG20" s="433">
        <v>1.0703568920385622</v>
      </c>
      <c r="AH20" s="433">
        <v>0</v>
      </c>
      <c r="AI20" s="433">
        <v>0</v>
      </c>
      <c r="AJ20" s="262"/>
      <c r="AK20" s="262"/>
      <c r="AL20" s="262"/>
      <c r="AM20" s="262"/>
      <c r="AN20" s="262"/>
      <c r="AO20" s="262"/>
      <c r="AP20" s="262"/>
      <c r="AQ20" s="271"/>
      <c r="AR20" s="271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271"/>
      <c r="BH20" s="271"/>
      <c r="BI20" s="271"/>
      <c r="BJ20" s="271"/>
      <c r="BK20" s="271"/>
      <c r="BL20" s="271"/>
      <c r="BM20" s="271"/>
      <c r="BN20" s="271"/>
    </row>
    <row r="21" spans="1:66">
      <c r="A21" s="271">
        <v>10068</v>
      </c>
      <c r="B21" s="271" t="s">
        <v>25</v>
      </c>
      <c r="C21" s="428">
        <v>1</v>
      </c>
      <c r="D21" s="428">
        <v>0</v>
      </c>
      <c r="E21" s="433">
        <v>2.8109999999999999</v>
      </c>
      <c r="F21" s="433">
        <v>2.5440997267759564</v>
      </c>
      <c r="G21" s="433">
        <v>2.5510698630136988</v>
      </c>
      <c r="H21" s="433">
        <v>0</v>
      </c>
      <c r="I21" s="433">
        <v>0</v>
      </c>
      <c r="J21" s="433">
        <v>0</v>
      </c>
      <c r="K21" s="433">
        <v>0</v>
      </c>
      <c r="L21" s="433">
        <v>0</v>
      </c>
      <c r="M21" s="433">
        <v>0</v>
      </c>
      <c r="N21" s="433">
        <v>2.6059999999999999</v>
      </c>
      <c r="O21" s="433">
        <v>2.6059999999999999</v>
      </c>
      <c r="P21" s="433">
        <v>22891.103999999999</v>
      </c>
      <c r="Q21" s="433">
        <v>22828.559999999998</v>
      </c>
      <c r="R21" s="433">
        <v>2.7429999999999999</v>
      </c>
      <c r="S21" s="433">
        <v>24094.511999999999</v>
      </c>
      <c r="T21" s="433">
        <v>0</v>
      </c>
      <c r="U21" s="433">
        <v>0</v>
      </c>
      <c r="V21" s="433">
        <v>0</v>
      </c>
      <c r="W21" s="433">
        <v>0</v>
      </c>
      <c r="X21" s="433">
        <v>3.7320000000000002E-4</v>
      </c>
      <c r="Y21" s="433">
        <v>3.7320000000000002E-4</v>
      </c>
      <c r="Z21" s="433">
        <v>0</v>
      </c>
      <c r="AA21" s="433">
        <v>3.7320000000000002E-4</v>
      </c>
      <c r="AB21" s="433">
        <v>3.7320000000000002E-4</v>
      </c>
      <c r="AC21" s="433">
        <v>3.7320000000000002E-4</v>
      </c>
      <c r="AD21" s="433">
        <v>1</v>
      </c>
      <c r="AE21" s="433">
        <v>0.99988669108044959</v>
      </c>
      <c r="AF21" s="433">
        <v>1</v>
      </c>
      <c r="AG21" s="433">
        <v>1</v>
      </c>
      <c r="AH21" s="433">
        <v>0</v>
      </c>
      <c r="AI21" s="433">
        <v>0</v>
      </c>
      <c r="AJ21" s="262"/>
      <c r="AK21" s="262"/>
      <c r="AL21" s="262"/>
      <c r="AM21" s="262"/>
      <c r="AN21" s="262"/>
      <c r="AO21" s="262"/>
      <c r="AP21" s="262"/>
      <c r="AQ21" s="271"/>
      <c r="AR21" s="271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271"/>
      <c r="BH21" s="271"/>
      <c r="BI21" s="271"/>
      <c r="BJ21" s="271"/>
      <c r="BK21" s="271"/>
      <c r="BL21" s="271"/>
      <c r="BM21" s="271"/>
      <c r="BN21" s="271"/>
    </row>
    <row r="22" spans="1:66">
      <c r="A22" s="271">
        <v>10070</v>
      </c>
      <c r="B22" s="271" t="s">
        <v>26</v>
      </c>
      <c r="C22" s="428">
        <v>1</v>
      </c>
      <c r="D22" s="428">
        <v>0</v>
      </c>
      <c r="E22" s="433">
        <v>0.36399999999999999</v>
      </c>
      <c r="F22" s="433">
        <v>0.37664367030965396</v>
      </c>
      <c r="G22" s="433">
        <v>0.37767557077625574</v>
      </c>
      <c r="H22" s="433">
        <v>0</v>
      </c>
      <c r="I22" s="433">
        <v>0</v>
      </c>
      <c r="J22" s="433">
        <v>0</v>
      </c>
      <c r="K22" s="433">
        <v>0</v>
      </c>
      <c r="L22" s="433">
        <v>0</v>
      </c>
      <c r="M22" s="433">
        <v>0</v>
      </c>
      <c r="N22" s="433">
        <v>0.374</v>
      </c>
      <c r="O22" s="433">
        <v>0.374</v>
      </c>
      <c r="P22" s="433">
        <v>3285.2159999999999</v>
      </c>
      <c r="Q22" s="433">
        <v>3276.24</v>
      </c>
      <c r="R22" s="433">
        <v>0.35499999999999998</v>
      </c>
      <c r="S22" s="433">
        <v>3118.3199999999997</v>
      </c>
      <c r="T22" s="433">
        <v>1.9E-2</v>
      </c>
      <c r="U22" s="433">
        <v>1.9E-2</v>
      </c>
      <c r="V22" s="433">
        <v>0</v>
      </c>
      <c r="W22" s="433">
        <v>0</v>
      </c>
      <c r="X22" s="433">
        <v>5.0800000000000002E-5</v>
      </c>
      <c r="Y22" s="433">
        <v>5.0800000000000002E-5</v>
      </c>
      <c r="Z22" s="433">
        <v>0</v>
      </c>
      <c r="AA22" s="433">
        <v>5.0800000000000002E-5</v>
      </c>
      <c r="AB22" s="433">
        <v>5.0800000000000002E-5</v>
      </c>
      <c r="AC22" s="433">
        <v>5.0800000000000002E-5</v>
      </c>
      <c r="AD22" s="433">
        <v>0.94887169758080614</v>
      </c>
      <c r="AE22" s="433">
        <v>0.94941307708735279</v>
      </c>
      <c r="AF22" s="433">
        <v>1.0535211267605635</v>
      </c>
      <c r="AG22" s="433">
        <v>1.0535211267605635</v>
      </c>
      <c r="AH22" s="433">
        <v>0</v>
      </c>
      <c r="AI22" s="433">
        <v>0</v>
      </c>
      <c r="AJ22" s="262"/>
      <c r="AK22" s="262"/>
      <c r="AL22" s="262"/>
      <c r="AM22" s="262"/>
      <c r="AN22" s="262"/>
      <c r="AO22" s="262"/>
      <c r="AP22" s="262"/>
      <c r="AQ22" s="271"/>
      <c r="AR22" s="271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271"/>
      <c r="BH22" s="271"/>
      <c r="BI22" s="271"/>
      <c r="BJ22" s="271"/>
      <c r="BK22" s="271"/>
      <c r="BL22" s="271"/>
      <c r="BM22" s="271"/>
      <c r="BN22" s="271"/>
    </row>
    <row r="23" spans="1:66">
      <c r="A23" s="271">
        <v>10071</v>
      </c>
      <c r="B23" s="271" t="s">
        <v>27</v>
      </c>
      <c r="C23" s="428">
        <v>1</v>
      </c>
      <c r="D23" s="428">
        <v>0</v>
      </c>
      <c r="E23" s="433">
        <v>1.9430000000000001</v>
      </c>
      <c r="F23" s="433">
        <v>1.8792414617486339</v>
      </c>
      <c r="G23" s="433">
        <v>1.8843900684931509</v>
      </c>
      <c r="H23" s="433">
        <v>0</v>
      </c>
      <c r="I23" s="433">
        <v>0</v>
      </c>
      <c r="J23" s="433">
        <v>0</v>
      </c>
      <c r="K23" s="433">
        <v>0</v>
      </c>
      <c r="L23" s="433">
        <v>0</v>
      </c>
      <c r="M23" s="433">
        <v>0</v>
      </c>
      <c r="N23" s="433">
        <v>1.9390000000000001</v>
      </c>
      <c r="O23" s="433">
        <v>1.9430000000000001</v>
      </c>
      <c r="P23" s="433">
        <v>17032.175999999999</v>
      </c>
      <c r="Q23" s="433">
        <v>17020.68</v>
      </c>
      <c r="R23" s="433">
        <v>1.8959999999999999</v>
      </c>
      <c r="S23" s="433">
        <v>16654.464</v>
      </c>
      <c r="T23" s="433">
        <v>4.2999999999999997E-2</v>
      </c>
      <c r="U23" s="433">
        <v>4.7E-2</v>
      </c>
      <c r="V23" s="433">
        <v>0</v>
      </c>
      <c r="W23" s="433">
        <v>0</v>
      </c>
      <c r="X23" s="433">
        <v>2.7149999999999999E-4</v>
      </c>
      <c r="Y23" s="433">
        <v>2.7149999999999999E-4</v>
      </c>
      <c r="Z23" s="433">
        <v>0</v>
      </c>
      <c r="AA23" s="433">
        <v>2.7149999999999999E-4</v>
      </c>
      <c r="AB23" s="433">
        <v>2.7149999999999999E-4</v>
      </c>
      <c r="AC23" s="433">
        <v>2.7149999999999999E-4</v>
      </c>
      <c r="AD23" s="433">
        <v>0.97785690677448067</v>
      </c>
      <c r="AE23" s="433">
        <v>0.97573162047415141</v>
      </c>
      <c r="AF23" s="433">
        <v>1.0226793248945147</v>
      </c>
      <c r="AG23" s="433">
        <v>1.024789029535865</v>
      </c>
      <c r="AH23" s="433">
        <v>0</v>
      </c>
      <c r="AI23" s="433">
        <v>0</v>
      </c>
      <c r="AJ23" s="262"/>
      <c r="AK23" s="262"/>
      <c r="AL23" s="262"/>
      <c r="AM23" s="262"/>
      <c r="AN23" s="262"/>
      <c r="AO23" s="262"/>
      <c r="AP23" s="262"/>
      <c r="AQ23" s="271"/>
      <c r="AR23" s="271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271"/>
      <c r="BH23" s="271"/>
      <c r="BI23" s="271"/>
      <c r="BJ23" s="271"/>
      <c r="BK23" s="271"/>
      <c r="BL23" s="271"/>
      <c r="BM23" s="271"/>
      <c r="BN23" s="271"/>
    </row>
    <row r="24" spans="1:66">
      <c r="A24" s="273">
        <v>10072</v>
      </c>
      <c r="B24" s="273" t="s">
        <v>28</v>
      </c>
      <c r="C24" s="429">
        <v>1</v>
      </c>
      <c r="D24" s="429">
        <v>0</v>
      </c>
      <c r="E24" s="433">
        <v>24.34</v>
      </c>
      <c r="F24" s="433">
        <v>23.86374339708561</v>
      </c>
      <c r="G24" s="433">
        <v>23.929123515981736</v>
      </c>
      <c r="H24" s="433">
        <v>0</v>
      </c>
      <c r="I24" s="433">
        <v>0</v>
      </c>
      <c r="J24" s="433">
        <v>0</v>
      </c>
      <c r="K24" s="433">
        <v>0</v>
      </c>
      <c r="L24" s="433">
        <v>0</v>
      </c>
      <c r="M24" s="433">
        <v>0</v>
      </c>
      <c r="N24" s="433">
        <v>24.148</v>
      </c>
      <c r="O24" s="433">
        <v>24.427</v>
      </c>
      <c r="P24" s="433">
        <v>212116.03200000001</v>
      </c>
      <c r="Q24" s="433">
        <v>213980.52</v>
      </c>
      <c r="R24" s="433">
        <v>23.748000000000001</v>
      </c>
      <c r="S24" s="433">
        <v>208602.432</v>
      </c>
      <c r="T24" s="433">
        <v>0.4</v>
      </c>
      <c r="U24" s="433">
        <v>0.67900000000000005</v>
      </c>
      <c r="V24" s="433">
        <v>0.4</v>
      </c>
      <c r="W24" s="433">
        <v>0.67900000000000005</v>
      </c>
      <c r="X24" s="433">
        <v>3.4007999999999998E-3</v>
      </c>
      <c r="Y24" s="433">
        <v>3.4007999999999998E-3</v>
      </c>
      <c r="Z24" s="433">
        <v>0</v>
      </c>
      <c r="AA24" s="433">
        <v>3.4007999999999998E-3</v>
      </c>
      <c r="AB24" s="433">
        <v>3.4007999999999998E-3</v>
      </c>
      <c r="AC24" s="433">
        <v>3.4007999999999998E-3</v>
      </c>
      <c r="AD24" s="433">
        <v>0.98345467618788784</v>
      </c>
      <c r="AE24" s="433">
        <v>0.97222248634582686</v>
      </c>
      <c r="AF24" s="433">
        <v>1.0168435236651507</v>
      </c>
      <c r="AG24" s="433">
        <v>1.0285918814215933</v>
      </c>
      <c r="AH24" s="433">
        <v>0</v>
      </c>
      <c r="AI24" s="433">
        <v>0</v>
      </c>
      <c r="AJ24" s="269"/>
      <c r="AK24" s="269"/>
      <c r="AL24" s="269"/>
      <c r="AM24" s="269"/>
      <c r="AN24" s="269"/>
      <c r="AO24" s="269"/>
      <c r="AP24" s="269"/>
      <c r="AS24" s="268"/>
      <c r="AT24" s="268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268"/>
      <c r="BF24" s="268"/>
      <c r="BG24" s="271"/>
      <c r="BM24" s="271"/>
      <c r="BN24" s="271"/>
    </row>
    <row r="25" spans="1:66">
      <c r="A25" s="271">
        <v>10074</v>
      </c>
      <c r="B25" s="271" t="s">
        <v>29</v>
      </c>
      <c r="C25" s="428">
        <v>1</v>
      </c>
      <c r="D25" s="428">
        <v>0</v>
      </c>
      <c r="E25" s="433">
        <v>27.08</v>
      </c>
      <c r="F25" s="433">
        <v>31.167114526411666</v>
      </c>
      <c r="G25" s="433">
        <v>31.252503881278546</v>
      </c>
      <c r="H25" s="433">
        <v>0</v>
      </c>
      <c r="I25" s="433">
        <v>0</v>
      </c>
      <c r="J25" s="433">
        <v>2.9345400728597451</v>
      </c>
      <c r="K25" s="433">
        <v>2.9365296803652967</v>
      </c>
      <c r="L25" s="433">
        <v>25777</v>
      </c>
      <c r="M25" s="433">
        <v>25724</v>
      </c>
      <c r="N25" s="433">
        <v>26.63</v>
      </c>
      <c r="O25" s="433">
        <v>26.966000000000001</v>
      </c>
      <c r="P25" s="433">
        <v>233917.91999999998</v>
      </c>
      <c r="Q25" s="433">
        <v>236222.16</v>
      </c>
      <c r="R25" s="433">
        <v>26.422000000000001</v>
      </c>
      <c r="S25" s="433">
        <v>232090.848</v>
      </c>
      <c r="T25" s="433">
        <v>0.20799999999999999</v>
      </c>
      <c r="U25" s="433">
        <v>0.54400000000000004</v>
      </c>
      <c r="V25" s="433">
        <v>0</v>
      </c>
      <c r="W25" s="433">
        <v>0</v>
      </c>
      <c r="X25" s="433">
        <v>3.7837000000000001E-3</v>
      </c>
      <c r="Y25" s="433">
        <v>3.7837000000000001E-3</v>
      </c>
      <c r="Z25" s="433">
        <v>0</v>
      </c>
      <c r="AA25" s="433">
        <v>3.7837000000000001E-3</v>
      </c>
      <c r="AB25" s="433">
        <v>3.7837000000000001E-3</v>
      </c>
      <c r="AC25" s="433">
        <v>3.7837000000000001E-3</v>
      </c>
      <c r="AD25" s="433">
        <v>0.99296753478154809</v>
      </c>
      <c r="AE25" s="433">
        <v>0.9818183063872874</v>
      </c>
      <c r="AF25" s="433">
        <v>1.0078722276890471</v>
      </c>
      <c r="AG25" s="433">
        <v>1.0205889031867383</v>
      </c>
      <c r="AH25" s="433">
        <v>0</v>
      </c>
      <c r="AI25" s="433">
        <v>0</v>
      </c>
      <c r="AJ25" s="262"/>
      <c r="AK25" s="262"/>
      <c r="AL25" s="262"/>
      <c r="AM25" s="262"/>
      <c r="AN25" s="262"/>
      <c r="AO25" s="262"/>
      <c r="AP25" s="262"/>
      <c r="AQ25" s="271"/>
      <c r="AR25" s="271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271"/>
      <c r="BH25" s="271"/>
      <c r="BI25" s="271"/>
      <c r="BJ25" s="271"/>
      <c r="BK25" s="271"/>
      <c r="BL25" s="271"/>
      <c r="BM25" s="271"/>
      <c r="BN25" s="271"/>
    </row>
    <row r="26" spans="1:66">
      <c r="A26" s="271">
        <v>10076</v>
      </c>
      <c r="B26" s="271" t="s">
        <v>30</v>
      </c>
      <c r="C26" s="428">
        <v>1</v>
      </c>
      <c r="D26" s="428">
        <v>0</v>
      </c>
      <c r="E26" s="433">
        <v>4.8890000000000002</v>
      </c>
      <c r="F26" s="433">
        <v>6.9649741575591992</v>
      </c>
      <c r="G26" s="433">
        <v>6.9840562785388132</v>
      </c>
      <c r="H26" s="433">
        <v>0</v>
      </c>
      <c r="I26" s="433">
        <v>0</v>
      </c>
      <c r="J26" s="433">
        <v>0</v>
      </c>
      <c r="K26" s="433">
        <v>0</v>
      </c>
      <c r="L26" s="433">
        <v>0</v>
      </c>
      <c r="M26" s="433">
        <v>0</v>
      </c>
      <c r="N26" s="433">
        <v>7.4329999999999998</v>
      </c>
      <c r="O26" s="433">
        <v>7.77</v>
      </c>
      <c r="P26" s="433">
        <v>65291.472000000002</v>
      </c>
      <c r="Q26" s="433">
        <v>68065.2</v>
      </c>
      <c r="R26" s="433">
        <v>4.7699999999999996</v>
      </c>
      <c r="S26" s="433">
        <v>41899.679999999993</v>
      </c>
      <c r="T26" s="433">
        <v>2.6629999999999998</v>
      </c>
      <c r="U26" s="433">
        <v>3</v>
      </c>
      <c r="V26" s="433">
        <v>2.6629999999999998</v>
      </c>
      <c r="W26" s="433">
        <v>3</v>
      </c>
      <c r="X26" s="433">
        <v>6.8309999999999996E-4</v>
      </c>
      <c r="Y26" s="433">
        <v>6.8309999999999996E-4</v>
      </c>
      <c r="Z26" s="433">
        <v>0</v>
      </c>
      <c r="AA26" s="433">
        <v>6.8309999999999996E-4</v>
      </c>
      <c r="AB26" s="433">
        <v>6.8309999999999996E-4</v>
      </c>
      <c r="AC26" s="433">
        <v>6.8309999999999996E-4</v>
      </c>
      <c r="AD26" s="433">
        <v>0.64174110575538579</v>
      </c>
      <c r="AE26" s="433">
        <v>0.61390706599321887</v>
      </c>
      <c r="AF26" s="433">
        <v>1.5582809224318659</v>
      </c>
      <c r="AG26" s="433">
        <v>1.628930817610063</v>
      </c>
      <c r="AH26" s="433">
        <v>0</v>
      </c>
      <c r="AI26" s="433">
        <v>0</v>
      </c>
      <c r="AJ26" s="262"/>
      <c r="AK26" s="262"/>
      <c r="AL26" s="262"/>
      <c r="AM26" s="262"/>
      <c r="AN26" s="262"/>
      <c r="AO26" s="262"/>
      <c r="AP26" s="262"/>
      <c r="AQ26" s="271"/>
      <c r="AR26" s="271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271"/>
      <c r="BH26" s="271"/>
      <c r="BI26" s="271"/>
      <c r="BJ26" s="271"/>
      <c r="BK26" s="271"/>
      <c r="BL26" s="271"/>
      <c r="BM26" s="271"/>
      <c r="BN26" s="271"/>
    </row>
    <row r="27" spans="1:66">
      <c r="A27" s="271">
        <v>10078</v>
      </c>
      <c r="B27" s="271" t="s">
        <v>31</v>
      </c>
      <c r="C27" s="428">
        <v>1</v>
      </c>
      <c r="D27" s="428">
        <v>0</v>
      </c>
      <c r="E27" s="433">
        <v>3.7729999999999997</v>
      </c>
      <c r="F27" s="433">
        <v>3.5369815573770498</v>
      </c>
      <c r="G27" s="433">
        <v>3.5466719178082196</v>
      </c>
      <c r="H27" s="433">
        <v>0</v>
      </c>
      <c r="I27" s="433">
        <v>0</v>
      </c>
      <c r="J27" s="433">
        <v>0</v>
      </c>
      <c r="K27" s="433">
        <v>0</v>
      </c>
      <c r="L27" s="433">
        <v>0</v>
      </c>
      <c r="M27" s="433">
        <v>0</v>
      </c>
      <c r="N27" s="433">
        <v>3.5249999999999999</v>
      </c>
      <c r="O27" s="433">
        <v>3.5339999999999998</v>
      </c>
      <c r="P27" s="433">
        <v>30963.599999999999</v>
      </c>
      <c r="Q27" s="433">
        <v>30957.839999999997</v>
      </c>
      <c r="R27" s="433">
        <v>3.681</v>
      </c>
      <c r="S27" s="433">
        <v>32333.903999999999</v>
      </c>
      <c r="T27" s="433">
        <v>0</v>
      </c>
      <c r="U27" s="433">
        <v>0</v>
      </c>
      <c r="V27" s="433">
        <v>0</v>
      </c>
      <c r="W27" s="433">
        <v>0</v>
      </c>
      <c r="X27" s="433">
        <v>5.0480000000000002E-4</v>
      </c>
      <c r="Y27" s="433">
        <v>5.061E-4</v>
      </c>
      <c r="Z27" s="433">
        <v>0</v>
      </c>
      <c r="AA27" s="433">
        <v>5.0480000000000002E-4</v>
      </c>
      <c r="AB27" s="433">
        <v>5.061E-4</v>
      </c>
      <c r="AC27" s="433">
        <v>5.0544999999999995E-4</v>
      </c>
      <c r="AD27" s="433">
        <v>0.99994088767162403</v>
      </c>
      <c r="AE27" s="433">
        <v>1</v>
      </c>
      <c r="AF27" s="433">
        <v>1</v>
      </c>
      <c r="AG27" s="433">
        <v>1</v>
      </c>
      <c r="AH27" s="433">
        <v>0</v>
      </c>
      <c r="AI27" s="433">
        <v>0</v>
      </c>
      <c r="AJ27" s="262"/>
      <c r="AK27" s="262"/>
      <c r="AL27" s="262"/>
      <c r="AM27" s="262"/>
      <c r="AN27" s="262"/>
      <c r="AO27" s="262"/>
      <c r="AP27" s="262"/>
      <c r="AQ27" s="271"/>
      <c r="AR27" s="271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271"/>
      <c r="BH27" s="271"/>
      <c r="BI27" s="271"/>
      <c r="BJ27" s="271"/>
      <c r="BK27" s="271"/>
      <c r="BL27" s="271"/>
      <c r="BM27" s="271"/>
      <c r="BN27" s="271"/>
    </row>
    <row r="28" spans="1:66">
      <c r="A28" s="271">
        <v>10079</v>
      </c>
      <c r="B28" s="271" t="s">
        <v>32</v>
      </c>
      <c r="C28" s="428">
        <v>1</v>
      </c>
      <c r="D28" s="428">
        <v>0</v>
      </c>
      <c r="E28" s="433">
        <v>89.494</v>
      </c>
      <c r="F28" s="433">
        <v>89.886762408925307</v>
      </c>
      <c r="G28" s="433">
        <v>90.133027511415506</v>
      </c>
      <c r="H28" s="433">
        <v>0</v>
      </c>
      <c r="I28" s="433">
        <v>0</v>
      </c>
      <c r="J28" s="433">
        <v>2.9345400728597451</v>
      </c>
      <c r="K28" s="433">
        <v>2.9365296803652967</v>
      </c>
      <c r="L28" s="433">
        <v>25777</v>
      </c>
      <c r="M28" s="433">
        <v>25724</v>
      </c>
      <c r="N28" s="433">
        <v>92.899000000000001</v>
      </c>
      <c r="O28" s="433">
        <v>94.525000000000006</v>
      </c>
      <c r="P28" s="433">
        <v>816024.81599999999</v>
      </c>
      <c r="Q28" s="433">
        <v>828039</v>
      </c>
      <c r="R28" s="433">
        <v>87.317999999999998</v>
      </c>
      <c r="S28" s="433">
        <v>767001.31200000003</v>
      </c>
      <c r="T28" s="433">
        <v>5.5810000000000004</v>
      </c>
      <c r="U28" s="433">
        <v>7.2069999999999999</v>
      </c>
      <c r="V28" s="433">
        <v>5.5810000000000004</v>
      </c>
      <c r="W28" s="433">
        <v>7.2069999999999999</v>
      </c>
      <c r="X28" s="433">
        <v>1.25042E-2</v>
      </c>
      <c r="Y28" s="433">
        <v>1.25042E-2</v>
      </c>
      <c r="Z28" s="433">
        <v>0</v>
      </c>
      <c r="AA28" s="433">
        <v>1.25042E-2</v>
      </c>
      <c r="AB28" s="433">
        <v>1.25042E-2</v>
      </c>
      <c r="AC28" s="433">
        <v>1.25042E-2</v>
      </c>
      <c r="AD28" s="433">
        <v>0.94175812720209195</v>
      </c>
      <c r="AE28" s="433">
        <v>0.9260534666475625</v>
      </c>
      <c r="AF28" s="433">
        <v>1.0639158020110402</v>
      </c>
      <c r="AG28" s="433">
        <v>1.0825373920612016</v>
      </c>
      <c r="AH28" s="433">
        <v>0</v>
      </c>
      <c r="AI28" s="433">
        <v>0</v>
      </c>
      <c r="AJ28" s="262"/>
      <c r="AK28" s="262"/>
      <c r="AL28" s="262"/>
      <c r="AM28" s="262"/>
      <c r="AN28" s="262"/>
      <c r="AO28" s="262"/>
      <c r="AP28" s="262"/>
      <c r="AQ28" s="271"/>
      <c r="AR28" s="271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271"/>
      <c r="BH28" s="271"/>
      <c r="BI28" s="271"/>
      <c r="BJ28" s="271"/>
      <c r="BK28" s="271"/>
      <c r="BL28" s="271"/>
      <c r="BM28" s="271"/>
      <c r="BN28" s="271"/>
    </row>
    <row r="29" spans="1:66">
      <c r="A29" s="271">
        <v>10080</v>
      </c>
      <c r="B29" s="271" t="s">
        <v>33</v>
      </c>
      <c r="C29" s="428">
        <v>1</v>
      </c>
      <c r="D29" s="428">
        <v>0</v>
      </c>
      <c r="E29" s="433">
        <v>7.548</v>
      </c>
      <c r="F29" s="433">
        <v>6.7064459244080128</v>
      </c>
      <c r="G29" s="433">
        <v>6.7248197488584465</v>
      </c>
      <c r="H29" s="433">
        <v>0</v>
      </c>
      <c r="I29" s="433">
        <v>0</v>
      </c>
      <c r="J29" s="433">
        <v>0</v>
      </c>
      <c r="K29" s="433">
        <v>0</v>
      </c>
      <c r="L29" s="433">
        <v>0</v>
      </c>
      <c r="M29" s="433">
        <v>0</v>
      </c>
      <c r="N29" s="433">
        <v>7.8789999999999996</v>
      </c>
      <c r="O29" s="433">
        <v>7.9429999999999996</v>
      </c>
      <c r="P29" s="433">
        <v>69209.135999999999</v>
      </c>
      <c r="Q29" s="433">
        <v>69580.679999999993</v>
      </c>
      <c r="R29" s="433">
        <v>7.3639999999999999</v>
      </c>
      <c r="S29" s="433">
        <v>64685.375999999997</v>
      </c>
      <c r="T29" s="433">
        <v>0.51500000000000001</v>
      </c>
      <c r="U29" s="433">
        <v>0.57899999999999996</v>
      </c>
      <c r="V29" s="433">
        <v>0</v>
      </c>
      <c r="W29" s="433">
        <v>0</v>
      </c>
      <c r="X29" s="433">
        <v>1.0545000000000001E-3</v>
      </c>
      <c r="Y29" s="433">
        <v>1.0545000000000001E-3</v>
      </c>
      <c r="Z29" s="433">
        <v>0</v>
      </c>
      <c r="AA29" s="433">
        <v>1.0545000000000001E-3</v>
      </c>
      <c r="AB29" s="433">
        <v>1.0545000000000001E-3</v>
      </c>
      <c r="AC29" s="433">
        <v>1.0545000000000001E-3</v>
      </c>
      <c r="AD29" s="433">
        <v>0.93459001453718682</v>
      </c>
      <c r="AE29" s="433">
        <v>0.92701444195181792</v>
      </c>
      <c r="AF29" s="433">
        <v>1.0699348180336774</v>
      </c>
      <c r="AG29" s="433">
        <v>1.0786257468766973</v>
      </c>
      <c r="AH29" s="433">
        <v>0</v>
      </c>
      <c r="AI29" s="433">
        <v>0</v>
      </c>
      <c r="AJ29" s="262"/>
      <c r="AK29" s="262"/>
      <c r="AL29" s="262"/>
      <c r="AM29" s="262"/>
      <c r="AN29" s="262"/>
      <c r="AO29" s="262"/>
      <c r="AP29" s="262"/>
      <c r="AQ29" s="271"/>
      <c r="AR29" s="271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271"/>
      <c r="BH29" s="271"/>
      <c r="BI29" s="271"/>
      <c r="BJ29" s="271"/>
      <c r="BK29" s="271"/>
      <c r="BL29" s="271"/>
      <c r="BM29" s="271"/>
      <c r="BN29" s="271"/>
    </row>
    <row r="30" spans="1:66">
      <c r="A30" s="271">
        <v>10081</v>
      </c>
      <c r="B30" s="271" t="s">
        <v>34</v>
      </c>
      <c r="C30" s="428">
        <v>1</v>
      </c>
      <c r="D30" s="428">
        <v>0</v>
      </c>
      <c r="E30" s="433">
        <v>10.611000000000001</v>
      </c>
      <c r="F30" s="433">
        <v>12.17992873406193</v>
      </c>
      <c r="G30" s="433">
        <v>12.213298401826483</v>
      </c>
      <c r="H30" s="433">
        <v>0</v>
      </c>
      <c r="I30" s="433">
        <v>0</v>
      </c>
      <c r="J30" s="433">
        <v>2.9345400728597451</v>
      </c>
      <c r="K30" s="433">
        <v>2.9365296803652967</v>
      </c>
      <c r="L30" s="433">
        <v>25777</v>
      </c>
      <c r="M30" s="433">
        <v>25724</v>
      </c>
      <c r="N30" s="433">
        <v>9.94</v>
      </c>
      <c r="O30" s="433">
        <v>9.984</v>
      </c>
      <c r="P30" s="433">
        <v>87312.959999999992</v>
      </c>
      <c r="Q30" s="433">
        <v>87459.839999999997</v>
      </c>
      <c r="R30" s="433">
        <v>10.353</v>
      </c>
      <c r="S30" s="433">
        <v>90940.751999999993</v>
      </c>
      <c r="T30" s="433">
        <v>0</v>
      </c>
      <c r="U30" s="433">
        <v>0</v>
      </c>
      <c r="V30" s="433">
        <v>0</v>
      </c>
      <c r="W30" s="433">
        <v>0</v>
      </c>
      <c r="X30" s="433">
        <v>1.4234E-3</v>
      </c>
      <c r="Y30" s="433">
        <v>1.4296999999999999E-3</v>
      </c>
      <c r="Z30" s="433">
        <v>0</v>
      </c>
      <c r="AA30" s="433">
        <v>1.4234E-3</v>
      </c>
      <c r="AB30" s="433">
        <v>1.4296999999999999E-3</v>
      </c>
      <c r="AC30" s="433">
        <v>1.42655E-3</v>
      </c>
      <c r="AD30" s="433">
        <v>1</v>
      </c>
      <c r="AE30" s="433">
        <v>0.9999666551966705</v>
      </c>
      <c r="AF30" s="433">
        <v>1</v>
      </c>
      <c r="AG30" s="433">
        <v>1</v>
      </c>
      <c r="AH30" s="433">
        <v>0</v>
      </c>
      <c r="AI30" s="433">
        <v>0</v>
      </c>
      <c r="AJ30" s="262"/>
      <c r="AK30" s="262"/>
      <c r="AL30" s="262"/>
      <c r="AM30" s="262"/>
      <c r="AN30" s="262"/>
      <c r="AO30" s="262"/>
      <c r="AP30" s="262"/>
      <c r="AQ30" s="271"/>
      <c r="AR30" s="271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271"/>
      <c r="BH30" s="271"/>
      <c r="BI30" s="271"/>
      <c r="BJ30" s="271"/>
      <c r="BK30" s="271"/>
      <c r="BL30" s="271"/>
      <c r="BM30" s="271"/>
      <c r="BN30" s="271"/>
    </row>
    <row r="31" spans="1:66">
      <c r="A31" s="271">
        <v>10082</v>
      </c>
      <c r="B31" s="271" t="s">
        <v>35</v>
      </c>
      <c r="C31" s="428">
        <v>1</v>
      </c>
      <c r="D31" s="428">
        <v>0</v>
      </c>
      <c r="E31" s="433">
        <v>0.12</v>
      </c>
      <c r="F31" s="433">
        <v>9.2392759562841528E-2</v>
      </c>
      <c r="G31" s="433">
        <v>9.26458904109589E-2</v>
      </c>
      <c r="H31" s="433">
        <v>0</v>
      </c>
      <c r="I31" s="433">
        <v>0</v>
      </c>
      <c r="J31" s="433">
        <v>0</v>
      </c>
      <c r="K31" s="433">
        <v>0</v>
      </c>
      <c r="L31" s="433">
        <v>0</v>
      </c>
      <c r="M31" s="433">
        <v>0</v>
      </c>
      <c r="N31" s="433">
        <v>0.114</v>
      </c>
      <c r="O31" s="433">
        <v>0.11600000000000001</v>
      </c>
      <c r="P31" s="433">
        <v>1001.3760000000001</v>
      </c>
      <c r="Q31" s="433">
        <v>1016.1600000000001</v>
      </c>
      <c r="R31" s="433">
        <v>0.11700000000000001</v>
      </c>
      <c r="S31" s="433">
        <v>1027.7280000000001</v>
      </c>
      <c r="T31" s="433">
        <v>0</v>
      </c>
      <c r="U31" s="433">
        <v>0</v>
      </c>
      <c r="V31" s="433">
        <v>0</v>
      </c>
      <c r="W31" s="433">
        <v>0</v>
      </c>
      <c r="X31" s="433">
        <v>1.63E-5</v>
      </c>
      <c r="Y31" s="433">
        <v>1.66E-5</v>
      </c>
      <c r="Z31" s="433">
        <v>0</v>
      </c>
      <c r="AA31" s="433">
        <v>1.63E-5</v>
      </c>
      <c r="AB31" s="433">
        <v>1.66E-5</v>
      </c>
      <c r="AC31" s="433">
        <v>1.645E-5</v>
      </c>
      <c r="AD31" s="433">
        <v>1</v>
      </c>
      <c r="AE31" s="433">
        <v>0.99919734593630827</v>
      </c>
      <c r="AF31" s="433">
        <v>1</v>
      </c>
      <c r="AG31" s="433">
        <v>1</v>
      </c>
      <c r="AH31" s="433">
        <v>0</v>
      </c>
      <c r="AI31" s="433">
        <v>0</v>
      </c>
      <c r="AJ31" s="262"/>
      <c r="AK31" s="262"/>
      <c r="AL31" s="262"/>
      <c r="AM31" s="262"/>
      <c r="AN31" s="262"/>
      <c r="AO31" s="262"/>
      <c r="AP31" s="262"/>
      <c r="AQ31" s="271"/>
      <c r="AR31" s="271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271"/>
      <c r="BH31" s="271"/>
      <c r="BI31" s="271"/>
      <c r="BJ31" s="271"/>
      <c r="BK31" s="271"/>
      <c r="BL31" s="271"/>
      <c r="BM31" s="271"/>
      <c r="BN31" s="271"/>
    </row>
    <row r="32" spans="1:66">
      <c r="A32" s="271">
        <v>10083</v>
      </c>
      <c r="B32" s="271" t="s">
        <v>36</v>
      </c>
      <c r="C32" s="428">
        <v>1</v>
      </c>
      <c r="D32" s="428">
        <v>0</v>
      </c>
      <c r="E32" s="433">
        <v>8.4879999999999995</v>
      </c>
      <c r="F32" s="433">
        <v>8.4170056921675798</v>
      </c>
      <c r="G32" s="433">
        <v>8.4400659817351613</v>
      </c>
      <c r="H32" s="433">
        <v>0</v>
      </c>
      <c r="I32" s="433">
        <v>0</v>
      </c>
      <c r="J32" s="433">
        <v>0</v>
      </c>
      <c r="K32" s="433">
        <v>0</v>
      </c>
      <c r="L32" s="433">
        <v>0</v>
      </c>
      <c r="M32" s="433">
        <v>0</v>
      </c>
      <c r="N32" s="433">
        <v>8.3000000000000007</v>
      </c>
      <c r="O32" s="433">
        <v>8.3450000000000006</v>
      </c>
      <c r="P32" s="433">
        <v>72907.200000000012</v>
      </c>
      <c r="Q32" s="433">
        <v>73102.200000000012</v>
      </c>
      <c r="R32" s="433">
        <v>8.282</v>
      </c>
      <c r="S32" s="433">
        <v>72749.088000000003</v>
      </c>
      <c r="T32" s="433">
        <v>1.7999999999999999E-2</v>
      </c>
      <c r="U32" s="433">
        <v>6.3E-2</v>
      </c>
      <c r="V32" s="433">
        <v>0</v>
      </c>
      <c r="W32" s="433">
        <v>0</v>
      </c>
      <c r="X32" s="433">
        <v>1.186E-3</v>
      </c>
      <c r="Y32" s="433">
        <v>1.186E-3</v>
      </c>
      <c r="Z32" s="433">
        <v>0</v>
      </c>
      <c r="AA32" s="433">
        <v>1.186E-3</v>
      </c>
      <c r="AB32" s="433">
        <v>1.186E-3</v>
      </c>
      <c r="AC32" s="433">
        <v>1.186E-3</v>
      </c>
      <c r="AD32" s="433">
        <v>0.99780449158729134</v>
      </c>
      <c r="AE32" s="433">
        <v>0.99246406285272448</v>
      </c>
      <c r="AF32" s="433">
        <v>1.0021733880705144</v>
      </c>
      <c r="AG32" s="433">
        <v>1.0076068582468003</v>
      </c>
      <c r="AH32" s="433">
        <v>0</v>
      </c>
      <c r="AI32" s="433">
        <v>0</v>
      </c>
      <c r="AJ32" s="262"/>
      <c r="AK32" s="262"/>
      <c r="AL32" s="262"/>
      <c r="AM32" s="262"/>
      <c r="AN32" s="262"/>
      <c r="AO32" s="262"/>
      <c r="AP32" s="262"/>
      <c r="AQ32" s="271"/>
      <c r="AR32" s="271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271"/>
      <c r="BH32" s="271"/>
      <c r="BI32" s="271"/>
      <c r="BJ32" s="271"/>
      <c r="BK32" s="271"/>
      <c r="BL32" s="271"/>
      <c r="BM32" s="271"/>
      <c r="BN32" s="271"/>
    </row>
    <row r="33" spans="1:66">
      <c r="A33" s="271">
        <v>10086</v>
      </c>
      <c r="B33" s="271" t="s">
        <v>37</v>
      </c>
      <c r="C33" s="428">
        <v>1</v>
      </c>
      <c r="D33" s="428">
        <v>0</v>
      </c>
      <c r="E33" s="433">
        <v>4.0039999999999996</v>
      </c>
      <c r="F33" s="433">
        <v>3.8182278005464485</v>
      </c>
      <c r="G33" s="433">
        <v>3.8286886986301374</v>
      </c>
      <c r="H33" s="433">
        <v>0</v>
      </c>
      <c r="I33" s="433">
        <v>0</v>
      </c>
      <c r="J33" s="433">
        <v>0</v>
      </c>
      <c r="K33" s="433">
        <v>0</v>
      </c>
      <c r="L33" s="433">
        <v>0</v>
      </c>
      <c r="M33" s="433">
        <v>0</v>
      </c>
      <c r="N33" s="433">
        <v>3.9609999999999999</v>
      </c>
      <c r="O33" s="433">
        <v>4.0039999999999996</v>
      </c>
      <c r="P33" s="433">
        <v>34793.423999999999</v>
      </c>
      <c r="Q33" s="433">
        <v>35075.039999999994</v>
      </c>
      <c r="R33" s="433">
        <v>3.907</v>
      </c>
      <c r="S33" s="433">
        <v>34319.088000000003</v>
      </c>
      <c r="T33" s="433">
        <v>5.3999999999999999E-2</v>
      </c>
      <c r="U33" s="433">
        <v>9.7000000000000003E-2</v>
      </c>
      <c r="V33" s="433">
        <v>0</v>
      </c>
      <c r="W33" s="433">
        <v>0</v>
      </c>
      <c r="X33" s="433">
        <v>5.5949999999999999E-4</v>
      </c>
      <c r="Y33" s="433">
        <v>5.5949999999999999E-4</v>
      </c>
      <c r="Z33" s="433">
        <v>0</v>
      </c>
      <c r="AA33" s="433">
        <v>5.5949999999999999E-4</v>
      </c>
      <c r="AB33" s="433">
        <v>5.5949999999999999E-4</v>
      </c>
      <c r="AC33" s="433">
        <v>5.5949999999999999E-4</v>
      </c>
      <c r="AD33" s="433">
        <v>0.98629136773971215</v>
      </c>
      <c r="AE33" s="433">
        <v>0.97577282662151887</v>
      </c>
      <c r="AF33" s="433">
        <v>1.01382134630151</v>
      </c>
      <c r="AG33" s="433">
        <v>1.0248272331712309</v>
      </c>
      <c r="AH33" s="433">
        <v>0</v>
      </c>
      <c r="AI33" s="433">
        <v>0</v>
      </c>
      <c r="AJ33" s="262"/>
      <c r="AK33" s="262"/>
      <c r="AL33" s="262"/>
      <c r="AM33" s="262"/>
      <c r="AN33" s="262"/>
      <c r="AO33" s="262"/>
      <c r="AP33" s="262"/>
      <c r="AQ33" s="271"/>
      <c r="AR33" s="271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271"/>
      <c r="BH33" s="271"/>
      <c r="BI33" s="271"/>
      <c r="BJ33" s="271"/>
      <c r="BK33" s="271"/>
      <c r="BL33" s="271"/>
      <c r="BM33" s="271"/>
      <c r="BN33" s="271"/>
    </row>
    <row r="34" spans="1:66">
      <c r="A34" s="271">
        <v>10087</v>
      </c>
      <c r="B34" s="271" t="s">
        <v>38</v>
      </c>
      <c r="C34" s="428">
        <v>1</v>
      </c>
      <c r="D34" s="428">
        <v>0</v>
      </c>
      <c r="E34" s="433">
        <v>86.754999999999995</v>
      </c>
      <c r="F34" s="433">
        <v>30.735211634790527</v>
      </c>
      <c r="G34" s="433">
        <v>30.819417694063926</v>
      </c>
      <c r="H34" s="433">
        <v>0</v>
      </c>
      <c r="I34" s="433">
        <v>0</v>
      </c>
      <c r="J34" s="433">
        <v>8.7204007285974494E-2</v>
      </c>
      <c r="K34" s="433">
        <v>0</v>
      </c>
      <c r="L34" s="433">
        <v>766</v>
      </c>
      <c r="M34" s="433">
        <v>0</v>
      </c>
      <c r="N34" s="433">
        <v>83.43</v>
      </c>
      <c r="O34" s="433">
        <v>83.554000000000002</v>
      </c>
      <c r="P34" s="433">
        <v>732849.12000000011</v>
      </c>
      <c r="Q34" s="433">
        <v>731933.04</v>
      </c>
      <c r="R34" s="433">
        <v>84.646000000000001</v>
      </c>
      <c r="S34" s="433">
        <v>743530.46400000004</v>
      </c>
      <c r="T34" s="433">
        <v>0</v>
      </c>
      <c r="U34" s="433">
        <v>0</v>
      </c>
      <c r="V34" s="433">
        <v>0</v>
      </c>
      <c r="W34" s="433">
        <v>0</v>
      </c>
      <c r="X34" s="433">
        <v>1.19474E-2</v>
      </c>
      <c r="Y34" s="433">
        <v>1.19652E-2</v>
      </c>
      <c r="Z34" s="433">
        <v>0</v>
      </c>
      <c r="AA34" s="433">
        <v>1.19474E-2</v>
      </c>
      <c r="AB34" s="433">
        <v>1.19652E-2</v>
      </c>
      <c r="AC34" s="433">
        <v>1.19563E-2</v>
      </c>
      <c r="AD34" s="433">
        <v>0.9999981955897036</v>
      </c>
      <c r="AE34" s="433">
        <v>0.99999792505898066</v>
      </c>
      <c r="AF34" s="433">
        <v>1</v>
      </c>
      <c r="AG34" s="433">
        <v>1</v>
      </c>
      <c r="AH34" s="433">
        <v>0</v>
      </c>
      <c r="AI34" s="433">
        <v>0</v>
      </c>
      <c r="AJ34" s="262"/>
      <c r="AK34" s="262"/>
      <c r="AL34" s="262"/>
      <c r="AM34" s="262"/>
      <c r="AN34" s="262"/>
      <c r="AO34" s="262"/>
      <c r="AP34" s="262"/>
      <c r="AQ34" s="271"/>
      <c r="AR34" s="271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271"/>
      <c r="BH34" s="271"/>
      <c r="BI34" s="271"/>
      <c r="BJ34" s="271"/>
      <c r="BK34" s="271"/>
      <c r="BL34" s="271"/>
      <c r="BM34" s="271"/>
      <c r="BN34" s="271"/>
    </row>
    <row r="35" spans="1:66">
      <c r="A35" s="271">
        <v>10089</v>
      </c>
      <c r="B35" s="271" t="s">
        <v>39</v>
      </c>
      <c r="C35" s="428">
        <v>1</v>
      </c>
      <c r="D35" s="428">
        <v>0</v>
      </c>
      <c r="E35" s="433">
        <v>105.09699999999999</v>
      </c>
      <c r="F35" s="433">
        <v>115.48123121584699</v>
      </c>
      <c r="G35" s="433">
        <v>115.79761815068493</v>
      </c>
      <c r="H35" s="433">
        <v>0</v>
      </c>
      <c r="I35" s="433">
        <v>0</v>
      </c>
      <c r="J35" s="433">
        <v>0</v>
      </c>
      <c r="K35" s="433">
        <v>0</v>
      </c>
      <c r="L35" s="433">
        <v>0</v>
      </c>
      <c r="M35" s="433">
        <v>0</v>
      </c>
      <c r="N35" s="433">
        <v>106.24299999999999</v>
      </c>
      <c r="O35" s="433">
        <v>107.855</v>
      </c>
      <c r="P35" s="433">
        <v>933238.51199999999</v>
      </c>
      <c r="Q35" s="433">
        <v>944809.8</v>
      </c>
      <c r="R35" s="433">
        <v>102.542</v>
      </c>
      <c r="S35" s="433">
        <v>900728.92799999996</v>
      </c>
      <c r="T35" s="433">
        <v>3.7010000000000001</v>
      </c>
      <c r="U35" s="433">
        <v>5.3129999999999997</v>
      </c>
      <c r="V35" s="433">
        <v>3.7010000000000001</v>
      </c>
      <c r="W35" s="433">
        <v>5.3129999999999997</v>
      </c>
      <c r="X35" s="433">
        <v>1.4684300000000001E-2</v>
      </c>
      <c r="Y35" s="433">
        <v>1.4684300000000001E-2</v>
      </c>
      <c r="Z35" s="433">
        <v>0</v>
      </c>
      <c r="AA35" s="433">
        <v>1.4684300000000001E-2</v>
      </c>
      <c r="AB35" s="433">
        <v>1.4684300000000001E-2</v>
      </c>
      <c r="AC35" s="433">
        <v>1.4684300000000001E-2</v>
      </c>
      <c r="AD35" s="433">
        <v>0.96516653416600717</v>
      </c>
      <c r="AE35" s="433">
        <v>0.95073959239537909</v>
      </c>
      <c r="AF35" s="433">
        <v>1.036092527939771</v>
      </c>
      <c r="AG35" s="433">
        <v>1.0518129156833298</v>
      </c>
      <c r="AH35" s="433">
        <v>0</v>
      </c>
      <c r="AI35" s="433">
        <v>0</v>
      </c>
      <c r="AJ35" s="262"/>
      <c r="AK35" s="262"/>
      <c r="AL35" s="262"/>
      <c r="AM35" s="262"/>
      <c r="AN35" s="262"/>
      <c r="AO35" s="262"/>
      <c r="AP35" s="262"/>
      <c r="AQ35" s="271"/>
      <c r="AR35" s="271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271"/>
      <c r="BH35" s="271"/>
      <c r="BI35" s="271"/>
      <c r="BJ35" s="271"/>
      <c r="BK35" s="271"/>
      <c r="BL35" s="271"/>
      <c r="BM35" s="271"/>
      <c r="BN35" s="271"/>
    </row>
    <row r="36" spans="1:66">
      <c r="A36" s="271">
        <v>10091</v>
      </c>
      <c r="B36" s="271" t="s">
        <v>40</v>
      </c>
      <c r="C36" s="428">
        <v>1</v>
      </c>
      <c r="D36" s="428">
        <v>0</v>
      </c>
      <c r="E36" s="433">
        <v>9.5630000000000006</v>
      </c>
      <c r="F36" s="433">
        <v>9.3653308287795998</v>
      </c>
      <c r="G36" s="433">
        <v>9.3909892694063934</v>
      </c>
      <c r="H36" s="433">
        <v>0</v>
      </c>
      <c r="I36" s="433">
        <v>0</v>
      </c>
      <c r="J36" s="433">
        <v>0</v>
      </c>
      <c r="K36" s="433">
        <v>0</v>
      </c>
      <c r="L36" s="433">
        <v>0</v>
      </c>
      <c r="M36" s="433">
        <v>0</v>
      </c>
      <c r="N36" s="433">
        <v>9.6590000000000007</v>
      </c>
      <c r="O36" s="433">
        <v>9.6620000000000008</v>
      </c>
      <c r="P36" s="433">
        <v>84844.656000000003</v>
      </c>
      <c r="Q36" s="433">
        <v>84639.12000000001</v>
      </c>
      <c r="R36" s="433">
        <v>9.33</v>
      </c>
      <c r="S36" s="433">
        <v>81954.720000000001</v>
      </c>
      <c r="T36" s="433">
        <v>0.32900000000000001</v>
      </c>
      <c r="U36" s="433">
        <v>0.33200000000000002</v>
      </c>
      <c r="V36" s="433">
        <v>0</v>
      </c>
      <c r="W36" s="433">
        <v>0</v>
      </c>
      <c r="X36" s="433">
        <v>1.3361E-3</v>
      </c>
      <c r="Y36" s="433">
        <v>1.3361E-3</v>
      </c>
      <c r="Z36" s="433">
        <v>0</v>
      </c>
      <c r="AA36" s="433">
        <v>1.3361E-3</v>
      </c>
      <c r="AB36" s="433">
        <v>1.3361E-3</v>
      </c>
      <c r="AC36" s="433">
        <v>1.3361E-3</v>
      </c>
      <c r="AD36" s="433">
        <v>0.96593790159960757</v>
      </c>
      <c r="AE36" s="433">
        <v>0.96561056477597118</v>
      </c>
      <c r="AF36" s="433">
        <v>1.0352625937834943</v>
      </c>
      <c r="AG36" s="433">
        <v>1.0355841371918544</v>
      </c>
      <c r="AH36" s="433">
        <v>0</v>
      </c>
      <c r="AI36" s="433">
        <v>0</v>
      </c>
      <c r="AJ36" s="262"/>
      <c r="AK36" s="262"/>
      <c r="AL36" s="262"/>
      <c r="AM36" s="262"/>
      <c r="AN36" s="262"/>
      <c r="AO36" s="262"/>
      <c r="AP36" s="262"/>
      <c r="AQ36" s="271"/>
      <c r="AR36" s="271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271"/>
      <c r="BH36" s="271"/>
      <c r="BI36" s="271"/>
      <c r="BJ36" s="271"/>
      <c r="BK36" s="271"/>
      <c r="BL36" s="271"/>
      <c r="BM36" s="271"/>
      <c r="BN36" s="271"/>
    </row>
    <row r="37" spans="1:66">
      <c r="A37" s="271">
        <v>10094</v>
      </c>
      <c r="B37" s="271" t="s">
        <v>41</v>
      </c>
      <c r="C37" s="428">
        <v>1</v>
      </c>
      <c r="D37" s="428">
        <v>0</v>
      </c>
      <c r="E37" s="433">
        <v>3.0820000000000003</v>
      </c>
      <c r="F37" s="433">
        <v>3.2044201958105645</v>
      </c>
      <c r="G37" s="433">
        <v>3.213199429223744</v>
      </c>
      <c r="H37" s="433">
        <v>0</v>
      </c>
      <c r="I37" s="433">
        <v>0</v>
      </c>
      <c r="J37" s="433">
        <v>0.11259107468123862</v>
      </c>
      <c r="K37" s="433">
        <v>0.11232876712328767</v>
      </c>
      <c r="L37" s="433">
        <v>989</v>
      </c>
      <c r="M37" s="433">
        <v>984</v>
      </c>
      <c r="N37" s="433">
        <v>2.9409999999999998</v>
      </c>
      <c r="O37" s="433">
        <v>2.9260000000000002</v>
      </c>
      <c r="P37" s="433">
        <v>25833.743999999999</v>
      </c>
      <c r="Q37" s="433">
        <v>25631.760000000002</v>
      </c>
      <c r="R37" s="433">
        <v>3.0070000000000001</v>
      </c>
      <c r="S37" s="433">
        <v>26413.488000000001</v>
      </c>
      <c r="T37" s="433">
        <v>0</v>
      </c>
      <c r="U37" s="433">
        <v>0</v>
      </c>
      <c r="V37" s="433">
        <v>0</v>
      </c>
      <c r="W37" s="433">
        <v>0</v>
      </c>
      <c r="X37" s="433">
        <v>4.2119999999999999E-4</v>
      </c>
      <c r="Y37" s="433">
        <v>4.1899999999999999E-4</v>
      </c>
      <c r="Z37" s="433">
        <v>0</v>
      </c>
      <c r="AA37" s="433">
        <v>4.2119999999999999E-4</v>
      </c>
      <c r="AB37" s="433">
        <v>4.1899999999999999E-4</v>
      </c>
      <c r="AC37" s="433">
        <v>4.2009999999999997E-4</v>
      </c>
      <c r="AD37" s="433">
        <v>0.99993097000050135</v>
      </c>
      <c r="AE37" s="433">
        <v>1</v>
      </c>
      <c r="AF37" s="433">
        <v>1</v>
      </c>
      <c r="AG37" s="433">
        <v>1</v>
      </c>
      <c r="AH37" s="433">
        <v>0</v>
      </c>
      <c r="AI37" s="433">
        <v>0</v>
      </c>
      <c r="AJ37" s="262"/>
      <c r="AK37" s="262"/>
      <c r="AL37" s="262"/>
      <c r="AM37" s="262"/>
      <c r="AN37" s="262"/>
      <c r="AO37" s="262"/>
      <c r="AP37" s="262"/>
      <c r="AQ37" s="271"/>
      <c r="AR37" s="271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271"/>
      <c r="BH37" s="271"/>
      <c r="BI37" s="271"/>
      <c r="BJ37" s="271"/>
      <c r="BK37" s="271"/>
      <c r="BL37" s="271"/>
      <c r="BM37" s="271"/>
      <c r="BN37" s="271"/>
    </row>
    <row r="38" spans="1:66">
      <c r="A38" s="271">
        <v>10095</v>
      </c>
      <c r="B38" s="271" t="s">
        <v>42</v>
      </c>
      <c r="C38" s="428">
        <v>1</v>
      </c>
      <c r="D38" s="428">
        <v>0</v>
      </c>
      <c r="E38" s="433">
        <v>3.6970000000000001</v>
      </c>
      <c r="F38" s="433">
        <v>3.6385067167577407</v>
      </c>
      <c r="G38" s="433">
        <v>3.6484752283105015</v>
      </c>
      <c r="H38" s="433">
        <v>0</v>
      </c>
      <c r="I38" s="433">
        <v>0</v>
      </c>
      <c r="J38" s="433">
        <v>0</v>
      </c>
      <c r="K38" s="433">
        <v>0</v>
      </c>
      <c r="L38" s="433">
        <v>0</v>
      </c>
      <c r="M38" s="433">
        <v>0</v>
      </c>
      <c r="N38" s="433">
        <v>3.6850000000000001</v>
      </c>
      <c r="O38" s="433">
        <v>3.7069999999999999</v>
      </c>
      <c r="P38" s="433">
        <v>32369.040000000001</v>
      </c>
      <c r="Q38" s="433">
        <v>32473.32</v>
      </c>
      <c r="R38" s="433">
        <v>3.6070000000000002</v>
      </c>
      <c r="S38" s="433">
        <v>31683.888000000003</v>
      </c>
      <c r="T38" s="433">
        <v>7.8E-2</v>
      </c>
      <c r="U38" s="433">
        <v>0.1</v>
      </c>
      <c r="V38" s="433">
        <v>0</v>
      </c>
      <c r="W38" s="433">
        <v>0</v>
      </c>
      <c r="X38" s="433">
        <v>5.1650000000000003E-4</v>
      </c>
      <c r="Y38" s="433">
        <v>5.1650000000000003E-4</v>
      </c>
      <c r="Z38" s="433">
        <v>0</v>
      </c>
      <c r="AA38" s="433">
        <v>5.1650000000000003E-4</v>
      </c>
      <c r="AB38" s="433">
        <v>5.1650000000000003E-4</v>
      </c>
      <c r="AC38" s="433">
        <v>5.1650000000000003E-4</v>
      </c>
      <c r="AD38" s="433">
        <v>0.97884743552326714</v>
      </c>
      <c r="AE38" s="433">
        <v>0.97297738250716459</v>
      </c>
      <c r="AF38" s="433">
        <v>1.0216246187967839</v>
      </c>
      <c r="AG38" s="433">
        <v>1.0277238702522871</v>
      </c>
      <c r="AH38" s="433">
        <v>0</v>
      </c>
      <c r="AI38" s="433">
        <v>0</v>
      </c>
      <c r="AJ38" s="262"/>
      <c r="AK38" s="262"/>
      <c r="AL38" s="262"/>
      <c r="AM38" s="262"/>
      <c r="AN38" s="262"/>
      <c r="AO38" s="262"/>
      <c r="AP38" s="262"/>
      <c r="AQ38" s="271"/>
      <c r="AR38" s="271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271"/>
      <c r="BH38" s="271"/>
      <c r="BI38" s="271"/>
      <c r="BJ38" s="271"/>
      <c r="BK38" s="271"/>
      <c r="BL38" s="271"/>
      <c r="BM38" s="271"/>
      <c r="BN38" s="271"/>
    </row>
    <row r="39" spans="1:66">
      <c r="A39" s="271">
        <v>10097</v>
      </c>
      <c r="B39" s="271" t="s">
        <v>43</v>
      </c>
      <c r="C39" s="428">
        <v>1</v>
      </c>
      <c r="D39" s="428">
        <v>0</v>
      </c>
      <c r="E39" s="433">
        <v>2.0680000000000001</v>
      </c>
      <c r="F39" s="433">
        <v>2.0005760473588339</v>
      </c>
      <c r="G39" s="433">
        <v>2.0060570776255706</v>
      </c>
      <c r="H39" s="433">
        <v>0</v>
      </c>
      <c r="I39" s="433">
        <v>0</v>
      </c>
      <c r="J39" s="433">
        <v>0</v>
      </c>
      <c r="K39" s="433">
        <v>0</v>
      </c>
      <c r="L39" s="433">
        <v>0</v>
      </c>
      <c r="M39" s="433">
        <v>0</v>
      </c>
      <c r="N39" s="433">
        <v>2.17</v>
      </c>
      <c r="O39" s="433">
        <v>2.2000000000000002</v>
      </c>
      <c r="P39" s="433">
        <v>19061.28</v>
      </c>
      <c r="Q39" s="433">
        <v>19272</v>
      </c>
      <c r="R39" s="433">
        <v>2.0179999999999998</v>
      </c>
      <c r="S39" s="433">
        <v>17726.111999999997</v>
      </c>
      <c r="T39" s="433">
        <v>0.152</v>
      </c>
      <c r="U39" s="433">
        <v>0.182</v>
      </c>
      <c r="V39" s="433">
        <v>0</v>
      </c>
      <c r="W39" s="433">
        <v>0</v>
      </c>
      <c r="X39" s="433">
        <v>2.8899999999999998E-4</v>
      </c>
      <c r="Y39" s="433">
        <v>2.8899999999999998E-4</v>
      </c>
      <c r="Z39" s="433">
        <v>0</v>
      </c>
      <c r="AA39" s="433">
        <v>2.8899999999999998E-4</v>
      </c>
      <c r="AB39" s="433">
        <v>2.8899999999999998E-4</v>
      </c>
      <c r="AC39" s="433">
        <v>2.8899999999999998E-4</v>
      </c>
      <c r="AD39" s="433">
        <v>0.92986015226400642</v>
      </c>
      <c r="AE39" s="433">
        <v>0.91731791721261946</v>
      </c>
      <c r="AF39" s="433">
        <v>1.0753221010901883</v>
      </c>
      <c r="AG39" s="433">
        <v>1.0901883052527257</v>
      </c>
      <c r="AH39" s="433">
        <v>0</v>
      </c>
      <c r="AI39" s="433">
        <v>0</v>
      </c>
      <c r="AJ39" s="262"/>
      <c r="AK39" s="262"/>
      <c r="AL39" s="262"/>
      <c r="AM39" s="262"/>
      <c r="AN39" s="262"/>
      <c r="AO39" s="262"/>
      <c r="AP39" s="262"/>
      <c r="AQ39" s="271"/>
      <c r="AR39" s="271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271"/>
      <c r="BH39" s="271"/>
      <c r="BI39" s="271"/>
      <c r="BJ39" s="271"/>
      <c r="BK39" s="271"/>
      <c r="BL39" s="271"/>
      <c r="BM39" s="271"/>
      <c r="BN39" s="271"/>
    </row>
    <row r="40" spans="1:66">
      <c r="A40" s="271">
        <v>10101</v>
      </c>
      <c r="B40" s="271" t="s">
        <v>44</v>
      </c>
      <c r="C40" s="428">
        <v>1</v>
      </c>
      <c r="D40" s="428">
        <v>0</v>
      </c>
      <c r="E40" s="433">
        <v>77.162000000000006</v>
      </c>
      <c r="F40" s="433">
        <v>75.255318306010949</v>
      </c>
      <c r="G40" s="433">
        <v>75.461497260273987</v>
      </c>
      <c r="H40" s="433">
        <v>0</v>
      </c>
      <c r="I40" s="433">
        <v>0</v>
      </c>
      <c r="J40" s="433">
        <v>0</v>
      </c>
      <c r="K40" s="433">
        <v>0</v>
      </c>
      <c r="L40" s="433">
        <v>0</v>
      </c>
      <c r="M40" s="433">
        <v>0</v>
      </c>
      <c r="N40" s="433">
        <v>78.314999999999998</v>
      </c>
      <c r="O40" s="433">
        <v>79.075999999999993</v>
      </c>
      <c r="P40" s="433">
        <v>687918.96</v>
      </c>
      <c r="Q40" s="433">
        <v>692705.75999999989</v>
      </c>
      <c r="R40" s="433">
        <v>75.286000000000001</v>
      </c>
      <c r="S40" s="433">
        <v>661312.22400000005</v>
      </c>
      <c r="T40" s="433">
        <v>3.0289999999999999</v>
      </c>
      <c r="U40" s="433">
        <v>3.79</v>
      </c>
      <c r="V40" s="433">
        <v>3.0289999999999999</v>
      </c>
      <c r="W40" s="433">
        <v>3.79</v>
      </c>
      <c r="X40" s="433">
        <v>1.0781199999999999E-2</v>
      </c>
      <c r="Y40" s="433">
        <v>1.0781199999999999E-2</v>
      </c>
      <c r="Z40" s="433">
        <v>0</v>
      </c>
      <c r="AA40" s="433">
        <v>1.0781199999999999E-2</v>
      </c>
      <c r="AB40" s="433">
        <v>1.0781199999999999E-2</v>
      </c>
      <c r="AC40" s="433">
        <v>1.0781199999999999E-2</v>
      </c>
      <c r="AD40" s="433">
        <v>0.96132544242168327</v>
      </c>
      <c r="AE40" s="433">
        <v>0.95207224583889338</v>
      </c>
      <c r="AF40" s="433">
        <v>1.0402332438966075</v>
      </c>
      <c r="AG40" s="433">
        <v>1.0503413649284061</v>
      </c>
      <c r="AH40" s="433">
        <v>5.7209999999999997E-2</v>
      </c>
      <c r="AI40" s="433">
        <v>5.7770000000000002E-2</v>
      </c>
      <c r="AJ40" s="262"/>
      <c r="AK40" s="262"/>
      <c r="AL40" s="262"/>
      <c r="AM40" s="262"/>
      <c r="AN40" s="262"/>
      <c r="AO40" s="262"/>
      <c r="AP40" s="262"/>
      <c r="AQ40" s="271"/>
      <c r="AR40" s="271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271"/>
      <c r="BH40" s="271"/>
      <c r="BI40" s="271"/>
      <c r="BJ40" s="271"/>
      <c r="BK40" s="271"/>
      <c r="BL40" s="271"/>
      <c r="BM40" s="271"/>
      <c r="BN40" s="271"/>
    </row>
    <row r="41" spans="1:66">
      <c r="A41" s="271">
        <v>10103</v>
      </c>
      <c r="B41" s="271" t="s">
        <v>45</v>
      </c>
      <c r="C41" s="428">
        <v>1</v>
      </c>
      <c r="D41" s="428">
        <v>0</v>
      </c>
      <c r="E41" s="433">
        <v>323.245</v>
      </c>
      <c r="F41" s="433">
        <v>523.17725774134783</v>
      </c>
      <c r="G41" s="433">
        <v>525.54825742009132</v>
      </c>
      <c r="H41" s="433">
        <v>0</v>
      </c>
      <c r="I41" s="433">
        <v>0</v>
      </c>
      <c r="J41" s="433">
        <v>225.98929872495447</v>
      </c>
      <c r="K41" s="433">
        <v>223.13951444096153</v>
      </c>
      <c r="L41" s="433">
        <v>1985090</v>
      </c>
      <c r="M41" s="433">
        <v>1954702.1465028231</v>
      </c>
      <c r="N41" s="433">
        <v>297.18799999999999</v>
      </c>
      <c r="O41" s="433">
        <v>302.40899999999999</v>
      </c>
      <c r="P41" s="433">
        <v>2610499.392</v>
      </c>
      <c r="Q41" s="433">
        <v>2649102.84</v>
      </c>
      <c r="R41" s="433">
        <v>315.38600000000002</v>
      </c>
      <c r="S41" s="433">
        <v>2770350.6240000003</v>
      </c>
      <c r="T41" s="433">
        <v>0</v>
      </c>
      <c r="U41" s="433">
        <v>0</v>
      </c>
      <c r="V41" s="433">
        <v>0</v>
      </c>
      <c r="W41" s="433">
        <v>0</v>
      </c>
      <c r="X41" s="433">
        <v>4.25583E-2</v>
      </c>
      <c r="Y41" s="433">
        <v>4.3305900000000001E-2</v>
      </c>
      <c r="Z41" s="433">
        <v>2.1851700000000002E-2</v>
      </c>
      <c r="AA41" s="433">
        <v>2.0706599999999999E-2</v>
      </c>
      <c r="AB41" s="433">
        <v>2.14542E-2</v>
      </c>
      <c r="AC41" s="433">
        <v>2.1080399999999999E-2</v>
      </c>
      <c r="AD41" s="433">
        <v>0.99999928307373664</v>
      </c>
      <c r="AE41" s="433">
        <v>1</v>
      </c>
      <c r="AF41" s="433">
        <v>1</v>
      </c>
      <c r="AG41" s="433">
        <v>1</v>
      </c>
      <c r="AH41" s="433">
        <v>0</v>
      </c>
      <c r="AI41" s="433">
        <v>0</v>
      </c>
      <c r="AJ41" s="262"/>
      <c r="AK41" s="262"/>
      <c r="AL41" s="262"/>
      <c r="AM41" s="262"/>
      <c r="AN41" s="262"/>
      <c r="AO41" s="262"/>
      <c r="AP41" s="262"/>
      <c r="AQ41" s="271"/>
      <c r="AR41" s="271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271"/>
      <c r="BH41" s="271"/>
      <c r="BI41" s="271"/>
      <c r="BJ41" s="271"/>
      <c r="BK41" s="271"/>
      <c r="BL41" s="271"/>
      <c r="BM41" s="271"/>
      <c r="BN41" s="271"/>
    </row>
    <row r="42" spans="1:66">
      <c r="A42" s="271">
        <v>10105</v>
      </c>
      <c r="B42" s="271" t="s">
        <v>46</v>
      </c>
      <c r="C42" s="428">
        <v>1</v>
      </c>
      <c r="D42" s="428">
        <v>0</v>
      </c>
      <c r="E42" s="433">
        <v>94.222999999999999</v>
      </c>
      <c r="F42" s="433">
        <v>84.289588000910769</v>
      </c>
      <c r="G42" s="433">
        <v>83.272953310502288</v>
      </c>
      <c r="H42" s="433">
        <v>0</v>
      </c>
      <c r="I42" s="433">
        <v>0</v>
      </c>
      <c r="J42" s="433">
        <v>0</v>
      </c>
      <c r="K42" s="433">
        <v>0</v>
      </c>
      <c r="L42" s="433">
        <v>0</v>
      </c>
      <c r="M42" s="433">
        <v>0</v>
      </c>
      <c r="N42" s="433">
        <v>84.29</v>
      </c>
      <c r="O42" s="433">
        <v>83.272999999999996</v>
      </c>
      <c r="P42" s="433">
        <v>740403.3600000001</v>
      </c>
      <c r="Q42" s="433">
        <v>729471.48</v>
      </c>
      <c r="R42" s="433">
        <v>91.932000000000002</v>
      </c>
      <c r="S42" s="433">
        <v>807530.68799999997</v>
      </c>
      <c r="T42" s="433">
        <v>5.4240000000000004</v>
      </c>
      <c r="U42" s="433">
        <v>5.1680000000000001</v>
      </c>
      <c r="V42" s="433">
        <v>5.4240000000000004</v>
      </c>
      <c r="W42" s="433">
        <v>5.1680000000000001</v>
      </c>
      <c r="X42" s="433">
        <v>1.2070600000000001E-2</v>
      </c>
      <c r="Y42" s="433">
        <v>1.1925E-2</v>
      </c>
      <c r="Z42" s="433">
        <v>7.2635E-3</v>
      </c>
      <c r="AA42" s="433">
        <v>4.8071000000000008E-3</v>
      </c>
      <c r="AB42" s="433">
        <v>4.6614999999999998E-3</v>
      </c>
      <c r="AC42" s="433">
        <v>4.7343000000000003E-3</v>
      </c>
      <c r="AD42" s="433">
        <v>0.94428559549344238</v>
      </c>
      <c r="AE42" s="433">
        <v>0.94677864001283796</v>
      </c>
      <c r="AF42" s="433">
        <v>1</v>
      </c>
      <c r="AG42" s="433">
        <v>1</v>
      </c>
      <c r="AH42" s="433">
        <v>0</v>
      </c>
      <c r="AI42" s="433">
        <v>0</v>
      </c>
      <c r="AJ42" s="262"/>
      <c r="AK42" s="262"/>
      <c r="AL42" s="262"/>
      <c r="AM42" s="262"/>
      <c r="AN42" s="262"/>
      <c r="AO42" s="262"/>
      <c r="AP42" s="262"/>
      <c r="AQ42" s="271"/>
      <c r="AR42" s="271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271"/>
      <c r="BH42" s="271"/>
      <c r="BI42" s="271"/>
      <c r="BJ42" s="271"/>
      <c r="BK42" s="271"/>
      <c r="BL42" s="271"/>
      <c r="BM42" s="271"/>
      <c r="BN42" s="271"/>
    </row>
    <row r="43" spans="1:66">
      <c r="A43" s="271">
        <v>10106</v>
      </c>
      <c r="B43" s="271" t="s">
        <v>47</v>
      </c>
      <c r="C43" s="428">
        <v>0</v>
      </c>
      <c r="D43" s="428">
        <v>1</v>
      </c>
      <c r="E43" s="433">
        <v>24.234999999999999</v>
      </c>
      <c r="F43" s="433">
        <v>23.436993966302364</v>
      </c>
      <c r="G43" s="433">
        <v>23.501204908675795</v>
      </c>
      <c r="H43" s="433">
        <v>0</v>
      </c>
      <c r="I43" s="433">
        <v>0</v>
      </c>
      <c r="J43" s="433">
        <v>0</v>
      </c>
      <c r="K43" s="433">
        <v>0</v>
      </c>
      <c r="L43" s="433">
        <v>0</v>
      </c>
      <c r="M43" s="433">
        <v>0</v>
      </c>
      <c r="N43" s="433">
        <v>23.140999999999998</v>
      </c>
      <c r="O43" s="433">
        <v>23.234999999999999</v>
      </c>
      <c r="P43" s="433">
        <v>203270.54399999999</v>
      </c>
      <c r="Q43" s="433">
        <v>203538.6</v>
      </c>
      <c r="R43" s="433">
        <v>23.646000000000001</v>
      </c>
      <c r="S43" s="433">
        <v>207706.46400000001</v>
      </c>
      <c r="T43" s="433">
        <v>0</v>
      </c>
      <c r="U43" s="433">
        <v>0</v>
      </c>
      <c r="V43" s="433">
        <v>0</v>
      </c>
      <c r="W43" s="433">
        <v>0</v>
      </c>
      <c r="X43" s="433">
        <v>3.3138999999999998E-3</v>
      </c>
      <c r="Y43" s="433">
        <v>3.3273E-3</v>
      </c>
      <c r="Z43" s="433">
        <v>0</v>
      </c>
      <c r="AA43" s="433">
        <v>3.3138999999999998E-3</v>
      </c>
      <c r="AB43" s="433">
        <v>3.3273E-3</v>
      </c>
      <c r="AC43" s="433">
        <v>3.3205999999999999E-3</v>
      </c>
      <c r="AD43" s="433">
        <v>0.99999755221587816</v>
      </c>
      <c r="AE43" s="433">
        <v>0.99997533674803873</v>
      </c>
      <c r="AF43" s="433">
        <v>1</v>
      </c>
      <c r="AG43" s="433">
        <v>1</v>
      </c>
      <c r="AH43" s="433">
        <v>7.0000000000000007E-2</v>
      </c>
      <c r="AI43" s="433">
        <v>7.0000000000000007E-2</v>
      </c>
      <c r="AJ43" s="262"/>
      <c r="AK43" s="262"/>
      <c r="AL43" s="262"/>
      <c r="AM43" s="262"/>
      <c r="AN43" s="262"/>
      <c r="AO43" s="262"/>
      <c r="AP43" s="262"/>
      <c r="AQ43" s="271"/>
      <c r="AR43" s="271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271"/>
      <c r="BH43" s="271"/>
      <c r="BI43" s="271"/>
      <c r="BJ43" s="271"/>
      <c r="BK43" s="271"/>
      <c r="BL43" s="271"/>
      <c r="BM43" s="271"/>
      <c r="BN43" s="271"/>
    </row>
    <row r="44" spans="1:66">
      <c r="A44" s="271">
        <v>10109</v>
      </c>
      <c r="B44" s="271" t="s">
        <v>48</v>
      </c>
      <c r="C44" s="428">
        <v>1</v>
      </c>
      <c r="D44" s="428">
        <v>0</v>
      </c>
      <c r="E44" s="433">
        <v>12.298999999999999</v>
      </c>
      <c r="F44" s="433">
        <v>12.890924635701273</v>
      </c>
      <c r="G44" s="433">
        <v>12.926242237442921</v>
      </c>
      <c r="H44" s="433">
        <v>0</v>
      </c>
      <c r="I44" s="433">
        <v>0</v>
      </c>
      <c r="J44" s="433">
        <v>0</v>
      </c>
      <c r="K44" s="433">
        <v>0</v>
      </c>
      <c r="L44" s="433">
        <v>0</v>
      </c>
      <c r="M44" s="433">
        <v>0</v>
      </c>
      <c r="N44" s="433">
        <v>12.614000000000001</v>
      </c>
      <c r="O44" s="433">
        <v>12.656000000000001</v>
      </c>
      <c r="P44" s="433">
        <v>110801.376</v>
      </c>
      <c r="Q44" s="433">
        <v>110866.56000000001</v>
      </c>
      <c r="R44" s="433">
        <v>12</v>
      </c>
      <c r="S44" s="433">
        <v>105408</v>
      </c>
      <c r="T44" s="433">
        <v>0.61399999999999999</v>
      </c>
      <c r="U44" s="433">
        <v>0.65600000000000003</v>
      </c>
      <c r="V44" s="433">
        <v>0</v>
      </c>
      <c r="W44" s="433">
        <v>0</v>
      </c>
      <c r="X44" s="433">
        <v>1.7183999999999999E-3</v>
      </c>
      <c r="Y44" s="433">
        <v>1.7183999999999999E-3</v>
      </c>
      <c r="Z44" s="433">
        <v>0</v>
      </c>
      <c r="AA44" s="433">
        <v>1.7183999999999999E-3</v>
      </c>
      <c r="AB44" s="433">
        <v>1.7183999999999999E-3</v>
      </c>
      <c r="AC44" s="433">
        <v>1.7183999999999999E-3</v>
      </c>
      <c r="AD44" s="433">
        <v>0.95126593154942229</v>
      </c>
      <c r="AE44" s="433">
        <v>0.94813228933614302</v>
      </c>
      <c r="AF44" s="433">
        <v>1.0511666666666668</v>
      </c>
      <c r="AG44" s="433">
        <v>1.0546666666666666</v>
      </c>
      <c r="AH44" s="433">
        <v>7.3580000000000007E-2</v>
      </c>
      <c r="AI44" s="433">
        <v>7.3830000000000007E-2</v>
      </c>
      <c r="AJ44" s="262"/>
      <c r="AK44" s="262"/>
      <c r="AL44" s="262"/>
      <c r="AM44" s="262"/>
      <c r="AN44" s="262"/>
      <c r="AO44" s="262"/>
      <c r="AP44" s="262"/>
      <c r="AQ44" s="271"/>
      <c r="AR44" s="271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271"/>
      <c r="BH44" s="271"/>
      <c r="BI44" s="271"/>
      <c r="BJ44" s="271"/>
      <c r="BK44" s="271"/>
      <c r="BL44" s="271"/>
      <c r="BM44" s="271"/>
      <c r="BN44" s="271"/>
    </row>
    <row r="45" spans="1:66">
      <c r="A45" s="271">
        <v>10111</v>
      </c>
      <c r="B45" s="271" t="s">
        <v>49</v>
      </c>
      <c r="C45" s="428">
        <v>1</v>
      </c>
      <c r="D45" s="428">
        <v>0</v>
      </c>
      <c r="E45" s="433">
        <v>3.2829999999999999</v>
      </c>
      <c r="F45" s="433">
        <v>3.029872153916211</v>
      </c>
      <c r="G45" s="433">
        <v>3.0381731735159816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2.9049999999999998</v>
      </c>
      <c r="O45" s="433">
        <v>2.9239999999999999</v>
      </c>
      <c r="P45" s="433">
        <v>25517.519999999997</v>
      </c>
      <c r="Q45" s="433">
        <v>25614.239999999998</v>
      </c>
      <c r="R45" s="433">
        <v>3.2029999999999998</v>
      </c>
      <c r="S45" s="433">
        <v>28135.151999999998</v>
      </c>
      <c r="T45" s="433">
        <v>0</v>
      </c>
      <c r="U45" s="433">
        <v>0</v>
      </c>
      <c r="V45" s="433">
        <v>0</v>
      </c>
      <c r="W45" s="433">
        <v>0</v>
      </c>
      <c r="X45" s="433">
        <v>4.1599999999999997E-4</v>
      </c>
      <c r="Y45" s="433">
        <v>4.1869999999999999E-4</v>
      </c>
      <c r="Z45" s="433">
        <v>0</v>
      </c>
      <c r="AA45" s="433">
        <v>4.1599999999999997E-4</v>
      </c>
      <c r="AB45" s="433">
        <v>4.1869999999999999E-4</v>
      </c>
      <c r="AC45" s="433">
        <v>4.1734999999999998E-4</v>
      </c>
      <c r="AD45" s="433">
        <v>1</v>
      </c>
      <c r="AE45" s="433">
        <v>1</v>
      </c>
      <c r="AF45" s="433">
        <v>1</v>
      </c>
      <c r="AG45" s="433">
        <v>1</v>
      </c>
      <c r="AH45" s="433">
        <v>7.0000000000000007E-2</v>
      </c>
      <c r="AI45" s="433">
        <v>7.0000000000000007E-2</v>
      </c>
      <c r="AJ45" s="262"/>
      <c r="AK45" s="262"/>
      <c r="AL45" s="262"/>
      <c r="AM45" s="262"/>
      <c r="AN45" s="262"/>
      <c r="AO45" s="262"/>
      <c r="AP45" s="262"/>
      <c r="AQ45" s="271"/>
      <c r="AR45" s="271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271"/>
      <c r="BH45" s="271"/>
      <c r="BI45" s="271"/>
      <c r="BJ45" s="271"/>
      <c r="BK45" s="271"/>
      <c r="BL45" s="271"/>
      <c r="BM45" s="271"/>
      <c r="BN45" s="271"/>
    </row>
    <row r="46" spans="1:66">
      <c r="A46" s="271">
        <v>10112</v>
      </c>
      <c r="B46" s="271" t="s">
        <v>50</v>
      </c>
      <c r="C46" s="428">
        <v>1</v>
      </c>
      <c r="D46" s="428">
        <v>0</v>
      </c>
      <c r="E46" s="433">
        <v>59.119</v>
      </c>
      <c r="F46" s="433">
        <v>55.879444672131136</v>
      </c>
      <c r="G46" s="433">
        <v>56.03253904109588</v>
      </c>
      <c r="H46" s="433">
        <v>0</v>
      </c>
      <c r="I46" s="433">
        <v>0</v>
      </c>
      <c r="J46" s="433">
        <v>0</v>
      </c>
      <c r="K46" s="433">
        <v>0</v>
      </c>
      <c r="L46" s="433">
        <v>0</v>
      </c>
      <c r="M46" s="433">
        <v>0</v>
      </c>
      <c r="N46" s="433">
        <v>55.954999999999998</v>
      </c>
      <c r="O46" s="433">
        <v>56.360999999999997</v>
      </c>
      <c r="P46" s="433">
        <v>491508.72</v>
      </c>
      <c r="Q46" s="433">
        <v>493722.36</v>
      </c>
      <c r="R46" s="433">
        <v>57.682000000000002</v>
      </c>
      <c r="S46" s="433">
        <v>506678.68800000002</v>
      </c>
      <c r="T46" s="433">
        <v>0</v>
      </c>
      <c r="U46" s="433">
        <v>0</v>
      </c>
      <c r="V46" s="433">
        <v>0</v>
      </c>
      <c r="W46" s="433">
        <v>0</v>
      </c>
      <c r="X46" s="433">
        <v>8.0128999999999999E-3</v>
      </c>
      <c r="Y46" s="433">
        <v>8.0710999999999995E-3</v>
      </c>
      <c r="Z46" s="433">
        <v>0</v>
      </c>
      <c r="AA46" s="433">
        <v>8.0128999999999999E-3</v>
      </c>
      <c r="AB46" s="433">
        <v>8.0710999999999995E-3</v>
      </c>
      <c r="AC46" s="433">
        <v>8.0420000000000005E-3</v>
      </c>
      <c r="AD46" s="433">
        <v>0.99999907350359785</v>
      </c>
      <c r="AE46" s="433">
        <v>0.99999478765873862</v>
      </c>
      <c r="AF46" s="433">
        <v>1</v>
      </c>
      <c r="AG46" s="433">
        <v>1</v>
      </c>
      <c r="AH46" s="433">
        <v>0</v>
      </c>
      <c r="AI46" s="433">
        <v>0</v>
      </c>
      <c r="AJ46" s="262"/>
      <c r="AK46" s="262"/>
      <c r="AL46" s="262"/>
      <c r="AM46" s="262"/>
      <c r="AN46" s="262"/>
      <c r="AO46" s="262"/>
      <c r="AP46" s="262"/>
      <c r="AQ46" s="271"/>
      <c r="AR46" s="271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271"/>
      <c r="BH46" s="271"/>
      <c r="BI46" s="271"/>
      <c r="BJ46" s="271"/>
      <c r="BK46" s="271"/>
      <c r="BL46" s="271"/>
      <c r="BM46" s="271"/>
      <c r="BN46" s="271"/>
    </row>
    <row r="47" spans="1:66">
      <c r="A47" s="271">
        <v>10113</v>
      </c>
      <c r="B47" s="271" t="s">
        <v>51</v>
      </c>
      <c r="C47" s="428">
        <v>1</v>
      </c>
      <c r="D47" s="428">
        <v>0</v>
      </c>
      <c r="E47" s="433">
        <v>38.255000000000003</v>
      </c>
      <c r="F47" s="433">
        <v>42.267676115664848</v>
      </c>
      <c r="G47" s="433">
        <v>42.383477968036537</v>
      </c>
      <c r="H47" s="433">
        <v>0</v>
      </c>
      <c r="I47" s="433">
        <v>0</v>
      </c>
      <c r="J47" s="433">
        <v>0</v>
      </c>
      <c r="K47" s="433">
        <v>0</v>
      </c>
      <c r="L47" s="433">
        <v>0</v>
      </c>
      <c r="M47" s="433">
        <v>0</v>
      </c>
      <c r="N47" s="433">
        <v>39.463000000000001</v>
      </c>
      <c r="O47" s="433">
        <v>39.976999999999997</v>
      </c>
      <c r="P47" s="433">
        <v>346642.99200000003</v>
      </c>
      <c r="Q47" s="433">
        <v>350198.51999999996</v>
      </c>
      <c r="R47" s="433">
        <v>37.325000000000003</v>
      </c>
      <c r="S47" s="433">
        <v>327862.80000000005</v>
      </c>
      <c r="T47" s="433">
        <v>2.1379999999999999</v>
      </c>
      <c r="U47" s="433">
        <v>2.6520000000000001</v>
      </c>
      <c r="V47" s="433">
        <v>2.1379999999999999</v>
      </c>
      <c r="W47" s="433">
        <v>2.6520000000000001</v>
      </c>
      <c r="X47" s="433">
        <v>5.3451000000000002E-3</v>
      </c>
      <c r="Y47" s="433">
        <v>5.3451000000000002E-3</v>
      </c>
      <c r="Z47" s="433">
        <v>0</v>
      </c>
      <c r="AA47" s="433">
        <v>5.3451000000000002E-3</v>
      </c>
      <c r="AB47" s="433">
        <v>5.3451000000000002E-3</v>
      </c>
      <c r="AC47" s="433">
        <v>5.3451000000000002E-3</v>
      </c>
      <c r="AD47" s="433">
        <v>0.94582331952791265</v>
      </c>
      <c r="AE47" s="433">
        <v>0.93367137006619005</v>
      </c>
      <c r="AF47" s="433">
        <v>1.0572806430006698</v>
      </c>
      <c r="AG47" s="433">
        <v>1.0710515740120561</v>
      </c>
      <c r="AH47" s="433">
        <v>7.4010000000000006E-2</v>
      </c>
      <c r="AI47" s="433">
        <v>7.4969999999999995E-2</v>
      </c>
      <c r="AJ47" s="262"/>
      <c r="AK47" s="262"/>
      <c r="AL47" s="262"/>
      <c r="AM47" s="262"/>
      <c r="AN47" s="262"/>
      <c r="AO47" s="262"/>
      <c r="AP47" s="262"/>
      <c r="AQ47" s="271"/>
      <c r="AR47" s="271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271"/>
      <c r="BH47" s="271"/>
      <c r="BI47" s="271"/>
      <c r="BJ47" s="271"/>
      <c r="BK47" s="271"/>
      <c r="BL47" s="271"/>
      <c r="BM47" s="271"/>
      <c r="BN47" s="271"/>
    </row>
    <row r="48" spans="1:66">
      <c r="A48" s="271">
        <v>10116</v>
      </c>
      <c r="B48" s="271" t="s">
        <v>52</v>
      </c>
      <c r="C48" s="428">
        <v>1</v>
      </c>
      <c r="D48" s="428">
        <v>0</v>
      </c>
      <c r="E48" s="433">
        <v>0.23100000000000001</v>
      </c>
      <c r="F48" s="433">
        <v>0.22628734061930789</v>
      </c>
      <c r="G48" s="433">
        <v>0.22690730593607311</v>
      </c>
      <c r="H48" s="433">
        <v>0</v>
      </c>
      <c r="I48" s="433">
        <v>0</v>
      </c>
      <c r="J48" s="433">
        <v>0</v>
      </c>
      <c r="K48" s="433">
        <v>0</v>
      </c>
      <c r="L48" s="433">
        <v>0</v>
      </c>
      <c r="M48" s="433">
        <v>0</v>
      </c>
      <c r="N48" s="433">
        <v>0.19800000000000001</v>
      </c>
      <c r="O48" s="433">
        <v>0.19800000000000001</v>
      </c>
      <c r="P48" s="433">
        <v>1739.232</v>
      </c>
      <c r="Q48" s="433">
        <v>1734.48</v>
      </c>
      <c r="R48" s="433">
        <v>0.22500000000000001</v>
      </c>
      <c r="S48" s="433">
        <v>1976.4</v>
      </c>
      <c r="T48" s="433">
        <v>0</v>
      </c>
      <c r="U48" s="433">
        <v>0</v>
      </c>
      <c r="V48" s="433">
        <v>0</v>
      </c>
      <c r="W48" s="433">
        <v>0</v>
      </c>
      <c r="X48" s="433">
        <v>2.8399999999999999E-5</v>
      </c>
      <c r="Y48" s="433">
        <v>2.8399999999999999E-5</v>
      </c>
      <c r="Z48" s="433">
        <v>0</v>
      </c>
      <c r="AA48" s="433">
        <v>2.8399999999999999E-5</v>
      </c>
      <c r="AB48" s="433">
        <v>2.8399999999999999E-5</v>
      </c>
      <c r="AC48" s="433">
        <v>2.8399999999999999E-5</v>
      </c>
      <c r="AD48" s="433">
        <v>1</v>
      </c>
      <c r="AE48" s="433">
        <v>1</v>
      </c>
      <c r="AF48" s="433">
        <v>1</v>
      </c>
      <c r="AG48" s="433">
        <v>1</v>
      </c>
      <c r="AH48" s="433">
        <v>0</v>
      </c>
      <c r="AI48" s="433">
        <v>0</v>
      </c>
      <c r="AJ48" s="262"/>
      <c r="AK48" s="262"/>
      <c r="AL48" s="262"/>
      <c r="AM48" s="262"/>
      <c r="AN48" s="262"/>
      <c r="AO48" s="262"/>
      <c r="AP48" s="262"/>
      <c r="AQ48" s="271"/>
      <c r="AR48" s="271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271"/>
      <c r="BH48" s="271"/>
      <c r="BI48" s="271"/>
      <c r="BJ48" s="271"/>
      <c r="BK48" s="271"/>
      <c r="BL48" s="271"/>
      <c r="BM48" s="271"/>
      <c r="BN48" s="271"/>
    </row>
    <row r="49" spans="1:66">
      <c r="A49" s="273">
        <v>10118</v>
      </c>
      <c r="B49" s="273" t="s">
        <v>53</v>
      </c>
      <c r="C49" s="429">
        <v>0</v>
      </c>
      <c r="D49" s="429">
        <v>1</v>
      </c>
      <c r="E49" s="433">
        <v>46.354999999999997</v>
      </c>
      <c r="F49" s="433">
        <v>48.523307718579233</v>
      </c>
      <c r="G49" s="433">
        <v>48.656248287671232</v>
      </c>
      <c r="H49" s="433">
        <v>0</v>
      </c>
      <c r="I49" s="433">
        <v>0</v>
      </c>
      <c r="J49" s="433">
        <v>2.3630464480874318</v>
      </c>
      <c r="K49" s="433">
        <v>2.362785388127854</v>
      </c>
      <c r="L49" s="433">
        <v>20757</v>
      </c>
      <c r="M49" s="433">
        <v>20698</v>
      </c>
      <c r="N49" s="433">
        <v>45.698</v>
      </c>
      <c r="O49" s="433">
        <v>45.956000000000003</v>
      </c>
      <c r="P49" s="433">
        <v>401411.23200000002</v>
      </c>
      <c r="Q49" s="433">
        <v>402574.56000000006</v>
      </c>
      <c r="R49" s="433">
        <v>45.228000000000002</v>
      </c>
      <c r="S49" s="433">
        <v>397282.75200000004</v>
      </c>
      <c r="T49" s="433">
        <v>0.47</v>
      </c>
      <c r="U49" s="433">
        <v>0.72799999999999998</v>
      </c>
      <c r="V49" s="433">
        <v>0.47</v>
      </c>
      <c r="W49" s="433">
        <v>0.72799999999999998</v>
      </c>
      <c r="X49" s="433">
        <v>6.4767999999999996E-3</v>
      </c>
      <c r="Y49" s="433">
        <v>6.4767999999999996E-3</v>
      </c>
      <c r="Z49" s="433">
        <v>0</v>
      </c>
      <c r="AA49" s="433">
        <v>6.4767999999999996E-3</v>
      </c>
      <c r="AB49" s="433">
        <v>6.4767999999999996E-3</v>
      </c>
      <c r="AC49" s="433">
        <v>6.4767999999999996E-3</v>
      </c>
      <c r="AD49" s="433">
        <v>0.99021222470794501</v>
      </c>
      <c r="AE49" s="433">
        <v>0.98494198398627419</v>
      </c>
      <c r="AF49" s="433">
        <v>1.0103917926947907</v>
      </c>
      <c r="AG49" s="433">
        <v>1.0160962235783144</v>
      </c>
      <c r="AH49" s="433">
        <v>6.5680000000000002E-2</v>
      </c>
      <c r="AI49" s="433">
        <v>6.6049999999999998E-2</v>
      </c>
      <c r="AJ49" s="269"/>
      <c r="AK49" s="269"/>
      <c r="AL49" s="269"/>
      <c r="AM49" s="269"/>
      <c r="AN49" s="269"/>
      <c r="AO49" s="269"/>
      <c r="AP49" s="269"/>
      <c r="AS49" s="268"/>
      <c r="AT49" s="268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268"/>
      <c r="BF49" s="268"/>
      <c r="BG49" s="271"/>
      <c r="BM49" s="271"/>
      <c r="BN49" s="271"/>
    </row>
    <row r="50" spans="1:66">
      <c r="A50" s="271">
        <v>10121</v>
      </c>
      <c r="B50" s="271" t="s">
        <v>54</v>
      </c>
      <c r="C50" s="428">
        <v>0</v>
      </c>
      <c r="D50" s="428">
        <v>1</v>
      </c>
      <c r="E50" s="433">
        <v>41.484999999999999</v>
      </c>
      <c r="F50" s="433">
        <v>38.755382058287807</v>
      </c>
      <c r="G50" s="433">
        <v>38.861561187214619</v>
      </c>
      <c r="H50" s="433">
        <v>0</v>
      </c>
      <c r="I50" s="433">
        <v>0</v>
      </c>
      <c r="J50" s="433">
        <v>0</v>
      </c>
      <c r="K50" s="433">
        <v>0</v>
      </c>
      <c r="L50" s="433">
        <v>0</v>
      </c>
      <c r="M50" s="433">
        <v>0</v>
      </c>
      <c r="N50" s="433">
        <v>39.749000000000002</v>
      </c>
      <c r="O50" s="433">
        <v>39.850999999999999</v>
      </c>
      <c r="P50" s="433">
        <v>349155.21600000001</v>
      </c>
      <c r="Q50" s="433">
        <v>349094.76</v>
      </c>
      <c r="R50" s="433">
        <v>40.475999999999999</v>
      </c>
      <c r="S50" s="433">
        <v>355541.18400000001</v>
      </c>
      <c r="T50" s="433">
        <v>0</v>
      </c>
      <c r="U50" s="433">
        <v>0</v>
      </c>
      <c r="V50" s="433">
        <v>0</v>
      </c>
      <c r="W50" s="433">
        <v>0</v>
      </c>
      <c r="X50" s="433">
        <v>5.6921999999999997E-3</v>
      </c>
      <c r="Y50" s="433">
        <v>5.7067999999999997E-3</v>
      </c>
      <c r="Z50" s="433">
        <v>0</v>
      </c>
      <c r="AA50" s="433">
        <v>5.6921999999999997E-3</v>
      </c>
      <c r="AB50" s="433">
        <v>5.7067999999999997E-3</v>
      </c>
      <c r="AC50" s="433">
        <v>5.6994999999999997E-3</v>
      </c>
      <c r="AD50" s="433">
        <v>1</v>
      </c>
      <c r="AE50" s="433">
        <v>1</v>
      </c>
      <c r="AF50" s="433">
        <v>1</v>
      </c>
      <c r="AG50" s="433">
        <v>1</v>
      </c>
      <c r="AH50" s="433">
        <v>5.5E-2</v>
      </c>
      <c r="AI50" s="433">
        <v>0.06</v>
      </c>
      <c r="AJ50" s="262"/>
      <c r="AK50" s="262"/>
      <c r="AL50" s="262"/>
      <c r="AM50" s="262"/>
      <c r="AN50" s="262"/>
      <c r="AO50" s="262"/>
      <c r="AP50" s="262"/>
      <c r="AQ50" s="271"/>
      <c r="AR50" s="271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271"/>
      <c r="BH50" s="271"/>
      <c r="BI50" s="271"/>
      <c r="BJ50" s="271"/>
      <c r="BK50" s="271"/>
      <c r="BL50" s="271"/>
      <c r="BM50" s="271"/>
      <c r="BN50" s="271"/>
    </row>
    <row r="51" spans="1:66">
      <c r="A51" s="271">
        <v>10123</v>
      </c>
      <c r="B51" s="271" t="s">
        <v>55</v>
      </c>
      <c r="C51" s="428">
        <v>1</v>
      </c>
      <c r="D51" s="428">
        <v>0</v>
      </c>
      <c r="E51" s="433">
        <v>557.39200000000005</v>
      </c>
      <c r="F51" s="433">
        <v>622.72979474043711</v>
      </c>
      <c r="G51" s="433">
        <v>638.84960079908672</v>
      </c>
      <c r="H51" s="433">
        <v>25</v>
      </c>
      <c r="I51" s="433">
        <v>25.002000000000002</v>
      </c>
      <c r="J51" s="433">
        <v>15.740551001821494</v>
      </c>
      <c r="K51" s="433">
        <v>15.718036529680365</v>
      </c>
      <c r="L51" s="433">
        <v>138265</v>
      </c>
      <c r="M51" s="433">
        <v>137690</v>
      </c>
      <c r="N51" s="433">
        <v>581.98900000000003</v>
      </c>
      <c r="O51" s="433">
        <v>598.13</v>
      </c>
      <c r="P51" s="433">
        <v>5112191.3760000002</v>
      </c>
      <c r="Q51" s="433">
        <v>5239618.8</v>
      </c>
      <c r="R51" s="433">
        <v>543.84</v>
      </c>
      <c r="S51" s="433">
        <v>4777090.5600000005</v>
      </c>
      <c r="T51" s="433">
        <v>25.172999999999998</v>
      </c>
      <c r="U51" s="433">
        <v>29.853000000000002</v>
      </c>
      <c r="V51" s="433">
        <v>25.172999999999998</v>
      </c>
      <c r="W51" s="433">
        <v>29.853000000000002</v>
      </c>
      <c r="X51" s="433">
        <v>7.7879599999999993E-2</v>
      </c>
      <c r="Y51" s="433">
        <v>7.7879599999999993E-2</v>
      </c>
      <c r="Z51" s="433">
        <v>3.9939099999999998E-2</v>
      </c>
      <c r="AA51" s="433">
        <v>3.7940499999999995E-2</v>
      </c>
      <c r="AB51" s="433">
        <v>3.7940499999999995E-2</v>
      </c>
      <c r="AC51" s="433">
        <v>3.7940499999999995E-2</v>
      </c>
      <c r="AD51" s="433">
        <v>0.95695153575887382</v>
      </c>
      <c r="AE51" s="433">
        <v>0.94935073507575962</v>
      </c>
      <c r="AF51" s="433">
        <v>1.0701474698440718</v>
      </c>
      <c r="AG51" s="433">
        <v>1.0998271550456016</v>
      </c>
      <c r="AH51" s="433">
        <v>0</v>
      </c>
      <c r="AI51" s="433">
        <v>0</v>
      </c>
      <c r="AJ51" s="262"/>
      <c r="AK51" s="262"/>
      <c r="AL51" s="262"/>
      <c r="AM51" s="262"/>
      <c r="AN51" s="262"/>
      <c r="AO51" s="262"/>
      <c r="AP51" s="262"/>
      <c r="AQ51" s="271"/>
      <c r="AR51" s="271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271"/>
      <c r="BH51" s="271"/>
      <c r="BI51" s="271"/>
      <c r="BJ51" s="271"/>
      <c r="BK51" s="271"/>
      <c r="BL51" s="271"/>
      <c r="BM51" s="271"/>
      <c r="BN51" s="271"/>
    </row>
    <row r="52" spans="1:66">
      <c r="A52" s="271">
        <v>10136</v>
      </c>
      <c r="B52" s="271" t="s">
        <v>56</v>
      </c>
      <c r="C52" s="428">
        <v>0</v>
      </c>
      <c r="D52" s="428">
        <v>1</v>
      </c>
      <c r="E52" s="433">
        <v>18.814</v>
      </c>
      <c r="F52" s="433">
        <v>18.050983037340618</v>
      </c>
      <c r="G52" s="433">
        <v>18.100437785388127</v>
      </c>
      <c r="H52" s="433">
        <v>0</v>
      </c>
      <c r="I52" s="433">
        <v>0</v>
      </c>
      <c r="J52" s="433">
        <v>0</v>
      </c>
      <c r="K52" s="433">
        <v>0</v>
      </c>
      <c r="L52" s="433">
        <v>0</v>
      </c>
      <c r="M52" s="433">
        <v>0</v>
      </c>
      <c r="N52" s="433">
        <v>18.024000000000001</v>
      </c>
      <c r="O52" s="433">
        <v>18.074000000000002</v>
      </c>
      <c r="P52" s="433">
        <v>158322.81600000002</v>
      </c>
      <c r="Q52" s="433">
        <v>158328.24000000002</v>
      </c>
      <c r="R52" s="433">
        <v>18.356999999999999</v>
      </c>
      <c r="S52" s="433">
        <v>161247.88800000001</v>
      </c>
      <c r="T52" s="433">
        <v>0</v>
      </c>
      <c r="U52" s="433">
        <v>0</v>
      </c>
      <c r="V52" s="433">
        <v>0</v>
      </c>
      <c r="W52" s="433">
        <v>0</v>
      </c>
      <c r="X52" s="433">
        <v>2.5810999999999998E-3</v>
      </c>
      <c r="Y52" s="433">
        <v>2.5883E-3</v>
      </c>
      <c r="Z52" s="433">
        <v>0</v>
      </c>
      <c r="AA52" s="433">
        <v>2.5810999999999998E-3</v>
      </c>
      <c r="AB52" s="433">
        <v>2.5883E-3</v>
      </c>
      <c r="AC52" s="433">
        <v>2.5846999999999997E-3</v>
      </c>
      <c r="AD52" s="433">
        <v>0.99998368207204602</v>
      </c>
      <c r="AE52" s="433">
        <v>1</v>
      </c>
      <c r="AF52" s="433">
        <v>1</v>
      </c>
      <c r="AG52" s="433">
        <v>1</v>
      </c>
      <c r="AH52" s="433">
        <v>7.0000000000000007E-2</v>
      </c>
      <c r="AI52" s="433">
        <v>7.0000000000000007E-2</v>
      </c>
      <c r="AJ52" s="262"/>
      <c r="AK52" s="262"/>
      <c r="AL52" s="262"/>
      <c r="AM52" s="262"/>
      <c r="AN52" s="262"/>
      <c r="AO52" s="262"/>
      <c r="AP52" s="262"/>
      <c r="AQ52" s="271"/>
      <c r="AR52" s="271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271"/>
      <c r="BH52" s="271"/>
      <c r="BI52" s="271"/>
      <c r="BJ52" s="271"/>
      <c r="BK52" s="271"/>
      <c r="BL52" s="271"/>
      <c r="BM52" s="271"/>
      <c r="BN52" s="271"/>
    </row>
    <row r="53" spans="1:66">
      <c r="A53" s="271">
        <v>10142</v>
      </c>
      <c r="B53" s="271" t="s">
        <v>57</v>
      </c>
      <c r="C53" s="428">
        <v>1</v>
      </c>
      <c r="D53" s="428">
        <v>0</v>
      </c>
      <c r="E53" s="433">
        <v>2.7269999999999999</v>
      </c>
      <c r="F53" s="433">
        <v>2.8569628870673958</v>
      </c>
      <c r="G53" s="433">
        <v>2.8647901826484024</v>
      </c>
      <c r="H53" s="433">
        <v>0</v>
      </c>
      <c r="I53" s="433">
        <v>0</v>
      </c>
      <c r="J53" s="433">
        <v>0</v>
      </c>
      <c r="K53" s="433">
        <v>0</v>
      </c>
      <c r="L53" s="433">
        <v>0</v>
      </c>
      <c r="M53" s="433">
        <v>0</v>
      </c>
      <c r="N53" s="433">
        <v>3.0550000000000002</v>
      </c>
      <c r="O53" s="433">
        <v>3.1070000000000002</v>
      </c>
      <c r="P53" s="433">
        <v>26835.120000000003</v>
      </c>
      <c r="Q53" s="433">
        <v>27217.320000000003</v>
      </c>
      <c r="R53" s="433">
        <v>2.661</v>
      </c>
      <c r="S53" s="433">
        <v>23374.224000000002</v>
      </c>
      <c r="T53" s="433">
        <v>0.39400000000000002</v>
      </c>
      <c r="U53" s="433">
        <v>0.44600000000000001</v>
      </c>
      <c r="V53" s="433">
        <v>0</v>
      </c>
      <c r="W53" s="433">
        <v>0</v>
      </c>
      <c r="X53" s="433">
        <v>3.8109999999999999E-4</v>
      </c>
      <c r="Y53" s="433">
        <v>3.8109999999999999E-4</v>
      </c>
      <c r="Z53" s="433">
        <v>0</v>
      </c>
      <c r="AA53" s="433">
        <v>3.8109999999999999E-4</v>
      </c>
      <c r="AB53" s="433">
        <v>3.8109999999999999E-4</v>
      </c>
      <c r="AC53" s="433">
        <v>3.8109999999999999E-4</v>
      </c>
      <c r="AD53" s="433">
        <v>0.87124195916758473</v>
      </c>
      <c r="AE53" s="433">
        <v>0.85662552925252389</v>
      </c>
      <c r="AF53" s="433">
        <v>1.1480646373543781</v>
      </c>
      <c r="AG53" s="433">
        <v>1.1676061630965804</v>
      </c>
      <c r="AH53" s="433">
        <v>3.4439999999999998E-2</v>
      </c>
      <c r="AI53" s="433">
        <v>3.5029999999999999E-2</v>
      </c>
      <c r="AJ53" s="262"/>
      <c r="AK53" s="262"/>
      <c r="AL53" s="262"/>
      <c r="AM53" s="262"/>
      <c r="AN53" s="262"/>
      <c r="AO53" s="262"/>
      <c r="AP53" s="262"/>
      <c r="AQ53" s="271"/>
      <c r="AR53" s="271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271"/>
      <c r="BH53" s="271"/>
      <c r="BI53" s="271"/>
      <c r="BJ53" s="271"/>
      <c r="BK53" s="271"/>
      <c r="BL53" s="271"/>
      <c r="BM53" s="271"/>
      <c r="BN53" s="271"/>
    </row>
    <row r="54" spans="1:66">
      <c r="A54" s="271">
        <v>10144</v>
      </c>
      <c r="B54" s="271" t="s">
        <v>58</v>
      </c>
      <c r="C54" s="428">
        <v>1</v>
      </c>
      <c r="D54" s="428">
        <v>0</v>
      </c>
      <c r="E54" s="433">
        <v>3.4180000000000001</v>
      </c>
      <c r="F54" s="433">
        <v>3.2540147996357018</v>
      </c>
      <c r="G54" s="433">
        <v>3.2629299086757992</v>
      </c>
      <c r="H54" s="433">
        <v>0</v>
      </c>
      <c r="I54" s="433">
        <v>0</v>
      </c>
      <c r="J54" s="433">
        <v>0</v>
      </c>
      <c r="K54" s="433">
        <v>0</v>
      </c>
      <c r="L54" s="433">
        <v>0</v>
      </c>
      <c r="M54" s="433">
        <v>0</v>
      </c>
      <c r="N54" s="433">
        <v>3.3170000000000002</v>
      </c>
      <c r="O54" s="433">
        <v>3.3380000000000001</v>
      </c>
      <c r="P54" s="433">
        <v>29136.528000000002</v>
      </c>
      <c r="Q54" s="433">
        <v>29240.880000000001</v>
      </c>
      <c r="R54" s="433">
        <v>3.335</v>
      </c>
      <c r="S54" s="433">
        <v>29294.639999999999</v>
      </c>
      <c r="T54" s="433">
        <v>0</v>
      </c>
      <c r="U54" s="433">
        <v>3.0000000000000001E-3</v>
      </c>
      <c r="V54" s="433">
        <v>0</v>
      </c>
      <c r="W54" s="433">
        <v>0</v>
      </c>
      <c r="X54" s="433">
        <v>4.75E-4</v>
      </c>
      <c r="Y54" s="433">
        <v>4.7760000000000001E-4</v>
      </c>
      <c r="Z54" s="433">
        <v>0</v>
      </c>
      <c r="AA54" s="433">
        <v>4.75E-4</v>
      </c>
      <c r="AB54" s="433">
        <v>4.7760000000000001E-4</v>
      </c>
      <c r="AC54" s="433">
        <v>4.7630000000000003E-4</v>
      </c>
      <c r="AD54" s="433">
        <v>0.99997597049022757</v>
      </c>
      <c r="AE54" s="433">
        <v>0.9992344710368124</v>
      </c>
      <c r="AF54" s="433">
        <v>1</v>
      </c>
      <c r="AG54" s="433">
        <v>1.0008995502248876</v>
      </c>
      <c r="AH54" s="433">
        <v>0</v>
      </c>
      <c r="AI54" s="433">
        <v>0</v>
      </c>
      <c r="AJ54" s="262"/>
      <c r="AK54" s="262"/>
      <c r="AL54" s="262"/>
      <c r="AM54" s="262"/>
      <c r="AN54" s="262"/>
      <c r="AO54" s="262"/>
      <c r="AP54" s="262"/>
      <c r="AQ54" s="271"/>
      <c r="AR54" s="271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271"/>
      <c r="BH54" s="271"/>
      <c r="BI54" s="271"/>
      <c r="BJ54" s="271"/>
      <c r="BK54" s="271"/>
      <c r="BL54" s="271"/>
      <c r="BM54" s="271"/>
      <c r="BN54" s="271"/>
    </row>
    <row r="55" spans="1:66">
      <c r="A55" s="271">
        <v>10156</v>
      </c>
      <c r="B55" s="271" t="s">
        <v>59</v>
      </c>
      <c r="C55" s="428">
        <v>1</v>
      </c>
      <c r="D55" s="428">
        <v>0</v>
      </c>
      <c r="E55" s="433">
        <v>32.719000000000001</v>
      </c>
      <c r="F55" s="433">
        <v>31.536878073770488</v>
      </c>
      <c r="G55" s="433">
        <v>31.623280479452053</v>
      </c>
      <c r="H55" s="433">
        <v>0</v>
      </c>
      <c r="I55" s="433">
        <v>0</v>
      </c>
      <c r="J55" s="433">
        <v>0</v>
      </c>
      <c r="K55" s="433">
        <v>0</v>
      </c>
      <c r="L55" s="433">
        <v>0</v>
      </c>
      <c r="M55" s="433">
        <v>0</v>
      </c>
      <c r="N55" s="433">
        <v>31.818000000000001</v>
      </c>
      <c r="O55" s="433">
        <v>32.098999999999997</v>
      </c>
      <c r="P55" s="433">
        <v>279489.31200000003</v>
      </c>
      <c r="Q55" s="433">
        <v>281187.24</v>
      </c>
      <c r="R55" s="433">
        <v>31.923999999999999</v>
      </c>
      <c r="S55" s="433">
        <v>280420.41599999997</v>
      </c>
      <c r="T55" s="433">
        <v>0</v>
      </c>
      <c r="U55" s="433">
        <v>0.17499999999999999</v>
      </c>
      <c r="V55" s="433">
        <v>0</v>
      </c>
      <c r="W55" s="433">
        <v>0</v>
      </c>
      <c r="X55" s="433">
        <v>4.5564000000000004E-3</v>
      </c>
      <c r="Y55" s="433">
        <v>4.5716000000000003E-3</v>
      </c>
      <c r="Z55" s="433">
        <v>0</v>
      </c>
      <c r="AA55" s="433">
        <v>4.5564000000000004E-3</v>
      </c>
      <c r="AB55" s="433">
        <v>4.5716000000000003E-3</v>
      </c>
      <c r="AC55" s="433">
        <v>4.5640000000000003E-3</v>
      </c>
      <c r="AD55" s="433">
        <v>0.9999963507953924</v>
      </c>
      <c r="AE55" s="433">
        <v>0.99454890255732431</v>
      </c>
      <c r="AF55" s="433">
        <v>1</v>
      </c>
      <c r="AG55" s="433">
        <v>1.0054817692018543</v>
      </c>
      <c r="AH55" s="433">
        <v>0</v>
      </c>
      <c r="AI55" s="433">
        <v>0</v>
      </c>
      <c r="AJ55" s="262"/>
      <c r="AK55" s="262"/>
      <c r="AL55" s="262"/>
      <c r="AM55" s="262"/>
      <c r="AN55" s="262"/>
      <c r="AO55" s="262"/>
      <c r="AP55" s="262"/>
      <c r="AQ55" s="271"/>
      <c r="AR55" s="271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271"/>
      <c r="BH55" s="271"/>
      <c r="BI55" s="271"/>
      <c r="BJ55" s="271"/>
      <c r="BK55" s="271"/>
      <c r="BL55" s="271"/>
      <c r="BM55" s="271"/>
      <c r="BN55" s="271"/>
    </row>
    <row r="56" spans="1:66">
      <c r="A56" s="271">
        <v>10157</v>
      </c>
      <c r="B56" s="271" t="s">
        <v>60</v>
      </c>
      <c r="C56" s="428">
        <v>1</v>
      </c>
      <c r="D56" s="428">
        <v>0</v>
      </c>
      <c r="E56" s="433">
        <v>50.703000000000003</v>
      </c>
      <c r="F56" s="433">
        <v>91.358261725865205</v>
      </c>
      <c r="G56" s="433">
        <v>92.052142465753448</v>
      </c>
      <c r="H56" s="433">
        <v>41.020815004553739</v>
      </c>
      <c r="I56" s="433">
        <v>34.262985388127845</v>
      </c>
      <c r="J56" s="433">
        <v>2.550318761384335</v>
      </c>
      <c r="K56" s="433">
        <v>2.5490867579908674</v>
      </c>
      <c r="L56" s="433">
        <v>22402</v>
      </c>
      <c r="M56" s="433">
        <v>22329.999999999996</v>
      </c>
      <c r="N56" s="433">
        <v>47.786999999999999</v>
      </c>
      <c r="O56" s="433">
        <v>55.24</v>
      </c>
      <c r="P56" s="433">
        <v>419761.00799999997</v>
      </c>
      <c r="Q56" s="433">
        <v>483902.4</v>
      </c>
      <c r="R56" s="433">
        <v>49.47</v>
      </c>
      <c r="S56" s="433">
        <v>434544.48</v>
      </c>
      <c r="T56" s="433">
        <v>1.7130000000000001</v>
      </c>
      <c r="U56" s="433">
        <v>2.294</v>
      </c>
      <c r="V56" s="433">
        <v>1.7130000000000001</v>
      </c>
      <c r="W56" s="433">
        <v>2.294</v>
      </c>
      <c r="X56" s="433">
        <v>6.8433000000000001E-3</v>
      </c>
      <c r="Y56" s="433">
        <v>7.0843E-3</v>
      </c>
      <c r="Z56" s="433">
        <v>3.7031E-3</v>
      </c>
      <c r="AA56" s="433">
        <v>3.1402000000000001E-3</v>
      </c>
      <c r="AB56" s="433">
        <v>3.3812E-3</v>
      </c>
      <c r="AC56" s="433">
        <v>3.2607000000000001E-3</v>
      </c>
      <c r="AD56" s="433">
        <v>0.96811805031796483</v>
      </c>
      <c r="AE56" s="433">
        <v>0.95776736778374771</v>
      </c>
      <c r="AF56" s="433">
        <v>1</v>
      </c>
      <c r="AG56" s="433">
        <v>1.1166363452597534</v>
      </c>
      <c r="AH56" s="433">
        <v>817847</v>
      </c>
      <c r="AI56" s="433">
        <v>817847</v>
      </c>
      <c r="AJ56" s="262"/>
      <c r="AK56" s="262"/>
      <c r="AL56" s="262"/>
      <c r="AM56" s="262"/>
      <c r="AN56" s="262"/>
      <c r="AO56" s="262"/>
      <c r="AP56" s="262"/>
      <c r="AQ56" s="271"/>
      <c r="AR56" s="271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271"/>
      <c r="BH56" s="271"/>
      <c r="BI56" s="271"/>
      <c r="BJ56" s="271"/>
      <c r="BK56" s="271"/>
      <c r="BL56" s="271"/>
      <c r="BM56" s="271"/>
      <c r="BN56" s="271"/>
    </row>
    <row r="57" spans="1:66">
      <c r="A57" s="271">
        <v>10158</v>
      </c>
      <c r="B57" s="271" t="s">
        <v>61</v>
      </c>
      <c r="C57" s="428">
        <v>1</v>
      </c>
      <c r="D57" s="428">
        <v>0</v>
      </c>
      <c r="E57" s="433">
        <v>2.8330000000000002</v>
      </c>
      <c r="F57" s="433">
        <v>2.4072562613843353</v>
      </c>
      <c r="G57" s="433">
        <v>2.4138514840182648</v>
      </c>
      <c r="H57" s="433">
        <v>0</v>
      </c>
      <c r="I57" s="433">
        <v>0</v>
      </c>
      <c r="J57" s="433">
        <v>0</v>
      </c>
      <c r="K57" s="433">
        <v>0</v>
      </c>
      <c r="L57" s="433">
        <v>0</v>
      </c>
      <c r="M57" s="433">
        <v>0</v>
      </c>
      <c r="N57" s="433">
        <v>2.74</v>
      </c>
      <c r="O57" s="433">
        <v>2.738</v>
      </c>
      <c r="P57" s="433">
        <v>24068.160000000003</v>
      </c>
      <c r="Q57" s="433">
        <v>23984.880000000001</v>
      </c>
      <c r="R57" s="433">
        <v>2.7639999999999998</v>
      </c>
      <c r="S57" s="433">
        <v>24278.975999999999</v>
      </c>
      <c r="T57" s="433">
        <v>0</v>
      </c>
      <c r="U57" s="433">
        <v>0</v>
      </c>
      <c r="V57" s="433">
        <v>0</v>
      </c>
      <c r="W57" s="433">
        <v>0</v>
      </c>
      <c r="X57" s="433">
        <v>3.924E-4</v>
      </c>
      <c r="Y57" s="433">
        <v>3.9209999999999999E-4</v>
      </c>
      <c r="Z57" s="433">
        <v>0</v>
      </c>
      <c r="AA57" s="433">
        <v>3.924E-4</v>
      </c>
      <c r="AB57" s="433">
        <v>3.9209999999999999E-4</v>
      </c>
      <c r="AC57" s="433">
        <v>3.9225000000000002E-4</v>
      </c>
      <c r="AD57" s="433">
        <v>1</v>
      </c>
      <c r="AE57" s="433">
        <v>1</v>
      </c>
      <c r="AF57" s="433">
        <v>1</v>
      </c>
      <c r="AG57" s="433">
        <v>1</v>
      </c>
      <c r="AH57" s="433">
        <v>0</v>
      </c>
      <c r="AI57" s="433">
        <v>0</v>
      </c>
      <c r="AJ57" s="262"/>
      <c r="AK57" s="262"/>
      <c r="AL57" s="262"/>
      <c r="AM57" s="262"/>
      <c r="AN57" s="262"/>
      <c r="AO57" s="262"/>
      <c r="AP57" s="262"/>
      <c r="AQ57" s="271"/>
      <c r="AR57" s="271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271"/>
      <c r="BH57" s="271"/>
      <c r="BI57" s="271"/>
      <c r="BJ57" s="271"/>
      <c r="BK57" s="271"/>
      <c r="BL57" s="271"/>
      <c r="BM57" s="271"/>
      <c r="BN57" s="271"/>
    </row>
    <row r="58" spans="1:66">
      <c r="A58" s="271">
        <v>10170</v>
      </c>
      <c r="B58" s="271" t="s">
        <v>62</v>
      </c>
      <c r="C58" s="428">
        <v>1</v>
      </c>
      <c r="D58" s="428">
        <v>0</v>
      </c>
      <c r="E58" s="433">
        <v>254.84299999999999</v>
      </c>
      <c r="F58" s="433">
        <v>279.70558367486342</v>
      </c>
      <c r="G58" s="433">
        <v>280.95809417808221</v>
      </c>
      <c r="H58" s="433">
        <v>4.4847449908925316</v>
      </c>
      <c r="I58" s="433">
        <v>1</v>
      </c>
      <c r="J58" s="433">
        <v>42.378187613843352</v>
      </c>
      <c r="K58" s="433">
        <v>42.387557077625573</v>
      </c>
      <c r="L58" s="433">
        <v>372250</v>
      </c>
      <c r="M58" s="433">
        <v>371315</v>
      </c>
      <c r="N58" s="433">
        <v>232.84299999999999</v>
      </c>
      <c r="O58" s="433">
        <v>237.571</v>
      </c>
      <c r="P58" s="433">
        <v>2045292.912</v>
      </c>
      <c r="Q58" s="433">
        <v>2081121.96</v>
      </c>
      <c r="R58" s="433">
        <v>248.64699999999999</v>
      </c>
      <c r="S58" s="433">
        <v>2184115.2480000001</v>
      </c>
      <c r="T58" s="433">
        <v>0</v>
      </c>
      <c r="U58" s="433">
        <v>0</v>
      </c>
      <c r="V58" s="433">
        <v>0</v>
      </c>
      <c r="W58" s="433">
        <v>0</v>
      </c>
      <c r="X58" s="433">
        <v>3.3343900000000003E-2</v>
      </c>
      <c r="Y58" s="433">
        <v>3.40209E-2</v>
      </c>
      <c r="Z58" s="433">
        <v>1.7958399999999999E-2</v>
      </c>
      <c r="AA58" s="433">
        <v>1.5385500000000003E-2</v>
      </c>
      <c r="AB58" s="433">
        <v>1.60625E-2</v>
      </c>
      <c r="AC58" s="433">
        <v>1.5724000000000002E-2</v>
      </c>
      <c r="AD58" s="433">
        <v>0.99999912299723837</v>
      </c>
      <c r="AE58" s="433">
        <v>1</v>
      </c>
      <c r="AF58" s="433">
        <v>1</v>
      </c>
      <c r="AG58" s="433">
        <v>1</v>
      </c>
      <c r="AH58" s="433">
        <v>0</v>
      </c>
      <c r="AI58" s="433">
        <v>0</v>
      </c>
      <c r="AJ58" s="262"/>
      <c r="AK58" s="262"/>
      <c r="AL58" s="262"/>
      <c r="AM58" s="262"/>
      <c r="AN58" s="262"/>
      <c r="AO58" s="262"/>
      <c r="AP58" s="262"/>
      <c r="AQ58" s="271"/>
      <c r="AR58" s="271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271"/>
      <c r="BH58" s="271"/>
      <c r="BI58" s="271"/>
      <c r="BJ58" s="271"/>
      <c r="BK58" s="271"/>
      <c r="BL58" s="271"/>
      <c r="BM58" s="271"/>
      <c r="BN58" s="271"/>
    </row>
    <row r="59" spans="1:66">
      <c r="A59" s="271">
        <v>10172</v>
      </c>
      <c r="B59" s="271" t="s">
        <v>63</v>
      </c>
      <c r="C59" s="428">
        <v>1</v>
      </c>
      <c r="D59" s="428">
        <v>0</v>
      </c>
      <c r="E59" s="433">
        <v>6.1929999999999996</v>
      </c>
      <c r="F59" s="433">
        <v>5.4353047586520944</v>
      </c>
      <c r="G59" s="433">
        <v>5.4501960045662097</v>
      </c>
      <c r="H59" s="433">
        <v>0</v>
      </c>
      <c r="I59" s="433">
        <v>0</v>
      </c>
      <c r="J59" s="433">
        <v>0</v>
      </c>
      <c r="K59" s="433">
        <v>0</v>
      </c>
      <c r="L59" s="433">
        <v>0</v>
      </c>
      <c r="M59" s="433">
        <v>0</v>
      </c>
      <c r="N59" s="433">
        <v>5.6710000000000003</v>
      </c>
      <c r="O59" s="433">
        <v>5.7290000000000001</v>
      </c>
      <c r="P59" s="433">
        <v>49814.064000000006</v>
      </c>
      <c r="Q59" s="433">
        <v>50186.04</v>
      </c>
      <c r="R59" s="433">
        <v>6.0419999999999998</v>
      </c>
      <c r="S59" s="433">
        <v>53072.928</v>
      </c>
      <c r="T59" s="433">
        <v>0</v>
      </c>
      <c r="U59" s="433">
        <v>0</v>
      </c>
      <c r="V59" s="433">
        <v>0</v>
      </c>
      <c r="W59" s="433">
        <v>0</v>
      </c>
      <c r="X59" s="433">
        <v>8.1209999999999995E-4</v>
      </c>
      <c r="Y59" s="433">
        <v>8.2039999999999999E-4</v>
      </c>
      <c r="Z59" s="433">
        <v>0</v>
      </c>
      <c r="AA59" s="433">
        <v>8.1209999999999995E-4</v>
      </c>
      <c r="AB59" s="433">
        <v>8.2039999999999999E-4</v>
      </c>
      <c r="AC59" s="433">
        <v>8.1624999999999992E-4</v>
      </c>
      <c r="AD59" s="433">
        <v>1</v>
      </c>
      <c r="AE59" s="433">
        <v>1</v>
      </c>
      <c r="AF59" s="433">
        <v>1</v>
      </c>
      <c r="AG59" s="433">
        <v>1</v>
      </c>
      <c r="AH59" s="433">
        <v>0</v>
      </c>
      <c r="AI59" s="433">
        <v>0</v>
      </c>
      <c r="AJ59" s="262"/>
      <c r="AK59" s="262"/>
      <c r="AL59" s="262"/>
      <c r="AM59" s="262"/>
      <c r="AN59" s="262"/>
      <c r="AO59" s="262"/>
      <c r="AP59" s="262"/>
      <c r="AQ59" s="271"/>
      <c r="AR59" s="271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271"/>
      <c r="BH59" s="271"/>
      <c r="BI59" s="271"/>
      <c r="BJ59" s="271"/>
      <c r="BK59" s="271"/>
      <c r="BL59" s="271"/>
      <c r="BM59" s="271"/>
      <c r="BN59" s="271"/>
    </row>
    <row r="60" spans="1:66">
      <c r="A60" s="271">
        <v>10173</v>
      </c>
      <c r="B60" s="271" t="s">
        <v>64</v>
      </c>
      <c r="C60" s="428">
        <v>0</v>
      </c>
      <c r="D60" s="428">
        <v>1</v>
      </c>
      <c r="E60" s="433">
        <v>33.624000000000002</v>
      </c>
      <c r="F60" s="433">
        <v>37.023303278688523</v>
      </c>
      <c r="G60" s="433">
        <v>37.124736986301372</v>
      </c>
      <c r="H60" s="433">
        <v>0</v>
      </c>
      <c r="I60" s="433">
        <v>0</v>
      </c>
      <c r="J60" s="433">
        <v>2.0901639344262297</v>
      </c>
      <c r="K60" s="433">
        <v>2.0936073059360729</v>
      </c>
      <c r="L60" s="433">
        <v>18360.000000000004</v>
      </c>
      <c r="M60" s="433">
        <v>18340</v>
      </c>
      <c r="N60" s="433">
        <v>34.470999999999997</v>
      </c>
      <c r="O60" s="433">
        <v>34.78</v>
      </c>
      <c r="P60" s="433">
        <v>302793.26399999997</v>
      </c>
      <c r="Q60" s="433">
        <v>304672.8</v>
      </c>
      <c r="R60" s="433">
        <v>32.807000000000002</v>
      </c>
      <c r="S60" s="433">
        <v>288176.68800000002</v>
      </c>
      <c r="T60" s="433">
        <v>1.6639999999999999</v>
      </c>
      <c r="U60" s="433">
        <v>1.9730000000000001</v>
      </c>
      <c r="V60" s="433">
        <v>1.6639999999999999</v>
      </c>
      <c r="W60" s="433">
        <v>1.9730000000000001</v>
      </c>
      <c r="X60" s="433">
        <v>4.6981000000000002E-3</v>
      </c>
      <c r="Y60" s="433">
        <v>4.6981000000000002E-3</v>
      </c>
      <c r="Z60" s="433">
        <v>0</v>
      </c>
      <c r="AA60" s="433">
        <v>4.6981000000000002E-3</v>
      </c>
      <c r="AB60" s="433">
        <v>4.6981000000000002E-3</v>
      </c>
      <c r="AC60" s="433">
        <v>4.6981000000000002E-3</v>
      </c>
      <c r="AD60" s="433">
        <v>0.95448380119151111</v>
      </c>
      <c r="AE60" s="433">
        <v>0.94650229705512079</v>
      </c>
      <c r="AF60" s="433">
        <v>1.0507208827384398</v>
      </c>
      <c r="AG60" s="433">
        <v>1.0601396043527296</v>
      </c>
      <c r="AH60" s="433">
        <v>7.3550000000000004E-2</v>
      </c>
      <c r="AI60" s="433">
        <v>7.4209999999999998E-2</v>
      </c>
      <c r="AJ60" s="262"/>
      <c r="AK60" s="262"/>
      <c r="AL60" s="262"/>
      <c r="AM60" s="262"/>
      <c r="AN60" s="262"/>
      <c r="AO60" s="262"/>
      <c r="AP60" s="262"/>
      <c r="AQ60" s="271"/>
      <c r="AR60" s="271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271"/>
      <c r="BH60" s="271"/>
      <c r="BI60" s="271"/>
      <c r="BJ60" s="271"/>
      <c r="BK60" s="271"/>
      <c r="BL60" s="271"/>
      <c r="BM60" s="271"/>
      <c r="BN60" s="271"/>
    </row>
    <row r="61" spans="1:66">
      <c r="A61" s="271">
        <v>10174</v>
      </c>
      <c r="B61" s="271" t="s">
        <v>65</v>
      </c>
      <c r="C61" s="428">
        <v>1</v>
      </c>
      <c r="D61" s="428">
        <v>0</v>
      </c>
      <c r="E61" s="433">
        <v>0.51500000000000001</v>
      </c>
      <c r="F61" s="433">
        <v>0.49419797358834233</v>
      </c>
      <c r="G61" s="433">
        <v>0.49555194063926927</v>
      </c>
      <c r="H61" s="433">
        <v>0</v>
      </c>
      <c r="I61" s="433">
        <v>0</v>
      </c>
      <c r="J61" s="433">
        <v>0</v>
      </c>
      <c r="K61" s="433">
        <v>0</v>
      </c>
      <c r="L61" s="433">
        <v>0</v>
      </c>
      <c r="M61" s="433">
        <v>0</v>
      </c>
      <c r="N61" s="433">
        <v>0.51500000000000001</v>
      </c>
      <c r="O61" s="433">
        <v>0.51800000000000002</v>
      </c>
      <c r="P61" s="433">
        <v>4523.76</v>
      </c>
      <c r="Q61" s="433">
        <v>4537.68</v>
      </c>
      <c r="R61" s="433">
        <v>0.502</v>
      </c>
      <c r="S61" s="433">
        <v>4409.5680000000002</v>
      </c>
      <c r="T61" s="433">
        <v>1.2999999999999999E-2</v>
      </c>
      <c r="U61" s="433">
        <v>1.6E-2</v>
      </c>
      <c r="V61" s="433">
        <v>0</v>
      </c>
      <c r="W61" s="433">
        <v>0</v>
      </c>
      <c r="X61" s="433">
        <v>7.1899999999999999E-5</v>
      </c>
      <c r="Y61" s="433">
        <v>7.1899999999999999E-5</v>
      </c>
      <c r="Z61" s="433">
        <v>0</v>
      </c>
      <c r="AA61" s="433">
        <v>7.1899999999999999E-5</v>
      </c>
      <c r="AB61" s="433">
        <v>7.1899999999999999E-5</v>
      </c>
      <c r="AC61" s="433">
        <v>7.1899999999999999E-5</v>
      </c>
      <c r="AD61" s="433">
        <v>0.97454022445936062</v>
      </c>
      <c r="AE61" s="433">
        <v>0.96894706099519512</v>
      </c>
      <c r="AF61" s="433">
        <v>1.0258964143426295</v>
      </c>
      <c r="AG61" s="433">
        <v>1.0318725099601593</v>
      </c>
      <c r="AH61" s="433">
        <v>0</v>
      </c>
      <c r="AI61" s="433">
        <v>0</v>
      </c>
      <c r="AJ61" s="262"/>
      <c r="AK61" s="262"/>
      <c r="AL61" s="262"/>
      <c r="AM61" s="262"/>
      <c r="AN61" s="262"/>
      <c r="AO61" s="262"/>
      <c r="AP61" s="262"/>
      <c r="AQ61" s="271"/>
      <c r="AR61" s="271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271"/>
      <c r="BH61" s="271"/>
      <c r="BI61" s="271"/>
      <c r="BJ61" s="271"/>
      <c r="BK61" s="271"/>
      <c r="BL61" s="271"/>
      <c r="BM61" s="271"/>
      <c r="BN61" s="271"/>
    </row>
    <row r="62" spans="1:66">
      <c r="A62" s="271">
        <v>10177</v>
      </c>
      <c r="B62" s="271" t="s">
        <v>66</v>
      </c>
      <c r="C62" s="428">
        <v>1</v>
      </c>
      <c r="D62" s="428">
        <v>0</v>
      </c>
      <c r="E62" s="433">
        <v>11.839</v>
      </c>
      <c r="F62" s="433">
        <v>9.6822589936247709</v>
      </c>
      <c r="G62" s="433">
        <v>9.7087857305936058</v>
      </c>
      <c r="H62" s="433">
        <v>0</v>
      </c>
      <c r="I62" s="433">
        <v>0</v>
      </c>
      <c r="J62" s="433">
        <v>0</v>
      </c>
      <c r="K62" s="433">
        <v>0</v>
      </c>
      <c r="L62" s="433">
        <v>0</v>
      </c>
      <c r="M62" s="433">
        <v>0</v>
      </c>
      <c r="N62" s="433">
        <v>12.34</v>
      </c>
      <c r="O62" s="433">
        <v>12.47</v>
      </c>
      <c r="P62" s="433">
        <v>108394.56</v>
      </c>
      <c r="Q62" s="433">
        <v>109237.20000000001</v>
      </c>
      <c r="R62" s="433">
        <v>11.551</v>
      </c>
      <c r="S62" s="433">
        <v>101463.984</v>
      </c>
      <c r="T62" s="433">
        <v>0.78900000000000003</v>
      </c>
      <c r="U62" s="433">
        <v>0.91900000000000004</v>
      </c>
      <c r="V62" s="433">
        <v>0</v>
      </c>
      <c r="W62" s="433">
        <v>0</v>
      </c>
      <c r="X62" s="433">
        <v>1.6540999999999999E-3</v>
      </c>
      <c r="Y62" s="433">
        <v>1.6540999999999999E-3</v>
      </c>
      <c r="Z62" s="433">
        <v>0</v>
      </c>
      <c r="AA62" s="433">
        <v>1.6540999999999999E-3</v>
      </c>
      <c r="AB62" s="433">
        <v>1.6540999999999999E-3</v>
      </c>
      <c r="AC62" s="433">
        <v>1.6540999999999999E-3</v>
      </c>
      <c r="AD62" s="433">
        <v>0.93604024875769398</v>
      </c>
      <c r="AE62" s="433">
        <v>0.92631731935145134</v>
      </c>
      <c r="AF62" s="433">
        <v>1.0683057743918276</v>
      </c>
      <c r="AG62" s="433">
        <v>1.0795602112371223</v>
      </c>
      <c r="AH62" s="433">
        <v>7.4779999999999999E-2</v>
      </c>
      <c r="AI62" s="433">
        <v>7.5569999999999998E-2</v>
      </c>
      <c r="AJ62" s="262"/>
      <c r="AK62" s="262"/>
      <c r="AL62" s="262"/>
      <c r="AM62" s="262"/>
      <c r="AN62" s="262"/>
      <c r="AO62" s="262"/>
      <c r="AP62" s="262"/>
      <c r="AQ62" s="271"/>
      <c r="AR62" s="271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271"/>
      <c r="BH62" s="271"/>
      <c r="BI62" s="271"/>
      <c r="BJ62" s="271"/>
      <c r="BK62" s="271"/>
      <c r="BL62" s="271"/>
      <c r="BM62" s="271"/>
      <c r="BN62" s="271"/>
    </row>
    <row r="63" spans="1:66">
      <c r="A63" s="271">
        <v>10179</v>
      </c>
      <c r="B63" s="271" t="s">
        <v>67</v>
      </c>
      <c r="C63" s="428">
        <v>1</v>
      </c>
      <c r="D63" s="428">
        <v>0</v>
      </c>
      <c r="E63" s="433">
        <v>169.31100000000001</v>
      </c>
      <c r="F63" s="433">
        <v>177.06545343806923</v>
      </c>
      <c r="G63" s="433">
        <v>177.55056426940641</v>
      </c>
      <c r="H63" s="433">
        <v>0</v>
      </c>
      <c r="I63" s="433">
        <v>0</v>
      </c>
      <c r="J63" s="433">
        <v>6.9008424408014575</v>
      </c>
      <c r="K63" s="433">
        <v>6.868150684931507</v>
      </c>
      <c r="L63" s="433">
        <v>60617</v>
      </c>
      <c r="M63" s="433">
        <v>60165</v>
      </c>
      <c r="N63" s="433">
        <v>167.071</v>
      </c>
      <c r="O63" s="433">
        <v>169.61099999999999</v>
      </c>
      <c r="P63" s="433">
        <v>1467551.6639999999</v>
      </c>
      <c r="Q63" s="433">
        <v>1485792.3599999999</v>
      </c>
      <c r="R63" s="433">
        <v>165.19499999999999</v>
      </c>
      <c r="S63" s="433">
        <v>1451072.88</v>
      </c>
      <c r="T63" s="433">
        <v>1.8759999999999999</v>
      </c>
      <c r="U63" s="433">
        <v>4.4160000000000004</v>
      </c>
      <c r="V63" s="433">
        <v>1.8759999999999999</v>
      </c>
      <c r="W63" s="433">
        <v>4.4160000000000004</v>
      </c>
      <c r="X63" s="433">
        <v>2.36565E-2</v>
      </c>
      <c r="Y63" s="433">
        <v>2.36565E-2</v>
      </c>
      <c r="Z63" s="433">
        <v>0</v>
      </c>
      <c r="AA63" s="433">
        <v>2.36565E-2</v>
      </c>
      <c r="AB63" s="433">
        <v>2.36565E-2</v>
      </c>
      <c r="AC63" s="433">
        <v>2.36565E-2</v>
      </c>
      <c r="AD63" s="433">
        <v>0.98915389969659862</v>
      </c>
      <c r="AE63" s="433">
        <v>0.97483687030195787</v>
      </c>
      <c r="AF63" s="433">
        <v>1.0113562759163413</v>
      </c>
      <c r="AG63" s="433">
        <v>1.0267320439480614</v>
      </c>
      <c r="AH63" s="433">
        <v>0</v>
      </c>
      <c r="AI63" s="433">
        <v>0</v>
      </c>
      <c r="AJ63" s="262"/>
      <c r="AK63" s="262"/>
      <c r="AL63" s="262"/>
      <c r="AM63" s="262"/>
      <c r="AN63" s="262"/>
      <c r="AO63" s="262"/>
      <c r="AP63" s="262"/>
      <c r="AQ63" s="271"/>
      <c r="AR63" s="271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271"/>
      <c r="BH63" s="271"/>
      <c r="BI63" s="271"/>
      <c r="BJ63" s="271"/>
      <c r="BK63" s="271"/>
      <c r="BL63" s="271"/>
      <c r="BM63" s="271"/>
      <c r="BN63" s="271"/>
    </row>
    <row r="64" spans="1:66">
      <c r="A64" s="271">
        <v>10183</v>
      </c>
      <c r="B64" s="271" t="s">
        <v>68</v>
      </c>
      <c r="C64" s="428">
        <v>1</v>
      </c>
      <c r="D64" s="428">
        <v>0</v>
      </c>
      <c r="E64" s="433">
        <v>119.102</v>
      </c>
      <c r="F64" s="433">
        <v>126.53335507741347</v>
      </c>
      <c r="G64" s="433">
        <v>127.97417899543382</v>
      </c>
      <c r="H64" s="433">
        <v>0</v>
      </c>
      <c r="I64" s="433">
        <v>0</v>
      </c>
      <c r="J64" s="433">
        <v>0.688752276867031</v>
      </c>
      <c r="K64" s="433">
        <v>0.68926940639269407</v>
      </c>
      <c r="L64" s="433">
        <v>6050</v>
      </c>
      <c r="M64" s="433">
        <v>6038</v>
      </c>
      <c r="N64" s="433">
        <v>125.845</v>
      </c>
      <c r="O64" s="433">
        <v>127.285</v>
      </c>
      <c r="P64" s="433">
        <v>1105422.48</v>
      </c>
      <c r="Q64" s="433">
        <v>1115016.5999999999</v>
      </c>
      <c r="R64" s="433">
        <v>116.206</v>
      </c>
      <c r="S64" s="433">
        <v>1020753.5040000001</v>
      </c>
      <c r="T64" s="433">
        <v>3.0710000000000002</v>
      </c>
      <c r="U64" s="433">
        <v>3.601</v>
      </c>
      <c r="V64" s="433">
        <v>3.0710000000000002</v>
      </c>
      <c r="W64" s="433">
        <v>3.601</v>
      </c>
      <c r="X64" s="433">
        <v>1.6641099999999999E-2</v>
      </c>
      <c r="Y64" s="433">
        <v>1.6641099999999999E-2</v>
      </c>
      <c r="Z64" s="433">
        <v>7.8002999999999996E-3</v>
      </c>
      <c r="AA64" s="433">
        <v>8.8407999999999994E-3</v>
      </c>
      <c r="AB64" s="433">
        <v>8.8407999999999994E-3</v>
      </c>
      <c r="AC64" s="433">
        <v>8.8407999999999994E-3</v>
      </c>
      <c r="AD64" s="433">
        <v>0.9743991331018288</v>
      </c>
      <c r="AE64" s="433">
        <v>0.97011457595558193</v>
      </c>
      <c r="AF64" s="433">
        <v>1.0829475242242224</v>
      </c>
      <c r="AG64" s="433">
        <v>1.0953393112231726</v>
      </c>
      <c r="AH64" s="433">
        <v>0</v>
      </c>
      <c r="AI64" s="433">
        <v>0</v>
      </c>
      <c r="AJ64" s="262"/>
      <c r="AK64" s="262"/>
      <c r="AL64" s="262"/>
      <c r="AM64" s="262"/>
      <c r="AN64" s="262"/>
      <c r="AO64" s="262"/>
      <c r="AP64" s="262"/>
      <c r="AQ64" s="271"/>
      <c r="AR64" s="271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271"/>
      <c r="BH64" s="271"/>
      <c r="BI64" s="271"/>
      <c r="BJ64" s="271"/>
      <c r="BK64" s="271"/>
      <c r="BL64" s="271"/>
      <c r="BM64" s="271"/>
      <c r="BN64" s="271"/>
    </row>
    <row r="65" spans="1:66">
      <c r="A65" s="271">
        <v>10186</v>
      </c>
      <c r="B65" s="271" t="s">
        <v>69</v>
      </c>
      <c r="C65" s="428">
        <v>1</v>
      </c>
      <c r="D65" s="428">
        <v>0</v>
      </c>
      <c r="E65" s="433">
        <v>21.635000000000002</v>
      </c>
      <c r="F65" s="433">
        <v>21.583560678506377</v>
      </c>
      <c r="G65" s="433">
        <v>21.642693721461189</v>
      </c>
      <c r="H65" s="433">
        <v>0</v>
      </c>
      <c r="I65" s="433">
        <v>0</v>
      </c>
      <c r="J65" s="433">
        <v>0</v>
      </c>
      <c r="K65" s="433">
        <v>0</v>
      </c>
      <c r="L65" s="433">
        <v>0</v>
      </c>
      <c r="M65" s="433">
        <v>0</v>
      </c>
      <c r="N65" s="433">
        <v>21.63</v>
      </c>
      <c r="O65" s="433">
        <v>21.852</v>
      </c>
      <c r="P65" s="433">
        <v>189997.91999999998</v>
      </c>
      <c r="Q65" s="433">
        <v>191423.52</v>
      </c>
      <c r="R65" s="433">
        <v>21.109000000000002</v>
      </c>
      <c r="S65" s="433">
        <v>185421.45600000001</v>
      </c>
      <c r="T65" s="433">
        <v>0.52100000000000002</v>
      </c>
      <c r="U65" s="433">
        <v>0.74299999999999999</v>
      </c>
      <c r="V65" s="433">
        <v>0</v>
      </c>
      <c r="W65" s="433">
        <v>0</v>
      </c>
      <c r="X65" s="433">
        <v>3.0228999999999998E-3</v>
      </c>
      <c r="Y65" s="433">
        <v>3.0228999999999998E-3</v>
      </c>
      <c r="Z65" s="433">
        <v>0</v>
      </c>
      <c r="AA65" s="433">
        <v>3.0228999999999998E-3</v>
      </c>
      <c r="AB65" s="433">
        <v>3.0228999999999998E-3</v>
      </c>
      <c r="AC65" s="433">
        <v>3.0228999999999998E-3</v>
      </c>
      <c r="AD65" s="433">
        <v>0.97591447540444354</v>
      </c>
      <c r="AE65" s="433">
        <v>0.96600303331289705</v>
      </c>
      <c r="AF65" s="433">
        <v>1.0246814155099719</v>
      </c>
      <c r="AG65" s="433">
        <v>1.035198256667772</v>
      </c>
      <c r="AH65" s="433">
        <v>7.1730000000000002E-2</v>
      </c>
      <c r="AI65" s="433">
        <v>7.2459999999999997E-2</v>
      </c>
      <c r="AJ65" s="262"/>
      <c r="AK65" s="262"/>
      <c r="AL65" s="262"/>
      <c r="AM65" s="262"/>
      <c r="AN65" s="262"/>
      <c r="AO65" s="262"/>
      <c r="AP65" s="262"/>
      <c r="AQ65" s="271"/>
      <c r="AR65" s="271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271"/>
      <c r="BH65" s="271"/>
      <c r="BI65" s="271"/>
      <c r="BJ65" s="271"/>
      <c r="BK65" s="271"/>
      <c r="BL65" s="271"/>
      <c r="BM65" s="271"/>
      <c r="BN65" s="271"/>
    </row>
    <row r="66" spans="1:66">
      <c r="A66" s="271">
        <v>10190</v>
      </c>
      <c r="B66" s="271" t="s">
        <v>70</v>
      </c>
      <c r="C66" s="428">
        <v>1</v>
      </c>
      <c r="D66" s="428">
        <v>0</v>
      </c>
      <c r="E66" s="433">
        <v>5.2690000000000001</v>
      </c>
      <c r="F66" s="433">
        <v>5.4779696038251364</v>
      </c>
      <c r="G66" s="433">
        <v>5.4929777397260278</v>
      </c>
      <c r="H66" s="433">
        <v>0</v>
      </c>
      <c r="I66" s="433">
        <v>0</v>
      </c>
      <c r="J66" s="433">
        <v>0</v>
      </c>
      <c r="K66" s="433">
        <v>0</v>
      </c>
      <c r="L66" s="433">
        <v>0</v>
      </c>
      <c r="M66" s="433">
        <v>0</v>
      </c>
      <c r="N66" s="433">
        <v>5.5460000000000003</v>
      </c>
      <c r="O66" s="433">
        <v>5.6150000000000002</v>
      </c>
      <c r="P66" s="433">
        <v>48716.064000000006</v>
      </c>
      <c r="Q66" s="433">
        <v>49187.4</v>
      </c>
      <c r="R66" s="433">
        <v>5.141</v>
      </c>
      <c r="S66" s="433">
        <v>45158.544000000002</v>
      </c>
      <c r="T66" s="433">
        <v>0.40500000000000003</v>
      </c>
      <c r="U66" s="433">
        <v>0.47399999999999998</v>
      </c>
      <c r="V66" s="433">
        <v>0</v>
      </c>
      <c r="W66" s="433">
        <v>0</v>
      </c>
      <c r="X66" s="433">
        <v>7.3620000000000001E-4</v>
      </c>
      <c r="Y66" s="433">
        <v>7.3620000000000001E-4</v>
      </c>
      <c r="Z66" s="433">
        <v>0</v>
      </c>
      <c r="AA66" s="433">
        <v>7.3620000000000001E-4</v>
      </c>
      <c r="AB66" s="433">
        <v>7.3620000000000001E-4</v>
      </c>
      <c r="AC66" s="433">
        <v>7.3620000000000001E-4</v>
      </c>
      <c r="AD66" s="433">
        <v>0.92691623865306527</v>
      </c>
      <c r="AE66" s="433">
        <v>0.91559531408281702</v>
      </c>
      <c r="AF66" s="433">
        <v>1.0787784477728068</v>
      </c>
      <c r="AG66" s="433">
        <v>1.092199961097063</v>
      </c>
      <c r="AH66" s="433">
        <v>0</v>
      </c>
      <c r="AI66" s="433">
        <v>0</v>
      </c>
      <c r="AJ66" s="262"/>
      <c r="AK66" s="262"/>
      <c r="AL66" s="262"/>
      <c r="AM66" s="262"/>
      <c r="AN66" s="262"/>
      <c r="AO66" s="262"/>
      <c r="AP66" s="262"/>
      <c r="AQ66" s="271"/>
      <c r="AR66" s="271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271"/>
      <c r="BH66" s="271"/>
      <c r="BI66" s="271"/>
      <c r="BJ66" s="271"/>
      <c r="BK66" s="271"/>
      <c r="BL66" s="271"/>
      <c r="BM66" s="271"/>
      <c r="BN66" s="271"/>
    </row>
    <row r="67" spans="1:66">
      <c r="A67" s="271">
        <v>10191</v>
      </c>
      <c r="B67" s="271" t="s">
        <v>71</v>
      </c>
      <c r="C67" s="428">
        <v>1</v>
      </c>
      <c r="D67" s="428">
        <v>0</v>
      </c>
      <c r="E67" s="433">
        <v>133.17400000000001</v>
      </c>
      <c r="F67" s="433">
        <v>127.57121880692166</v>
      </c>
      <c r="G67" s="433">
        <v>127.89098493150686</v>
      </c>
      <c r="H67" s="433">
        <v>0</v>
      </c>
      <c r="I67" s="433">
        <v>0</v>
      </c>
      <c r="J67" s="433">
        <v>0</v>
      </c>
      <c r="K67" s="433">
        <v>0</v>
      </c>
      <c r="L67" s="433">
        <v>0</v>
      </c>
      <c r="M67" s="433">
        <v>0</v>
      </c>
      <c r="N67" s="433">
        <v>127.571</v>
      </c>
      <c r="O67" s="433">
        <v>127.89100000000001</v>
      </c>
      <c r="P67" s="433">
        <v>1120583.6639999999</v>
      </c>
      <c r="Q67" s="433">
        <v>1120325.1600000001</v>
      </c>
      <c r="R67" s="433">
        <v>129.93600000000001</v>
      </c>
      <c r="S67" s="433">
        <v>1141357.824</v>
      </c>
      <c r="T67" s="433">
        <v>1.8160000000000001</v>
      </c>
      <c r="U67" s="433">
        <v>2.3210000000000002</v>
      </c>
      <c r="V67" s="433">
        <v>1.8160000000000001</v>
      </c>
      <c r="W67" s="433">
        <v>2.3210000000000002</v>
      </c>
      <c r="X67" s="433">
        <v>1.8268599999999999E-2</v>
      </c>
      <c r="Y67" s="433">
        <v>1.8314400000000002E-2</v>
      </c>
      <c r="Z67" s="433">
        <v>9.6959999999999998E-3</v>
      </c>
      <c r="AA67" s="433">
        <v>8.5725999999999997E-3</v>
      </c>
      <c r="AB67" s="433">
        <v>8.6184000000000018E-3</v>
      </c>
      <c r="AC67" s="433">
        <v>8.5955000000000007E-3</v>
      </c>
      <c r="AD67" s="433">
        <v>0.98621768214890793</v>
      </c>
      <c r="AE67" s="433">
        <v>0.98245017278461066</v>
      </c>
      <c r="AF67" s="433">
        <v>1</v>
      </c>
      <c r="AG67" s="433">
        <v>1</v>
      </c>
      <c r="AH67" s="433">
        <v>0</v>
      </c>
      <c r="AI67" s="433">
        <v>0</v>
      </c>
      <c r="AJ67" s="262"/>
      <c r="AK67" s="262"/>
      <c r="AL67" s="262"/>
      <c r="AM67" s="262"/>
      <c r="AN67" s="262"/>
      <c r="AO67" s="262"/>
      <c r="AP67" s="262"/>
      <c r="AQ67" s="271"/>
      <c r="AR67" s="271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271"/>
      <c r="BH67" s="271"/>
      <c r="BI67" s="271"/>
      <c r="BJ67" s="271"/>
      <c r="BK67" s="271"/>
      <c r="BL67" s="271"/>
      <c r="BM67" s="271"/>
      <c r="BN67" s="271"/>
    </row>
    <row r="68" spans="1:66">
      <c r="A68" s="271">
        <v>10197</v>
      </c>
      <c r="B68" s="271" t="s">
        <v>72</v>
      </c>
      <c r="C68" s="428">
        <v>1</v>
      </c>
      <c r="D68" s="428">
        <v>0</v>
      </c>
      <c r="E68" s="433">
        <v>23.091999999999999</v>
      </c>
      <c r="F68" s="433">
        <v>27.101543260473591</v>
      </c>
      <c r="G68" s="433">
        <v>27.17579406392694</v>
      </c>
      <c r="H68" s="433">
        <v>0</v>
      </c>
      <c r="I68" s="433">
        <v>0</v>
      </c>
      <c r="J68" s="433">
        <v>0</v>
      </c>
      <c r="K68" s="433">
        <v>0</v>
      </c>
      <c r="L68" s="433">
        <v>0</v>
      </c>
      <c r="M68" s="433">
        <v>0</v>
      </c>
      <c r="N68" s="433">
        <v>23.088000000000001</v>
      </c>
      <c r="O68" s="433">
        <v>23.163</v>
      </c>
      <c r="P68" s="433">
        <v>202804.992</v>
      </c>
      <c r="Q68" s="433">
        <v>202907.88</v>
      </c>
      <c r="R68" s="433">
        <v>22.530999999999999</v>
      </c>
      <c r="S68" s="433">
        <v>197912.304</v>
      </c>
      <c r="T68" s="433">
        <v>0.55700000000000005</v>
      </c>
      <c r="U68" s="433">
        <v>0.63200000000000001</v>
      </c>
      <c r="V68" s="433">
        <v>0</v>
      </c>
      <c r="W68" s="433">
        <v>0</v>
      </c>
      <c r="X68" s="433">
        <v>3.2265000000000002E-3</v>
      </c>
      <c r="Y68" s="433">
        <v>3.2265000000000002E-3</v>
      </c>
      <c r="Z68" s="433">
        <v>0</v>
      </c>
      <c r="AA68" s="433">
        <v>3.2265000000000002E-3</v>
      </c>
      <c r="AB68" s="433">
        <v>3.2265000000000002E-3</v>
      </c>
      <c r="AC68" s="433">
        <v>3.2265000000000002E-3</v>
      </c>
      <c r="AD68" s="433">
        <v>0.9758774477371055</v>
      </c>
      <c r="AE68" s="433">
        <v>0.97271876535356738</v>
      </c>
      <c r="AF68" s="433">
        <v>1.0247214948293464</v>
      </c>
      <c r="AG68" s="433">
        <v>1.028050241888953</v>
      </c>
      <c r="AH68" s="433">
        <v>7.1730000000000002E-2</v>
      </c>
      <c r="AI68" s="433">
        <v>7.1959999999999996E-2</v>
      </c>
      <c r="AJ68" s="262"/>
      <c r="AK68" s="262"/>
      <c r="AL68" s="262"/>
      <c r="AM68" s="262"/>
      <c r="AN68" s="262"/>
      <c r="AO68" s="262"/>
      <c r="AP68" s="262"/>
      <c r="AQ68" s="271"/>
      <c r="AR68" s="271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271"/>
      <c r="BH68" s="271"/>
      <c r="BI68" s="271"/>
      <c r="BJ68" s="271"/>
      <c r="BK68" s="271"/>
      <c r="BL68" s="271"/>
      <c r="BM68" s="271"/>
      <c r="BN68" s="271"/>
    </row>
    <row r="69" spans="1:66">
      <c r="A69" s="271">
        <v>10202</v>
      </c>
      <c r="B69" s="271" t="s">
        <v>73</v>
      </c>
      <c r="C69" s="428">
        <v>1</v>
      </c>
      <c r="D69" s="428">
        <v>0</v>
      </c>
      <c r="E69" s="433">
        <v>13.294</v>
      </c>
      <c r="F69" s="433">
        <v>14.353478597449909</v>
      </c>
      <c r="G69" s="433">
        <v>14.392803196347032</v>
      </c>
      <c r="H69" s="433">
        <v>0</v>
      </c>
      <c r="I69" s="433">
        <v>0</v>
      </c>
      <c r="J69" s="433">
        <v>0</v>
      </c>
      <c r="K69" s="433">
        <v>0</v>
      </c>
      <c r="L69" s="433">
        <v>0</v>
      </c>
      <c r="M69" s="433">
        <v>0</v>
      </c>
      <c r="N69" s="433">
        <v>13.683999999999999</v>
      </c>
      <c r="O69" s="433">
        <v>13.858000000000001</v>
      </c>
      <c r="P69" s="433">
        <v>120200.25599999999</v>
      </c>
      <c r="Q69" s="433">
        <v>121396.08</v>
      </c>
      <c r="R69" s="433">
        <v>12.971</v>
      </c>
      <c r="S69" s="433">
        <v>113937.264</v>
      </c>
      <c r="T69" s="433">
        <v>0.71299999999999997</v>
      </c>
      <c r="U69" s="433">
        <v>0.88700000000000001</v>
      </c>
      <c r="V69" s="433">
        <v>0</v>
      </c>
      <c r="W69" s="433">
        <v>0</v>
      </c>
      <c r="X69" s="433">
        <v>1.8575E-3</v>
      </c>
      <c r="Y69" s="433">
        <v>1.8575E-3</v>
      </c>
      <c r="Z69" s="433">
        <v>0</v>
      </c>
      <c r="AA69" s="433">
        <v>1.8575E-3</v>
      </c>
      <c r="AB69" s="433">
        <v>1.8575E-3</v>
      </c>
      <c r="AC69" s="433">
        <v>1.8575E-3</v>
      </c>
      <c r="AD69" s="433">
        <v>0.94790886840951072</v>
      </c>
      <c r="AE69" s="433">
        <v>0.93602281345184102</v>
      </c>
      <c r="AF69" s="433">
        <v>1.0549687765014262</v>
      </c>
      <c r="AG69" s="433">
        <v>1.0683833166294041</v>
      </c>
      <c r="AH69" s="433">
        <v>0</v>
      </c>
      <c r="AI69" s="433">
        <v>0</v>
      </c>
      <c r="AJ69" s="262"/>
      <c r="AK69" s="262"/>
      <c r="AL69" s="262"/>
      <c r="AM69" s="262"/>
      <c r="AN69" s="262"/>
      <c r="AO69" s="262"/>
      <c r="AP69" s="262"/>
      <c r="AQ69" s="271"/>
      <c r="AR69" s="271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271"/>
      <c r="BH69" s="271"/>
      <c r="BI69" s="271"/>
      <c r="BJ69" s="271"/>
      <c r="BK69" s="271"/>
      <c r="BL69" s="271"/>
      <c r="BM69" s="271"/>
      <c r="BN69" s="271"/>
    </row>
    <row r="70" spans="1:66">
      <c r="A70" s="271">
        <v>10203</v>
      </c>
      <c r="B70" s="271" t="s">
        <v>74</v>
      </c>
      <c r="C70" s="428">
        <v>1</v>
      </c>
      <c r="D70" s="428">
        <v>0</v>
      </c>
      <c r="E70" s="433">
        <v>6.306</v>
      </c>
      <c r="F70" s="433">
        <v>6.348189435336975</v>
      </c>
      <c r="G70" s="433">
        <v>6.3655817351598163</v>
      </c>
      <c r="H70" s="433">
        <v>0</v>
      </c>
      <c r="I70" s="433">
        <v>0</v>
      </c>
      <c r="J70" s="433">
        <v>0</v>
      </c>
      <c r="K70" s="433">
        <v>0</v>
      </c>
      <c r="L70" s="433">
        <v>0</v>
      </c>
      <c r="M70" s="433">
        <v>0</v>
      </c>
      <c r="N70" s="433">
        <v>6.2510000000000003</v>
      </c>
      <c r="O70" s="433">
        <v>6.3179999999999996</v>
      </c>
      <c r="P70" s="433">
        <v>54908.784</v>
      </c>
      <c r="Q70" s="433">
        <v>55345.679999999993</v>
      </c>
      <c r="R70" s="433">
        <v>6.1529999999999996</v>
      </c>
      <c r="S70" s="433">
        <v>54047.951999999997</v>
      </c>
      <c r="T70" s="433">
        <v>9.8000000000000004E-2</v>
      </c>
      <c r="U70" s="433">
        <v>0.16500000000000001</v>
      </c>
      <c r="V70" s="433">
        <v>0</v>
      </c>
      <c r="W70" s="433">
        <v>0</v>
      </c>
      <c r="X70" s="433">
        <v>8.811E-4</v>
      </c>
      <c r="Y70" s="433">
        <v>8.811E-4</v>
      </c>
      <c r="Z70" s="433">
        <v>0</v>
      </c>
      <c r="AA70" s="433">
        <v>8.811E-4</v>
      </c>
      <c r="AB70" s="433">
        <v>8.811E-4</v>
      </c>
      <c r="AC70" s="433">
        <v>8.811E-4</v>
      </c>
      <c r="AD70" s="433">
        <v>0.98425362387135162</v>
      </c>
      <c r="AE70" s="433">
        <v>0.97391678013794658</v>
      </c>
      <c r="AF70" s="433">
        <v>1.0159271899886235</v>
      </c>
      <c r="AG70" s="433">
        <v>1.0268161872257435</v>
      </c>
      <c r="AH70" s="433">
        <v>7.1110000000000007E-2</v>
      </c>
      <c r="AI70" s="433">
        <v>7.1879999999999999E-2</v>
      </c>
      <c r="AJ70" s="262"/>
      <c r="AK70" s="262"/>
      <c r="AL70" s="262"/>
      <c r="AM70" s="262"/>
      <c r="AN70" s="262"/>
      <c r="AO70" s="262"/>
      <c r="AP70" s="262"/>
      <c r="AQ70" s="271"/>
      <c r="AR70" s="271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271"/>
      <c r="BH70" s="271"/>
      <c r="BI70" s="271"/>
      <c r="BJ70" s="271"/>
      <c r="BK70" s="271"/>
      <c r="BL70" s="271"/>
      <c r="BM70" s="271"/>
      <c r="BN70" s="271"/>
    </row>
    <row r="71" spans="1:66">
      <c r="A71" s="271">
        <v>10204</v>
      </c>
      <c r="B71" s="271" t="s">
        <v>75</v>
      </c>
      <c r="C71" s="428">
        <v>1</v>
      </c>
      <c r="D71" s="428">
        <v>0</v>
      </c>
      <c r="E71" s="433">
        <v>80.742999999999995</v>
      </c>
      <c r="F71" s="433">
        <v>82.795486338797801</v>
      </c>
      <c r="G71" s="433">
        <v>83.163745776255695</v>
      </c>
      <c r="H71" s="433">
        <v>0</v>
      </c>
      <c r="I71" s="433">
        <v>0</v>
      </c>
      <c r="J71" s="433">
        <v>5.8063524590163933</v>
      </c>
      <c r="K71" s="433">
        <v>17.322488584474886</v>
      </c>
      <c r="L71" s="433">
        <v>51003</v>
      </c>
      <c r="M71" s="433">
        <v>151745</v>
      </c>
      <c r="N71" s="433">
        <v>76.989000000000004</v>
      </c>
      <c r="O71" s="433">
        <v>65.840999999999994</v>
      </c>
      <c r="P71" s="433">
        <v>676271.37600000005</v>
      </c>
      <c r="Q71" s="433">
        <v>576767.15999999992</v>
      </c>
      <c r="R71" s="433">
        <v>78.78</v>
      </c>
      <c r="S71" s="433">
        <v>692003.52</v>
      </c>
      <c r="T71" s="433">
        <v>1.736</v>
      </c>
      <c r="U71" s="433">
        <v>2.5299999999999998</v>
      </c>
      <c r="V71" s="433">
        <v>1.736</v>
      </c>
      <c r="W71" s="433">
        <v>2.5299999999999998</v>
      </c>
      <c r="X71" s="433">
        <v>1.1025099999999999E-2</v>
      </c>
      <c r="Y71" s="433">
        <v>9.4286000000000005E-3</v>
      </c>
      <c r="Z71" s="433">
        <v>5.4968999999999999E-3</v>
      </c>
      <c r="AA71" s="433">
        <v>5.5281999999999996E-3</v>
      </c>
      <c r="AB71" s="433">
        <v>3.9317000000000006E-3</v>
      </c>
      <c r="AC71" s="433">
        <v>4.7299500000000001E-3</v>
      </c>
      <c r="AD71" s="433">
        <v>0.97988003405787782</v>
      </c>
      <c r="AE71" s="433">
        <v>0.97095097883066228</v>
      </c>
      <c r="AF71" s="433">
        <v>1</v>
      </c>
      <c r="AG71" s="433">
        <v>1</v>
      </c>
      <c r="AH71" s="433">
        <v>0</v>
      </c>
      <c r="AI71" s="433">
        <v>0</v>
      </c>
      <c r="AJ71" s="262"/>
      <c r="AK71" s="262"/>
      <c r="AL71" s="262"/>
      <c r="AM71" s="262"/>
      <c r="AN71" s="262"/>
      <c r="AO71" s="262"/>
      <c r="AP71" s="262"/>
      <c r="AQ71" s="271"/>
      <c r="AR71" s="271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271"/>
      <c r="BH71" s="271"/>
      <c r="BI71" s="271"/>
      <c r="BJ71" s="271"/>
      <c r="BK71" s="271"/>
      <c r="BL71" s="271"/>
      <c r="BM71" s="271"/>
      <c r="BN71" s="271"/>
    </row>
    <row r="72" spans="1:66">
      <c r="A72" s="271">
        <v>10209</v>
      </c>
      <c r="B72" s="271" t="s">
        <v>76</v>
      </c>
      <c r="C72" s="428">
        <v>1</v>
      </c>
      <c r="D72" s="428">
        <v>0</v>
      </c>
      <c r="E72" s="433">
        <v>109.349</v>
      </c>
      <c r="F72" s="433">
        <v>106.07342873406193</v>
      </c>
      <c r="G72" s="433">
        <v>106.36404086757992</v>
      </c>
      <c r="H72" s="433">
        <v>0</v>
      </c>
      <c r="I72" s="433">
        <v>0</v>
      </c>
      <c r="J72" s="433">
        <v>0</v>
      </c>
      <c r="K72" s="433">
        <v>0</v>
      </c>
      <c r="L72" s="433">
        <v>0</v>
      </c>
      <c r="M72" s="433">
        <v>0</v>
      </c>
      <c r="N72" s="433">
        <v>109.416</v>
      </c>
      <c r="O72" s="433">
        <v>110.589</v>
      </c>
      <c r="P72" s="433">
        <v>961110.14399999997</v>
      </c>
      <c r="Q72" s="433">
        <v>968759.64</v>
      </c>
      <c r="R72" s="433">
        <v>106.69</v>
      </c>
      <c r="S72" s="433">
        <v>937164.96</v>
      </c>
      <c r="T72" s="433">
        <v>2.726</v>
      </c>
      <c r="U72" s="433">
        <v>3.899</v>
      </c>
      <c r="V72" s="433">
        <v>2.726</v>
      </c>
      <c r="W72" s="433">
        <v>3.899</v>
      </c>
      <c r="X72" s="433">
        <v>1.52783E-2</v>
      </c>
      <c r="Y72" s="433">
        <v>1.52783E-2</v>
      </c>
      <c r="Z72" s="433">
        <v>0</v>
      </c>
      <c r="AA72" s="433">
        <v>1.52783E-2</v>
      </c>
      <c r="AB72" s="433">
        <v>1.52783E-2</v>
      </c>
      <c r="AC72" s="433">
        <v>1.52783E-2</v>
      </c>
      <c r="AD72" s="433">
        <v>0.97508639681744369</v>
      </c>
      <c r="AE72" s="433">
        <v>0.96474010169733904</v>
      </c>
      <c r="AF72" s="433">
        <v>1.0255506607929514</v>
      </c>
      <c r="AG72" s="433">
        <v>1.0365451307526479</v>
      </c>
      <c r="AH72" s="433">
        <v>7.1790000000000007E-2</v>
      </c>
      <c r="AI72" s="433">
        <v>7.2559999999999999E-2</v>
      </c>
      <c r="AJ72" s="262"/>
      <c r="AK72" s="262"/>
      <c r="AL72" s="262"/>
      <c r="AM72" s="262"/>
      <c r="AN72" s="262"/>
      <c r="AO72" s="262"/>
      <c r="AP72" s="262"/>
      <c r="AQ72" s="271"/>
      <c r="AR72" s="271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271"/>
      <c r="BH72" s="271"/>
      <c r="BI72" s="271"/>
      <c r="BJ72" s="271"/>
      <c r="BK72" s="271"/>
      <c r="BL72" s="271"/>
      <c r="BM72" s="271"/>
      <c r="BN72" s="271"/>
    </row>
    <row r="73" spans="1:66">
      <c r="A73" s="271">
        <v>10230</v>
      </c>
      <c r="B73" s="271" t="s">
        <v>77</v>
      </c>
      <c r="C73" s="428">
        <v>1</v>
      </c>
      <c r="D73" s="428">
        <v>0</v>
      </c>
      <c r="E73" s="433">
        <v>9.8469999999999995</v>
      </c>
      <c r="F73" s="433">
        <v>11.563189321493626</v>
      </c>
      <c r="G73" s="433">
        <v>11.594869292237444</v>
      </c>
      <c r="H73" s="433">
        <v>0</v>
      </c>
      <c r="I73" s="433">
        <v>0</v>
      </c>
      <c r="J73" s="433">
        <v>0.97791438979963574</v>
      </c>
      <c r="K73" s="433">
        <v>0.97819634703196345</v>
      </c>
      <c r="L73" s="433">
        <v>8590</v>
      </c>
      <c r="M73" s="433">
        <v>8569</v>
      </c>
      <c r="N73" s="433">
        <v>10.476000000000001</v>
      </c>
      <c r="O73" s="433">
        <v>10.566000000000001</v>
      </c>
      <c r="P73" s="433">
        <v>92021.184000000008</v>
      </c>
      <c r="Q73" s="433">
        <v>92558.16</v>
      </c>
      <c r="R73" s="433">
        <v>9.6080000000000005</v>
      </c>
      <c r="S73" s="433">
        <v>84396.672000000006</v>
      </c>
      <c r="T73" s="433">
        <v>0.86799999999999999</v>
      </c>
      <c r="U73" s="433">
        <v>0.95799999999999996</v>
      </c>
      <c r="V73" s="433">
        <v>0</v>
      </c>
      <c r="W73" s="433">
        <v>0</v>
      </c>
      <c r="X73" s="433">
        <v>1.3759E-3</v>
      </c>
      <c r="Y73" s="433">
        <v>1.3759E-3</v>
      </c>
      <c r="Z73" s="433">
        <v>0</v>
      </c>
      <c r="AA73" s="433">
        <v>1.3759E-3</v>
      </c>
      <c r="AB73" s="433">
        <v>1.3759E-3</v>
      </c>
      <c r="AC73" s="433">
        <v>1.3759E-3</v>
      </c>
      <c r="AD73" s="433">
        <v>0.92421335592047182</v>
      </c>
      <c r="AE73" s="433">
        <v>0.91700063763283124</v>
      </c>
      <c r="AF73" s="433">
        <v>1.0903413821815153</v>
      </c>
      <c r="AG73" s="433">
        <v>1.0997085761865113</v>
      </c>
      <c r="AH73" s="433">
        <v>7.6319999999999999E-2</v>
      </c>
      <c r="AI73" s="433">
        <v>7.6980000000000007E-2</v>
      </c>
      <c r="AJ73" s="262"/>
      <c r="AK73" s="262"/>
      <c r="AL73" s="262"/>
      <c r="AM73" s="262"/>
      <c r="AN73" s="262"/>
      <c r="AO73" s="262"/>
      <c r="AP73" s="262"/>
      <c r="AQ73" s="271"/>
      <c r="AR73" s="271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271"/>
      <c r="BH73" s="271"/>
      <c r="BI73" s="271"/>
      <c r="BJ73" s="271"/>
      <c r="BK73" s="271"/>
      <c r="BL73" s="271"/>
      <c r="BM73" s="271"/>
      <c r="BN73" s="271"/>
    </row>
    <row r="74" spans="1:66">
      <c r="A74" s="271">
        <v>10231</v>
      </c>
      <c r="B74" s="271" t="s">
        <v>78</v>
      </c>
      <c r="C74" s="428">
        <v>1</v>
      </c>
      <c r="D74" s="428">
        <v>0</v>
      </c>
      <c r="E74" s="433">
        <v>37.206000000000003</v>
      </c>
      <c r="F74" s="433">
        <v>47.888296561930787</v>
      </c>
      <c r="G74" s="433">
        <v>48.019497374429228</v>
      </c>
      <c r="H74" s="433">
        <v>0</v>
      </c>
      <c r="I74" s="433">
        <v>0</v>
      </c>
      <c r="J74" s="433">
        <v>4.4189435336976324</v>
      </c>
      <c r="K74" s="433">
        <v>4.4187214611872143</v>
      </c>
      <c r="L74" s="433">
        <v>38816</v>
      </c>
      <c r="M74" s="433">
        <v>38708</v>
      </c>
      <c r="N74" s="433">
        <v>39.683</v>
      </c>
      <c r="O74" s="433">
        <v>40.322000000000003</v>
      </c>
      <c r="P74" s="433">
        <v>348575.47200000001</v>
      </c>
      <c r="Q74" s="433">
        <v>353220.72000000003</v>
      </c>
      <c r="R74" s="433">
        <v>36.301000000000002</v>
      </c>
      <c r="S74" s="433">
        <v>318867.984</v>
      </c>
      <c r="T74" s="433">
        <v>3.3820000000000001</v>
      </c>
      <c r="U74" s="433">
        <v>4.0209999999999999</v>
      </c>
      <c r="V74" s="433">
        <v>3.3820000000000001</v>
      </c>
      <c r="W74" s="433">
        <v>4.0209999999999999</v>
      </c>
      <c r="X74" s="433">
        <v>5.1983999999999997E-3</v>
      </c>
      <c r="Y74" s="433">
        <v>5.1983999999999997E-3</v>
      </c>
      <c r="Z74" s="433">
        <v>0</v>
      </c>
      <c r="AA74" s="433">
        <v>5.1983999999999997E-3</v>
      </c>
      <c r="AB74" s="433">
        <v>5.1983999999999997E-3</v>
      </c>
      <c r="AC74" s="433">
        <v>5.1983999999999997E-3</v>
      </c>
      <c r="AD74" s="433">
        <v>0.92332056625818681</v>
      </c>
      <c r="AE74" s="433">
        <v>0.91011857696862219</v>
      </c>
      <c r="AF74" s="433">
        <v>1.0931654775350541</v>
      </c>
      <c r="AG74" s="433">
        <v>1.1107682983939837</v>
      </c>
      <c r="AH74" s="433">
        <v>7.6520000000000005E-2</v>
      </c>
      <c r="AI74" s="433">
        <v>7.775E-2</v>
      </c>
      <c r="AJ74" s="262"/>
      <c r="AK74" s="262"/>
      <c r="AL74" s="262"/>
      <c r="AM74" s="262"/>
      <c r="AN74" s="262"/>
      <c r="AO74" s="262"/>
      <c r="AP74" s="262"/>
      <c r="AQ74" s="271"/>
      <c r="AR74" s="271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271"/>
      <c r="BH74" s="271"/>
      <c r="BI74" s="271"/>
      <c r="BJ74" s="271"/>
      <c r="BK74" s="271"/>
      <c r="BL74" s="271"/>
      <c r="BM74" s="271"/>
      <c r="BN74" s="271"/>
    </row>
    <row r="75" spans="1:66">
      <c r="A75" s="271">
        <v>10234</v>
      </c>
      <c r="B75" s="271" t="s">
        <v>79</v>
      </c>
      <c r="C75" s="428">
        <v>1</v>
      </c>
      <c r="D75" s="428">
        <v>0</v>
      </c>
      <c r="E75" s="433">
        <v>51.76</v>
      </c>
      <c r="F75" s="433">
        <v>53.087121243169399</v>
      </c>
      <c r="G75" s="433">
        <v>53.232565410958905</v>
      </c>
      <c r="H75" s="433">
        <v>0</v>
      </c>
      <c r="I75" s="433">
        <v>0</v>
      </c>
      <c r="J75" s="433">
        <v>0</v>
      </c>
      <c r="K75" s="433">
        <v>0</v>
      </c>
      <c r="L75" s="433">
        <v>0</v>
      </c>
      <c r="M75" s="433">
        <v>0</v>
      </c>
      <c r="N75" s="433">
        <v>51.877000000000002</v>
      </c>
      <c r="O75" s="433">
        <v>52.353999999999999</v>
      </c>
      <c r="P75" s="433">
        <v>455687.56800000003</v>
      </c>
      <c r="Q75" s="433">
        <v>458621.04</v>
      </c>
      <c r="R75" s="433">
        <v>50.502000000000002</v>
      </c>
      <c r="S75" s="433">
        <v>443609.56800000003</v>
      </c>
      <c r="T75" s="433">
        <v>1.375</v>
      </c>
      <c r="U75" s="433">
        <v>1.8520000000000001</v>
      </c>
      <c r="V75" s="433">
        <v>1.375</v>
      </c>
      <c r="W75" s="433">
        <v>1.8520000000000001</v>
      </c>
      <c r="X75" s="433">
        <v>7.2319999999999997E-3</v>
      </c>
      <c r="Y75" s="433">
        <v>7.2319999999999997E-3</v>
      </c>
      <c r="Z75" s="433">
        <v>0</v>
      </c>
      <c r="AA75" s="433">
        <v>7.2319999999999997E-3</v>
      </c>
      <c r="AB75" s="433">
        <v>7.2319999999999997E-3</v>
      </c>
      <c r="AC75" s="433">
        <v>7.2319999999999997E-3</v>
      </c>
      <c r="AD75" s="433">
        <v>0.97349184211514861</v>
      </c>
      <c r="AE75" s="433">
        <v>0.96461898730327744</v>
      </c>
      <c r="AF75" s="433">
        <v>1.0272266444893272</v>
      </c>
      <c r="AG75" s="433">
        <v>1.0366718149776246</v>
      </c>
      <c r="AH75" s="433">
        <v>5.1360000000000003E-2</v>
      </c>
      <c r="AI75" s="433">
        <v>5.1830000000000001E-2</v>
      </c>
      <c r="AJ75" s="262"/>
      <c r="AK75" s="262"/>
      <c r="AL75" s="262"/>
      <c r="AM75" s="262"/>
      <c r="AN75" s="262"/>
      <c r="AO75" s="262"/>
      <c r="AP75" s="262"/>
      <c r="AQ75" s="271"/>
      <c r="AR75" s="271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271"/>
      <c r="BH75" s="271"/>
      <c r="BI75" s="271"/>
      <c r="BJ75" s="271"/>
      <c r="BK75" s="271"/>
      <c r="BL75" s="271"/>
      <c r="BM75" s="271"/>
      <c r="BN75" s="271"/>
    </row>
    <row r="76" spans="1:66">
      <c r="A76" s="271">
        <v>10235</v>
      </c>
      <c r="B76" s="271" t="s">
        <v>80</v>
      </c>
      <c r="C76" s="428">
        <v>1</v>
      </c>
      <c r="D76" s="428">
        <v>0</v>
      </c>
      <c r="E76" s="433">
        <v>33.606999999999999</v>
      </c>
      <c r="F76" s="433">
        <v>31.011752618397082</v>
      </c>
      <c r="G76" s="433">
        <v>31.096716324200912</v>
      </c>
      <c r="H76" s="433">
        <v>0</v>
      </c>
      <c r="I76" s="433">
        <v>0</v>
      </c>
      <c r="J76" s="433">
        <v>0</v>
      </c>
      <c r="K76" s="433">
        <v>0</v>
      </c>
      <c r="L76" s="433">
        <v>0</v>
      </c>
      <c r="M76" s="433">
        <v>0</v>
      </c>
      <c r="N76" s="433">
        <v>31.742999999999999</v>
      </c>
      <c r="O76" s="433">
        <v>31.902000000000001</v>
      </c>
      <c r="P76" s="433">
        <v>278830.51199999999</v>
      </c>
      <c r="Q76" s="433">
        <v>279461.52</v>
      </c>
      <c r="R76" s="433">
        <v>32.79</v>
      </c>
      <c r="S76" s="433">
        <v>288027.36</v>
      </c>
      <c r="T76" s="433">
        <v>0</v>
      </c>
      <c r="U76" s="433">
        <v>0</v>
      </c>
      <c r="V76" s="433">
        <v>0</v>
      </c>
      <c r="W76" s="433">
        <v>0</v>
      </c>
      <c r="X76" s="433">
        <v>4.5456999999999997E-3</v>
      </c>
      <c r="Y76" s="433">
        <v>4.5684999999999996E-3</v>
      </c>
      <c r="Z76" s="433">
        <v>0</v>
      </c>
      <c r="AA76" s="433">
        <v>4.5456999999999997E-3</v>
      </c>
      <c r="AB76" s="433">
        <v>4.5684999999999996E-3</v>
      </c>
      <c r="AC76" s="433">
        <v>4.5570999999999997E-3</v>
      </c>
      <c r="AD76" s="433">
        <v>0.99999357431835223</v>
      </c>
      <c r="AE76" s="433">
        <v>1</v>
      </c>
      <c r="AF76" s="433">
        <v>1</v>
      </c>
      <c r="AG76" s="433">
        <v>1</v>
      </c>
      <c r="AH76" s="433">
        <v>0</v>
      </c>
      <c r="AI76" s="433">
        <v>0</v>
      </c>
      <c r="AJ76" s="262"/>
      <c r="AK76" s="262"/>
      <c r="AL76" s="262"/>
      <c r="AM76" s="262"/>
      <c r="AN76" s="262"/>
      <c r="AO76" s="262"/>
      <c r="AP76" s="262"/>
      <c r="AQ76" s="271"/>
      <c r="AR76" s="271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271"/>
      <c r="BH76" s="271"/>
      <c r="BI76" s="271"/>
      <c r="BJ76" s="271"/>
      <c r="BK76" s="271"/>
      <c r="BL76" s="271"/>
      <c r="BM76" s="271"/>
      <c r="BN76" s="271"/>
    </row>
    <row r="77" spans="1:66">
      <c r="A77" s="271">
        <v>10236</v>
      </c>
      <c r="B77" s="271" t="s">
        <v>81</v>
      </c>
      <c r="C77" s="428">
        <v>0</v>
      </c>
      <c r="D77" s="428">
        <v>1</v>
      </c>
      <c r="E77" s="433">
        <v>29.536999999999999</v>
      </c>
      <c r="F77" s="433">
        <v>27.472324908925312</v>
      </c>
      <c r="G77" s="433">
        <v>27.54759155251141</v>
      </c>
      <c r="H77" s="433">
        <v>0</v>
      </c>
      <c r="I77" s="433">
        <v>0</v>
      </c>
      <c r="J77" s="433">
        <v>0.13228597449908924</v>
      </c>
      <c r="K77" s="433">
        <v>0.13242009132420091</v>
      </c>
      <c r="L77" s="433">
        <v>1162</v>
      </c>
      <c r="M77" s="433">
        <v>1160</v>
      </c>
      <c r="N77" s="433">
        <v>27.393999999999998</v>
      </c>
      <c r="O77" s="433">
        <v>27.405000000000001</v>
      </c>
      <c r="P77" s="433">
        <v>240628.89599999998</v>
      </c>
      <c r="Q77" s="433">
        <v>240067.80000000002</v>
      </c>
      <c r="R77" s="433">
        <v>28.818999999999999</v>
      </c>
      <c r="S77" s="433">
        <v>253146.09599999999</v>
      </c>
      <c r="T77" s="433">
        <v>0</v>
      </c>
      <c r="U77" s="433">
        <v>0</v>
      </c>
      <c r="V77" s="433">
        <v>0</v>
      </c>
      <c r="W77" s="433">
        <v>0</v>
      </c>
      <c r="X77" s="433">
        <v>3.9229E-3</v>
      </c>
      <c r="Y77" s="433">
        <v>3.9245E-3</v>
      </c>
      <c r="Z77" s="433">
        <v>0</v>
      </c>
      <c r="AA77" s="433">
        <v>3.9229E-3</v>
      </c>
      <c r="AB77" s="433">
        <v>3.9245E-3</v>
      </c>
      <c r="AC77" s="433">
        <v>3.9237000000000005E-3</v>
      </c>
      <c r="AD77" s="433">
        <v>0.99999987750903396</v>
      </c>
      <c r="AE77" s="433">
        <v>0.99999559193388343</v>
      </c>
      <c r="AF77" s="433">
        <v>1</v>
      </c>
      <c r="AG77" s="433">
        <v>1</v>
      </c>
      <c r="AH77" s="433">
        <v>6.5000000000000002E-2</v>
      </c>
      <c r="AI77" s="433">
        <v>6.5000000000000002E-2</v>
      </c>
      <c r="AJ77" s="262"/>
      <c r="AK77" s="262"/>
      <c r="AL77" s="262"/>
      <c r="AM77" s="262"/>
      <c r="AN77" s="262"/>
      <c r="AO77" s="262"/>
      <c r="AP77" s="262"/>
      <c r="AQ77" s="271"/>
      <c r="AR77" s="271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271"/>
      <c r="BH77" s="271"/>
      <c r="BI77" s="271"/>
      <c r="BJ77" s="271"/>
      <c r="BK77" s="271"/>
      <c r="BL77" s="271"/>
      <c r="BM77" s="271"/>
      <c r="BN77" s="271"/>
    </row>
    <row r="78" spans="1:66">
      <c r="A78" s="271">
        <v>10237</v>
      </c>
      <c r="B78" s="271" t="s">
        <v>82</v>
      </c>
      <c r="C78" s="428">
        <v>1</v>
      </c>
      <c r="D78" s="428">
        <v>0</v>
      </c>
      <c r="E78" s="433">
        <v>115.429</v>
      </c>
      <c r="F78" s="433">
        <v>109.43410291438981</v>
      </c>
      <c r="G78" s="433">
        <v>110.01416232876711</v>
      </c>
      <c r="H78" s="433">
        <v>0</v>
      </c>
      <c r="I78" s="433">
        <v>0</v>
      </c>
      <c r="J78" s="433">
        <v>1.1892076502732241</v>
      </c>
      <c r="K78" s="433">
        <v>1.1896118721461186</v>
      </c>
      <c r="L78" s="433">
        <v>10446</v>
      </c>
      <c r="M78" s="433">
        <v>10421</v>
      </c>
      <c r="N78" s="433">
        <v>108.245</v>
      </c>
      <c r="O78" s="433">
        <v>108.825</v>
      </c>
      <c r="P78" s="433">
        <v>950824.08000000007</v>
      </c>
      <c r="Q78" s="433">
        <v>953307</v>
      </c>
      <c r="R78" s="433">
        <v>112.623</v>
      </c>
      <c r="S78" s="433">
        <v>989280.43200000003</v>
      </c>
      <c r="T78" s="433">
        <v>0</v>
      </c>
      <c r="U78" s="433">
        <v>0</v>
      </c>
      <c r="V78" s="433">
        <v>0</v>
      </c>
      <c r="W78" s="433">
        <v>0</v>
      </c>
      <c r="X78" s="433">
        <v>1.5500999999999999E-2</v>
      </c>
      <c r="Y78" s="433">
        <v>1.55841E-2</v>
      </c>
      <c r="Z78" s="433">
        <v>9.6180999999999992E-3</v>
      </c>
      <c r="AA78" s="433">
        <v>5.8828999999999999E-3</v>
      </c>
      <c r="AB78" s="433">
        <v>5.9660000000000008E-3</v>
      </c>
      <c r="AC78" s="433">
        <v>5.9244500000000004E-3</v>
      </c>
      <c r="AD78" s="433">
        <v>1</v>
      </c>
      <c r="AE78" s="433">
        <v>0.9999996741307855</v>
      </c>
      <c r="AF78" s="433">
        <v>1</v>
      </c>
      <c r="AG78" s="433">
        <v>1</v>
      </c>
      <c r="AH78" s="433">
        <v>1864727</v>
      </c>
      <c r="AI78" s="433">
        <v>1864727</v>
      </c>
      <c r="AJ78" s="262"/>
      <c r="AK78" s="262"/>
      <c r="AL78" s="262"/>
      <c r="AM78" s="262"/>
      <c r="AN78" s="262"/>
      <c r="AO78" s="262"/>
      <c r="AP78" s="262"/>
      <c r="AQ78" s="271"/>
      <c r="AR78" s="271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271"/>
      <c r="BH78" s="271"/>
      <c r="BI78" s="271"/>
      <c r="BJ78" s="271"/>
      <c r="BK78" s="271"/>
      <c r="BL78" s="271"/>
      <c r="BM78" s="271"/>
      <c r="BN78" s="271"/>
    </row>
    <row r="79" spans="1:66">
      <c r="A79" s="271">
        <v>10239</v>
      </c>
      <c r="B79" s="271" t="s">
        <v>83</v>
      </c>
      <c r="C79" s="428">
        <v>0</v>
      </c>
      <c r="D79" s="428">
        <v>1</v>
      </c>
      <c r="E79" s="433">
        <v>14.209</v>
      </c>
      <c r="F79" s="433">
        <v>13.435175660291442</v>
      </c>
      <c r="G79" s="433">
        <v>13.471984360730596</v>
      </c>
      <c r="H79" s="433">
        <v>0</v>
      </c>
      <c r="I79" s="433">
        <v>0</v>
      </c>
      <c r="J79" s="433">
        <v>0</v>
      </c>
      <c r="K79" s="433">
        <v>0</v>
      </c>
      <c r="L79" s="433">
        <v>0</v>
      </c>
      <c r="M79" s="433">
        <v>0</v>
      </c>
      <c r="N79" s="433">
        <v>13.728999999999999</v>
      </c>
      <c r="O79" s="433">
        <v>13.717000000000001</v>
      </c>
      <c r="P79" s="433">
        <v>120595.53599999999</v>
      </c>
      <c r="Q79" s="433">
        <v>120160.92</v>
      </c>
      <c r="R79" s="433">
        <v>13.864000000000001</v>
      </c>
      <c r="S79" s="433">
        <v>121781.376</v>
      </c>
      <c r="T79" s="433">
        <v>0</v>
      </c>
      <c r="U79" s="433">
        <v>0</v>
      </c>
      <c r="V79" s="433">
        <v>0</v>
      </c>
      <c r="W79" s="433">
        <v>0</v>
      </c>
      <c r="X79" s="433">
        <v>1.9659999999999999E-3</v>
      </c>
      <c r="Y79" s="433">
        <v>1.9643E-3</v>
      </c>
      <c r="Z79" s="433">
        <v>0</v>
      </c>
      <c r="AA79" s="433">
        <v>1.9659999999999999E-3</v>
      </c>
      <c r="AB79" s="433">
        <v>1.9643E-3</v>
      </c>
      <c r="AC79" s="433">
        <v>1.9651499999999997E-3</v>
      </c>
      <c r="AD79" s="433">
        <v>0.99998714742960781</v>
      </c>
      <c r="AE79" s="433">
        <v>0.99996214403281825</v>
      </c>
      <c r="AF79" s="433">
        <v>1</v>
      </c>
      <c r="AG79" s="433">
        <v>1</v>
      </c>
      <c r="AH79" s="433">
        <v>7.0000000000000007E-2</v>
      </c>
      <c r="AI79" s="433">
        <v>7.0000000000000007E-2</v>
      </c>
      <c r="AJ79" s="262"/>
      <c r="AK79" s="262"/>
      <c r="AL79" s="262"/>
      <c r="AM79" s="262"/>
      <c r="AN79" s="262"/>
      <c r="AO79" s="262"/>
      <c r="AP79" s="262"/>
      <c r="AQ79" s="271"/>
      <c r="AR79" s="271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271"/>
      <c r="BH79" s="271"/>
      <c r="BI79" s="271"/>
      <c r="BJ79" s="271"/>
      <c r="BK79" s="271"/>
      <c r="BL79" s="271"/>
      <c r="BM79" s="271"/>
      <c r="BN79" s="271"/>
    </row>
    <row r="80" spans="1:66">
      <c r="A80" s="271">
        <v>10242</v>
      </c>
      <c r="B80" s="271" t="s">
        <v>84</v>
      </c>
      <c r="C80" s="428">
        <v>1</v>
      </c>
      <c r="D80" s="428">
        <v>0</v>
      </c>
      <c r="E80" s="433">
        <v>9.6679999999999993</v>
      </c>
      <c r="F80" s="433">
        <v>9.715975295992715</v>
      </c>
      <c r="G80" s="433">
        <v>9.7425944063926941</v>
      </c>
      <c r="H80" s="433">
        <v>0</v>
      </c>
      <c r="I80" s="433">
        <v>0</v>
      </c>
      <c r="J80" s="433">
        <v>0</v>
      </c>
      <c r="K80" s="433">
        <v>0</v>
      </c>
      <c r="L80" s="433">
        <v>0</v>
      </c>
      <c r="M80" s="433">
        <v>0</v>
      </c>
      <c r="N80" s="433">
        <v>9.4619999999999997</v>
      </c>
      <c r="O80" s="433">
        <v>9.5500000000000007</v>
      </c>
      <c r="P80" s="433">
        <v>83114.207999999999</v>
      </c>
      <c r="Q80" s="433">
        <v>83658</v>
      </c>
      <c r="R80" s="433">
        <v>9.4329999999999998</v>
      </c>
      <c r="S80" s="433">
        <v>82859.471999999994</v>
      </c>
      <c r="T80" s="433">
        <v>2.9000000000000001E-2</v>
      </c>
      <c r="U80" s="433">
        <v>0.11700000000000001</v>
      </c>
      <c r="V80" s="433">
        <v>0</v>
      </c>
      <c r="W80" s="433">
        <v>0</v>
      </c>
      <c r="X80" s="433">
        <v>1.3508000000000001E-3</v>
      </c>
      <c r="Y80" s="433">
        <v>1.3508000000000001E-3</v>
      </c>
      <c r="Z80" s="433">
        <v>0</v>
      </c>
      <c r="AA80" s="433">
        <v>1.3508000000000001E-3</v>
      </c>
      <c r="AB80" s="433">
        <v>1.3508000000000001E-3</v>
      </c>
      <c r="AC80" s="433">
        <v>1.3508000000000001E-3</v>
      </c>
      <c r="AD80" s="433">
        <v>0.99695860753545151</v>
      </c>
      <c r="AE80" s="433">
        <v>0.98775496835668286</v>
      </c>
      <c r="AF80" s="433">
        <v>1.0030743135799851</v>
      </c>
      <c r="AG80" s="433">
        <v>1.0124032651330437</v>
      </c>
      <c r="AH80" s="433">
        <v>7.0220000000000005E-2</v>
      </c>
      <c r="AI80" s="433">
        <v>7.0870000000000002E-2</v>
      </c>
      <c r="AJ80" s="262"/>
      <c r="AK80" s="262"/>
      <c r="AL80" s="262"/>
      <c r="AM80" s="262"/>
      <c r="AN80" s="262"/>
      <c r="AO80" s="262"/>
      <c r="AP80" s="262"/>
      <c r="AQ80" s="271"/>
      <c r="AR80" s="271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271"/>
      <c r="BH80" s="271"/>
      <c r="BI80" s="271"/>
      <c r="BJ80" s="271"/>
      <c r="BK80" s="271"/>
      <c r="BL80" s="271"/>
      <c r="BM80" s="271"/>
      <c r="BN80" s="271"/>
    </row>
    <row r="81" spans="1:66">
      <c r="A81" s="271">
        <v>10244</v>
      </c>
      <c r="B81" s="271" t="s">
        <v>85</v>
      </c>
      <c r="C81" s="428">
        <v>1</v>
      </c>
      <c r="D81" s="428">
        <v>0</v>
      </c>
      <c r="E81" s="433">
        <v>87.320999999999998</v>
      </c>
      <c r="F81" s="433">
        <v>92.117519467213114</v>
      </c>
      <c r="G81" s="433">
        <v>92.369896232876712</v>
      </c>
      <c r="H81" s="433">
        <v>0</v>
      </c>
      <c r="I81" s="433">
        <v>0</v>
      </c>
      <c r="J81" s="433">
        <v>1.028688524590164</v>
      </c>
      <c r="K81" s="433">
        <v>1.0300228310502284</v>
      </c>
      <c r="L81" s="433">
        <v>9036</v>
      </c>
      <c r="M81" s="433">
        <v>9023</v>
      </c>
      <c r="N81" s="433">
        <v>89.289000000000001</v>
      </c>
      <c r="O81" s="433">
        <v>90.331000000000003</v>
      </c>
      <c r="P81" s="433">
        <v>784314.576</v>
      </c>
      <c r="Q81" s="433">
        <v>791299.56</v>
      </c>
      <c r="R81" s="433">
        <v>85.197999999999993</v>
      </c>
      <c r="S81" s="433">
        <v>748379.23199999996</v>
      </c>
      <c r="T81" s="433">
        <v>4.0910000000000002</v>
      </c>
      <c r="U81" s="433">
        <v>5.133</v>
      </c>
      <c r="V81" s="433">
        <v>4.0910000000000002</v>
      </c>
      <c r="W81" s="433">
        <v>5.133</v>
      </c>
      <c r="X81" s="433">
        <v>1.2200600000000001E-2</v>
      </c>
      <c r="Y81" s="433">
        <v>1.2200600000000001E-2</v>
      </c>
      <c r="Z81" s="433">
        <v>0</v>
      </c>
      <c r="AA81" s="433">
        <v>1.2200600000000001E-2</v>
      </c>
      <c r="AB81" s="433">
        <v>1.2200600000000001E-2</v>
      </c>
      <c r="AC81" s="433">
        <v>1.2200600000000001E-2</v>
      </c>
      <c r="AD81" s="433">
        <v>0.95470580038578134</v>
      </c>
      <c r="AE81" s="433">
        <v>0.94380974868738288</v>
      </c>
      <c r="AF81" s="433">
        <v>1.0480175590976315</v>
      </c>
      <c r="AG81" s="433">
        <v>1.0602478931430317</v>
      </c>
      <c r="AH81" s="433">
        <v>6.2880000000000005E-2</v>
      </c>
      <c r="AI81" s="433">
        <v>5.8310000000000001E-2</v>
      </c>
      <c r="AJ81" s="262"/>
      <c r="AK81" s="262"/>
      <c r="AL81" s="262"/>
      <c r="AM81" s="262"/>
      <c r="AN81" s="262"/>
      <c r="AO81" s="262"/>
      <c r="AP81" s="262"/>
      <c r="AQ81" s="271"/>
      <c r="AR81" s="271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271"/>
      <c r="BH81" s="271"/>
      <c r="BI81" s="271"/>
      <c r="BJ81" s="271"/>
      <c r="BK81" s="271"/>
      <c r="BL81" s="271"/>
      <c r="BM81" s="271"/>
      <c r="BN81" s="271"/>
    </row>
    <row r="82" spans="1:66">
      <c r="A82" s="271">
        <v>10246</v>
      </c>
      <c r="B82" s="271" t="s">
        <v>86</v>
      </c>
      <c r="C82" s="428">
        <v>1</v>
      </c>
      <c r="D82" s="428">
        <v>0</v>
      </c>
      <c r="E82" s="433">
        <v>9.1210000000000004</v>
      </c>
      <c r="F82" s="433">
        <v>9.2016619990892519</v>
      </c>
      <c r="G82" s="433">
        <v>9.2268720319634685</v>
      </c>
      <c r="H82" s="433">
        <v>0</v>
      </c>
      <c r="I82" s="433">
        <v>0</v>
      </c>
      <c r="J82" s="433">
        <v>0.54041438979963574</v>
      </c>
      <c r="K82" s="433">
        <v>0.54189497716894974</v>
      </c>
      <c r="L82" s="433">
        <v>4747</v>
      </c>
      <c r="M82" s="433">
        <v>4747</v>
      </c>
      <c r="N82" s="433">
        <v>9.2210000000000001</v>
      </c>
      <c r="O82" s="433">
        <v>9.2550000000000008</v>
      </c>
      <c r="P82" s="433">
        <v>80997.263999999996</v>
      </c>
      <c r="Q82" s="433">
        <v>81073.8</v>
      </c>
      <c r="R82" s="433">
        <v>8.8989999999999991</v>
      </c>
      <c r="S82" s="433">
        <v>78168.815999999992</v>
      </c>
      <c r="T82" s="433">
        <v>0.32200000000000001</v>
      </c>
      <c r="U82" s="433">
        <v>0.35599999999999998</v>
      </c>
      <c r="V82" s="433">
        <v>0</v>
      </c>
      <c r="W82" s="433">
        <v>0</v>
      </c>
      <c r="X82" s="433">
        <v>1.2744E-3</v>
      </c>
      <c r="Y82" s="433">
        <v>1.2744E-3</v>
      </c>
      <c r="Z82" s="433">
        <v>0</v>
      </c>
      <c r="AA82" s="433">
        <v>1.2744E-3</v>
      </c>
      <c r="AB82" s="433">
        <v>1.2744E-3</v>
      </c>
      <c r="AC82" s="433">
        <v>1.2744E-3</v>
      </c>
      <c r="AD82" s="433">
        <v>0.96511953588226607</v>
      </c>
      <c r="AE82" s="433">
        <v>0.96153573618438359</v>
      </c>
      <c r="AF82" s="433">
        <v>1.036183840880998</v>
      </c>
      <c r="AG82" s="433">
        <v>1.0400044948870661</v>
      </c>
      <c r="AH82" s="433">
        <v>6.7349999999999993E-2</v>
      </c>
      <c r="AI82" s="433">
        <v>6.7599999999999993E-2</v>
      </c>
      <c r="AJ82" s="262"/>
      <c r="AK82" s="262"/>
      <c r="AL82" s="262"/>
      <c r="AM82" s="262"/>
      <c r="AN82" s="262"/>
      <c r="AO82" s="262"/>
      <c r="AP82" s="262"/>
      <c r="AQ82" s="271"/>
      <c r="AR82" s="271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271"/>
      <c r="BH82" s="271"/>
      <c r="BI82" s="271"/>
      <c r="BJ82" s="271"/>
      <c r="BK82" s="271"/>
      <c r="BL82" s="271"/>
      <c r="BM82" s="271"/>
      <c r="BN82" s="271"/>
    </row>
    <row r="83" spans="1:66">
      <c r="A83" s="271">
        <v>10247</v>
      </c>
      <c r="B83" s="271" t="s">
        <v>87</v>
      </c>
      <c r="C83" s="428">
        <v>1</v>
      </c>
      <c r="D83" s="428">
        <v>0</v>
      </c>
      <c r="E83" s="433">
        <v>81.120999999999995</v>
      </c>
      <c r="F83" s="433">
        <v>81.055349612932602</v>
      </c>
      <c r="G83" s="433">
        <v>81.277419063926942</v>
      </c>
      <c r="H83" s="433">
        <v>0</v>
      </c>
      <c r="I83" s="433">
        <v>0</v>
      </c>
      <c r="J83" s="433">
        <v>0.65585154826958103</v>
      </c>
      <c r="K83" s="433">
        <v>0.65627853881278542</v>
      </c>
      <c r="L83" s="433">
        <v>5761</v>
      </c>
      <c r="M83" s="433">
        <v>5749</v>
      </c>
      <c r="N83" s="433">
        <v>79.89</v>
      </c>
      <c r="O83" s="433">
        <v>80.316000000000003</v>
      </c>
      <c r="P83" s="433">
        <v>701753.76</v>
      </c>
      <c r="Q83" s="433">
        <v>703568.16</v>
      </c>
      <c r="R83" s="433">
        <v>79.149000000000001</v>
      </c>
      <c r="S83" s="433">
        <v>695244.81599999999</v>
      </c>
      <c r="T83" s="433">
        <v>0.74099999999999999</v>
      </c>
      <c r="U83" s="433">
        <v>1.167</v>
      </c>
      <c r="V83" s="433">
        <v>0</v>
      </c>
      <c r="W83" s="433">
        <v>1.167</v>
      </c>
      <c r="X83" s="433">
        <v>1.13344E-2</v>
      </c>
      <c r="Y83" s="433">
        <v>1.13344E-2</v>
      </c>
      <c r="Z83" s="433">
        <v>0</v>
      </c>
      <c r="AA83" s="433">
        <v>1.13344E-2</v>
      </c>
      <c r="AB83" s="433">
        <v>1.13344E-2</v>
      </c>
      <c r="AC83" s="433">
        <v>1.13344E-2</v>
      </c>
      <c r="AD83" s="433">
        <v>0.99079564566346756</v>
      </c>
      <c r="AE83" s="433">
        <v>0.98558882007918658</v>
      </c>
      <c r="AF83" s="433">
        <v>1.0093620892241215</v>
      </c>
      <c r="AG83" s="433">
        <v>1.0147443429481104</v>
      </c>
      <c r="AH83" s="433">
        <v>5.0470000000000001E-2</v>
      </c>
      <c r="AI83" s="433">
        <v>5.074E-2</v>
      </c>
      <c r="AJ83" s="262"/>
      <c r="AK83" s="262"/>
      <c r="AL83" s="262"/>
      <c r="AM83" s="262"/>
      <c r="AN83" s="262"/>
      <c r="AO83" s="262"/>
      <c r="AP83" s="262"/>
      <c r="AQ83" s="271"/>
      <c r="AR83" s="271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271"/>
      <c r="BH83" s="271"/>
      <c r="BI83" s="271"/>
      <c r="BJ83" s="271"/>
      <c r="BK83" s="271"/>
      <c r="BL83" s="271"/>
      <c r="BM83" s="271"/>
      <c r="BN83" s="271"/>
    </row>
    <row r="84" spans="1:66">
      <c r="A84" s="271">
        <v>10256</v>
      </c>
      <c r="B84" s="271" t="s">
        <v>88</v>
      </c>
      <c r="C84" s="428">
        <v>1</v>
      </c>
      <c r="D84" s="428">
        <v>0</v>
      </c>
      <c r="E84" s="433">
        <v>47.442999999999998</v>
      </c>
      <c r="F84" s="433">
        <v>45.108148110200361</v>
      </c>
      <c r="G84" s="433">
        <v>45.231732077625573</v>
      </c>
      <c r="H84" s="433">
        <v>0</v>
      </c>
      <c r="I84" s="433">
        <v>0</v>
      </c>
      <c r="J84" s="433">
        <v>0.52174408014571949</v>
      </c>
      <c r="K84" s="433">
        <v>0.52180365296803655</v>
      </c>
      <c r="L84" s="433">
        <v>4583</v>
      </c>
      <c r="M84" s="433">
        <v>4571</v>
      </c>
      <c r="N84" s="433">
        <v>45.432000000000002</v>
      </c>
      <c r="O84" s="433">
        <v>45.637</v>
      </c>
      <c r="P84" s="433">
        <v>399074.68800000002</v>
      </c>
      <c r="Q84" s="433">
        <v>399780.12</v>
      </c>
      <c r="R84" s="433">
        <v>46.29</v>
      </c>
      <c r="S84" s="433">
        <v>406611.36</v>
      </c>
      <c r="T84" s="433">
        <v>0</v>
      </c>
      <c r="U84" s="433">
        <v>0</v>
      </c>
      <c r="V84" s="433">
        <v>0</v>
      </c>
      <c r="W84" s="433">
        <v>0</v>
      </c>
      <c r="X84" s="433">
        <v>6.5059999999999996E-3</v>
      </c>
      <c r="Y84" s="433">
        <v>6.5354000000000002E-3</v>
      </c>
      <c r="Z84" s="433">
        <v>0</v>
      </c>
      <c r="AA84" s="433">
        <v>6.5059999999999996E-3</v>
      </c>
      <c r="AB84" s="433">
        <v>6.5354000000000002E-3</v>
      </c>
      <c r="AC84" s="433">
        <v>6.5206999999999999E-3</v>
      </c>
      <c r="AD84" s="433">
        <v>1</v>
      </c>
      <c r="AE84" s="433">
        <v>1</v>
      </c>
      <c r="AF84" s="433">
        <v>1</v>
      </c>
      <c r="AG84" s="433">
        <v>1</v>
      </c>
      <c r="AH84" s="433">
        <v>6.5000000000000002E-2</v>
      </c>
      <c r="AI84" s="433">
        <v>6.5000000000000002E-2</v>
      </c>
      <c r="AJ84" s="262"/>
      <c r="AK84" s="262"/>
      <c r="AL84" s="262"/>
      <c r="AM84" s="262"/>
      <c r="AN84" s="262"/>
      <c r="AO84" s="262"/>
      <c r="AP84" s="262"/>
      <c r="AQ84" s="271"/>
      <c r="AR84" s="271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271"/>
      <c r="BH84" s="271"/>
      <c r="BI84" s="271"/>
      <c r="BJ84" s="271"/>
      <c r="BK84" s="271"/>
      <c r="BL84" s="271"/>
      <c r="BM84" s="271"/>
      <c r="BN84" s="271"/>
    </row>
    <row r="85" spans="1:66">
      <c r="A85" s="271">
        <v>10258</v>
      </c>
      <c r="B85" s="271" t="s">
        <v>89</v>
      </c>
      <c r="C85" s="428">
        <v>1</v>
      </c>
      <c r="D85" s="428">
        <v>0</v>
      </c>
      <c r="E85" s="433">
        <v>38.518000000000001</v>
      </c>
      <c r="F85" s="433">
        <v>48.529192509107467</v>
      </c>
      <c r="G85" s="433">
        <v>48.662149200913241</v>
      </c>
      <c r="H85" s="433">
        <v>0</v>
      </c>
      <c r="I85" s="433">
        <v>0</v>
      </c>
      <c r="J85" s="433">
        <v>9.9619763205828775</v>
      </c>
      <c r="K85" s="433">
        <v>9.7512557077625566</v>
      </c>
      <c r="L85" s="433">
        <v>87506</v>
      </c>
      <c r="M85" s="433">
        <v>85421</v>
      </c>
      <c r="N85" s="433">
        <v>36.936</v>
      </c>
      <c r="O85" s="433">
        <v>37.453000000000003</v>
      </c>
      <c r="P85" s="433">
        <v>324445.82400000002</v>
      </c>
      <c r="Q85" s="433">
        <v>328088.28000000003</v>
      </c>
      <c r="R85" s="433">
        <v>37.582000000000001</v>
      </c>
      <c r="S85" s="433">
        <v>330120.288</v>
      </c>
      <c r="T85" s="433">
        <v>0</v>
      </c>
      <c r="U85" s="433">
        <v>0</v>
      </c>
      <c r="V85" s="433">
        <v>0</v>
      </c>
      <c r="W85" s="433">
        <v>0</v>
      </c>
      <c r="X85" s="433">
        <v>5.2893999999999997E-3</v>
      </c>
      <c r="Y85" s="433">
        <v>5.3633999999999999E-3</v>
      </c>
      <c r="Z85" s="433">
        <v>0</v>
      </c>
      <c r="AA85" s="433">
        <v>5.2893999999999997E-3</v>
      </c>
      <c r="AB85" s="433">
        <v>5.3633999999999999E-3</v>
      </c>
      <c r="AC85" s="433">
        <v>5.3264000000000002E-3</v>
      </c>
      <c r="AD85" s="433">
        <v>1</v>
      </c>
      <c r="AE85" s="433">
        <v>1</v>
      </c>
      <c r="AF85" s="433">
        <v>1</v>
      </c>
      <c r="AG85" s="433">
        <v>1</v>
      </c>
      <c r="AH85" s="433">
        <v>6.5000000000000002E-2</v>
      </c>
      <c r="AI85" s="433">
        <v>6.5000000000000002E-2</v>
      </c>
      <c r="AJ85" s="262"/>
      <c r="AK85" s="262"/>
      <c r="AL85" s="262"/>
      <c r="AM85" s="262"/>
      <c r="AN85" s="262"/>
      <c r="AO85" s="262"/>
      <c r="AP85" s="262"/>
      <c r="AQ85" s="271"/>
      <c r="AR85" s="271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271"/>
      <c r="BH85" s="271"/>
      <c r="BI85" s="271"/>
      <c r="BJ85" s="271"/>
      <c r="BK85" s="271"/>
      <c r="BL85" s="271"/>
      <c r="BM85" s="271"/>
      <c r="BN85" s="271"/>
    </row>
    <row r="86" spans="1:66">
      <c r="A86" s="271">
        <v>10259</v>
      </c>
      <c r="B86" s="271" t="s">
        <v>90</v>
      </c>
      <c r="C86" s="428">
        <v>1</v>
      </c>
      <c r="D86" s="428">
        <v>0</v>
      </c>
      <c r="E86" s="433">
        <v>27.388000000000002</v>
      </c>
      <c r="F86" s="433">
        <v>26.674395377959929</v>
      </c>
      <c r="G86" s="433">
        <v>26.747475913242013</v>
      </c>
      <c r="H86" s="433">
        <v>0</v>
      </c>
      <c r="I86" s="433">
        <v>0</v>
      </c>
      <c r="J86" s="433">
        <v>0</v>
      </c>
      <c r="K86" s="433">
        <v>0</v>
      </c>
      <c r="L86" s="433">
        <v>0</v>
      </c>
      <c r="M86" s="433">
        <v>0</v>
      </c>
      <c r="N86" s="433">
        <v>26.596</v>
      </c>
      <c r="O86" s="433">
        <v>26.934000000000001</v>
      </c>
      <c r="P86" s="433">
        <v>233619.264</v>
      </c>
      <c r="Q86" s="433">
        <v>235941.84</v>
      </c>
      <c r="R86" s="433">
        <v>26.722000000000001</v>
      </c>
      <c r="S86" s="433">
        <v>234726.04800000001</v>
      </c>
      <c r="T86" s="433">
        <v>0</v>
      </c>
      <c r="U86" s="433">
        <v>0.21199999999999999</v>
      </c>
      <c r="V86" s="433">
        <v>0</v>
      </c>
      <c r="W86" s="433">
        <v>0</v>
      </c>
      <c r="X86" s="433">
        <v>3.8086000000000001E-3</v>
      </c>
      <c r="Y86" s="433">
        <v>3.8267000000000002E-3</v>
      </c>
      <c r="Z86" s="433">
        <v>0</v>
      </c>
      <c r="AA86" s="433">
        <v>3.8086000000000001E-3</v>
      </c>
      <c r="AB86" s="433">
        <v>3.8267000000000002E-3</v>
      </c>
      <c r="AC86" s="433">
        <v>3.8176500000000001E-3</v>
      </c>
      <c r="AD86" s="433">
        <v>0.99998540297411964</v>
      </c>
      <c r="AE86" s="433">
        <v>0.99213453439744503</v>
      </c>
      <c r="AF86" s="433">
        <v>1</v>
      </c>
      <c r="AG86" s="433">
        <v>1.0079335379088392</v>
      </c>
      <c r="AH86" s="433">
        <v>6.5000000000000002E-2</v>
      </c>
      <c r="AI86" s="433">
        <v>6.5519999999999995E-2</v>
      </c>
      <c r="AJ86" s="262"/>
      <c r="AK86" s="262"/>
      <c r="AL86" s="262"/>
      <c r="AM86" s="262"/>
      <c r="AN86" s="262"/>
      <c r="AO86" s="262"/>
      <c r="AP86" s="262"/>
      <c r="AQ86" s="271"/>
      <c r="AR86" s="271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271"/>
      <c r="BH86" s="271"/>
      <c r="BI86" s="271"/>
      <c r="BJ86" s="271"/>
      <c r="BK86" s="271"/>
      <c r="BL86" s="271"/>
      <c r="BM86" s="271"/>
      <c r="BN86" s="271"/>
    </row>
    <row r="87" spans="1:66">
      <c r="A87" s="271">
        <v>10260</v>
      </c>
      <c r="B87" s="271" t="s">
        <v>91</v>
      </c>
      <c r="C87" s="428">
        <v>1</v>
      </c>
      <c r="D87" s="428">
        <v>0</v>
      </c>
      <c r="E87" s="433">
        <v>26.677</v>
      </c>
      <c r="F87" s="433">
        <v>27.973574112021861</v>
      </c>
      <c r="G87" s="433">
        <v>28.050214041095895</v>
      </c>
      <c r="H87" s="433">
        <v>0</v>
      </c>
      <c r="I87" s="433">
        <v>0</v>
      </c>
      <c r="J87" s="433">
        <v>0</v>
      </c>
      <c r="K87" s="433">
        <v>0</v>
      </c>
      <c r="L87" s="433">
        <v>0</v>
      </c>
      <c r="M87" s="433">
        <v>0</v>
      </c>
      <c r="N87" s="433">
        <v>25.658000000000001</v>
      </c>
      <c r="O87" s="433">
        <v>25.881</v>
      </c>
      <c r="P87" s="433">
        <v>225379.872</v>
      </c>
      <c r="Q87" s="433">
        <v>226717.56</v>
      </c>
      <c r="R87" s="433">
        <v>26.027999999999999</v>
      </c>
      <c r="S87" s="433">
        <v>228629.95199999999</v>
      </c>
      <c r="T87" s="433">
        <v>0</v>
      </c>
      <c r="U87" s="433">
        <v>0</v>
      </c>
      <c r="V87" s="433">
        <v>0</v>
      </c>
      <c r="W87" s="433">
        <v>0</v>
      </c>
      <c r="X87" s="433">
        <v>3.6743000000000001E-3</v>
      </c>
      <c r="Y87" s="433">
        <v>3.7062000000000002E-3</v>
      </c>
      <c r="Z87" s="433">
        <v>0</v>
      </c>
      <c r="AA87" s="433">
        <v>3.6743000000000001E-3</v>
      </c>
      <c r="AB87" s="433">
        <v>3.7062000000000002E-3</v>
      </c>
      <c r="AC87" s="433">
        <v>3.69025E-3</v>
      </c>
      <c r="AD87" s="433">
        <v>0.9999806237574147</v>
      </c>
      <c r="AE87" s="433">
        <v>0.99998241141055844</v>
      </c>
      <c r="AF87" s="433">
        <v>1</v>
      </c>
      <c r="AG87" s="433">
        <v>1</v>
      </c>
      <c r="AH87" s="433">
        <v>0</v>
      </c>
      <c r="AI87" s="433">
        <v>0</v>
      </c>
      <c r="AJ87" s="262"/>
      <c r="AK87" s="262"/>
      <c r="AL87" s="262"/>
      <c r="AM87" s="262"/>
      <c r="AN87" s="262"/>
      <c r="AO87" s="262"/>
      <c r="AP87" s="262"/>
      <c r="AQ87" s="271"/>
      <c r="AR87" s="271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271"/>
      <c r="BH87" s="271"/>
      <c r="BI87" s="271"/>
      <c r="BJ87" s="271"/>
      <c r="BK87" s="271"/>
      <c r="BL87" s="271"/>
      <c r="BM87" s="271"/>
      <c r="BN87" s="271"/>
    </row>
    <row r="88" spans="1:66">
      <c r="A88" s="271">
        <v>10273</v>
      </c>
      <c r="B88" s="271" t="s">
        <v>92</v>
      </c>
      <c r="C88" s="428">
        <v>1</v>
      </c>
      <c r="D88" s="428">
        <v>0</v>
      </c>
      <c r="E88" s="433">
        <v>5.9690000000000003</v>
      </c>
      <c r="F88" s="433">
        <v>7.6399871357012747</v>
      </c>
      <c r="G88" s="433">
        <v>7.6609186073059359</v>
      </c>
      <c r="H88" s="433">
        <v>0</v>
      </c>
      <c r="I88" s="433">
        <v>0</v>
      </c>
      <c r="J88" s="433">
        <v>0</v>
      </c>
      <c r="K88" s="433">
        <v>0</v>
      </c>
      <c r="L88" s="433">
        <v>0</v>
      </c>
      <c r="M88" s="433">
        <v>0</v>
      </c>
      <c r="N88" s="433">
        <v>6.8719999999999999</v>
      </c>
      <c r="O88" s="433">
        <v>6.9420000000000002</v>
      </c>
      <c r="P88" s="433">
        <v>60363.648000000001</v>
      </c>
      <c r="Q88" s="433">
        <v>60811.92</v>
      </c>
      <c r="R88" s="433">
        <v>5.8239999999999998</v>
      </c>
      <c r="S88" s="433">
        <v>51158.015999999996</v>
      </c>
      <c r="T88" s="433">
        <v>1.048</v>
      </c>
      <c r="U88" s="433">
        <v>1.1180000000000001</v>
      </c>
      <c r="V88" s="433">
        <v>1.048</v>
      </c>
      <c r="W88" s="433">
        <v>1.1180000000000001</v>
      </c>
      <c r="X88" s="433">
        <v>8.34E-4</v>
      </c>
      <c r="Y88" s="433">
        <v>8.34E-4</v>
      </c>
      <c r="Z88" s="433">
        <v>0</v>
      </c>
      <c r="AA88" s="433">
        <v>8.34E-4</v>
      </c>
      <c r="AB88" s="433">
        <v>8.34E-4</v>
      </c>
      <c r="AC88" s="433">
        <v>8.34E-4</v>
      </c>
      <c r="AD88" s="433">
        <v>0.84750691564030889</v>
      </c>
      <c r="AE88" s="433">
        <v>0.83889600045620472</v>
      </c>
      <c r="AF88" s="433">
        <v>1.179945054945055</v>
      </c>
      <c r="AG88" s="433">
        <v>1.1919642857142858</v>
      </c>
      <c r="AH88" s="433">
        <v>8.2600000000000007E-2</v>
      </c>
      <c r="AI88" s="433">
        <v>8.344E-2</v>
      </c>
      <c r="AJ88" s="262"/>
      <c r="AK88" s="262"/>
      <c r="AL88" s="262"/>
      <c r="AM88" s="262"/>
      <c r="AN88" s="262"/>
      <c r="AO88" s="262"/>
      <c r="AP88" s="262"/>
      <c r="AQ88" s="271"/>
      <c r="AR88" s="271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271"/>
      <c r="BH88" s="271"/>
      <c r="BI88" s="271"/>
      <c r="BJ88" s="271"/>
      <c r="BK88" s="271"/>
      <c r="BL88" s="271"/>
      <c r="BM88" s="271"/>
      <c r="BN88" s="271"/>
    </row>
    <row r="89" spans="1:66">
      <c r="A89" s="271">
        <v>10278</v>
      </c>
      <c r="B89" s="271" t="s">
        <v>93</v>
      </c>
      <c r="C89" s="428">
        <v>0</v>
      </c>
      <c r="D89" s="428">
        <v>1</v>
      </c>
      <c r="E89" s="433">
        <v>36.463999999999999</v>
      </c>
      <c r="F89" s="433">
        <v>36.140781079234976</v>
      </c>
      <c r="G89" s="433">
        <v>36.239796917808221</v>
      </c>
      <c r="H89" s="433">
        <v>0</v>
      </c>
      <c r="I89" s="433">
        <v>0</v>
      </c>
      <c r="J89" s="433">
        <v>1.5273224043715847</v>
      </c>
      <c r="K89" s="433">
        <v>1.5296803652968036</v>
      </c>
      <c r="L89" s="433">
        <v>13416</v>
      </c>
      <c r="M89" s="433">
        <v>13400</v>
      </c>
      <c r="N89" s="433">
        <v>37.137999999999998</v>
      </c>
      <c r="O89" s="433">
        <v>37.369999999999997</v>
      </c>
      <c r="P89" s="433">
        <v>326220.19199999998</v>
      </c>
      <c r="Q89" s="433">
        <v>327361.19999999995</v>
      </c>
      <c r="R89" s="433">
        <v>35.576999999999998</v>
      </c>
      <c r="S89" s="433">
        <v>312508.36799999996</v>
      </c>
      <c r="T89" s="433">
        <v>1.5609999999999999</v>
      </c>
      <c r="U89" s="433">
        <v>1.7929999999999999</v>
      </c>
      <c r="V89" s="433">
        <v>1.5609999999999999</v>
      </c>
      <c r="W89" s="433">
        <v>1.7929999999999999</v>
      </c>
      <c r="X89" s="433">
        <v>5.0946999999999997E-3</v>
      </c>
      <c r="Y89" s="433">
        <v>5.0946999999999997E-3</v>
      </c>
      <c r="Z89" s="433">
        <v>0</v>
      </c>
      <c r="AA89" s="433">
        <v>5.0946999999999997E-3</v>
      </c>
      <c r="AB89" s="433">
        <v>5.0946999999999997E-3</v>
      </c>
      <c r="AC89" s="433">
        <v>5.0946999999999997E-3</v>
      </c>
      <c r="AD89" s="433">
        <v>0.95962626190223943</v>
      </c>
      <c r="AE89" s="433">
        <v>0.95389933218972589</v>
      </c>
      <c r="AF89" s="433">
        <v>1.0438766618882986</v>
      </c>
      <c r="AG89" s="433">
        <v>1.0503977288697754</v>
      </c>
      <c r="AH89" s="433">
        <v>7.3069999999999996E-2</v>
      </c>
      <c r="AI89" s="433">
        <v>7.3529999999999998E-2</v>
      </c>
      <c r="AJ89" s="262"/>
      <c r="AK89" s="262"/>
      <c r="AL89" s="262"/>
      <c r="AM89" s="262"/>
      <c r="AN89" s="262"/>
      <c r="AO89" s="262"/>
      <c r="AP89" s="262"/>
      <c r="AQ89" s="271"/>
      <c r="AR89" s="271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271"/>
      <c r="BH89" s="271"/>
      <c r="BI89" s="271"/>
      <c r="BJ89" s="271"/>
      <c r="BK89" s="271"/>
      <c r="BL89" s="271"/>
      <c r="BM89" s="271"/>
      <c r="BN89" s="271"/>
    </row>
    <row r="90" spans="1:66">
      <c r="A90" s="271">
        <v>10279</v>
      </c>
      <c r="B90" s="271" t="s">
        <v>94</v>
      </c>
      <c r="C90" s="428">
        <v>1</v>
      </c>
      <c r="D90" s="428">
        <v>0</v>
      </c>
      <c r="E90" s="433">
        <v>65.730999999999995</v>
      </c>
      <c r="F90" s="433">
        <v>89.635121470856092</v>
      </c>
      <c r="G90" s="433">
        <v>89.880697146118706</v>
      </c>
      <c r="H90" s="433">
        <v>0</v>
      </c>
      <c r="I90" s="433">
        <v>0</v>
      </c>
      <c r="J90" s="433">
        <v>4.4050546448087431</v>
      </c>
      <c r="K90" s="433">
        <v>4.404452054794521</v>
      </c>
      <c r="L90" s="433">
        <v>38694</v>
      </c>
      <c r="M90" s="433">
        <v>38583</v>
      </c>
      <c r="N90" s="433">
        <v>79.31</v>
      </c>
      <c r="O90" s="433">
        <v>86.334000000000003</v>
      </c>
      <c r="P90" s="433">
        <v>696659.04</v>
      </c>
      <c r="Q90" s="433">
        <v>756285.84000000008</v>
      </c>
      <c r="R90" s="433">
        <v>64.132999999999996</v>
      </c>
      <c r="S90" s="433">
        <v>563344.272</v>
      </c>
      <c r="T90" s="433">
        <v>15.177</v>
      </c>
      <c r="U90" s="433">
        <v>22.201000000000001</v>
      </c>
      <c r="V90" s="433">
        <v>15.177</v>
      </c>
      <c r="W90" s="433">
        <v>22.201000000000001</v>
      </c>
      <c r="X90" s="433">
        <v>9.1841000000000006E-3</v>
      </c>
      <c r="Y90" s="433">
        <v>9.1841000000000006E-3</v>
      </c>
      <c r="Z90" s="433">
        <v>0</v>
      </c>
      <c r="AA90" s="433">
        <v>9.1841000000000006E-3</v>
      </c>
      <c r="AB90" s="433">
        <v>9.1841000000000006E-3</v>
      </c>
      <c r="AC90" s="433">
        <v>9.1841000000000006E-3</v>
      </c>
      <c r="AD90" s="433">
        <v>0.81871225660081537</v>
      </c>
      <c r="AE90" s="433">
        <v>0.75533773053246234</v>
      </c>
      <c r="AF90" s="433">
        <v>1.2366488391311807</v>
      </c>
      <c r="AG90" s="433">
        <v>1.3461712378962469</v>
      </c>
      <c r="AH90" s="433">
        <v>0</v>
      </c>
      <c r="AI90" s="433">
        <v>0</v>
      </c>
      <c r="AJ90" s="262"/>
      <c r="AK90" s="262"/>
      <c r="AL90" s="262"/>
      <c r="AM90" s="262"/>
      <c r="AN90" s="262"/>
      <c r="AO90" s="262"/>
      <c r="AP90" s="262"/>
      <c r="AQ90" s="271"/>
      <c r="AR90" s="271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271"/>
      <c r="BH90" s="271"/>
      <c r="BI90" s="271"/>
      <c r="BJ90" s="271"/>
      <c r="BK90" s="271"/>
      <c r="BL90" s="271"/>
      <c r="BM90" s="271"/>
      <c r="BN90" s="271"/>
    </row>
    <row r="91" spans="1:66">
      <c r="A91" s="271">
        <v>10284</v>
      </c>
      <c r="B91" s="271" t="s">
        <v>95</v>
      </c>
      <c r="C91" s="428">
        <v>1</v>
      </c>
      <c r="D91" s="428">
        <v>0</v>
      </c>
      <c r="E91" s="433">
        <v>10.31</v>
      </c>
      <c r="F91" s="433">
        <v>9.7513311703096548</v>
      </c>
      <c r="G91" s="433">
        <v>9.7780471461187233</v>
      </c>
      <c r="H91" s="433">
        <v>0</v>
      </c>
      <c r="I91" s="433">
        <v>0</v>
      </c>
      <c r="J91" s="433">
        <v>0</v>
      </c>
      <c r="K91" s="433">
        <v>0</v>
      </c>
      <c r="L91" s="433">
        <v>0</v>
      </c>
      <c r="M91" s="433">
        <v>0</v>
      </c>
      <c r="N91" s="433">
        <v>9.7690000000000001</v>
      </c>
      <c r="O91" s="433">
        <v>9.8260000000000005</v>
      </c>
      <c r="P91" s="433">
        <v>85810.896000000008</v>
      </c>
      <c r="Q91" s="433">
        <v>86075.760000000009</v>
      </c>
      <c r="R91" s="433">
        <v>10.058999999999999</v>
      </c>
      <c r="S91" s="433">
        <v>88358.255999999994</v>
      </c>
      <c r="T91" s="433">
        <v>0</v>
      </c>
      <c r="U91" s="433">
        <v>0</v>
      </c>
      <c r="V91" s="433">
        <v>0</v>
      </c>
      <c r="W91" s="433">
        <v>0</v>
      </c>
      <c r="X91" s="433">
        <v>1.3990000000000001E-3</v>
      </c>
      <c r="Y91" s="433">
        <v>1.4071000000000001E-3</v>
      </c>
      <c r="Z91" s="433">
        <v>0</v>
      </c>
      <c r="AA91" s="433">
        <v>1.3990000000000001E-3</v>
      </c>
      <c r="AB91" s="433">
        <v>1.4071000000000001E-3</v>
      </c>
      <c r="AC91" s="433">
        <v>1.4030500000000001E-3</v>
      </c>
      <c r="AD91" s="433">
        <v>1</v>
      </c>
      <c r="AE91" s="433">
        <v>1</v>
      </c>
      <c r="AF91" s="433">
        <v>1</v>
      </c>
      <c r="AG91" s="433">
        <v>1</v>
      </c>
      <c r="AH91" s="433">
        <v>5.5E-2</v>
      </c>
      <c r="AI91" s="433">
        <v>5.5E-2</v>
      </c>
      <c r="AJ91" s="262"/>
      <c r="AK91" s="262"/>
      <c r="AL91" s="262"/>
      <c r="AM91" s="262"/>
      <c r="AN91" s="262"/>
      <c r="AO91" s="262"/>
      <c r="AP91" s="262"/>
      <c r="AQ91" s="271"/>
      <c r="AR91" s="271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271"/>
      <c r="BH91" s="271"/>
      <c r="BI91" s="271"/>
      <c r="BJ91" s="271"/>
      <c r="BK91" s="271"/>
      <c r="BL91" s="271"/>
      <c r="BM91" s="271"/>
      <c r="BN91" s="271"/>
    </row>
    <row r="92" spans="1:66">
      <c r="A92" s="271">
        <v>10285</v>
      </c>
      <c r="B92" s="271" t="s">
        <v>96</v>
      </c>
      <c r="C92" s="428">
        <v>0</v>
      </c>
      <c r="D92" s="428">
        <v>1</v>
      </c>
      <c r="E92" s="433">
        <v>6.6260000000000003</v>
      </c>
      <c r="F92" s="433">
        <v>6.7740067167577411</v>
      </c>
      <c r="G92" s="433">
        <v>6.792565639269406</v>
      </c>
      <c r="H92" s="433">
        <v>0</v>
      </c>
      <c r="I92" s="433">
        <v>0</v>
      </c>
      <c r="J92" s="433">
        <v>0</v>
      </c>
      <c r="K92" s="433">
        <v>0</v>
      </c>
      <c r="L92" s="433">
        <v>0</v>
      </c>
      <c r="M92" s="433">
        <v>0</v>
      </c>
      <c r="N92" s="433">
        <v>6.4560000000000004</v>
      </c>
      <c r="O92" s="433">
        <v>6.4710000000000001</v>
      </c>
      <c r="P92" s="433">
        <v>56709.504000000001</v>
      </c>
      <c r="Q92" s="433">
        <v>56685.96</v>
      </c>
      <c r="R92" s="433">
        <v>6.4649999999999999</v>
      </c>
      <c r="S92" s="433">
        <v>56788.56</v>
      </c>
      <c r="T92" s="433">
        <v>0</v>
      </c>
      <c r="U92" s="433">
        <v>6.0000000000000001E-3</v>
      </c>
      <c r="V92" s="433">
        <v>0</v>
      </c>
      <c r="W92" s="433">
        <v>6.0000000000000001E-3</v>
      </c>
      <c r="X92" s="433">
        <v>9.2449999999999997E-4</v>
      </c>
      <c r="Y92" s="433">
        <v>9.2579999999999995E-4</v>
      </c>
      <c r="Z92" s="433">
        <v>0</v>
      </c>
      <c r="AA92" s="433">
        <v>9.2449999999999997E-4</v>
      </c>
      <c r="AB92" s="433">
        <v>9.2579999999999995E-4</v>
      </c>
      <c r="AC92" s="433">
        <v>9.2515000000000002E-4</v>
      </c>
      <c r="AD92" s="433">
        <v>0.99992505242940721</v>
      </c>
      <c r="AE92" s="433">
        <v>0.99910092916926352</v>
      </c>
      <c r="AF92" s="433">
        <v>1</v>
      </c>
      <c r="AG92" s="433">
        <v>1.0009280742459397</v>
      </c>
      <c r="AH92" s="433">
        <v>7.0000000000000007E-2</v>
      </c>
      <c r="AI92" s="433">
        <v>7.0059999999999997E-2</v>
      </c>
      <c r="AJ92" s="262"/>
      <c r="AK92" s="262"/>
      <c r="AL92" s="262"/>
      <c r="AM92" s="262"/>
      <c r="AN92" s="262"/>
      <c r="AO92" s="262"/>
      <c r="AP92" s="262"/>
      <c r="AQ92" s="271"/>
      <c r="AR92" s="271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271"/>
      <c r="BH92" s="271"/>
      <c r="BI92" s="271"/>
      <c r="BJ92" s="271"/>
      <c r="BK92" s="271"/>
      <c r="BL92" s="271"/>
      <c r="BM92" s="271"/>
      <c r="BN92" s="271"/>
    </row>
    <row r="93" spans="1:66">
      <c r="A93" s="271">
        <v>10286</v>
      </c>
      <c r="B93" s="271" t="s">
        <v>97</v>
      </c>
      <c r="C93" s="428">
        <v>1</v>
      </c>
      <c r="D93" s="428">
        <v>0</v>
      </c>
      <c r="E93" s="433">
        <v>46.595999999999997</v>
      </c>
      <c r="F93" s="433">
        <v>73.783593465391661</v>
      </c>
      <c r="G93" s="433">
        <v>75.005514840182641</v>
      </c>
      <c r="H93" s="433">
        <v>0</v>
      </c>
      <c r="I93" s="433">
        <v>0</v>
      </c>
      <c r="J93" s="433">
        <v>24.234175774134791</v>
      </c>
      <c r="K93" s="433">
        <v>24.250228310502283</v>
      </c>
      <c r="L93" s="433">
        <v>212873</v>
      </c>
      <c r="M93" s="433">
        <v>212432</v>
      </c>
      <c r="N93" s="433">
        <v>49.548999999999999</v>
      </c>
      <c r="O93" s="433">
        <v>50.755000000000003</v>
      </c>
      <c r="P93" s="433">
        <v>435238.41599999997</v>
      </c>
      <c r="Q93" s="433">
        <v>444613.80000000005</v>
      </c>
      <c r="R93" s="433">
        <v>45.463000000000001</v>
      </c>
      <c r="S93" s="433">
        <v>399346.99200000003</v>
      </c>
      <c r="T93" s="433">
        <v>6.9850000000000003</v>
      </c>
      <c r="U93" s="433">
        <v>7.9480000000000004</v>
      </c>
      <c r="V93" s="433">
        <v>6.9850000000000003</v>
      </c>
      <c r="W93" s="433">
        <v>7.9480000000000004</v>
      </c>
      <c r="X93" s="433">
        <v>6.5104000000000004E-3</v>
      </c>
      <c r="Y93" s="433">
        <v>6.5104000000000004E-3</v>
      </c>
      <c r="Z93" s="433">
        <v>3.6148E-3</v>
      </c>
      <c r="AA93" s="433">
        <v>2.8956000000000003E-3</v>
      </c>
      <c r="AB93" s="433">
        <v>2.8956000000000003E-3</v>
      </c>
      <c r="AC93" s="433">
        <v>2.8956000000000003E-3</v>
      </c>
      <c r="AD93" s="433">
        <v>0.90890717605887383</v>
      </c>
      <c r="AE93" s="433">
        <v>0.89765701809202125</v>
      </c>
      <c r="AF93" s="433">
        <v>1.0898752831973253</v>
      </c>
      <c r="AG93" s="433">
        <v>1.1164023491630557</v>
      </c>
      <c r="AH93" s="433">
        <v>0</v>
      </c>
      <c r="AI93" s="433">
        <v>0</v>
      </c>
      <c r="AJ93" s="262"/>
      <c r="AK93" s="262"/>
      <c r="AL93" s="262"/>
      <c r="AM93" s="262"/>
      <c r="AN93" s="262"/>
      <c r="AO93" s="262"/>
      <c r="AP93" s="262"/>
      <c r="AQ93" s="271"/>
      <c r="AR93" s="271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271"/>
      <c r="BH93" s="271"/>
      <c r="BI93" s="271"/>
      <c r="BJ93" s="271"/>
      <c r="BK93" s="271"/>
      <c r="BL93" s="271"/>
      <c r="BM93" s="271"/>
      <c r="BN93" s="271"/>
    </row>
    <row r="94" spans="1:66">
      <c r="A94" s="271">
        <v>10288</v>
      </c>
      <c r="B94" s="271" t="s">
        <v>98</v>
      </c>
      <c r="C94" s="428">
        <v>0</v>
      </c>
      <c r="D94" s="428">
        <v>1</v>
      </c>
      <c r="E94" s="433">
        <v>25.103000000000002</v>
      </c>
      <c r="F94" s="433">
        <v>24.019810336976324</v>
      </c>
      <c r="G94" s="433">
        <v>24.085618036529684</v>
      </c>
      <c r="H94" s="433">
        <v>0</v>
      </c>
      <c r="I94" s="433">
        <v>0</v>
      </c>
      <c r="J94" s="433">
        <v>0</v>
      </c>
      <c r="K94" s="433">
        <v>0</v>
      </c>
      <c r="L94" s="433">
        <v>0</v>
      </c>
      <c r="M94" s="433">
        <v>0</v>
      </c>
      <c r="N94" s="433">
        <v>24.59</v>
      </c>
      <c r="O94" s="433">
        <v>24.655000000000001</v>
      </c>
      <c r="P94" s="433">
        <v>215998.56</v>
      </c>
      <c r="Q94" s="433">
        <v>215977.80000000002</v>
      </c>
      <c r="R94" s="433">
        <v>24.492999999999999</v>
      </c>
      <c r="S94" s="433">
        <v>215146.51199999999</v>
      </c>
      <c r="T94" s="433">
        <v>9.7000000000000003E-2</v>
      </c>
      <c r="U94" s="433">
        <v>0.16200000000000001</v>
      </c>
      <c r="V94" s="433">
        <v>9.7000000000000003E-2</v>
      </c>
      <c r="W94" s="433">
        <v>0.16200000000000001</v>
      </c>
      <c r="X94" s="433">
        <v>3.5075000000000002E-3</v>
      </c>
      <c r="Y94" s="433">
        <v>3.5075000000000002E-3</v>
      </c>
      <c r="Z94" s="433">
        <v>0</v>
      </c>
      <c r="AA94" s="433">
        <v>3.5075000000000002E-3</v>
      </c>
      <c r="AB94" s="433">
        <v>3.5075000000000002E-3</v>
      </c>
      <c r="AC94" s="433">
        <v>3.5075000000000002E-3</v>
      </c>
      <c r="AD94" s="433">
        <v>0.99604942211817082</v>
      </c>
      <c r="AE94" s="433">
        <v>0.99343885373556962</v>
      </c>
      <c r="AF94" s="433">
        <v>1.0039603151920957</v>
      </c>
      <c r="AG94" s="433">
        <v>1.0066141346507167</v>
      </c>
      <c r="AH94" s="433">
        <v>5.0200000000000002E-2</v>
      </c>
      <c r="AI94" s="433">
        <v>5.5359999999999999E-2</v>
      </c>
      <c r="AJ94" s="262"/>
      <c r="AK94" s="262"/>
      <c r="AL94" s="262"/>
      <c r="AM94" s="262"/>
      <c r="AN94" s="262"/>
      <c r="AO94" s="262"/>
      <c r="AP94" s="262"/>
      <c r="AQ94" s="271"/>
      <c r="AR94" s="271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271"/>
      <c r="BH94" s="271"/>
      <c r="BI94" s="271"/>
      <c r="BJ94" s="271"/>
      <c r="BK94" s="271"/>
      <c r="BL94" s="271"/>
      <c r="BM94" s="271"/>
      <c r="BN94" s="271"/>
    </row>
    <row r="95" spans="1:66">
      <c r="A95" s="271">
        <v>10291</v>
      </c>
      <c r="B95" s="271" t="s">
        <v>99</v>
      </c>
      <c r="C95" s="428">
        <v>1</v>
      </c>
      <c r="D95" s="428">
        <v>0</v>
      </c>
      <c r="E95" s="433">
        <v>80.363</v>
      </c>
      <c r="F95" s="433">
        <v>78.349039048269574</v>
      </c>
      <c r="G95" s="433">
        <v>78.563693949771675</v>
      </c>
      <c r="H95" s="433">
        <v>0</v>
      </c>
      <c r="I95" s="433">
        <v>0</v>
      </c>
      <c r="J95" s="433">
        <v>0</v>
      </c>
      <c r="K95" s="433">
        <v>0</v>
      </c>
      <c r="L95" s="433">
        <v>0</v>
      </c>
      <c r="M95" s="433">
        <v>0</v>
      </c>
      <c r="N95" s="433">
        <v>77.766000000000005</v>
      </c>
      <c r="O95" s="433">
        <v>78.887</v>
      </c>
      <c r="P95" s="433">
        <v>683096.54399999999</v>
      </c>
      <c r="Q95" s="433">
        <v>691050.12</v>
      </c>
      <c r="R95" s="433">
        <v>78.409000000000006</v>
      </c>
      <c r="S95" s="433">
        <v>688744.65600000008</v>
      </c>
      <c r="T95" s="433">
        <v>0</v>
      </c>
      <c r="U95" s="433">
        <v>0.47799999999999998</v>
      </c>
      <c r="V95" s="433">
        <v>0</v>
      </c>
      <c r="W95" s="433">
        <v>0</v>
      </c>
      <c r="X95" s="433">
        <v>1.11363E-2</v>
      </c>
      <c r="Y95" s="433">
        <v>1.1228399999999999E-2</v>
      </c>
      <c r="Z95" s="433">
        <v>0</v>
      </c>
      <c r="AA95" s="433">
        <v>1.11363E-2</v>
      </c>
      <c r="AB95" s="433">
        <v>1.1228399999999999E-2</v>
      </c>
      <c r="AC95" s="433">
        <v>1.1182350000000001E-2</v>
      </c>
      <c r="AD95" s="433">
        <v>0.99999862361864833</v>
      </c>
      <c r="AE95" s="433">
        <v>0.99394214330664743</v>
      </c>
      <c r="AF95" s="433">
        <v>1</v>
      </c>
      <c r="AG95" s="433">
        <v>1.006096238952161</v>
      </c>
      <c r="AH95" s="433">
        <v>0.05</v>
      </c>
      <c r="AI95" s="433">
        <v>5.0299999999999997E-2</v>
      </c>
      <c r="AJ95" s="262"/>
      <c r="AK95" s="262"/>
      <c r="AL95" s="262"/>
      <c r="AM95" s="262"/>
      <c r="AN95" s="262"/>
      <c r="AO95" s="262"/>
      <c r="AP95" s="262"/>
      <c r="AQ95" s="271"/>
      <c r="AR95" s="271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271"/>
      <c r="BH95" s="271"/>
      <c r="BI95" s="271"/>
      <c r="BJ95" s="271"/>
      <c r="BK95" s="271"/>
      <c r="BL95" s="271"/>
      <c r="BM95" s="271"/>
      <c r="BN95" s="271"/>
    </row>
    <row r="96" spans="1:66">
      <c r="A96" s="271">
        <v>10294</v>
      </c>
      <c r="B96" s="271" t="s">
        <v>100</v>
      </c>
      <c r="C96" s="428">
        <v>1</v>
      </c>
      <c r="D96" s="428">
        <v>0</v>
      </c>
      <c r="E96" s="433">
        <v>36.869</v>
      </c>
      <c r="F96" s="433">
        <v>34.196687158469949</v>
      </c>
      <c r="G96" s="433">
        <v>34.40517385844749</v>
      </c>
      <c r="H96" s="433">
        <v>0</v>
      </c>
      <c r="I96" s="433">
        <v>0</v>
      </c>
      <c r="J96" s="433">
        <v>0</v>
      </c>
      <c r="K96" s="433">
        <v>0</v>
      </c>
      <c r="L96" s="433">
        <v>0</v>
      </c>
      <c r="M96" s="433">
        <v>0</v>
      </c>
      <c r="N96" s="433">
        <v>34.197000000000003</v>
      </c>
      <c r="O96" s="433">
        <v>34.405000000000001</v>
      </c>
      <c r="P96" s="433">
        <v>300386.44800000003</v>
      </c>
      <c r="Q96" s="433">
        <v>301387.8</v>
      </c>
      <c r="R96" s="433">
        <v>35.972999999999999</v>
      </c>
      <c r="S96" s="433">
        <v>315986.83199999999</v>
      </c>
      <c r="T96" s="433">
        <v>15.227</v>
      </c>
      <c r="U96" s="433">
        <v>15.29</v>
      </c>
      <c r="V96" s="433">
        <v>15.227</v>
      </c>
      <c r="W96" s="433">
        <v>15.29</v>
      </c>
      <c r="X96" s="433">
        <v>4.8970999999999997E-3</v>
      </c>
      <c r="Y96" s="433">
        <v>4.9268999999999997E-3</v>
      </c>
      <c r="Z96" s="433">
        <v>2.8197999999999999E-3</v>
      </c>
      <c r="AA96" s="433">
        <v>2.0772999999999998E-3</v>
      </c>
      <c r="AB96" s="433">
        <v>2.1070999999999998E-3</v>
      </c>
      <c r="AC96" s="433">
        <v>2.0921999999999998E-3</v>
      </c>
      <c r="AD96" s="433">
        <v>0.702588556510087</v>
      </c>
      <c r="AE96" s="433">
        <v>0.70172384864411586</v>
      </c>
      <c r="AF96" s="433">
        <v>1</v>
      </c>
      <c r="AG96" s="433">
        <v>1</v>
      </c>
      <c r="AH96" s="433">
        <v>0</v>
      </c>
      <c r="AI96" s="433">
        <v>0</v>
      </c>
      <c r="AJ96" s="262"/>
      <c r="AK96" s="262"/>
      <c r="AL96" s="262"/>
      <c r="AM96" s="262"/>
      <c r="AN96" s="262"/>
      <c r="AO96" s="262"/>
      <c r="AP96" s="262"/>
      <c r="AQ96" s="271"/>
      <c r="AR96" s="271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271"/>
      <c r="BH96" s="271"/>
      <c r="BI96" s="271"/>
      <c r="BJ96" s="271"/>
      <c r="BK96" s="271"/>
      <c r="BL96" s="271"/>
      <c r="BM96" s="271"/>
      <c r="BN96" s="271"/>
    </row>
    <row r="97" spans="1:66">
      <c r="A97" s="271">
        <v>10304</v>
      </c>
      <c r="B97" s="271" t="s">
        <v>101</v>
      </c>
      <c r="C97" s="428">
        <v>1</v>
      </c>
      <c r="D97" s="428">
        <v>0</v>
      </c>
      <c r="E97" s="433">
        <v>14.278</v>
      </c>
      <c r="F97" s="433">
        <v>13.560944785974501</v>
      </c>
      <c r="G97" s="433">
        <v>13.598098059360733</v>
      </c>
      <c r="H97" s="433">
        <v>0</v>
      </c>
      <c r="I97" s="433">
        <v>0</v>
      </c>
      <c r="J97" s="433">
        <v>0</v>
      </c>
      <c r="K97" s="433">
        <v>0</v>
      </c>
      <c r="L97" s="433">
        <v>0</v>
      </c>
      <c r="M97" s="433">
        <v>0</v>
      </c>
      <c r="N97" s="433">
        <v>13.871</v>
      </c>
      <c r="O97" s="433">
        <v>13.94</v>
      </c>
      <c r="P97" s="433">
        <v>121842.864</v>
      </c>
      <c r="Q97" s="433">
        <v>122114.4</v>
      </c>
      <c r="R97" s="433">
        <v>13.930999999999999</v>
      </c>
      <c r="S97" s="433">
        <v>122369.90399999999</v>
      </c>
      <c r="T97" s="433">
        <v>0</v>
      </c>
      <c r="U97" s="433">
        <v>8.9999999999999993E-3</v>
      </c>
      <c r="V97" s="433">
        <v>0</v>
      </c>
      <c r="W97" s="433">
        <v>0</v>
      </c>
      <c r="X97" s="433">
        <v>1.9864000000000001E-3</v>
      </c>
      <c r="Y97" s="433">
        <v>1.9949999999999998E-3</v>
      </c>
      <c r="Z97" s="433">
        <v>0</v>
      </c>
      <c r="AA97" s="433">
        <v>1.9864000000000001E-3</v>
      </c>
      <c r="AB97" s="433">
        <v>1.9949999999999998E-3</v>
      </c>
      <c r="AC97" s="433">
        <v>1.9906999999999998E-3</v>
      </c>
      <c r="AD97" s="433">
        <v>1</v>
      </c>
      <c r="AE97" s="433">
        <v>0.99935989591433971</v>
      </c>
      <c r="AF97" s="433">
        <v>1</v>
      </c>
      <c r="AG97" s="433">
        <v>1.0006460412030722</v>
      </c>
      <c r="AH97" s="433">
        <v>0</v>
      </c>
      <c r="AI97" s="433">
        <v>0</v>
      </c>
      <c r="AJ97" s="262"/>
      <c r="AK97" s="262"/>
      <c r="AL97" s="262"/>
      <c r="AM97" s="262"/>
      <c r="AN97" s="262"/>
      <c r="AO97" s="262"/>
      <c r="AP97" s="262"/>
      <c r="AQ97" s="271"/>
      <c r="AR97" s="271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271"/>
      <c r="BH97" s="271"/>
      <c r="BI97" s="271"/>
      <c r="BJ97" s="271"/>
      <c r="BK97" s="271"/>
      <c r="BL97" s="271"/>
      <c r="BM97" s="271"/>
      <c r="BN97" s="271"/>
    </row>
    <row r="98" spans="1:66">
      <c r="A98" s="271">
        <v>10306</v>
      </c>
      <c r="B98" s="271" t="s">
        <v>102</v>
      </c>
      <c r="C98" s="428">
        <v>1</v>
      </c>
      <c r="D98" s="428">
        <v>0</v>
      </c>
      <c r="E98" s="433">
        <v>26.152999999999999</v>
      </c>
      <c r="F98" s="433">
        <v>85.76471766848816</v>
      </c>
      <c r="G98" s="433">
        <v>30.027702853881276</v>
      </c>
      <c r="H98" s="433">
        <v>39.122900045537342</v>
      </c>
      <c r="I98" s="433">
        <v>40.590251647151398</v>
      </c>
      <c r="J98" s="433">
        <v>47.663100409836055</v>
      </c>
      <c r="K98" s="433">
        <v>41.318000000000005</v>
      </c>
      <c r="L98" s="433">
        <v>418672.67399999988</v>
      </c>
      <c r="M98" s="433">
        <v>361945.68000000005</v>
      </c>
      <c r="N98" s="433">
        <v>0</v>
      </c>
      <c r="O98" s="433">
        <v>0</v>
      </c>
      <c r="P98" s="433">
        <v>0</v>
      </c>
      <c r="Q98" s="433">
        <v>0</v>
      </c>
      <c r="R98" s="433">
        <v>25.516999999999999</v>
      </c>
      <c r="S98" s="433">
        <v>224141.32800000001</v>
      </c>
      <c r="T98" s="433">
        <v>1.153</v>
      </c>
      <c r="U98" s="433">
        <v>1.5169999999999999</v>
      </c>
      <c r="V98" s="433">
        <v>1.153</v>
      </c>
      <c r="W98" s="433">
        <v>1.5169999999999999</v>
      </c>
      <c r="X98" s="433">
        <v>0</v>
      </c>
      <c r="Y98" s="433">
        <v>0</v>
      </c>
      <c r="Z98" s="433">
        <v>0</v>
      </c>
      <c r="AA98" s="433">
        <v>0</v>
      </c>
      <c r="AB98" s="433">
        <v>0</v>
      </c>
      <c r="AC98" s="433">
        <v>0</v>
      </c>
      <c r="AD98" s="433">
        <v>0.97933643278907401</v>
      </c>
      <c r="AE98" s="433">
        <v>0.97301321991506673</v>
      </c>
      <c r="AF98" s="433">
        <v>1</v>
      </c>
      <c r="AG98" s="433">
        <v>1</v>
      </c>
      <c r="AH98" s="433">
        <v>0</v>
      </c>
      <c r="AI98" s="433">
        <v>0</v>
      </c>
      <c r="AJ98" s="262"/>
      <c r="AK98" s="262"/>
      <c r="AL98" s="262"/>
      <c r="AM98" s="262"/>
      <c r="AN98" s="262"/>
      <c r="AO98" s="262"/>
      <c r="AP98" s="262"/>
      <c r="AQ98" s="271"/>
      <c r="AR98" s="271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271"/>
      <c r="BH98" s="271"/>
      <c r="BI98" s="271"/>
      <c r="BJ98" s="271"/>
      <c r="BK98" s="271"/>
      <c r="BL98" s="271"/>
      <c r="BM98" s="271"/>
      <c r="BN98" s="271"/>
    </row>
    <row r="99" spans="1:66">
      <c r="A99" s="271">
        <v>10307</v>
      </c>
      <c r="B99" s="271" t="s">
        <v>103</v>
      </c>
      <c r="C99" s="428">
        <v>1</v>
      </c>
      <c r="D99" s="428">
        <v>0</v>
      </c>
      <c r="E99" s="433">
        <v>73.058999999999997</v>
      </c>
      <c r="F99" s="433">
        <v>67.077153346994521</v>
      </c>
      <c r="G99" s="433">
        <v>67.260926369863</v>
      </c>
      <c r="H99" s="433">
        <v>0</v>
      </c>
      <c r="I99" s="433">
        <v>0</v>
      </c>
      <c r="J99" s="433">
        <v>0</v>
      </c>
      <c r="K99" s="433">
        <v>0</v>
      </c>
      <c r="L99" s="433">
        <v>0</v>
      </c>
      <c r="M99" s="433">
        <v>0</v>
      </c>
      <c r="N99" s="433">
        <v>71.331000000000003</v>
      </c>
      <c r="O99" s="433">
        <v>72.335999999999999</v>
      </c>
      <c r="P99" s="433">
        <v>626571.50400000007</v>
      </c>
      <c r="Q99" s="433">
        <v>633663.36</v>
      </c>
      <c r="R99" s="433">
        <v>71.283000000000001</v>
      </c>
      <c r="S99" s="433">
        <v>626149.87199999997</v>
      </c>
      <c r="T99" s="433">
        <v>4.8000000000000001E-2</v>
      </c>
      <c r="U99" s="433">
        <v>1.0529999999999999</v>
      </c>
      <c r="V99" s="433">
        <v>4.8000000000000001E-2</v>
      </c>
      <c r="W99" s="433">
        <v>1.0529999999999999</v>
      </c>
      <c r="X99" s="433">
        <v>1.0208E-2</v>
      </c>
      <c r="Y99" s="433">
        <v>1.0208E-2</v>
      </c>
      <c r="Z99" s="433">
        <v>0</v>
      </c>
      <c r="AA99" s="433">
        <v>1.0208E-2</v>
      </c>
      <c r="AB99" s="433">
        <v>1.0208E-2</v>
      </c>
      <c r="AC99" s="433">
        <v>1.0208E-2</v>
      </c>
      <c r="AD99" s="433">
        <v>0.99932882153758062</v>
      </c>
      <c r="AE99" s="433">
        <v>0.98544280302749587</v>
      </c>
      <c r="AF99" s="433">
        <v>1.0006733723328143</v>
      </c>
      <c r="AG99" s="433">
        <v>1.0147721055511132</v>
      </c>
      <c r="AH99" s="433">
        <v>0</v>
      </c>
      <c r="AI99" s="433">
        <v>0</v>
      </c>
      <c r="AJ99" s="262"/>
      <c r="AK99" s="262"/>
      <c r="AL99" s="262"/>
      <c r="AM99" s="262"/>
      <c r="AN99" s="262"/>
      <c r="AO99" s="262"/>
      <c r="AP99" s="262"/>
      <c r="AQ99" s="271"/>
      <c r="AR99" s="271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271"/>
      <c r="BH99" s="271"/>
      <c r="BI99" s="271"/>
      <c r="BJ99" s="271"/>
      <c r="BK99" s="271"/>
      <c r="BL99" s="271"/>
      <c r="BM99" s="271"/>
      <c r="BN99" s="271"/>
    </row>
    <row r="100" spans="1:66">
      <c r="A100" s="271">
        <v>10326</v>
      </c>
      <c r="B100" s="271" t="s">
        <v>104</v>
      </c>
      <c r="C100" s="428">
        <v>1</v>
      </c>
      <c r="D100" s="428">
        <v>0</v>
      </c>
      <c r="E100" s="433">
        <v>30.914000000000001</v>
      </c>
      <c r="F100" s="433">
        <v>28.882483037340617</v>
      </c>
      <c r="G100" s="433">
        <v>28.961613127853877</v>
      </c>
      <c r="H100" s="433">
        <v>0</v>
      </c>
      <c r="I100" s="433">
        <v>0</v>
      </c>
      <c r="J100" s="433">
        <v>0</v>
      </c>
      <c r="K100" s="433">
        <v>0</v>
      </c>
      <c r="L100" s="433">
        <v>0</v>
      </c>
      <c r="M100" s="433">
        <v>0</v>
      </c>
      <c r="N100" s="433">
        <v>28.655999999999999</v>
      </c>
      <c r="O100" s="433">
        <v>28.655000000000001</v>
      </c>
      <c r="P100" s="433">
        <v>251714.304</v>
      </c>
      <c r="Q100" s="433">
        <v>251017.80000000002</v>
      </c>
      <c r="R100" s="433">
        <v>30.161999999999999</v>
      </c>
      <c r="S100" s="433">
        <v>264943.00799999997</v>
      </c>
      <c r="T100" s="433">
        <v>0</v>
      </c>
      <c r="U100" s="433">
        <v>0</v>
      </c>
      <c r="V100" s="433">
        <v>0</v>
      </c>
      <c r="W100" s="433">
        <v>0</v>
      </c>
      <c r="X100" s="433">
        <v>4.1035999999999998E-3</v>
      </c>
      <c r="Y100" s="433">
        <v>4.1035000000000004E-3</v>
      </c>
      <c r="Z100" s="433">
        <v>0</v>
      </c>
      <c r="AA100" s="433">
        <v>4.1035999999999998E-3</v>
      </c>
      <c r="AB100" s="433">
        <v>4.1035000000000004E-3</v>
      </c>
      <c r="AC100" s="433">
        <v>4.1035500000000001E-3</v>
      </c>
      <c r="AD100" s="433">
        <v>0.99998625168728017</v>
      </c>
      <c r="AE100" s="433">
        <v>1</v>
      </c>
      <c r="AF100" s="433">
        <v>1</v>
      </c>
      <c r="AG100" s="433">
        <v>1</v>
      </c>
      <c r="AH100" s="433">
        <v>0</v>
      </c>
      <c r="AI100" s="433">
        <v>0</v>
      </c>
      <c r="AJ100" s="262"/>
      <c r="AK100" s="262"/>
      <c r="AL100" s="262"/>
      <c r="AM100" s="262"/>
      <c r="AN100" s="262"/>
      <c r="AO100" s="262"/>
      <c r="AP100" s="262"/>
      <c r="AQ100" s="271"/>
      <c r="AR100" s="271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271"/>
      <c r="BH100" s="271"/>
      <c r="BI100" s="271"/>
      <c r="BJ100" s="271"/>
      <c r="BK100" s="271"/>
      <c r="BL100" s="271"/>
      <c r="BM100" s="271"/>
      <c r="BN100" s="271"/>
    </row>
    <row r="101" spans="1:66">
      <c r="A101" s="271">
        <v>10331</v>
      </c>
      <c r="B101" s="271" t="s">
        <v>105</v>
      </c>
      <c r="C101" s="428">
        <v>0</v>
      </c>
      <c r="D101" s="428">
        <v>1</v>
      </c>
      <c r="E101" s="433">
        <v>37.148000000000003</v>
      </c>
      <c r="F101" s="433">
        <v>35.789321721311474</v>
      </c>
      <c r="G101" s="433">
        <v>35.887374657534245</v>
      </c>
      <c r="H101" s="433">
        <v>0</v>
      </c>
      <c r="I101" s="433">
        <v>0</v>
      </c>
      <c r="J101" s="433">
        <v>0</v>
      </c>
      <c r="K101" s="433">
        <v>0</v>
      </c>
      <c r="L101" s="433">
        <v>0</v>
      </c>
      <c r="M101" s="433">
        <v>0</v>
      </c>
      <c r="N101" s="433">
        <v>34.847000000000001</v>
      </c>
      <c r="O101" s="433">
        <v>35.119999999999997</v>
      </c>
      <c r="P101" s="433">
        <v>306096.04800000001</v>
      </c>
      <c r="Q101" s="433">
        <v>307651.19999999995</v>
      </c>
      <c r="R101" s="433">
        <v>36.244999999999997</v>
      </c>
      <c r="S101" s="433">
        <v>318376.07999999996</v>
      </c>
      <c r="T101" s="433">
        <v>0</v>
      </c>
      <c r="U101" s="433">
        <v>0</v>
      </c>
      <c r="V101" s="433">
        <v>0</v>
      </c>
      <c r="W101" s="433">
        <v>0</v>
      </c>
      <c r="X101" s="433">
        <v>4.9902000000000002E-3</v>
      </c>
      <c r="Y101" s="433">
        <v>5.0292999999999996E-3</v>
      </c>
      <c r="Z101" s="433">
        <v>0</v>
      </c>
      <c r="AA101" s="433">
        <v>4.9902000000000002E-3</v>
      </c>
      <c r="AB101" s="433">
        <v>5.0292999999999996E-3</v>
      </c>
      <c r="AC101" s="433">
        <v>5.0097500000000003E-3</v>
      </c>
      <c r="AD101" s="433">
        <v>1</v>
      </c>
      <c r="AE101" s="433">
        <v>1</v>
      </c>
      <c r="AF101" s="433">
        <v>1</v>
      </c>
      <c r="AG101" s="433">
        <v>1</v>
      </c>
      <c r="AH101" s="433">
        <v>7.0000000000000007E-2</v>
      </c>
      <c r="AI101" s="433">
        <v>7.0000000000000007E-2</v>
      </c>
      <c r="AJ101" s="262"/>
      <c r="AK101" s="262"/>
      <c r="AL101" s="262"/>
      <c r="AM101" s="262"/>
      <c r="AN101" s="262"/>
      <c r="AO101" s="262"/>
      <c r="AP101" s="262"/>
      <c r="AQ101" s="271"/>
      <c r="AR101" s="271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271"/>
      <c r="BH101" s="271"/>
      <c r="BI101" s="271"/>
      <c r="BJ101" s="271"/>
      <c r="BK101" s="271"/>
      <c r="BL101" s="271"/>
      <c r="BM101" s="271"/>
      <c r="BN101" s="271"/>
    </row>
    <row r="102" spans="1:66">
      <c r="A102" s="271">
        <v>10333</v>
      </c>
      <c r="B102" s="271" t="s">
        <v>106</v>
      </c>
      <c r="C102" s="428">
        <v>1</v>
      </c>
      <c r="D102" s="428">
        <v>0</v>
      </c>
      <c r="E102" s="433">
        <v>18.791</v>
      </c>
      <c r="F102" s="433">
        <v>18.281746015482696</v>
      </c>
      <c r="G102" s="433">
        <v>18.331832990867579</v>
      </c>
      <c r="H102" s="433">
        <v>0</v>
      </c>
      <c r="I102" s="433">
        <v>0</v>
      </c>
      <c r="J102" s="433">
        <v>0</v>
      </c>
      <c r="K102" s="433">
        <v>0</v>
      </c>
      <c r="L102" s="433">
        <v>0</v>
      </c>
      <c r="M102" s="433">
        <v>0</v>
      </c>
      <c r="N102" s="433">
        <v>18.558</v>
      </c>
      <c r="O102" s="433">
        <v>18.893000000000001</v>
      </c>
      <c r="P102" s="433">
        <v>163013.47200000001</v>
      </c>
      <c r="Q102" s="433">
        <v>165502.68</v>
      </c>
      <c r="R102" s="433">
        <v>18.334</v>
      </c>
      <c r="S102" s="433">
        <v>161045.856</v>
      </c>
      <c r="T102" s="433">
        <v>0.224</v>
      </c>
      <c r="U102" s="433">
        <v>0.55900000000000005</v>
      </c>
      <c r="V102" s="433">
        <v>0</v>
      </c>
      <c r="W102" s="433">
        <v>0</v>
      </c>
      <c r="X102" s="433">
        <v>2.6254999999999998E-3</v>
      </c>
      <c r="Y102" s="433">
        <v>2.6254999999999998E-3</v>
      </c>
      <c r="Z102" s="433">
        <v>0</v>
      </c>
      <c r="AA102" s="433">
        <v>2.6254999999999998E-3</v>
      </c>
      <c r="AB102" s="433">
        <v>2.6254999999999998E-3</v>
      </c>
      <c r="AC102" s="433">
        <v>2.6254999999999998E-3</v>
      </c>
      <c r="AD102" s="433">
        <v>0.98791206968291156</v>
      </c>
      <c r="AE102" s="433">
        <v>0.97039783048841355</v>
      </c>
      <c r="AF102" s="433">
        <v>1.0122177375368169</v>
      </c>
      <c r="AG102" s="433">
        <v>1.0304898003708958</v>
      </c>
      <c r="AH102" s="433">
        <v>6.5790000000000001E-2</v>
      </c>
      <c r="AI102" s="433">
        <v>6.6979999999999998E-2</v>
      </c>
      <c r="AJ102" s="262"/>
      <c r="AK102" s="262"/>
      <c r="AL102" s="262"/>
      <c r="AM102" s="262"/>
      <c r="AN102" s="262"/>
      <c r="AO102" s="262"/>
      <c r="AP102" s="262"/>
      <c r="AQ102" s="271"/>
      <c r="AR102" s="271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271"/>
      <c r="BH102" s="271"/>
      <c r="BI102" s="271"/>
      <c r="BJ102" s="271"/>
      <c r="BK102" s="271"/>
      <c r="BL102" s="271"/>
      <c r="BM102" s="271"/>
      <c r="BN102" s="271"/>
    </row>
    <row r="103" spans="1:66">
      <c r="A103" s="271">
        <v>10338</v>
      </c>
      <c r="B103" s="271" t="s">
        <v>107</v>
      </c>
      <c r="C103" s="428">
        <v>1</v>
      </c>
      <c r="D103" s="428">
        <v>0</v>
      </c>
      <c r="E103" s="433">
        <v>2.4079999999999999</v>
      </c>
      <c r="F103" s="433">
        <v>2.3928916211293263</v>
      </c>
      <c r="G103" s="433">
        <v>2.3994474885844754</v>
      </c>
      <c r="H103" s="433">
        <v>0</v>
      </c>
      <c r="I103" s="433">
        <v>0</v>
      </c>
      <c r="J103" s="433">
        <v>0</v>
      </c>
      <c r="K103" s="433">
        <v>0</v>
      </c>
      <c r="L103" s="433">
        <v>0</v>
      </c>
      <c r="M103" s="433">
        <v>0</v>
      </c>
      <c r="N103" s="433">
        <v>2.5019999999999998</v>
      </c>
      <c r="O103" s="433">
        <v>2.54</v>
      </c>
      <c r="P103" s="433">
        <v>21977.567999999999</v>
      </c>
      <c r="Q103" s="433">
        <v>22250.400000000001</v>
      </c>
      <c r="R103" s="433">
        <v>2.3490000000000002</v>
      </c>
      <c r="S103" s="433">
        <v>20633.616000000002</v>
      </c>
      <c r="T103" s="433">
        <v>0.153</v>
      </c>
      <c r="U103" s="433">
        <v>0.191</v>
      </c>
      <c r="V103" s="433">
        <v>0</v>
      </c>
      <c r="W103" s="433">
        <v>0</v>
      </c>
      <c r="X103" s="433">
        <v>3.3639999999999999E-4</v>
      </c>
      <c r="Y103" s="433">
        <v>3.3639999999999999E-4</v>
      </c>
      <c r="Z103" s="433">
        <v>0</v>
      </c>
      <c r="AA103" s="433">
        <v>3.3639999999999999E-4</v>
      </c>
      <c r="AB103" s="433">
        <v>3.3639999999999999E-4</v>
      </c>
      <c r="AC103" s="433">
        <v>3.3639999999999999E-4</v>
      </c>
      <c r="AD103" s="433">
        <v>0.93895359857227001</v>
      </c>
      <c r="AE103" s="433">
        <v>0.92497844766692883</v>
      </c>
      <c r="AF103" s="433">
        <v>1.0651340996168581</v>
      </c>
      <c r="AG103" s="433">
        <v>1.081311196253725</v>
      </c>
      <c r="AH103" s="433">
        <v>4.2610000000000002E-2</v>
      </c>
      <c r="AI103" s="433">
        <v>4.3249999999999997E-2</v>
      </c>
      <c r="AJ103" s="262"/>
      <c r="AK103" s="262"/>
      <c r="AL103" s="262"/>
      <c r="AM103" s="262"/>
      <c r="AN103" s="262"/>
      <c r="AO103" s="262"/>
      <c r="AP103" s="262"/>
      <c r="AQ103" s="271"/>
      <c r="AR103" s="271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271"/>
      <c r="BH103" s="271"/>
      <c r="BI103" s="271"/>
      <c r="BJ103" s="271"/>
      <c r="BK103" s="271"/>
      <c r="BL103" s="271"/>
      <c r="BM103" s="271"/>
      <c r="BN103" s="271"/>
    </row>
    <row r="104" spans="1:66">
      <c r="A104" s="271">
        <v>10342</v>
      </c>
      <c r="B104" s="271" t="s">
        <v>108</v>
      </c>
      <c r="C104" s="428">
        <v>1</v>
      </c>
      <c r="D104" s="428">
        <v>0</v>
      </c>
      <c r="E104" s="433">
        <v>39.268000000000001</v>
      </c>
      <c r="F104" s="433">
        <v>37.28802390710382</v>
      </c>
      <c r="G104" s="433">
        <v>37.390182876712323</v>
      </c>
      <c r="H104" s="433">
        <v>0</v>
      </c>
      <c r="I104" s="433">
        <v>0</v>
      </c>
      <c r="J104" s="433">
        <v>0</v>
      </c>
      <c r="K104" s="433">
        <v>0</v>
      </c>
      <c r="L104" s="433">
        <v>0</v>
      </c>
      <c r="M104" s="433">
        <v>0</v>
      </c>
      <c r="N104" s="433">
        <v>37.296999999999997</v>
      </c>
      <c r="O104" s="433">
        <v>37.399000000000001</v>
      </c>
      <c r="P104" s="433">
        <v>327616.848</v>
      </c>
      <c r="Q104" s="433">
        <v>327615.24</v>
      </c>
      <c r="R104" s="433">
        <v>38.313000000000002</v>
      </c>
      <c r="S104" s="433">
        <v>336541.39199999999</v>
      </c>
      <c r="T104" s="433">
        <v>0</v>
      </c>
      <c r="U104" s="433">
        <v>0</v>
      </c>
      <c r="V104" s="433">
        <v>0</v>
      </c>
      <c r="W104" s="433">
        <v>0</v>
      </c>
      <c r="X104" s="433">
        <v>5.3410000000000003E-3</v>
      </c>
      <c r="Y104" s="433">
        <v>5.3556999999999997E-3</v>
      </c>
      <c r="Z104" s="433">
        <v>0</v>
      </c>
      <c r="AA104" s="433">
        <v>5.3410000000000003E-3</v>
      </c>
      <c r="AB104" s="433">
        <v>5.3556999999999997E-3</v>
      </c>
      <c r="AC104" s="433">
        <v>5.34835E-3</v>
      </c>
      <c r="AD104" s="433">
        <v>0.99999691697804483</v>
      </c>
      <c r="AE104" s="433">
        <v>1</v>
      </c>
      <c r="AF104" s="433">
        <v>1</v>
      </c>
      <c r="AG104" s="433">
        <v>1</v>
      </c>
      <c r="AH104" s="433">
        <v>0</v>
      </c>
      <c r="AI104" s="433">
        <v>0</v>
      </c>
      <c r="AJ104" s="262"/>
      <c r="AK104" s="262"/>
      <c r="AL104" s="262"/>
      <c r="AM104" s="262"/>
      <c r="AN104" s="262"/>
      <c r="AO104" s="262"/>
      <c r="AP104" s="262"/>
      <c r="AQ104" s="271"/>
      <c r="AR104" s="271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271"/>
      <c r="BH104" s="271"/>
      <c r="BI104" s="271"/>
      <c r="BJ104" s="271"/>
      <c r="BK104" s="271"/>
      <c r="BL104" s="271"/>
      <c r="BM104" s="271"/>
      <c r="BN104" s="271"/>
    </row>
    <row r="105" spans="1:66">
      <c r="A105" s="271">
        <v>10343</v>
      </c>
      <c r="B105" s="271" t="s">
        <v>109</v>
      </c>
      <c r="C105" s="428">
        <v>1</v>
      </c>
      <c r="D105" s="428">
        <v>0</v>
      </c>
      <c r="E105" s="433">
        <v>31.856999999999999</v>
      </c>
      <c r="F105" s="433">
        <v>11.333832536429872</v>
      </c>
      <c r="G105" s="433">
        <v>11.364884132420091</v>
      </c>
      <c r="H105" s="433">
        <v>0</v>
      </c>
      <c r="I105" s="433">
        <v>0</v>
      </c>
      <c r="J105" s="433">
        <v>0</v>
      </c>
      <c r="K105" s="433">
        <v>0</v>
      </c>
      <c r="L105" s="433">
        <v>0</v>
      </c>
      <c r="M105" s="433">
        <v>0</v>
      </c>
      <c r="N105" s="433">
        <v>12.231999999999999</v>
      </c>
      <c r="O105" s="433">
        <v>12.226000000000001</v>
      </c>
      <c r="P105" s="433">
        <v>107445.88799999999</v>
      </c>
      <c r="Q105" s="433">
        <v>107099.76000000001</v>
      </c>
      <c r="R105" s="433">
        <v>31.082000000000001</v>
      </c>
      <c r="S105" s="433">
        <v>273024.288</v>
      </c>
      <c r="T105" s="433">
        <v>0</v>
      </c>
      <c r="U105" s="433">
        <v>0</v>
      </c>
      <c r="V105" s="433">
        <v>0</v>
      </c>
      <c r="W105" s="433">
        <v>0</v>
      </c>
      <c r="X105" s="433">
        <v>1.7516999999999999E-3</v>
      </c>
      <c r="Y105" s="433">
        <v>1.7508000000000001E-3</v>
      </c>
      <c r="Z105" s="433">
        <v>0</v>
      </c>
      <c r="AA105" s="433">
        <v>1.7516999999999999E-3</v>
      </c>
      <c r="AB105" s="433">
        <v>1.7508000000000001E-3</v>
      </c>
      <c r="AC105" s="433">
        <v>1.75125E-3</v>
      </c>
      <c r="AD105" s="433">
        <v>1</v>
      </c>
      <c r="AE105" s="433">
        <v>1</v>
      </c>
      <c r="AF105" s="433">
        <v>1</v>
      </c>
      <c r="AG105" s="433">
        <v>1</v>
      </c>
      <c r="AH105" s="433">
        <v>5.5E-2</v>
      </c>
      <c r="AI105" s="433">
        <v>0.06</v>
      </c>
      <c r="AJ105" s="262"/>
      <c r="AK105" s="262"/>
      <c r="AL105" s="262"/>
      <c r="AM105" s="262"/>
      <c r="AN105" s="262"/>
      <c r="AO105" s="262"/>
      <c r="AP105" s="262"/>
      <c r="AQ105" s="271"/>
      <c r="AR105" s="271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271"/>
      <c r="BH105" s="271"/>
      <c r="BI105" s="271"/>
      <c r="BJ105" s="271"/>
      <c r="BK105" s="271"/>
      <c r="BL105" s="271"/>
      <c r="BM105" s="271"/>
      <c r="BN105" s="271"/>
    </row>
    <row r="106" spans="1:66">
      <c r="A106" s="271">
        <v>10349</v>
      </c>
      <c r="B106" s="271" t="s">
        <v>110</v>
      </c>
      <c r="C106" s="428">
        <v>1</v>
      </c>
      <c r="D106" s="428">
        <v>0</v>
      </c>
      <c r="E106" s="433">
        <v>531.72699999999998</v>
      </c>
      <c r="F106" s="433">
        <v>1123.5165078551911</v>
      </c>
      <c r="G106" s="433">
        <v>1130.8982877853882</v>
      </c>
      <c r="H106" s="433">
        <v>0</v>
      </c>
      <c r="I106" s="433">
        <v>0</v>
      </c>
      <c r="J106" s="433">
        <v>614.98110200364295</v>
      </c>
      <c r="K106" s="433">
        <v>615.74600456620999</v>
      </c>
      <c r="L106" s="433">
        <v>5401994</v>
      </c>
      <c r="M106" s="433">
        <v>5393934.9999999991</v>
      </c>
      <c r="N106" s="433">
        <v>508.53500000000003</v>
      </c>
      <c r="O106" s="433">
        <v>515.15200000000004</v>
      </c>
      <c r="P106" s="433">
        <v>4466971.4400000004</v>
      </c>
      <c r="Q106" s="433">
        <v>4512731.5200000005</v>
      </c>
      <c r="R106" s="433">
        <v>518.79899999999998</v>
      </c>
      <c r="S106" s="433">
        <v>4557130.4160000002</v>
      </c>
      <c r="T106" s="433">
        <v>28.148</v>
      </c>
      <c r="U106" s="433">
        <v>33.33</v>
      </c>
      <c r="V106" s="433">
        <v>28.148</v>
      </c>
      <c r="W106" s="433">
        <v>33.33</v>
      </c>
      <c r="X106" s="433">
        <v>7.2823799999999994E-2</v>
      </c>
      <c r="Y106" s="433">
        <v>7.3771400000000001E-2</v>
      </c>
      <c r="Z106" s="433">
        <v>0</v>
      </c>
      <c r="AA106" s="433">
        <v>7.2823799999999994E-2</v>
      </c>
      <c r="AB106" s="433">
        <v>7.3771400000000001E-2</v>
      </c>
      <c r="AC106" s="433">
        <v>7.3297599999999991E-2</v>
      </c>
      <c r="AD106" s="433">
        <v>0.97577460007480288</v>
      </c>
      <c r="AE106" s="433">
        <v>0.97146130518712914</v>
      </c>
      <c r="AF106" s="433">
        <v>1</v>
      </c>
      <c r="AG106" s="433">
        <v>1</v>
      </c>
      <c r="AH106" s="433">
        <v>0</v>
      </c>
      <c r="AI106" s="433">
        <v>0</v>
      </c>
      <c r="AJ106" s="262"/>
      <c r="AK106" s="262"/>
      <c r="AL106" s="262"/>
      <c r="AM106" s="262"/>
      <c r="AN106" s="262"/>
      <c r="AO106" s="262"/>
      <c r="AP106" s="262"/>
      <c r="AQ106" s="271"/>
      <c r="AR106" s="271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271"/>
      <c r="BH106" s="271"/>
      <c r="BI106" s="271"/>
      <c r="BJ106" s="271"/>
      <c r="BK106" s="271"/>
      <c r="BL106" s="271"/>
      <c r="BM106" s="271"/>
      <c r="BN106" s="271"/>
    </row>
    <row r="107" spans="1:66">
      <c r="A107" s="271">
        <v>10352</v>
      </c>
      <c r="B107" s="271" t="s">
        <v>111</v>
      </c>
      <c r="C107" s="428">
        <v>1</v>
      </c>
      <c r="D107" s="428">
        <v>0</v>
      </c>
      <c r="E107" s="433">
        <v>16.143999999999998</v>
      </c>
      <c r="F107" s="433">
        <v>15.206009904371584</v>
      </c>
      <c r="G107" s="433">
        <v>15.24767020547945</v>
      </c>
      <c r="H107" s="433">
        <v>0</v>
      </c>
      <c r="I107" s="433">
        <v>0</v>
      </c>
      <c r="J107" s="433">
        <v>0</v>
      </c>
      <c r="K107" s="433">
        <v>0</v>
      </c>
      <c r="L107" s="433">
        <v>0</v>
      </c>
      <c r="M107" s="433">
        <v>0</v>
      </c>
      <c r="N107" s="433">
        <v>15.379</v>
      </c>
      <c r="O107" s="433">
        <v>15.46</v>
      </c>
      <c r="P107" s="433">
        <v>135089.136</v>
      </c>
      <c r="Q107" s="433">
        <v>135429.6</v>
      </c>
      <c r="R107" s="433">
        <v>15.750999999999999</v>
      </c>
      <c r="S107" s="433">
        <v>138356.78399999999</v>
      </c>
      <c r="T107" s="433">
        <v>0</v>
      </c>
      <c r="U107" s="433">
        <v>0</v>
      </c>
      <c r="V107" s="433">
        <v>0</v>
      </c>
      <c r="W107" s="433">
        <v>0</v>
      </c>
      <c r="X107" s="433">
        <v>2.2022999999999999E-3</v>
      </c>
      <c r="Y107" s="433">
        <v>2.2139E-3</v>
      </c>
      <c r="Z107" s="433">
        <v>0</v>
      </c>
      <c r="AA107" s="433">
        <v>2.2022999999999999E-3</v>
      </c>
      <c r="AB107" s="433">
        <v>2.2139E-3</v>
      </c>
      <c r="AC107" s="433">
        <v>2.2081000000000002E-3</v>
      </c>
      <c r="AD107" s="433">
        <v>0.99998511117098066</v>
      </c>
      <c r="AE107" s="433">
        <v>1</v>
      </c>
      <c r="AF107" s="433">
        <v>1</v>
      </c>
      <c r="AG107" s="433">
        <v>1</v>
      </c>
      <c r="AH107" s="433">
        <v>0.06</v>
      </c>
      <c r="AI107" s="433">
        <v>4.4999999999999998E-2</v>
      </c>
      <c r="AJ107" s="262"/>
      <c r="AK107" s="262"/>
      <c r="AL107" s="262"/>
      <c r="AM107" s="262"/>
      <c r="AN107" s="262"/>
      <c r="AO107" s="262"/>
      <c r="AP107" s="262"/>
      <c r="AQ107" s="271"/>
      <c r="AR107" s="271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271"/>
      <c r="BH107" s="271"/>
      <c r="BI107" s="271"/>
      <c r="BJ107" s="271"/>
      <c r="BK107" s="271"/>
      <c r="BL107" s="271"/>
      <c r="BM107" s="271"/>
      <c r="BN107" s="271"/>
    </row>
    <row r="108" spans="1:66">
      <c r="A108" s="271">
        <v>10354</v>
      </c>
      <c r="B108" s="271" t="s">
        <v>112</v>
      </c>
      <c r="C108" s="428">
        <v>1</v>
      </c>
      <c r="D108" s="428">
        <v>0</v>
      </c>
      <c r="E108" s="433">
        <v>810.99</v>
      </c>
      <c r="F108" s="433">
        <v>802.79365050091064</v>
      </c>
      <c r="G108" s="433">
        <v>814.38787488584512</v>
      </c>
      <c r="H108" s="433">
        <v>0</v>
      </c>
      <c r="I108" s="433">
        <v>0</v>
      </c>
      <c r="J108" s="433">
        <v>30.841416211293261</v>
      </c>
      <c r="K108" s="433">
        <v>30.827739726027396</v>
      </c>
      <c r="L108" s="433">
        <v>270911</v>
      </c>
      <c r="M108" s="433">
        <v>270051</v>
      </c>
      <c r="N108" s="433">
        <v>771.952</v>
      </c>
      <c r="O108" s="433">
        <v>783.56</v>
      </c>
      <c r="P108" s="433">
        <v>6780826.3679999998</v>
      </c>
      <c r="Q108" s="433">
        <v>6863985.5999999996</v>
      </c>
      <c r="R108" s="433">
        <v>791.27300000000002</v>
      </c>
      <c r="S108" s="433">
        <v>6950542.0320000006</v>
      </c>
      <c r="T108" s="433">
        <v>0</v>
      </c>
      <c r="U108" s="433">
        <v>0</v>
      </c>
      <c r="V108" s="433">
        <v>0</v>
      </c>
      <c r="W108" s="433">
        <v>0</v>
      </c>
      <c r="X108" s="433">
        <v>0.11054600000000001</v>
      </c>
      <c r="Y108" s="433">
        <v>0.1122083</v>
      </c>
      <c r="Z108" s="433">
        <v>5.4438899999999998E-2</v>
      </c>
      <c r="AA108" s="433">
        <v>5.6107100000000007E-2</v>
      </c>
      <c r="AB108" s="433">
        <v>5.7769399999999999E-2</v>
      </c>
      <c r="AC108" s="433">
        <v>5.6938250000000003E-2</v>
      </c>
      <c r="AD108" s="433">
        <v>1</v>
      </c>
      <c r="AE108" s="433">
        <v>0.9999997321291425</v>
      </c>
      <c r="AF108" s="433">
        <v>1</v>
      </c>
      <c r="AG108" s="433">
        <v>1</v>
      </c>
      <c r="AH108" s="433">
        <v>0</v>
      </c>
      <c r="AI108" s="433">
        <v>0</v>
      </c>
      <c r="AJ108" s="262"/>
      <c r="AK108" s="262"/>
      <c r="AL108" s="262"/>
      <c r="AM108" s="262"/>
      <c r="AN108" s="262"/>
      <c r="AO108" s="262"/>
      <c r="AP108" s="262"/>
      <c r="AQ108" s="271"/>
      <c r="AR108" s="271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271"/>
      <c r="BH108" s="271"/>
      <c r="BI108" s="271"/>
      <c r="BJ108" s="271"/>
      <c r="BK108" s="271"/>
      <c r="BL108" s="271"/>
      <c r="BM108" s="271"/>
      <c r="BN108" s="271"/>
    </row>
    <row r="109" spans="1:66">
      <c r="A109" s="271">
        <v>10360</v>
      </c>
      <c r="B109" s="271" t="s">
        <v>113</v>
      </c>
      <c r="C109" s="428">
        <v>1</v>
      </c>
      <c r="D109" s="428">
        <v>0</v>
      </c>
      <c r="E109" s="433">
        <v>6.8659999999999997</v>
      </c>
      <c r="F109" s="433">
        <v>7.1305047814207656</v>
      </c>
      <c r="G109" s="433">
        <v>7.1500404109589049</v>
      </c>
      <c r="H109" s="433">
        <v>0</v>
      </c>
      <c r="I109" s="433">
        <v>0</v>
      </c>
      <c r="J109" s="433">
        <v>0</v>
      </c>
      <c r="K109" s="433">
        <v>0</v>
      </c>
      <c r="L109" s="433">
        <v>0</v>
      </c>
      <c r="M109" s="433">
        <v>0</v>
      </c>
      <c r="N109" s="433">
        <v>7.266</v>
      </c>
      <c r="O109" s="433">
        <v>7.3609999999999998</v>
      </c>
      <c r="P109" s="433">
        <v>63824.544000000002</v>
      </c>
      <c r="Q109" s="433">
        <v>64482.36</v>
      </c>
      <c r="R109" s="433">
        <v>6.6989999999999998</v>
      </c>
      <c r="S109" s="433">
        <v>58844.015999999996</v>
      </c>
      <c r="T109" s="433">
        <v>0.56699999999999995</v>
      </c>
      <c r="U109" s="433">
        <v>0.66200000000000003</v>
      </c>
      <c r="V109" s="433">
        <v>0</v>
      </c>
      <c r="W109" s="433">
        <v>0</v>
      </c>
      <c r="X109" s="433">
        <v>9.5929999999999995E-4</v>
      </c>
      <c r="Y109" s="433">
        <v>9.5929999999999995E-4</v>
      </c>
      <c r="Z109" s="433">
        <v>0</v>
      </c>
      <c r="AA109" s="433">
        <v>9.5929999999999995E-4</v>
      </c>
      <c r="AB109" s="433">
        <v>9.5929999999999995E-4</v>
      </c>
      <c r="AC109" s="433">
        <v>9.5929999999999995E-4</v>
      </c>
      <c r="AD109" s="433">
        <v>0.92198072016853294</v>
      </c>
      <c r="AE109" s="433">
        <v>0.91006862454140758</v>
      </c>
      <c r="AF109" s="433">
        <v>1.084639498432602</v>
      </c>
      <c r="AG109" s="433">
        <v>1.0988207195103747</v>
      </c>
      <c r="AH109" s="433">
        <v>4.8809999999999999E-2</v>
      </c>
      <c r="AI109" s="433">
        <v>4.9450000000000001E-2</v>
      </c>
      <c r="AJ109" s="262"/>
      <c r="AK109" s="262"/>
      <c r="AL109" s="262"/>
      <c r="AM109" s="262"/>
      <c r="AN109" s="262"/>
      <c r="AO109" s="262"/>
      <c r="AP109" s="262"/>
      <c r="AQ109" s="271"/>
      <c r="AR109" s="271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271"/>
      <c r="BH109" s="271"/>
      <c r="BI109" s="271"/>
      <c r="BJ109" s="271"/>
      <c r="BK109" s="271"/>
      <c r="BL109" s="271"/>
      <c r="BM109" s="271"/>
      <c r="BN109" s="271"/>
    </row>
    <row r="110" spans="1:66">
      <c r="A110" s="271">
        <v>10363</v>
      </c>
      <c r="B110" s="271" t="s">
        <v>114</v>
      </c>
      <c r="C110" s="428">
        <v>1</v>
      </c>
      <c r="D110" s="428">
        <v>0</v>
      </c>
      <c r="E110" s="433">
        <v>102.208</v>
      </c>
      <c r="F110" s="433">
        <v>94.129733834244107</v>
      </c>
      <c r="G110" s="433">
        <v>94.387623515981772</v>
      </c>
      <c r="H110" s="433">
        <v>0</v>
      </c>
      <c r="I110" s="433">
        <v>0</v>
      </c>
      <c r="J110" s="433">
        <v>0</v>
      </c>
      <c r="K110" s="433">
        <v>0</v>
      </c>
      <c r="L110" s="433">
        <v>0</v>
      </c>
      <c r="M110" s="433">
        <v>0</v>
      </c>
      <c r="N110" s="433">
        <v>91.248999999999995</v>
      </c>
      <c r="O110" s="433">
        <v>91.433999999999997</v>
      </c>
      <c r="P110" s="433">
        <v>801531.21600000001</v>
      </c>
      <c r="Q110" s="433">
        <v>800961.84</v>
      </c>
      <c r="R110" s="433">
        <v>99.722999999999999</v>
      </c>
      <c r="S110" s="433">
        <v>875966.83199999994</v>
      </c>
      <c r="T110" s="433">
        <v>0</v>
      </c>
      <c r="U110" s="433">
        <v>0</v>
      </c>
      <c r="V110" s="433">
        <v>0</v>
      </c>
      <c r="W110" s="433">
        <v>0</v>
      </c>
      <c r="X110" s="433">
        <v>1.30671E-2</v>
      </c>
      <c r="Y110" s="433">
        <v>1.30936E-2</v>
      </c>
      <c r="Z110" s="433">
        <v>0</v>
      </c>
      <c r="AA110" s="433">
        <v>1.30671E-2</v>
      </c>
      <c r="AB110" s="433">
        <v>1.30936E-2</v>
      </c>
      <c r="AC110" s="433">
        <v>1.3080350000000001E-2</v>
      </c>
      <c r="AD110" s="433">
        <v>1</v>
      </c>
      <c r="AE110" s="433">
        <v>0.99999211774322661</v>
      </c>
      <c r="AF110" s="433">
        <v>1</v>
      </c>
      <c r="AG110" s="433">
        <v>1</v>
      </c>
      <c r="AH110" s="433">
        <v>0</v>
      </c>
      <c r="AI110" s="433">
        <v>0</v>
      </c>
      <c r="AJ110" s="262"/>
      <c r="AK110" s="262"/>
      <c r="AL110" s="262"/>
      <c r="AM110" s="262"/>
      <c r="AN110" s="262"/>
      <c r="AO110" s="262"/>
      <c r="AP110" s="262"/>
      <c r="AQ110" s="271"/>
      <c r="AR110" s="271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271"/>
      <c r="BH110" s="271"/>
      <c r="BI110" s="271"/>
      <c r="BJ110" s="271"/>
      <c r="BK110" s="271"/>
      <c r="BL110" s="271"/>
      <c r="BM110" s="271"/>
      <c r="BN110" s="271"/>
    </row>
    <row r="111" spans="1:66">
      <c r="A111" s="271">
        <v>10369</v>
      </c>
      <c r="B111" s="271" t="s">
        <v>115</v>
      </c>
      <c r="C111" s="428">
        <v>1</v>
      </c>
      <c r="D111" s="428">
        <v>0</v>
      </c>
      <c r="E111" s="433">
        <v>16.677</v>
      </c>
      <c r="F111" s="433">
        <v>17.99066700819672</v>
      </c>
      <c r="G111" s="433">
        <v>18.039956506849315</v>
      </c>
      <c r="H111" s="433">
        <v>0</v>
      </c>
      <c r="I111" s="433">
        <v>0</v>
      </c>
      <c r="J111" s="433">
        <v>0</v>
      </c>
      <c r="K111" s="433">
        <v>0</v>
      </c>
      <c r="L111" s="433">
        <v>0</v>
      </c>
      <c r="M111" s="433">
        <v>0</v>
      </c>
      <c r="N111" s="433">
        <v>16.172999999999998</v>
      </c>
      <c r="O111" s="433">
        <v>16.308</v>
      </c>
      <c r="P111" s="433">
        <v>142063.63199999998</v>
      </c>
      <c r="Q111" s="433">
        <v>142858.07999999999</v>
      </c>
      <c r="R111" s="433">
        <v>16.271999999999998</v>
      </c>
      <c r="S111" s="433">
        <v>142933.24799999999</v>
      </c>
      <c r="T111" s="433">
        <v>0</v>
      </c>
      <c r="U111" s="433">
        <v>3.5999999999999997E-2</v>
      </c>
      <c r="V111" s="433">
        <v>0</v>
      </c>
      <c r="W111" s="433">
        <v>0</v>
      </c>
      <c r="X111" s="433">
        <v>2.3159999999999999E-3</v>
      </c>
      <c r="Y111" s="433">
        <v>2.3302000000000002E-3</v>
      </c>
      <c r="Z111" s="433">
        <v>0</v>
      </c>
      <c r="AA111" s="433">
        <v>2.3159999999999999E-3</v>
      </c>
      <c r="AB111" s="433">
        <v>2.3302000000000002E-3</v>
      </c>
      <c r="AC111" s="433">
        <v>2.3230999999999998E-3</v>
      </c>
      <c r="AD111" s="433">
        <v>1</v>
      </c>
      <c r="AE111" s="433">
        <v>0.99776628500467668</v>
      </c>
      <c r="AF111" s="433">
        <v>1</v>
      </c>
      <c r="AG111" s="433">
        <v>1.002212389380531</v>
      </c>
      <c r="AH111" s="433">
        <v>7.0000000000000007E-2</v>
      </c>
      <c r="AI111" s="433">
        <v>7.0150000000000004E-2</v>
      </c>
      <c r="AJ111" s="262"/>
      <c r="AK111" s="262"/>
      <c r="AL111" s="262"/>
      <c r="AM111" s="262"/>
      <c r="AN111" s="262"/>
      <c r="AO111" s="262"/>
      <c r="AP111" s="262"/>
      <c r="AQ111" s="271"/>
      <c r="AR111" s="271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271"/>
      <c r="BH111" s="271"/>
      <c r="BI111" s="271"/>
      <c r="BJ111" s="271"/>
      <c r="BK111" s="271"/>
      <c r="BL111" s="271"/>
      <c r="BM111" s="271"/>
      <c r="BN111" s="271"/>
    </row>
    <row r="112" spans="1:66">
      <c r="A112" s="271">
        <v>10370</v>
      </c>
      <c r="B112" s="271" t="s">
        <v>116</v>
      </c>
      <c r="C112" s="428">
        <v>1</v>
      </c>
      <c r="D112" s="428">
        <v>0</v>
      </c>
      <c r="E112" s="433">
        <v>408.39299999999997</v>
      </c>
      <c r="F112" s="433">
        <v>552.74316962659384</v>
      </c>
      <c r="G112" s="433">
        <v>565.23333344748858</v>
      </c>
      <c r="H112" s="433">
        <v>0</v>
      </c>
      <c r="I112" s="433">
        <v>0</v>
      </c>
      <c r="J112" s="433">
        <v>178.47267759562843</v>
      </c>
      <c r="K112" s="433">
        <v>178.42237442922374</v>
      </c>
      <c r="L112" s="433">
        <v>1567704</v>
      </c>
      <c r="M112" s="433">
        <v>1562980</v>
      </c>
      <c r="N112" s="433">
        <v>374.27</v>
      </c>
      <c r="O112" s="433">
        <v>386.81099999999998</v>
      </c>
      <c r="P112" s="433">
        <v>3287587.6799999997</v>
      </c>
      <c r="Q112" s="433">
        <v>3388464.36</v>
      </c>
      <c r="R112" s="433">
        <v>398.464</v>
      </c>
      <c r="S112" s="433">
        <v>3500107.7760000001</v>
      </c>
      <c r="T112" s="433">
        <v>5.0010000000000003</v>
      </c>
      <c r="U112" s="433">
        <v>9.33</v>
      </c>
      <c r="V112" s="433">
        <v>5.0010000000000003</v>
      </c>
      <c r="W112" s="433">
        <v>9.33</v>
      </c>
      <c r="X112" s="433">
        <v>5.3596699999999997E-2</v>
      </c>
      <c r="Y112" s="433">
        <v>5.53926E-2</v>
      </c>
      <c r="Z112" s="433">
        <v>2.9652000000000001E-2</v>
      </c>
      <c r="AA112" s="433">
        <v>2.3944699999999996E-2</v>
      </c>
      <c r="AB112" s="433">
        <v>2.5740599999999999E-2</v>
      </c>
      <c r="AC112" s="433">
        <v>2.4842649999999997E-2</v>
      </c>
      <c r="AD112" s="433">
        <v>0.99140585887379029</v>
      </c>
      <c r="AE112" s="433">
        <v>0.98408391889243563</v>
      </c>
      <c r="AF112" s="433">
        <v>1</v>
      </c>
      <c r="AG112" s="433">
        <v>1</v>
      </c>
      <c r="AH112" s="433">
        <v>0</v>
      </c>
      <c r="AI112" s="433">
        <v>0</v>
      </c>
      <c r="AJ112" s="262"/>
      <c r="AK112" s="262"/>
      <c r="AL112" s="262"/>
      <c r="AM112" s="262"/>
      <c r="AN112" s="262"/>
      <c r="AO112" s="262"/>
      <c r="AP112" s="262"/>
      <c r="AQ112" s="271"/>
      <c r="AR112" s="271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271"/>
      <c r="BH112" s="271"/>
      <c r="BI112" s="271"/>
      <c r="BJ112" s="271"/>
      <c r="BK112" s="271"/>
      <c r="BL112" s="271"/>
      <c r="BM112" s="271"/>
      <c r="BN112" s="271"/>
    </row>
    <row r="113" spans="1:66">
      <c r="A113" s="271">
        <v>10371</v>
      </c>
      <c r="B113" s="271" t="s">
        <v>117</v>
      </c>
      <c r="C113" s="428">
        <v>1</v>
      </c>
      <c r="D113" s="428">
        <v>0</v>
      </c>
      <c r="E113" s="433">
        <v>11.196999999999999</v>
      </c>
      <c r="F113" s="433">
        <v>11.35307581967213</v>
      </c>
      <c r="G113" s="433">
        <v>11.3841801369863</v>
      </c>
      <c r="H113" s="433">
        <v>0</v>
      </c>
      <c r="I113" s="433">
        <v>0</v>
      </c>
      <c r="J113" s="433">
        <v>0</v>
      </c>
      <c r="K113" s="433">
        <v>0</v>
      </c>
      <c r="L113" s="433">
        <v>0</v>
      </c>
      <c r="M113" s="433">
        <v>0</v>
      </c>
      <c r="N113" s="433">
        <v>11.898</v>
      </c>
      <c r="O113" s="433">
        <v>12.135999999999999</v>
      </c>
      <c r="P113" s="433">
        <v>104512.03199999999</v>
      </c>
      <c r="Q113" s="433">
        <v>106311.35999999999</v>
      </c>
      <c r="R113" s="433">
        <v>10.925000000000001</v>
      </c>
      <c r="S113" s="433">
        <v>95965.200000000012</v>
      </c>
      <c r="T113" s="433">
        <v>0.97299999999999998</v>
      </c>
      <c r="U113" s="433">
        <v>1.2110000000000001</v>
      </c>
      <c r="V113" s="433">
        <v>0.97299999999999998</v>
      </c>
      <c r="W113" s="433">
        <v>1.2110000000000001</v>
      </c>
      <c r="X113" s="433">
        <v>1.5644999999999999E-3</v>
      </c>
      <c r="Y113" s="433">
        <v>1.5644999999999999E-3</v>
      </c>
      <c r="Z113" s="433">
        <v>0</v>
      </c>
      <c r="AA113" s="433">
        <v>1.5644999999999999E-3</v>
      </c>
      <c r="AB113" s="433">
        <v>1.5644999999999999E-3</v>
      </c>
      <c r="AC113" s="433">
        <v>1.5644999999999999E-3</v>
      </c>
      <c r="AD113" s="433">
        <v>0.91820531405613692</v>
      </c>
      <c r="AE113" s="433">
        <v>0.90019732907736305</v>
      </c>
      <c r="AF113" s="433">
        <v>1.089061784897025</v>
      </c>
      <c r="AG113" s="433">
        <v>1.1108466819221967</v>
      </c>
      <c r="AH113" s="433">
        <v>0</v>
      </c>
      <c r="AI113" s="433">
        <v>0</v>
      </c>
      <c r="AJ113" s="262"/>
      <c r="AK113" s="262"/>
      <c r="AL113" s="262"/>
      <c r="AM113" s="262"/>
      <c r="AN113" s="262"/>
      <c r="AO113" s="262"/>
      <c r="AP113" s="262"/>
      <c r="AQ113" s="271"/>
      <c r="AR113" s="271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271"/>
      <c r="BH113" s="271"/>
      <c r="BI113" s="271"/>
      <c r="BJ113" s="271"/>
      <c r="BK113" s="271"/>
      <c r="BL113" s="271"/>
      <c r="BM113" s="271"/>
      <c r="BN113" s="271"/>
    </row>
    <row r="114" spans="1:66">
      <c r="A114" s="271">
        <v>10376</v>
      </c>
      <c r="B114" s="271" t="s">
        <v>118</v>
      </c>
      <c r="C114" s="428">
        <v>1</v>
      </c>
      <c r="D114" s="428">
        <v>0</v>
      </c>
      <c r="E114" s="433">
        <v>56.865000000000002</v>
      </c>
      <c r="F114" s="433">
        <v>54.76014412568307</v>
      </c>
      <c r="G114" s="433">
        <v>54.910171917808228</v>
      </c>
      <c r="H114" s="433">
        <v>0</v>
      </c>
      <c r="I114" s="433">
        <v>0</v>
      </c>
      <c r="J114" s="433">
        <v>0.69740437158469948</v>
      </c>
      <c r="K114" s="433">
        <v>0.69737442922374426</v>
      </c>
      <c r="L114" s="433">
        <v>6126</v>
      </c>
      <c r="M114" s="433">
        <v>6109</v>
      </c>
      <c r="N114" s="433">
        <v>54.832000000000001</v>
      </c>
      <c r="O114" s="433">
        <v>54.988999999999997</v>
      </c>
      <c r="P114" s="433">
        <v>481644.288</v>
      </c>
      <c r="Q114" s="433">
        <v>481703.63999999996</v>
      </c>
      <c r="R114" s="433">
        <v>55.481999999999999</v>
      </c>
      <c r="S114" s="433">
        <v>487353.88799999998</v>
      </c>
      <c r="T114" s="433">
        <v>0</v>
      </c>
      <c r="U114" s="433">
        <v>0</v>
      </c>
      <c r="V114" s="433">
        <v>0</v>
      </c>
      <c r="W114" s="433">
        <v>0</v>
      </c>
      <c r="X114" s="433">
        <v>7.8521000000000007E-3</v>
      </c>
      <c r="Y114" s="433">
        <v>7.8746000000000007E-3</v>
      </c>
      <c r="Z114" s="433">
        <v>0</v>
      </c>
      <c r="AA114" s="433">
        <v>7.8521000000000007E-3</v>
      </c>
      <c r="AB114" s="433">
        <v>7.8746000000000007E-3</v>
      </c>
      <c r="AC114" s="433">
        <v>7.8633500000000016E-3</v>
      </c>
      <c r="AD114" s="433">
        <v>1</v>
      </c>
      <c r="AE114" s="433">
        <v>0.99999776553067155</v>
      </c>
      <c r="AF114" s="433">
        <v>1</v>
      </c>
      <c r="AG114" s="433">
        <v>1</v>
      </c>
      <c r="AH114" s="433">
        <v>0</v>
      </c>
      <c r="AI114" s="433">
        <v>0</v>
      </c>
      <c r="AJ114" s="262"/>
      <c r="AK114" s="262"/>
      <c r="AL114" s="262"/>
      <c r="AM114" s="262"/>
      <c r="AN114" s="262"/>
      <c r="AO114" s="262"/>
      <c r="AP114" s="262"/>
      <c r="AQ114" s="271"/>
      <c r="AR114" s="271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271"/>
      <c r="BH114" s="271"/>
      <c r="BI114" s="271"/>
      <c r="BJ114" s="271"/>
      <c r="BK114" s="271"/>
      <c r="BL114" s="271"/>
      <c r="BM114" s="271"/>
      <c r="BN114" s="271"/>
    </row>
    <row r="115" spans="1:66">
      <c r="A115" s="271">
        <v>10378</v>
      </c>
      <c r="B115" s="271" t="s">
        <v>119</v>
      </c>
      <c r="C115" s="428">
        <v>1</v>
      </c>
      <c r="D115" s="428">
        <v>0</v>
      </c>
      <c r="E115" s="433">
        <v>2.0510000000000002</v>
      </c>
      <c r="F115" s="433">
        <v>1.8777711748633876</v>
      </c>
      <c r="G115" s="433">
        <v>1.8829157534246572</v>
      </c>
      <c r="H115" s="433">
        <v>0</v>
      </c>
      <c r="I115" s="433">
        <v>0</v>
      </c>
      <c r="J115" s="433">
        <v>0</v>
      </c>
      <c r="K115" s="433">
        <v>0</v>
      </c>
      <c r="L115" s="433">
        <v>0</v>
      </c>
      <c r="M115" s="433">
        <v>0</v>
      </c>
      <c r="N115" s="433">
        <v>2.048</v>
      </c>
      <c r="O115" s="433">
        <v>2.085</v>
      </c>
      <c r="P115" s="433">
        <v>17989.632000000001</v>
      </c>
      <c r="Q115" s="433">
        <v>18264.599999999999</v>
      </c>
      <c r="R115" s="433">
        <v>2.0009999999999999</v>
      </c>
      <c r="S115" s="433">
        <v>17576.784</v>
      </c>
      <c r="T115" s="433">
        <v>4.7E-2</v>
      </c>
      <c r="U115" s="433">
        <v>8.4000000000000005E-2</v>
      </c>
      <c r="V115" s="433">
        <v>0</v>
      </c>
      <c r="W115" s="433">
        <v>0</v>
      </c>
      <c r="X115" s="433">
        <v>2.8650000000000003E-4</v>
      </c>
      <c r="Y115" s="433">
        <v>2.8650000000000003E-4</v>
      </c>
      <c r="Z115" s="433">
        <v>0</v>
      </c>
      <c r="AA115" s="433">
        <v>2.8650000000000003E-4</v>
      </c>
      <c r="AB115" s="433">
        <v>2.8650000000000003E-4</v>
      </c>
      <c r="AC115" s="433">
        <v>2.8650000000000003E-4</v>
      </c>
      <c r="AD115" s="433">
        <v>0.97686949170805049</v>
      </c>
      <c r="AE115" s="433">
        <v>0.95944556410757276</v>
      </c>
      <c r="AF115" s="433">
        <v>1.0234882558720642</v>
      </c>
      <c r="AG115" s="433">
        <v>1.0419790104947526</v>
      </c>
      <c r="AH115" s="433">
        <v>0</v>
      </c>
      <c r="AI115" s="433">
        <v>0</v>
      </c>
      <c r="AJ115" s="262"/>
      <c r="AK115" s="262"/>
      <c r="AL115" s="262"/>
      <c r="AM115" s="262"/>
      <c r="AN115" s="262"/>
      <c r="AO115" s="262"/>
      <c r="AP115" s="262"/>
      <c r="AQ115" s="271"/>
      <c r="AR115" s="271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271"/>
      <c r="BH115" s="271"/>
      <c r="BI115" s="271"/>
      <c r="BJ115" s="271"/>
      <c r="BK115" s="271"/>
      <c r="BL115" s="271"/>
      <c r="BM115" s="271"/>
      <c r="BN115" s="271"/>
    </row>
    <row r="116" spans="1:66">
      <c r="A116" s="271">
        <v>10379</v>
      </c>
      <c r="B116" s="271" t="s">
        <v>120</v>
      </c>
      <c r="C116" s="428">
        <v>1</v>
      </c>
      <c r="D116" s="428">
        <v>0</v>
      </c>
      <c r="E116" s="433">
        <v>4.88</v>
      </c>
      <c r="F116" s="433">
        <v>4.6878957194899833</v>
      </c>
      <c r="G116" s="433">
        <v>4.7007392694063936</v>
      </c>
      <c r="H116" s="433">
        <v>0</v>
      </c>
      <c r="I116" s="433">
        <v>0</v>
      </c>
      <c r="J116" s="433">
        <v>0</v>
      </c>
      <c r="K116" s="433">
        <v>0</v>
      </c>
      <c r="L116" s="433">
        <v>0</v>
      </c>
      <c r="M116" s="433">
        <v>0</v>
      </c>
      <c r="N116" s="433">
        <v>4.8959999999999999</v>
      </c>
      <c r="O116" s="433">
        <v>4.93</v>
      </c>
      <c r="P116" s="433">
        <v>43006.464</v>
      </c>
      <c r="Q116" s="433">
        <v>43186.799999999996</v>
      </c>
      <c r="R116" s="433">
        <v>4.7610000000000001</v>
      </c>
      <c r="S116" s="433">
        <v>41820.624000000003</v>
      </c>
      <c r="T116" s="433">
        <v>0.13500000000000001</v>
      </c>
      <c r="U116" s="433">
        <v>0.16900000000000001</v>
      </c>
      <c r="V116" s="433">
        <v>0</v>
      </c>
      <c r="W116" s="433">
        <v>0</v>
      </c>
      <c r="X116" s="433">
        <v>6.8179999999999998E-4</v>
      </c>
      <c r="Y116" s="433">
        <v>6.8179999999999998E-4</v>
      </c>
      <c r="Z116" s="433">
        <v>0</v>
      </c>
      <c r="AA116" s="433">
        <v>6.8179999999999998E-4</v>
      </c>
      <c r="AB116" s="433">
        <v>6.8179999999999998E-4</v>
      </c>
      <c r="AC116" s="433">
        <v>6.8179999999999998E-4</v>
      </c>
      <c r="AD116" s="433">
        <v>0.97252794520961916</v>
      </c>
      <c r="AE116" s="433">
        <v>0.96578300851759702</v>
      </c>
      <c r="AF116" s="433">
        <v>1.0283553875236295</v>
      </c>
      <c r="AG116" s="433">
        <v>1.0354967443814325</v>
      </c>
      <c r="AH116" s="433">
        <v>0</v>
      </c>
      <c r="AI116" s="433">
        <v>0</v>
      </c>
      <c r="AJ116" s="262"/>
      <c r="AK116" s="262"/>
      <c r="AL116" s="262"/>
      <c r="AM116" s="262"/>
      <c r="AN116" s="262"/>
      <c r="AO116" s="262"/>
      <c r="AP116" s="262"/>
      <c r="AQ116" s="271"/>
      <c r="AR116" s="271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271"/>
      <c r="BH116" s="271"/>
      <c r="BI116" s="271"/>
      <c r="BJ116" s="271"/>
      <c r="BK116" s="271"/>
      <c r="BL116" s="271"/>
      <c r="BM116" s="271"/>
      <c r="BN116" s="271"/>
    </row>
    <row r="117" spans="1:66">
      <c r="A117" s="271">
        <v>10388</v>
      </c>
      <c r="B117" s="271" t="s">
        <v>121</v>
      </c>
      <c r="C117" s="428">
        <v>0</v>
      </c>
      <c r="D117" s="428">
        <v>1</v>
      </c>
      <c r="E117" s="433">
        <v>114.91200000000001</v>
      </c>
      <c r="F117" s="433">
        <v>263.52331341074682</v>
      </c>
      <c r="G117" s="433">
        <v>264.24529509132424</v>
      </c>
      <c r="H117" s="433">
        <v>0</v>
      </c>
      <c r="I117" s="433">
        <v>47.067782876712329</v>
      </c>
      <c r="J117" s="433">
        <v>0</v>
      </c>
      <c r="K117" s="433">
        <v>0.2321917808219178</v>
      </c>
      <c r="L117" s="433">
        <v>0</v>
      </c>
      <c r="M117" s="433">
        <v>2034</v>
      </c>
      <c r="N117" s="433">
        <v>150.96700000000001</v>
      </c>
      <c r="O117" s="433">
        <v>152.28700000000001</v>
      </c>
      <c r="P117" s="433">
        <v>1326094.128</v>
      </c>
      <c r="Q117" s="433">
        <v>1334034.1200000001</v>
      </c>
      <c r="R117" s="433">
        <v>112.11799999999999</v>
      </c>
      <c r="S117" s="433">
        <v>984844.51199999999</v>
      </c>
      <c r="T117" s="433">
        <v>38.848999999999997</v>
      </c>
      <c r="U117" s="433">
        <v>40.168999999999997</v>
      </c>
      <c r="V117" s="433">
        <v>38.848999999999997</v>
      </c>
      <c r="W117" s="433">
        <v>40.168999999999997</v>
      </c>
      <c r="X117" s="433">
        <v>1.6055699999999999E-2</v>
      </c>
      <c r="Y117" s="433">
        <v>1.6055699999999999E-2</v>
      </c>
      <c r="Z117" s="433">
        <v>0</v>
      </c>
      <c r="AA117" s="433">
        <v>1.6055699999999999E-2</v>
      </c>
      <c r="AB117" s="433">
        <v>1.6055699999999999E-2</v>
      </c>
      <c r="AC117" s="433">
        <v>1.6055699999999999E-2</v>
      </c>
      <c r="AD117" s="433">
        <v>0.74266861929631667</v>
      </c>
      <c r="AE117" s="433">
        <v>0.73622805286515147</v>
      </c>
      <c r="AF117" s="433">
        <v>1.3465010078667121</v>
      </c>
      <c r="AG117" s="433">
        <v>1.3582743181291141</v>
      </c>
      <c r="AH117" s="433">
        <v>7.4060000000000001E-2</v>
      </c>
      <c r="AI117" s="433">
        <v>7.4709999999999999E-2</v>
      </c>
      <c r="AJ117" s="262"/>
      <c r="AK117" s="262"/>
      <c r="AL117" s="262"/>
      <c r="AM117" s="262"/>
      <c r="AN117" s="262"/>
      <c r="AO117" s="262"/>
      <c r="AP117" s="262"/>
      <c r="AQ117" s="271"/>
      <c r="AR117" s="271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271"/>
      <c r="BH117" s="271"/>
      <c r="BI117" s="271"/>
      <c r="BJ117" s="271"/>
      <c r="BK117" s="271"/>
      <c r="BL117" s="271"/>
      <c r="BM117" s="271"/>
      <c r="BN117" s="271"/>
    </row>
    <row r="118" spans="1:66">
      <c r="A118" s="271">
        <v>10391</v>
      </c>
      <c r="B118" s="271" t="s">
        <v>122</v>
      </c>
      <c r="C118" s="428">
        <v>1</v>
      </c>
      <c r="D118" s="428">
        <v>0</v>
      </c>
      <c r="E118" s="433">
        <v>30.423999999999999</v>
      </c>
      <c r="F118" s="433">
        <v>34.97506124772314</v>
      </c>
      <c r="G118" s="433">
        <v>35.070883333333342</v>
      </c>
      <c r="H118" s="433">
        <v>0</v>
      </c>
      <c r="I118" s="433">
        <v>0</v>
      </c>
      <c r="J118" s="433">
        <v>0</v>
      </c>
      <c r="K118" s="433">
        <v>0</v>
      </c>
      <c r="L118" s="433">
        <v>0</v>
      </c>
      <c r="M118" s="433">
        <v>0</v>
      </c>
      <c r="N118" s="433">
        <v>33.131</v>
      </c>
      <c r="O118" s="433">
        <v>33.573</v>
      </c>
      <c r="P118" s="433">
        <v>291022.70400000003</v>
      </c>
      <c r="Q118" s="433">
        <v>294099.48</v>
      </c>
      <c r="R118" s="433">
        <v>29.684000000000001</v>
      </c>
      <c r="S118" s="433">
        <v>260744.25600000002</v>
      </c>
      <c r="T118" s="433">
        <v>3.4470000000000001</v>
      </c>
      <c r="U118" s="433">
        <v>3.8889999999999998</v>
      </c>
      <c r="V118" s="433">
        <v>3.4470000000000001</v>
      </c>
      <c r="W118" s="433">
        <v>3.8889999999999998</v>
      </c>
      <c r="X118" s="433">
        <v>4.2507999999999999E-3</v>
      </c>
      <c r="Y118" s="433">
        <v>4.2507999999999999E-3</v>
      </c>
      <c r="Z118" s="433">
        <v>0</v>
      </c>
      <c r="AA118" s="433">
        <v>4.2507999999999999E-3</v>
      </c>
      <c r="AB118" s="433">
        <v>4.2507999999999999E-3</v>
      </c>
      <c r="AC118" s="433">
        <v>4.2507999999999999E-3</v>
      </c>
      <c r="AD118" s="433">
        <v>0.89595538127985586</v>
      </c>
      <c r="AE118" s="433">
        <v>0.8841442962714009</v>
      </c>
      <c r="AF118" s="433">
        <v>1.1161231639940707</v>
      </c>
      <c r="AG118" s="433">
        <v>1.1310133405201455</v>
      </c>
      <c r="AH118" s="433">
        <v>3.9059999999999997E-2</v>
      </c>
      <c r="AI118" s="433">
        <v>3.959E-2</v>
      </c>
      <c r="AJ118" s="262"/>
      <c r="AK118" s="262"/>
      <c r="AL118" s="262"/>
      <c r="AM118" s="262"/>
      <c r="AN118" s="262"/>
      <c r="AO118" s="262"/>
      <c r="AP118" s="262"/>
      <c r="AQ118" s="271"/>
      <c r="AR118" s="271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271"/>
      <c r="BH118" s="271"/>
      <c r="BI118" s="271"/>
      <c r="BJ118" s="271"/>
      <c r="BK118" s="271"/>
      <c r="BL118" s="271"/>
      <c r="BM118" s="271"/>
      <c r="BN118" s="271"/>
    </row>
    <row r="119" spans="1:66">
      <c r="A119" s="271">
        <v>10406</v>
      </c>
      <c r="B119" s="271" t="s">
        <v>123</v>
      </c>
      <c r="C119" s="428">
        <v>1</v>
      </c>
      <c r="D119" s="428">
        <v>0</v>
      </c>
      <c r="E119" s="433">
        <v>0.46500000000000002</v>
      </c>
      <c r="F119" s="433">
        <v>0.56281989981785074</v>
      </c>
      <c r="G119" s="433">
        <v>0.56436187214611888</v>
      </c>
      <c r="H119" s="433">
        <v>0</v>
      </c>
      <c r="I119" s="433">
        <v>0</v>
      </c>
      <c r="J119" s="433">
        <v>0</v>
      </c>
      <c r="K119" s="433">
        <v>0</v>
      </c>
      <c r="L119" s="433">
        <v>0</v>
      </c>
      <c r="M119" s="433">
        <v>0</v>
      </c>
      <c r="N119" s="433">
        <v>0.52800000000000002</v>
      </c>
      <c r="O119" s="433">
        <v>0.52900000000000003</v>
      </c>
      <c r="P119" s="433">
        <v>4637.9520000000002</v>
      </c>
      <c r="Q119" s="433">
        <v>4634.04</v>
      </c>
      <c r="R119" s="433">
        <v>0.45400000000000001</v>
      </c>
      <c r="S119" s="433">
        <v>3987.9360000000001</v>
      </c>
      <c r="T119" s="433">
        <v>7.3999999999999996E-2</v>
      </c>
      <c r="U119" s="433">
        <v>7.4999999999999997E-2</v>
      </c>
      <c r="V119" s="433">
        <v>0</v>
      </c>
      <c r="W119" s="433">
        <v>0</v>
      </c>
      <c r="X119" s="433">
        <v>6.4999999999999994E-5</v>
      </c>
      <c r="Y119" s="433">
        <v>6.4999999999999994E-5</v>
      </c>
      <c r="Z119" s="433">
        <v>0</v>
      </c>
      <c r="AA119" s="433">
        <v>6.4999999999999994E-5</v>
      </c>
      <c r="AB119" s="433">
        <v>6.4999999999999994E-5</v>
      </c>
      <c r="AC119" s="433">
        <v>6.4999999999999994E-5</v>
      </c>
      <c r="AD119" s="433">
        <v>0.85918306511307851</v>
      </c>
      <c r="AE119" s="433">
        <v>0.85853208875929876</v>
      </c>
      <c r="AF119" s="433">
        <v>1.1629955947136563</v>
      </c>
      <c r="AG119" s="433">
        <v>1.1651982378854626</v>
      </c>
      <c r="AH119" s="433">
        <v>0</v>
      </c>
      <c r="AI119" s="433">
        <v>0</v>
      </c>
      <c r="AJ119" s="262"/>
      <c r="AK119" s="262"/>
      <c r="AL119" s="262"/>
      <c r="AM119" s="262"/>
      <c r="AN119" s="262"/>
      <c r="AO119" s="262"/>
      <c r="AP119" s="262"/>
      <c r="AQ119" s="271"/>
      <c r="AR119" s="271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271"/>
      <c r="BH119" s="271"/>
      <c r="BI119" s="271"/>
      <c r="BJ119" s="271"/>
      <c r="BK119" s="271"/>
      <c r="BL119" s="271"/>
      <c r="BM119" s="271"/>
      <c r="BN119" s="271"/>
    </row>
    <row r="120" spans="1:66">
      <c r="A120" s="271">
        <v>10408</v>
      </c>
      <c r="B120" s="271" t="s">
        <v>124</v>
      </c>
      <c r="C120" s="428">
        <v>1</v>
      </c>
      <c r="D120" s="428">
        <v>0</v>
      </c>
      <c r="E120" s="433">
        <v>1.55</v>
      </c>
      <c r="F120" s="433">
        <v>1.3708835382513664</v>
      </c>
      <c r="G120" s="433">
        <v>1.3746393835616442</v>
      </c>
      <c r="H120" s="433">
        <v>0</v>
      </c>
      <c r="I120" s="433">
        <v>0</v>
      </c>
      <c r="J120" s="433">
        <v>0</v>
      </c>
      <c r="K120" s="433">
        <v>0</v>
      </c>
      <c r="L120" s="433">
        <v>0</v>
      </c>
      <c r="M120" s="433">
        <v>0</v>
      </c>
      <c r="N120" s="433">
        <v>1.4810000000000001</v>
      </c>
      <c r="O120" s="433">
        <v>1.48</v>
      </c>
      <c r="P120" s="433">
        <v>13009.104000000001</v>
      </c>
      <c r="Q120" s="433">
        <v>12964.8</v>
      </c>
      <c r="R120" s="433">
        <v>1.512</v>
      </c>
      <c r="S120" s="433">
        <v>13281.407999999999</v>
      </c>
      <c r="T120" s="433">
        <v>0</v>
      </c>
      <c r="U120" s="433">
        <v>0</v>
      </c>
      <c r="V120" s="433">
        <v>0</v>
      </c>
      <c r="W120" s="433">
        <v>0</v>
      </c>
      <c r="X120" s="433">
        <v>2.1210000000000001E-4</v>
      </c>
      <c r="Y120" s="433">
        <v>2.119E-4</v>
      </c>
      <c r="Z120" s="433">
        <v>0</v>
      </c>
      <c r="AA120" s="433">
        <v>2.1210000000000001E-4</v>
      </c>
      <c r="AB120" s="433">
        <v>2.119E-4</v>
      </c>
      <c r="AC120" s="433">
        <v>2.12E-4</v>
      </c>
      <c r="AD120" s="433">
        <v>1</v>
      </c>
      <c r="AE120" s="433">
        <v>0.99958386107303776</v>
      </c>
      <c r="AF120" s="433">
        <v>1</v>
      </c>
      <c r="AG120" s="433">
        <v>1</v>
      </c>
      <c r="AH120" s="433">
        <v>0</v>
      </c>
      <c r="AI120" s="433">
        <v>0</v>
      </c>
      <c r="AJ120" s="262"/>
      <c r="AK120" s="262"/>
      <c r="AL120" s="262"/>
      <c r="AM120" s="262"/>
      <c r="AN120" s="262"/>
      <c r="AO120" s="262"/>
      <c r="AP120" s="262"/>
      <c r="AQ120" s="271"/>
      <c r="AR120" s="271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271"/>
      <c r="BH120" s="271"/>
      <c r="BI120" s="271"/>
      <c r="BJ120" s="271"/>
      <c r="BK120" s="271"/>
      <c r="BL120" s="271"/>
      <c r="BM120" s="271"/>
      <c r="BN120" s="271"/>
    </row>
    <row r="121" spans="1:66">
      <c r="A121" s="271">
        <v>10409</v>
      </c>
      <c r="B121" s="271" t="s">
        <v>125</v>
      </c>
      <c r="C121" s="428">
        <v>1</v>
      </c>
      <c r="D121" s="428">
        <v>0</v>
      </c>
      <c r="E121" s="433">
        <v>20.725999999999999</v>
      </c>
      <c r="F121" s="433">
        <v>19.460748178506378</v>
      </c>
      <c r="G121" s="433">
        <v>19.514065296803658</v>
      </c>
      <c r="H121" s="433">
        <v>0</v>
      </c>
      <c r="I121" s="433">
        <v>0</v>
      </c>
      <c r="J121" s="433">
        <v>0</v>
      </c>
      <c r="K121" s="433">
        <v>0</v>
      </c>
      <c r="L121" s="433">
        <v>0</v>
      </c>
      <c r="M121" s="433">
        <v>0</v>
      </c>
      <c r="N121" s="433">
        <v>20.257999999999999</v>
      </c>
      <c r="O121" s="433">
        <v>20.273</v>
      </c>
      <c r="P121" s="433">
        <v>177946.272</v>
      </c>
      <c r="Q121" s="433">
        <v>177591.48</v>
      </c>
      <c r="R121" s="433">
        <v>20.222000000000001</v>
      </c>
      <c r="S121" s="433">
        <v>177630.04800000001</v>
      </c>
      <c r="T121" s="433">
        <v>3.5999999999999997E-2</v>
      </c>
      <c r="U121" s="433">
        <v>5.0999999999999997E-2</v>
      </c>
      <c r="V121" s="433">
        <v>0</v>
      </c>
      <c r="W121" s="433">
        <v>0</v>
      </c>
      <c r="X121" s="433">
        <v>2.8958999999999999E-3</v>
      </c>
      <c r="Y121" s="433">
        <v>2.8958999999999999E-3</v>
      </c>
      <c r="Z121" s="433">
        <v>0</v>
      </c>
      <c r="AA121" s="433">
        <v>2.8958999999999999E-3</v>
      </c>
      <c r="AB121" s="433">
        <v>2.8958999999999999E-3</v>
      </c>
      <c r="AC121" s="433">
        <v>2.8958999999999999E-3</v>
      </c>
      <c r="AD121" s="433">
        <v>0.99825506483225024</v>
      </c>
      <c r="AE121" s="433">
        <v>0.99750486151372864</v>
      </c>
      <c r="AF121" s="433">
        <v>1.0017802393432893</v>
      </c>
      <c r="AG121" s="433">
        <v>1.0025220057363267</v>
      </c>
      <c r="AH121" s="433">
        <v>0</v>
      </c>
      <c r="AI121" s="433">
        <v>0</v>
      </c>
      <c r="AJ121" s="262"/>
      <c r="AK121" s="262"/>
      <c r="AL121" s="262"/>
      <c r="AM121" s="262"/>
      <c r="AN121" s="262"/>
      <c r="AO121" s="262"/>
      <c r="AP121" s="262"/>
      <c r="AQ121" s="271"/>
      <c r="AR121" s="271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271"/>
      <c r="BH121" s="271"/>
      <c r="BI121" s="271"/>
      <c r="BJ121" s="271"/>
      <c r="BK121" s="271"/>
      <c r="BL121" s="271"/>
      <c r="BM121" s="271"/>
      <c r="BN121" s="271"/>
    </row>
    <row r="122" spans="1:66">
      <c r="A122" s="273">
        <v>10426</v>
      </c>
      <c r="B122" s="273" t="s">
        <v>126</v>
      </c>
      <c r="C122" s="428">
        <v>1</v>
      </c>
      <c r="D122" s="428">
        <v>0</v>
      </c>
      <c r="E122" s="433">
        <v>26.683</v>
      </c>
      <c r="F122" s="433">
        <v>18.062362932604735</v>
      </c>
      <c r="G122" s="433">
        <v>18.111848858447487</v>
      </c>
      <c r="H122" s="433">
        <v>0</v>
      </c>
      <c r="I122" s="433">
        <v>0</v>
      </c>
      <c r="J122" s="433">
        <v>0</v>
      </c>
      <c r="K122" s="433">
        <v>0</v>
      </c>
      <c r="L122" s="433">
        <v>0</v>
      </c>
      <c r="M122" s="433">
        <v>0</v>
      </c>
      <c r="N122" s="433">
        <v>25.811</v>
      </c>
      <c r="O122" s="433">
        <v>26.683</v>
      </c>
      <c r="P122" s="433">
        <v>226723.82399999999</v>
      </c>
      <c r="Q122" s="433">
        <v>233743.08</v>
      </c>
      <c r="R122" s="433">
        <v>26.033999999999999</v>
      </c>
      <c r="S122" s="433">
        <v>228682.65599999999</v>
      </c>
      <c r="T122" s="433">
        <v>0</v>
      </c>
      <c r="U122" s="433">
        <v>0.64900000000000002</v>
      </c>
      <c r="V122" s="433">
        <v>0</v>
      </c>
      <c r="W122" s="433">
        <v>0</v>
      </c>
      <c r="X122" s="433">
        <v>3.6962000000000002E-3</v>
      </c>
      <c r="Y122" s="433">
        <v>3.7282000000000001E-3</v>
      </c>
      <c r="Z122" s="433">
        <v>0</v>
      </c>
      <c r="AA122" s="433">
        <v>3.6962000000000002E-3</v>
      </c>
      <c r="AB122" s="433">
        <v>3.7282000000000001E-3</v>
      </c>
      <c r="AC122" s="433">
        <v>3.7122000000000001E-3</v>
      </c>
      <c r="AD122" s="433">
        <v>0.99999843499489005</v>
      </c>
      <c r="AE122" s="433">
        <v>0.97569331021858907</v>
      </c>
      <c r="AF122" s="433">
        <v>1</v>
      </c>
      <c r="AG122" s="433">
        <v>1.024928939079665</v>
      </c>
      <c r="AH122" s="433">
        <v>0</v>
      </c>
      <c r="AI122" s="433">
        <v>0</v>
      </c>
      <c r="AJ122" s="262"/>
      <c r="AK122" s="262"/>
      <c r="AL122" s="262"/>
      <c r="AM122" s="262"/>
      <c r="AN122" s="262"/>
      <c r="AO122" s="262"/>
      <c r="AP122" s="262"/>
      <c r="AQ122" s="271"/>
      <c r="AR122" s="271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271"/>
      <c r="BH122" s="271"/>
      <c r="BI122" s="271"/>
      <c r="BJ122" s="271"/>
      <c r="BK122" s="271"/>
      <c r="BL122" s="271"/>
      <c r="BM122" s="271"/>
      <c r="BN122" s="271"/>
    </row>
    <row r="123" spans="1:66">
      <c r="A123" s="273">
        <v>10434</v>
      </c>
      <c r="B123" s="273" t="s">
        <v>127</v>
      </c>
      <c r="C123" s="428">
        <v>1</v>
      </c>
      <c r="D123" s="428">
        <v>0</v>
      </c>
      <c r="E123" s="433">
        <v>27.562000000000001</v>
      </c>
      <c r="F123" s="433">
        <v>28.902637522768671</v>
      </c>
      <c r="G123" s="433">
        <v>28.981822831050231</v>
      </c>
      <c r="H123" s="433">
        <v>0</v>
      </c>
      <c r="I123" s="433">
        <v>0</v>
      </c>
      <c r="J123" s="433">
        <v>0</v>
      </c>
      <c r="K123" s="433">
        <v>0</v>
      </c>
      <c r="L123" s="433">
        <v>0</v>
      </c>
      <c r="M123" s="433">
        <v>0</v>
      </c>
      <c r="N123" s="433">
        <v>27.096</v>
      </c>
      <c r="O123" s="433">
        <v>27.42</v>
      </c>
      <c r="P123" s="433">
        <v>238011.264</v>
      </c>
      <c r="Q123" s="433">
        <v>240199.2</v>
      </c>
      <c r="R123" s="433">
        <v>26.891999999999999</v>
      </c>
      <c r="S123" s="433">
        <v>236219.32800000001</v>
      </c>
      <c r="T123" s="433">
        <v>0.20399999999999999</v>
      </c>
      <c r="U123" s="433">
        <v>0.52800000000000002</v>
      </c>
      <c r="V123" s="433">
        <v>0</v>
      </c>
      <c r="W123" s="433">
        <v>0</v>
      </c>
      <c r="X123" s="433">
        <v>3.8509999999999998E-3</v>
      </c>
      <c r="Y123" s="433">
        <v>3.8509999999999998E-3</v>
      </c>
      <c r="Z123" s="433">
        <v>0</v>
      </c>
      <c r="AA123" s="433">
        <v>3.8509999999999998E-3</v>
      </c>
      <c r="AB123" s="433">
        <v>3.8509999999999998E-3</v>
      </c>
      <c r="AC123" s="433">
        <v>3.8509999999999998E-3</v>
      </c>
      <c r="AD123" s="433">
        <v>0.99248009902226064</v>
      </c>
      <c r="AE123" s="433">
        <v>0.98073185803425011</v>
      </c>
      <c r="AF123" s="433">
        <v>1.0075858991521642</v>
      </c>
      <c r="AG123" s="433">
        <v>1.0196340919232487</v>
      </c>
      <c r="AH123" s="433">
        <v>0</v>
      </c>
      <c r="AI123" s="433">
        <v>0</v>
      </c>
      <c r="AJ123" s="262"/>
      <c r="AK123" s="262"/>
      <c r="AL123" s="262"/>
      <c r="AM123" s="262"/>
      <c r="AN123" s="262"/>
      <c r="AO123" s="262"/>
      <c r="AP123" s="262"/>
      <c r="AQ123" s="271"/>
      <c r="AR123" s="271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271"/>
      <c r="BH123" s="271"/>
      <c r="BI123" s="271"/>
      <c r="BJ123" s="271"/>
      <c r="BK123" s="271"/>
      <c r="BL123" s="271"/>
      <c r="BM123" s="271"/>
      <c r="BN123" s="271"/>
    </row>
    <row r="124" spans="1:66">
      <c r="A124" s="273">
        <v>10436</v>
      </c>
      <c r="B124" s="273" t="s">
        <v>128</v>
      </c>
      <c r="C124" s="428">
        <v>1</v>
      </c>
      <c r="D124" s="428">
        <v>0</v>
      </c>
      <c r="E124" s="433">
        <v>19.437999999999999</v>
      </c>
      <c r="F124" s="433">
        <v>21.366657559198547</v>
      </c>
      <c r="G124" s="433">
        <v>21.425196347031967</v>
      </c>
      <c r="H124" s="433">
        <v>0</v>
      </c>
      <c r="I124" s="433">
        <v>0</v>
      </c>
      <c r="J124" s="433">
        <v>0</v>
      </c>
      <c r="K124" s="433">
        <v>0</v>
      </c>
      <c r="L124" s="433">
        <v>0</v>
      </c>
      <c r="M124" s="433">
        <v>0</v>
      </c>
      <c r="N124" s="433">
        <v>19.931999999999999</v>
      </c>
      <c r="O124" s="433">
        <v>20.190999999999999</v>
      </c>
      <c r="P124" s="433">
        <v>175082.68799999999</v>
      </c>
      <c r="Q124" s="433">
        <v>176873.16</v>
      </c>
      <c r="R124" s="433">
        <v>18.965</v>
      </c>
      <c r="S124" s="433">
        <v>166588.56</v>
      </c>
      <c r="T124" s="433">
        <v>0.96699999999999997</v>
      </c>
      <c r="U124" s="433">
        <v>1.226</v>
      </c>
      <c r="V124" s="433">
        <v>0</v>
      </c>
      <c r="W124" s="433">
        <v>1.226</v>
      </c>
      <c r="X124" s="433">
        <v>2.7158E-3</v>
      </c>
      <c r="Y124" s="433">
        <v>2.7158E-3</v>
      </c>
      <c r="Z124" s="433">
        <v>0</v>
      </c>
      <c r="AA124" s="433">
        <v>2.7158E-3</v>
      </c>
      <c r="AB124" s="433">
        <v>2.7158E-3</v>
      </c>
      <c r="AC124" s="433">
        <v>2.7158E-3</v>
      </c>
      <c r="AD124" s="433">
        <v>0.95148016820763814</v>
      </c>
      <c r="AE124" s="433">
        <v>0.93927517723410625</v>
      </c>
      <c r="AF124" s="433">
        <v>1.0509886633271817</v>
      </c>
      <c r="AG124" s="433">
        <v>1.064645399419984</v>
      </c>
      <c r="AH124" s="433">
        <v>7.3569999999999997E-2</v>
      </c>
      <c r="AI124" s="433">
        <v>7.4529999999999999E-2</v>
      </c>
      <c r="AJ124" s="262"/>
      <c r="AK124" s="262"/>
      <c r="AL124" s="262"/>
      <c r="AM124" s="262"/>
      <c r="AN124" s="262"/>
      <c r="AO124" s="262"/>
      <c r="AP124" s="262"/>
      <c r="AQ124" s="271"/>
      <c r="AR124" s="271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271"/>
      <c r="BH124" s="271"/>
      <c r="BI124" s="271"/>
      <c r="BJ124" s="271"/>
      <c r="BK124" s="271"/>
      <c r="BL124" s="271"/>
      <c r="BM124" s="271"/>
      <c r="BN124" s="271"/>
    </row>
    <row r="125" spans="1:66">
      <c r="A125" s="273">
        <v>10440</v>
      </c>
      <c r="B125" s="273" t="s">
        <v>129</v>
      </c>
      <c r="C125" s="428">
        <v>1</v>
      </c>
      <c r="D125" s="428">
        <v>0</v>
      </c>
      <c r="E125" s="433">
        <v>5.08</v>
      </c>
      <c r="F125" s="433">
        <v>4.9075127504553731</v>
      </c>
      <c r="G125" s="433">
        <v>4.9209579908675796</v>
      </c>
      <c r="H125" s="433">
        <v>0</v>
      </c>
      <c r="I125" s="433">
        <v>0</v>
      </c>
      <c r="J125" s="433">
        <v>0</v>
      </c>
      <c r="K125" s="433">
        <v>0</v>
      </c>
      <c r="L125" s="433">
        <v>0</v>
      </c>
      <c r="M125" s="433">
        <v>0</v>
      </c>
      <c r="N125" s="433">
        <v>5.0759999999999996</v>
      </c>
      <c r="O125" s="433">
        <v>5.077</v>
      </c>
      <c r="P125" s="433">
        <v>44587.583999999995</v>
      </c>
      <c r="Q125" s="433">
        <v>44474.52</v>
      </c>
      <c r="R125" s="433">
        <v>4.9560000000000004</v>
      </c>
      <c r="S125" s="433">
        <v>43533.504000000001</v>
      </c>
      <c r="T125" s="433">
        <v>0.12</v>
      </c>
      <c r="U125" s="433">
        <v>0.121</v>
      </c>
      <c r="V125" s="433">
        <v>0</v>
      </c>
      <c r="W125" s="433">
        <v>0</v>
      </c>
      <c r="X125" s="433">
        <v>7.0969999999999996E-4</v>
      </c>
      <c r="Y125" s="433">
        <v>7.0969999999999996E-4</v>
      </c>
      <c r="Z125" s="433">
        <v>0</v>
      </c>
      <c r="AA125" s="433">
        <v>7.0969999999999996E-4</v>
      </c>
      <c r="AB125" s="433">
        <v>7.0969999999999996E-4</v>
      </c>
      <c r="AC125" s="433">
        <v>7.0969999999999996E-4</v>
      </c>
      <c r="AD125" s="433">
        <v>0.97642933281511401</v>
      </c>
      <c r="AE125" s="433">
        <v>0.97609913327873565</v>
      </c>
      <c r="AF125" s="433">
        <v>1.0242130750605325</v>
      </c>
      <c r="AG125" s="433">
        <v>1.0244148506860371</v>
      </c>
      <c r="AH125" s="433">
        <v>6.1449999999999998E-2</v>
      </c>
      <c r="AI125" s="433">
        <v>5.6340000000000001E-2</v>
      </c>
      <c r="AJ125" s="262"/>
      <c r="AK125" s="262"/>
      <c r="AL125" s="262"/>
      <c r="AM125" s="262"/>
      <c r="AN125" s="262"/>
      <c r="AO125" s="262"/>
      <c r="AP125" s="262"/>
      <c r="AQ125" s="271"/>
      <c r="AR125" s="271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271"/>
      <c r="BH125" s="271"/>
      <c r="BI125" s="271"/>
      <c r="BJ125" s="271"/>
      <c r="BK125" s="271"/>
      <c r="BL125" s="271"/>
      <c r="BM125" s="271"/>
      <c r="BN125" s="271"/>
    </row>
    <row r="126" spans="1:66">
      <c r="A126" s="273">
        <v>10442</v>
      </c>
      <c r="B126" s="273" t="s">
        <v>130</v>
      </c>
      <c r="C126" s="428">
        <v>1</v>
      </c>
      <c r="D126" s="428">
        <v>0</v>
      </c>
      <c r="E126" s="433">
        <v>13.596</v>
      </c>
      <c r="F126" s="433">
        <v>12.316255009107469</v>
      </c>
      <c r="G126" s="433">
        <v>12.349998173515981</v>
      </c>
      <c r="H126" s="433">
        <v>0</v>
      </c>
      <c r="I126" s="433">
        <v>0</v>
      </c>
      <c r="J126" s="433">
        <v>0</v>
      </c>
      <c r="K126" s="433">
        <v>0</v>
      </c>
      <c r="L126" s="433">
        <v>0</v>
      </c>
      <c r="M126" s="433">
        <v>0</v>
      </c>
      <c r="N126" s="433">
        <v>12.641999999999999</v>
      </c>
      <c r="O126" s="433">
        <v>12.78</v>
      </c>
      <c r="P126" s="433">
        <v>111047.32799999999</v>
      </c>
      <c r="Q126" s="433">
        <v>111952.79999999999</v>
      </c>
      <c r="R126" s="433">
        <v>13.265000000000001</v>
      </c>
      <c r="S126" s="433">
        <v>116519.76000000001</v>
      </c>
      <c r="T126" s="433">
        <v>0</v>
      </c>
      <c r="U126" s="433">
        <v>0</v>
      </c>
      <c r="V126" s="433">
        <v>0</v>
      </c>
      <c r="W126" s="433">
        <v>0</v>
      </c>
      <c r="X126" s="433">
        <v>1.8104E-3</v>
      </c>
      <c r="Y126" s="433">
        <v>1.8301000000000001E-3</v>
      </c>
      <c r="Z126" s="433">
        <v>0</v>
      </c>
      <c r="AA126" s="433">
        <v>1.8104E-3</v>
      </c>
      <c r="AB126" s="433">
        <v>1.8301000000000001E-3</v>
      </c>
      <c r="AC126" s="433">
        <v>1.82025E-3</v>
      </c>
      <c r="AD126" s="433">
        <v>1</v>
      </c>
      <c r="AE126" s="433">
        <v>1</v>
      </c>
      <c r="AF126" s="433">
        <v>1</v>
      </c>
      <c r="AG126" s="433">
        <v>1</v>
      </c>
      <c r="AH126" s="433">
        <v>7.0000000000000007E-2</v>
      </c>
      <c r="AI126" s="433">
        <v>7.0000000000000007E-2</v>
      </c>
      <c r="AJ126" s="262"/>
      <c r="AK126" s="262"/>
      <c r="AL126" s="262"/>
      <c r="AM126" s="262"/>
      <c r="AN126" s="262"/>
      <c r="AO126" s="262"/>
      <c r="AP126" s="262"/>
      <c r="AQ126" s="271"/>
      <c r="AR126" s="271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271"/>
      <c r="BH126" s="271"/>
      <c r="BI126" s="271"/>
      <c r="BJ126" s="271"/>
      <c r="BK126" s="271"/>
      <c r="BL126" s="271"/>
      <c r="BM126" s="271"/>
      <c r="BN126" s="271"/>
    </row>
    <row r="127" spans="1:66">
      <c r="A127" s="273">
        <v>10446</v>
      </c>
      <c r="B127" s="273" t="s">
        <v>131</v>
      </c>
      <c r="C127" s="428">
        <v>1</v>
      </c>
      <c r="D127" s="428">
        <v>0</v>
      </c>
      <c r="E127" s="433">
        <v>97.2</v>
      </c>
      <c r="F127" s="433">
        <v>93.811381830601107</v>
      </c>
      <c r="G127" s="433">
        <v>94.068399315068504</v>
      </c>
      <c r="H127" s="433">
        <v>0</v>
      </c>
      <c r="I127" s="433">
        <v>0</v>
      </c>
      <c r="J127" s="433">
        <v>0</v>
      </c>
      <c r="K127" s="433">
        <v>0</v>
      </c>
      <c r="L127" s="433">
        <v>0</v>
      </c>
      <c r="M127" s="433">
        <v>0</v>
      </c>
      <c r="N127" s="433">
        <v>99.820999999999998</v>
      </c>
      <c r="O127" s="433">
        <v>101.67700000000001</v>
      </c>
      <c r="P127" s="433">
        <v>876827.66399999999</v>
      </c>
      <c r="Q127" s="433">
        <v>890690.52</v>
      </c>
      <c r="R127" s="433">
        <v>94.837000000000003</v>
      </c>
      <c r="S127" s="433">
        <v>833048.20799999998</v>
      </c>
      <c r="T127" s="433">
        <v>4.984</v>
      </c>
      <c r="U127" s="433">
        <v>6.84</v>
      </c>
      <c r="V127" s="433">
        <v>4.984</v>
      </c>
      <c r="W127" s="433">
        <v>6.84</v>
      </c>
      <c r="X127" s="433">
        <v>1.3580999999999999E-2</v>
      </c>
      <c r="Y127" s="433">
        <v>1.3580999999999999E-2</v>
      </c>
      <c r="Z127" s="433">
        <v>0</v>
      </c>
      <c r="AA127" s="433">
        <v>1.3580999999999999E-2</v>
      </c>
      <c r="AB127" s="433">
        <v>1.3580999999999999E-2</v>
      </c>
      <c r="AC127" s="433">
        <v>1.3580999999999999E-2</v>
      </c>
      <c r="AD127" s="433">
        <v>0.95007287756416947</v>
      </c>
      <c r="AE127" s="433">
        <v>0.93273341755548334</v>
      </c>
      <c r="AF127" s="433">
        <v>1.0525533283423136</v>
      </c>
      <c r="AG127" s="433">
        <v>1.0721237491696278</v>
      </c>
      <c r="AH127" s="433">
        <v>5.7889999999999997E-2</v>
      </c>
      <c r="AI127" s="433">
        <v>6.4329999999999998E-2</v>
      </c>
      <c r="AJ127" s="262"/>
      <c r="AK127" s="262"/>
      <c r="AL127" s="262"/>
      <c r="AM127" s="262"/>
      <c r="AN127" s="262"/>
      <c r="AO127" s="262"/>
      <c r="AP127" s="262"/>
      <c r="AQ127" s="271"/>
      <c r="AR127" s="271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271"/>
      <c r="BH127" s="271"/>
      <c r="BI127" s="271"/>
      <c r="BJ127" s="271"/>
      <c r="BK127" s="271"/>
      <c r="BL127" s="271"/>
      <c r="BM127" s="271"/>
      <c r="BN127" s="271"/>
    </row>
    <row r="128" spans="1:66">
      <c r="A128" s="273">
        <v>10448</v>
      </c>
      <c r="B128" s="273" t="s">
        <v>132</v>
      </c>
      <c r="C128" s="428">
        <v>0</v>
      </c>
      <c r="D128" s="428">
        <v>1</v>
      </c>
      <c r="E128" s="433">
        <v>8.6079999999999988</v>
      </c>
      <c r="F128" s="433">
        <v>8.0342781193078316</v>
      </c>
      <c r="G128" s="433">
        <v>8.0562898401826466</v>
      </c>
      <c r="H128" s="433">
        <v>0</v>
      </c>
      <c r="I128" s="433">
        <v>0</v>
      </c>
      <c r="J128" s="433">
        <v>0</v>
      </c>
      <c r="K128" s="433">
        <v>0</v>
      </c>
      <c r="L128" s="433">
        <v>0</v>
      </c>
      <c r="M128" s="433">
        <v>0</v>
      </c>
      <c r="N128" s="433">
        <v>8.2799999999999994</v>
      </c>
      <c r="O128" s="433">
        <v>8.2789999999999999</v>
      </c>
      <c r="P128" s="433">
        <v>72731.51999999999</v>
      </c>
      <c r="Q128" s="433">
        <v>72524.039999999994</v>
      </c>
      <c r="R128" s="433">
        <v>8.3989999999999991</v>
      </c>
      <c r="S128" s="433">
        <v>73776.815999999992</v>
      </c>
      <c r="T128" s="433">
        <v>0</v>
      </c>
      <c r="U128" s="433">
        <v>0</v>
      </c>
      <c r="V128" s="433">
        <v>0</v>
      </c>
      <c r="W128" s="433">
        <v>0</v>
      </c>
      <c r="X128" s="433">
        <v>1.1857E-3</v>
      </c>
      <c r="Y128" s="433">
        <v>1.1856E-3</v>
      </c>
      <c r="Z128" s="433">
        <v>0</v>
      </c>
      <c r="AA128" s="433">
        <v>1.1857E-3</v>
      </c>
      <c r="AB128" s="433">
        <v>1.1856E-3</v>
      </c>
      <c r="AC128" s="433">
        <v>1.1856499999999999E-3</v>
      </c>
      <c r="AD128" s="433">
        <v>1</v>
      </c>
      <c r="AE128" s="433">
        <v>1</v>
      </c>
      <c r="AF128" s="433">
        <v>1</v>
      </c>
      <c r="AG128" s="433">
        <v>1</v>
      </c>
      <c r="AH128" s="433">
        <v>7.0000000000000007E-2</v>
      </c>
      <c r="AI128" s="433">
        <v>7.0000000000000007E-2</v>
      </c>
      <c r="AJ128" s="262"/>
      <c r="AK128" s="262"/>
      <c r="AL128" s="262"/>
      <c r="AM128" s="262"/>
      <c r="AN128" s="262"/>
      <c r="AO128" s="262"/>
      <c r="AP128" s="262"/>
      <c r="AQ128" s="271"/>
      <c r="AR128" s="271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271"/>
      <c r="BH128" s="271"/>
      <c r="BI128" s="271"/>
      <c r="BJ128" s="271"/>
      <c r="BK128" s="271"/>
      <c r="BL128" s="271"/>
      <c r="BM128" s="271"/>
      <c r="BN128" s="271"/>
    </row>
    <row r="129" spans="1:66">
      <c r="A129" s="273">
        <v>10451</v>
      </c>
      <c r="B129" s="273" t="s">
        <v>133</v>
      </c>
      <c r="C129" s="428">
        <v>1</v>
      </c>
      <c r="D129" s="428">
        <v>0</v>
      </c>
      <c r="E129" s="433">
        <v>27.233000000000001</v>
      </c>
      <c r="F129" s="433">
        <v>26.188743624772307</v>
      </c>
      <c r="G129" s="433">
        <v>26.260493607305929</v>
      </c>
      <c r="H129" s="433">
        <v>0</v>
      </c>
      <c r="I129" s="433">
        <v>0</v>
      </c>
      <c r="J129" s="433">
        <v>0</v>
      </c>
      <c r="K129" s="433">
        <v>0</v>
      </c>
      <c r="L129" s="433">
        <v>0</v>
      </c>
      <c r="M129" s="433">
        <v>0</v>
      </c>
      <c r="N129" s="433">
        <v>25.991</v>
      </c>
      <c r="O129" s="433">
        <v>26.068000000000001</v>
      </c>
      <c r="P129" s="433">
        <v>228304.94399999999</v>
      </c>
      <c r="Q129" s="433">
        <v>228355.68000000002</v>
      </c>
      <c r="R129" s="433">
        <v>26.571000000000002</v>
      </c>
      <c r="S129" s="433">
        <v>233399.66400000002</v>
      </c>
      <c r="T129" s="433">
        <v>0</v>
      </c>
      <c r="U129" s="433">
        <v>0</v>
      </c>
      <c r="V129" s="433">
        <v>0</v>
      </c>
      <c r="W129" s="433">
        <v>0</v>
      </c>
      <c r="X129" s="433">
        <v>3.722E-3</v>
      </c>
      <c r="Y129" s="433">
        <v>3.7330000000000002E-3</v>
      </c>
      <c r="Z129" s="433">
        <v>0</v>
      </c>
      <c r="AA129" s="433">
        <v>3.722E-3</v>
      </c>
      <c r="AB129" s="433">
        <v>3.7330000000000002E-3</v>
      </c>
      <c r="AC129" s="433">
        <v>3.7274999999999999E-3</v>
      </c>
      <c r="AD129" s="433">
        <v>0.9999947403081797</v>
      </c>
      <c r="AE129" s="433">
        <v>0.99997817139093459</v>
      </c>
      <c r="AF129" s="433">
        <v>1</v>
      </c>
      <c r="AG129" s="433">
        <v>1</v>
      </c>
      <c r="AH129" s="433">
        <v>0</v>
      </c>
      <c r="AI129" s="433">
        <v>0</v>
      </c>
      <c r="AJ129" s="262"/>
      <c r="AK129" s="262"/>
      <c r="AL129" s="262"/>
      <c r="AM129" s="262"/>
      <c r="AN129" s="262"/>
      <c r="AO129" s="262"/>
      <c r="AP129" s="262"/>
      <c r="AQ129" s="271"/>
      <c r="AR129" s="271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271"/>
      <c r="BH129" s="271"/>
      <c r="BI129" s="271"/>
      <c r="BJ129" s="271"/>
      <c r="BK129" s="271"/>
      <c r="BL129" s="271"/>
      <c r="BM129" s="271"/>
      <c r="BN129" s="271"/>
    </row>
    <row r="130" spans="1:66">
      <c r="A130" s="273">
        <v>10482</v>
      </c>
      <c r="B130" s="273" t="s">
        <v>134</v>
      </c>
      <c r="C130" s="428">
        <v>1</v>
      </c>
      <c r="D130" s="428">
        <v>0</v>
      </c>
      <c r="E130" s="433">
        <v>4.1749999999999998</v>
      </c>
      <c r="F130" s="433">
        <v>2.6908288934426232</v>
      </c>
      <c r="G130" s="433">
        <v>2.6982010273972605</v>
      </c>
      <c r="H130" s="433">
        <v>0</v>
      </c>
      <c r="I130" s="433">
        <v>0</v>
      </c>
      <c r="J130" s="433">
        <v>0</v>
      </c>
      <c r="K130" s="433">
        <v>0</v>
      </c>
      <c r="L130" s="433">
        <v>0</v>
      </c>
      <c r="M130" s="433">
        <v>0</v>
      </c>
      <c r="N130" s="433">
        <v>2.839</v>
      </c>
      <c r="O130" s="433">
        <v>2.8559999999999999</v>
      </c>
      <c r="P130" s="433">
        <v>24937.775999999998</v>
      </c>
      <c r="Q130" s="433">
        <v>25018.559999999998</v>
      </c>
      <c r="R130" s="433">
        <v>4.0730000000000004</v>
      </c>
      <c r="S130" s="433">
        <v>35777.232000000004</v>
      </c>
      <c r="T130" s="433">
        <v>0</v>
      </c>
      <c r="U130" s="433">
        <v>0</v>
      </c>
      <c r="V130" s="433">
        <v>0</v>
      </c>
      <c r="W130" s="433">
        <v>0</v>
      </c>
      <c r="X130" s="433">
        <v>4.0660000000000002E-4</v>
      </c>
      <c r="Y130" s="433">
        <v>4.0900000000000002E-4</v>
      </c>
      <c r="Z130" s="433">
        <v>0</v>
      </c>
      <c r="AA130" s="433">
        <v>4.0660000000000002E-4</v>
      </c>
      <c r="AB130" s="433">
        <v>4.0900000000000002E-4</v>
      </c>
      <c r="AC130" s="433">
        <v>4.0780000000000005E-4</v>
      </c>
      <c r="AD130" s="433">
        <v>1</v>
      </c>
      <c r="AE130" s="433">
        <v>0.99990281484381505</v>
      </c>
      <c r="AF130" s="433">
        <v>1</v>
      </c>
      <c r="AG130" s="433">
        <v>1</v>
      </c>
      <c r="AH130" s="433">
        <v>0</v>
      </c>
      <c r="AI130" s="433">
        <v>0</v>
      </c>
      <c r="AJ130" s="262"/>
      <c r="AK130" s="262"/>
      <c r="AL130" s="262"/>
      <c r="AM130" s="262"/>
      <c r="AN130" s="262"/>
      <c r="AO130" s="262"/>
      <c r="AP130" s="262"/>
      <c r="AQ130" s="271"/>
      <c r="AR130" s="271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271"/>
      <c r="BH130" s="271"/>
      <c r="BI130" s="271"/>
      <c r="BJ130" s="271"/>
      <c r="BK130" s="271"/>
      <c r="BL130" s="271"/>
      <c r="BM130" s="271"/>
      <c r="BN130" s="271"/>
    </row>
    <row r="131" spans="1:66">
      <c r="A131" s="273">
        <v>10502</v>
      </c>
      <c r="B131" s="273" t="s">
        <v>135</v>
      </c>
      <c r="C131" s="428">
        <v>1</v>
      </c>
      <c r="D131" s="428">
        <v>0</v>
      </c>
      <c r="E131" s="433">
        <v>11.807</v>
      </c>
      <c r="F131" s="433">
        <v>16.559912454462662</v>
      </c>
      <c r="G131" s="433">
        <v>16.605282077625571</v>
      </c>
      <c r="H131" s="433">
        <v>0</v>
      </c>
      <c r="I131" s="433">
        <v>0</v>
      </c>
      <c r="J131" s="433">
        <v>0</v>
      </c>
      <c r="K131" s="433">
        <v>0</v>
      </c>
      <c r="L131" s="433">
        <v>0</v>
      </c>
      <c r="M131" s="433">
        <v>0</v>
      </c>
      <c r="N131" s="433">
        <v>11.724</v>
      </c>
      <c r="O131" s="433">
        <v>11.807</v>
      </c>
      <c r="P131" s="433">
        <v>102983.61599999999</v>
      </c>
      <c r="Q131" s="433">
        <v>103429.32</v>
      </c>
      <c r="R131" s="433">
        <v>11.52</v>
      </c>
      <c r="S131" s="433">
        <v>101191.67999999999</v>
      </c>
      <c r="T131" s="433">
        <v>0.20399999999999999</v>
      </c>
      <c r="U131" s="433">
        <v>0.28699999999999998</v>
      </c>
      <c r="V131" s="433">
        <v>0</v>
      </c>
      <c r="W131" s="433">
        <v>0</v>
      </c>
      <c r="X131" s="433">
        <v>1.6497E-3</v>
      </c>
      <c r="Y131" s="433">
        <v>1.6497E-3</v>
      </c>
      <c r="Z131" s="433">
        <v>0</v>
      </c>
      <c r="AA131" s="433">
        <v>1.6497E-3</v>
      </c>
      <c r="AB131" s="433">
        <v>1.6497E-3</v>
      </c>
      <c r="AC131" s="433">
        <v>1.6497E-3</v>
      </c>
      <c r="AD131" s="433">
        <v>0.98263203842649538</v>
      </c>
      <c r="AE131" s="433">
        <v>0.97566261510021124</v>
      </c>
      <c r="AF131" s="433">
        <v>1.0177083333333334</v>
      </c>
      <c r="AG131" s="433">
        <v>1.0249131944444445</v>
      </c>
      <c r="AH131" s="433">
        <v>7.1239999999999998E-2</v>
      </c>
      <c r="AI131" s="433">
        <v>7.1739999999999998E-2</v>
      </c>
      <c r="AJ131" s="262"/>
      <c r="AK131" s="262"/>
      <c r="AL131" s="262"/>
      <c r="AM131" s="262"/>
      <c r="AN131" s="262"/>
      <c r="AO131" s="262"/>
      <c r="AP131" s="262"/>
      <c r="AQ131" s="271"/>
      <c r="AR131" s="271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271"/>
      <c r="BH131" s="271"/>
      <c r="BI131" s="271"/>
      <c r="BJ131" s="271"/>
      <c r="BK131" s="271"/>
      <c r="BL131" s="271"/>
      <c r="BM131" s="271"/>
      <c r="BN131" s="271"/>
    </row>
    <row r="132" spans="1:66">
      <c r="A132" s="273">
        <v>13927</v>
      </c>
      <c r="B132" s="273" t="s">
        <v>320</v>
      </c>
      <c r="C132" s="393">
        <v>1</v>
      </c>
      <c r="D132" s="393">
        <v>0</v>
      </c>
      <c r="E132" s="433">
        <v>0</v>
      </c>
      <c r="F132" s="433">
        <v>0</v>
      </c>
      <c r="G132" s="433">
        <v>0</v>
      </c>
      <c r="H132" s="433">
        <v>0</v>
      </c>
      <c r="I132" s="433">
        <v>0</v>
      </c>
      <c r="J132" s="433">
        <v>0</v>
      </c>
      <c r="K132" s="433">
        <v>0</v>
      </c>
      <c r="L132" s="433">
        <v>0</v>
      </c>
      <c r="M132" s="433">
        <v>0</v>
      </c>
      <c r="N132" s="433">
        <v>0</v>
      </c>
      <c r="O132" s="433">
        <v>0</v>
      </c>
      <c r="P132" s="433">
        <v>0</v>
      </c>
      <c r="Q132" s="433">
        <v>0</v>
      </c>
      <c r="R132" s="433">
        <v>0</v>
      </c>
      <c r="S132" s="433">
        <v>0</v>
      </c>
      <c r="T132" s="433">
        <v>0</v>
      </c>
      <c r="U132" s="433">
        <v>0</v>
      </c>
      <c r="V132" s="433">
        <v>0</v>
      </c>
      <c r="W132" s="433">
        <v>0</v>
      </c>
      <c r="X132" s="433">
        <v>0</v>
      </c>
      <c r="Y132" s="433">
        <v>0</v>
      </c>
      <c r="Z132" s="433">
        <v>0</v>
      </c>
      <c r="AA132" s="433">
        <v>0</v>
      </c>
      <c r="AB132" s="433">
        <v>0</v>
      </c>
      <c r="AC132" s="433">
        <v>0</v>
      </c>
      <c r="AD132" s="433">
        <v>0</v>
      </c>
      <c r="AE132" s="433">
        <v>0</v>
      </c>
      <c r="AF132" s="433">
        <v>0</v>
      </c>
      <c r="AG132" s="433">
        <v>0</v>
      </c>
      <c r="AH132" s="433">
        <v>0</v>
      </c>
      <c r="AI132" s="433">
        <v>0</v>
      </c>
      <c r="AJ132" s="262"/>
      <c r="AK132" s="262"/>
      <c r="AL132" s="262"/>
      <c r="AM132" s="262"/>
      <c r="AN132" s="262"/>
      <c r="AO132" s="262"/>
      <c r="AP132" s="262"/>
      <c r="AQ132" s="271"/>
      <c r="AR132" s="271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271"/>
      <c r="BH132" s="271"/>
      <c r="BI132" s="271"/>
      <c r="BJ132" s="271"/>
      <c r="BK132" s="271"/>
      <c r="BL132" s="271"/>
      <c r="BM132" s="271"/>
      <c r="BN132" s="271"/>
    </row>
    <row r="133" spans="1:66">
      <c r="A133" s="273">
        <v>10597</v>
      </c>
      <c r="B133" s="273" t="s">
        <v>136</v>
      </c>
      <c r="C133" s="430">
        <v>1</v>
      </c>
      <c r="D133" s="430">
        <v>0</v>
      </c>
      <c r="E133" s="433">
        <v>13.13</v>
      </c>
      <c r="F133" s="433">
        <v>12.352728142076501</v>
      </c>
      <c r="G133" s="433">
        <v>12.386571232876712</v>
      </c>
      <c r="H133" s="433">
        <v>0</v>
      </c>
      <c r="I133" s="433">
        <v>0</v>
      </c>
      <c r="J133" s="433">
        <v>0</v>
      </c>
      <c r="K133" s="433">
        <v>0</v>
      </c>
      <c r="L133" s="433">
        <v>0</v>
      </c>
      <c r="M133" s="433">
        <v>0</v>
      </c>
      <c r="N133" s="433">
        <v>12.497999999999999</v>
      </c>
      <c r="O133" s="433">
        <v>12.496</v>
      </c>
      <c r="P133" s="433">
        <v>109782.432</v>
      </c>
      <c r="Q133" s="433">
        <v>109464.96000000001</v>
      </c>
      <c r="R133" s="433">
        <v>12.811</v>
      </c>
      <c r="S133" s="433">
        <v>112531.82399999999</v>
      </c>
      <c r="T133" s="433">
        <v>0</v>
      </c>
      <c r="U133" s="433">
        <v>0</v>
      </c>
      <c r="V133" s="433">
        <v>0</v>
      </c>
      <c r="W133" s="433">
        <v>0</v>
      </c>
      <c r="X133" s="433">
        <v>1.7898E-3</v>
      </c>
      <c r="Y133" s="433">
        <v>1.7895000000000001E-3</v>
      </c>
      <c r="Z133" s="433">
        <v>0</v>
      </c>
      <c r="AA133" s="433">
        <v>1.7898E-3</v>
      </c>
      <c r="AB133" s="433">
        <v>1.7895000000000001E-3</v>
      </c>
      <c r="AC133" s="433">
        <v>1.7896500000000001E-3</v>
      </c>
      <c r="AD133" s="433">
        <v>0.99999165179174421</v>
      </c>
      <c r="AE133" s="433">
        <v>0.99999906932478577</v>
      </c>
      <c r="AF133" s="433">
        <v>1</v>
      </c>
      <c r="AG133" s="433">
        <v>1</v>
      </c>
      <c r="AH133" s="433">
        <v>0</v>
      </c>
      <c r="AI133" s="433">
        <v>0</v>
      </c>
      <c r="AJ133" s="262"/>
      <c r="AK133" s="262"/>
      <c r="AL133" s="262"/>
      <c r="AM133" s="262"/>
      <c r="AN133" s="262"/>
      <c r="AO133" s="262"/>
      <c r="AP133" s="262"/>
      <c r="AQ133" s="271"/>
      <c r="AR133" s="271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271"/>
      <c r="BH133" s="271"/>
      <c r="BI133" s="271"/>
      <c r="BJ133" s="271"/>
      <c r="BK133" s="271"/>
      <c r="BL133" s="271"/>
      <c r="BM133" s="271"/>
      <c r="BN133" s="271"/>
    </row>
    <row r="134" spans="1:66">
      <c r="A134" s="273">
        <v>10706</v>
      </c>
      <c r="B134" s="273" t="s">
        <v>137</v>
      </c>
      <c r="C134" s="430">
        <v>1</v>
      </c>
      <c r="D134" s="430">
        <v>0</v>
      </c>
      <c r="E134" s="433">
        <v>17.536000000000001</v>
      </c>
      <c r="F134" s="433">
        <v>18.697177823315123</v>
      </c>
      <c r="G134" s="433">
        <v>18.748402968036533</v>
      </c>
      <c r="H134" s="433">
        <v>0</v>
      </c>
      <c r="I134" s="433">
        <v>0</v>
      </c>
      <c r="J134" s="433">
        <v>0</v>
      </c>
      <c r="K134" s="433">
        <v>0</v>
      </c>
      <c r="L134" s="433">
        <v>0</v>
      </c>
      <c r="M134" s="433">
        <v>0</v>
      </c>
      <c r="N134" s="433">
        <v>16.513000000000002</v>
      </c>
      <c r="O134" s="433">
        <v>17.654</v>
      </c>
      <c r="P134" s="433">
        <v>145050.19200000001</v>
      </c>
      <c r="Q134" s="433">
        <v>154649.04</v>
      </c>
      <c r="R134" s="433">
        <v>17.11</v>
      </c>
      <c r="S134" s="433">
        <v>150294.24</v>
      </c>
      <c r="T134" s="433">
        <v>0</v>
      </c>
      <c r="U134" s="433">
        <v>0.54400000000000004</v>
      </c>
      <c r="V134" s="433">
        <v>0</v>
      </c>
      <c r="W134" s="433">
        <v>0</v>
      </c>
      <c r="X134" s="433">
        <v>2.3647E-3</v>
      </c>
      <c r="Y134" s="433">
        <v>2.4502E-3</v>
      </c>
      <c r="Z134" s="433">
        <v>0</v>
      </c>
      <c r="AA134" s="433">
        <v>2.3647E-3</v>
      </c>
      <c r="AB134" s="433">
        <v>2.4502E-3</v>
      </c>
      <c r="AC134" s="433">
        <v>2.4074500000000002E-3</v>
      </c>
      <c r="AD134" s="433">
        <v>0.9999972027387104</v>
      </c>
      <c r="AE134" s="433">
        <v>0.96919005413781956</v>
      </c>
      <c r="AF134" s="433">
        <v>1</v>
      </c>
      <c r="AG134" s="433">
        <v>1.0317942723553477</v>
      </c>
      <c r="AH134" s="433">
        <v>0</v>
      </c>
      <c r="AI134" s="433">
        <v>0</v>
      </c>
      <c r="AJ134" s="262"/>
      <c r="AK134" s="262"/>
      <c r="AL134" s="262"/>
      <c r="AM134" s="262"/>
      <c r="AN134" s="262"/>
      <c r="AO134" s="262"/>
      <c r="AP134" s="262"/>
      <c r="AQ134" s="271"/>
      <c r="AR134" s="271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271"/>
      <c r="BH134" s="271"/>
      <c r="BI134" s="271"/>
      <c r="BJ134" s="271"/>
      <c r="BK134" s="271"/>
      <c r="BL134" s="271"/>
      <c r="BM134" s="271"/>
      <c r="BN134" s="271"/>
    </row>
    <row r="135" spans="1:66">
      <c r="A135" s="273">
        <v>11680</v>
      </c>
      <c r="B135" s="273" t="s">
        <v>138</v>
      </c>
      <c r="C135" s="430">
        <v>1</v>
      </c>
      <c r="D135" s="430">
        <v>0</v>
      </c>
      <c r="E135" s="433">
        <v>6.423</v>
      </c>
      <c r="F135" s="433">
        <v>6.412991120218579</v>
      </c>
      <c r="G135" s="433">
        <v>6.4305609589041097</v>
      </c>
      <c r="H135" s="433">
        <v>0</v>
      </c>
      <c r="I135" s="433">
        <v>0</v>
      </c>
      <c r="J135" s="433">
        <v>0</v>
      </c>
      <c r="K135" s="433">
        <v>0</v>
      </c>
      <c r="L135" s="433">
        <v>0</v>
      </c>
      <c r="M135" s="433">
        <v>0</v>
      </c>
      <c r="N135" s="433">
        <v>6.6660000000000004</v>
      </c>
      <c r="O135" s="433">
        <v>6.7489999999999997</v>
      </c>
      <c r="P135" s="433">
        <v>58554.144</v>
      </c>
      <c r="Q135" s="433">
        <v>59121.24</v>
      </c>
      <c r="R135" s="433">
        <v>6.2670000000000003</v>
      </c>
      <c r="S135" s="433">
        <v>55049.328000000001</v>
      </c>
      <c r="T135" s="433">
        <v>0.39900000000000002</v>
      </c>
      <c r="U135" s="433">
        <v>0.48199999999999998</v>
      </c>
      <c r="V135" s="433">
        <v>0</v>
      </c>
      <c r="W135" s="433">
        <v>0</v>
      </c>
      <c r="X135" s="433">
        <v>8.9749999999999997E-4</v>
      </c>
      <c r="Y135" s="433">
        <v>8.9749999999999997E-4</v>
      </c>
      <c r="Z135" s="433">
        <v>0</v>
      </c>
      <c r="AA135" s="433">
        <v>8.9749999999999997E-4</v>
      </c>
      <c r="AB135" s="433">
        <v>8.9749999999999997E-4</v>
      </c>
      <c r="AC135" s="433">
        <v>8.9749999999999997E-4</v>
      </c>
      <c r="AD135" s="433">
        <v>0.94024652993101476</v>
      </c>
      <c r="AE135" s="433">
        <v>0.92857964623166211</v>
      </c>
      <c r="AF135" s="433">
        <v>1.0636668262326472</v>
      </c>
      <c r="AG135" s="433">
        <v>1.0769108026168819</v>
      </c>
      <c r="AH135" s="433">
        <v>0</v>
      </c>
      <c r="AI135" s="433">
        <v>0</v>
      </c>
      <c r="AJ135" s="262"/>
      <c r="AK135" s="262"/>
      <c r="AL135" s="262"/>
      <c r="AM135" s="262"/>
      <c r="AN135" s="262"/>
      <c r="AO135" s="262"/>
      <c r="AP135" s="262"/>
      <c r="AQ135" s="271"/>
      <c r="AR135" s="271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271"/>
      <c r="BH135" s="271"/>
      <c r="BI135" s="271"/>
      <c r="BJ135" s="271"/>
      <c r="BK135" s="271"/>
      <c r="BL135" s="271"/>
      <c r="BM135" s="271"/>
      <c r="BN135" s="271"/>
    </row>
    <row r="136" spans="1:66">
      <c r="A136" s="273">
        <v>12026</v>
      </c>
      <c r="B136" s="273" t="s">
        <v>139</v>
      </c>
      <c r="C136" s="430">
        <v>1</v>
      </c>
      <c r="D136" s="430">
        <v>0</v>
      </c>
      <c r="E136" s="433">
        <v>45.847000000000001</v>
      </c>
      <c r="F136" s="433">
        <v>43.07978369763206</v>
      </c>
      <c r="G136" s="433">
        <v>43.197810502283104</v>
      </c>
      <c r="H136" s="433">
        <v>0</v>
      </c>
      <c r="I136" s="433">
        <v>0</v>
      </c>
      <c r="J136" s="433">
        <v>0</v>
      </c>
      <c r="K136" s="433">
        <v>0</v>
      </c>
      <c r="L136" s="433">
        <v>0</v>
      </c>
      <c r="M136" s="433">
        <v>0</v>
      </c>
      <c r="N136" s="433">
        <v>42.206000000000003</v>
      </c>
      <c r="O136" s="433">
        <v>42.603000000000002</v>
      </c>
      <c r="P136" s="433">
        <v>370737.50400000002</v>
      </c>
      <c r="Q136" s="433">
        <v>373202.28</v>
      </c>
      <c r="R136" s="433">
        <v>44.731999999999999</v>
      </c>
      <c r="S136" s="433">
        <v>392925.88799999998</v>
      </c>
      <c r="T136" s="433">
        <v>0</v>
      </c>
      <c r="U136" s="433">
        <v>0</v>
      </c>
      <c r="V136" s="433">
        <v>0</v>
      </c>
      <c r="W136" s="433">
        <v>0</v>
      </c>
      <c r="X136" s="433">
        <v>6.0439999999999999E-3</v>
      </c>
      <c r="Y136" s="433">
        <v>6.1009000000000002E-3</v>
      </c>
      <c r="Z136" s="433">
        <v>0</v>
      </c>
      <c r="AA136" s="433">
        <v>6.0439999999999999E-3</v>
      </c>
      <c r="AB136" s="433">
        <v>6.1009000000000002E-3</v>
      </c>
      <c r="AC136" s="433">
        <v>6.0724500000000001E-3</v>
      </c>
      <c r="AD136" s="433">
        <v>1</v>
      </c>
      <c r="AE136" s="433">
        <v>1</v>
      </c>
      <c r="AF136" s="433">
        <v>1</v>
      </c>
      <c r="AG136" s="433">
        <v>1</v>
      </c>
      <c r="AH136" s="433">
        <v>0</v>
      </c>
      <c r="AI136" s="433">
        <v>0</v>
      </c>
      <c r="AJ136" s="262"/>
      <c r="AK136" s="262"/>
      <c r="AL136" s="262"/>
      <c r="AM136" s="262"/>
      <c r="AN136" s="262"/>
      <c r="AO136" s="262"/>
      <c r="AP136" s="262"/>
      <c r="AQ136" s="271"/>
      <c r="AR136" s="271"/>
      <c r="AS136" s="319"/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271"/>
      <c r="BH136" s="271"/>
      <c r="BI136" s="271"/>
      <c r="BJ136" s="271"/>
      <c r="BK136" s="271"/>
      <c r="BL136" s="271"/>
      <c r="BM136" s="271"/>
      <c r="BN136" s="271"/>
    </row>
    <row r="137" spans="1:66" s="291" customFormat="1">
      <c r="A137" s="271">
        <v>10298</v>
      </c>
      <c r="B137" s="271" t="s">
        <v>140</v>
      </c>
      <c r="C137" s="430">
        <v>1</v>
      </c>
      <c r="D137" s="430">
        <v>0</v>
      </c>
      <c r="E137" s="433">
        <v>512.96799999999996</v>
      </c>
      <c r="F137" s="433">
        <v>684.8351533469945</v>
      </c>
      <c r="G137" s="433">
        <v>686.71141404109585</v>
      </c>
      <c r="H137" s="433">
        <v>64.163490551001843</v>
      </c>
      <c r="I137" s="433">
        <v>47.067782876712329</v>
      </c>
      <c r="J137" s="433">
        <v>6.112818761384335</v>
      </c>
      <c r="K137" s="433">
        <v>6.3506849315068497</v>
      </c>
      <c r="L137" s="433">
        <v>53695</v>
      </c>
      <c r="M137" s="433">
        <v>55632</v>
      </c>
      <c r="N137" s="433">
        <v>566.44899999999996</v>
      </c>
      <c r="O137" s="433">
        <v>570.02099999999996</v>
      </c>
      <c r="P137" s="433">
        <v>4975688.0159999998</v>
      </c>
      <c r="Q137" s="433">
        <v>4993383.96</v>
      </c>
      <c r="R137" s="433">
        <v>524.9899999999999</v>
      </c>
      <c r="S137" s="433">
        <v>4611512.1599999992</v>
      </c>
      <c r="T137" s="433">
        <v>46.11</v>
      </c>
      <c r="U137" s="433">
        <v>49.155999999999999</v>
      </c>
      <c r="V137" s="433">
        <v>46.11</v>
      </c>
      <c r="W137" s="433">
        <v>49.155999999999999</v>
      </c>
      <c r="X137" s="433">
        <v>7.4514200000000003E-2</v>
      </c>
      <c r="Y137" s="433">
        <v>7.4589600000000006E-2</v>
      </c>
      <c r="Z137" s="433">
        <v>0</v>
      </c>
      <c r="AA137" s="433">
        <v>7.4514200000000003E-2</v>
      </c>
      <c r="AB137" s="433">
        <v>7.4589600000000006E-2</v>
      </c>
      <c r="AC137" s="433">
        <v>7.4551900000000004E-2</v>
      </c>
      <c r="AD137" s="433">
        <v>0.91603027416434213</v>
      </c>
      <c r="AE137" s="433">
        <v>0.91116058756072704</v>
      </c>
      <c r="AF137" s="433">
        <v>1.0789710280195814</v>
      </c>
      <c r="AG137" s="433">
        <v>1.0857749671422314</v>
      </c>
      <c r="AH137" s="433">
        <v>7.0449999999999999E-2</v>
      </c>
      <c r="AI137" s="433">
        <v>7.0169999999999996E-2</v>
      </c>
      <c r="AJ137" s="262"/>
      <c r="AK137" s="262"/>
      <c r="AL137" s="262"/>
      <c r="AM137" s="262"/>
      <c r="AN137" s="262"/>
      <c r="AO137" s="262"/>
      <c r="AP137" s="262"/>
      <c r="AQ137" s="271"/>
      <c r="AR137" s="271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271"/>
      <c r="BH137" s="271"/>
      <c r="BI137" s="271"/>
      <c r="BJ137" s="271"/>
      <c r="BK137" s="271"/>
      <c r="BL137" s="271"/>
      <c r="BM137" s="271"/>
      <c r="BN137" s="271"/>
    </row>
    <row r="138" spans="1:66" s="291" customFormat="1">
      <c r="A138" s="271"/>
      <c r="B138" s="271"/>
      <c r="C138" s="271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319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  <c r="AP138" s="271"/>
      <c r="AQ138" s="271"/>
      <c r="AR138" s="271"/>
      <c r="AS138" s="271"/>
      <c r="AT138" s="271"/>
      <c r="AU138" s="271"/>
      <c r="AV138" s="271"/>
      <c r="AW138" s="271"/>
      <c r="AX138" s="271"/>
      <c r="AY138" s="271"/>
      <c r="AZ138" s="271"/>
      <c r="BA138" s="271"/>
      <c r="BB138" s="271"/>
      <c r="BC138" s="271"/>
      <c r="BD138" s="271"/>
      <c r="BE138" s="271"/>
      <c r="BF138" s="271"/>
      <c r="BG138" s="271"/>
      <c r="BH138" s="271"/>
      <c r="BI138" s="271"/>
      <c r="BJ138" s="271"/>
      <c r="BK138" s="271"/>
      <c r="BL138" s="271"/>
      <c r="BM138" s="271"/>
      <c r="BN138" s="271"/>
    </row>
    <row r="139" spans="1:66" s="291" customFormat="1" ht="42.75" customHeight="1">
      <c r="A139" s="271"/>
      <c r="B139" s="271"/>
      <c r="C139" s="271"/>
      <c r="D139" s="271"/>
      <c r="E139" s="271"/>
      <c r="F139" s="271"/>
      <c r="G139" s="271"/>
      <c r="H139" s="271"/>
      <c r="I139" s="271"/>
      <c r="J139" s="320"/>
      <c r="K139" s="271"/>
      <c r="L139" s="271"/>
      <c r="M139" s="271"/>
      <c r="N139" s="271"/>
      <c r="O139" s="320"/>
      <c r="P139" s="271"/>
      <c r="Q139" s="320"/>
      <c r="R139" s="271"/>
      <c r="S139" s="271"/>
      <c r="T139" s="271"/>
      <c r="U139" s="271"/>
      <c r="V139" s="267"/>
      <c r="W139" s="320"/>
      <c r="X139" s="320"/>
      <c r="Y139" s="271"/>
      <c r="Z139" s="271"/>
      <c r="AA139" s="271"/>
      <c r="AB139" s="271"/>
      <c r="AC139" s="271"/>
      <c r="AD139" s="271"/>
      <c r="AE139" s="271"/>
      <c r="AF139" s="271"/>
      <c r="AG139" s="271"/>
      <c r="AH139" s="271"/>
      <c r="AI139" s="271"/>
      <c r="AJ139" s="271"/>
      <c r="AK139" s="271"/>
      <c r="AL139" s="271"/>
      <c r="AM139" s="271"/>
      <c r="AN139" s="271"/>
      <c r="AO139" s="271"/>
      <c r="AP139" s="271"/>
      <c r="AQ139" s="271"/>
      <c r="AR139" s="271"/>
      <c r="AS139" s="271"/>
      <c r="AT139" s="271"/>
      <c r="AU139" s="271"/>
      <c r="AV139" s="271"/>
      <c r="AW139" s="271"/>
      <c r="AX139" s="271"/>
      <c r="AY139" s="271"/>
      <c r="AZ139" s="271"/>
      <c r="BA139" s="271"/>
      <c r="BB139" s="271"/>
      <c r="BC139" s="271"/>
      <c r="BD139" s="271"/>
      <c r="BE139" s="271"/>
      <c r="BF139" s="271"/>
      <c r="BG139" s="271"/>
      <c r="BH139" s="271"/>
      <c r="BI139" s="271"/>
      <c r="BJ139" s="271"/>
      <c r="BK139" s="271"/>
      <c r="BL139" s="271"/>
      <c r="BM139" s="271"/>
      <c r="BN139" s="271"/>
    </row>
    <row r="140" spans="1:66">
      <c r="A140" s="271" t="s">
        <v>141</v>
      </c>
      <c r="B140" s="271" t="s">
        <v>141</v>
      </c>
      <c r="C140" s="271" t="s">
        <v>141</v>
      </c>
      <c r="D140" s="271" t="s">
        <v>141</v>
      </c>
      <c r="E140" s="271"/>
      <c r="F140" s="271"/>
      <c r="G140" s="271"/>
      <c r="H140" s="271"/>
      <c r="I140" s="271"/>
      <c r="J140" s="320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1"/>
      <c r="AH140" s="271"/>
      <c r="AI140" s="271"/>
      <c r="AJ140" s="271"/>
      <c r="AK140" s="271"/>
      <c r="AL140" s="271"/>
      <c r="AM140" s="271"/>
      <c r="AN140" s="271"/>
      <c r="AO140" s="271"/>
      <c r="AP140" s="271"/>
      <c r="AQ140" s="271"/>
      <c r="AR140" s="271"/>
      <c r="AS140" s="271"/>
      <c r="AT140" s="271"/>
      <c r="AU140" s="271"/>
      <c r="AV140" s="271"/>
      <c r="AW140" s="271"/>
      <c r="AX140" s="271"/>
      <c r="AY140" s="271"/>
      <c r="AZ140" s="271"/>
      <c r="BA140" s="271"/>
      <c r="BB140" s="271"/>
      <c r="BC140" s="271"/>
      <c r="BD140" s="271"/>
      <c r="BE140" s="271"/>
      <c r="BF140" s="271"/>
      <c r="BG140" s="271"/>
      <c r="BH140" s="271"/>
      <c r="BI140" s="271"/>
      <c r="BJ140" s="271"/>
      <c r="BK140" s="271"/>
      <c r="BL140" s="271"/>
      <c r="BM140" s="271"/>
      <c r="BN140" s="271"/>
    </row>
    <row r="141" spans="1:66">
      <c r="A141" s="274" t="s">
        <v>141</v>
      </c>
      <c r="B141" s="275" t="s">
        <v>141</v>
      </c>
      <c r="C141" s="276" t="s">
        <v>141</v>
      </c>
      <c r="D141" s="276" t="s">
        <v>141</v>
      </c>
      <c r="E141" s="278"/>
      <c r="F141" s="278"/>
      <c r="G141" s="278"/>
      <c r="H141" s="278"/>
      <c r="I141" s="278"/>
      <c r="J141" s="278"/>
      <c r="K141" s="279"/>
      <c r="L141" s="279"/>
      <c r="M141" s="278"/>
      <c r="N141" s="278"/>
      <c r="O141" s="279"/>
      <c r="P141" s="279"/>
      <c r="Q141" s="277"/>
      <c r="R141" s="278"/>
      <c r="S141" s="278"/>
      <c r="T141" s="280"/>
      <c r="U141" s="280"/>
      <c r="V141" s="354"/>
      <c r="W141" s="354"/>
      <c r="X141" s="355"/>
      <c r="Y141" s="355"/>
      <c r="Z141" s="278"/>
      <c r="AA141" s="278"/>
      <c r="AB141" s="292"/>
      <c r="AC141" s="292"/>
      <c r="AD141" s="289"/>
      <c r="AE141" s="289"/>
      <c r="AF141" s="281"/>
      <c r="AG141" s="290"/>
      <c r="AH141" s="290"/>
      <c r="AI141" s="290"/>
      <c r="AJ141" s="282"/>
      <c r="AK141" s="282"/>
      <c r="AL141" s="282"/>
      <c r="AM141" s="282"/>
      <c r="AN141" s="283"/>
      <c r="AO141" s="283"/>
      <c r="AP141" s="283"/>
      <c r="AQ141" s="283"/>
      <c r="AR141" s="283"/>
      <c r="AS141" s="283"/>
      <c r="AT141" s="283"/>
      <c r="AU141" s="283"/>
    </row>
    <row r="142" spans="1:66">
      <c r="A142" s="271" t="s">
        <v>141</v>
      </c>
      <c r="B142" s="271" t="s">
        <v>141</v>
      </c>
      <c r="C142" s="271" t="s">
        <v>141</v>
      </c>
      <c r="D142" s="271" t="s">
        <v>141</v>
      </c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1"/>
      <c r="Z142" s="271"/>
      <c r="AA142" s="263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  <c r="AP142" s="271"/>
      <c r="AQ142" s="271"/>
      <c r="AR142" s="271"/>
      <c r="AS142" s="271"/>
      <c r="AT142" s="271"/>
      <c r="AU142" s="271"/>
      <c r="AV142" s="271"/>
      <c r="AW142" s="271"/>
      <c r="AX142" s="271"/>
      <c r="AY142" s="271"/>
      <c r="AZ142" s="271"/>
      <c r="BA142" s="271"/>
      <c r="BB142" s="271"/>
      <c r="BC142" s="271"/>
      <c r="BD142" s="271"/>
      <c r="BE142" s="271"/>
      <c r="BF142" s="271"/>
      <c r="BG142" s="271"/>
      <c r="BH142" s="271"/>
      <c r="BI142" s="271"/>
      <c r="BJ142" s="271"/>
      <c r="BK142" s="271"/>
      <c r="BL142" s="271"/>
      <c r="BM142" s="271"/>
      <c r="BN142" s="271"/>
    </row>
    <row r="143" spans="1:66">
      <c r="A143" s="271" t="s">
        <v>141</v>
      </c>
      <c r="B143" s="271" t="s">
        <v>141</v>
      </c>
      <c r="C143" s="271" t="s">
        <v>141</v>
      </c>
      <c r="D143" s="271" t="s">
        <v>141</v>
      </c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320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  <c r="AT143" s="271"/>
      <c r="AU143" s="271"/>
      <c r="AV143" s="271"/>
      <c r="AW143" s="271"/>
      <c r="AX143" s="271"/>
      <c r="AY143" s="271"/>
      <c r="AZ143" s="271"/>
      <c r="BA143" s="271"/>
      <c r="BB143" s="271"/>
      <c r="BC143" s="271"/>
      <c r="BD143" s="271"/>
      <c r="BE143" s="271"/>
      <c r="BF143" s="271"/>
      <c r="BG143" s="271"/>
      <c r="BH143" s="271"/>
      <c r="BI143" s="271"/>
      <c r="BJ143" s="271"/>
      <c r="BK143" s="271"/>
      <c r="BL143" s="271"/>
      <c r="BM143" s="271"/>
      <c r="BN143" s="271"/>
    </row>
    <row r="144" spans="1:66">
      <c r="A144" s="274" t="s">
        <v>141</v>
      </c>
      <c r="B144" s="275" t="s">
        <v>141</v>
      </c>
      <c r="C144" s="276" t="s">
        <v>141</v>
      </c>
      <c r="D144" s="276" t="s">
        <v>141</v>
      </c>
      <c r="E144" s="278"/>
      <c r="F144" s="278"/>
      <c r="G144" s="278"/>
      <c r="H144" s="278"/>
      <c r="I144" s="278"/>
      <c r="J144" s="278"/>
      <c r="K144" s="279"/>
      <c r="L144" s="279"/>
      <c r="M144" s="278"/>
      <c r="N144" s="278"/>
      <c r="O144" s="279"/>
      <c r="P144" s="279"/>
      <c r="Q144" s="277"/>
      <c r="R144" s="278"/>
      <c r="S144" s="278"/>
      <c r="T144" s="280"/>
      <c r="U144" s="280"/>
      <c r="V144" s="354"/>
      <c r="W144" s="354"/>
      <c r="X144" s="355"/>
      <c r="Y144" s="355"/>
      <c r="Z144" s="278"/>
      <c r="AA144" s="278"/>
      <c r="AB144" s="292"/>
      <c r="AC144" s="292"/>
      <c r="AD144" s="289"/>
      <c r="AE144" s="289"/>
      <c r="AF144" s="281"/>
      <c r="AG144" s="290"/>
      <c r="AH144" s="290"/>
      <c r="AI144" s="290"/>
      <c r="AJ144" s="282"/>
      <c r="AK144" s="282"/>
      <c r="AL144" s="282"/>
      <c r="AM144" s="282"/>
      <c r="AN144" s="283"/>
      <c r="AO144" s="283"/>
      <c r="AP144" s="283"/>
      <c r="AQ144" s="283"/>
      <c r="AR144" s="283"/>
      <c r="AS144" s="283"/>
      <c r="AT144" s="283"/>
      <c r="AU144" s="283"/>
    </row>
    <row r="145" spans="1:56">
      <c r="A145" s="274" t="s">
        <v>141</v>
      </c>
      <c r="B145" s="275" t="s">
        <v>141</v>
      </c>
      <c r="C145" s="276" t="s">
        <v>141</v>
      </c>
      <c r="D145" s="276" t="s">
        <v>141</v>
      </c>
      <c r="E145" s="278"/>
      <c r="F145" s="278"/>
      <c r="G145" s="320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  <c r="S145" s="271"/>
      <c r="T145" s="271"/>
      <c r="U145" s="271"/>
      <c r="V145" s="271"/>
      <c r="W145" s="271"/>
      <c r="X145" s="271"/>
      <c r="Y145" s="271"/>
      <c r="Z145" s="271"/>
      <c r="AA145" s="271"/>
      <c r="AB145" s="271"/>
      <c r="AC145" s="271"/>
      <c r="AD145" s="271"/>
      <c r="AE145" s="271"/>
      <c r="AF145" s="271"/>
      <c r="AG145" s="271"/>
      <c r="AH145" s="271"/>
      <c r="AI145" s="271"/>
      <c r="AJ145" s="271"/>
      <c r="AK145" s="271"/>
      <c r="AL145" s="271"/>
      <c r="AM145" s="271"/>
      <c r="AN145" s="271"/>
      <c r="AO145" s="271"/>
      <c r="AP145" s="271"/>
      <c r="AQ145" s="271"/>
      <c r="AR145" s="271"/>
      <c r="AS145" s="271"/>
      <c r="AT145" s="271"/>
      <c r="AU145" s="271"/>
      <c r="AV145" s="271"/>
      <c r="AW145" s="271"/>
      <c r="AX145" s="271"/>
      <c r="AY145" s="271"/>
      <c r="AZ145" s="271"/>
      <c r="BA145" s="271"/>
      <c r="BB145" s="271"/>
      <c r="BC145" s="271"/>
      <c r="BD145" s="271"/>
    </row>
    <row r="146" spans="1:56">
      <c r="A146" s="274" t="s">
        <v>141</v>
      </c>
      <c r="B146" s="275" t="s">
        <v>141</v>
      </c>
      <c r="C146" s="276" t="s">
        <v>141</v>
      </c>
      <c r="D146" s="276" t="s">
        <v>141</v>
      </c>
      <c r="E146" s="278"/>
      <c r="F146" s="278"/>
      <c r="G146" s="278"/>
      <c r="H146" s="278"/>
      <c r="I146" s="278"/>
      <c r="J146" s="278"/>
      <c r="K146" s="279"/>
      <c r="L146" s="279"/>
      <c r="M146" s="278"/>
      <c r="N146" s="278"/>
      <c r="O146" s="279"/>
      <c r="P146" s="279"/>
      <c r="Q146" s="277"/>
      <c r="R146" s="278"/>
      <c r="S146" s="278"/>
      <c r="T146" s="280"/>
      <c r="U146" s="280"/>
      <c r="V146" s="354"/>
      <c r="W146" s="354"/>
      <c r="X146" s="355"/>
      <c r="Y146" s="355"/>
      <c r="Z146" s="278"/>
      <c r="AA146" s="278"/>
      <c r="AB146" s="292"/>
      <c r="AC146" s="292"/>
      <c r="AD146" s="289"/>
      <c r="AE146" s="289"/>
      <c r="AF146" s="281"/>
      <c r="AG146" s="290"/>
      <c r="AH146" s="290"/>
      <c r="AI146" s="290"/>
      <c r="AJ146" s="282"/>
      <c r="AK146" s="282"/>
      <c r="AL146" s="282"/>
      <c r="AM146" s="282"/>
      <c r="AN146" s="283"/>
      <c r="AO146" s="283"/>
      <c r="AP146" s="283"/>
      <c r="AQ146" s="283"/>
      <c r="AR146" s="283"/>
      <c r="AS146" s="283"/>
      <c r="AT146" s="283"/>
      <c r="AU146" s="283"/>
    </row>
    <row r="147" spans="1:56">
      <c r="A147" s="274" t="s">
        <v>141</v>
      </c>
      <c r="B147" s="275" t="s">
        <v>141</v>
      </c>
      <c r="C147" s="276" t="s">
        <v>141</v>
      </c>
      <c r="D147" s="276" t="s">
        <v>141</v>
      </c>
      <c r="E147" s="278"/>
      <c r="F147" s="278"/>
      <c r="G147" s="278"/>
      <c r="H147" s="278"/>
      <c r="I147" s="278"/>
      <c r="J147" s="278"/>
      <c r="K147" s="279"/>
      <c r="L147" s="279"/>
      <c r="M147" s="278"/>
      <c r="N147" s="278"/>
      <c r="O147" s="279"/>
      <c r="P147" s="279"/>
      <c r="Q147" s="277"/>
      <c r="R147" s="278"/>
      <c r="S147" s="278"/>
      <c r="T147" s="280"/>
      <c r="U147" s="280"/>
      <c r="V147" s="354"/>
      <c r="W147" s="354"/>
      <c r="X147" s="355"/>
      <c r="Y147" s="355"/>
      <c r="Z147" s="278"/>
      <c r="AA147" s="278"/>
      <c r="AB147" s="292"/>
      <c r="AC147" s="292"/>
      <c r="AD147" s="289"/>
      <c r="AE147" s="289"/>
      <c r="AF147" s="281"/>
      <c r="AG147" s="290"/>
      <c r="AH147" s="290"/>
      <c r="AI147" s="290"/>
      <c r="AJ147" s="282"/>
      <c r="AK147" s="282"/>
      <c r="AL147" s="282"/>
      <c r="AM147" s="282"/>
      <c r="AN147" s="283"/>
      <c r="AO147" s="283"/>
      <c r="AP147" s="283"/>
      <c r="AQ147" s="283"/>
      <c r="AR147" s="283"/>
      <c r="AS147" s="283"/>
      <c r="AT147" s="283"/>
      <c r="AU147" s="283"/>
    </row>
    <row r="148" spans="1:56">
      <c r="A148" s="274" t="s">
        <v>141</v>
      </c>
      <c r="B148" s="275" t="s">
        <v>141</v>
      </c>
      <c r="C148" s="276" t="s">
        <v>141</v>
      </c>
      <c r="D148" s="276" t="s">
        <v>141</v>
      </c>
      <c r="E148" s="278"/>
      <c r="F148" s="278"/>
      <c r="G148" s="278"/>
      <c r="H148" s="278"/>
      <c r="I148" s="278"/>
      <c r="J148" s="278"/>
      <c r="K148" s="279"/>
      <c r="L148" s="279"/>
      <c r="M148" s="278"/>
      <c r="N148" s="278"/>
      <c r="O148" s="279"/>
      <c r="P148" s="279"/>
      <c r="Q148" s="277"/>
      <c r="R148" s="278"/>
      <c r="S148" s="278"/>
      <c r="T148" s="280"/>
      <c r="U148" s="280"/>
      <c r="V148" s="354"/>
      <c r="W148" s="354"/>
      <c r="X148" s="355"/>
      <c r="Y148" s="355"/>
      <c r="Z148" s="278"/>
      <c r="AA148" s="278"/>
      <c r="AB148" s="292"/>
      <c r="AC148" s="292"/>
      <c r="AD148" s="289"/>
      <c r="AE148" s="289"/>
      <c r="AF148" s="281"/>
      <c r="AG148" s="290"/>
      <c r="AH148" s="290"/>
      <c r="AI148" s="290"/>
      <c r="AJ148" s="282"/>
      <c r="AK148" s="282"/>
      <c r="AL148" s="282"/>
      <c r="AM148" s="282"/>
      <c r="AN148" s="283"/>
      <c r="AO148" s="283"/>
      <c r="AP148" s="283"/>
      <c r="AQ148" s="283"/>
      <c r="AR148" s="283"/>
      <c r="AS148" s="283"/>
      <c r="AT148" s="283"/>
      <c r="AU148" s="283"/>
    </row>
    <row r="149" spans="1:56">
      <c r="A149" s="274">
        <v>1</v>
      </c>
      <c r="B149" s="275">
        <v>2</v>
      </c>
      <c r="C149" s="276">
        <v>3</v>
      </c>
      <c r="D149" s="276">
        <v>4</v>
      </c>
      <c r="E149" s="368">
        <v>6</v>
      </c>
      <c r="F149" s="368">
        <v>7</v>
      </c>
      <c r="G149" s="368">
        <v>8</v>
      </c>
      <c r="H149" s="368">
        <v>9</v>
      </c>
      <c r="I149" s="368">
        <v>10</v>
      </c>
      <c r="J149" s="368">
        <v>11</v>
      </c>
      <c r="K149" s="368">
        <v>12</v>
      </c>
      <c r="L149" s="368">
        <v>13</v>
      </c>
      <c r="M149" s="368">
        <v>14</v>
      </c>
      <c r="N149" s="368">
        <v>15</v>
      </c>
      <c r="O149" s="368">
        <v>16</v>
      </c>
      <c r="P149" s="368">
        <v>17</v>
      </c>
      <c r="Q149" s="368">
        <v>18</v>
      </c>
      <c r="R149" s="368">
        <v>19</v>
      </c>
      <c r="S149" s="368">
        <v>20</v>
      </c>
      <c r="T149" s="369">
        <v>22</v>
      </c>
      <c r="U149" s="369">
        <v>23</v>
      </c>
      <c r="V149" s="370">
        <v>24</v>
      </c>
      <c r="W149" s="370">
        <v>25</v>
      </c>
      <c r="X149" s="371">
        <v>32</v>
      </c>
      <c r="Y149" s="371">
        <v>33</v>
      </c>
      <c r="Z149" s="368">
        <v>34</v>
      </c>
      <c r="AA149" s="368">
        <v>35</v>
      </c>
      <c r="AB149" s="372">
        <v>36</v>
      </c>
      <c r="AC149" s="372">
        <v>37</v>
      </c>
      <c r="AD149" s="373">
        <v>38</v>
      </c>
      <c r="AE149" s="373">
        <v>39</v>
      </c>
      <c r="AF149" s="276">
        <v>40</v>
      </c>
      <c r="AG149" s="373">
        <v>41</v>
      </c>
      <c r="AH149" s="373">
        <v>42</v>
      </c>
      <c r="AI149" s="373">
        <v>43</v>
      </c>
      <c r="AJ149" s="282"/>
      <c r="AK149" s="282"/>
      <c r="AL149" s="282"/>
      <c r="AM149" s="282"/>
      <c r="AN149" s="283"/>
      <c r="AO149" s="283"/>
      <c r="AP149" s="283"/>
      <c r="AQ149" s="283"/>
      <c r="AR149" s="283"/>
      <c r="AS149" s="283"/>
      <c r="AT149" s="283"/>
      <c r="AU149" s="283"/>
    </row>
    <row r="150" spans="1:56">
      <c r="A150" s="274" t="s">
        <v>141</v>
      </c>
      <c r="B150" s="275" t="s">
        <v>141</v>
      </c>
      <c r="C150" s="276" t="s">
        <v>141</v>
      </c>
      <c r="D150" s="276" t="s">
        <v>141</v>
      </c>
      <c r="E150" s="278"/>
      <c r="F150" s="278"/>
      <c r="G150" s="278"/>
      <c r="H150" s="278"/>
      <c r="I150" s="278"/>
      <c r="J150" s="278"/>
      <c r="K150" s="279"/>
      <c r="L150" s="279"/>
      <c r="M150" s="278"/>
      <c r="N150" s="278"/>
      <c r="O150" s="279"/>
      <c r="P150" s="279"/>
      <c r="Q150" s="277"/>
      <c r="R150" s="278"/>
      <c r="S150" s="278"/>
      <c r="T150" s="280"/>
      <c r="U150" s="280"/>
      <c r="V150" s="354"/>
      <c r="W150" s="354"/>
      <c r="X150" s="355"/>
      <c r="Y150" s="355"/>
      <c r="Z150" s="278"/>
      <c r="AA150" s="278"/>
      <c r="AB150" s="292"/>
      <c r="AC150" s="292"/>
      <c r="AD150" s="289"/>
      <c r="AE150" s="289"/>
      <c r="AF150" s="281"/>
      <c r="AG150" s="290"/>
      <c r="AH150" s="290"/>
      <c r="AI150" s="290"/>
      <c r="AJ150" s="282"/>
      <c r="AK150" s="282"/>
      <c r="AL150" s="282"/>
      <c r="AM150" s="282"/>
      <c r="AN150" s="283"/>
      <c r="AO150" s="283"/>
      <c r="AP150" s="283"/>
      <c r="AQ150" s="283"/>
      <c r="AR150" s="283"/>
      <c r="AS150" s="283"/>
      <c r="AT150" s="283"/>
      <c r="AU150" s="283"/>
    </row>
    <row r="151" spans="1:56">
      <c r="A151" s="274" t="s">
        <v>141</v>
      </c>
      <c r="B151" s="275" t="s">
        <v>141</v>
      </c>
      <c r="C151" s="276" t="s">
        <v>141</v>
      </c>
      <c r="D151" s="276" t="s">
        <v>141</v>
      </c>
      <c r="E151" s="278"/>
      <c r="F151" s="278"/>
      <c r="G151" s="278"/>
      <c r="H151" s="278"/>
      <c r="I151" s="278"/>
      <c r="J151" s="278"/>
      <c r="K151" s="279"/>
      <c r="L151" s="279"/>
      <c r="M151" s="278"/>
      <c r="N151" s="278"/>
      <c r="O151" s="279"/>
      <c r="P151" s="279"/>
      <c r="Q151" s="277"/>
      <c r="R151" s="278"/>
      <c r="S151" s="278"/>
      <c r="T151" s="280"/>
      <c r="U151" s="280"/>
      <c r="V151" s="354"/>
      <c r="W151" s="354"/>
      <c r="X151" s="355"/>
      <c r="Y151" s="355"/>
      <c r="Z151" s="278"/>
      <c r="AA151" s="278"/>
      <c r="AB151" s="292"/>
      <c r="AC151" s="292"/>
      <c r="AD151" s="289"/>
      <c r="AE151" s="289"/>
      <c r="AF151" s="281"/>
      <c r="AG151" s="290"/>
      <c r="AH151" s="290"/>
      <c r="AI151" s="290"/>
      <c r="AJ151" s="282"/>
      <c r="AK151" s="282"/>
      <c r="AL151" s="282"/>
      <c r="AM151" s="282"/>
      <c r="AN151" s="283"/>
      <c r="AO151" s="283"/>
      <c r="AP151" s="283"/>
      <c r="AQ151" s="283"/>
      <c r="AR151" s="283"/>
      <c r="AS151" s="283"/>
      <c r="AT151" s="283"/>
      <c r="AU151" s="283"/>
    </row>
    <row r="152" spans="1:56">
      <c r="A152" s="274" t="s">
        <v>141</v>
      </c>
      <c r="B152" s="275" t="s">
        <v>141</v>
      </c>
      <c r="C152" s="276" t="s">
        <v>141</v>
      </c>
      <c r="D152" s="276" t="s">
        <v>141</v>
      </c>
      <c r="E152" s="278"/>
      <c r="F152" s="278"/>
      <c r="G152" s="278"/>
      <c r="H152" s="278"/>
      <c r="I152" s="278"/>
      <c r="J152" s="278"/>
      <c r="K152" s="279"/>
      <c r="L152" s="279"/>
      <c r="M152" s="278"/>
      <c r="N152" s="278"/>
      <c r="O152" s="279"/>
      <c r="P152" s="279"/>
      <c r="Q152" s="277"/>
      <c r="R152" s="278"/>
      <c r="S152" s="278"/>
      <c r="T152" s="280"/>
      <c r="U152" s="280"/>
      <c r="V152" s="354"/>
      <c r="W152" s="354"/>
      <c r="X152" s="355"/>
      <c r="Y152" s="355"/>
      <c r="Z152" s="278"/>
      <c r="AA152" s="278"/>
      <c r="AB152" s="292"/>
      <c r="AC152" s="292"/>
      <c r="AD152" s="289"/>
      <c r="AE152" s="289"/>
      <c r="AF152" s="281"/>
      <c r="AG152" s="290"/>
      <c r="AH152" s="290"/>
      <c r="AI152" s="290"/>
      <c r="AJ152" s="282"/>
      <c r="AK152" s="282"/>
      <c r="AL152" s="282"/>
      <c r="AM152" s="282"/>
      <c r="AN152" s="283"/>
      <c r="AO152" s="283"/>
      <c r="AP152" s="283"/>
      <c r="AQ152" s="283"/>
      <c r="AR152" s="283"/>
      <c r="AS152" s="283"/>
      <c r="AT152" s="283"/>
      <c r="AU152" s="283"/>
    </row>
    <row r="153" spans="1:56">
      <c r="A153" s="274" t="s">
        <v>141</v>
      </c>
      <c r="B153" s="275" t="s">
        <v>141</v>
      </c>
      <c r="C153" s="276" t="s">
        <v>141</v>
      </c>
      <c r="D153" s="276" t="s">
        <v>141</v>
      </c>
      <c r="E153" s="278"/>
      <c r="F153" s="278"/>
      <c r="G153" s="278"/>
      <c r="H153" s="278"/>
      <c r="I153" s="278"/>
      <c r="J153" s="278"/>
      <c r="K153" s="279"/>
      <c r="L153" s="279"/>
      <c r="M153" s="278"/>
      <c r="N153" s="278"/>
      <c r="O153" s="279"/>
      <c r="P153" s="279"/>
      <c r="Q153" s="277"/>
      <c r="R153" s="278"/>
      <c r="S153" s="278"/>
      <c r="T153" s="280"/>
      <c r="U153" s="280"/>
      <c r="V153" s="354"/>
      <c r="W153" s="354"/>
      <c r="X153" s="355"/>
      <c r="Y153" s="355"/>
      <c r="Z153" s="278"/>
      <c r="AA153" s="278"/>
      <c r="AB153" s="292"/>
      <c r="AC153" s="292"/>
      <c r="AD153" s="289"/>
      <c r="AE153" s="289"/>
      <c r="AF153" s="281"/>
      <c r="AG153" s="290"/>
      <c r="AH153" s="290"/>
      <c r="AI153" s="290"/>
      <c r="AJ153" s="282"/>
      <c r="AK153" s="282"/>
      <c r="AL153" s="282"/>
      <c r="AM153" s="282"/>
      <c r="AN153" s="283"/>
      <c r="AO153" s="283"/>
      <c r="AP153" s="283"/>
      <c r="AQ153" s="283"/>
      <c r="AR153" s="283"/>
      <c r="AS153" s="283"/>
      <c r="AT153" s="283"/>
      <c r="AU153" s="283"/>
    </row>
    <row r="154" spans="1:56">
      <c r="A154" s="274" t="s">
        <v>141</v>
      </c>
      <c r="B154" s="275" t="s">
        <v>141</v>
      </c>
      <c r="C154" s="276" t="s">
        <v>141</v>
      </c>
      <c r="D154" s="276" t="s">
        <v>141</v>
      </c>
      <c r="E154" s="278"/>
      <c r="F154" s="278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62"/>
      <c r="AE154" s="271"/>
      <c r="AF154" s="271"/>
      <c r="AG154" s="271"/>
      <c r="AH154" s="271"/>
      <c r="AI154" s="271"/>
      <c r="AJ154" s="271"/>
      <c r="AK154" s="271"/>
      <c r="AL154" s="271"/>
      <c r="AM154" s="271"/>
      <c r="AN154" s="271"/>
      <c r="AO154" s="271"/>
      <c r="AP154" s="271"/>
      <c r="AQ154" s="271"/>
      <c r="AR154" s="271"/>
      <c r="AS154" s="271"/>
      <c r="AT154" s="271"/>
      <c r="AU154" s="271"/>
      <c r="AV154" s="271"/>
      <c r="AW154" s="271"/>
      <c r="AX154" s="271"/>
      <c r="AY154" s="271"/>
      <c r="AZ154" s="271"/>
      <c r="BA154" s="271"/>
      <c r="BB154" s="271"/>
      <c r="BC154" s="271"/>
      <c r="BD154" s="271"/>
    </row>
    <row r="155" spans="1:56">
      <c r="A155" s="274" t="s">
        <v>141</v>
      </c>
      <c r="B155" s="275" t="s">
        <v>141</v>
      </c>
      <c r="C155" s="276" t="s">
        <v>141</v>
      </c>
      <c r="D155" s="276" t="s">
        <v>141</v>
      </c>
      <c r="E155" s="278"/>
      <c r="F155" s="278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62"/>
      <c r="AE155" s="271"/>
      <c r="AF155" s="271"/>
      <c r="AG155" s="271"/>
      <c r="AH155" s="271"/>
      <c r="AI155" s="271"/>
      <c r="AJ155" s="271"/>
      <c r="AK155" s="271"/>
      <c r="AL155" s="271"/>
      <c r="AM155" s="271"/>
      <c r="AN155" s="271"/>
      <c r="AO155" s="271"/>
      <c r="AP155" s="271"/>
      <c r="AQ155" s="271"/>
      <c r="AR155" s="271"/>
      <c r="AS155" s="271"/>
      <c r="AT155" s="271"/>
      <c r="AU155" s="271"/>
      <c r="AV155" s="271"/>
      <c r="AW155" s="271"/>
      <c r="AX155" s="271"/>
      <c r="AY155" s="271"/>
      <c r="AZ155" s="271"/>
      <c r="BA155" s="271"/>
      <c r="BB155" s="271"/>
      <c r="BC155" s="271"/>
      <c r="BD155" s="271"/>
    </row>
    <row r="156" spans="1:56">
      <c r="A156" s="274" t="s">
        <v>141</v>
      </c>
      <c r="B156" s="275" t="s">
        <v>141</v>
      </c>
      <c r="C156" s="276" t="s">
        <v>141</v>
      </c>
      <c r="D156" s="276" t="s">
        <v>141</v>
      </c>
      <c r="E156" s="278"/>
      <c r="F156" s="278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  <c r="S156" s="271"/>
      <c r="T156" s="271"/>
      <c r="U156" s="271"/>
      <c r="V156" s="271"/>
      <c r="W156" s="271"/>
      <c r="X156" s="271"/>
      <c r="Y156" s="271"/>
      <c r="Z156" s="271"/>
      <c r="AA156" s="271"/>
      <c r="AB156" s="271"/>
      <c r="AC156" s="271"/>
      <c r="AD156" s="262"/>
      <c r="AE156" s="271"/>
      <c r="AF156" s="271"/>
      <c r="AG156" s="271"/>
      <c r="AH156" s="271"/>
      <c r="AI156" s="271"/>
      <c r="AJ156" s="271"/>
      <c r="AK156" s="271"/>
      <c r="AL156" s="271"/>
      <c r="AM156" s="271"/>
      <c r="AN156" s="271"/>
      <c r="AO156" s="271"/>
      <c r="AP156" s="271"/>
      <c r="AQ156" s="271"/>
      <c r="AR156" s="271"/>
      <c r="AS156" s="271"/>
      <c r="AT156" s="271"/>
      <c r="AU156" s="271"/>
      <c r="AV156" s="271"/>
      <c r="AW156" s="271"/>
      <c r="AX156" s="271"/>
      <c r="AY156" s="271"/>
      <c r="AZ156" s="271"/>
      <c r="BA156" s="271"/>
      <c r="BB156" s="271"/>
      <c r="BC156" s="271"/>
      <c r="BD156" s="271"/>
    </row>
    <row r="157" spans="1:56">
      <c r="A157" s="274" t="s">
        <v>141</v>
      </c>
      <c r="B157" s="275" t="s">
        <v>141</v>
      </c>
      <c r="C157" s="276" t="s">
        <v>141</v>
      </c>
      <c r="D157" s="276" t="s">
        <v>141</v>
      </c>
      <c r="E157" s="278"/>
      <c r="F157" s="278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62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271"/>
      <c r="AW157" s="271"/>
      <c r="AX157" s="271"/>
      <c r="AY157" s="271"/>
      <c r="AZ157" s="271"/>
      <c r="BA157" s="271"/>
      <c r="BB157" s="271"/>
      <c r="BC157" s="271"/>
      <c r="BD157" s="271"/>
    </row>
    <row r="158" spans="1:56">
      <c r="A158" s="274" t="s">
        <v>141</v>
      </c>
      <c r="B158" s="275" t="s">
        <v>141</v>
      </c>
      <c r="C158" s="276" t="s">
        <v>141</v>
      </c>
      <c r="D158" s="276" t="s">
        <v>141</v>
      </c>
      <c r="E158" s="278"/>
      <c r="F158" s="278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  <c r="S158" s="271"/>
      <c r="T158" s="271"/>
      <c r="U158" s="271"/>
      <c r="V158" s="271"/>
      <c r="W158" s="271"/>
      <c r="X158" s="271"/>
      <c r="Y158" s="271"/>
      <c r="Z158" s="271"/>
      <c r="AA158" s="271"/>
      <c r="AB158" s="271"/>
      <c r="AC158" s="271"/>
      <c r="AD158" s="262"/>
      <c r="AE158" s="271"/>
      <c r="AF158" s="271"/>
      <c r="AG158" s="271"/>
      <c r="AH158" s="271"/>
      <c r="AI158" s="271"/>
      <c r="AJ158" s="271"/>
      <c r="AK158" s="271"/>
      <c r="AL158" s="271"/>
      <c r="AM158" s="271"/>
      <c r="AN158" s="271"/>
      <c r="AO158" s="271"/>
      <c r="AP158" s="271"/>
      <c r="AQ158" s="271"/>
      <c r="AR158" s="271"/>
      <c r="AS158" s="271"/>
      <c r="AT158" s="271"/>
      <c r="AU158" s="271"/>
      <c r="AV158" s="271"/>
      <c r="AW158" s="271"/>
      <c r="AX158" s="271"/>
      <c r="AY158" s="271"/>
      <c r="AZ158" s="271"/>
      <c r="BA158" s="271"/>
      <c r="BB158" s="271"/>
      <c r="BC158" s="271"/>
      <c r="BD158" s="271"/>
    </row>
    <row r="159" spans="1:56">
      <c r="A159" s="274" t="s">
        <v>141</v>
      </c>
      <c r="B159" s="275" t="s">
        <v>141</v>
      </c>
      <c r="C159" s="276" t="s">
        <v>141</v>
      </c>
      <c r="D159" s="276" t="s">
        <v>141</v>
      </c>
      <c r="E159" s="278"/>
      <c r="F159" s="278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  <c r="S159" s="271"/>
      <c r="T159" s="271"/>
      <c r="U159" s="271"/>
      <c r="V159" s="271"/>
      <c r="W159" s="271"/>
      <c r="X159" s="271"/>
      <c r="Y159" s="271"/>
      <c r="Z159" s="271"/>
      <c r="AA159" s="271"/>
      <c r="AB159" s="271"/>
      <c r="AC159" s="271"/>
      <c r="AD159" s="262"/>
      <c r="AE159" s="271"/>
      <c r="AF159" s="271"/>
      <c r="AG159" s="271"/>
      <c r="AH159" s="271"/>
      <c r="AI159" s="271"/>
      <c r="AJ159" s="271"/>
      <c r="AK159" s="271"/>
      <c r="AL159" s="271"/>
      <c r="AM159" s="271"/>
      <c r="AN159" s="271"/>
      <c r="AO159" s="271"/>
      <c r="AP159" s="271"/>
      <c r="AQ159" s="271"/>
      <c r="AR159" s="271"/>
      <c r="AS159" s="271"/>
      <c r="AT159" s="271"/>
      <c r="AU159" s="271"/>
      <c r="AV159" s="271"/>
      <c r="AW159" s="271"/>
      <c r="AX159" s="271"/>
      <c r="AY159" s="271"/>
      <c r="AZ159" s="271"/>
      <c r="BA159" s="271"/>
      <c r="BB159" s="271"/>
      <c r="BC159" s="271"/>
      <c r="BD159" s="271"/>
    </row>
    <row r="160" spans="1:56">
      <c r="A160" s="274" t="s">
        <v>141</v>
      </c>
      <c r="B160" s="275" t="s">
        <v>141</v>
      </c>
      <c r="C160" s="276" t="s">
        <v>141</v>
      </c>
      <c r="D160" s="276" t="s">
        <v>141</v>
      </c>
      <c r="E160" s="278"/>
      <c r="F160" s="278"/>
      <c r="G160" s="278"/>
      <c r="H160" s="278"/>
      <c r="I160" s="278"/>
      <c r="J160" s="278"/>
      <c r="K160" s="279"/>
      <c r="L160" s="279"/>
      <c r="M160" s="278"/>
      <c r="N160" s="278"/>
      <c r="O160" s="279"/>
      <c r="P160" s="279"/>
      <c r="Q160" s="277"/>
      <c r="R160" s="278"/>
      <c r="S160" s="278"/>
      <c r="T160" s="280"/>
      <c r="U160" s="280"/>
      <c r="V160" s="354"/>
      <c r="W160" s="354"/>
      <c r="X160" s="355"/>
      <c r="Y160" s="355"/>
      <c r="Z160" s="278"/>
      <c r="AA160" s="278"/>
      <c r="AB160" s="292"/>
      <c r="AC160" s="271"/>
      <c r="AD160" s="262"/>
      <c r="AE160" s="289"/>
      <c r="AF160" s="281"/>
      <c r="AG160" s="290"/>
      <c r="AH160" s="290"/>
      <c r="AI160" s="290"/>
      <c r="AJ160" s="282"/>
      <c r="AK160" s="282"/>
      <c r="AL160" s="282"/>
      <c r="AM160" s="282"/>
      <c r="AN160" s="283"/>
      <c r="AO160" s="283"/>
      <c r="AP160" s="283"/>
      <c r="AQ160" s="283"/>
      <c r="AR160" s="283"/>
      <c r="AS160" s="283"/>
      <c r="AT160" s="283"/>
      <c r="AU160" s="283"/>
    </row>
    <row r="161" spans="1:47">
      <c r="A161" s="274" t="s">
        <v>141</v>
      </c>
      <c r="B161" s="275" t="s">
        <v>141</v>
      </c>
      <c r="C161" s="276" t="s">
        <v>141</v>
      </c>
      <c r="D161" s="276" t="s">
        <v>141</v>
      </c>
      <c r="E161" s="278"/>
      <c r="F161" s="278"/>
      <c r="G161" s="278"/>
      <c r="H161" s="278"/>
      <c r="I161" s="278"/>
      <c r="J161" s="278"/>
      <c r="K161" s="279"/>
      <c r="L161" s="279"/>
      <c r="M161" s="278"/>
      <c r="N161" s="278"/>
      <c r="O161" s="279"/>
      <c r="P161" s="279"/>
      <c r="Q161" s="277"/>
      <c r="R161" s="278"/>
      <c r="S161" s="278"/>
      <c r="T161" s="280"/>
      <c r="U161" s="280"/>
      <c r="V161" s="354"/>
      <c r="W161" s="354"/>
      <c r="X161" s="355"/>
      <c r="Y161" s="355"/>
      <c r="Z161" s="278"/>
      <c r="AA161" s="278"/>
      <c r="AB161" s="292"/>
      <c r="AC161" s="271"/>
      <c r="AD161" s="262"/>
      <c r="AE161" s="289"/>
      <c r="AF161" s="281"/>
      <c r="AG161" s="290"/>
      <c r="AH161" s="290"/>
      <c r="AI161" s="290"/>
      <c r="AJ161" s="282"/>
      <c r="AK161" s="282"/>
      <c r="AL161" s="282"/>
      <c r="AM161" s="282"/>
      <c r="AN161" s="283"/>
      <c r="AO161" s="283"/>
      <c r="AP161" s="283"/>
      <c r="AQ161" s="283"/>
      <c r="AR161" s="283"/>
      <c r="AS161" s="283"/>
      <c r="AT161" s="283"/>
      <c r="AU161" s="283"/>
    </row>
    <row r="162" spans="1:47">
      <c r="A162" s="274" t="s">
        <v>141</v>
      </c>
      <c r="B162" s="275" t="s">
        <v>141</v>
      </c>
      <c r="C162" s="276" t="s">
        <v>141</v>
      </c>
      <c r="D162" s="276" t="s">
        <v>141</v>
      </c>
      <c r="E162" s="278"/>
      <c r="F162" s="278"/>
      <c r="G162" s="278"/>
      <c r="H162" s="278"/>
      <c r="I162" s="278"/>
      <c r="J162" s="278"/>
      <c r="K162" s="279"/>
      <c r="L162" s="279"/>
      <c r="M162" s="278"/>
      <c r="N162" s="278"/>
      <c r="O162" s="279"/>
      <c r="P162" s="279"/>
      <c r="Q162" s="277"/>
      <c r="R162" s="278"/>
      <c r="S162" s="278"/>
      <c r="T162" s="280"/>
      <c r="U162" s="280"/>
      <c r="V162" s="354"/>
      <c r="W162" s="354"/>
      <c r="X162" s="355"/>
      <c r="Y162" s="355"/>
      <c r="Z162" s="278"/>
      <c r="AA162" s="278"/>
      <c r="AB162" s="292"/>
      <c r="AC162" s="271"/>
      <c r="AD162" s="262"/>
      <c r="AE162" s="289"/>
      <c r="AF162" s="281"/>
      <c r="AG162" s="290"/>
      <c r="AH162" s="290"/>
      <c r="AI162" s="290"/>
      <c r="AJ162" s="282"/>
      <c r="AK162" s="282"/>
      <c r="AL162" s="282"/>
      <c r="AM162" s="282"/>
      <c r="AN162" s="283"/>
      <c r="AO162" s="283"/>
      <c r="AP162" s="283"/>
      <c r="AQ162" s="283"/>
      <c r="AR162" s="283"/>
      <c r="AS162" s="283"/>
      <c r="AT162" s="283"/>
      <c r="AU162" s="283"/>
    </row>
    <row r="163" spans="1:47">
      <c r="A163" s="274" t="s">
        <v>141</v>
      </c>
      <c r="B163" s="275" t="s">
        <v>141</v>
      </c>
      <c r="C163" s="276" t="s">
        <v>141</v>
      </c>
      <c r="D163" s="276" t="s">
        <v>141</v>
      </c>
      <c r="E163" s="278"/>
      <c r="F163" s="278"/>
      <c r="G163" s="278"/>
      <c r="H163" s="278"/>
      <c r="I163" s="278"/>
      <c r="J163" s="278"/>
      <c r="K163" s="279"/>
      <c r="L163" s="279"/>
      <c r="M163" s="278"/>
      <c r="N163" s="278"/>
      <c r="O163" s="279"/>
      <c r="P163" s="279"/>
      <c r="Q163" s="277"/>
      <c r="R163" s="278"/>
      <c r="S163" s="278"/>
      <c r="T163" s="280"/>
      <c r="U163" s="280"/>
      <c r="V163" s="354"/>
      <c r="W163" s="354"/>
      <c r="X163" s="355"/>
      <c r="Y163" s="355"/>
      <c r="Z163" s="278"/>
      <c r="AA163" s="278"/>
      <c r="AB163" s="292"/>
      <c r="AC163" s="271"/>
      <c r="AD163" s="262"/>
      <c r="AE163" s="289"/>
      <c r="AF163" s="281"/>
      <c r="AG163" s="290"/>
      <c r="AH163" s="290"/>
      <c r="AI163" s="290"/>
      <c r="AJ163" s="282"/>
      <c r="AK163" s="282"/>
      <c r="AL163" s="282"/>
      <c r="AM163" s="282"/>
      <c r="AN163" s="283"/>
      <c r="AO163" s="283"/>
      <c r="AP163" s="283"/>
      <c r="AQ163" s="283"/>
      <c r="AR163" s="283"/>
      <c r="AS163" s="283"/>
      <c r="AT163" s="283"/>
      <c r="AU163" s="283"/>
    </row>
    <row r="164" spans="1:47">
      <c r="A164" s="274" t="s">
        <v>141</v>
      </c>
      <c r="B164" s="275" t="s">
        <v>141</v>
      </c>
      <c r="C164" s="276" t="s">
        <v>141</v>
      </c>
      <c r="D164" s="276" t="s">
        <v>141</v>
      </c>
      <c r="E164" s="278"/>
      <c r="F164" s="278"/>
      <c r="G164" s="278"/>
      <c r="H164" s="278"/>
      <c r="I164" s="278"/>
      <c r="J164" s="278"/>
      <c r="K164" s="279"/>
      <c r="L164" s="279"/>
      <c r="M164" s="278"/>
      <c r="N164" s="278"/>
      <c r="O164" s="279"/>
      <c r="P164" s="279"/>
      <c r="Q164" s="277"/>
      <c r="R164" s="278"/>
      <c r="S164" s="278"/>
      <c r="T164" s="280"/>
      <c r="U164" s="280"/>
      <c r="V164" s="354"/>
      <c r="W164" s="354"/>
      <c r="X164" s="355"/>
      <c r="Y164" s="355"/>
      <c r="Z164" s="278"/>
      <c r="AA164" s="278"/>
      <c r="AB164" s="292"/>
      <c r="AC164" s="271"/>
      <c r="AD164" s="262"/>
      <c r="AE164" s="289"/>
      <c r="AF164" s="281"/>
      <c r="AG164" s="290"/>
      <c r="AH164" s="290"/>
      <c r="AI164" s="290"/>
      <c r="AJ164" s="282"/>
      <c r="AK164" s="282"/>
      <c r="AL164" s="282"/>
      <c r="AM164" s="282"/>
      <c r="AN164" s="283"/>
      <c r="AO164" s="283"/>
      <c r="AP164" s="283"/>
      <c r="AQ164" s="283"/>
      <c r="AR164" s="283"/>
      <c r="AS164" s="283"/>
      <c r="AT164" s="283"/>
      <c r="AU164" s="283"/>
    </row>
    <row r="165" spans="1:47">
      <c r="A165" s="293" t="s">
        <v>141</v>
      </c>
      <c r="B165" s="293" t="s">
        <v>141</v>
      </c>
      <c r="C165" s="276" t="s">
        <v>141</v>
      </c>
      <c r="D165" s="276" t="s">
        <v>141</v>
      </c>
      <c r="E165" s="278"/>
      <c r="F165" s="278"/>
      <c r="G165" s="278"/>
      <c r="H165" s="278"/>
      <c r="I165" s="278"/>
      <c r="J165" s="278"/>
      <c r="K165" s="279"/>
      <c r="L165" s="279"/>
      <c r="M165" s="278"/>
      <c r="N165" s="278"/>
      <c r="O165" s="279"/>
      <c r="P165" s="279"/>
      <c r="Q165" s="277"/>
      <c r="R165" s="278"/>
      <c r="S165" s="278"/>
      <c r="T165" s="280"/>
      <c r="U165" s="280"/>
      <c r="V165" s="354"/>
      <c r="W165" s="354"/>
      <c r="X165" s="355"/>
      <c r="Y165" s="355"/>
      <c r="Z165" s="278"/>
      <c r="AA165" s="278"/>
      <c r="AB165" s="292"/>
      <c r="AC165" s="271"/>
      <c r="AD165" s="262"/>
      <c r="AE165" s="289"/>
      <c r="AF165" s="281"/>
      <c r="AG165" s="290"/>
      <c r="AH165" s="290"/>
      <c r="AI165" s="290"/>
      <c r="AJ165" s="282"/>
      <c r="AK165" s="282"/>
      <c r="AL165" s="282"/>
      <c r="AM165" s="282"/>
      <c r="AN165" s="283"/>
      <c r="AO165" s="283"/>
      <c r="AP165" s="283"/>
      <c r="AQ165" s="283"/>
      <c r="AR165" s="283"/>
      <c r="AS165" s="283"/>
      <c r="AT165" s="283"/>
      <c r="AU165" s="283"/>
    </row>
    <row r="166" spans="1:47">
      <c r="A166" s="293" t="s">
        <v>141</v>
      </c>
      <c r="B166" s="293" t="s">
        <v>141</v>
      </c>
      <c r="C166" s="276" t="s">
        <v>141</v>
      </c>
      <c r="D166" s="276" t="s">
        <v>141</v>
      </c>
      <c r="E166" s="278"/>
      <c r="F166" s="278"/>
      <c r="G166" s="278"/>
      <c r="H166" s="278"/>
      <c r="I166" s="278"/>
      <c r="J166" s="278"/>
      <c r="K166" s="279"/>
      <c r="L166" s="279"/>
      <c r="M166" s="278"/>
      <c r="N166" s="278"/>
      <c r="O166" s="279"/>
      <c r="P166" s="279"/>
      <c r="Q166" s="277"/>
      <c r="R166" s="278"/>
      <c r="S166" s="278"/>
      <c r="T166" s="280"/>
      <c r="U166" s="280"/>
      <c r="V166" s="354"/>
      <c r="W166" s="354"/>
      <c r="X166" s="355"/>
      <c r="Y166" s="355"/>
      <c r="Z166" s="278"/>
      <c r="AA166" s="278"/>
      <c r="AB166" s="292"/>
      <c r="AC166" s="271"/>
      <c r="AD166" s="262"/>
      <c r="AE166" s="289"/>
      <c r="AF166" s="281"/>
      <c r="AG166" s="290"/>
      <c r="AH166" s="290"/>
      <c r="AI166" s="290"/>
      <c r="AJ166" s="282"/>
      <c r="AK166" s="282"/>
      <c r="AL166" s="282"/>
      <c r="AM166" s="282"/>
      <c r="AN166" s="283"/>
      <c r="AO166" s="283"/>
      <c r="AP166" s="283"/>
      <c r="AQ166" s="283"/>
      <c r="AR166" s="283"/>
      <c r="AS166" s="283"/>
      <c r="AT166" s="283"/>
      <c r="AU166" s="283"/>
    </row>
    <row r="167" spans="1:47">
      <c r="A167" s="293" t="s">
        <v>141</v>
      </c>
      <c r="B167" s="293" t="s">
        <v>141</v>
      </c>
      <c r="C167" s="276" t="s">
        <v>141</v>
      </c>
      <c r="D167" s="276" t="s">
        <v>141</v>
      </c>
      <c r="E167" s="278"/>
      <c r="F167" s="278"/>
      <c r="G167" s="278"/>
      <c r="H167" s="278"/>
      <c r="I167" s="278"/>
      <c r="J167" s="278"/>
      <c r="K167" s="279"/>
      <c r="L167" s="279"/>
      <c r="M167" s="278"/>
      <c r="N167" s="278"/>
      <c r="O167" s="279"/>
      <c r="P167" s="279"/>
      <c r="Q167" s="277"/>
      <c r="R167" s="278"/>
      <c r="S167" s="278"/>
      <c r="T167" s="280"/>
      <c r="U167" s="280"/>
      <c r="V167" s="354"/>
      <c r="W167" s="354"/>
      <c r="X167" s="355"/>
      <c r="Y167" s="355"/>
      <c r="Z167" s="278"/>
      <c r="AA167" s="278"/>
      <c r="AB167" s="292"/>
      <c r="AC167" s="271"/>
      <c r="AD167" s="262"/>
      <c r="AE167" s="289"/>
      <c r="AF167" s="281"/>
      <c r="AG167" s="290"/>
      <c r="AH167" s="290"/>
      <c r="AI167" s="290"/>
      <c r="AJ167" s="282"/>
      <c r="AK167" s="282"/>
      <c r="AL167" s="282"/>
      <c r="AM167" s="282"/>
      <c r="AN167" s="283"/>
      <c r="AO167" s="283"/>
      <c r="AP167" s="283"/>
      <c r="AQ167" s="283"/>
      <c r="AR167" s="283"/>
      <c r="AS167" s="283"/>
      <c r="AT167" s="283"/>
      <c r="AU167" s="283"/>
    </row>
    <row r="168" spans="1:47">
      <c r="A168" s="294" t="s">
        <v>141</v>
      </c>
      <c r="B168" s="294" t="s">
        <v>141</v>
      </c>
      <c r="C168" s="276" t="s">
        <v>141</v>
      </c>
      <c r="D168" s="276" t="s">
        <v>141</v>
      </c>
      <c r="E168" s="278"/>
      <c r="F168" s="278"/>
      <c r="G168" s="278"/>
      <c r="H168" s="278"/>
      <c r="I168" s="278"/>
      <c r="J168" s="278"/>
      <c r="K168" s="279"/>
      <c r="L168" s="279"/>
      <c r="M168" s="278"/>
      <c r="N168" s="278"/>
      <c r="O168" s="279"/>
      <c r="P168" s="279"/>
      <c r="Q168" s="277"/>
      <c r="R168" s="278"/>
      <c r="S168" s="278"/>
      <c r="T168" s="280"/>
      <c r="U168" s="280"/>
      <c r="V168" s="354"/>
      <c r="W168" s="354"/>
      <c r="X168" s="355"/>
      <c r="Y168" s="355"/>
      <c r="Z168" s="278"/>
      <c r="AA168" s="278"/>
      <c r="AB168" s="292"/>
      <c r="AC168" s="292"/>
      <c r="AD168" s="289"/>
      <c r="AE168" s="289"/>
      <c r="AF168" s="281"/>
      <c r="AG168" s="290"/>
      <c r="AH168" s="290"/>
      <c r="AI168" s="290"/>
      <c r="AJ168" s="282"/>
      <c r="AK168" s="282"/>
      <c r="AL168" s="282"/>
      <c r="AM168" s="282"/>
      <c r="AN168" s="283"/>
      <c r="AO168" s="283"/>
      <c r="AP168" s="283"/>
      <c r="AQ168" s="283"/>
      <c r="AR168" s="283"/>
      <c r="AS168" s="283"/>
      <c r="AT168" s="283"/>
      <c r="AU168" s="283"/>
    </row>
    <row r="169" spans="1:47">
      <c r="A169" s="294" t="s">
        <v>141</v>
      </c>
      <c r="B169" s="294" t="s">
        <v>141</v>
      </c>
      <c r="C169" s="289" t="s">
        <v>141</v>
      </c>
      <c r="D169" s="289" t="s">
        <v>141</v>
      </c>
      <c r="E169" s="278"/>
      <c r="F169" s="278"/>
      <c r="G169" s="278"/>
      <c r="H169" s="278"/>
      <c r="I169" s="278"/>
      <c r="J169" s="278"/>
      <c r="K169" s="279"/>
      <c r="L169" s="279"/>
      <c r="M169" s="278"/>
      <c r="N169" s="278"/>
      <c r="O169" s="279"/>
      <c r="P169" s="279"/>
      <c r="Q169" s="277"/>
      <c r="R169" s="278"/>
      <c r="S169" s="278"/>
      <c r="T169" s="280"/>
      <c r="U169" s="280"/>
      <c r="V169" s="354"/>
      <c r="W169" s="354"/>
      <c r="X169" s="355"/>
      <c r="Y169" s="355"/>
      <c r="Z169" s="278"/>
      <c r="AA169" s="278"/>
      <c r="AB169" s="292"/>
      <c r="AC169" s="292"/>
      <c r="AD169" s="289"/>
      <c r="AE169" s="289"/>
      <c r="AF169" s="281"/>
      <c r="AG169" s="290"/>
      <c r="AH169" s="290"/>
      <c r="AI169" s="290"/>
      <c r="AJ169" s="282"/>
      <c r="AK169" s="282"/>
      <c r="AL169" s="282"/>
      <c r="AM169" s="282"/>
      <c r="AN169" s="283"/>
      <c r="AO169" s="283"/>
      <c r="AP169" s="283"/>
      <c r="AQ169" s="283"/>
      <c r="AR169" s="283"/>
      <c r="AS169" s="283"/>
      <c r="AT169" s="283"/>
      <c r="AU169" s="283"/>
    </row>
    <row r="170" spans="1:47">
      <c r="A170" s="294" t="s">
        <v>141</v>
      </c>
      <c r="B170" s="294" t="s">
        <v>141</v>
      </c>
      <c r="C170" s="289" t="s">
        <v>141</v>
      </c>
      <c r="D170" s="289" t="s">
        <v>141</v>
      </c>
      <c r="E170" s="278"/>
      <c r="F170" s="278"/>
      <c r="G170" s="278"/>
      <c r="H170" s="278"/>
      <c r="I170" s="278"/>
      <c r="J170" s="278"/>
      <c r="K170" s="279"/>
      <c r="L170" s="279"/>
      <c r="M170" s="278"/>
      <c r="N170" s="278"/>
      <c r="O170" s="279"/>
      <c r="P170" s="279"/>
      <c r="Q170" s="277"/>
      <c r="R170" s="278"/>
      <c r="S170" s="278"/>
      <c r="T170" s="280"/>
      <c r="U170" s="280"/>
      <c r="V170" s="354"/>
      <c r="W170" s="354"/>
      <c r="X170" s="355"/>
      <c r="Y170" s="355"/>
      <c r="Z170" s="278"/>
      <c r="AA170" s="278"/>
      <c r="AB170" s="292"/>
      <c r="AC170" s="292"/>
      <c r="AD170" s="289"/>
      <c r="AE170" s="289"/>
      <c r="AF170" s="281"/>
      <c r="AG170" s="290"/>
      <c r="AH170" s="290"/>
      <c r="AI170" s="290"/>
      <c r="AJ170" s="282"/>
      <c r="AK170" s="282"/>
      <c r="AL170" s="282"/>
      <c r="AM170" s="282"/>
      <c r="AN170" s="283"/>
      <c r="AO170" s="283"/>
      <c r="AP170" s="283"/>
      <c r="AQ170" s="283"/>
      <c r="AR170" s="283"/>
      <c r="AS170" s="283"/>
      <c r="AT170" s="283"/>
      <c r="AU170" s="283"/>
    </row>
    <row r="171" spans="1:47">
      <c r="C171" s="289" t="s">
        <v>141</v>
      </c>
      <c r="D171" s="289" t="s">
        <v>141</v>
      </c>
      <c r="E171" s="278"/>
      <c r="F171" s="278"/>
      <c r="G171" s="278"/>
      <c r="H171" s="278"/>
      <c r="I171" s="278"/>
      <c r="J171" s="278"/>
      <c r="K171" s="279"/>
      <c r="L171" s="279"/>
      <c r="M171" s="278"/>
      <c r="N171" s="278"/>
      <c r="O171" s="279"/>
      <c r="P171" s="279"/>
      <c r="Q171" s="277"/>
      <c r="R171" s="278"/>
      <c r="S171" s="278"/>
      <c r="T171" s="280"/>
      <c r="U171" s="280"/>
      <c r="V171" s="354"/>
      <c r="W171" s="354"/>
      <c r="X171" s="355"/>
      <c r="Y171" s="355"/>
      <c r="Z171" s="278"/>
      <c r="AA171" s="278"/>
      <c r="AB171" s="292"/>
      <c r="AC171" s="292"/>
      <c r="AD171" s="289"/>
      <c r="AE171" s="289"/>
      <c r="AF171" s="281"/>
      <c r="AG171" s="290"/>
      <c r="AH171" s="290"/>
      <c r="AI171" s="290"/>
      <c r="AJ171" s="282"/>
      <c r="AK171" s="282"/>
      <c r="AL171" s="282"/>
      <c r="AM171" s="282"/>
      <c r="AN171" s="283"/>
      <c r="AO171" s="283"/>
      <c r="AP171" s="283"/>
      <c r="AQ171" s="283"/>
      <c r="AR171" s="283"/>
      <c r="AS171" s="283"/>
      <c r="AT171" s="283"/>
      <c r="AU171" s="283"/>
    </row>
    <row r="172" spans="1:47">
      <c r="C172" s="289" t="s">
        <v>141</v>
      </c>
      <c r="D172" s="289" t="s">
        <v>141</v>
      </c>
      <c r="E172" s="278"/>
      <c r="F172" s="278"/>
      <c r="G172" s="278"/>
      <c r="H172" s="278"/>
      <c r="I172" s="278"/>
      <c r="J172" s="278"/>
      <c r="K172" s="279"/>
      <c r="L172" s="279"/>
      <c r="M172" s="278"/>
      <c r="N172" s="278"/>
      <c r="O172" s="279"/>
      <c r="P172" s="279"/>
      <c r="Q172" s="277"/>
      <c r="R172" s="278"/>
      <c r="S172" s="278"/>
      <c r="T172" s="280"/>
      <c r="U172" s="280"/>
      <c r="V172" s="354"/>
      <c r="W172" s="354"/>
      <c r="X172" s="355"/>
      <c r="Y172" s="355"/>
      <c r="Z172" s="278"/>
      <c r="AA172" s="278"/>
      <c r="AB172" s="292"/>
      <c r="AC172" s="292"/>
      <c r="AD172" s="289"/>
      <c r="AE172" s="289"/>
      <c r="AF172" s="281"/>
      <c r="AG172" s="290"/>
      <c r="AH172" s="290"/>
      <c r="AI172" s="290"/>
      <c r="AJ172" s="282"/>
      <c r="AK172" s="282"/>
      <c r="AL172" s="282"/>
      <c r="AM172" s="282"/>
      <c r="AN172" s="283"/>
      <c r="AO172" s="283"/>
      <c r="AP172" s="283"/>
      <c r="AQ172" s="283"/>
      <c r="AR172" s="283"/>
      <c r="AS172" s="283"/>
      <c r="AT172" s="283"/>
      <c r="AU172" s="283"/>
    </row>
    <row r="173" spans="1:47">
      <c r="C173" s="289" t="s">
        <v>141</v>
      </c>
      <c r="D173" s="289" t="s">
        <v>141</v>
      </c>
      <c r="E173" s="278"/>
      <c r="F173" s="278"/>
      <c r="G173" s="278"/>
      <c r="H173" s="278"/>
      <c r="I173" s="278"/>
      <c r="J173" s="278"/>
      <c r="K173" s="279"/>
      <c r="L173" s="279"/>
      <c r="M173" s="278"/>
      <c r="N173" s="278"/>
      <c r="O173" s="279"/>
      <c r="P173" s="279"/>
      <c r="Q173" s="277"/>
      <c r="R173" s="278"/>
      <c r="S173" s="278"/>
      <c r="T173" s="280"/>
      <c r="U173" s="280"/>
      <c r="V173" s="354"/>
      <c r="W173" s="354"/>
      <c r="X173" s="355"/>
      <c r="Y173" s="355"/>
      <c r="Z173" s="278"/>
      <c r="AA173" s="278"/>
      <c r="AB173" s="292"/>
      <c r="AC173" s="292"/>
      <c r="AD173" s="289"/>
      <c r="AE173" s="289"/>
      <c r="AF173" s="281"/>
      <c r="AG173" s="290"/>
      <c r="AH173" s="290"/>
      <c r="AI173" s="290"/>
      <c r="AJ173" s="282"/>
      <c r="AK173" s="282"/>
      <c r="AL173" s="282"/>
      <c r="AM173" s="282"/>
      <c r="AN173" s="283"/>
      <c r="AO173" s="283"/>
      <c r="AP173" s="283"/>
      <c r="AQ173" s="283"/>
      <c r="AR173" s="283"/>
      <c r="AS173" s="283"/>
      <c r="AT173" s="283"/>
      <c r="AU173" s="283"/>
    </row>
    <row r="174" spans="1:47">
      <c r="C174" s="289" t="s">
        <v>141</v>
      </c>
      <c r="D174" s="289" t="s">
        <v>141</v>
      </c>
      <c r="E174" s="278"/>
      <c r="F174" s="278"/>
      <c r="G174" s="278"/>
      <c r="H174" s="278"/>
      <c r="I174" s="278"/>
      <c r="J174" s="278"/>
      <c r="K174" s="279"/>
      <c r="L174" s="279"/>
      <c r="M174" s="278"/>
      <c r="N174" s="278"/>
      <c r="O174" s="279"/>
      <c r="P174" s="279"/>
      <c r="Q174" s="277"/>
      <c r="R174" s="278"/>
      <c r="S174" s="278"/>
      <c r="T174" s="280"/>
      <c r="U174" s="280"/>
      <c r="V174" s="354"/>
      <c r="W174" s="354"/>
      <c r="X174" s="355"/>
      <c r="Y174" s="355"/>
      <c r="Z174" s="278"/>
      <c r="AA174" s="278"/>
      <c r="AB174" s="292"/>
      <c r="AC174" s="292"/>
      <c r="AD174" s="289"/>
      <c r="AE174" s="289"/>
      <c r="AF174" s="281"/>
      <c r="AG174" s="290"/>
      <c r="AH174" s="290"/>
      <c r="AI174" s="290"/>
      <c r="AJ174" s="282"/>
      <c r="AK174" s="282"/>
      <c r="AL174" s="282"/>
      <c r="AM174" s="282"/>
      <c r="AN174" s="283"/>
      <c r="AO174" s="283"/>
      <c r="AP174" s="283"/>
      <c r="AQ174" s="283"/>
      <c r="AR174" s="283"/>
      <c r="AS174" s="283"/>
      <c r="AT174" s="283"/>
      <c r="AU174" s="283"/>
    </row>
    <row r="175" spans="1:47">
      <c r="C175" s="289" t="s">
        <v>141</v>
      </c>
      <c r="D175" s="289" t="s">
        <v>141</v>
      </c>
      <c r="E175" s="278"/>
      <c r="F175" s="278"/>
      <c r="G175" s="278"/>
      <c r="H175" s="278"/>
      <c r="I175" s="278"/>
      <c r="J175" s="278"/>
      <c r="K175" s="279"/>
      <c r="L175" s="279"/>
      <c r="M175" s="278"/>
      <c r="N175" s="278"/>
      <c r="O175" s="279"/>
      <c r="P175" s="279"/>
      <c r="Q175" s="277"/>
      <c r="R175" s="278"/>
      <c r="S175" s="278"/>
      <c r="T175" s="280"/>
      <c r="U175" s="280"/>
      <c r="V175" s="354"/>
      <c r="W175" s="354"/>
      <c r="X175" s="355"/>
      <c r="Y175" s="355"/>
      <c r="Z175" s="278"/>
      <c r="AA175" s="278"/>
      <c r="AB175" s="292"/>
      <c r="AC175" s="292"/>
      <c r="AD175" s="289"/>
      <c r="AE175" s="289"/>
      <c r="AF175" s="281"/>
      <c r="AG175" s="290"/>
      <c r="AH175" s="290"/>
      <c r="AI175" s="290"/>
      <c r="AJ175" s="282"/>
      <c r="AK175" s="282"/>
      <c r="AL175" s="282"/>
      <c r="AM175" s="282"/>
      <c r="AN175" s="283"/>
      <c r="AO175" s="283"/>
      <c r="AP175" s="283"/>
      <c r="AQ175" s="283"/>
      <c r="AR175" s="283"/>
      <c r="AS175" s="283"/>
      <c r="AT175" s="283"/>
      <c r="AU175" s="283"/>
    </row>
    <row r="176" spans="1:47">
      <c r="C176" s="289" t="s">
        <v>141</v>
      </c>
      <c r="D176" s="289" t="s">
        <v>141</v>
      </c>
      <c r="E176" s="278"/>
      <c r="F176" s="278"/>
      <c r="G176" s="278"/>
      <c r="H176" s="278"/>
      <c r="I176" s="278"/>
      <c r="J176" s="278"/>
      <c r="K176" s="279"/>
      <c r="L176" s="279"/>
      <c r="M176" s="278"/>
      <c r="N176" s="278"/>
      <c r="O176" s="279"/>
      <c r="P176" s="279"/>
      <c r="Q176" s="277"/>
      <c r="R176" s="278"/>
      <c r="S176" s="278"/>
      <c r="T176" s="280"/>
      <c r="U176" s="280"/>
      <c r="V176" s="354"/>
      <c r="W176" s="354"/>
      <c r="X176" s="355"/>
      <c r="Y176" s="355"/>
      <c r="Z176" s="278"/>
      <c r="AA176" s="278"/>
      <c r="AB176" s="292"/>
      <c r="AC176" s="292"/>
      <c r="AD176" s="289"/>
      <c r="AE176" s="289"/>
      <c r="AF176" s="281"/>
      <c r="AG176" s="290"/>
      <c r="AH176" s="290"/>
      <c r="AI176" s="290"/>
      <c r="AJ176" s="282"/>
      <c r="AK176" s="282"/>
      <c r="AL176" s="282"/>
      <c r="AM176" s="282"/>
      <c r="AN176" s="283"/>
      <c r="AO176" s="283"/>
      <c r="AP176" s="283"/>
      <c r="AQ176" s="283"/>
      <c r="AR176" s="283"/>
      <c r="AS176" s="283"/>
      <c r="AT176" s="283"/>
      <c r="AU176" s="283"/>
    </row>
    <row r="177" spans="3:47">
      <c r="C177" s="289" t="s">
        <v>141</v>
      </c>
      <c r="D177" s="289" t="s">
        <v>141</v>
      </c>
      <c r="E177" s="278"/>
      <c r="F177" s="278"/>
      <c r="G177" s="278"/>
      <c r="H177" s="278"/>
      <c r="I177" s="278"/>
      <c r="J177" s="278"/>
      <c r="K177" s="279"/>
      <c r="L177" s="279"/>
      <c r="M177" s="278"/>
      <c r="N177" s="278"/>
      <c r="O177" s="279"/>
      <c r="P177" s="279"/>
      <c r="Q177" s="277"/>
      <c r="R177" s="278"/>
      <c r="S177" s="278"/>
      <c r="T177" s="280"/>
      <c r="U177" s="280"/>
      <c r="V177" s="354"/>
      <c r="W177" s="354"/>
      <c r="X177" s="355"/>
      <c r="Y177" s="355"/>
      <c r="Z177" s="278"/>
      <c r="AA177" s="278"/>
      <c r="AB177" s="292"/>
      <c r="AC177" s="292"/>
      <c r="AD177" s="289"/>
      <c r="AE177" s="289"/>
      <c r="AF177" s="281"/>
      <c r="AG177" s="290"/>
      <c r="AH177" s="290"/>
      <c r="AI177" s="290"/>
      <c r="AJ177" s="282"/>
      <c r="AK177" s="282"/>
      <c r="AL177" s="282"/>
      <c r="AM177" s="282"/>
      <c r="AN177" s="283"/>
      <c r="AO177" s="283"/>
      <c r="AP177" s="283"/>
      <c r="AQ177" s="283"/>
      <c r="AR177" s="283"/>
      <c r="AS177" s="283"/>
      <c r="AT177" s="283"/>
      <c r="AU177" s="283"/>
    </row>
    <row r="178" spans="3:47">
      <c r="C178" s="289" t="s">
        <v>141</v>
      </c>
      <c r="D178" s="289" t="s">
        <v>141</v>
      </c>
      <c r="E178" s="278"/>
      <c r="F178" s="278"/>
      <c r="G178" s="278"/>
      <c r="H178" s="278"/>
      <c r="I178" s="278"/>
      <c r="J178" s="278"/>
      <c r="K178" s="279"/>
      <c r="L178" s="279"/>
      <c r="M178" s="278"/>
      <c r="N178" s="278"/>
      <c r="O178" s="279"/>
      <c r="P178" s="279"/>
      <c r="Q178" s="277"/>
      <c r="R178" s="278"/>
      <c r="S178" s="278"/>
      <c r="T178" s="280"/>
      <c r="U178" s="280"/>
      <c r="V178" s="354"/>
      <c r="W178" s="354"/>
      <c r="X178" s="355"/>
      <c r="Y178" s="355"/>
      <c r="Z178" s="278"/>
      <c r="AA178" s="278"/>
      <c r="AB178" s="292"/>
      <c r="AC178" s="292"/>
      <c r="AD178" s="289"/>
      <c r="AE178" s="289"/>
      <c r="AF178" s="281"/>
      <c r="AG178" s="290"/>
      <c r="AH178" s="290"/>
      <c r="AI178" s="290"/>
      <c r="AJ178" s="282"/>
      <c r="AK178" s="282"/>
      <c r="AL178" s="282"/>
      <c r="AM178" s="282"/>
      <c r="AN178" s="283"/>
      <c r="AO178" s="283"/>
      <c r="AP178" s="283"/>
      <c r="AQ178" s="283"/>
      <c r="AR178" s="283"/>
      <c r="AS178" s="283"/>
      <c r="AT178" s="283"/>
      <c r="AU178" s="283"/>
    </row>
    <row r="179" spans="3:47">
      <c r="C179" s="289" t="s">
        <v>141</v>
      </c>
      <c r="D179" s="289" t="s">
        <v>141</v>
      </c>
      <c r="E179" s="278"/>
      <c r="F179" s="278"/>
      <c r="G179" s="278"/>
      <c r="H179" s="278"/>
      <c r="I179" s="278"/>
      <c r="J179" s="278"/>
      <c r="K179" s="279"/>
      <c r="L179" s="279"/>
      <c r="M179" s="278"/>
      <c r="N179" s="278"/>
      <c r="O179" s="279"/>
      <c r="P179" s="279"/>
      <c r="Q179" s="277"/>
      <c r="R179" s="278"/>
      <c r="S179" s="278"/>
      <c r="T179" s="280"/>
      <c r="U179" s="280"/>
      <c r="V179" s="354"/>
      <c r="W179" s="354"/>
      <c r="X179" s="355"/>
      <c r="Y179" s="355"/>
      <c r="Z179" s="278"/>
      <c r="AA179" s="278"/>
      <c r="AB179" s="292"/>
      <c r="AC179" s="292"/>
      <c r="AD179" s="289"/>
      <c r="AE179" s="289"/>
      <c r="AF179" s="281"/>
      <c r="AG179" s="290"/>
      <c r="AH179" s="290"/>
      <c r="AI179" s="290"/>
      <c r="AJ179" s="282"/>
      <c r="AK179" s="282"/>
      <c r="AL179" s="282"/>
      <c r="AM179" s="282"/>
      <c r="AN179" s="283"/>
      <c r="AO179" s="283"/>
      <c r="AP179" s="283"/>
      <c r="AQ179" s="283"/>
      <c r="AR179" s="283"/>
      <c r="AS179" s="283"/>
      <c r="AT179" s="283"/>
      <c r="AU179" s="283"/>
    </row>
    <row r="180" spans="3:47">
      <c r="C180" s="289" t="s">
        <v>141</v>
      </c>
      <c r="D180" s="289" t="s">
        <v>141</v>
      </c>
      <c r="E180" s="278"/>
      <c r="F180" s="278"/>
      <c r="G180" s="278"/>
      <c r="H180" s="278"/>
      <c r="I180" s="278"/>
      <c r="J180" s="278"/>
      <c r="K180" s="279"/>
      <c r="L180" s="279"/>
      <c r="M180" s="278"/>
      <c r="N180" s="278"/>
      <c r="O180" s="279"/>
      <c r="P180" s="279"/>
      <c r="Q180" s="277"/>
      <c r="R180" s="278"/>
      <c r="S180" s="278"/>
      <c r="T180" s="280"/>
      <c r="U180" s="280"/>
      <c r="V180" s="354"/>
      <c r="W180" s="354"/>
      <c r="Z180" s="278"/>
      <c r="AA180" s="278"/>
      <c r="AB180" s="292"/>
      <c r="AC180" s="292"/>
      <c r="AD180" s="289"/>
      <c r="AE180" s="289"/>
      <c r="AF180" s="281"/>
      <c r="AG180" s="290"/>
      <c r="AH180" s="290"/>
      <c r="AI180" s="290"/>
      <c r="AJ180" s="282"/>
      <c r="AK180" s="282"/>
      <c r="AL180" s="282"/>
      <c r="AM180" s="282"/>
      <c r="AN180" s="283"/>
      <c r="AO180" s="283"/>
      <c r="AP180" s="283"/>
      <c r="AQ180" s="283"/>
      <c r="AR180" s="283"/>
      <c r="AS180" s="283"/>
      <c r="AT180" s="283"/>
      <c r="AU180" s="283"/>
    </row>
    <row r="181" spans="3:47">
      <c r="C181" s="289" t="s">
        <v>141</v>
      </c>
      <c r="D181" s="289" t="s">
        <v>141</v>
      </c>
      <c r="E181" s="278"/>
      <c r="F181" s="278"/>
      <c r="G181" s="278"/>
      <c r="H181" s="278"/>
      <c r="I181" s="278"/>
      <c r="J181" s="278"/>
      <c r="K181" s="279"/>
      <c r="L181" s="279"/>
      <c r="M181" s="278"/>
      <c r="N181" s="278"/>
      <c r="O181" s="279"/>
      <c r="P181" s="279"/>
      <c r="Q181" s="277"/>
      <c r="R181" s="278"/>
      <c r="S181" s="278"/>
      <c r="T181" s="280"/>
      <c r="U181" s="280"/>
      <c r="V181" s="354"/>
      <c r="W181" s="354"/>
      <c r="Z181" s="278"/>
      <c r="AA181" s="278"/>
      <c r="AB181" s="292"/>
      <c r="AC181" s="292"/>
      <c r="AD181" s="289"/>
      <c r="AE181" s="289"/>
      <c r="AF181" s="281"/>
      <c r="AG181" s="290"/>
      <c r="AH181" s="290"/>
      <c r="AI181" s="290"/>
      <c r="AJ181" s="282"/>
      <c r="AK181" s="282"/>
      <c r="AL181" s="282"/>
      <c r="AM181" s="282"/>
      <c r="AN181" s="283"/>
      <c r="AO181" s="283"/>
      <c r="AP181" s="283"/>
      <c r="AQ181" s="283"/>
      <c r="AR181" s="283"/>
      <c r="AS181" s="283"/>
      <c r="AT181" s="283"/>
      <c r="AU181" s="283"/>
    </row>
    <row r="182" spans="3:47">
      <c r="C182" s="289" t="s">
        <v>141</v>
      </c>
      <c r="D182" s="289" t="s">
        <v>141</v>
      </c>
      <c r="E182" s="278"/>
      <c r="F182" s="278"/>
      <c r="G182" s="278"/>
      <c r="H182" s="278"/>
      <c r="I182" s="278"/>
      <c r="J182" s="278"/>
      <c r="K182" s="279"/>
      <c r="L182" s="279"/>
      <c r="M182" s="278"/>
      <c r="N182" s="278"/>
      <c r="O182" s="279"/>
      <c r="P182" s="279"/>
      <c r="Q182" s="277"/>
      <c r="R182" s="278"/>
      <c r="S182" s="278"/>
      <c r="T182" s="280"/>
      <c r="U182" s="280"/>
      <c r="V182" s="354"/>
      <c r="W182" s="354"/>
      <c r="Z182" s="278"/>
      <c r="AA182" s="278"/>
      <c r="AB182" s="292"/>
      <c r="AC182" s="292"/>
      <c r="AD182" s="289"/>
      <c r="AE182" s="289"/>
      <c r="AF182" s="281"/>
      <c r="AG182" s="290"/>
      <c r="AH182" s="290"/>
      <c r="AI182" s="290"/>
      <c r="AJ182" s="282"/>
      <c r="AK182" s="282"/>
      <c r="AL182" s="282"/>
      <c r="AM182" s="282"/>
      <c r="AN182" s="283"/>
      <c r="AO182" s="283"/>
      <c r="AP182" s="283"/>
      <c r="AQ182" s="283"/>
      <c r="AR182" s="283"/>
      <c r="AS182" s="283"/>
      <c r="AT182" s="283"/>
      <c r="AU182" s="283"/>
    </row>
    <row r="183" spans="3:47">
      <c r="C183" s="294" t="s">
        <v>141</v>
      </c>
      <c r="D183" s="294" t="s">
        <v>141</v>
      </c>
    </row>
    <row r="184" spans="3:47">
      <c r="C184" s="294" t="s">
        <v>141</v>
      </c>
      <c r="D184" s="294" t="s">
        <v>141</v>
      </c>
    </row>
    <row r="274" spans="1:35">
      <c r="A274" s="273"/>
      <c r="B274" s="273"/>
      <c r="C274" s="273"/>
      <c r="D274" s="273"/>
      <c r="K274" s="273"/>
      <c r="L274" s="273"/>
      <c r="Q274" s="273"/>
      <c r="T274" s="273"/>
      <c r="U274" s="273"/>
      <c r="V274" s="273"/>
      <c r="W274" s="273"/>
      <c r="X274" s="273"/>
      <c r="Y274" s="273"/>
      <c r="AD274" s="273"/>
      <c r="AE274" s="273"/>
      <c r="AF274" s="273"/>
      <c r="AG274" s="273"/>
      <c r="AH274" s="273"/>
      <c r="AI274" s="273"/>
    </row>
    <row r="275" spans="1:35">
      <c r="A275" s="273"/>
      <c r="B275" s="273"/>
      <c r="C275" s="273"/>
      <c r="D275" s="273"/>
      <c r="K275" s="273"/>
      <c r="L275" s="273"/>
      <c r="Q275" s="273"/>
      <c r="T275" s="273"/>
      <c r="U275" s="273"/>
      <c r="V275" s="273"/>
      <c r="W275" s="273"/>
      <c r="X275" s="273"/>
      <c r="Y275" s="273"/>
      <c r="AD275" s="273"/>
      <c r="AE275" s="273"/>
      <c r="AF275" s="273"/>
      <c r="AG275" s="273"/>
      <c r="AH275" s="273"/>
      <c r="AI275" s="273"/>
    </row>
    <row r="276" spans="1:35">
      <c r="A276" s="273"/>
      <c r="B276" s="273"/>
      <c r="C276" s="273"/>
      <c r="D276" s="273"/>
      <c r="K276" s="273"/>
      <c r="L276" s="273"/>
      <c r="Q276" s="273"/>
      <c r="T276" s="273"/>
      <c r="U276" s="273"/>
      <c r="V276" s="273"/>
      <c r="W276" s="273"/>
      <c r="X276" s="273"/>
      <c r="Y276" s="273"/>
      <c r="AD276" s="273"/>
      <c r="AE276" s="273"/>
      <c r="AF276" s="273"/>
      <c r="AG276" s="273"/>
      <c r="AH276" s="273"/>
      <c r="AI276" s="273"/>
    </row>
    <row r="277" spans="1:35">
      <c r="A277" s="273"/>
      <c r="B277" s="273"/>
      <c r="C277" s="273"/>
      <c r="D277" s="273"/>
      <c r="K277" s="273"/>
      <c r="L277" s="273"/>
      <c r="Q277" s="273"/>
      <c r="T277" s="273"/>
      <c r="U277" s="273"/>
      <c r="V277" s="273"/>
      <c r="W277" s="273"/>
      <c r="X277" s="273"/>
      <c r="Y277" s="273"/>
      <c r="AD277" s="273"/>
      <c r="AE277" s="273"/>
      <c r="AF277" s="273"/>
      <c r="AG277" s="273"/>
      <c r="AH277" s="273"/>
      <c r="AI277" s="273"/>
    </row>
    <row r="278" spans="1:35">
      <c r="A278" s="273"/>
      <c r="B278" s="273"/>
      <c r="C278" s="273"/>
      <c r="D278" s="273"/>
      <c r="K278" s="273"/>
      <c r="L278" s="273"/>
      <c r="Q278" s="273"/>
      <c r="T278" s="273"/>
      <c r="U278" s="273"/>
      <c r="V278" s="273"/>
      <c r="W278" s="273"/>
      <c r="X278" s="273"/>
      <c r="Y278" s="273"/>
      <c r="AD278" s="273"/>
      <c r="AE278" s="273"/>
      <c r="AF278" s="273"/>
      <c r="AG278" s="273"/>
      <c r="AH278" s="273"/>
      <c r="AI278" s="273"/>
    </row>
    <row r="279" spans="1:35">
      <c r="A279" s="273"/>
      <c r="B279" s="273"/>
      <c r="C279" s="273"/>
      <c r="D279" s="273"/>
      <c r="K279" s="273"/>
      <c r="L279" s="273"/>
      <c r="Q279" s="273"/>
      <c r="T279" s="273"/>
      <c r="U279" s="273"/>
      <c r="V279" s="273"/>
      <c r="W279" s="273"/>
      <c r="X279" s="273"/>
      <c r="Y279" s="273"/>
      <c r="AD279" s="273"/>
      <c r="AE279" s="273"/>
      <c r="AF279" s="273"/>
      <c r="AG279" s="273"/>
      <c r="AH279" s="273"/>
      <c r="AI279" s="273"/>
    </row>
    <row r="280" spans="1:35">
      <c r="A280" s="273"/>
      <c r="B280" s="273"/>
      <c r="C280" s="273"/>
      <c r="D280" s="273"/>
      <c r="K280" s="273"/>
      <c r="L280" s="273"/>
      <c r="Q280" s="273"/>
      <c r="T280" s="273"/>
      <c r="U280" s="273"/>
      <c r="V280" s="273"/>
      <c r="W280" s="273"/>
      <c r="X280" s="273"/>
      <c r="Y280" s="273"/>
      <c r="AD280" s="273"/>
      <c r="AE280" s="273"/>
      <c r="AF280" s="273"/>
      <c r="AG280" s="273"/>
      <c r="AH280" s="273"/>
      <c r="AI280" s="273"/>
    </row>
    <row r="281" spans="1:35">
      <c r="A281" s="273"/>
      <c r="B281" s="273"/>
      <c r="C281" s="273"/>
      <c r="D281" s="273"/>
      <c r="K281" s="273"/>
      <c r="L281" s="273"/>
      <c r="Q281" s="273"/>
      <c r="T281" s="273"/>
      <c r="U281" s="273"/>
      <c r="V281" s="273"/>
      <c r="W281" s="273"/>
      <c r="X281" s="273"/>
      <c r="Y281" s="273"/>
      <c r="AD281" s="273"/>
      <c r="AE281" s="273"/>
      <c r="AF281" s="273"/>
      <c r="AG281" s="273"/>
      <c r="AH281" s="273"/>
      <c r="AI281" s="273"/>
    </row>
    <row r="282" spans="1:35">
      <c r="A282" s="273"/>
      <c r="B282" s="273"/>
      <c r="C282" s="273"/>
      <c r="D282" s="273"/>
      <c r="K282" s="273"/>
      <c r="L282" s="273"/>
      <c r="Q282" s="273"/>
      <c r="T282" s="273"/>
      <c r="U282" s="273"/>
      <c r="V282" s="273"/>
      <c r="W282" s="273"/>
      <c r="X282" s="273"/>
      <c r="Y282" s="273"/>
      <c r="AD282" s="273"/>
      <c r="AE282" s="273"/>
      <c r="AF282" s="273"/>
      <c r="AG282" s="273"/>
      <c r="AH282" s="273"/>
      <c r="AI282" s="273"/>
    </row>
    <row r="283" spans="1:35">
      <c r="A283" s="273"/>
      <c r="B283" s="273"/>
      <c r="C283" s="273"/>
      <c r="D283" s="273"/>
      <c r="K283" s="273"/>
      <c r="L283" s="273"/>
      <c r="Q283" s="273"/>
      <c r="T283" s="273"/>
      <c r="U283" s="273"/>
      <c r="V283" s="273"/>
      <c r="W283" s="273"/>
      <c r="X283" s="273"/>
      <c r="Y283" s="273"/>
      <c r="AD283" s="273"/>
      <c r="AE283" s="273"/>
      <c r="AF283" s="273"/>
      <c r="AG283" s="273"/>
      <c r="AH283" s="273"/>
      <c r="AI283" s="273"/>
    </row>
    <row r="284" spans="1:35">
      <c r="A284" s="273"/>
      <c r="B284" s="273"/>
      <c r="C284" s="273"/>
      <c r="D284" s="273"/>
      <c r="K284" s="273"/>
      <c r="L284" s="273"/>
      <c r="Q284" s="273"/>
      <c r="T284" s="273"/>
      <c r="U284" s="273"/>
      <c r="V284" s="273"/>
      <c r="W284" s="273"/>
      <c r="X284" s="273"/>
      <c r="Y284" s="273"/>
      <c r="AD284" s="273"/>
      <c r="AE284" s="273"/>
      <c r="AF284" s="273"/>
      <c r="AG284" s="273"/>
      <c r="AH284" s="273"/>
      <c r="AI284" s="273"/>
    </row>
    <row r="285" spans="1:35">
      <c r="A285" s="273"/>
      <c r="B285" s="273"/>
      <c r="C285" s="273"/>
      <c r="D285" s="273"/>
      <c r="K285" s="273"/>
      <c r="L285" s="273"/>
      <c r="Q285" s="273"/>
      <c r="T285" s="273"/>
      <c r="U285" s="273"/>
      <c r="V285" s="273"/>
      <c r="W285" s="273"/>
      <c r="X285" s="273"/>
      <c r="Y285" s="273"/>
      <c r="AD285" s="273"/>
      <c r="AE285" s="273"/>
      <c r="AF285" s="273"/>
      <c r="AG285" s="273"/>
      <c r="AH285" s="273"/>
      <c r="AI285" s="273"/>
    </row>
    <row r="286" spans="1:35">
      <c r="A286" s="273"/>
      <c r="B286" s="273"/>
      <c r="C286" s="273"/>
      <c r="D286" s="273"/>
      <c r="K286" s="273"/>
      <c r="L286" s="273"/>
      <c r="Q286" s="273"/>
      <c r="T286" s="273"/>
      <c r="U286" s="273"/>
      <c r="V286" s="273"/>
      <c r="W286" s="273"/>
      <c r="X286" s="273"/>
      <c r="Y286" s="273"/>
      <c r="AD286" s="273"/>
      <c r="AE286" s="273"/>
      <c r="AF286" s="273"/>
      <c r="AG286" s="273"/>
      <c r="AH286" s="273"/>
      <c r="AI286" s="273"/>
    </row>
    <row r="287" spans="1:35">
      <c r="A287" s="273"/>
      <c r="B287" s="273"/>
      <c r="C287" s="273"/>
      <c r="D287" s="273"/>
      <c r="K287" s="273"/>
      <c r="L287" s="273"/>
      <c r="Q287" s="273"/>
      <c r="T287" s="273"/>
      <c r="U287" s="273"/>
      <c r="V287" s="273"/>
      <c r="W287" s="273"/>
      <c r="X287" s="273"/>
      <c r="Y287" s="273"/>
      <c r="AD287" s="273"/>
      <c r="AE287" s="273"/>
      <c r="AF287" s="273"/>
      <c r="AG287" s="273"/>
      <c r="AH287" s="273"/>
      <c r="AI287" s="273"/>
    </row>
    <row r="288" spans="1:35">
      <c r="A288" s="273"/>
      <c r="B288" s="273"/>
      <c r="C288" s="273"/>
      <c r="D288" s="273"/>
      <c r="K288" s="273"/>
      <c r="L288" s="273"/>
      <c r="Q288" s="273"/>
      <c r="T288" s="273"/>
      <c r="U288" s="273"/>
      <c r="V288" s="273"/>
      <c r="W288" s="273"/>
      <c r="X288" s="273"/>
      <c r="Y288" s="273"/>
      <c r="AD288" s="273"/>
      <c r="AE288" s="273"/>
      <c r="AF288" s="273"/>
      <c r="AG288" s="273"/>
      <c r="AH288" s="273"/>
      <c r="AI288" s="273"/>
    </row>
    <row r="289" spans="1:35">
      <c r="A289" s="273"/>
      <c r="B289" s="273"/>
      <c r="C289" s="273"/>
      <c r="D289" s="273"/>
      <c r="K289" s="273"/>
      <c r="L289" s="273"/>
      <c r="Q289" s="273"/>
      <c r="T289" s="273"/>
      <c r="U289" s="273"/>
      <c r="V289" s="273"/>
      <c r="W289" s="273"/>
      <c r="X289" s="273"/>
      <c r="Y289" s="273"/>
      <c r="AD289" s="273"/>
      <c r="AE289" s="273"/>
      <c r="AF289" s="273"/>
      <c r="AG289" s="273"/>
      <c r="AH289" s="273"/>
      <c r="AI289" s="273"/>
    </row>
    <row r="290" spans="1:35">
      <c r="A290" s="273"/>
      <c r="B290" s="273"/>
      <c r="C290" s="273"/>
      <c r="D290" s="273"/>
      <c r="K290" s="273"/>
      <c r="L290" s="273"/>
      <c r="Q290" s="273"/>
      <c r="T290" s="273"/>
      <c r="U290" s="273"/>
      <c r="V290" s="273"/>
      <c r="W290" s="273"/>
      <c r="X290" s="273"/>
      <c r="Y290" s="273"/>
      <c r="AD290" s="273"/>
      <c r="AE290" s="273"/>
      <c r="AF290" s="273"/>
      <c r="AG290" s="273"/>
      <c r="AH290" s="273"/>
      <c r="AI290" s="273"/>
    </row>
    <row r="291" spans="1:35">
      <c r="A291" s="273"/>
      <c r="B291" s="273"/>
      <c r="C291" s="273"/>
      <c r="D291" s="273"/>
      <c r="K291" s="273"/>
      <c r="L291" s="273"/>
      <c r="Q291" s="273"/>
      <c r="T291" s="273"/>
      <c r="U291" s="273"/>
      <c r="V291" s="273"/>
      <c r="W291" s="273"/>
      <c r="X291" s="273"/>
      <c r="Y291" s="273"/>
      <c r="AD291" s="273"/>
      <c r="AE291" s="273"/>
      <c r="AF291" s="273"/>
      <c r="AG291" s="273"/>
      <c r="AH291" s="273"/>
      <c r="AI291" s="273"/>
    </row>
    <row r="292" spans="1:35">
      <c r="A292" s="273"/>
      <c r="B292" s="273"/>
      <c r="C292" s="273"/>
      <c r="D292" s="273"/>
      <c r="K292" s="273"/>
      <c r="L292" s="273"/>
      <c r="Q292" s="273"/>
      <c r="T292" s="273"/>
      <c r="U292" s="273"/>
      <c r="V292" s="273"/>
      <c r="W292" s="273"/>
      <c r="X292" s="273"/>
      <c r="Y292" s="273"/>
      <c r="AD292" s="273"/>
      <c r="AE292" s="273"/>
      <c r="AF292" s="273"/>
      <c r="AG292" s="273"/>
      <c r="AH292" s="273"/>
      <c r="AI292" s="273"/>
    </row>
    <row r="293" spans="1:35">
      <c r="A293" s="273"/>
      <c r="B293" s="273"/>
      <c r="C293" s="273"/>
      <c r="D293" s="273"/>
      <c r="K293" s="273"/>
      <c r="L293" s="273"/>
      <c r="Q293" s="273"/>
      <c r="T293" s="273"/>
      <c r="U293" s="273"/>
      <c r="V293" s="273"/>
      <c r="W293" s="273"/>
      <c r="X293" s="273"/>
      <c r="Y293" s="273"/>
      <c r="AD293" s="273"/>
      <c r="AE293" s="273"/>
      <c r="AF293" s="273"/>
      <c r="AG293" s="273"/>
      <c r="AH293" s="273"/>
      <c r="AI293" s="273"/>
    </row>
    <row r="294" spans="1:35">
      <c r="A294" s="273"/>
      <c r="B294" s="273"/>
      <c r="C294" s="273"/>
      <c r="D294" s="273"/>
      <c r="K294" s="273"/>
      <c r="L294" s="273"/>
      <c r="Q294" s="273"/>
      <c r="T294" s="273"/>
      <c r="U294" s="273"/>
      <c r="V294" s="273"/>
      <c r="W294" s="273"/>
      <c r="X294" s="273"/>
      <c r="Y294" s="273"/>
      <c r="AD294" s="273"/>
      <c r="AE294" s="273"/>
      <c r="AF294" s="273"/>
      <c r="AG294" s="273"/>
      <c r="AH294" s="273"/>
      <c r="AI294" s="273"/>
    </row>
    <row r="295" spans="1:35">
      <c r="A295" s="273"/>
      <c r="B295" s="273"/>
      <c r="C295" s="273"/>
      <c r="D295" s="273"/>
      <c r="K295" s="273"/>
      <c r="L295" s="273"/>
      <c r="Q295" s="273"/>
      <c r="T295" s="273"/>
      <c r="U295" s="273"/>
      <c r="V295" s="273"/>
      <c r="W295" s="273"/>
      <c r="X295" s="273"/>
      <c r="Y295" s="273"/>
      <c r="AD295" s="273"/>
      <c r="AE295" s="273"/>
      <c r="AF295" s="273"/>
      <c r="AG295" s="273"/>
      <c r="AH295" s="273"/>
      <c r="AI295" s="273"/>
    </row>
    <row r="296" spans="1:35">
      <c r="A296" s="273"/>
      <c r="B296" s="273"/>
      <c r="C296" s="273"/>
      <c r="D296" s="273"/>
      <c r="K296" s="273"/>
      <c r="L296" s="273"/>
      <c r="Q296" s="273"/>
      <c r="T296" s="273"/>
      <c r="U296" s="273"/>
      <c r="V296" s="273"/>
      <c r="W296" s="273"/>
      <c r="X296" s="273"/>
      <c r="Y296" s="273"/>
      <c r="AD296" s="273"/>
      <c r="AE296" s="273"/>
      <c r="AF296" s="273"/>
      <c r="AG296" s="273"/>
      <c r="AH296" s="273"/>
      <c r="AI296" s="273"/>
    </row>
    <row r="297" spans="1:35">
      <c r="A297" s="273"/>
      <c r="B297" s="273"/>
      <c r="C297" s="273"/>
      <c r="D297" s="273"/>
      <c r="K297" s="273"/>
      <c r="L297" s="273"/>
      <c r="Q297" s="273"/>
      <c r="T297" s="273"/>
      <c r="U297" s="273"/>
      <c r="V297" s="273"/>
      <c r="W297" s="273"/>
      <c r="X297" s="273"/>
      <c r="Y297" s="273"/>
      <c r="AD297" s="273"/>
      <c r="AE297" s="273"/>
      <c r="AF297" s="273"/>
      <c r="AG297" s="273"/>
      <c r="AH297" s="273"/>
      <c r="AI297" s="273"/>
    </row>
    <row r="298" spans="1:35">
      <c r="A298" s="273"/>
      <c r="B298" s="273"/>
      <c r="C298" s="273"/>
      <c r="D298" s="273"/>
      <c r="K298" s="273"/>
      <c r="L298" s="273"/>
      <c r="Q298" s="273"/>
      <c r="T298" s="273"/>
      <c r="U298" s="273"/>
      <c r="V298" s="273"/>
      <c r="W298" s="273"/>
      <c r="X298" s="273"/>
      <c r="Y298" s="273"/>
      <c r="AD298" s="273"/>
      <c r="AE298" s="273"/>
      <c r="AF298" s="273"/>
      <c r="AG298" s="273"/>
      <c r="AH298" s="273"/>
      <c r="AI298" s="273"/>
    </row>
    <row r="299" spans="1:35">
      <c r="A299" s="273"/>
      <c r="B299" s="273"/>
      <c r="C299" s="273"/>
      <c r="D299" s="273"/>
      <c r="K299" s="273"/>
      <c r="L299" s="273"/>
      <c r="Q299" s="273"/>
      <c r="T299" s="273"/>
      <c r="U299" s="273"/>
      <c r="V299" s="273"/>
      <c r="W299" s="273"/>
      <c r="X299" s="273"/>
      <c r="Y299" s="273"/>
      <c r="AD299" s="273"/>
      <c r="AE299" s="273"/>
      <c r="AF299" s="273"/>
      <c r="AG299" s="273"/>
      <c r="AH299" s="273"/>
      <c r="AI299" s="273"/>
    </row>
    <row r="300" spans="1:35">
      <c r="A300" s="273"/>
      <c r="B300" s="273"/>
      <c r="C300" s="273"/>
      <c r="D300" s="273"/>
      <c r="K300" s="273"/>
      <c r="L300" s="273"/>
      <c r="Q300" s="273"/>
      <c r="T300" s="273"/>
      <c r="U300" s="273"/>
      <c r="V300" s="273"/>
      <c r="W300" s="273"/>
      <c r="X300" s="273"/>
      <c r="Y300" s="273"/>
      <c r="AD300" s="273"/>
      <c r="AE300" s="273"/>
      <c r="AF300" s="273"/>
      <c r="AG300" s="273"/>
      <c r="AH300" s="273"/>
      <c r="AI300" s="273"/>
    </row>
    <row r="301" spans="1:35">
      <c r="A301" s="273"/>
      <c r="B301" s="273"/>
      <c r="C301" s="273"/>
      <c r="D301" s="273"/>
      <c r="K301" s="273"/>
      <c r="L301" s="273"/>
      <c r="Q301" s="273"/>
      <c r="T301" s="273"/>
      <c r="U301" s="273"/>
      <c r="V301" s="273"/>
      <c r="W301" s="273"/>
      <c r="X301" s="273"/>
      <c r="Y301" s="273"/>
      <c r="AD301" s="273"/>
      <c r="AE301" s="273"/>
      <c r="AF301" s="273"/>
      <c r="AG301" s="273"/>
      <c r="AH301" s="273"/>
      <c r="AI301" s="273"/>
    </row>
    <row r="302" spans="1:35">
      <c r="A302" s="273"/>
      <c r="B302" s="273"/>
      <c r="C302" s="273"/>
      <c r="D302" s="273"/>
      <c r="K302" s="273"/>
      <c r="L302" s="273"/>
      <c r="Q302" s="273"/>
      <c r="T302" s="273"/>
      <c r="U302" s="273"/>
      <c r="V302" s="273"/>
      <c r="W302" s="273"/>
      <c r="X302" s="273"/>
      <c r="Y302" s="273"/>
      <c r="AD302" s="273"/>
      <c r="AE302" s="273"/>
      <c r="AF302" s="273"/>
      <c r="AG302" s="273"/>
      <c r="AH302" s="273"/>
      <c r="AI302" s="273"/>
    </row>
    <row r="303" spans="1:35">
      <c r="A303" s="273"/>
      <c r="B303" s="273"/>
      <c r="C303" s="273"/>
      <c r="D303" s="273"/>
      <c r="K303" s="273"/>
      <c r="L303" s="273"/>
      <c r="Q303" s="273"/>
      <c r="T303" s="273"/>
      <c r="U303" s="273"/>
      <c r="V303" s="273"/>
      <c r="W303" s="273"/>
      <c r="X303" s="273"/>
      <c r="Y303" s="273"/>
      <c r="AD303" s="273"/>
      <c r="AE303" s="273"/>
      <c r="AF303" s="273"/>
      <c r="AG303" s="273"/>
      <c r="AH303" s="273"/>
      <c r="AI303" s="273"/>
    </row>
    <row r="304" spans="1:35">
      <c r="A304" s="273"/>
      <c r="B304" s="273"/>
      <c r="C304" s="273"/>
      <c r="D304" s="273"/>
      <c r="K304" s="273"/>
      <c r="L304" s="273"/>
      <c r="Q304" s="273"/>
      <c r="T304" s="273"/>
      <c r="U304" s="273"/>
      <c r="V304" s="273"/>
      <c r="W304" s="273"/>
      <c r="X304" s="273"/>
      <c r="Y304" s="273"/>
      <c r="AD304" s="273"/>
      <c r="AE304" s="273"/>
      <c r="AF304" s="273"/>
      <c r="AG304" s="273"/>
      <c r="AH304" s="273"/>
      <c r="AI304" s="273"/>
    </row>
    <row r="305" spans="1:35">
      <c r="A305" s="273"/>
      <c r="B305" s="273"/>
      <c r="C305" s="273"/>
      <c r="D305" s="273"/>
      <c r="K305" s="273"/>
      <c r="L305" s="273"/>
      <c r="Q305" s="273"/>
      <c r="T305" s="273"/>
      <c r="U305" s="273"/>
      <c r="V305" s="273"/>
      <c r="W305" s="273"/>
      <c r="X305" s="273"/>
      <c r="Y305" s="273"/>
      <c r="AD305" s="273"/>
      <c r="AE305" s="273"/>
      <c r="AF305" s="273"/>
      <c r="AG305" s="273"/>
      <c r="AH305" s="273"/>
      <c r="AI305" s="273"/>
    </row>
    <row r="306" spans="1:35">
      <c r="A306" s="273"/>
      <c r="B306" s="273"/>
      <c r="C306" s="273"/>
      <c r="D306" s="273"/>
      <c r="K306" s="273"/>
      <c r="L306" s="273"/>
      <c r="Q306" s="273"/>
      <c r="T306" s="273"/>
      <c r="U306" s="273"/>
      <c r="V306" s="273"/>
      <c r="W306" s="273"/>
      <c r="X306" s="273"/>
      <c r="Y306" s="273"/>
      <c r="AD306" s="273"/>
      <c r="AE306" s="273"/>
      <c r="AF306" s="273"/>
      <c r="AG306" s="273"/>
      <c r="AH306" s="273"/>
      <c r="AI306" s="273"/>
    </row>
    <row r="307" spans="1:35">
      <c r="A307" s="273"/>
      <c r="B307" s="273"/>
      <c r="C307" s="273"/>
      <c r="D307" s="273"/>
      <c r="K307" s="273"/>
      <c r="L307" s="273"/>
      <c r="Q307" s="273"/>
      <c r="T307" s="273"/>
      <c r="U307" s="273"/>
      <c r="V307" s="273"/>
      <c r="W307" s="273"/>
      <c r="X307" s="273"/>
      <c r="Y307" s="273"/>
      <c r="AD307" s="273"/>
      <c r="AE307" s="273"/>
      <c r="AF307" s="273"/>
      <c r="AG307" s="273"/>
      <c r="AH307" s="273"/>
      <c r="AI307" s="273"/>
    </row>
    <row r="308" spans="1:35">
      <c r="A308" s="273"/>
      <c r="B308" s="273"/>
      <c r="C308" s="273"/>
      <c r="D308" s="273"/>
      <c r="K308" s="273"/>
      <c r="L308" s="273"/>
      <c r="Q308" s="273"/>
      <c r="T308" s="273"/>
      <c r="U308" s="273"/>
      <c r="V308" s="273"/>
      <c r="W308" s="273"/>
      <c r="X308" s="273"/>
      <c r="Y308" s="273"/>
      <c r="AD308" s="273"/>
      <c r="AE308" s="273"/>
      <c r="AF308" s="273"/>
      <c r="AG308" s="273"/>
      <c r="AH308" s="273"/>
      <c r="AI308" s="273"/>
    </row>
    <row r="309" spans="1:35">
      <c r="A309" s="273"/>
      <c r="B309" s="273"/>
      <c r="C309" s="273"/>
      <c r="D309" s="273"/>
      <c r="K309" s="273"/>
      <c r="L309" s="273"/>
      <c r="Q309" s="273"/>
      <c r="T309" s="273"/>
      <c r="U309" s="273"/>
      <c r="V309" s="273"/>
      <c r="W309" s="273"/>
      <c r="X309" s="273"/>
      <c r="Y309" s="273"/>
      <c r="AD309" s="273"/>
      <c r="AE309" s="273"/>
      <c r="AF309" s="273"/>
      <c r="AG309" s="273"/>
      <c r="AH309" s="273"/>
      <c r="AI309" s="273"/>
    </row>
    <row r="310" spans="1:35">
      <c r="A310" s="273"/>
      <c r="B310" s="273"/>
      <c r="C310" s="273"/>
      <c r="D310" s="273"/>
      <c r="K310" s="273"/>
      <c r="L310" s="273"/>
      <c r="Q310" s="273"/>
      <c r="T310" s="273"/>
      <c r="U310" s="273"/>
      <c r="V310" s="273"/>
      <c r="W310" s="273"/>
      <c r="X310" s="273"/>
      <c r="Y310" s="273"/>
      <c r="AD310" s="273"/>
      <c r="AE310" s="273"/>
      <c r="AF310" s="273"/>
      <c r="AG310" s="273"/>
      <c r="AH310" s="273"/>
      <c r="AI310" s="273"/>
    </row>
    <row r="311" spans="1:35">
      <c r="A311" s="273"/>
      <c r="B311" s="273"/>
      <c r="C311" s="273"/>
      <c r="D311" s="273"/>
      <c r="K311" s="273"/>
      <c r="L311" s="273"/>
      <c r="Q311" s="273"/>
      <c r="T311" s="273"/>
      <c r="U311" s="273"/>
      <c r="V311" s="273"/>
      <c r="W311" s="273"/>
      <c r="X311" s="273"/>
      <c r="Y311" s="273"/>
      <c r="AD311" s="273"/>
      <c r="AE311" s="273"/>
      <c r="AF311" s="273"/>
      <c r="AG311" s="273"/>
      <c r="AH311" s="273"/>
      <c r="AI311" s="273"/>
    </row>
    <row r="312" spans="1:35">
      <c r="A312" s="273"/>
      <c r="B312" s="273"/>
      <c r="C312" s="273"/>
      <c r="D312" s="273"/>
      <c r="K312" s="273"/>
      <c r="L312" s="273"/>
      <c r="Q312" s="273"/>
      <c r="T312" s="273"/>
      <c r="U312" s="273"/>
      <c r="V312" s="273"/>
      <c r="W312" s="273"/>
      <c r="X312" s="273"/>
      <c r="Y312" s="273"/>
      <c r="AD312" s="273"/>
      <c r="AE312" s="273"/>
      <c r="AF312" s="273"/>
      <c r="AG312" s="273"/>
      <c r="AH312" s="273"/>
      <c r="AI312" s="273"/>
    </row>
    <row r="313" spans="1:35">
      <c r="A313" s="273"/>
      <c r="B313" s="273"/>
      <c r="C313" s="273"/>
      <c r="D313" s="273"/>
      <c r="K313" s="273"/>
      <c r="L313" s="273"/>
      <c r="Q313" s="273"/>
      <c r="T313" s="273"/>
      <c r="U313" s="273"/>
      <c r="V313" s="273"/>
      <c r="W313" s="273"/>
      <c r="X313" s="273"/>
      <c r="Y313" s="273"/>
      <c r="AD313" s="273"/>
      <c r="AE313" s="273"/>
      <c r="AF313" s="273"/>
      <c r="AG313" s="273"/>
      <c r="AH313" s="273"/>
      <c r="AI313" s="273"/>
    </row>
    <row r="314" spans="1:35">
      <c r="A314" s="273"/>
      <c r="B314" s="273"/>
      <c r="C314" s="273"/>
      <c r="D314" s="273"/>
      <c r="K314" s="273"/>
      <c r="L314" s="273"/>
      <c r="Q314" s="273"/>
      <c r="T314" s="273"/>
      <c r="U314" s="273"/>
      <c r="V314" s="273"/>
      <c r="W314" s="273"/>
      <c r="X314" s="273"/>
      <c r="Y314" s="273"/>
      <c r="AD314" s="273"/>
      <c r="AE314" s="273"/>
      <c r="AF314" s="273"/>
      <c r="AG314" s="273"/>
      <c r="AH314" s="273"/>
      <c r="AI314" s="273"/>
    </row>
    <row r="315" spans="1:35">
      <c r="A315" s="273"/>
      <c r="B315" s="273"/>
      <c r="C315" s="273"/>
      <c r="D315" s="273"/>
      <c r="K315" s="273"/>
      <c r="L315" s="273"/>
      <c r="Q315" s="273"/>
      <c r="T315" s="273"/>
      <c r="U315" s="273"/>
      <c r="V315" s="273"/>
      <c r="W315" s="273"/>
      <c r="X315" s="273"/>
      <c r="Y315" s="273"/>
      <c r="AD315" s="273"/>
      <c r="AE315" s="273"/>
      <c r="AF315" s="273"/>
      <c r="AG315" s="273"/>
      <c r="AH315" s="273"/>
      <c r="AI315" s="273"/>
    </row>
    <row r="316" spans="1:35">
      <c r="A316" s="273"/>
      <c r="B316" s="273"/>
      <c r="C316" s="273"/>
      <c r="D316" s="273"/>
      <c r="K316" s="273"/>
      <c r="L316" s="273"/>
      <c r="Q316" s="273"/>
      <c r="T316" s="273"/>
      <c r="U316" s="273"/>
      <c r="V316" s="273"/>
      <c r="W316" s="273"/>
      <c r="X316" s="273"/>
      <c r="Y316" s="273"/>
      <c r="AD316" s="273"/>
      <c r="AE316" s="273"/>
      <c r="AF316" s="273"/>
      <c r="AG316" s="273"/>
      <c r="AH316" s="273"/>
      <c r="AI316" s="273"/>
    </row>
    <row r="317" spans="1:35">
      <c r="A317" s="273"/>
      <c r="B317" s="273"/>
      <c r="C317" s="273"/>
      <c r="D317" s="273"/>
      <c r="K317" s="273"/>
      <c r="L317" s="273"/>
      <c r="Q317" s="273"/>
      <c r="T317" s="273"/>
      <c r="U317" s="273"/>
      <c r="V317" s="273"/>
      <c r="W317" s="273"/>
      <c r="X317" s="273"/>
      <c r="Y317" s="273"/>
      <c r="AD317" s="273"/>
      <c r="AE317" s="273"/>
      <c r="AF317" s="273"/>
      <c r="AG317" s="273"/>
      <c r="AH317" s="273"/>
      <c r="AI317" s="273"/>
    </row>
    <row r="318" spans="1:35">
      <c r="A318" s="273"/>
      <c r="B318" s="273"/>
      <c r="C318" s="273"/>
      <c r="D318" s="273"/>
      <c r="K318" s="273"/>
      <c r="L318" s="273"/>
      <c r="Q318" s="273"/>
      <c r="T318" s="273"/>
      <c r="U318" s="273"/>
      <c r="V318" s="273"/>
      <c r="W318" s="273"/>
      <c r="X318" s="273"/>
      <c r="Y318" s="273"/>
      <c r="AD318" s="273"/>
      <c r="AE318" s="273"/>
      <c r="AF318" s="273"/>
      <c r="AG318" s="273"/>
      <c r="AH318" s="273"/>
      <c r="AI318" s="273"/>
    </row>
    <row r="319" spans="1:35">
      <c r="A319" s="273"/>
      <c r="B319" s="273"/>
      <c r="C319" s="273"/>
      <c r="D319" s="273"/>
      <c r="K319" s="273"/>
      <c r="L319" s="273"/>
      <c r="Q319" s="273"/>
      <c r="T319" s="273"/>
      <c r="U319" s="273"/>
      <c r="V319" s="273"/>
      <c r="W319" s="273"/>
      <c r="X319" s="273"/>
      <c r="Y319" s="273"/>
      <c r="AD319" s="273"/>
      <c r="AE319" s="273"/>
      <c r="AF319" s="273"/>
      <c r="AG319" s="273"/>
      <c r="AH319" s="273"/>
      <c r="AI319" s="273"/>
    </row>
    <row r="320" spans="1:35">
      <c r="A320" s="273"/>
      <c r="B320" s="273"/>
      <c r="C320" s="273"/>
      <c r="D320" s="273"/>
      <c r="K320" s="273"/>
      <c r="L320" s="273"/>
      <c r="Q320" s="273"/>
      <c r="T320" s="273"/>
      <c r="U320" s="273"/>
      <c r="V320" s="273"/>
      <c r="W320" s="273"/>
      <c r="X320" s="273"/>
      <c r="Y320" s="273"/>
      <c r="AD320" s="273"/>
      <c r="AE320" s="273"/>
      <c r="AF320" s="273"/>
      <c r="AG320" s="273"/>
      <c r="AH320" s="273"/>
      <c r="AI320" s="273"/>
    </row>
    <row r="321" spans="1:35">
      <c r="A321" s="273"/>
      <c r="B321" s="273"/>
      <c r="C321" s="273"/>
      <c r="D321" s="273"/>
      <c r="K321" s="273"/>
      <c r="L321" s="273"/>
      <c r="Q321" s="273"/>
      <c r="T321" s="273"/>
      <c r="U321" s="273"/>
      <c r="V321" s="273"/>
      <c r="W321" s="273"/>
      <c r="X321" s="273"/>
      <c r="Y321" s="273"/>
      <c r="AD321" s="273"/>
      <c r="AE321" s="273"/>
      <c r="AF321" s="273"/>
      <c r="AG321" s="273"/>
      <c r="AH321" s="273"/>
      <c r="AI321" s="273"/>
    </row>
    <row r="322" spans="1:35">
      <c r="A322" s="273"/>
      <c r="B322" s="273"/>
      <c r="C322" s="273"/>
      <c r="D322" s="273"/>
      <c r="K322" s="273"/>
      <c r="L322" s="273"/>
      <c r="Q322" s="273"/>
      <c r="T322" s="273"/>
      <c r="U322" s="273"/>
      <c r="V322" s="273"/>
      <c r="W322" s="273"/>
      <c r="X322" s="273"/>
      <c r="Y322" s="273"/>
      <c r="AD322" s="273"/>
      <c r="AE322" s="273"/>
      <c r="AF322" s="273"/>
      <c r="AG322" s="273"/>
      <c r="AH322" s="273"/>
      <c r="AI322" s="273"/>
    </row>
    <row r="323" spans="1:35">
      <c r="A323" s="273"/>
      <c r="B323" s="273"/>
      <c r="C323" s="273"/>
      <c r="D323" s="273"/>
      <c r="K323" s="273"/>
      <c r="L323" s="273"/>
      <c r="Q323" s="273"/>
      <c r="T323" s="273"/>
      <c r="U323" s="273"/>
      <c r="V323" s="273"/>
      <c r="W323" s="273"/>
      <c r="X323" s="273"/>
      <c r="Y323" s="273"/>
      <c r="AD323" s="273"/>
      <c r="AE323" s="273"/>
      <c r="AF323" s="273"/>
      <c r="AG323" s="273"/>
      <c r="AH323" s="273"/>
      <c r="AI323" s="273"/>
    </row>
    <row r="324" spans="1:35">
      <c r="A324" s="273"/>
      <c r="B324" s="273"/>
      <c r="C324" s="273"/>
      <c r="D324" s="273"/>
      <c r="K324" s="273"/>
      <c r="L324" s="273"/>
      <c r="Q324" s="273"/>
      <c r="T324" s="273"/>
      <c r="U324" s="273"/>
      <c r="V324" s="273"/>
      <c r="W324" s="273"/>
      <c r="X324" s="273"/>
      <c r="Y324" s="273"/>
      <c r="AD324" s="273"/>
      <c r="AE324" s="273"/>
      <c r="AF324" s="273"/>
      <c r="AG324" s="273"/>
      <c r="AH324" s="273"/>
      <c r="AI324" s="273"/>
    </row>
    <row r="325" spans="1:35">
      <c r="A325" s="273"/>
      <c r="B325" s="273"/>
      <c r="C325" s="273"/>
      <c r="D325" s="273"/>
      <c r="K325" s="273"/>
      <c r="L325" s="273"/>
      <c r="Q325" s="273"/>
      <c r="T325" s="273"/>
      <c r="U325" s="273"/>
      <c r="V325" s="273"/>
      <c r="W325" s="273"/>
      <c r="X325" s="273"/>
      <c r="Y325" s="273"/>
      <c r="AD325" s="273"/>
      <c r="AE325" s="273"/>
      <c r="AF325" s="273"/>
      <c r="AG325" s="273"/>
      <c r="AH325" s="273"/>
      <c r="AI325" s="273"/>
    </row>
    <row r="326" spans="1:35">
      <c r="A326" s="273"/>
      <c r="B326" s="273"/>
      <c r="C326" s="273"/>
      <c r="D326" s="273"/>
      <c r="K326" s="273"/>
      <c r="L326" s="273"/>
      <c r="Q326" s="273"/>
      <c r="T326" s="273"/>
      <c r="U326" s="273"/>
      <c r="V326" s="273"/>
      <c r="W326" s="273"/>
      <c r="X326" s="273"/>
      <c r="Y326" s="273"/>
      <c r="AD326" s="273"/>
      <c r="AE326" s="273"/>
      <c r="AF326" s="273"/>
      <c r="AG326" s="273"/>
      <c r="AH326" s="273"/>
      <c r="AI326" s="273"/>
    </row>
    <row r="327" spans="1:35">
      <c r="A327" s="273"/>
      <c r="B327" s="273"/>
      <c r="C327" s="273"/>
      <c r="D327" s="273"/>
      <c r="K327" s="273"/>
      <c r="L327" s="273"/>
      <c r="Q327" s="273"/>
      <c r="T327" s="273"/>
      <c r="U327" s="273"/>
      <c r="V327" s="273"/>
      <c r="W327" s="273"/>
      <c r="X327" s="273"/>
      <c r="Y327" s="273"/>
      <c r="AD327" s="273"/>
      <c r="AE327" s="273"/>
      <c r="AF327" s="273"/>
      <c r="AG327" s="273"/>
      <c r="AH327" s="273"/>
      <c r="AI327" s="273"/>
    </row>
    <row r="328" spans="1:35">
      <c r="A328" s="273"/>
      <c r="B328" s="273"/>
      <c r="C328" s="273"/>
      <c r="D328" s="273"/>
      <c r="K328" s="273"/>
      <c r="L328" s="273"/>
      <c r="Q328" s="273"/>
      <c r="T328" s="273"/>
      <c r="U328" s="273"/>
      <c r="V328" s="273"/>
      <c r="W328" s="273"/>
      <c r="X328" s="273"/>
      <c r="Y328" s="273"/>
      <c r="AD328" s="273"/>
      <c r="AE328" s="273"/>
      <c r="AF328" s="273"/>
      <c r="AG328" s="273"/>
      <c r="AH328" s="273"/>
      <c r="AI328" s="273"/>
    </row>
    <row r="329" spans="1:35">
      <c r="A329" s="273"/>
      <c r="B329" s="273"/>
      <c r="C329" s="273"/>
      <c r="D329" s="273"/>
      <c r="K329" s="273"/>
      <c r="L329" s="273"/>
      <c r="Q329" s="273"/>
      <c r="T329" s="273"/>
      <c r="U329" s="273"/>
      <c r="V329" s="273"/>
      <c r="W329" s="273"/>
      <c r="X329" s="273"/>
      <c r="Y329" s="273"/>
      <c r="AD329" s="273"/>
      <c r="AE329" s="273"/>
      <c r="AF329" s="273"/>
      <c r="AG329" s="273"/>
      <c r="AH329" s="273"/>
      <c r="AI329" s="273"/>
    </row>
    <row r="330" spans="1:35">
      <c r="A330" s="273"/>
      <c r="B330" s="273"/>
      <c r="C330" s="273"/>
      <c r="D330" s="273"/>
      <c r="K330" s="273"/>
      <c r="L330" s="273"/>
      <c r="Q330" s="273"/>
      <c r="T330" s="273"/>
      <c r="U330" s="273"/>
      <c r="V330" s="273"/>
      <c r="W330" s="273"/>
      <c r="X330" s="273"/>
      <c r="Y330" s="273"/>
      <c r="AD330" s="273"/>
      <c r="AE330" s="273"/>
      <c r="AF330" s="273"/>
      <c r="AG330" s="273"/>
      <c r="AH330" s="273"/>
      <c r="AI330" s="273"/>
    </row>
    <row r="331" spans="1:35">
      <c r="A331" s="273"/>
      <c r="B331" s="273"/>
      <c r="C331" s="273"/>
      <c r="D331" s="273"/>
      <c r="K331" s="273"/>
      <c r="L331" s="273"/>
      <c r="Q331" s="273"/>
      <c r="T331" s="273"/>
      <c r="U331" s="273"/>
      <c r="V331" s="273"/>
      <c r="W331" s="273"/>
      <c r="X331" s="273"/>
      <c r="Y331" s="273"/>
      <c r="AD331" s="273"/>
      <c r="AE331" s="273"/>
      <c r="AF331" s="273"/>
      <c r="AG331" s="273"/>
      <c r="AH331" s="273"/>
      <c r="AI331" s="273"/>
    </row>
    <row r="332" spans="1:35">
      <c r="A332" s="273"/>
      <c r="B332" s="273"/>
      <c r="C332" s="273"/>
      <c r="D332" s="273"/>
      <c r="K332" s="273"/>
      <c r="L332" s="273"/>
      <c r="Q332" s="273"/>
      <c r="T332" s="273"/>
      <c r="U332" s="273"/>
      <c r="V332" s="273"/>
      <c r="W332" s="273"/>
      <c r="X332" s="273"/>
      <c r="Y332" s="273"/>
      <c r="AD332" s="273"/>
      <c r="AE332" s="273"/>
      <c r="AF332" s="273"/>
      <c r="AG332" s="273"/>
      <c r="AH332" s="273"/>
      <c r="AI332" s="273"/>
    </row>
    <row r="333" spans="1:35">
      <c r="A333" s="273"/>
      <c r="B333" s="273"/>
      <c r="C333" s="273"/>
      <c r="D333" s="273"/>
      <c r="K333" s="273"/>
      <c r="L333" s="273"/>
      <c r="Q333" s="273"/>
      <c r="T333" s="273"/>
      <c r="U333" s="273"/>
      <c r="V333" s="273"/>
      <c r="W333" s="273"/>
      <c r="X333" s="273"/>
      <c r="Y333" s="273"/>
      <c r="AD333" s="273"/>
      <c r="AE333" s="273"/>
      <c r="AF333" s="273"/>
      <c r="AG333" s="273"/>
      <c r="AH333" s="273"/>
      <c r="AI333" s="273"/>
    </row>
    <row r="334" spans="1:35">
      <c r="A334" s="273"/>
      <c r="B334" s="273"/>
      <c r="C334" s="273"/>
      <c r="D334" s="273"/>
      <c r="K334" s="273"/>
      <c r="L334" s="273"/>
      <c r="Q334" s="273"/>
      <c r="T334" s="273"/>
      <c r="U334" s="273"/>
      <c r="V334" s="273"/>
      <c r="W334" s="273"/>
      <c r="X334" s="273"/>
      <c r="Y334" s="273"/>
      <c r="AD334" s="273"/>
      <c r="AE334" s="273"/>
      <c r="AF334" s="273"/>
      <c r="AG334" s="273"/>
      <c r="AH334" s="273"/>
      <c r="AI334" s="273"/>
    </row>
    <row r="335" spans="1:35">
      <c r="A335" s="273"/>
      <c r="B335" s="273"/>
      <c r="C335" s="273"/>
      <c r="D335" s="273"/>
      <c r="K335" s="273"/>
      <c r="L335" s="273"/>
      <c r="Q335" s="273"/>
      <c r="T335" s="273"/>
      <c r="U335" s="273"/>
      <c r="V335" s="273"/>
      <c r="W335" s="273"/>
      <c r="X335" s="273"/>
      <c r="Y335" s="273"/>
      <c r="AD335" s="273"/>
      <c r="AE335" s="273"/>
      <c r="AF335" s="273"/>
      <c r="AG335" s="273"/>
      <c r="AH335" s="273"/>
      <c r="AI335" s="273"/>
    </row>
    <row r="336" spans="1:35">
      <c r="A336" s="273"/>
      <c r="B336" s="273"/>
      <c r="C336" s="273"/>
      <c r="D336" s="273"/>
      <c r="K336" s="273"/>
      <c r="L336" s="273"/>
      <c r="Q336" s="273"/>
      <c r="T336" s="273"/>
      <c r="U336" s="273"/>
      <c r="V336" s="273"/>
      <c r="W336" s="273"/>
      <c r="X336" s="273"/>
      <c r="Y336" s="273"/>
      <c r="AD336" s="273"/>
      <c r="AE336" s="273"/>
      <c r="AF336" s="273"/>
      <c r="AG336" s="273"/>
      <c r="AH336" s="273"/>
      <c r="AI336" s="273"/>
    </row>
    <row r="337" spans="1:35">
      <c r="A337" s="273"/>
      <c r="B337" s="273"/>
      <c r="C337" s="273"/>
      <c r="D337" s="273"/>
      <c r="K337" s="273"/>
      <c r="L337" s="273"/>
      <c r="Q337" s="273"/>
      <c r="T337" s="273"/>
      <c r="U337" s="273"/>
      <c r="V337" s="273"/>
      <c r="W337" s="273"/>
      <c r="X337" s="273"/>
      <c r="Y337" s="273"/>
      <c r="AD337" s="273"/>
      <c r="AE337" s="273"/>
      <c r="AF337" s="273"/>
      <c r="AG337" s="273"/>
      <c r="AH337" s="273"/>
      <c r="AI337" s="273"/>
    </row>
    <row r="338" spans="1:35">
      <c r="A338" s="273"/>
      <c r="B338" s="273"/>
      <c r="C338" s="273"/>
      <c r="D338" s="273"/>
      <c r="K338" s="273"/>
      <c r="L338" s="273"/>
      <c r="Q338" s="273"/>
      <c r="T338" s="273"/>
      <c r="U338" s="273"/>
      <c r="V338" s="273"/>
      <c r="W338" s="273"/>
      <c r="X338" s="273"/>
      <c r="Y338" s="273"/>
      <c r="AD338" s="273"/>
      <c r="AE338" s="273"/>
      <c r="AF338" s="273"/>
      <c r="AG338" s="273"/>
      <c r="AH338" s="273"/>
      <c r="AI338" s="273"/>
    </row>
    <row r="339" spans="1:35">
      <c r="A339" s="273"/>
      <c r="B339" s="273"/>
      <c r="C339" s="273"/>
      <c r="D339" s="273"/>
      <c r="K339" s="273"/>
      <c r="L339" s="273"/>
      <c r="Q339" s="273"/>
      <c r="T339" s="273"/>
      <c r="U339" s="273"/>
      <c r="V339" s="273"/>
      <c r="W339" s="273"/>
      <c r="X339" s="273"/>
      <c r="Y339" s="273"/>
      <c r="AD339" s="273"/>
      <c r="AE339" s="273"/>
      <c r="AF339" s="273"/>
      <c r="AG339" s="273"/>
      <c r="AH339" s="273"/>
      <c r="AI339" s="273"/>
    </row>
    <row r="340" spans="1:35">
      <c r="A340" s="273"/>
      <c r="B340" s="273"/>
      <c r="C340" s="273"/>
      <c r="D340" s="273"/>
      <c r="K340" s="273"/>
      <c r="L340" s="273"/>
      <c r="Q340" s="273"/>
      <c r="T340" s="273"/>
      <c r="U340" s="273"/>
      <c r="V340" s="273"/>
      <c r="W340" s="273"/>
      <c r="X340" s="273"/>
      <c r="Y340" s="273"/>
      <c r="AD340" s="273"/>
      <c r="AE340" s="273"/>
      <c r="AF340" s="273"/>
      <c r="AG340" s="273"/>
      <c r="AH340" s="273"/>
      <c r="AI340" s="273"/>
    </row>
    <row r="341" spans="1:35">
      <c r="A341" s="273"/>
      <c r="B341" s="273"/>
      <c r="C341" s="273"/>
      <c r="D341" s="273"/>
      <c r="K341" s="273"/>
      <c r="L341" s="273"/>
      <c r="Q341" s="273"/>
      <c r="T341" s="273"/>
      <c r="U341" s="273"/>
      <c r="V341" s="273"/>
      <c r="W341" s="273"/>
      <c r="X341" s="273"/>
      <c r="Y341" s="273"/>
      <c r="AD341" s="273"/>
      <c r="AE341" s="273"/>
      <c r="AF341" s="273"/>
      <c r="AG341" s="273"/>
      <c r="AH341" s="273"/>
      <c r="AI341" s="273"/>
    </row>
    <row r="342" spans="1:35">
      <c r="A342" s="273"/>
      <c r="B342" s="273"/>
      <c r="C342" s="273"/>
      <c r="D342" s="273"/>
      <c r="K342" s="273"/>
      <c r="L342" s="273"/>
      <c r="Q342" s="273"/>
      <c r="T342" s="273"/>
      <c r="U342" s="273"/>
      <c r="V342" s="273"/>
      <c r="W342" s="273"/>
      <c r="X342" s="273"/>
      <c r="Y342" s="273"/>
      <c r="AD342" s="273"/>
      <c r="AE342" s="273"/>
      <c r="AF342" s="273"/>
      <c r="AG342" s="273"/>
      <c r="AH342" s="273"/>
      <c r="AI342" s="273"/>
    </row>
    <row r="343" spans="1:35">
      <c r="A343" s="273"/>
      <c r="B343" s="273"/>
      <c r="C343" s="273"/>
      <c r="D343" s="273"/>
      <c r="K343" s="273"/>
      <c r="L343" s="273"/>
      <c r="Q343" s="273"/>
      <c r="T343" s="273"/>
      <c r="U343" s="273"/>
      <c r="V343" s="273"/>
      <c r="W343" s="273"/>
      <c r="X343" s="273"/>
      <c r="Y343" s="273"/>
      <c r="AD343" s="273"/>
      <c r="AE343" s="273"/>
      <c r="AF343" s="273"/>
      <c r="AG343" s="273"/>
      <c r="AH343" s="273"/>
      <c r="AI343" s="273"/>
    </row>
    <row r="344" spans="1:35">
      <c r="A344" s="273"/>
      <c r="B344" s="273"/>
      <c r="C344" s="273"/>
      <c r="D344" s="273"/>
      <c r="K344" s="273"/>
      <c r="L344" s="273"/>
      <c r="Q344" s="273"/>
      <c r="T344" s="273"/>
      <c r="U344" s="273"/>
      <c r="V344" s="273"/>
      <c r="W344" s="273"/>
      <c r="X344" s="273"/>
      <c r="Y344" s="273"/>
      <c r="AD344" s="273"/>
      <c r="AE344" s="273"/>
      <c r="AF344" s="273"/>
      <c r="AG344" s="273"/>
      <c r="AH344" s="273"/>
      <c r="AI344" s="273"/>
    </row>
    <row r="345" spans="1:35">
      <c r="A345" s="273"/>
      <c r="B345" s="273"/>
      <c r="C345" s="273"/>
      <c r="D345" s="273"/>
      <c r="K345" s="273"/>
      <c r="L345" s="273"/>
      <c r="Q345" s="273"/>
      <c r="T345" s="273"/>
      <c r="U345" s="273"/>
      <c r="V345" s="273"/>
      <c r="W345" s="273"/>
      <c r="X345" s="273"/>
      <c r="Y345" s="273"/>
      <c r="AD345" s="273"/>
      <c r="AE345" s="273"/>
      <c r="AF345" s="273"/>
      <c r="AG345" s="273"/>
      <c r="AH345" s="273"/>
      <c r="AI345" s="273"/>
    </row>
    <row r="346" spans="1:35">
      <c r="A346" s="273"/>
      <c r="B346" s="273"/>
      <c r="C346" s="273"/>
      <c r="D346" s="273"/>
      <c r="K346" s="273"/>
      <c r="L346" s="273"/>
      <c r="Q346" s="273"/>
      <c r="T346" s="273"/>
      <c r="U346" s="273"/>
      <c r="V346" s="273"/>
      <c r="W346" s="273"/>
      <c r="X346" s="273"/>
      <c r="Y346" s="273"/>
      <c r="AD346" s="273"/>
      <c r="AE346" s="273"/>
      <c r="AF346" s="273"/>
      <c r="AG346" s="273"/>
      <c r="AH346" s="273"/>
      <c r="AI346" s="273"/>
    </row>
    <row r="347" spans="1:35">
      <c r="A347" s="273"/>
      <c r="B347" s="273"/>
      <c r="C347" s="273"/>
      <c r="D347" s="273"/>
      <c r="K347" s="273"/>
      <c r="L347" s="273"/>
      <c r="Q347" s="273"/>
      <c r="T347" s="273"/>
      <c r="U347" s="273"/>
      <c r="V347" s="273"/>
      <c r="W347" s="273"/>
      <c r="X347" s="273"/>
      <c r="Y347" s="273"/>
      <c r="AD347" s="273"/>
      <c r="AE347" s="273"/>
      <c r="AF347" s="273"/>
      <c r="AG347" s="273"/>
      <c r="AH347" s="273"/>
      <c r="AI347" s="273"/>
    </row>
    <row r="348" spans="1:35">
      <c r="A348" s="273"/>
      <c r="B348" s="273"/>
      <c r="C348" s="273"/>
      <c r="D348" s="273"/>
      <c r="K348" s="273"/>
      <c r="L348" s="273"/>
      <c r="Q348" s="273"/>
      <c r="T348" s="273"/>
      <c r="U348" s="273"/>
      <c r="V348" s="273"/>
      <c r="W348" s="273"/>
      <c r="X348" s="273"/>
      <c r="Y348" s="273"/>
      <c r="AD348" s="273"/>
      <c r="AE348" s="273"/>
      <c r="AF348" s="273"/>
      <c r="AG348" s="273"/>
      <c r="AH348" s="273"/>
      <c r="AI348" s="273"/>
    </row>
    <row r="349" spans="1:35">
      <c r="A349" s="273"/>
      <c r="B349" s="273"/>
      <c r="C349" s="273"/>
      <c r="D349" s="273"/>
      <c r="K349" s="273"/>
      <c r="L349" s="273"/>
      <c r="Q349" s="273"/>
      <c r="T349" s="273"/>
      <c r="U349" s="273"/>
      <c r="V349" s="273"/>
      <c r="W349" s="273"/>
      <c r="X349" s="273"/>
      <c r="Y349" s="273"/>
      <c r="AD349" s="273"/>
      <c r="AE349" s="273"/>
      <c r="AF349" s="273"/>
      <c r="AG349" s="273"/>
      <c r="AH349" s="273"/>
      <c r="AI349" s="273"/>
    </row>
    <row r="350" spans="1:35">
      <c r="A350" s="273"/>
      <c r="B350" s="273"/>
      <c r="C350" s="273"/>
      <c r="D350" s="273"/>
      <c r="K350" s="273"/>
      <c r="L350" s="273"/>
      <c r="Q350" s="273"/>
      <c r="T350" s="273"/>
      <c r="U350" s="273"/>
      <c r="V350" s="273"/>
      <c r="W350" s="273"/>
      <c r="X350" s="273"/>
      <c r="Y350" s="273"/>
      <c r="AD350" s="273"/>
      <c r="AE350" s="273"/>
      <c r="AF350" s="273"/>
      <c r="AG350" s="273"/>
      <c r="AH350" s="273"/>
      <c r="AI350" s="273"/>
    </row>
    <row r="351" spans="1:35">
      <c r="A351" s="273"/>
      <c r="B351" s="273"/>
      <c r="C351" s="273"/>
      <c r="D351" s="273"/>
      <c r="K351" s="273"/>
      <c r="L351" s="273"/>
      <c r="Q351" s="273"/>
      <c r="T351" s="273"/>
      <c r="U351" s="273"/>
      <c r="V351" s="273"/>
      <c r="W351" s="273"/>
      <c r="X351" s="273"/>
      <c r="Y351" s="273"/>
      <c r="AD351" s="273"/>
      <c r="AE351" s="273"/>
      <c r="AF351" s="273"/>
      <c r="AG351" s="273"/>
      <c r="AH351" s="273"/>
      <c r="AI351" s="273"/>
    </row>
    <row r="352" spans="1:35">
      <c r="A352" s="273"/>
      <c r="B352" s="273"/>
      <c r="C352" s="273"/>
      <c r="D352" s="273"/>
      <c r="K352" s="273"/>
      <c r="L352" s="273"/>
      <c r="Q352" s="273"/>
      <c r="T352" s="273"/>
      <c r="U352" s="273"/>
      <c r="V352" s="273"/>
      <c r="W352" s="273"/>
      <c r="X352" s="273"/>
      <c r="Y352" s="273"/>
      <c r="AD352" s="273"/>
      <c r="AE352" s="273"/>
      <c r="AF352" s="273"/>
      <c r="AG352" s="273"/>
      <c r="AH352" s="273"/>
      <c r="AI352" s="273"/>
    </row>
    <row r="353" spans="1:35">
      <c r="A353" s="273"/>
      <c r="B353" s="273"/>
      <c r="C353" s="273"/>
      <c r="D353" s="273"/>
      <c r="K353" s="273"/>
      <c r="L353" s="273"/>
      <c r="Q353" s="273"/>
      <c r="T353" s="273"/>
      <c r="U353" s="273"/>
      <c r="V353" s="273"/>
      <c r="W353" s="273"/>
      <c r="X353" s="273"/>
      <c r="Y353" s="273"/>
      <c r="AD353" s="273"/>
      <c r="AE353" s="273"/>
      <c r="AF353" s="273"/>
      <c r="AG353" s="273"/>
      <c r="AH353" s="273"/>
      <c r="AI353" s="273"/>
    </row>
    <row r="354" spans="1:35">
      <c r="A354" s="273"/>
      <c r="B354" s="273"/>
      <c r="C354" s="273"/>
      <c r="D354" s="273"/>
      <c r="K354" s="273"/>
      <c r="L354" s="273"/>
      <c r="Q354" s="273"/>
      <c r="T354" s="273"/>
      <c r="U354" s="273"/>
      <c r="V354" s="273"/>
      <c r="W354" s="273"/>
      <c r="X354" s="273"/>
      <c r="Y354" s="273"/>
      <c r="AD354" s="273"/>
      <c r="AE354" s="273"/>
      <c r="AF354" s="273"/>
      <c r="AG354" s="273"/>
      <c r="AH354" s="273"/>
      <c r="AI354" s="273"/>
    </row>
    <row r="355" spans="1:35">
      <c r="A355" s="273"/>
      <c r="B355" s="273"/>
      <c r="C355" s="273"/>
      <c r="D355" s="273"/>
      <c r="K355" s="273"/>
      <c r="L355" s="273"/>
      <c r="Q355" s="273"/>
      <c r="T355" s="273"/>
      <c r="U355" s="273"/>
      <c r="V355" s="273"/>
      <c r="W355" s="273"/>
      <c r="X355" s="273"/>
      <c r="Y355" s="273"/>
      <c r="AD355" s="273"/>
      <c r="AE355" s="273"/>
      <c r="AF355" s="273"/>
      <c r="AG355" s="273"/>
      <c r="AH355" s="273"/>
      <c r="AI355" s="273"/>
    </row>
    <row r="356" spans="1:35">
      <c r="A356" s="273"/>
      <c r="B356" s="273"/>
      <c r="C356" s="273"/>
      <c r="D356" s="273"/>
      <c r="K356" s="273"/>
      <c r="L356" s="273"/>
      <c r="Q356" s="273"/>
      <c r="T356" s="273"/>
      <c r="U356" s="273"/>
      <c r="V356" s="273"/>
      <c r="W356" s="273"/>
      <c r="X356" s="273"/>
      <c r="Y356" s="273"/>
      <c r="AD356" s="273"/>
      <c r="AE356" s="273"/>
      <c r="AF356" s="273"/>
      <c r="AG356" s="273"/>
      <c r="AH356" s="273"/>
      <c r="AI356" s="273"/>
    </row>
    <row r="357" spans="1:35">
      <c r="A357" s="273"/>
      <c r="B357" s="273"/>
      <c r="C357" s="273"/>
      <c r="D357" s="273"/>
      <c r="K357" s="273"/>
      <c r="L357" s="273"/>
      <c r="Q357" s="273"/>
      <c r="T357" s="273"/>
      <c r="U357" s="273"/>
      <c r="V357" s="273"/>
      <c r="W357" s="273"/>
      <c r="X357" s="273"/>
      <c r="Y357" s="273"/>
      <c r="AD357" s="273"/>
      <c r="AE357" s="273"/>
      <c r="AF357" s="273"/>
      <c r="AG357" s="273"/>
      <c r="AH357" s="273"/>
      <c r="AI357" s="273"/>
    </row>
    <row r="358" spans="1:35">
      <c r="A358" s="273"/>
      <c r="B358" s="273"/>
      <c r="C358" s="273"/>
      <c r="D358" s="273"/>
      <c r="K358" s="273"/>
      <c r="L358" s="273"/>
      <c r="Q358" s="273"/>
      <c r="T358" s="273"/>
      <c r="U358" s="273"/>
      <c r="V358" s="273"/>
      <c r="W358" s="273"/>
      <c r="X358" s="273"/>
      <c r="Y358" s="273"/>
      <c r="AD358" s="273"/>
      <c r="AE358" s="273"/>
      <c r="AF358" s="273"/>
      <c r="AG358" s="273"/>
      <c r="AH358" s="273"/>
      <c r="AI358" s="273"/>
    </row>
    <row r="359" spans="1:35">
      <c r="A359" s="273"/>
      <c r="B359" s="273"/>
      <c r="C359" s="273"/>
      <c r="D359" s="273"/>
      <c r="K359" s="273"/>
      <c r="L359" s="273"/>
      <c r="Q359" s="273"/>
      <c r="T359" s="273"/>
      <c r="U359" s="273"/>
      <c r="V359" s="273"/>
      <c r="W359" s="273"/>
      <c r="X359" s="273"/>
      <c r="Y359" s="273"/>
      <c r="AD359" s="273"/>
      <c r="AE359" s="273"/>
      <c r="AF359" s="273"/>
      <c r="AG359" s="273"/>
      <c r="AH359" s="273"/>
      <c r="AI359" s="273"/>
    </row>
    <row r="360" spans="1:35">
      <c r="A360" s="273"/>
      <c r="B360" s="273"/>
      <c r="C360" s="273"/>
      <c r="D360" s="273"/>
      <c r="K360" s="273"/>
      <c r="L360" s="273"/>
      <c r="Q360" s="273"/>
      <c r="T360" s="273"/>
      <c r="U360" s="273"/>
      <c r="V360" s="273"/>
      <c r="W360" s="273"/>
      <c r="X360" s="273"/>
      <c r="Y360" s="273"/>
      <c r="AD360" s="273"/>
      <c r="AE360" s="273"/>
      <c r="AF360" s="273"/>
      <c r="AG360" s="273"/>
      <c r="AH360" s="273"/>
      <c r="AI360" s="273"/>
    </row>
    <row r="361" spans="1:35">
      <c r="A361" s="273"/>
      <c r="B361" s="273"/>
      <c r="C361" s="273"/>
      <c r="D361" s="273"/>
      <c r="K361" s="273"/>
      <c r="L361" s="273"/>
      <c r="Q361" s="273"/>
      <c r="T361" s="273"/>
      <c r="U361" s="273"/>
      <c r="V361" s="273"/>
      <c r="W361" s="273"/>
      <c r="X361" s="273"/>
      <c r="Y361" s="273"/>
      <c r="AD361" s="273"/>
      <c r="AE361" s="273"/>
      <c r="AF361" s="273"/>
      <c r="AG361" s="273"/>
      <c r="AH361" s="273"/>
      <c r="AI361" s="273"/>
    </row>
    <row r="362" spans="1:35">
      <c r="A362" s="273"/>
      <c r="B362" s="273"/>
      <c r="C362" s="273"/>
      <c r="D362" s="273"/>
      <c r="K362" s="273"/>
      <c r="L362" s="273"/>
      <c r="Q362" s="273"/>
      <c r="T362" s="273"/>
      <c r="U362" s="273"/>
      <c r="V362" s="273"/>
      <c r="W362" s="273"/>
      <c r="X362" s="273"/>
      <c r="Y362" s="273"/>
      <c r="AD362" s="273"/>
      <c r="AE362" s="273"/>
      <c r="AF362" s="273"/>
      <c r="AG362" s="273"/>
      <c r="AH362" s="273"/>
      <c r="AI362" s="273"/>
    </row>
    <row r="363" spans="1:35">
      <c r="A363" s="273"/>
      <c r="B363" s="273"/>
      <c r="C363" s="273"/>
      <c r="D363" s="273"/>
      <c r="K363" s="273"/>
      <c r="L363" s="273"/>
      <c r="Q363" s="273"/>
      <c r="T363" s="273"/>
      <c r="U363" s="273"/>
      <c r="V363" s="273"/>
      <c r="W363" s="273"/>
      <c r="X363" s="273"/>
      <c r="Y363" s="273"/>
      <c r="AD363" s="273"/>
      <c r="AE363" s="273"/>
      <c r="AF363" s="273"/>
      <c r="AG363" s="273"/>
      <c r="AH363" s="273"/>
      <c r="AI363" s="273"/>
    </row>
    <row r="364" spans="1:35">
      <c r="A364" s="273"/>
      <c r="B364" s="273"/>
      <c r="C364" s="273"/>
      <c r="D364" s="273"/>
      <c r="K364" s="273"/>
      <c r="L364" s="273"/>
      <c r="Q364" s="273"/>
      <c r="T364" s="273"/>
      <c r="U364" s="273"/>
      <c r="V364" s="273"/>
      <c r="W364" s="273"/>
      <c r="X364" s="273"/>
      <c r="Y364" s="273"/>
      <c r="AD364" s="273"/>
      <c r="AE364" s="273"/>
      <c r="AF364" s="273"/>
      <c r="AG364" s="273"/>
      <c r="AH364" s="273"/>
      <c r="AI364" s="273"/>
    </row>
    <row r="365" spans="1:35">
      <c r="A365" s="273"/>
      <c r="B365" s="273"/>
      <c r="C365" s="273"/>
      <c r="D365" s="273"/>
      <c r="K365" s="273"/>
      <c r="L365" s="273"/>
      <c r="Q365" s="273"/>
      <c r="T365" s="273"/>
      <c r="U365" s="273"/>
      <c r="V365" s="273"/>
      <c r="W365" s="273"/>
      <c r="X365" s="273"/>
      <c r="Y365" s="273"/>
      <c r="AD365" s="273"/>
      <c r="AE365" s="273"/>
      <c r="AF365" s="273"/>
      <c r="AG365" s="273"/>
      <c r="AH365" s="273"/>
      <c r="AI365" s="273"/>
    </row>
    <row r="366" spans="1:35">
      <c r="A366" s="273"/>
      <c r="B366" s="273"/>
      <c r="C366" s="273"/>
      <c r="D366" s="273"/>
      <c r="K366" s="273"/>
      <c r="L366" s="273"/>
      <c r="Q366" s="273"/>
      <c r="T366" s="273"/>
      <c r="U366" s="273"/>
      <c r="V366" s="273"/>
      <c r="W366" s="273"/>
      <c r="X366" s="273"/>
      <c r="Y366" s="273"/>
      <c r="AD366" s="273"/>
      <c r="AE366" s="273"/>
      <c r="AF366" s="273"/>
      <c r="AG366" s="273"/>
      <c r="AH366" s="273"/>
      <c r="AI366" s="273"/>
    </row>
    <row r="367" spans="1:35">
      <c r="A367" s="273"/>
      <c r="B367" s="273"/>
      <c r="C367" s="273"/>
      <c r="D367" s="273"/>
      <c r="K367" s="273"/>
      <c r="L367" s="273"/>
      <c r="Q367" s="273"/>
      <c r="T367" s="273"/>
      <c r="U367" s="273"/>
      <c r="V367" s="273"/>
      <c r="W367" s="273"/>
      <c r="X367" s="273"/>
      <c r="Y367" s="273"/>
      <c r="AD367" s="273"/>
      <c r="AE367" s="273"/>
      <c r="AF367" s="273"/>
      <c r="AG367" s="273"/>
      <c r="AH367" s="273"/>
      <c r="AI367" s="273"/>
    </row>
    <row r="368" spans="1:35">
      <c r="A368" s="273"/>
      <c r="B368" s="273"/>
      <c r="C368" s="273"/>
      <c r="D368" s="273"/>
      <c r="K368" s="273"/>
      <c r="L368" s="273"/>
      <c r="Q368" s="273"/>
      <c r="T368" s="273"/>
      <c r="U368" s="273"/>
      <c r="V368" s="273"/>
      <c r="W368" s="273"/>
      <c r="X368" s="273"/>
      <c r="Y368" s="273"/>
      <c r="AD368" s="273"/>
      <c r="AE368" s="273"/>
      <c r="AF368" s="273"/>
      <c r="AG368" s="273"/>
      <c r="AH368" s="273"/>
      <c r="AI368" s="273"/>
    </row>
    <row r="369" spans="1:35">
      <c r="A369" s="273"/>
      <c r="B369" s="273"/>
      <c r="C369" s="273"/>
      <c r="D369" s="273"/>
      <c r="K369" s="273"/>
      <c r="L369" s="273"/>
      <c r="Q369" s="273"/>
      <c r="T369" s="273"/>
      <c r="U369" s="273"/>
      <c r="V369" s="273"/>
      <c r="W369" s="273"/>
      <c r="X369" s="273"/>
      <c r="Y369" s="273"/>
      <c r="AD369" s="273"/>
      <c r="AE369" s="273"/>
      <c r="AF369" s="273"/>
      <c r="AG369" s="273"/>
      <c r="AH369" s="273"/>
      <c r="AI369" s="273"/>
    </row>
    <row r="370" spans="1:35">
      <c r="A370" s="273"/>
      <c r="B370" s="273"/>
      <c r="C370" s="273"/>
      <c r="D370" s="273"/>
      <c r="K370" s="273"/>
      <c r="L370" s="273"/>
      <c r="Q370" s="273"/>
      <c r="T370" s="273"/>
      <c r="U370" s="273"/>
      <c r="V370" s="273"/>
      <c r="W370" s="273"/>
      <c r="X370" s="273"/>
      <c r="Y370" s="273"/>
      <c r="AD370" s="273"/>
      <c r="AE370" s="273"/>
      <c r="AF370" s="273"/>
      <c r="AG370" s="273"/>
      <c r="AH370" s="273"/>
      <c r="AI370" s="273"/>
    </row>
    <row r="371" spans="1:35">
      <c r="A371" s="273"/>
      <c r="B371" s="273"/>
      <c r="C371" s="273"/>
      <c r="D371" s="273"/>
      <c r="K371" s="273"/>
      <c r="L371" s="273"/>
      <c r="Q371" s="273"/>
      <c r="T371" s="273"/>
      <c r="U371" s="273"/>
      <c r="V371" s="273"/>
      <c r="W371" s="273"/>
      <c r="X371" s="273"/>
      <c r="Y371" s="273"/>
      <c r="AD371" s="273"/>
      <c r="AE371" s="273"/>
      <c r="AF371" s="273"/>
      <c r="AG371" s="273"/>
      <c r="AH371" s="273"/>
      <c r="AI371" s="273"/>
    </row>
    <row r="372" spans="1:35">
      <c r="A372" s="273"/>
      <c r="B372" s="273"/>
      <c r="C372" s="273"/>
      <c r="D372" s="273"/>
      <c r="K372" s="273"/>
      <c r="L372" s="273"/>
      <c r="Q372" s="273"/>
      <c r="T372" s="273"/>
      <c r="U372" s="273"/>
      <c r="V372" s="273"/>
      <c r="W372" s="273"/>
      <c r="X372" s="273"/>
      <c r="Y372" s="273"/>
      <c r="AD372" s="273"/>
      <c r="AE372" s="273"/>
      <c r="AF372" s="273"/>
      <c r="AG372" s="273"/>
      <c r="AH372" s="273"/>
      <c r="AI372" s="273"/>
    </row>
    <row r="373" spans="1:35">
      <c r="A373" s="273"/>
      <c r="B373" s="273"/>
      <c r="C373" s="273"/>
      <c r="D373" s="273"/>
      <c r="K373" s="273"/>
      <c r="L373" s="273"/>
      <c r="Q373" s="273"/>
      <c r="T373" s="273"/>
      <c r="U373" s="273"/>
      <c r="V373" s="273"/>
      <c r="W373" s="273"/>
      <c r="X373" s="273"/>
      <c r="Y373" s="273"/>
      <c r="AD373" s="273"/>
      <c r="AE373" s="273"/>
      <c r="AF373" s="273"/>
      <c r="AG373" s="273"/>
      <c r="AH373" s="273"/>
      <c r="AI373" s="273"/>
    </row>
    <row r="374" spans="1:35">
      <c r="A374" s="273"/>
      <c r="B374" s="273"/>
      <c r="C374" s="273"/>
      <c r="D374" s="273"/>
      <c r="K374" s="273"/>
      <c r="L374" s="273"/>
      <c r="Q374" s="273"/>
      <c r="T374" s="273"/>
      <c r="U374" s="273"/>
      <c r="V374" s="273"/>
      <c r="W374" s="273"/>
      <c r="X374" s="273"/>
      <c r="Y374" s="273"/>
      <c r="AD374" s="273"/>
      <c r="AE374" s="273"/>
      <c r="AF374" s="273"/>
      <c r="AG374" s="273"/>
      <c r="AH374" s="273"/>
      <c r="AI374" s="273"/>
    </row>
    <row r="375" spans="1:35">
      <c r="A375" s="273"/>
      <c r="B375" s="273"/>
      <c r="C375" s="273"/>
      <c r="D375" s="273"/>
      <c r="K375" s="273"/>
      <c r="L375" s="273"/>
      <c r="Q375" s="273"/>
      <c r="T375" s="273"/>
      <c r="U375" s="273"/>
      <c r="V375" s="273"/>
      <c r="W375" s="273"/>
      <c r="X375" s="273"/>
      <c r="Y375" s="273"/>
      <c r="AD375" s="273"/>
      <c r="AE375" s="273"/>
      <c r="AF375" s="273"/>
      <c r="AG375" s="273"/>
      <c r="AH375" s="273"/>
      <c r="AI375" s="273"/>
    </row>
    <row r="376" spans="1:35">
      <c r="A376" s="273"/>
      <c r="B376" s="273"/>
      <c r="C376" s="273"/>
      <c r="D376" s="273"/>
      <c r="K376" s="273"/>
      <c r="L376" s="273"/>
      <c r="Q376" s="273"/>
      <c r="T376" s="273"/>
      <c r="U376" s="273"/>
      <c r="V376" s="273"/>
      <c r="W376" s="273"/>
      <c r="X376" s="273"/>
      <c r="Y376" s="273"/>
      <c r="AD376" s="273"/>
      <c r="AE376" s="273"/>
      <c r="AF376" s="273"/>
      <c r="AG376" s="273"/>
      <c r="AH376" s="273"/>
      <c r="AI376" s="273"/>
    </row>
    <row r="377" spans="1:35">
      <c r="A377" s="273"/>
      <c r="B377" s="273"/>
      <c r="C377" s="273"/>
      <c r="D377" s="273"/>
      <c r="K377" s="273"/>
      <c r="L377" s="273"/>
      <c r="Q377" s="273"/>
      <c r="T377" s="273"/>
      <c r="U377" s="273"/>
      <c r="V377" s="273"/>
      <c r="W377" s="273"/>
      <c r="X377" s="273"/>
      <c r="Y377" s="273"/>
      <c r="AD377" s="273"/>
      <c r="AE377" s="273"/>
      <c r="AF377" s="273"/>
      <c r="AG377" s="273"/>
      <c r="AH377" s="273"/>
      <c r="AI377" s="273"/>
    </row>
    <row r="378" spans="1:35">
      <c r="A378" s="273"/>
      <c r="B378" s="273"/>
      <c r="C378" s="273"/>
      <c r="D378" s="273"/>
      <c r="K378" s="273"/>
      <c r="L378" s="273"/>
      <c r="Q378" s="273"/>
      <c r="T378" s="273"/>
      <c r="U378" s="273"/>
      <c r="V378" s="273"/>
      <c r="W378" s="273"/>
      <c r="X378" s="273"/>
      <c r="Y378" s="273"/>
      <c r="AD378" s="273"/>
      <c r="AE378" s="273"/>
      <c r="AF378" s="273"/>
      <c r="AG378" s="273"/>
      <c r="AH378" s="273"/>
      <c r="AI378" s="273"/>
    </row>
    <row r="379" spans="1:35">
      <c r="A379" s="273"/>
      <c r="B379" s="273"/>
      <c r="C379" s="273"/>
      <c r="D379" s="273"/>
      <c r="K379" s="273"/>
      <c r="L379" s="273"/>
      <c r="Q379" s="273"/>
      <c r="T379" s="273"/>
      <c r="U379" s="273"/>
      <c r="V379" s="273"/>
      <c r="W379" s="273"/>
      <c r="X379" s="273"/>
      <c r="Y379" s="273"/>
      <c r="AD379" s="273"/>
      <c r="AE379" s="273"/>
      <c r="AF379" s="273"/>
      <c r="AG379" s="273"/>
      <c r="AH379" s="273"/>
      <c r="AI379" s="273"/>
    </row>
    <row r="380" spans="1:35">
      <c r="A380" s="273"/>
      <c r="B380" s="273"/>
      <c r="C380" s="273"/>
      <c r="D380" s="273"/>
      <c r="K380" s="273"/>
      <c r="L380" s="273"/>
      <c r="Q380" s="273"/>
      <c r="T380" s="273"/>
      <c r="U380" s="273"/>
      <c r="V380" s="273"/>
      <c r="W380" s="273"/>
      <c r="X380" s="273"/>
      <c r="Y380" s="273"/>
      <c r="AD380" s="273"/>
      <c r="AE380" s="273"/>
      <c r="AF380" s="273"/>
      <c r="AG380" s="273"/>
      <c r="AH380" s="273"/>
      <c r="AI380" s="273"/>
    </row>
    <row r="381" spans="1:35">
      <c r="A381" s="273"/>
      <c r="B381" s="273"/>
      <c r="C381" s="273"/>
      <c r="D381" s="273"/>
      <c r="K381" s="273"/>
      <c r="L381" s="273"/>
      <c r="Q381" s="273"/>
      <c r="T381" s="273"/>
      <c r="U381" s="273"/>
      <c r="V381" s="273"/>
      <c r="W381" s="273"/>
      <c r="X381" s="273"/>
      <c r="Y381" s="273"/>
      <c r="AD381" s="273"/>
      <c r="AE381" s="273"/>
      <c r="AF381" s="273"/>
      <c r="AG381" s="273"/>
      <c r="AH381" s="273"/>
      <c r="AI381" s="273"/>
    </row>
    <row r="382" spans="1:35">
      <c r="A382" s="273"/>
      <c r="B382" s="273"/>
      <c r="C382" s="273"/>
      <c r="D382" s="273"/>
      <c r="K382" s="273"/>
      <c r="L382" s="273"/>
      <c r="Q382" s="273"/>
      <c r="T382" s="273"/>
      <c r="U382" s="273"/>
      <c r="V382" s="273"/>
      <c r="W382" s="273"/>
      <c r="X382" s="273"/>
      <c r="Y382" s="273"/>
      <c r="AD382" s="273"/>
      <c r="AE382" s="273"/>
      <c r="AF382" s="273"/>
      <c r="AG382" s="273"/>
      <c r="AH382" s="273"/>
      <c r="AI382" s="273"/>
    </row>
    <row r="383" spans="1:35">
      <c r="A383" s="273"/>
      <c r="B383" s="273"/>
      <c r="C383" s="273"/>
      <c r="D383" s="273"/>
      <c r="K383" s="273"/>
      <c r="L383" s="273"/>
      <c r="Q383" s="273"/>
      <c r="T383" s="273"/>
      <c r="U383" s="273"/>
      <c r="V383" s="273"/>
      <c r="W383" s="273"/>
      <c r="X383" s="273"/>
      <c r="Y383" s="273"/>
      <c r="AD383" s="273"/>
      <c r="AE383" s="273"/>
      <c r="AF383" s="273"/>
      <c r="AG383" s="273"/>
      <c r="AH383" s="273"/>
      <c r="AI383" s="273"/>
    </row>
    <row r="384" spans="1:35">
      <c r="A384" s="273"/>
      <c r="B384" s="273"/>
      <c r="C384" s="273"/>
      <c r="D384" s="273"/>
      <c r="K384" s="273"/>
      <c r="L384" s="273"/>
      <c r="Q384" s="273"/>
      <c r="T384" s="273"/>
      <c r="U384" s="273"/>
      <c r="V384" s="273"/>
      <c r="W384" s="273"/>
      <c r="X384" s="273"/>
      <c r="Y384" s="273"/>
      <c r="AD384" s="273"/>
      <c r="AE384" s="273"/>
      <c r="AF384" s="273"/>
      <c r="AG384" s="273"/>
      <c r="AH384" s="273"/>
      <c r="AI384" s="273"/>
    </row>
    <row r="385" spans="1:35">
      <c r="A385" s="273"/>
      <c r="B385" s="273"/>
      <c r="C385" s="273"/>
      <c r="D385" s="273"/>
      <c r="K385" s="273"/>
      <c r="L385" s="273"/>
      <c r="Q385" s="273"/>
      <c r="T385" s="273"/>
      <c r="U385" s="273"/>
      <c r="V385" s="273"/>
      <c r="W385" s="273"/>
      <c r="X385" s="273"/>
      <c r="Y385" s="273"/>
      <c r="AD385" s="273"/>
      <c r="AE385" s="273"/>
      <c r="AF385" s="273"/>
      <c r="AG385" s="273"/>
      <c r="AH385" s="273"/>
      <c r="AI385" s="273"/>
    </row>
    <row r="386" spans="1:35">
      <c r="A386" s="273"/>
      <c r="B386" s="273"/>
      <c r="C386" s="273"/>
      <c r="D386" s="273"/>
      <c r="K386" s="273"/>
      <c r="L386" s="273"/>
      <c r="Q386" s="273"/>
      <c r="T386" s="273"/>
      <c r="U386" s="273"/>
      <c r="V386" s="273"/>
      <c r="W386" s="273"/>
      <c r="X386" s="273"/>
      <c r="Y386" s="273"/>
      <c r="AD386" s="273"/>
      <c r="AE386" s="273"/>
      <c r="AF386" s="273"/>
      <c r="AG386" s="273"/>
      <c r="AH386" s="273"/>
      <c r="AI386" s="273"/>
    </row>
    <row r="387" spans="1:35">
      <c r="A387" s="273"/>
      <c r="B387" s="273"/>
      <c r="C387" s="273"/>
      <c r="D387" s="273"/>
      <c r="K387" s="273"/>
      <c r="L387" s="273"/>
      <c r="Q387" s="273"/>
      <c r="T387" s="273"/>
      <c r="U387" s="273"/>
      <c r="V387" s="273"/>
      <c r="W387" s="273"/>
      <c r="X387" s="273"/>
      <c r="Y387" s="273"/>
      <c r="AD387" s="273"/>
      <c r="AE387" s="273"/>
      <c r="AF387" s="273"/>
      <c r="AG387" s="273"/>
      <c r="AH387" s="273"/>
      <c r="AI387" s="273"/>
    </row>
    <row r="388" spans="1:35">
      <c r="A388" s="273"/>
      <c r="B388" s="273"/>
      <c r="C388" s="273"/>
      <c r="D388" s="273"/>
      <c r="K388" s="273"/>
      <c r="L388" s="273"/>
      <c r="Q388" s="273"/>
      <c r="T388" s="273"/>
      <c r="U388" s="273"/>
      <c r="V388" s="273"/>
      <c r="W388" s="273"/>
      <c r="X388" s="273"/>
      <c r="Y388" s="273"/>
      <c r="AD388" s="273"/>
      <c r="AE388" s="273"/>
      <c r="AF388" s="273"/>
      <c r="AG388" s="273"/>
      <c r="AH388" s="273"/>
      <c r="AI388" s="273"/>
    </row>
    <row r="389" spans="1:35">
      <c r="A389" s="273"/>
      <c r="B389" s="273"/>
      <c r="C389" s="273"/>
      <c r="D389" s="273"/>
      <c r="K389" s="273"/>
      <c r="L389" s="273"/>
      <c r="Q389" s="273"/>
      <c r="T389" s="273"/>
      <c r="U389" s="273"/>
      <c r="V389" s="273"/>
      <c r="W389" s="273"/>
      <c r="X389" s="273"/>
      <c r="Y389" s="273"/>
      <c r="AD389" s="273"/>
      <c r="AE389" s="273"/>
      <c r="AF389" s="273"/>
      <c r="AG389" s="273"/>
      <c r="AH389" s="273"/>
      <c r="AI389" s="273"/>
    </row>
    <row r="390" spans="1:35">
      <c r="A390" s="273"/>
      <c r="B390" s="273"/>
      <c r="C390" s="273"/>
      <c r="D390" s="273"/>
      <c r="K390" s="273"/>
      <c r="L390" s="273"/>
      <c r="Q390" s="273"/>
      <c r="T390" s="273"/>
      <c r="U390" s="273"/>
      <c r="V390" s="273"/>
      <c r="W390" s="273"/>
      <c r="X390" s="273"/>
      <c r="Y390" s="273"/>
      <c r="AD390" s="273"/>
      <c r="AE390" s="273"/>
      <c r="AF390" s="273"/>
      <c r="AG390" s="273"/>
      <c r="AH390" s="273"/>
      <c r="AI390" s="273"/>
    </row>
    <row r="391" spans="1:35">
      <c r="A391" s="273"/>
      <c r="B391" s="273"/>
      <c r="C391" s="273"/>
      <c r="D391" s="273"/>
      <c r="K391" s="273"/>
      <c r="L391" s="273"/>
      <c r="Q391" s="273"/>
      <c r="T391" s="273"/>
      <c r="U391" s="273"/>
      <c r="V391" s="273"/>
      <c r="W391" s="273"/>
      <c r="X391" s="273"/>
      <c r="Y391" s="273"/>
      <c r="AD391" s="273"/>
      <c r="AE391" s="273"/>
      <c r="AF391" s="273"/>
      <c r="AG391" s="273"/>
      <c r="AH391" s="273"/>
      <c r="AI391" s="273"/>
    </row>
    <row r="392" spans="1:35">
      <c r="A392" s="273"/>
      <c r="B392" s="273"/>
      <c r="C392" s="273"/>
      <c r="D392" s="273"/>
      <c r="K392" s="273"/>
      <c r="L392" s="273"/>
      <c r="Q392" s="273"/>
      <c r="T392" s="273"/>
      <c r="U392" s="273"/>
      <c r="V392" s="273"/>
      <c r="W392" s="273"/>
      <c r="X392" s="273"/>
      <c r="Y392" s="273"/>
      <c r="AD392" s="273"/>
      <c r="AE392" s="273"/>
      <c r="AF392" s="273"/>
      <c r="AG392" s="273"/>
      <c r="AH392" s="273"/>
      <c r="AI392" s="273"/>
    </row>
    <row r="393" spans="1:35">
      <c r="A393" s="273"/>
      <c r="B393" s="273"/>
      <c r="C393" s="273"/>
      <c r="D393" s="273"/>
      <c r="K393" s="273"/>
      <c r="L393" s="273"/>
      <c r="Q393" s="273"/>
      <c r="T393" s="273"/>
      <c r="U393" s="273"/>
      <c r="V393" s="273"/>
      <c r="W393" s="273"/>
      <c r="X393" s="273"/>
      <c r="Y393" s="273"/>
      <c r="AD393" s="273"/>
      <c r="AE393" s="273"/>
      <c r="AF393" s="273"/>
      <c r="AG393" s="273"/>
      <c r="AH393" s="273"/>
      <c r="AI393" s="273"/>
    </row>
    <row r="394" spans="1:35">
      <c r="A394" s="273"/>
      <c r="B394" s="273"/>
      <c r="C394" s="273"/>
      <c r="D394" s="273"/>
      <c r="K394" s="273"/>
      <c r="L394" s="273"/>
      <c r="Q394" s="273"/>
      <c r="T394" s="273"/>
      <c r="U394" s="273"/>
      <c r="V394" s="273"/>
      <c r="W394" s="273"/>
      <c r="X394" s="273"/>
      <c r="Y394" s="273"/>
      <c r="AD394" s="273"/>
      <c r="AE394" s="273"/>
      <c r="AF394" s="273"/>
      <c r="AG394" s="273"/>
      <c r="AH394" s="273"/>
      <c r="AI394" s="273"/>
    </row>
    <row r="395" spans="1:35">
      <c r="A395" s="273"/>
      <c r="B395" s="273"/>
      <c r="C395" s="273"/>
      <c r="D395" s="273"/>
      <c r="K395" s="273"/>
      <c r="L395" s="273"/>
      <c r="Q395" s="273"/>
      <c r="T395" s="273"/>
      <c r="U395" s="273"/>
      <c r="V395" s="273"/>
      <c r="W395" s="273"/>
      <c r="X395" s="273"/>
      <c r="Y395" s="273"/>
      <c r="AD395" s="273"/>
      <c r="AE395" s="273"/>
      <c r="AF395" s="273"/>
      <c r="AG395" s="273"/>
      <c r="AH395" s="273"/>
      <c r="AI395" s="273"/>
    </row>
    <row r="396" spans="1:35">
      <c r="A396" s="273"/>
      <c r="B396" s="273"/>
      <c r="C396" s="273"/>
      <c r="D396" s="273"/>
      <c r="K396" s="273"/>
      <c r="L396" s="273"/>
      <c r="Q396" s="273"/>
      <c r="T396" s="273"/>
      <c r="U396" s="273"/>
      <c r="V396" s="273"/>
      <c r="W396" s="273"/>
      <c r="X396" s="273"/>
      <c r="Y396" s="273"/>
      <c r="AD396" s="273"/>
      <c r="AE396" s="273"/>
      <c r="AF396" s="273"/>
      <c r="AG396" s="273"/>
      <c r="AH396" s="273"/>
      <c r="AI396" s="273"/>
    </row>
    <row r="397" spans="1:35">
      <c r="A397" s="273"/>
      <c r="B397" s="273"/>
      <c r="C397" s="273"/>
      <c r="D397" s="273"/>
      <c r="K397" s="273"/>
      <c r="L397" s="273"/>
      <c r="Q397" s="273"/>
      <c r="T397" s="273"/>
      <c r="U397" s="273"/>
      <c r="V397" s="273"/>
      <c r="W397" s="273"/>
      <c r="X397" s="273"/>
      <c r="Y397" s="273"/>
      <c r="AD397" s="273"/>
      <c r="AE397" s="273"/>
      <c r="AF397" s="273"/>
      <c r="AG397" s="273"/>
      <c r="AH397" s="273"/>
      <c r="AI397" s="273"/>
    </row>
    <row r="398" spans="1:35">
      <c r="A398" s="273"/>
      <c r="B398" s="273"/>
      <c r="C398" s="273"/>
      <c r="D398" s="273"/>
      <c r="K398" s="273"/>
      <c r="L398" s="273"/>
      <c r="Q398" s="273"/>
      <c r="T398" s="273"/>
      <c r="U398" s="273"/>
      <c r="V398" s="273"/>
      <c r="W398" s="273"/>
      <c r="X398" s="273"/>
      <c r="Y398" s="273"/>
      <c r="AD398" s="273"/>
      <c r="AE398" s="273"/>
      <c r="AF398" s="273"/>
      <c r="AG398" s="273"/>
      <c r="AH398" s="273"/>
      <c r="AI398" s="273"/>
    </row>
    <row r="399" spans="1:35">
      <c r="A399" s="273"/>
      <c r="B399" s="273"/>
      <c r="C399" s="273"/>
      <c r="D399" s="273"/>
      <c r="K399" s="273"/>
      <c r="L399" s="273"/>
      <c r="Q399" s="273"/>
      <c r="T399" s="273"/>
      <c r="U399" s="273"/>
      <c r="V399" s="273"/>
      <c r="W399" s="273"/>
      <c r="X399" s="273"/>
      <c r="Y399" s="273"/>
      <c r="AD399" s="273"/>
      <c r="AE399" s="273"/>
      <c r="AF399" s="273"/>
      <c r="AG399" s="273"/>
      <c r="AH399" s="273"/>
      <c r="AI399" s="273"/>
    </row>
    <row r="400" spans="1:35">
      <c r="A400" s="273"/>
      <c r="B400" s="273"/>
      <c r="C400" s="273"/>
      <c r="D400" s="273"/>
      <c r="K400" s="273"/>
      <c r="L400" s="273"/>
      <c r="Q400" s="273"/>
      <c r="T400" s="273"/>
      <c r="U400" s="273"/>
      <c r="V400" s="273"/>
      <c r="W400" s="273"/>
      <c r="X400" s="273"/>
      <c r="Y400" s="273"/>
      <c r="AD400" s="273"/>
      <c r="AE400" s="273"/>
      <c r="AF400" s="273"/>
      <c r="AG400" s="273"/>
      <c r="AH400" s="273"/>
      <c r="AI400" s="273"/>
    </row>
    <row r="401" spans="1:35">
      <c r="A401" s="273"/>
      <c r="B401" s="273"/>
      <c r="C401" s="273"/>
      <c r="D401" s="273"/>
      <c r="K401" s="273"/>
      <c r="L401" s="273"/>
      <c r="Q401" s="273"/>
      <c r="T401" s="273"/>
      <c r="U401" s="273"/>
      <c r="V401" s="273"/>
      <c r="W401" s="273"/>
      <c r="X401" s="273"/>
      <c r="Y401" s="273"/>
      <c r="AD401" s="273"/>
      <c r="AE401" s="273"/>
      <c r="AF401" s="273"/>
      <c r="AG401" s="273"/>
      <c r="AH401" s="273"/>
      <c r="AI401" s="273"/>
    </row>
    <row r="402" spans="1:35">
      <c r="A402" s="273"/>
      <c r="B402" s="273"/>
      <c r="C402" s="273"/>
      <c r="D402" s="273"/>
      <c r="K402" s="273"/>
      <c r="L402" s="273"/>
      <c r="Q402" s="273"/>
      <c r="T402" s="273"/>
      <c r="U402" s="273"/>
      <c r="V402" s="273"/>
      <c r="W402" s="273"/>
      <c r="X402" s="273"/>
      <c r="Y402" s="273"/>
      <c r="AD402" s="273"/>
      <c r="AE402" s="273"/>
      <c r="AF402" s="273"/>
      <c r="AG402" s="273"/>
      <c r="AH402" s="273"/>
      <c r="AI402" s="273"/>
    </row>
    <row r="403" spans="1:35">
      <c r="A403" s="273"/>
      <c r="B403" s="273"/>
      <c r="C403" s="273"/>
      <c r="D403" s="273"/>
      <c r="K403" s="273"/>
      <c r="L403" s="273"/>
      <c r="Q403" s="273"/>
      <c r="T403" s="273"/>
      <c r="U403" s="273"/>
      <c r="V403" s="273"/>
      <c r="W403" s="273"/>
      <c r="X403" s="273"/>
      <c r="Y403" s="273"/>
      <c r="AD403" s="273"/>
      <c r="AE403" s="273"/>
      <c r="AF403" s="273"/>
      <c r="AG403" s="273"/>
      <c r="AH403" s="273"/>
      <c r="AI403" s="273"/>
    </row>
    <row r="404" spans="1:35">
      <c r="A404" s="273"/>
      <c r="B404" s="273"/>
      <c r="C404" s="273"/>
      <c r="D404" s="273"/>
      <c r="K404" s="273"/>
      <c r="L404" s="273"/>
      <c r="Q404" s="273"/>
      <c r="T404" s="273"/>
      <c r="U404" s="273"/>
      <c r="V404" s="273"/>
      <c r="W404" s="273"/>
      <c r="X404" s="273"/>
      <c r="Y404" s="273"/>
      <c r="AD404" s="273"/>
      <c r="AE404" s="273"/>
      <c r="AF404" s="273"/>
      <c r="AG404" s="273"/>
      <c r="AH404" s="273"/>
      <c r="AI404" s="273"/>
    </row>
    <row r="405" spans="1:35">
      <c r="A405" s="273"/>
      <c r="B405" s="273"/>
      <c r="C405" s="273"/>
      <c r="D405" s="273"/>
      <c r="K405" s="273"/>
      <c r="L405" s="273"/>
      <c r="Q405" s="273"/>
      <c r="T405" s="273"/>
      <c r="U405" s="273"/>
      <c r="V405" s="273"/>
      <c r="W405" s="273"/>
      <c r="X405" s="273"/>
      <c r="Y405" s="273"/>
      <c r="AD405" s="273"/>
      <c r="AE405" s="273"/>
      <c r="AF405" s="273"/>
      <c r="AG405" s="273"/>
      <c r="AH405" s="273"/>
      <c r="AI405" s="273"/>
    </row>
    <row r="406" spans="1:35">
      <c r="A406" s="273"/>
      <c r="B406" s="273"/>
      <c r="C406" s="273"/>
      <c r="D406" s="273"/>
      <c r="K406" s="273"/>
      <c r="L406" s="273"/>
      <c r="Q406" s="273"/>
      <c r="T406" s="273"/>
      <c r="U406" s="273"/>
      <c r="V406" s="273"/>
      <c r="W406" s="273"/>
      <c r="X406" s="273"/>
      <c r="Y406" s="273"/>
      <c r="AD406" s="273"/>
      <c r="AE406" s="273"/>
      <c r="AF406" s="273"/>
      <c r="AG406" s="273"/>
      <c r="AH406" s="273"/>
      <c r="AI406" s="273"/>
    </row>
    <row r="407" spans="1:35">
      <c r="A407" s="273"/>
      <c r="B407" s="273"/>
      <c r="C407" s="273"/>
      <c r="D407" s="273"/>
      <c r="K407" s="273"/>
      <c r="L407" s="273"/>
      <c r="Q407" s="273"/>
      <c r="T407" s="273"/>
      <c r="U407" s="273"/>
      <c r="V407" s="273"/>
      <c r="W407" s="273"/>
      <c r="X407" s="273"/>
      <c r="Y407" s="273"/>
      <c r="AD407" s="273"/>
      <c r="AE407" s="273"/>
      <c r="AF407" s="273"/>
      <c r="AG407" s="273"/>
      <c r="AH407" s="273"/>
      <c r="AI407" s="27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</sheetPr>
  <dimension ref="A1:BN407"/>
  <sheetViews>
    <sheetView topLeftCell="Q61" zoomScaleNormal="100" workbookViewId="0">
      <selection activeCell="X101" sqref="X101"/>
    </sheetView>
  </sheetViews>
  <sheetFormatPr defaultRowHeight="15"/>
  <cols>
    <col min="1" max="1" width="8.7109375" style="24" customWidth="1"/>
    <col min="2" max="2" width="35.28515625" style="24" bestFit="1" customWidth="1"/>
    <col min="3" max="3" width="8" style="24" bestFit="1" customWidth="1"/>
    <col min="4" max="4" width="4.140625" style="24" bestFit="1" customWidth="1"/>
    <col min="5" max="5" width="9" style="2" bestFit="1" customWidth="1"/>
    <col min="6" max="7" width="10.5703125" style="2" bestFit="1" customWidth="1"/>
    <col min="8" max="9" width="9.5703125" style="2" bestFit="1" customWidth="1"/>
    <col min="10" max="10" width="18.7109375" style="2" customWidth="1"/>
    <col min="11" max="12" width="18.7109375" style="14" customWidth="1"/>
    <col min="13" max="13" width="18.7109375" style="2" customWidth="1"/>
    <col min="14" max="16" width="10.85546875" style="2" bestFit="1" customWidth="1"/>
    <col min="17" max="17" width="10.85546875" style="13" bestFit="1" customWidth="1"/>
    <col min="18" max="18" width="11.42578125" style="2" bestFit="1" customWidth="1"/>
    <col min="19" max="19" width="12.140625" style="2" bestFit="1" customWidth="1"/>
    <col min="20" max="20" width="10.5703125" style="15" bestFit="1" customWidth="1" collapsed="1"/>
    <col min="21" max="21" width="8" style="15" bestFit="1" customWidth="1"/>
    <col min="22" max="22" width="8" style="159" bestFit="1" customWidth="1"/>
    <col min="23" max="25" width="13.28515625" style="159" customWidth="1"/>
    <col min="26" max="26" width="13.28515625" style="2" customWidth="1"/>
    <col min="27" max="27" width="7.85546875" style="2" bestFit="1" customWidth="1" collapsed="1"/>
    <col min="28" max="28" width="7.85546875" style="2" bestFit="1" customWidth="1"/>
    <col min="29" max="29" width="10.42578125" style="2" bestFit="1" customWidth="1"/>
    <col min="30" max="30" width="10.42578125" style="24" bestFit="1" customWidth="1"/>
    <col min="31" max="35" width="11" style="24" customWidth="1"/>
    <col min="36" max="40" width="11" style="2" customWidth="1"/>
    <col min="41" max="41" width="14.28515625" style="2" bestFit="1" customWidth="1"/>
    <col min="42" max="42" width="14.28515625" style="2" bestFit="1" customWidth="1" collapsed="1"/>
    <col min="43" max="46" width="8.140625" style="2" bestFit="1" customWidth="1"/>
    <col min="47" max="48" width="9" style="2" bestFit="1" customWidth="1"/>
    <col min="49" max="49" width="10" style="2" bestFit="1" customWidth="1"/>
    <col min="50" max="50" width="9.140625" style="2"/>
    <col min="51" max="59" width="13.7109375" style="2" customWidth="1"/>
    <col min="60" max="255" width="9.140625" style="2"/>
    <col min="256" max="256" width="0" style="2" hidden="1" customWidth="1"/>
    <col min="257" max="257" width="9.140625" style="2"/>
    <col min="258" max="258" width="28.140625" style="2" customWidth="1"/>
    <col min="259" max="260" width="0" style="2" hidden="1" customWidth="1"/>
    <col min="261" max="267" width="11" style="2" customWidth="1"/>
    <col min="268" max="269" width="0" style="2" hidden="1" customWidth="1"/>
    <col min="270" max="271" width="11" style="2" customWidth="1"/>
    <col min="272" max="273" width="0" style="2" hidden="1" customWidth="1"/>
    <col min="274" max="274" width="11" style="2" customWidth="1"/>
    <col min="275" max="275" width="16.5703125" style="2" customWidth="1"/>
    <col min="276" max="279" width="11" style="2" customWidth="1"/>
    <col min="280" max="281" width="11.140625" style="2" customWidth="1"/>
    <col min="282" max="305" width="11" style="2" customWidth="1"/>
    <col min="306" max="511" width="9.140625" style="2"/>
    <col min="512" max="512" width="0" style="2" hidden="1" customWidth="1"/>
    <col min="513" max="513" width="9.140625" style="2"/>
    <col min="514" max="514" width="28.140625" style="2" customWidth="1"/>
    <col min="515" max="516" width="0" style="2" hidden="1" customWidth="1"/>
    <col min="517" max="523" width="11" style="2" customWidth="1"/>
    <col min="524" max="525" width="0" style="2" hidden="1" customWidth="1"/>
    <col min="526" max="527" width="11" style="2" customWidth="1"/>
    <col min="528" max="529" width="0" style="2" hidden="1" customWidth="1"/>
    <col min="530" max="530" width="11" style="2" customWidth="1"/>
    <col min="531" max="531" width="16.5703125" style="2" customWidth="1"/>
    <col min="532" max="535" width="11" style="2" customWidth="1"/>
    <col min="536" max="537" width="11.140625" style="2" customWidth="1"/>
    <col min="538" max="561" width="11" style="2" customWidth="1"/>
    <col min="562" max="767" width="9.140625" style="2"/>
    <col min="768" max="768" width="0" style="2" hidden="1" customWidth="1"/>
    <col min="769" max="769" width="9.140625" style="2"/>
    <col min="770" max="770" width="28.140625" style="2" customWidth="1"/>
    <col min="771" max="772" width="0" style="2" hidden="1" customWidth="1"/>
    <col min="773" max="779" width="11" style="2" customWidth="1"/>
    <col min="780" max="781" width="0" style="2" hidden="1" customWidth="1"/>
    <col min="782" max="783" width="11" style="2" customWidth="1"/>
    <col min="784" max="785" width="0" style="2" hidden="1" customWidth="1"/>
    <col min="786" max="786" width="11" style="2" customWidth="1"/>
    <col min="787" max="787" width="16.5703125" style="2" customWidth="1"/>
    <col min="788" max="791" width="11" style="2" customWidth="1"/>
    <col min="792" max="793" width="11.140625" style="2" customWidth="1"/>
    <col min="794" max="817" width="11" style="2" customWidth="1"/>
    <col min="818" max="1023" width="9.140625" style="2"/>
    <col min="1024" max="1024" width="0" style="2" hidden="1" customWidth="1"/>
    <col min="1025" max="1025" width="9.140625" style="2"/>
    <col min="1026" max="1026" width="28.140625" style="2" customWidth="1"/>
    <col min="1027" max="1028" width="0" style="2" hidden="1" customWidth="1"/>
    <col min="1029" max="1035" width="11" style="2" customWidth="1"/>
    <col min="1036" max="1037" width="0" style="2" hidden="1" customWidth="1"/>
    <col min="1038" max="1039" width="11" style="2" customWidth="1"/>
    <col min="1040" max="1041" width="0" style="2" hidden="1" customWidth="1"/>
    <col min="1042" max="1042" width="11" style="2" customWidth="1"/>
    <col min="1043" max="1043" width="16.5703125" style="2" customWidth="1"/>
    <col min="1044" max="1047" width="11" style="2" customWidth="1"/>
    <col min="1048" max="1049" width="11.140625" style="2" customWidth="1"/>
    <col min="1050" max="1073" width="11" style="2" customWidth="1"/>
    <col min="1074" max="1279" width="9.140625" style="2"/>
    <col min="1280" max="1280" width="0" style="2" hidden="1" customWidth="1"/>
    <col min="1281" max="1281" width="9.140625" style="2"/>
    <col min="1282" max="1282" width="28.140625" style="2" customWidth="1"/>
    <col min="1283" max="1284" width="0" style="2" hidden="1" customWidth="1"/>
    <col min="1285" max="1291" width="11" style="2" customWidth="1"/>
    <col min="1292" max="1293" width="0" style="2" hidden="1" customWidth="1"/>
    <col min="1294" max="1295" width="11" style="2" customWidth="1"/>
    <col min="1296" max="1297" width="0" style="2" hidden="1" customWidth="1"/>
    <col min="1298" max="1298" width="11" style="2" customWidth="1"/>
    <col min="1299" max="1299" width="16.5703125" style="2" customWidth="1"/>
    <col min="1300" max="1303" width="11" style="2" customWidth="1"/>
    <col min="1304" max="1305" width="11.140625" style="2" customWidth="1"/>
    <col min="1306" max="1329" width="11" style="2" customWidth="1"/>
    <col min="1330" max="1535" width="9.140625" style="2"/>
    <col min="1536" max="1536" width="0" style="2" hidden="1" customWidth="1"/>
    <col min="1537" max="1537" width="9.140625" style="2"/>
    <col min="1538" max="1538" width="28.140625" style="2" customWidth="1"/>
    <col min="1539" max="1540" width="0" style="2" hidden="1" customWidth="1"/>
    <col min="1541" max="1547" width="11" style="2" customWidth="1"/>
    <col min="1548" max="1549" width="0" style="2" hidden="1" customWidth="1"/>
    <col min="1550" max="1551" width="11" style="2" customWidth="1"/>
    <col min="1552" max="1553" width="0" style="2" hidden="1" customWidth="1"/>
    <col min="1554" max="1554" width="11" style="2" customWidth="1"/>
    <col min="1555" max="1555" width="16.5703125" style="2" customWidth="1"/>
    <col min="1556" max="1559" width="11" style="2" customWidth="1"/>
    <col min="1560" max="1561" width="11.140625" style="2" customWidth="1"/>
    <col min="1562" max="1585" width="11" style="2" customWidth="1"/>
    <col min="1586" max="1791" width="9.140625" style="2"/>
    <col min="1792" max="1792" width="0" style="2" hidden="1" customWidth="1"/>
    <col min="1793" max="1793" width="9.140625" style="2"/>
    <col min="1794" max="1794" width="28.140625" style="2" customWidth="1"/>
    <col min="1795" max="1796" width="0" style="2" hidden="1" customWidth="1"/>
    <col min="1797" max="1803" width="11" style="2" customWidth="1"/>
    <col min="1804" max="1805" width="0" style="2" hidden="1" customWidth="1"/>
    <col min="1806" max="1807" width="11" style="2" customWidth="1"/>
    <col min="1808" max="1809" width="0" style="2" hidden="1" customWidth="1"/>
    <col min="1810" max="1810" width="11" style="2" customWidth="1"/>
    <col min="1811" max="1811" width="16.5703125" style="2" customWidth="1"/>
    <col min="1812" max="1815" width="11" style="2" customWidth="1"/>
    <col min="1816" max="1817" width="11.140625" style="2" customWidth="1"/>
    <col min="1818" max="1841" width="11" style="2" customWidth="1"/>
    <col min="1842" max="2047" width="9.140625" style="2"/>
    <col min="2048" max="2048" width="0" style="2" hidden="1" customWidth="1"/>
    <col min="2049" max="2049" width="9.140625" style="2"/>
    <col min="2050" max="2050" width="28.140625" style="2" customWidth="1"/>
    <col min="2051" max="2052" width="0" style="2" hidden="1" customWidth="1"/>
    <col min="2053" max="2059" width="11" style="2" customWidth="1"/>
    <col min="2060" max="2061" width="0" style="2" hidden="1" customWidth="1"/>
    <col min="2062" max="2063" width="11" style="2" customWidth="1"/>
    <col min="2064" max="2065" width="0" style="2" hidden="1" customWidth="1"/>
    <col min="2066" max="2066" width="11" style="2" customWidth="1"/>
    <col min="2067" max="2067" width="16.5703125" style="2" customWidth="1"/>
    <col min="2068" max="2071" width="11" style="2" customWidth="1"/>
    <col min="2072" max="2073" width="11.140625" style="2" customWidth="1"/>
    <col min="2074" max="2097" width="11" style="2" customWidth="1"/>
    <col min="2098" max="2303" width="9.140625" style="2"/>
    <col min="2304" max="2304" width="0" style="2" hidden="1" customWidth="1"/>
    <col min="2305" max="2305" width="9.140625" style="2"/>
    <col min="2306" max="2306" width="28.140625" style="2" customWidth="1"/>
    <col min="2307" max="2308" width="0" style="2" hidden="1" customWidth="1"/>
    <col min="2309" max="2315" width="11" style="2" customWidth="1"/>
    <col min="2316" max="2317" width="0" style="2" hidden="1" customWidth="1"/>
    <col min="2318" max="2319" width="11" style="2" customWidth="1"/>
    <col min="2320" max="2321" width="0" style="2" hidden="1" customWidth="1"/>
    <col min="2322" max="2322" width="11" style="2" customWidth="1"/>
    <col min="2323" max="2323" width="16.5703125" style="2" customWidth="1"/>
    <col min="2324" max="2327" width="11" style="2" customWidth="1"/>
    <col min="2328" max="2329" width="11.140625" style="2" customWidth="1"/>
    <col min="2330" max="2353" width="11" style="2" customWidth="1"/>
    <col min="2354" max="2559" width="9.140625" style="2"/>
    <col min="2560" max="2560" width="0" style="2" hidden="1" customWidth="1"/>
    <col min="2561" max="2561" width="9.140625" style="2"/>
    <col min="2562" max="2562" width="28.140625" style="2" customWidth="1"/>
    <col min="2563" max="2564" width="0" style="2" hidden="1" customWidth="1"/>
    <col min="2565" max="2571" width="11" style="2" customWidth="1"/>
    <col min="2572" max="2573" width="0" style="2" hidden="1" customWidth="1"/>
    <col min="2574" max="2575" width="11" style="2" customWidth="1"/>
    <col min="2576" max="2577" width="0" style="2" hidden="1" customWidth="1"/>
    <col min="2578" max="2578" width="11" style="2" customWidth="1"/>
    <col min="2579" max="2579" width="16.5703125" style="2" customWidth="1"/>
    <col min="2580" max="2583" width="11" style="2" customWidth="1"/>
    <col min="2584" max="2585" width="11.140625" style="2" customWidth="1"/>
    <col min="2586" max="2609" width="11" style="2" customWidth="1"/>
    <col min="2610" max="2815" width="9.140625" style="2"/>
    <col min="2816" max="2816" width="0" style="2" hidden="1" customWidth="1"/>
    <col min="2817" max="2817" width="9.140625" style="2"/>
    <col min="2818" max="2818" width="28.140625" style="2" customWidth="1"/>
    <col min="2819" max="2820" width="0" style="2" hidden="1" customWidth="1"/>
    <col min="2821" max="2827" width="11" style="2" customWidth="1"/>
    <col min="2828" max="2829" width="0" style="2" hidden="1" customWidth="1"/>
    <col min="2830" max="2831" width="11" style="2" customWidth="1"/>
    <col min="2832" max="2833" width="0" style="2" hidden="1" customWidth="1"/>
    <col min="2834" max="2834" width="11" style="2" customWidth="1"/>
    <col min="2835" max="2835" width="16.5703125" style="2" customWidth="1"/>
    <col min="2836" max="2839" width="11" style="2" customWidth="1"/>
    <col min="2840" max="2841" width="11.140625" style="2" customWidth="1"/>
    <col min="2842" max="2865" width="11" style="2" customWidth="1"/>
    <col min="2866" max="3071" width="9.140625" style="2"/>
    <col min="3072" max="3072" width="0" style="2" hidden="1" customWidth="1"/>
    <col min="3073" max="3073" width="9.140625" style="2"/>
    <col min="3074" max="3074" width="28.140625" style="2" customWidth="1"/>
    <col min="3075" max="3076" width="0" style="2" hidden="1" customWidth="1"/>
    <col min="3077" max="3083" width="11" style="2" customWidth="1"/>
    <col min="3084" max="3085" width="0" style="2" hidden="1" customWidth="1"/>
    <col min="3086" max="3087" width="11" style="2" customWidth="1"/>
    <col min="3088" max="3089" width="0" style="2" hidden="1" customWidth="1"/>
    <col min="3090" max="3090" width="11" style="2" customWidth="1"/>
    <col min="3091" max="3091" width="16.5703125" style="2" customWidth="1"/>
    <col min="3092" max="3095" width="11" style="2" customWidth="1"/>
    <col min="3096" max="3097" width="11.140625" style="2" customWidth="1"/>
    <col min="3098" max="3121" width="11" style="2" customWidth="1"/>
    <col min="3122" max="3327" width="9.140625" style="2"/>
    <col min="3328" max="3328" width="0" style="2" hidden="1" customWidth="1"/>
    <col min="3329" max="3329" width="9.140625" style="2"/>
    <col min="3330" max="3330" width="28.140625" style="2" customWidth="1"/>
    <col min="3331" max="3332" width="0" style="2" hidden="1" customWidth="1"/>
    <col min="3333" max="3339" width="11" style="2" customWidth="1"/>
    <col min="3340" max="3341" width="0" style="2" hidden="1" customWidth="1"/>
    <col min="3342" max="3343" width="11" style="2" customWidth="1"/>
    <col min="3344" max="3345" width="0" style="2" hidden="1" customWidth="1"/>
    <col min="3346" max="3346" width="11" style="2" customWidth="1"/>
    <col min="3347" max="3347" width="16.5703125" style="2" customWidth="1"/>
    <col min="3348" max="3351" width="11" style="2" customWidth="1"/>
    <col min="3352" max="3353" width="11.140625" style="2" customWidth="1"/>
    <col min="3354" max="3377" width="11" style="2" customWidth="1"/>
    <col min="3378" max="3583" width="9.140625" style="2"/>
    <col min="3584" max="3584" width="0" style="2" hidden="1" customWidth="1"/>
    <col min="3585" max="3585" width="9.140625" style="2"/>
    <col min="3586" max="3586" width="28.140625" style="2" customWidth="1"/>
    <col min="3587" max="3588" width="0" style="2" hidden="1" customWidth="1"/>
    <col min="3589" max="3595" width="11" style="2" customWidth="1"/>
    <col min="3596" max="3597" width="0" style="2" hidden="1" customWidth="1"/>
    <col min="3598" max="3599" width="11" style="2" customWidth="1"/>
    <col min="3600" max="3601" width="0" style="2" hidden="1" customWidth="1"/>
    <col min="3602" max="3602" width="11" style="2" customWidth="1"/>
    <col min="3603" max="3603" width="16.5703125" style="2" customWidth="1"/>
    <col min="3604" max="3607" width="11" style="2" customWidth="1"/>
    <col min="3608" max="3609" width="11.140625" style="2" customWidth="1"/>
    <col min="3610" max="3633" width="11" style="2" customWidth="1"/>
    <col min="3634" max="3839" width="9.140625" style="2"/>
    <col min="3840" max="3840" width="0" style="2" hidden="1" customWidth="1"/>
    <col min="3841" max="3841" width="9.140625" style="2"/>
    <col min="3842" max="3842" width="28.140625" style="2" customWidth="1"/>
    <col min="3843" max="3844" width="0" style="2" hidden="1" customWidth="1"/>
    <col min="3845" max="3851" width="11" style="2" customWidth="1"/>
    <col min="3852" max="3853" width="0" style="2" hidden="1" customWidth="1"/>
    <col min="3854" max="3855" width="11" style="2" customWidth="1"/>
    <col min="3856" max="3857" width="0" style="2" hidden="1" customWidth="1"/>
    <col min="3858" max="3858" width="11" style="2" customWidth="1"/>
    <col min="3859" max="3859" width="16.5703125" style="2" customWidth="1"/>
    <col min="3860" max="3863" width="11" style="2" customWidth="1"/>
    <col min="3864" max="3865" width="11.140625" style="2" customWidth="1"/>
    <col min="3866" max="3889" width="11" style="2" customWidth="1"/>
    <col min="3890" max="4095" width="9.140625" style="2"/>
    <col min="4096" max="4096" width="0" style="2" hidden="1" customWidth="1"/>
    <col min="4097" max="4097" width="9.140625" style="2"/>
    <col min="4098" max="4098" width="28.140625" style="2" customWidth="1"/>
    <col min="4099" max="4100" width="0" style="2" hidden="1" customWidth="1"/>
    <col min="4101" max="4107" width="11" style="2" customWidth="1"/>
    <col min="4108" max="4109" width="0" style="2" hidden="1" customWidth="1"/>
    <col min="4110" max="4111" width="11" style="2" customWidth="1"/>
    <col min="4112" max="4113" width="0" style="2" hidden="1" customWidth="1"/>
    <col min="4114" max="4114" width="11" style="2" customWidth="1"/>
    <col min="4115" max="4115" width="16.5703125" style="2" customWidth="1"/>
    <col min="4116" max="4119" width="11" style="2" customWidth="1"/>
    <col min="4120" max="4121" width="11.140625" style="2" customWidth="1"/>
    <col min="4122" max="4145" width="11" style="2" customWidth="1"/>
    <col min="4146" max="4351" width="9.140625" style="2"/>
    <col min="4352" max="4352" width="0" style="2" hidden="1" customWidth="1"/>
    <col min="4353" max="4353" width="9.140625" style="2"/>
    <col min="4354" max="4354" width="28.140625" style="2" customWidth="1"/>
    <col min="4355" max="4356" width="0" style="2" hidden="1" customWidth="1"/>
    <col min="4357" max="4363" width="11" style="2" customWidth="1"/>
    <col min="4364" max="4365" width="0" style="2" hidden="1" customWidth="1"/>
    <col min="4366" max="4367" width="11" style="2" customWidth="1"/>
    <col min="4368" max="4369" width="0" style="2" hidden="1" customWidth="1"/>
    <col min="4370" max="4370" width="11" style="2" customWidth="1"/>
    <col min="4371" max="4371" width="16.5703125" style="2" customWidth="1"/>
    <col min="4372" max="4375" width="11" style="2" customWidth="1"/>
    <col min="4376" max="4377" width="11.140625" style="2" customWidth="1"/>
    <col min="4378" max="4401" width="11" style="2" customWidth="1"/>
    <col min="4402" max="4607" width="9.140625" style="2"/>
    <col min="4608" max="4608" width="0" style="2" hidden="1" customWidth="1"/>
    <col min="4609" max="4609" width="9.140625" style="2"/>
    <col min="4610" max="4610" width="28.140625" style="2" customWidth="1"/>
    <col min="4611" max="4612" width="0" style="2" hidden="1" customWidth="1"/>
    <col min="4613" max="4619" width="11" style="2" customWidth="1"/>
    <col min="4620" max="4621" width="0" style="2" hidden="1" customWidth="1"/>
    <col min="4622" max="4623" width="11" style="2" customWidth="1"/>
    <col min="4624" max="4625" width="0" style="2" hidden="1" customWidth="1"/>
    <col min="4626" max="4626" width="11" style="2" customWidth="1"/>
    <col min="4627" max="4627" width="16.5703125" style="2" customWidth="1"/>
    <col min="4628" max="4631" width="11" style="2" customWidth="1"/>
    <col min="4632" max="4633" width="11.140625" style="2" customWidth="1"/>
    <col min="4634" max="4657" width="11" style="2" customWidth="1"/>
    <col min="4658" max="4863" width="9.140625" style="2"/>
    <col min="4864" max="4864" width="0" style="2" hidden="1" customWidth="1"/>
    <col min="4865" max="4865" width="9.140625" style="2"/>
    <col min="4866" max="4866" width="28.140625" style="2" customWidth="1"/>
    <col min="4867" max="4868" width="0" style="2" hidden="1" customWidth="1"/>
    <col min="4869" max="4875" width="11" style="2" customWidth="1"/>
    <col min="4876" max="4877" width="0" style="2" hidden="1" customWidth="1"/>
    <col min="4878" max="4879" width="11" style="2" customWidth="1"/>
    <col min="4880" max="4881" width="0" style="2" hidden="1" customWidth="1"/>
    <col min="4882" max="4882" width="11" style="2" customWidth="1"/>
    <col min="4883" max="4883" width="16.5703125" style="2" customWidth="1"/>
    <col min="4884" max="4887" width="11" style="2" customWidth="1"/>
    <col min="4888" max="4889" width="11.140625" style="2" customWidth="1"/>
    <col min="4890" max="4913" width="11" style="2" customWidth="1"/>
    <col min="4914" max="5119" width="9.140625" style="2"/>
    <col min="5120" max="5120" width="0" style="2" hidden="1" customWidth="1"/>
    <col min="5121" max="5121" width="9.140625" style="2"/>
    <col min="5122" max="5122" width="28.140625" style="2" customWidth="1"/>
    <col min="5123" max="5124" width="0" style="2" hidden="1" customWidth="1"/>
    <col min="5125" max="5131" width="11" style="2" customWidth="1"/>
    <col min="5132" max="5133" width="0" style="2" hidden="1" customWidth="1"/>
    <col min="5134" max="5135" width="11" style="2" customWidth="1"/>
    <col min="5136" max="5137" width="0" style="2" hidden="1" customWidth="1"/>
    <col min="5138" max="5138" width="11" style="2" customWidth="1"/>
    <col min="5139" max="5139" width="16.5703125" style="2" customWidth="1"/>
    <col min="5140" max="5143" width="11" style="2" customWidth="1"/>
    <col min="5144" max="5145" width="11.140625" style="2" customWidth="1"/>
    <col min="5146" max="5169" width="11" style="2" customWidth="1"/>
    <col min="5170" max="5375" width="9.140625" style="2"/>
    <col min="5376" max="5376" width="0" style="2" hidden="1" customWidth="1"/>
    <col min="5377" max="5377" width="9.140625" style="2"/>
    <col min="5378" max="5378" width="28.140625" style="2" customWidth="1"/>
    <col min="5379" max="5380" width="0" style="2" hidden="1" customWidth="1"/>
    <col min="5381" max="5387" width="11" style="2" customWidth="1"/>
    <col min="5388" max="5389" width="0" style="2" hidden="1" customWidth="1"/>
    <col min="5390" max="5391" width="11" style="2" customWidth="1"/>
    <col min="5392" max="5393" width="0" style="2" hidden="1" customWidth="1"/>
    <col min="5394" max="5394" width="11" style="2" customWidth="1"/>
    <col min="5395" max="5395" width="16.5703125" style="2" customWidth="1"/>
    <col min="5396" max="5399" width="11" style="2" customWidth="1"/>
    <col min="5400" max="5401" width="11.140625" style="2" customWidth="1"/>
    <col min="5402" max="5425" width="11" style="2" customWidth="1"/>
    <col min="5426" max="5631" width="9.140625" style="2"/>
    <col min="5632" max="5632" width="0" style="2" hidden="1" customWidth="1"/>
    <col min="5633" max="5633" width="9.140625" style="2"/>
    <col min="5634" max="5634" width="28.140625" style="2" customWidth="1"/>
    <col min="5635" max="5636" width="0" style="2" hidden="1" customWidth="1"/>
    <col min="5637" max="5643" width="11" style="2" customWidth="1"/>
    <col min="5644" max="5645" width="0" style="2" hidden="1" customWidth="1"/>
    <col min="5646" max="5647" width="11" style="2" customWidth="1"/>
    <col min="5648" max="5649" width="0" style="2" hidden="1" customWidth="1"/>
    <col min="5650" max="5650" width="11" style="2" customWidth="1"/>
    <col min="5651" max="5651" width="16.5703125" style="2" customWidth="1"/>
    <col min="5652" max="5655" width="11" style="2" customWidth="1"/>
    <col min="5656" max="5657" width="11.140625" style="2" customWidth="1"/>
    <col min="5658" max="5681" width="11" style="2" customWidth="1"/>
    <col min="5682" max="5887" width="9.140625" style="2"/>
    <col min="5888" max="5888" width="0" style="2" hidden="1" customWidth="1"/>
    <col min="5889" max="5889" width="9.140625" style="2"/>
    <col min="5890" max="5890" width="28.140625" style="2" customWidth="1"/>
    <col min="5891" max="5892" width="0" style="2" hidden="1" customWidth="1"/>
    <col min="5893" max="5899" width="11" style="2" customWidth="1"/>
    <col min="5900" max="5901" width="0" style="2" hidden="1" customWidth="1"/>
    <col min="5902" max="5903" width="11" style="2" customWidth="1"/>
    <col min="5904" max="5905" width="0" style="2" hidden="1" customWidth="1"/>
    <col min="5906" max="5906" width="11" style="2" customWidth="1"/>
    <col min="5907" max="5907" width="16.5703125" style="2" customWidth="1"/>
    <col min="5908" max="5911" width="11" style="2" customWidth="1"/>
    <col min="5912" max="5913" width="11.140625" style="2" customWidth="1"/>
    <col min="5914" max="5937" width="11" style="2" customWidth="1"/>
    <col min="5938" max="6143" width="9.140625" style="2"/>
    <col min="6144" max="6144" width="0" style="2" hidden="1" customWidth="1"/>
    <col min="6145" max="6145" width="9.140625" style="2"/>
    <col min="6146" max="6146" width="28.140625" style="2" customWidth="1"/>
    <col min="6147" max="6148" width="0" style="2" hidden="1" customWidth="1"/>
    <col min="6149" max="6155" width="11" style="2" customWidth="1"/>
    <col min="6156" max="6157" width="0" style="2" hidden="1" customWidth="1"/>
    <col min="6158" max="6159" width="11" style="2" customWidth="1"/>
    <col min="6160" max="6161" width="0" style="2" hidden="1" customWidth="1"/>
    <col min="6162" max="6162" width="11" style="2" customWidth="1"/>
    <col min="6163" max="6163" width="16.5703125" style="2" customWidth="1"/>
    <col min="6164" max="6167" width="11" style="2" customWidth="1"/>
    <col min="6168" max="6169" width="11.140625" style="2" customWidth="1"/>
    <col min="6170" max="6193" width="11" style="2" customWidth="1"/>
    <col min="6194" max="6399" width="9.140625" style="2"/>
    <col min="6400" max="6400" width="0" style="2" hidden="1" customWidth="1"/>
    <col min="6401" max="6401" width="9.140625" style="2"/>
    <col min="6402" max="6402" width="28.140625" style="2" customWidth="1"/>
    <col min="6403" max="6404" width="0" style="2" hidden="1" customWidth="1"/>
    <col min="6405" max="6411" width="11" style="2" customWidth="1"/>
    <col min="6412" max="6413" width="0" style="2" hidden="1" customWidth="1"/>
    <col min="6414" max="6415" width="11" style="2" customWidth="1"/>
    <col min="6416" max="6417" width="0" style="2" hidden="1" customWidth="1"/>
    <col min="6418" max="6418" width="11" style="2" customWidth="1"/>
    <col min="6419" max="6419" width="16.5703125" style="2" customWidth="1"/>
    <col min="6420" max="6423" width="11" style="2" customWidth="1"/>
    <col min="6424" max="6425" width="11.140625" style="2" customWidth="1"/>
    <col min="6426" max="6449" width="11" style="2" customWidth="1"/>
    <col min="6450" max="6655" width="9.140625" style="2"/>
    <col min="6656" max="6656" width="0" style="2" hidden="1" customWidth="1"/>
    <col min="6657" max="6657" width="9.140625" style="2"/>
    <col min="6658" max="6658" width="28.140625" style="2" customWidth="1"/>
    <col min="6659" max="6660" width="0" style="2" hidden="1" customWidth="1"/>
    <col min="6661" max="6667" width="11" style="2" customWidth="1"/>
    <col min="6668" max="6669" width="0" style="2" hidden="1" customWidth="1"/>
    <col min="6670" max="6671" width="11" style="2" customWidth="1"/>
    <col min="6672" max="6673" width="0" style="2" hidden="1" customWidth="1"/>
    <col min="6674" max="6674" width="11" style="2" customWidth="1"/>
    <col min="6675" max="6675" width="16.5703125" style="2" customWidth="1"/>
    <col min="6676" max="6679" width="11" style="2" customWidth="1"/>
    <col min="6680" max="6681" width="11.140625" style="2" customWidth="1"/>
    <col min="6682" max="6705" width="11" style="2" customWidth="1"/>
    <col min="6706" max="6911" width="9.140625" style="2"/>
    <col min="6912" max="6912" width="0" style="2" hidden="1" customWidth="1"/>
    <col min="6913" max="6913" width="9.140625" style="2"/>
    <col min="6914" max="6914" width="28.140625" style="2" customWidth="1"/>
    <col min="6915" max="6916" width="0" style="2" hidden="1" customWidth="1"/>
    <col min="6917" max="6923" width="11" style="2" customWidth="1"/>
    <col min="6924" max="6925" width="0" style="2" hidden="1" customWidth="1"/>
    <col min="6926" max="6927" width="11" style="2" customWidth="1"/>
    <col min="6928" max="6929" width="0" style="2" hidden="1" customWidth="1"/>
    <col min="6930" max="6930" width="11" style="2" customWidth="1"/>
    <col min="6931" max="6931" width="16.5703125" style="2" customWidth="1"/>
    <col min="6932" max="6935" width="11" style="2" customWidth="1"/>
    <col min="6936" max="6937" width="11.140625" style="2" customWidth="1"/>
    <col min="6938" max="6961" width="11" style="2" customWidth="1"/>
    <col min="6962" max="7167" width="9.140625" style="2"/>
    <col min="7168" max="7168" width="0" style="2" hidden="1" customWidth="1"/>
    <col min="7169" max="7169" width="9.140625" style="2"/>
    <col min="7170" max="7170" width="28.140625" style="2" customWidth="1"/>
    <col min="7171" max="7172" width="0" style="2" hidden="1" customWidth="1"/>
    <col min="7173" max="7179" width="11" style="2" customWidth="1"/>
    <col min="7180" max="7181" width="0" style="2" hidden="1" customWidth="1"/>
    <col min="7182" max="7183" width="11" style="2" customWidth="1"/>
    <col min="7184" max="7185" width="0" style="2" hidden="1" customWidth="1"/>
    <col min="7186" max="7186" width="11" style="2" customWidth="1"/>
    <col min="7187" max="7187" width="16.5703125" style="2" customWidth="1"/>
    <col min="7188" max="7191" width="11" style="2" customWidth="1"/>
    <col min="7192" max="7193" width="11.140625" style="2" customWidth="1"/>
    <col min="7194" max="7217" width="11" style="2" customWidth="1"/>
    <col min="7218" max="7423" width="9.140625" style="2"/>
    <col min="7424" max="7424" width="0" style="2" hidden="1" customWidth="1"/>
    <col min="7425" max="7425" width="9.140625" style="2"/>
    <col min="7426" max="7426" width="28.140625" style="2" customWidth="1"/>
    <col min="7427" max="7428" width="0" style="2" hidden="1" customWidth="1"/>
    <col min="7429" max="7435" width="11" style="2" customWidth="1"/>
    <col min="7436" max="7437" width="0" style="2" hidden="1" customWidth="1"/>
    <col min="7438" max="7439" width="11" style="2" customWidth="1"/>
    <col min="7440" max="7441" width="0" style="2" hidden="1" customWidth="1"/>
    <col min="7442" max="7442" width="11" style="2" customWidth="1"/>
    <col min="7443" max="7443" width="16.5703125" style="2" customWidth="1"/>
    <col min="7444" max="7447" width="11" style="2" customWidth="1"/>
    <col min="7448" max="7449" width="11.140625" style="2" customWidth="1"/>
    <col min="7450" max="7473" width="11" style="2" customWidth="1"/>
    <col min="7474" max="7679" width="9.140625" style="2"/>
    <col min="7680" max="7680" width="0" style="2" hidden="1" customWidth="1"/>
    <col min="7681" max="7681" width="9.140625" style="2"/>
    <col min="7682" max="7682" width="28.140625" style="2" customWidth="1"/>
    <col min="7683" max="7684" width="0" style="2" hidden="1" customWidth="1"/>
    <col min="7685" max="7691" width="11" style="2" customWidth="1"/>
    <col min="7692" max="7693" width="0" style="2" hidden="1" customWidth="1"/>
    <col min="7694" max="7695" width="11" style="2" customWidth="1"/>
    <col min="7696" max="7697" width="0" style="2" hidden="1" customWidth="1"/>
    <col min="7698" max="7698" width="11" style="2" customWidth="1"/>
    <col min="7699" max="7699" width="16.5703125" style="2" customWidth="1"/>
    <col min="7700" max="7703" width="11" style="2" customWidth="1"/>
    <col min="7704" max="7705" width="11.140625" style="2" customWidth="1"/>
    <col min="7706" max="7729" width="11" style="2" customWidth="1"/>
    <col min="7730" max="7935" width="9.140625" style="2"/>
    <col min="7936" max="7936" width="0" style="2" hidden="1" customWidth="1"/>
    <col min="7937" max="7937" width="9.140625" style="2"/>
    <col min="7938" max="7938" width="28.140625" style="2" customWidth="1"/>
    <col min="7939" max="7940" width="0" style="2" hidden="1" customWidth="1"/>
    <col min="7941" max="7947" width="11" style="2" customWidth="1"/>
    <col min="7948" max="7949" width="0" style="2" hidden="1" customWidth="1"/>
    <col min="7950" max="7951" width="11" style="2" customWidth="1"/>
    <col min="7952" max="7953" width="0" style="2" hidden="1" customWidth="1"/>
    <col min="7954" max="7954" width="11" style="2" customWidth="1"/>
    <col min="7955" max="7955" width="16.5703125" style="2" customWidth="1"/>
    <col min="7956" max="7959" width="11" style="2" customWidth="1"/>
    <col min="7960" max="7961" width="11.140625" style="2" customWidth="1"/>
    <col min="7962" max="7985" width="11" style="2" customWidth="1"/>
    <col min="7986" max="8191" width="9.140625" style="2"/>
    <col min="8192" max="8192" width="0" style="2" hidden="1" customWidth="1"/>
    <col min="8193" max="8193" width="9.140625" style="2"/>
    <col min="8194" max="8194" width="28.140625" style="2" customWidth="1"/>
    <col min="8195" max="8196" width="0" style="2" hidden="1" customWidth="1"/>
    <col min="8197" max="8203" width="11" style="2" customWidth="1"/>
    <col min="8204" max="8205" width="0" style="2" hidden="1" customWidth="1"/>
    <col min="8206" max="8207" width="11" style="2" customWidth="1"/>
    <col min="8208" max="8209" width="0" style="2" hidden="1" customWidth="1"/>
    <col min="8210" max="8210" width="11" style="2" customWidth="1"/>
    <col min="8211" max="8211" width="16.5703125" style="2" customWidth="1"/>
    <col min="8212" max="8215" width="11" style="2" customWidth="1"/>
    <col min="8216" max="8217" width="11.140625" style="2" customWidth="1"/>
    <col min="8218" max="8241" width="11" style="2" customWidth="1"/>
    <col min="8242" max="8447" width="9.140625" style="2"/>
    <col min="8448" max="8448" width="0" style="2" hidden="1" customWidth="1"/>
    <col min="8449" max="8449" width="9.140625" style="2"/>
    <col min="8450" max="8450" width="28.140625" style="2" customWidth="1"/>
    <col min="8451" max="8452" width="0" style="2" hidden="1" customWidth="1"/>
    <col min="8453" max="8459" width="11" style="2" customWidth="1"/>
    <col min="8460" max="8461" width="0" style="2" hidden="1" customWidth="1"/>
    <col min="8462" max="8463" width="11" style="2" customWidth="1"/>
    <col min="8464" max="8465" width="0" style="2" hidden="1" customWidth="1"/>
    <col min="8466" max="8466" width="11" style="2" customWidth="1"/>
    <col min="8467" max="8467" width="16.5703125" style="2" customWidth="1"/>
    <col min="8468" max="8471" width="11" style="2" customWidth="1"/>
    <col min="8472" max="8473" width="11.140625" style="2" customWidth="1"/>
    <col min="8474" max="8497" width="11" style="2" customWidth="1"/>
    <col min="8498" max="8703" width="9.140625" style="2"/>
    <col min="8704" max="8704" width="0" style="2" hidden="1" customWidth="1"/>
    <col min="8705" max="8705" width="9.140625" style="2"/>
    <col min="8706" max="8706" width="28.140625" style="2" customWidth="1"/>
    <col min="8707" max="8708" width="0" style="2" hidden="1" customWidth="1"/>
    <col min="8709" max="8715" width="11" style="2" customWidth="1"/>
    <col min="8716" max="8717" width="0" style="2" hidden="1" customWidth="1"/>
    <col min="8718" max="8719" width="11" style="2" customWidth="1"/>
    <col min="8720" max="8721" width="0" style="2" hidden="1" customWidth="1"/>
    <col min="8722" max="8722" width="11" style="2" customWidth="1"/>
    <col min="8723" max="8723" width="16.5703125" style="2" customWidth="1"/>
    <col min="8724" max="8727" width="11" style="2" customWidth="1"/>
    <col min="8728" max="8729" width="11.140625" style="2" customWidth="1"/>
    <col min="8730" max="8753" width="11" style="2" customWidth="1"/>
    <col min="8754" max="8959" width="9.140625" style="2"/>
    <col min="8960" max="8960" width="0" style="2" hidden="1" customWidth="1"/>
    <col min="8961" max="8961" width="9.140625" style="2"/>
    <col min="8962" max="8962" width="28.140625" style="2" customWidth="1"/>
    <col min="8963" max="8964" width="0" style="2" hidden="1" customWidth="1"/>
    <col min="8965" max="8971" width="11" style="2" customWidth="1"/>
    <col min="8972" max="8973" width="0" style="2" hidden="1" customWidth="1"/>
    <col min="8974" max="8975" width="11" style="2" customWidth="1"/>
    <col min="8976" max="8977" width="0" style="2" hidden="1" customWidth="1"/>
    <col min="8978" max="8978" width="11" style="2" customWidth="1"/>
    <col min="8979" max="8979" width="16.5703125" style="2" customWidth="1"/>
    <col min="8980" max="8983" width="11" style="2" customWidth="1"/>
    <col min="8984" max="8985" width="11.140625" style="2" customWidth="1"/>
    <col min="8986" max="9009" width="11" style="2" customWidth="1"/>
    <col min="9010" max="9215" width="9.140625" style="2"/>
    <col min="9216" max="9216" width="0" style="2" hidden="1" customWidth="1"/>
    <col min="9217" max="9217" width="9.140625" style="2"/>
    <col min="9218" max="9218" width="28.140625" style="2" customWidth="1"/>
    <col min="9219" max="9220" width="0" style="2" hidden="1" customWidth="1"/>
    <col min="9221" max="9227" width="11" style="2" customWidth="1"/>
    <col min="9228" max="9229" width="0" style="2" hidden="1" customWidth="1"/>
    <col min="9230" max="9231" width="11" style="2" customWidth="1"/>
    <col min="9232" max="9233" width="0" style="2" hidden="1" customWidth="1"/>
    <col min="9234" max="9234" width="11" style="2" customWidth="1"/>
    <col min="9235" max="9235" width="16.5703125" style="2" customWidth="1"/>
    <col min="9236" max="9239" width="11" style="2" customWidth="1"/>
    <col min="9240" max="9241" width="11.140625" style="2" customWidth="1"/>
    <col min="9242" max="9265" width="11" style="2" customWidth="1"/>
    <col min="9266" max="9471" width="9.140625" style="2"/>
    <col min="9472" max="9472" width="0" style="2" hidden="1" customWidth="1"/>
    <col min="9473" max="9473" width="9.140625" style="2"/>
    <col min="9474" max="9474" width="28.140625" style="2" customWidth="1"/>
    <col min="9475" max="9476" width="0" style="2" hidden="1" customWidth="1"/>
    <col min="9477" max="9483" width="11" style="2" customWidth="1"/>
    <col min="9484" max="9485" width="0" style="2" hidden="1" customWidth="1"/>
    <col min="9486" max="9487" width="11" style="2" customWidth="1"/>
    <col min="9488" max="9489" width="0" style="2" hidden="1" customWidth="1"/>
    <col min="9490" max="9490" width="11" style="2" customWidth="1"/>
    <col min="9491" max="9491" width="16.5703125" style="2" customWidth="1"/>
    <col min="9492" max="9495" width="11" style="2" customWidth="1"/>
    <col min="9496" max="9497" width="11.140625" style="2" customWidth="1"/>
    <col min="9498" max="9521" width="11" style="2" customWidth="1"/>
    <col min="9522" max="9727" width="9.140625" style="2"/>
    <col min="9728" max="9728" width="0" style="2" hidden="1" customWidth="1"/>
    <col min="9729" max="9729" width="9.140625" style="2"/>
    <col min="9730" max="9730" width="28.140625" style="2" customWidth="1"/>
    <col min="9731" max="9732" width="0" style="2" hidden="1" customWidth="1"/>
    <col min="9733" max="9739" width="11" style="2" customWidth="1"/>
    <col min="9740" max="9741" width="0" style="2" hidden="1" customWidth="1"/>
    <col min="9742" max="9743" width="11" style="2" customWidth="1"/>
    <col min="9744" max="9745" width="0" style="2" hidden="1" customWidth="1"/>
    <col min="9746" max="9746" width="11" style="2" customWidth="1"/>
    <col min="9747" max="9747" width="16.5703125" style="2" customWidth="1"/>
    <col min="9748" max="9751" width="11" style="2" customWidth="1"/>
    <col min="9752" max="9753" width="11.140625" style="2" customWidth="1"/>
    <col min="9754" max="9777" width="11" style="2" customWidth="1"/>
    <col min="9778" max="9983" width="9.140625" style="2"/>
    <col min="9984" max="9984" width="0" style="2" hidden="1" customWidth="1"/>
    <col min="9985" max="9985" width="9.140625" style="2"/>
    <col min="9986" max="9986" width="28.140625" style="2" customWidth="1"/>
    <col min="9987" max="9988" width="0" style="2" hidden="1" customWidth="1"/>
    <col min="9989" max="9995" width="11" style="2" customWidth="1"/>
    <col min="9996" max="9997" width="0" style="2" hidden="1" customWidth="1"/>
    <col min="9998" max="9999" width="11" style="2" customWidth="1"/>
    <col min="10000" max="10001" width="0" style="2" hidden="1" customWidth="1"/>
    <col min="10002" max="10002" width="11" style="2" customWidth="1"/>
    <col min="10003" max="10003" width="16.5703125" style="2" customWidth="1"/>
    <col min="10004" max="10007" width="11" style="2" customWidth="1"/>
    <col min="10008" max="10009" width="11.140625" style="2" customWidth="1"/>
    <col min="10010" max="10033" width="11" style="2" customWidth="1"/>
    <col min="10034" max="10239" width="9.140625" style="2"/>
    <col min="10240" max="10240" width="0" style="2" hidden="1" customWidth="1"/>
    <col min="10241" max="10241" width="9.140625" style="2"/>
    <col min="10242" max="10242" width="28.140625" style="2" customWidth="1"/>
    <col min="10243" max="10244" width="0" style="2" hidden="1" customWidth="1"/>
    <col min="10245" max="10251" width="11" style="2" customWidth="1"/>
    <col min="10252" max="10253" width="0" style="2" hidden="1" customWidth="1"/>
    <col min="10254" max="10255" width="11" style="2" customWidth="1"/>
    <col min="10256" max="10257" width="0" style="2" hidden="1" customWidth="1"/>
    <col min="10258" max="10258" width="11" style="2" customWidth="1"/>
    <col min="10259" max="10259" width="16.5703125" style="2" customWidth="1"/>
    <col min="10260" max="10263" width="11" style="2" customWidth="1"/>
    <col min="10264" max="10265" width="11.140625" style="2" customWidth="1"/>
    <col min="10266" max="10289" width="11" style="2" customWidth="1"/>
    <col min="10290" max="10495" width="9.140625" style="2"/>
    <col min="10496" max="10496" width="0" style="2" hidden="1" customWidth="1"/>
    <col min="10497" max="10497" width="9.140625" style="2"/>
    <col min="10498" max="10498" width="28.140625" style="2" customWidth="1"/>
    <col min="10499" max="10500" width="0" style="2" hidden="1" customWidth="1"/>
    <col min="10501" max="10507" width="11" style="2" customWidth="1"/>
    <col min="10508" max="10509" width="0" style="2" hidden="1" customWidth="1"/>
    <col min="10510" max="10511" width="11" style="2" customWidth="1"/>
    <col min="10512" max="10513" width="0" style="2" hidden="1" customWidth="1"/>
    <col min="10514" max="10514" width="11" style="2" customWidth="1"/>
    <col min="10515" max="10515" width="16.5703125" style="2" customWidth="1"/>
    <col min="10516" max="10519" width="11" style="2" customWidth="1"/>
    <col min="10520" max="10521" width="11.140625" style="2" customWidth="1"/>
    <col min="10522" max="10545" width="11" style="2" customWidth="1"/>
    <col min="10546" max="10751" width="9.140625" style="2"/>
    <col min="10752" max="10752" width="0" style="2" hidden="1" customWidth="1"/>
    <col min="10753" max="10753" width="9.140625" style="2"/>
    <col min="10754" max="10754" width="28.140625" style="2" customWidth="1"/>
    <col min="10755" max="10756" width="0" style="2" hidden="1" customWidth="1"/>
    <col min="10757" max="10763" width="11" style="2" customWidth="1"/>
    <col min="10764" max="10765" width="0" style="2" hidden="1" customWidth="1"/>
    <col min="10766" max="10767" width="11" style="2" customWidth="1"/>
    <col min="10768" max="10769" width="0" style="2" hidden="1" customWidth="1"/>
    <col min="10770" max="10770" width="11" style="2" customWidth="1"/>
    <col min="10771" max="10771" width="16.5703125" style="2" customWidth="1"/>
    <col min="10772" max="10775" width="11" style="2" customWidth="1"/>
    <col min="10776" max="10777" width="11.140625" style="2" customWidth="1"/>
    <col min="10778" max="10801" width="11" style="2" customWidth="1"/>
    <col min="10802" max="11007" width="9.140625" style="2"/>
    <col min="11008" max="11008" width="0" style="2" hidden="1" customWidth="1"/>
    <col min="11009" max="11009" width="9.140625" style="2"/>
    <col min="11010" max="11010" width="28.140625" style="2" customWidth="1"/>
    <col min="11011" max="11012" width="0" style="2" hidden="1" customWidth="1"/>
    <col min="11013" max="11019" width="11" style="2" customWidth="1"/>
    <col min="11020" max="11021" width="0" style="2" hidden="1" customWidth="1"/>
    <col min="11022" max="11023" width="11" style="2" customWidth="1"/>
    <col min="11024" max="11025" width="0" style="2" hidden="1" customWidth="1"/>
    <col min="11026" max="11026" width="11" style="2" customWidth="1"/>
    <col min="11027" max="11027" width="16.5703125" style="2" customWidth="1"/>
    <col min="11028" max="11031" width="11" style="2" customWidth="1"/>
    <col min="11032" max="11033" width="11.140625" style="2" customWidth="1"/>
    <col min="11034" max="11057" width="11" style="2" customWidth="1"/>
    <col min="11058" max="11263" width="9.140625" style="2"/>
    <col min="11264" max="11264" width="0" style="2" hidden="1" customWidth="1"/>
    <col min="11265" max="11265" width="9.140625" style="2"/>
    <col min="11266" max="11266" width="28.140625" style="2" customWidth="1"/>
    <col min="11267" max="11268" width="0" style="2" hidden="1" customWidth="1"/>
    <col min="11269" max="11275" width="11" style="2" customWidth="1"/>
    <col min="11276" max="11277" width="0" style="2" hidden="1" customWidth="1"/>
    <col min="11278" max="11279" width="11" style="2" customWidth="1"/>
    <col min="11280" max="11281" width="0" style="2" hidden="1" customWidth="1"/>
    <col min="11282" max="11282" width="11" style="2" customWidth="1"/>
    <col min="11283" max="11283" width="16.5703125" style="2" customWidth="1"/>
    <col min="11284" max="11287" width="11" style="2" customWidth="1"/>
    <col min="11288" max="11289" width="11.140625" style="2" customWidth="1"/>
    <col min="11290" max="11313" width="11" style="2" customWidth="1"/>
    <col min="11314" max="11519" width="9.140625" style="2"/>
    <col min="11520" max="11520" width="0" style="2" hidden="1" customWidth="1"/>
    <col min="11521" max="11521" width="9.140625" style="2"/>
    <col min="11522" max="11522" width="28.140625" style="2" customWidth="1"/>
    <col min="11523" max="11524" width="0" style="2" hidden="1" customWidth="1"/>
    <col min="11525" max="11531" width="11" style="2" customWidth="1"/>
    <col min="11532" max="11533" width="0" style="2" hidden="1" customWidth="1"/>
    <col min="11534" max="11535" width="11" style="2" customWidth="1"/>
    <col min="11536" max="11537" width="0" style="2" hidden="1" customWidth="1"/>
    <col min="11538" max="11538" width="11" style="2" customWidth="1"/>
    <col min="11539" max="11539" width="16.5703125" style="2" customWidth="1"/>
    <col min="11540" max="11543" width="11" style="2" customWidth="1"/>
    <col min="11544" max="11545" width="11.140625" style="2" customWidth="1"/>
    <col min="11546" max="11569" width="11" style="2" customWidth="1"/>
    <col min="11570" max="11775" width="9.140625" style="2"/>
    <col min="11776" max="11776" width="0" style="2" hidden="1" customWidth="1"/>
    <col min="11777" max="11777" width="9.140625" style="2"/>
    <col min="11778" max="11778" width="28.140625" style="2" customWidth="1"/>
    <col min="11779" max="11780" width="0" style="2" hidden="1" customWidth="1"/>
    <col min="11781" max="11787" width="11" style="2" customWidth="1"/>
    <col min="11788" max="11789" width="0" style="2" hidden="1" customWidth="1"/>
    <col min="11790" max="11791" width="11" style="2" customWidth="1"/>
    <col min="11792" max="11793" width="0" style="2" hidden="1" customWidth="1"/>
    <col min="11794" max="11794" width="11" style="2" customWidth="1"/>
    <col min="11795" max="11795" width="16.5703125" style="2" customWidth="1"/>
    <col min="11796" max="11799" width="11" style="2" customWidth="1"/>
    <col min="11800" max="11801" width="11.140625" style="2" customWidth="1"/>
    <col min="11802" max="11825" width="11" style="2" customWidth="1"/>
    <col min="11826" max="12031" width="9.140625" style="2"/>
    <col min="12032" max="12032" width="0" style="2" hidden="1" customWidth="1"/>
    <col min="12033" max="12033" width="9.140625" style="2"/>
    <col min="12034" max="12034" width="28.140625" style="2" customWidth="1"/>
    <col min="12035" max="12036" width="0" style="2" hidden="1" customWidth="1"/>
    <col min="12037" max="12043" width="11" style="2" customWidth="1"/>
    <col min="12044" max="12045" width="0" style="2" hidden="1" customWidth="1"/>
    <col min="12046" max="12047" width="11" style="2" customWidth="1"/>
    <col min="12048" max="12049" width="0" style="2" hidden="1" customWidth="1"/>
    <col min="12050" max="12050" width="11" style="2" customWidth="1"/>
    <col min="12051" max="12051" width="16.5703125" style="2" customWidth="1"/>
    <col min="12052" max="12055" width="11" style="2" customWidth="1"/>
    <col min="12056" max="12057" width="11.140625" style="2" customWidth="1"/>
    <col min="12058" max="12081" width="11" style="2" customWidth="1"/>
    <col min="12082" max="12287" width="9.140625" style="2"/>
    <col min="12288" max="12288" width="0" style="2" hidden="1" customWidth="1"/>
    <col min="12289" max="12289" width="9.140625" style="2"/>
    <col min="12290" max="12290" width="28.140625" style="2" customWidth="1"/>
    <col min="12291" max="12292" width="0" style="2" hidden="1" customWidth="1"/>
    <col min="12293" max="12299" width="11" style="2" customWidth="1"/>
    <col min="12300" max="12301" width="0" style="2" hidden="1" customWidth="1"/>
    <col min="12302" max="12303" width="11" style="2" customWidth="1"/>
    <col min="12304" max="12305" width="0" style="2" hidden="1" customWidth="1"/>
    <col min="12306" max="12306" width="11" style="2" customWidth="1"/>
    <col min="12307" max="12307" width="16.5703125" style="2" customWidth="1"/>
    <col min="12308" max="12311" width="11" style="2" customWidth="1"/>
    <col min="12312" max="12313" width="11.140625" style="2" customWidth="1"/>
    <col min="12314" max="12337" width="11" style="2" customWidth="1"/>
    <col min="12338" max="12543" width="9.140625" style="2"/>
    <col min="12544" max="12544" width="0" style="2" hidden="1" customWidth="1"/>
    <col min="12545" max="12545" width="9.140625" style="2"/>
    <col min="12546" max="12546" width="28.140625" style="2" customWidth="1"/>
    <col min="12547" max="12548" width="0" style="2" hidden="1" customWidth="1"/>
    <col min="12549" max="12555" width="11" style="2" customWidth="1"/>
    <col min="12556" max="12557" width="0" style="2" hidden="1" customWidth="1"/>
    <col min="12558" max="12559" width="11" style="2" customWidth="1"/>
    <col min="12560" max="12561" width="0" style="2" hidden="1" customWidth="1"/>
    <col min="12562" max="12562" width="11" style="2" customWidth="1"/>
    <col min="12563" max="12563" width="16.5703125" style="2" customWidth="1"/>
    <col min="12564" max="12567" width="11" style="2" customWidth="1"/>
    <col min="12568" max="12569" width="11.140625" style="2" customWidth="1"/>
    <col min="12570" max="12593" width="11" style="2" customWidth="1"/>
    <col min="12594" max="12799" width="9.140625" style="2"/>
    <col min="12800" max="12800" width="0" style="2" hidden="1" customWidth="1"/>
    <col min="12801" max="12801" width="9.140625" style="2"/>
    <col min="12802" max="12802" width="28.140625" style="2" customWidth="1"/>
    <col min="12803" max="12804" width="0" style="2" hidden="1" customWidth="1"/>
    <col min="12805" max="12811" width="11" style="2" customWidth="1"/>
    <col min="12812" max="12813" width="0" style="2" hidden="1" customWidth="1"/>
    <col min="12814" max="12815" width="11" style="2" customWidth="1"/>
    <col min="12816" max="12817" width="0" style="2" hidden="1" customWidth="1"/>
    <col min="12818" max="12818" width="11" style="2" customWidth="1"/>
    <col min="12819" max="12819" width="16.5703125" style="2" customWidth="1"/>
    <col min="12820" max="12823" width="11" style="2" customWidth="1"/>
    <col min="12824" max="12825" width="11.140625" style="2" customWidth="1"/>
    <col min="12826" max="12849" width="11" style="2" customWidth="1"/>
    <col min="12850" max="13055" width="9.140625" style="2"/>
    <col min="13056" max="13056" width="0" style="2" hidden="1" customWidth="1"/>
    <col min="13057" max="13057" width="9.140625" style="2"/>
    <col min="13058" max="13058" width="28.140625" style="2" customWidth="1"/>
    <col min="13059" max="13060" width="0" style="2" hidden="1" customWidth="1"/>
    <col min="13061" max="13067" width="11" style="2" customWidth="1"/>
    <col min="13068" max="13069" width="0" style="2" hidden="1" customWidth="1"/>
    <col min="13070" max="13071" width="11" style="2" customWidth="1"/>
    <col min="13072" max="13073" width="0" style="2" hidden="1" customWidth="1"/>
    <col min="13074" max="13074" width="11" style="2" customWidth="1"/>
    <col min="13075" max="13075" width="16.5703125" style="2" customWidth="1"/>
    <col min="13076" max="13079" width="11" style="2" customWidth="1"/>
    <col min="13080" max="13081" width="11.140625" style="2" customWidth="1"/>
    <col min="13082" max="13105" width="11" style="2" customWidth="1"/>
    <col min="13106" max="13311" width="9.140625" style="2"/>
    <col min="13312" max="13312" width="0" style="2" hidden="1" customWidth="1"/>
    <col min="13313" max="13313" width="9.140625" style="2"/>
    <col min="13314" max="13314" width="28.140625" style="2" customWidth="1"/>
    <col min="13315" max="13316" width="0" style="2" hidden="1" customWidth="1"/>
    <col min="13317" max="13323" width="11" style="2" customWidth="1"/>
    <col min="13324" max="13325" width="0" style="2" hidden="1" customWidth="1"/>
    <col min="13326" max="13327" width="11" style="2" customWidth="1"/>
    <col min="13328" max="13329" width="0" style="2" hidden="1" customWidth="1"/>
    <col min="13330" max="13330" width="11" style="2" customWidth="1"/>
    <col min="13331" max="13331" width="16.5703125" style="2" customWidth="1"/>
    <col min="13332" max="13335" width="11" style="2" customWidth="1"/>
    <col min="13336" max="13337" width="11.140625" style="2" customWidth="1"/>
    <col min="13338" max="13361" width="11" style="2" customWidth="1"/>
    <col min="13362" max="13567" width="9.140625" style="2"/>
    <col min="13568" max="13568" width="0" style="2" hidden="1" customWidth="1"/>
    <col min="13569" max="13569" width="9.140625" style="2"/>
    <col min="13570" max="13570" width="28.140625" style="2" customWidth="1"/>
    <col min="13571" max="13572" width="0" style="2" hidden="1" customWidth="1"/>
    <col min="13573" max="13579" width="11" style="2" customWidth="1"/>
    <col min="13580" max="13581" width="0" style="2" hidden="1" customWidth="1"/>
    <col min="13582" max="13583" width="11" style="2" customWidth="1"/>
    <col min="13584" max="13585" width="0" style="2" hidden="1" customWidth="1"/>
    <col min="13586" max="13586" width="11" style="2" customWidth="1"/>
    <col min="13587" max="13587" width="16.5703125" style="2" customWidth="1"/>
    <col min="13588" max="13591" width="11" style="2" customWidth="1"/>
    <col min="13592" max="13593" width="11.140625" style="2" customWidth="1"/>
    <col min="13594" max="13617" width="11" style="2" customWidth="1"/>
    <col min="13618" max="13823" width="9.140625" style="2"/>
    <col min="13824" max="13824" width="0" style="2" hidden="1" customWidth="1"/>
    <col min="13825" max="13825" width="9.140625" style="2"/>
    <col min="13826" max="13826" width="28.140625" style="2" customWidth="1"/>
    <col min="13827" max="13828" width="0" style="2" hidden="1" customWidth="1"/>
    <col min="13829" max="13835" width="11" style="2" customWidth="1"/>
    <col min="13836" max="13837" width="0" style="2" hidden="1" customWidth="1"/>
    <col min="13838" max="13839" width="11" style="2" customWidth="1"/>
    <col min="13840" max="13841" width="0" style="2" hidden="1" customWidth="1"/>
    <col min="13842" max="13842" width="11" style="2" customWidth="1"/>
    <col min="13843" max="13843" width="16.5703125" style="2" customWidth="1"/>
    <col min="13844" max="13847" width="11" style="2" customWidth="1"/>
    <col min="13848" max="13849" width="11.140625" style="2" customWidth="1"/>
    <col min="13850" max="13873" width="11" style="2" customWidth="1"/>
    <col min="13874" max="14079" width="9.140625" style="2"/>
    <col min="14080" max="14080" width="0" style="2" hidden="1" customWidth="1"/>
    <col min="14081" max="14081" width="9.140625" style="2"/>
    <col min="14082" max="14082" width="28.140625" style="2" customWidth="1"/>
    <col min="14083" max="14084" width="0" style="2" hidden="1" customWidth="1"/>
    <col min="14085" max="14091" width="11" style="2" customWidth="1"/>
    <col min="14092" max="14093" width="0" style="2" hidden="1" customWidth="1"/>
    <col min="14094" max="14095" width="11" style="2" customWidth="1"/>
    <col min="14096" max="14097" width="0" style="2" hidden="1" customWidth="1"/>
    <col min="14098" max="14098" width="11" style="2" customWidth="1"/>
    <col min="14099" max="14099" width="16.5703125" style="2" customWidth="1"/>
    <col min="14100" max="14103" width="11" style="2" customWidth="1"/>
    <col min="14104" max="14105" width="11.140625" style="2" customWidth="1"/>
    <col min="14106" max="14129" width="11" style="2" customWidth="1"/>
    <col min="14130" max="14335" width="9.140625" style="2"/>
    <col min="14336" max="14336" width="0" style="2" hidden="1" customWidth="1"/>
    <col min="14337" max="14337" width="9.140625" style="2"/>
    <col min="14338" max="14338" width="28.140625" style="2" customWidth="1"/>
    <col min="14339" max="14340" width="0" style="2" hidden="1" customWidth="1"/>
    <col min="14341" max="14347" width="11" style="2" customWidth="1"/>
    <col min="14348" max="14349" width="0" style="2" hidden="1" customWidth="1"/>
    <col min="14350" max="14351" width="11" style="2" customWidth="1"/>
    <col min="14352" max="14353" width="0" style="2" hidden="1" customWidth="1"/>
    <col min="14354" max="14354" width="11" style="2" customWidth="1"/>
    <col min="14355" max="14355" width="16.5703125" style="2" customWidth="1"/>
    <col min="14356" max="14359" width="11" style="2" customWidth="1"/>
    <col min="14360" max="14361" width="11.140625" style="2" customWidth="1"/>
    <col min="14362" max="14385" width="11" style="2" customWidth="1"/>
    <col min="14386" max="14591" width="9.140625" style="2"/>
    <col min="14592" max="14592" width="0" style="2" hidden="1" customWidth="1"/>
    <col min="14593" max="14593" width="9.140625" style="2"/>
    <col min="14594" max="14594" width="28.140625" style="2" customWidth="1"/>
    <col min="14595" max="14596" width="0" style="2" hidden="1" customWidth="1"/>
    <col min="14597" max="14603" width="11" style="2" customWidth="1"/>
    <col min="14604" max="14605" width="0" style="2" hidden="1" customWidth="1"/>
    <col min="14606" max="14607" width="11" style="2" customWidth="1"/>
    <col min="14608" max="14609" width="0" style="2" hidden="1" customWidth="1"/>
    <col min="14610" max="14610" width="11" style="2" customWidth="1"/>
    <col min="14611" max="14611" width="16.5703125" style="2" customWidth="1"/>
    <col min="14612" max="14615" width="11" style="2" customWidth="1"/>
    <col min="14616" max="14617" width="11.140625" style="2" customWidth="1"/>
    <col min="14618" max="14641" width="11" style="2" customWidth="1"/>
    <col min="14642" max="14847" width="9.140625" style="2"/>
    <col min="14848" max="14848" width="0" style="2" hidden="1" customWidth="1"/>
    <col min="14849" max="14849" width="9.140625" style="2"/>
    <col min="14850" max="14850" width="28.140625" style="2" customWidth="1"/>
    <col min="14851" max="14852" width="0" style="2" hidden="1" customWidth="1"/>
    <col min="14853" max="14859" width="11" style="2" customWidth="1"/>
    <col min="14860" max="14861" width="0" style="2" hidden="1" customWidth="1"/>
    <col min="14862" max="14863" width="11" style="2" customWidth="1"/>
    <col min="14864" max="14865" width="0" style="2" hidden="1" customWidth="1"/>
    <col min="14866" max="14866" width="11" style="2" customWidth="1"/>
    <col min="14867" max="14867" width="16.5703125" style="2" customWidth="1"/>
    <col min="14868" max="14871" width="11" style="2" customWidth="1"/>
    <col min="14872" max="14873" width="11.140625" style="2" customWidth="1"/>
    <col min="14874" max="14897" width="11" style="2" customWidth="1"/>
    <col min="14898" max="15103" width="9.140625" style="2"/>
    <col min="15104" max="15104" width="0" style="2" hidden="1" customWidth="1"/>
    <col min="15105" max="15105" width="9.140625" style="2"/>
    <col min="15106" max="15106" width="28.140625" style="2" customWidth="1"/>
    <col min="15107" max="15108" width="0" style="2" hidden="1" customWidth="1"/>
    <col min="15109" max="15115" width="11" style="2" customWidth="1"/>
    <col min="15116" max="15117" width="0" style="2" hidden="1" customWidth="1"/>
    <col min="15118" max="15119" width="11" style="2" customWidth="1"/>
    <col min="15120" max="15121" width="0" style="2" hidden="1" customWidth="1"/>
    <col min="15122" max="15122" width="11" style="2" customWidth="1"/>
    <col min="15123" max="15123" width="16.5703125" style="2" customWidth="1"/>
    <col min="15124" max="15127" width="11" style="2" customWidth="1"/>
    <col min="15128" max="15129" width="11.140625" style="2" customWidth="1"/>
    <col min="15130" max="15153" width="11" style="2" customWidth="1"/>
    <col min="15154" max="15359" width="9.140625" style="2"/>
    <col min="15360" max="15360" width="0" style="2" hidden="1" customWidth="1"/>
    <col min="15361" max="15361" width="9.140625" style="2"/>
    <col min="15362" max="15362" width="28.140625" style="2" customWidth="1"/>
    <col min="15363" max="15364" width="0" style="2" hidden="1" customWidth="1"/>
    <col min="15365" max="15371" width="11" style="2" customWidth="1"/>
    <col min="15372" max="15373" width="0" style="2" hidden="1" customWidth="1"/>
    <col min="15374" max="15375" width="11" style="2" customWidth="1"/>
    <col min="15376" max="15377" width="0" style="2" hidden="1" customWidth="1"/>
    <col min="15378" max="15378" width="11" style="2" customWidth="1"/>
    <col min="15379" max="15379" width="16.5703125" style="2" customWidth="1"/>
    <col min="15380" max="15383" width="11" style="2" customWidth="1"/>
    <col min="15384" max="15385" width="11.140625" style="2" customWidth="1"/>
    <col min="15386" max="15409" width="11" style="2" customWidth="1"/>
    <col min="15410" max="15615" width="9.140625" style="2"/>
    <col min="15616" max="15616" width="0" style="2" hidden="1" customWidth="1"/>
    <col min="15617" max="15617" width="9.140625" style="2"/>
    <col min="15618" max="15618" width="28.140625" style="2" customWidth="1"/>
    <col min="15619" max="15620" width="0" style="2" hidden="1" customWidth="1"/>
    <col min="15621" max="15627" width="11" style="2" customWidth="1"/>
    <col min="15628" max="15629" width="0" style="2" hidden="1" customWidth="1"/>
    <col min="15630" max="15631" width="11" style="2" customWidth="1"/>
    <col min="15632" max="15633" width="0" style="2" hidden="1" customWidth="1"/>
    <col min="15634" max="15634" width="11" style="2" customWidth="1"/>
    <col min="15635" max="15635" width="16.5703125" style="2" customWidth="1"/>
    <col min="15636" max="15639" width="11" style="2" customWidth="1"/>
    <col min="15640" max="15641" width="11.140625" style="2" customWidth="1"/>
    <col min="15642" max="15665" width="11" style="2" customWidth="1"/>
    <col min="15666" max="15871" width="9.140625" style="2"/>
    <col min="15872" max="15872" width="0" style="2" hidden="1" customWidth="1"/>
    <col min="15873" max="15873" width="9.140625" style="2"/>
    <col min="15874" max="15874" width="28.140625" style="2" customWidth="1"/>
    <col min="15875" max="15876" width="0" style="2" hidden="1" customWidth="1"/>
    <col min="15877" max="15883" width="11" style="2" customWidth="1"/>
    <col min="15884" max="15885" width="0" style="2" hidden="1" customWidth="1"/>
    <col min="15886" max="15887" width="11" style="2" customWidth="1"/>
    <col min="15888" max="15889" width="0" style="2" hidden="1" customWidth="1"/>
    <col min="15890" max="15890" width="11" style="2" customWidth="1"/>
    <col min="15891" max="15891" width="16.5703125" style="2" customWidth="1"/>
    <col min="15892" max="15895" width="11" style="2" customWidth="1"/>
    <col min="15896" max="15897" width="11.140625" style="2" customWidth="1"/>
    <col min="15898" max="15921" width="11" style="2" customWidth="1"/>
    <col min="15922" max="16127" width="9.140625" style="2"/>
    <col min="16128" max="16128" width="0" style="2" hidden="1" customWidth="1"/>
    <col min="16129" max="16129" width="9.140625" style="2"/>
    <col min="16130" max="16130" width="28.140625" style="2" customWidth="1"/>
    <col min="16131" max="16132" width="0" style="2" hidden="1" customWidth="1"/>
    <col min="16133" max="16139" width="11" style="2" customWidth="1"/>
    <col min="16140" max="16141" width="0" style="2" hidden="1" customWidth="1"/>
    <col min="16142" max="16143" width="11" style="2" customWidth="1"/>
    <col min="16144" max="16145" width="0" style="2" hidden="1" customWidth="1"/>
    <col min="16146" max="16146" width="11" style="2" customWidth="1"/>
    <col min="16147" max="16147" width="16.5703125" style="2" customWidth="1"/>
    <col min="16148" max="16151" width="11" style="2" customWidth="1"/>
    <col min="16152" max="16153" width="11.140625" style="2" customWidth="1"/>
    <col min="16154" max="16177" width="11" style="2" customWidth="1"/>
    <col min="16178" max="16384" width="9.140625" style="2"/>
  </cols>
  <sheetData>
    <row r="1" spans="1:66" s="1" customFormat="1" ht="15.75">
      <c r="A1" s="182" t="s">
        <v>142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</row>
    <row r="2" spans="1:66" ht="60">
      <c r="A2" s="175" t="s">
        <v>2</v>
      </c>
      <c r="B2" s="175" t="s">
        <v>3</v>
      </c>
      <c r="C2" s="175" t="s">
        <v>4</v>
      </c>
      <c r="D2" s="175" t="s">
        <v>5</v>
      </c>
      <c r="E2" s="175" t="s">
        <v>283</v>
      </c>
      <c r="F2" s="175" t="s">
        <v>281</v>
      </c>
      <c r="G2" s="175" t="s">
        <v>282</v>
      </c>
      <c r="H2" s="175" t="s">
        <v>284</v>
      </c>
      <c r="I2" s="175" t="s">
        <v>285</v>
      </c>
      <c r="J2" s="175" t="s">
        <v>286</v>
      </c>
      <c r="K2" s="175" t="s">
        <v>287</v>
      </c>
      <c r="L2" s="175" t="s">
        <v>288</v>
      </c>
      <c r="M2" s="175" t="s">
        <v>289</v>
      </c>
      <c r="N2" s="175" t="s">
        <v>321</v>
      </c>
      <c r="O2" s="175" t="s">
        <v>322</v>
      </c>
      <c r="P2" s="175" t="s">
        <v>323</v>
      </c>
      <c r="Q2" s="175" t="s">
        <v>324</v>
      </c>
      <c r="R2" s="175" t="s">
        <v>290</v>
      </c>
      <c r="S2" s="175" t="s">
        <v>291</v>
      </c>
      <c r="T2" s="175" t="s">
        <v>292</v>
      </c>
      <c r="U2" s="175" t="s">
        <v>293</v>
      </c>
      <c r="V2" s="175" t="s">
        <v>294</v>
      </c>
      <c r="W2" s="175" t="s">
        <v>325</v>
      </c>
      <c r="X2" s="175" t="s">
        <v>326</v>
      </c>
      <c r="Y2" s="175" t="s">
        <v>295</v>
      </c>
      <c r="Z2" s="175" t="s">
        <v>296</v>
      </c>
      <c r="AA2" s="175" t="s">
        <v>297</v>
      </c>
      <c r="AB2" s="175" t="s">
        <v>298</v>
      </c>
      <c r="AC2" s="175" t="s">
        <v>299</v>
      </c>
      <c r="AD2" s="175" t="s">
        <v>300</v>
      </c>
      <c r="AE2" s="175" t="s">
        <v>301</v>
      </c>
      <c r="AF2" s="175" t="s">
        <v>302</v>
      </c>
      <c r="AG2" s="175" t="s">
        <v>303</v>
      </c>
      <c r="AH2" s="175" t="s">
        <v>304</v>
      </c>
      <c r="AI2" s="175" t="s">
        <v>305</v>
      </c>
      <c r="AJ2" s="175" t="s">
        <v>6</v>
      </c>
      <c r="AK2" s="175" t="s">
        <v>306</v>
      </c>
      <c r="AL2" s="175" t="s">
        <v>307</v>
      </c>
      <c r="AM2" s="175" t="s">
        <v>308</v>
      </c>
      <c r="AN2" s="175" t="s">
        <v>309</v>
      </c>
      <c r="AO2" s="175" t="s">
        <v>310</v>
      </c>
      <c r="AP2" s="175" t="s">
        <v>311</v>
      </c>
      <c r="AQ2" s="175" t="s">
        <v>312</v>
      </c>
      <c r="AR2" s="175" t="s">
        <v>313</v>
      </c>
      <c r="AS2" s="175" t="s">
        <v>314</v>
      </c>
      <c r="AT2" s="175" t="s">
        <v>315</v>
      </c>
      <c r="AU2" s="175" t="s">
        <v>316</v>
      </c>
      <c r="AV2" s="175" t="s">
        <v>317</v>
      </c>
      <c r="AW2" s="175" t="s">
        <v>375</v>
      </c>
      <c r="AX2" s="175" t="s">
        <v>376</v>
      </c>
      <c r="AY2" s="175" t="s">
        <v>377</v>
      </c>
      <c r="AZ2" s="175" t="s">
        <v>378</v>
      </c>
      <c r="BA2" s="175" t="s">
        <v>379</v>
      </c>
      <c r="BB2" s="175" t="s">
        <v>380</v>
      </c>
      <c r="BC2" s="175" t="s">
        <v>381</v>
      </c>
      <c r="BD2" s="175" t="s">
        <v>382</v>
      </c>
      <c r="BE2" s="175" t="s">
        <v>318</v>
      </c>
      <c r="BF2" s="175" t="s">
        <v>319</v>
      </c>
      <c r="BG2" s="175" t="s">
        <v>383</v>
      </c>
      <c r="BH2" s="175"/>
      <c r="BI2" s="175"/>
      <c r="BJ2" s="175"/>
      <c r="BK2" s="175"/>
      <c r="BL2" s="175"/>
      <c r="BM2" s="175"/>
      <c r="BN2" s="175"/>
    </row>
    <row r="3" spans="1:66">
      <c r="A3" s="174">
        <v>10005</v>
      </c>
      <c r="B3" s="174" t="s">
        <v>7</v>
      </c>
      <c r="C3" s="174">
        <v>1</v>
      </c>
      <c r="D3" s="174">
        <v>0</v>
      </c>
      <c r="E3" s="177">
        <v>0.55600000000000005</v>
      </c>
      <c r="F3" s="177">
        <v>0.54</v>
      </c>
      <c r="G3" s="177">
        <v>0.54300000000000004</v>
      </c>
      <c r="H3" s="177">
        <v>0</v>
      </c>
      <c r="I3" s="177">
        <v>0</v>
      </c>
      <c r="J3" s="177">
        <v>0</v>
      </c>
      <c r="K3" s="177">
        <v>0</v>
      </c>
      <c r="L3" s="176">
        <v>0</v>
      </c>
      <c r="M3" s="176">
        <v>0</v>
      </c>
      <c r="N3" s="177">
        <v>0.53100000000000003</v>
      </c>
      <c r="O3" s="177">
        <v>0.53500000000000003</v>
      </c>
      <c r="P3" s="176">
        <v>4651.5600000000004</v>
      </c>
      <c r="Q3" s="176">
        <v>4686.6000000000004</v>
      </c>
      <c r="R3" s="174">
        <v>0.53900000000000003</v>
      </c>
      <c r="S3" s="176">
        <v>4721.6400000000003</v>
      </c>
      <c r="T3" s="176">
        <v>4721.6400000000003</v>
      </c>
      <c r="U3" s="177">
        <v>0</v>
      </c>
      <c r="V3" s="177">
        <v>0</v>
      </c>
      <c r="W3" s="177">
        <v>0</v>
      </c>
      <c r="X3" s="177">
        <v>0</v>
      </c>
      <c r="Y3" s="177">
        <v>0</v>
      </c>
      <c r="Z3" s="177">
        <v>0</v>
      </c>
      <c r="AA3" s="174">
        <v>0</v>
      </c>
      <c r="AB3" s="174">
        <v>0</v>
      </c>
      <c r="AC3" s="177">
        <v>0</v>
      </c>
      <c r="AD3" s="177">
        <v>0</v>
      </c>
      <c r="AE3" s="178">
        <v>7.6500000000000003E-5</v>
      </c>
      <c r="AF3" s="178">
        <v>7.7000000000000001E-5</v>
      </c>
      <c r="AG3" s="178">
        <v>0</v>
      </c>
      <c r="AH3" s="178">
        <v>7.6500000000000003E-5</v>
      </c>
      <c r="AI3" s="178">
        <v>7.7000000000000001E-5</v>
      </c>
      <c r="AJ3" s="178">
        <v>7.6749999999999995E-5</v>
      </c>
      <c r="AK3" s="178">
        <v>1</v>
      </c>
      <c r="AL3" s="178">
        <v>0.99953858317757005</v>
      </c>
      <c r="AM3" s="178">
        <v>1</v>
      </c>
      <c r="AN3" s="178">
        <v>1</v>
      </c>
      <c r="AO3" s="178">
        <v>4.4999999999999998E-2</v>
      </c>
      <c r="AP3" s="178">
        <v>4.4999999999999998E-2</v>
      </c>
      <c r="AQ3" s="174">
        <v>1</v>
      </c>
      <c r="AR3" s="174">
        <v>1</v>
      </c>
      <c r="AS3" s="177">
        <v>0</v>
      </c>
      <c r="AT3" s="177">
        <v>0</v>
      </c>
      <c r="AU3" s="177">
        <v>0</v>
      </c>
      <c r="AV3" s="177">
        <v>0</v>
      </c>
      <c r="AW3" s="177">
        <v>0</v>
      </c>
      <c r="AX3" s="177">
        <v>0</v>
      </c>
      <c r="AY3" s="177">
        <v>0</v>
      </c>
      <c r="AZ3" s="177">
        <v>0</v>
      </c>
      <c r="BA3" s="177">
        <v>0</v>
      </c>
      <c r="BB3" s="177">
        <v>0</v>
      </c>
      <c r="BC3" s="177">
        <v>0</v>
      </c>
      <c r="BD3" s="177">
        <v>0</v>
      </c>
      <c r="BE3" s="177">
        <v>0.53100000000000003</v>
      </c>
      <c r="BF3" s="177">
        <v>0.53500000000000003</v>
      </c>
      <c r="BG3" s="174">
        <v>0</v>
      </c>
      <c r="BH3" s="174"/>
      <c r="BI3" s="174"/>
      <c r="BJ3" s="174"/>
      <c r="BK3" s="174"/>
      <c r="BL3" s="174"/>
      <c r="BM3" s="174"/>
      <c r="BN3" s="174"/>
    </row>
    <row r="4" spans="1:66">
      <c r="A4" s="174">
        <v>10015</v>
      </c>
      <c r="B4" s="174" t="s">
        <v>8</v>
      </c>
      <c r="C4" s="174">
        <v>1</v>
      </c>
      <c r="D4" s="174">
        <v>0</v>
      </c>
      <c r="E4" s="177">
        <v>0.58199999999999996</v>
      </c>
      <c r="F4" s="177">
        <v>0.64800000000000002</v>
      </c>
      <c r="G4" s="177">
        <v>0.65900000000000003</v>
      </c>
      <c r="H4" s="177">
        <v>0</v>
      </c>
      <c r="I4" s="177">
        <v>0</v>
      </c>
      <c r="J4" s="177">
        <v>0</v>
      </c>
      <c r="K4" s="177">
        <v>0</v>
      </c>
      <c r="L4" s="176">
        <v>0</v>
      </c>
      <c r="M4" s="176">
        <v>0</v>
      </c>
      <c r="N4" s="177">
        <v>0.61799999999999999</v>
      </c>
      <c r="O4" s="177">
        <v>0.621</v>
      </c>
      <c r="P4" s="176">
        <v>5413.68</v>
      </c>
      <c r="Q4" s="176">
        <v>5439.96</v>
      </c>
      <c r="R4" s="174">
        <v>0.56399999999999995</v>
      </c>
      <c r="S4" s="176">
        <v>4940.6399999999994</v>
      </c>
      <c r="T4" s="176">
        <v>4940.6399999999994</v>
      </c>
      <c r="U4" s="177">
        <v>5.3999999999999999E-2</v>
      </c>
      <c r="V4" s="177">
        <v>5.7000000000000002E-2</v>
      </c>
      <c r="W4" s="177">
        <v>0</v>
      </c>
      <c r="X4" s="177">
        <v>0</v>
      </c>
      <c r="Y4" s="177">
        <v>5.3999999999999999E-2</v>
      </c>
      <c r="Z4" s="177">
        <v>5.7000000000000002E-2</v>
      </c>
      <c r="AA4" s="174">
        <v>0</v>
      </c>
      <c r="AB4" s="174">
        <v>0</v>
      </c>
      <c r="AC4" s="177">
        <v>0</v>
      </c>
      <c r="AD4" s="177">
        <v>0</v>
      </c>
      <c r="AE4" s="178">
        <v>8.1199999999999995E-5</v>
      </c>
      <c r="AF4" s="178">
        <v>8.1199999999999995E-5</v>
      </c>
      <c r="AG4" s="178">
        <v>0</v>
      </c>
      <c r="AH4" s="178">
        <v>8.1199999999999995E-5</v>
      </c>
      <c r="AI4" s="178">
        <v>8.1199999999999995E-5</v>
      </c>
      <c r="AJ4" s="178">
        <v>8.1199999999999995E-5</v>
      </c>
      <c r="AK4" s="178">
        <v>0.91249432880258885</v>
      </c>
      <c r="AL4" s="178">
        <v>0.9080861436392913</v>
      </c>
      <c r="AM4" s="178">
        <v>1.095744680851064</v>
      </c>
      <c r="AN4" s="178">
        <v>1.1010638297872342</v>
      </c>
      <c r="AO4" s="178">
        <v>0</v>
      </c>
      <c r="AP4" s="178">
        <v>0</v>
      </c>
      <c r="AQ4" s="174">
        <v>1</v>
      </c>
      <c r="AR4" s="174">
        <v>1</v>
      </c>
      <c r="AS4" s="177">
        <v>0</v>
      </c>
      <c r="AT4" s="177">
        <v>0</v>
      </c>
      <c r="AU4" s="177">
        <v>0</v>
      </c>
      <c r="AV4" s="177">
        <v>0</v>
      </c>
      <c r="AW4" s="177">
        <v>0</v>
      </c>
      <c r="AX4" s="177">
        <v>0</v>
      </c>
      <c r="AY4" s="177">
        <v>0</v>
      </c>
      <c r="AZ4" s="177">
        <v>0</v>
      </c>
      <c r="BA4" s="177">
        <v>0</v>
      </c>
      <c r="BB4" s="177">
        <v>0</v>
      </c>
      <c r="BC4" s="177">
        <v>0</v>
      </c>
      <c r="BD4" s="177">
        <v>0</v>
      </c>
      <c r="BE4" s="177">
        <v>0.61799999999999999</v>
      </c>
      <c r="BF4" s="177">
        <v>0.621</v>
      </c>
      <c r="BG4" s="174">
        <v>0</v>
      </c>
      <c r="BH4" s="174"/>
      <c r="BI4" s="174"/>
      <c r="BJ4" s="174"/>
      <c r="BK4" s="174"/>
      <c r="BL4" s="174"/>
      <c r="BM4" s="174"/>
      <c r="BN4" s="174"/>
    </row>
    <row r="5" spans="1:66">
      <c r="A5" s="174">
        <v>10024</v>
      </c>
      <c r="B5" s="174" t="s">
        <v>9</v>
      </c>
      <c r="C5" s="174">
        <v>1</v>
      </c>
      <c r="D5" s="174">
        <v>0</v>
      </c>
      <c r="E5" s="177">
        <v>204.28200000000001</v>
      </c>
      <c r="F5" s="177">
        <v>210.125</v>
      </c>
      <c r="G5" s="177">
        <v>210.858</v>
      </c>
      <c r="H5" s="177">
        <v>0</v>
      </c>
      <c r="I5" s="177">
        <v>0</v>
      </c>
      <c r="J5" s="177">
        <v>0.91900000000000004</v>
      </c>
      <c r="K5" s="177">
        <v>0.91900000000000004</v>
      </c>
      <c r="L5" s="176">
        <v>8050.4400000000005</v>
      </c>
      <c r="M5" s="176">
        <v>8050.4400000000005</v>
      </c>
      <c r="N5" s="177">
        <v>209.20599999999999</v>
      </c>
      <c r="O5" s="177">
        <v>209.93899999999999</v>
      </c>
      <c r="P5" s="176">
        <v>1832644.5599999998</v>
      </c>
      <c r="Q5" s="176">
        <v>1839065.64</v>
      </c>
      <c r="R5" s="174">
        <v>198.04900000000001</v>
      </c>
      <c r="S5" s="176">
        <v>1734909.24</v>
      </c>
      <c r="T5" s="176">
        <v>1734909.24</v>
      </c>
      <c r="U5" s="177">
        <v>10.856999999999999</v>
      </c>
      <c r="V5" s="177">
        <v>11.59</v>
      </c>
      <c r="W5" s="177">
        <v>10.856999999999999</v>
      </c>
      <c r="X5" s="177">
        <v>11.59</v>
      </c>
      <c r="Y5" s="177">
        <v>0</v>
      </c>
      <c r="Z5" s="177">
        <v>0</v>
      </c>
      <c r="AA5" s="174">
        <v>0</v>
      </c>
      <c r="AB5" s="174">
        <v>0</v>
      </c>
      <c r="AC5" s="177">
        <v>10.856999999999999</v>
      </c>
      <c r="AD5" s="177">
        <v>11.59</v>
      </c>
      <c r="AE5" s="178">
        <v>2.8517399999999998E-2</v>
      </c>
      <c r="AF5" s="178">
        <v>2.8517399999999998E-2</v>
      </c>
      <c r="AG5" s="178">
        <v>1.3686500000000001E-2</v>
      </c>
      <c r="AH5" s="178">
        <v>1.4830899999999998E-2</v>
      </c>
      <c r="AI5" s="178">
        <v>1.4830899999999998E-2</v>
      </c>
      <c r="AJ5" s="178">
        <v>1.4830899999999998E-2</v>
      </c>
      <c r="AK5" s="178">
        <v>0.94833060638953004</v>
      </c>
      <c r="AL5" s="178">
        <v>0.94503395018258729</v>
      </c>
      <c r="AM5" s="178">
        <v>1.056334543471565</v>
      </c>
      <c r="AN5" s="178">
        <v>1.06003564774374</v>
      </c>
      <c r="AO5" s="178">
        <v>0</v>
      </c>
      <c r="AP5" s="178">
        <v>0</v>
      </c>
      <c r="AQ5" s="174">
        <v>4</v>
      </c>
      <c r="AR5" s="174">
        <v>4</v>
      </c>
      <c r="AS5" s="177">
        <v>0</v>
      </c>
      <c r="AT5" s="177">
        <v>0</v>
      </c>
      <c r="AU5" s="177">
        <v>0</v>
      </c>
      <c r="AV5" s="177">
        <v>0</v>
      </c>
      <c r="AW5" s="177">
        <v>0</v>
      </c>
      <c r="AX5" s="177">
        <v>0</v>
      </c>
      <c r="AY5" s="177">
        <v>0</v>
      </c>
      <c r="AZ5" s="177">
        <v>0</v>
      </c>
      <c r="BA5" s="177">
        <v>0</v>
      </c>
      <c r="BB5" s="177">
        <v>0</v>
      </c>
      <c r="BC5" s="177">
        <v>0</v>
      </c>
      <c r="BD5" s="177">
        <v>0</v>
      </c>
      <c r="BE5" s="177">
        <v>198.04900000000001</v>
      </c>
      <c r="BF5" s="177">
        <v>198.04900000000001</v>
      </c>
      <c r="BG5" s="174">
        <v>0</v>
      </c>
      <c r="BH5" s="174"/>
      <c r="BI5" s="174"/>
      <c r="BJ5" s="174"/>
      <c r="BK5" s="174"/>
      <c r="BL5" s="174"/>
      <c r="BM5" s="174"/>
      <c r="BN5" s="174"/>
    </row>
    <row r="6" spans="1:66">
      <c r="A6" s="174">
        <v>10025</v>
      </c>
      <c r="B6" s="174" t="s">
        <v>10</v>
      </c>
      <c r="C6" s="174">
        <v>1</v>
      </c>
      <c r="D6" s="174">
        <v>0</v>
      </c>
      <c r="E6" s="177">
        <v>60.548999999999999</v>
      </c>
      <c r="F6" s="177">
        <v>65.39</v>
      </c>
      <c r="G6" s="177">
        <v>66.453999999999994</v>
      </c>
      <c r="H6" s="177">
        <v>0</v>
      </c>
      <c r="I6" s="177">
        <v>0</v>
      </c>
      <c r="J6" s="177">
        <v>0</v>
      </c>
      <c r="K6" s="177">
        <v>0</v>
      </c>
      <c r="L6" s="176">
        <v>0</v>
      </c>
      <c r="M6" s="176">
        <v>0</v>
      </c>
      <c r="N6" s="177">
        <v>64.710999999999999</v>
      </c>
      <c r="O6" s="177">
        <v>65.775000000000006</v>
      </c>
      <c r="P6" s="176">
        <v>566868.36</v>
      </c>
      <c r="Q6" s="176">
        <v>576189</v>
      </c>
      <c r="R6" s="174">
        <v>58.701999999999998</v>
      </c>
      <c r="S6" s="176">
        <v>514229.51999999996</v>
      </c>
      <c r="T6" s="176">
        <v>514229.51999999996</v>
      </c>
      <c r="U6" s="177">
        <v>7.5789999999999997</v>
      </c>
      <c r="V6" s="177">
        <v>8.6430000000000007</v>
      </c>
      <c r="W6" s="177">
        <v>7.5789999999999997</v>
      </c>
      <c r="X6" s="177">
        <v>8.6430000000000007</v>
      </c>
      <c r="Y6" s="177">
        <v>0</v>
      </c>
      <c r="Z6" s="177">
        <v>0</v>
      </c>
      <c r="AA6" s="174">
        <v>0</v>
      </c>
      <c r="AB6" s="174">
        <v>0</v>
      </c>
      <c r="AC6" s="177">
        <v>7.5789999999999997</v>
      </c>
      <c r="AD6" s="177">
        <v>8.6430000000000007</v>
      </c>
      <c r="AE6" s="178">
        <v>8.4525999999999994E-3</v>
      </c>
      <c r="AF6" s="178">
        <v>8.4525999999999994E-3</v>
      </c>
      <c r="AG6" s="178">
        <v>0</v>
      </c>
      <c r="AH6" s="178">
        <v>8.4525999999999994E-3</v>
      </c>
      <c r="AI6" s="178">
        <v>8.4525999999999994E-3</v>
      </c>
      <c r="AJ6" s="178">
        <v>8.4525999999999994E-3</v>
      </c>
      <c r="AK6" s="178">
        <v>0.89652148333310555</v>
      </c>
      <c r="AL6" s="178">
        <v>0.88368387000605586</v>
      </c>
      <c r="AM6" s="178">
        <v>1.1023644850260639</v>
      </c>
      <c r="AN6" s="178">
        <v>1.1204899321999251</v>
      </c>
      <c r="AO6" s="178">
        <v>6.6141869101563833E-2</v>
      </c>
      <c r="AP6" s="178">
        <v>6.7229395931995506E-2</v>
      </c>
      <c r="AQ6" s="174">
        <v>3</v>
      </c>
      <c r="AR6" s="174">
        <v>3</v>
      </c>
      <c r="AS6" s="177">
        <v>12</v>
      </c>
      <c r="AT6" s="177">
        <v>14</v>
      </c>
      <c r="AU6" s="177">
        <v>0</v>
      </c>
      <c r="AV6" s="177">
        <v>0</v>
      </c>
      <c r="AW6" s="177">
        <v>0</v>
      </c>
      <c r="AX6" s="177">
        <v>0</v>
      </c>
      <c r="AY6" s="177">
        <v>0</v>
      </c>
      <c r="AZ6" s="177">
        <v>0</v>
      </c>
      <c r="BA6" s="177">
        <v>0</v>
      </c>
      <c r="BB6" s="177">
        <v>0</v>
      </c>
      <c r="BC6" s="177">
        <v>0</v>
      </c>
      <c r="BD6" s="177">
        <v>0</v>
      </c>
      <c r="BE6" s="177">
        <v>58.701999999999998</v>
      </c>
      <c r="BF6" s="177">
        <v>58.701999999999998</v>
      </c>
      <c r="BG6" s="174">
        <v>0</v>
      </c>
      <c r="BH6" s="174"/>
      <c r="BI6" s="174"/>
      <c r="BJ6" s="174"/>
      <c r="BK6" s="174"/>
      <c r="BL6" s="174"/>
      <c r="BM6" s="174"/>
      <c r="BN6" s="174"/>
    </row>
    <row r="7" spans="1:66">
      <c r="A7" s="181">
        <v>10027</v>
      </c>
      <c r="B7" s="181" t="s">
        <v>11</v>
      </c>
      <c r="C7" s="181">
        <v>1</v>
      </c>
      <c r="D7" s="181">
        <v>0</v>
      </c>
      <c r="E7" s="177">
        <v>62.106999999999999</v>
      </c>
      <c r="F7" s="185">
        <v>63.741</v>
      </c>
      <c r="G7" s="185">
        <v>64.450999999999993</v>
      </c>
      <c r="H7" s="185">
        <v>0</v>
      </c>
      <c r="I7" s="185">
        <v>0</v>
      </c>
      <c r="J7" s="185">
        <v>0</v>
      </c>
      <c r="K7" s="185">
        <v>0</v>
      </c>
      <c r="L7" s="183">
        <v>0</v>
      </c>
      <c r="M7" s="183">
        <v>0</v>
      </c>
      <c r="N7" s="185">
        <v>63.741</v>
      </c>
      <c r="O7" s="185">
        <v>64.450999999999993</v>
      </c>
      <c r="P7" s="183">
        <v>558371.16</v>
      </c>
      <c r="Q7" s="183">
        <v>564590.75999999989</v>
      </c>
      <c r="R7" s="181">
        <v>60.212000000000003</v>
      </c>
      <c r="S7" s="183">
        <v>527457.12</v>
      </c>
      <c r="T7" s="183">
        <v>527457.12</v>
      </c>
      <c r="U7" s="185">
        <v>3.5289999999999999</v>
      </c>
      <c r="V7" s="185">
        <v>4.2389999999999999</v>
      </c>
      <c r="W7" s="177">
        <v>3.5289999999999999</v>
      </c>
      <c r="X7" s="177">
        <v>4.2389999999999999</v>
      </c>
      <c r="Y7" s="185">
        <v>0</v>
      </c>
      <c r="Z7" s="185">
        <v>0</v>
      </c>
      <c r="AA7" s="181">
        <v>1</v>
      </c>
      <c r="AB7" s="181">
        <v>1</v>
      </c>
      <c r="AC7" s="185">
        <v>2.5289999999999999</v>
      </c>
      <c r="AD7" s="185">
        <v>3.2389999999999999</v>
      </c>
      <c r="AE7" s="186">
        <v>8.6700000000000006E-3</v>
      </c>
      <c r="AF7" s="186">
        <v>8.6700000000000006E-3</v>
      </c>
      <c r="AG7" s="178">
        <v>0</v>
      </c>
      <c r="AH7" s="186">
        <v>8.6700000000000006E-3</v>
      </c>
      <c r="AI7" s="186">
        <v>8.6700000000000006E-3</v>
      </c>
      <c r="AJ7" s="186">
        <v>8.6700000000000006E-3</v>
      </c>
      <c r="AK7" s="186">
        <v>0.94463241587047586</v>
      </c>
      <c r="AL7" s="186">
        <v>0.9342262310902858</v>
      </c>
      <c r="AM7" s="186">
        <v>1.0586095794858168</v>
      </c>
      <c r="AN7" s="186">
        <v>1.0704012489204808</v>
      </c>
      <c r="AO7" s="186">
        <v>7.4102670564007184E-2</v>
      </c>
      <c r="AP7" s="186">
        <v>7.4928087424433659E-2</v>
      </c>
      <c r="AQ7" s="181">
        <v>3</v>
      </c>
      <c r="AR7" s="181">
        <v>3</v>
      </c>
      <c r="AS7" s="185">
        <v>6.45</v>
      </c>
      <c r="AT7" s="185">
        <v>7.35</v>
      </c>
      <c r="AU7" s="177">
        <v>1.5289999999999999</v>
      </c>
      <c r="AV7" s="177">
        <v>1.2390000000000001</v>
      </c>
      <c r="AW7" s="177">
        <v>0</v>
      </c>
      <c r="AX7" s="177">
        <v>0</v>
      </c>
      <c r="AY7" s="177">
        <v>0</v>
      </c>
      <c r="AZ7" s="177">
        <v>0</v>
      </c>
      <c r="BA7" s="177">
        <v>0</v>
      </c>
      <c r="BB7" s="177">
        <v>0</v>
      </c>
      <c r="BC7" s="177">
        <v>0</v>
      </c>
      <c r="BD7" s="177">
        <v>0</v>
      </c>
      <c r="BE7" s="185">
        <v>61.741</v>
      </c>
      <c r="BF7" s="185">
        <v>61.451000000000001</v>
      </c>
      <c r="BG7" s="174">
        <v>1</v>
      </c>
      <c r="BH7" s="181"/>
      <c r="BI7" s="181"/>
      <c r="BJ7" s="181"/>
      <c r="BK7" s="181"/>
      <c r="BL7" s="181"/>
      <c r="BM7" s="174"/>
      <c r="BN7" s="174"/>
    </row>
    <row r="8" spans="1:66">
      <c r="A8" s="174">
        <v>10029</v>
      </c>
      <c r="B8" s="174" t="s">
        <v>12</v>
      </c>
      <c r="C8" s="174">
        <v>0</v>
      </c>
      <c r="D8" s="174">
        <v>1</v>
      </c>
      <c r="E8" s="177">
        <v>17.879000000000001</v>
      </c>
      <c r="F8" s="177">
        <v>19.588999999999999</v>
      </c>
      <c r="G8" s="177">
        <v>19.588999999999999</v>
      </c>
      <c r="H8" s="177">
        <v>0</v>
      </c>
      <c r="I8" s="177">
        <v>0</v>
      </c>
      <c r="J8" s="177">
        <v>0</v>
      </c>
      <c r="K8" s="177">
        <v>0</v>
      </c>
      <c r="L8" s="176">
        <v>0</v>
      </c>
      <c r="M8" s="176">
        <v>0</v>
      </c>
      <c r="N8" s="177">
        <v>20.024000000000001</v>
      </c>
      <c r="O8" s="177">
        <v>20.024000000000001</v>
      </c>
      <c r="P8" s="176">
        <v>175410.24000000002</v>
      </c>
      <c r="Q8" s="176">
        <v>175410.24000000002</v>
      </c>
      <c r="R8" s="174">
        <v>17.332999999999998</v>
      </c>
      <c r="S8" s="176">
        <v>151837.07999999999</v>
      </c>
      <c r="T8" s="176">
        <v>151837.07999999999</v>
      </c>
      <c r="U8" s="177">
        <v>2.6909999999999998</v>
      </c>
      <c r="V8" s="177">
        <v>2.6909999999999998</v>
      </c>
      <c r="W8" s="177">
        <v>2.6909999999999998</v>
      </c>
      <c r="X8" s="177">
        <v>2.6909999999999998</v>
      </c>
      <c r="Y8" s="177">
        <v>0</v>
      </c>
      <c r="Z8" s="177">
        <v>0</v>
      </c>
      <c r="AA8" s="174">
        <v>0</v>
      </c>
      <c r="AB8" s="174">
        <v>0</v>
      </c>
      <c r="AC8" s="177">
        <v>2.6909999999999998</v>
      </c>
      <c r="AD8" s="177">
        <v>2.6909999999999998</v>
      </c>
      <c r="AE8" s="178">
        <v>2.4957999999999998E-3</v>
      </c>
      <c r="AF8" s="178">
        <v>2.4957999999999998E-3</v>
      </c>
      <c r="AG8" s="178">
        <v>0</v>
      </c>
      <c r="AH8" s="178">
        <v>2.4957999999999998E-3</v>
      </c>
      <c r="AI8" s="178">
        <v>2.4957999999999998E-3</v>
      </c>
      <c r="AJ8" s="178">
        <v>2.4957999999999998E-3</v>
      </c>
      <c r="AK8" s="178">
        <v>0.86560860201757872</v>
      </c>
      <c r="AL8" s="178">
        <v>0.86560860201757872</v>
      </c>
      <c r="AM8" s="178">
        <v>1.1552529856343392</v>
      </c>
      <c r="AN8" s="178">
        <v>1.1552529856343392</v>
      </c>
      <c r="AO8" s="178">
        <v>6.353891420988865E-2</v>
      </c>
      <c r="AP8" s="178">
        <v>6.353891420988865E-2</v>
      </c>
      <c r="AQ8" s="174">
        <v>6</v>
      </c>
      <c r="AR8" s="174">
        <v>6</v>
      </c>
      <c r="AS8" s="177">
        <v>0</v>
      </c>
      <c r="AT8" s="177">
        <v>0</v>
      </c>
      <c r="AU8" s="177">
        <v>0</v>
      </c>
      <c r="AV8" s="177">
        <v>0</v>
      </c>
      <c r="AW8" s="177">
        <v>0</v>
      </c>
      <c r="AX8" s="177">
        <v>0</v>
      </c>
      <c r="AY8" s="177">
        <v>0</v>
      </c>
      <c r="AZ8" s="177">
        <v>0</v>
      </c>
      <c r="BA8" s="177">
        <v>0</v>
      </c>
      <c r="BB8" s="177">
        <v>0</v>
      </c>
      <c r="BC8" s="177">
        <v>0</v>
      </c>
      <c r="BD8" s="177">
        <v>0</v>
      </c>
      <c r="BE8" s="177">
        <v>17.332999999999998</v>
      </c>
      <c r="BF8" s="177">
        <v>17.332999999999998</v>
      </c>
      <c r="BG8" s="174">
        <v>0</v>
      </c>
      <c r="BH8" s="174"/>
      <c r="BI8" s="174"/>
      <c r="BJ8" s="174"/>
      <c r="BK8" s="174"/>
      <c r="BL8" s="174"/>
      <c r="BM8" s="174"/>
      <c r="BN8" s="174"/>
    </row>
    <row r="9" spans="1:66">
      <c r="A9" s="174">
        <v>10044</v>
      </c>
      <c r="B9" s="174" t="s">
        <v>13</v>
      </c>
      <c r="C9" s="174">
        <v>1</v>
      </c>
      <c r="D9" s="174">
        <v>0</v>
      </c>
      <c r="E9" s="177">
        <v>20.611999999999998</v>
      </c>
      <c r="F9" s="177">
        <v>20.558</v>
      </c>
      <c r="G9" s="177">
        <v>20.663</v>
      </c>
      <c r="H9" s="177">
        <v>0</v>
      </c>
      <c r="I9" s="177">
        <v>0</v>
      </c>
      <c r="J9" s="177">
        <v>0</v>
      </c>
      <c r="K9" s="177">
        <v>0</v>
      </c>
      <c r="L9" s="176">
        <v>0</v>
      </c>
      <c r="M9" s="176">
        <v>0</v>
      </c>
      <c r="N9" s="177">
        <v>20.635000000000002</v>
      </c>
      <c r="O9" s="177">
        <v>20.731000000000002</v>
      </c>
      <c r="P9" s="176">
        <v>180762.6</v>
      </c>
      <c r="Q9" s="176">
        <v>181603.56000000003</v>
      </c>
      <c r="R9" s="174">
        <v>19.983000000000001</v>
      </c>
      <c r="S9" s="176">
        <v>175051.08000000002</v>
      </c>
      <c r="T9" s="176">
        <v>175051.08000000002</v>
      </c>
      <c r="U9" s="177">
        <v>0.65200000000000002</v>
      </c>
      <c r="V9" s="177">
        <v>0.748</v>
      </c>
      <c r="W9" s="177">
        <v>0</v>
      </c>
      <c r="X9" s="177">
        <v>0</v>
      </c>
      <c r="Y9" s="177">
        <v>0.65200000000000002</v>
      </c>
      <c r="Z9" s="177">
        <v>0.748</v>
      </c>
      <c r="AA9" s="174">
        <v>0</v>
      </c>
      <c r="AB9" s="174">
        <v>0</v>
      </c>
      <c r="AC9" s="177">
        <v>0</v>
      </c>
      <c r="AD9" s="177">
        <v>0</v>
      </c>
      <c r="AE9" s="178">
        <v>2.8774E-3</v>
      </c>
      <c r="AF9" s="178">
        <v>2.8774E-3</v>
      </c>
      <c r="AG9" s="178">
        <v>0</v>
      </c>
      <c r="AH9" s="178">
        <v>2.8774E-3</v>
      </c>
      <c r="AI9" s="178">
        <v>2.8774E-3</v>
      </c>
      <c r="AJ9" s="178">
        <v>2.8774E-3</v>
      </c>
      <c r="AK9" s="178">
        <v>0.96840803878846604</v>
      </c>
      <c r="AL9" s="178">
        <v>0.96392358691814173</v>
      </c>
      <c r="AM9" s="178">
        <v>1.0326277335735377</v>
      </c>
      <c r="AN9" s="178">
        <v>1.0374318170444878</v>
      </c>
      <c r="AO9" s="178">
        <v>0</v>
      </c>
      <c r="AP9" s="178">
        <v>0</v>
      </c>
      <c r="AQ9" s="174">
        <v>1</v>
      </c>
      <c r="AR9" s="174">
        <v>1</v>
      </c>
      <c r="AS9" s="177">
        <v>0</v>
      </c>
      <c r="AT9" s="177">
        <v>0</v>
      </c>
      <c r="AU9" s="177">
        <v>0</v>
      </c>
      <c r="AV9" s="177">
        <v>0</v>
      </c>
      <c r="AW9" s="177">
        <v>0</v>
      </c>
      <c r="AX9" s="177">
        <v>0</v>
      </c>
      <c r="AY9" s="177">
        <v>0</v>
      </c>
      <c r="AZ9" s="177">
        <v>0</v>
      </c>
      <c r="BA9" s="177">
        <v>0</v>
      </c>
      <c r="BB9" s="177">
        <v>0</v>
      </c>
      <c r="BC9" s="177">
        <v>0</v>
      </c>
      <c r="BD9" s="177">
        <v>0</v>
      </c>
      <c r="BE9" s="177">
        <v>20.635000000000002</v>
      </c>
      <c r="BF9" s="177">
        <v>20.731000000000002</v>
      </c>
      <c r="BG9" s="174">
        <v>0</v>
      </c>
      <c r="BH9" s="174"/>
      <c r="BI9" s="174"/>
      <c r="BJ9" s="174"/>
      <c r="BK9" s="174"/>
      <c r="BL9" s="174"/>
      <c r="BM9" s="174"/>
      <c r="BN9" s="174"/>
    </row>
    <row r="10" spans="1:66">
      <c r="A10" s="174">
        <v>10046</v>
      </c>
      <c r="B10" s="174" t="s">
        <v>14</v>
      </c>
      <c r="C10" s="174">
        <v>0</v>
      </c>
      <c r="D10" s="174">
        <v>1</v>
      </c>
      <c r="E10" s="177">
        <v>83.072000000000003</v>
      </c>
      <c r="F10" s="177">
        <v>84.552000000000007</v>
      </c>
      <c r="G10" s="177">
        <v>85.128</v>
      </c>
      <c r="H10" s="177">
        <v>0</v>
      </c>
      <c r="I10" s="177">
        <v>0</v>
      </c>
      <c r="J10" s="177">
        <v>0</v>
      </c>
      <c r="K10" s="177">
        <v>0</v>
      </c>
      <c r="L10" s="176">
        <v>0</v>
      </c>
      <c r="M10" s="176">
        <v>0</v>
      </c>
      <c r="N10" s="177">
        <v>82.606999999999999</v>
      </c>
      <c r="O10" s="177">
        <v>82.966999999999999</v>
      </c>
      <c r="P10" s="176">
        <v>723637.32</v>
      </c>
      <c r="Q10" s="176">
        <v>726790.92</v>
      </c>
      <c r="R10" s="174">
        <v>80.537000000000006</v>
      </c>
      <c r="S10" s="176">
        <v>705504.12000000011</v>
      </c>
      <c r="T10" s="176">
        <v>705504.12000000011</v>
      </c>
      <c r="U10" s="177">
        <v>2.0699999999999998</v>
      </c>
      <c r="V10" s="177">
        <v>2.4300000000000002</v>
      </c>
      <c r="W10" s="177">
        <v>2.0699999999999998</v>
      </c>
      <c r="X10" s="177">
        <v>2.4300000000000002</v>
      </c>
      <c r="Y10" s="177">
        <v>0</v>
      </c>
      <c r="Z10" s="177">
        <v>0</v>
      </c>
      <c r="AA10" s="174">
        <v>0</v>
      </c>
      <c r="AB10" s="174">
        <v>0</v>
      </c>
      <c r="AC10" s="177">
        <v>2.0699999999999998</v>
      </c>
      <c r="AD10" s="177">
        <v>2.4300000000000002</v>
      </c>
      <c r="AE10" s="178">
        <v>1.15967E-2</v>
      </c>
      <c r="AF10" s="178">
        <v>1.15967E-2</v>
      </c>
      <c r="AG10" s="178">
        <v>0</v>
      </c>
      <c r="AH10" s="178">
        <v>1.15967E-2</v>
      </c>
      <c r="AI10" s="178">
        <v>1.15967E-2</v>
      </c>
      <c r="AJ10" s="178">
        <v>1.15967E-2</v>
      </c>
      <c r="AK10" s="178">
        <v>0.97494516939484543</v>
      </c>
      <c r="AL10" s="178">
        <v>0.97071480960140777</v>
      </c>
      <c r="AM10" s="178">
        <v>1.0257024721556551</v>
      </c>
      <c r="AN10" s="178">
        <v>1.0301724673131603</v>
      </c>
      <c r="AO10" s="178">
        <v>7.1799173050895865E-2</v>
      </c>
      <c r="AP10" s="178">
        <v>7.211207271192123E-2</v>
      </c>
      <c r="AQ10" s="174">
        <v>6</v>
      </c>
      <c r="AR10" s="174">
        <v>6</v>
      </c>
      <c r="AS10" s="177">
        <v>0</v>
      </c>
      <c r="AT10" s="177">
        <v>0</v>
      </c>
      <c r="AU10" s="177">
        <v>0</v>
      </c>
      <c r="AV10" s="177">
        <v>0</v>
      </c>
      <c r="AW10" s="177">
        <v>0</v>
      </c>
      <c r="AX10" s="177">
        <v>0</v>
      </c>
      <c r="AY10" s="177">
        <v>0</v>
      </c>
      <c r="AZ10" s="177">
        <v>0</v>
      </c>
      <c r="BA10" s="177">
        <v>0</v>
      </c>
      <c r="BB10" s="177">
        <v>0</v>
      </c>
      <c r="BC10" s="177">
        <v>0</v>
      </c>
      <c r="BD10" s="177">
        <v>0</v>
      </c>
      <c r="BE10" s="177">
        <v>80.537000000000006</v>
      </c>
      <c r="BF10" s="177">
        <v>80.537000000000006</v>
      </c>
      <c r="BG10" s="174">
        <v>0</v>
      </c>
      <c r="BH10" s="174"/>
      <c r="BI10" s="174"/>
      <c r="BJ10" s="174"/>
      <c r="BK10" s="174"/>
      <c r="BL10" s="174"/>
      <c r="BM10" s="174"/>
      <c r="BN10" s="174"/>
    </row>
    <row r="11" spans="1:66">
      <c r="A11" s="174">
        <v>10047</v>
      </c>
      <c r="B11" s="174" t="s">
        <v>15</v>
      </c>
      <c r="C11" s="174">
        <v>1</v>
      </c>
      <c r="D11" s="174">
        <v>0</v>
      </c>
      <c r="E11" s="177">
        <v>159.01</v>
      </c>
      <c r="F11" s="177">
        <v>153.41300000000001</v>
      </c>
      <c r="G11" s="177">
        <v>153.78700000000001</v>
      </c>
      <c r="H11" s="177">
        <v>0</v>
      </c>
      <c r="I11" s="177">
        <v>0</v>
      </c>
      <c r="J11" s="177">
        <v>0</v>
      </c>
      <c r="K11" s="177">
        <v>0</v>
      </c>
      <c r="L11" s="176">
        <v>0</v>
      </c>
      <c r="M11" s="176">
        <v>0</v>
      </c>
      <c r="N11" s="177">
        <v>152.864</v>
      </c>
      <c r="O11" s="177">
        <v>153.239</v>
      </c>
      <c r="P11" s="176">
        <v>1339088.6400000001</v>
      </c>
      <c r="Q11" s="176">
        <v>1342373.6400000001</v>
      </c>
      <c r="R11" s="174">
        <v>154.15799999999999</v>
      </c>
      <c r="S11" s="176">
        <v>1350424.0799999998</v>
      </c>
      <c r="T11" s="176">
        <v>1350424.0799999998</v>
      </c>
      <c r="U11" s="177">
        <v>0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4">
        <v>0</v>
      </c>
      <c r="AB11" s="174">
        <v>0</v>
      </c>
      <c r="AC11" s="177">
        <v>0</v>
      </c>
      <c r="AD11" s="177">
        <v>0</v>
      </c>
      <c r="AE11" s="178">
        <v>2.2011099999999999E-2</v>
      </c>
      <c r="AF11" s="178">
        <v>2.2065100000000001E-2</v>
      </c>
      <c r="AG11" s="178">
        <v>0</v>
      </c>
      <c r="AH11" s="178">
        <v>2.2011099999999999E-2</v>
      </c>
      <c r="AI11" s="178">
        <v>2.2065100000000001E-2</v>
      </c>
      <c r="AJ11" s="178">
        <v>2.2038099999999998E-2</v>
      </c>
      <c r="AK11" s="178">
        <v>0.99999803610137095</v>
      </c>
      <c r="AL11" s="178">
        <v>0.99999818241178806</v>
      </c>
      <c r="AM11" s="178">
        <v>1</v>
      </c>
      <c r="AN11" s="178">
        <v>1</v>
      </c>
      <c r="AO11" s="178">
        <v>0</v>
      </c>
      <c r="AP11" s="178">
        <v>0</v>
      </c>
      <c r="AQ11" s="174">
        <v>3</v>
      </c>
      <c r="AR11" s="174">
        <v>3</v>
      </c>
      <c r="AS11" s="177">
        <v>0</v>
      </c>
      <c r="AT11" s="177">
        <v>1</v>
      </c>
      <c r="AU11" s="177">
        <v>0</v>
      </c>
      <c r="AV11" s="177">
        <v>0</v>
      </c>
      <c r="AW11" s="177">
        <v>0</v>
      </c>
      <c r="AX11" s="177">
        <v>0</v>
      </c>
      <c r="AY11" s="177">
        <v>0</v>
      </c>
      <c r="AZ11" s="177">
        <v>0</v>
      </c>
      <c r="BA11" s="177">
        <v>0</v>
      </c>
      <c r="BB11" s="177">
        <v>0</v>
      </c>
      <c r="BC11" s="177">
        <v>0</v>
      </c>
      <c r="BD11" s="177">
        <v>0</v>
      </c>
      <c r="BE11" s="177">
        <v>152.864</v>
      </c>
      <c r="BF11" s="177">
        <v>153.239</v>
      </c>
      <c r="BG11" s="174">
        <v>1</v>
      </c>
      <c r="BH11" s="174"/>
      <c r="BI11" s="174"/>
      <c r="BJ11" s="174"/>
      <c r="BK11" s="174"/>
      <c r="BL11" s="174"/>
      <c r="BM11" s="174"/>
      <c r="BN11" s="174"/>
    </row>
    <row r="12" spans="1:66">
      <c r="A12" s="174">
        <v>10055</v>
      </c>
      <c r="B12" s="174" t="s">
        <v>16</v>
      </c>
      <c r="C12" s="174">
        <v>1</v>
      </c>
      <c r="D12" s="174">
        <v>0</v>
      </c>
      <c r="E12" s="177">
        <v>0.40400000000000003</v>
      </c>
      <c r="F12" s="177">
        <v>0.372</v>
      </c>
      <c r="G12" s="177">
        <v>0.373</v>
      </c>
      <c r="H12" s="177">
        <v>0</v>
      </c>
      <c r="I12" s="177">
        <v>0</v>
      </c>
      <c r="J12" s="177">
        <v>0</v>
      </c>
      <c r="K12" s="177">
        <v>0</v>
      </c>
      <c r="L12" s="176">
        <v>0</v>
      </c>
      <c r="M12" s="176">
        <v>0</v>
      </c>
      <c r="N12" s="177">
        <v>0.39100000000000001</v>
      </c>
      <c r="O12" s="177">
        <v>0.39200000000000002</v>
      </c>
      <c r="P12" s="176">
        <v>3425.1600000000003</v>
      </c>
      <c r="Q12" s="176">
        <v>3433.92</v>
      </c>
      <c r="R12" s="174">
        <v>0.39200000000000002</v>
      </c>
      <c r="S12" s="176">
        <v>3433.92</v>
      </c>
      <c r="T12" s="176">
        <v>3433.92</v>
      </c>
      <c r="U12" s="177">
        <v>0</v>
      </c>
      <c r="V12" s="177">
        <v>0</v>
      </c>
      <c r="W12" s="177">
        <v>0</v>
      </c>
      <c r="X12" s="177">
        <v>0</v>
      </c>
      <c r="Y12" s="177">
        <v>0</v>
      </c>
      <c r="Z12" s="177">
        <v>0</v>
      </c>
      <c r="AA12" s="174">
        <v>0</v>
      </c>
      <c r="AB12" s="174">
        <v>0</v>
      </c>
      <c r="AC12" s="177">
        <v>0</v>
      </c>
      <c r="AD12" s="177">
        <v>0</v>
      </c>
      <c r="AE12" s="178">
        <v>5.63E-5</v>
      </c>
      <c r="AF12" s="178">
        <v>5.6400000000000002E-5</v>
      </c>
      <c r="AG12" s="178">
        <v>0</v>
      </c>
      <c r="AH12" s="178">
        <v>5.63E-5</v>
      </c>
      <c r="AI12" s="178">
        <v>5.6400000000000002E-5</v>
      </c>
      <c r="AJ12" s="178">
        <v>5.6350000000000001E-5</v>
      </c>
      <c r="AK12" s="178">
        <v>0.99998677698209715</v>
      </c>
      <c r="AL12" s="178">
        <v>0.99920743469387752</v>
      </c>
      <c r="AM12" s="178">
        <v>1</v>
      </c>
      <c r="AN12" s="178">
        <v>1</v>
      </c>
      <c r="AO12" s="178">
        <v>0</v>
      </c>
      <c r="AP12" s="178">
        <v>0</v>
      </c>
      <c r="AQ12" s="174">
        <v>1</v>
      </c>
      <c r="AR12" s="174">
        <v>1</v>
      </c>
      <c r="AS12" s="177">
        <v>0</v>
      </c>
      <c r="AT12" s="177">
        <v>0</v>
      </c>
      <c r="AU12" s="177">
        <v>0</v>
      </c>
      <c r="AV12" s="177">
        <v>0</v>
      </c>
      <c r="AW12" s="177">
        <v>0</v>
      </c>
      <c r="AX12" s="177">
        <v>0</v>
      </c>
      <c r="AY12" s="177">
        <v>0</v>
      </c>
      <c r="AZ12" s="177">
        <v>0</v>
      </c>
      <c r="BA12" s="177">
        <v>0</v>
      </c>
      <c r="BB12" s="177">
        <v>0</v>
      </c>
      <c r="BC12" s="177">
        <v>0</v>
      </c>
      <c r="BD12" s="177">
        <v>0</v>
      </c>
      <c r="BE12" s="177">
        <v>0.39100000000000001</v>
      </c>
      <c r="BF12" s="177">
        <v>0.39200000000000002</v>
      </c>
      <c r="BG12" s="174">
        <v>0</v>
      </c>
      <c r="BH12" s="174"/>
      <c r="BI12" s="174"/>
      <c r="BJ12" s="174"/>
      <c r="BK12" s="174"/>
      <c r="BL12" s="174"/>
      <c r="BM12" s="174"/>
      <c r="BN12" s="174"/>
    </row>
    <row r="13" spans="1:66">
      <c r="A13" s="174">
        <v>10057</v>
      </c>
      <c r="B13" s="174" t="s">
        <v>17</v>
      </c>
      <c r="C13" s="174">
        <v>1</v>
      </c>
      <c r="D13" s="174">
        <v>0</v>
      </c>
      <c r="E13" s="177">
        <v>21.382999999999999</v>
      </c>
      <c r="F13" s="177">
        <v>20.141999999999999</v>
      </c>
      <c r="G13" s="177">
        <v>20.141999999999999</v>
      </c>
      <c r="H13" s="177">
        <v>0</v>
      </c>
      <c r="I13" s="177">
        <v>0</v>
      </c>
      <c r="J13" s="177">
        <v>0.158</v>
      </c>
      <c r="K13" s="177">
        <v>0.158</v>
      </c>
      <c r="L13" s="176">
        <v>1384.08</v>
      </c>
      <c r="M13" s="176">
        <v>1384.08</v>
      </c>
      <c r="N13" s="177">
        <v>20.832000000000001</v>
      </c>
      <c r="O13" s="177">
        <v>20.878</v>
      </c>
      <c r="P13" s="176">
        <v>182488.32000000001</v>
      </c>
      <c r="Q13" s="176">
        <v>182891.28</v>
      </c>
      <c r="R13" s="174">
        <v>20.731000000000002</v>
      </c>
      <c r="S13" s="176">
        <v>181603.56000000003</v>
      </c>
      <c r="T13" s="176">
        <v>181603.56000000003</v>
      </c>
      <c r="U13" s="177">
        <v>0.10100000000000001</v>
      </c>
      <c r="V13" s="177">
        <v>0.14699999999999999</v>
      </c>
      <c r="W13" s="177">
        <v>0</v>
      </c>
      <c r="X13" s="177">
        <v>0</v>
      </c>
      <c r="Y13" s="177">
        <v>0.10100000000000001</v>
      </c>
      <c r="Z13" s="177">
        <v>0.14699999999999999</v>
      </c>
      <c r="AA13" s="174">
        <v>0</v>
      </c>
      <c r="AB13" s="174">
        <v>0</v>
      </c>
      <c r="AC13" s="177">
        <v>0</v>
      </c>
      <c r="AD13" s="177">
        <v>0</v>
      </c>
      <c r="AE13" s="178">
        <v>2.9851000000000001E-3</v>
      </c>
      <c r="AF13" s="178">
        <v>2.9851000000000001E-3</v>
      </c>
      <c r="AG13" s="178">
        <v>0</v>
      </c>
      <c r="AH13" s="178">
        <v>2.9851000000000001E-3</v>
      </c>
      <c r="AI13" s="178">
        <v>2.9851000000000001E-3</v>
      </c>
      <c r="AJ13" s="178">
        <v>2.9851000000000001E-3</v>
      </c>
      <c r="AK13" s="178">
        <v>0.99519103356836602</v>
      </c>
      <c r="AL13" s="178">
        <v>0.99301482195284274</v>
      </c>
      <c r="AM13" s="178">
        <v>1.0048719309247021</v>
      </c>
      <c r="AN13" s="178">
        <v>1.0070908301577348</v>
      </c>
      <c r="AO13" s="178">
        <v>0</v>
      </c>
      <c r="AP13" s="178">
        <v>0</v>
      </c>
      <c r="AQ13" s="174">
        <v>1</v>
      </c>
      <c r="AR13" s="174">
        <v>1</v>
      </c>
      <c r="AS13" s="177">
        <v>0</v>
      </c>
      <c r="AT13" s="177">
        <v>0</v>
      </c>
      <c r="AU13" s="177">
        <v>0</v>
      </c>
      <c r="AV13" s="177">
        <v>0</v>
      </c>
      <c r="AW13" s="177">
        <v>0</v>
      </c>
      <c r="AX13" s="177">
        <v>0</v>
      </c>
      <c r="AY13" s="177">
        <v>0</v>
      </c>
      <c r="AZ13" s="177">
        <v>0</v>
      </c>
      <c r="BA13" s="177">
        <v>0</v>
      </c>
      <c r="BB13" s="177">
        <v>0</v>
      </c>
      <c r="BC13" s="177">
        <v>0</v>
      </c>
      <c r="BD13" s="177">
        <v>0</v>
      </c>
      <c r="BE13" s="177">
        <v>20.832000000000001</v>
      </c>
      <c r="BF13" s="177">
        <v>20.878</v>
      </c>
      <c r="BG13" s="174">
        <v>0</v>
      </c>
      <c r="BH13" s="174"/>
      <c r="BI13" s="174"/>
      <c r="BJ13" s="174"/>
      <c r="BK13" s="174"/>
      <c r="BL13" s="174"/>
      <c r="BM13" s="174"/>
      <c r="BN13" s="174"/>
    </row>
    <row r="14" spans="1:66">
      <c r="A14" s="174">
        <v>10059</v>
      </c>
      <c r="B14" s="174" t="s">
        <v>18</v>
      </c>
      <c r="C14" s="174">
        <v>1</v>
      </c>
      <c r="D14" s="174">
        <v>0</v>
      </c>
      <c r="E14" s="177">
        <v>7.7530000000000001</v>
      </c>
      <c r="F14" s="177">
        <v>7.423</v>
      </c>
      <c r="G14" s="177">
        <v>7.4420000000000002</v>
      </c>
      <c r="H14" s="177">
        <v>0</v>
      </c>
      <c r="I14" s="177">
        <v>0</v>
      </c>
      <c r="J14" s="177">
        <v>0</v>
      </c>
      <c r="K14" s="177">
        <v>0</v>
      </c>
      <c r="L14" s="176">
        <v>0</v>
      </c>
      <c r="M14" s="176">
        <v>0</v>
      </c>
      <c r="N14" s="177">
        <v>7.4660000000000002</v>
      </c>
      <c r="O14" s="177">
        <v>7.484</v>
      </c>
      <c r="P14" s="176">
        <v>65402.16</v>
      </c>
      <c r="Q14" s="176">
        <v>65559.839999999997</v>
      </c>
      <c r="R14" s="174">
        <v>7.516</v>
      </c>
      <c r="S14" s="176">
        <v>65840.160000000003</v>
      </c>
      <c r="T14" s="176">
        <v>65840.160000000003</v>
      </c>
      <c r="U14" s="177">
        <v>0</v>
      </c>
      <c r="V14" s="177">
        <v>0</v>
      </c>
      <c r="W14" s="177">
        <v>0</v>
      </c>
      <c r="X14" s="177">
        <v>0</v>
      </c>
      <c r="Y14" s="177">
        <v>0</v>
      </c>
      <c r="Z14" s="177">
        <v>0</v>
      </c>
      <c r="AA14" s="174">
        <v>0</v>
      </c>
      <c r="AB14" s="174">
        <v>0</v>
      </c>
      <c r="AC14" s="177">
        <v>0</v>
      </c>
      <c r="AD14" s="177">
        <v>0</v>
      </c>
      <c r="AE14" s="178">
        <v>1.075E-3</v>
      </c>
      <c r="AF14" s="178">
        <v>1.0776E-3</v>
      </c>
      <c r="AG14" s="178">
        <v>0</v>
      </c>
      <c r="AH14" s="178">
        <v>1.075E-3</v>
      </c>
      <c r="AI14" s="178">
        <v>1.0776E-3</v>
      </c>
      <c r="AJ14" s="178">
        <v>1.0763000000000001E-3</v>
      </c>
      <c r="AK14" s="178">
        <v>0.99996108357889091</v>
      </c>
      <c r="AL14" s="178">
        <v>0.99996873992517354</v>
      </c>
      <c r="AM14" s="178">
        <v>1</v>
      </c>
      <c r="AN14" s="178">
        <v>1</v>
      </c>
      <c r="AO14" s="178">
        <v>0</v>
      </c>
      <c r="AP14" s="178">
        <v>0</v>
      </c>
      <c r="AQ14" s="174">
        <v>1</v>
      </c>
      <c r="AR14" s="174">
        <v>1</v>
      </c>
      <c r="AS14" s="177">
        <v>0</v>
      </c>
      <c r="AT14" s="177">
        <v>0</v>
      </c>
      <c r="AU14" s="177">
        <v>0</v>
      </c>
      <c r="AV14" s="177">
        <v>0</v>
      </c>
      <c r="AW14" s="177">
        <v>0</v>
      </c>
      <c r="AX14" s="177">
        <v>0</v>
      </c>
      <c r="AY14" s="177">
        <v>0</v>
      </c>
      <c r="AZ14" s="177">
        <v>0</v>
      </c>
      <c r="BA14" s="177">
        <v>0</v>
      </c>
      <c r="BB14" s="177">
        <v>0</v>
      </c>
      <c r="BC14" s="177">
        <v>0</v>
      </c>
      <c r="BD14" s="177">
        <v>0</v>
      </c>
      <c r="BE14" s="177">
        <v>7.4660000000000002</v>
      </c>
      <c r="BF14" s="177">
        <v>7.484</v>
      </c>
      <c r="BG14" s="174">
        <v>0</v>
      </c>
      <c r="BH14" s="174"/>
      <c r="BI14" s="174"/>
      <c r="BJ14" s="174"/>
      <c r="BK14" s="174"/>
      <c r="BL14" s="174"/>
      <c r="BM14" s="174"/>
      <c r="BN14" s="174"/>
    </row>
    <row r="15" spans="1:66">
      <c r="A15" s="174">
        <v>10061</v>
      </c>
      <c r="B15" s="174" t="s">
        <v>19</v>
      </c>
      <c r="C15" s="174">
        <v>1</v>
      </c>
      <c r="D15" s="174">
        <v>0</v>
      </c>
      <c r="E15" s="177">
        <v>8.8770000000000007</v>
      </c>
      <c r="F15" s="177">
        <v>8.8209999999999997</v>
      </c>
      <c r="G15" s="177">
        <v>8.83</v>
      </c>
      <c r="H15" s="177">
        <v>0</v>
      </c>
      <c r="I15" s="177">
        <v>0</v>
      </c>
      <c r="J15" s="177">
        <v>0</v>
      </c>
      <c r="K15" s="177">
        <v>0</v>
      </c>
      <c r="L15" s="176">
        <v>0</v>
      </c>
      <c r="M15" s="176">
        <v>0</v>
      </c>
      <c r="N15" s="177">
        <v>8.9339999999999993</v>
      </c>
      <c r="O15" s="177">
        <v>8.9390000000000001</v>
      </c>
      <c r="P15" s="176">
        <v>78261.84</v>
      </c>
      <c r="Q15" s="176">
        <v>78305.64</v>
      </c>
      <c r="R15" s="174">
        <v>8.6059999999999999</v>
      </c>
      <c r="S15" s="176">
        <v>75388.56</v>
      </c>
      <c r="T15" s="176">
        <v>75388.56</v>
      </c>
      <c r="U15" s="177">
        <v>0.32800000000000001</v>
      </c>
      <c r="V15" s="177">
        <v>0.33300000000000002</v>
      </c>
      <c r="W15" s="177">
        <v>0</v>
      </c>
      <c r="X15" s="177">
        <v>0</v>
      </c>
      <c r="Y15" s="177">
        <v>0.32800000000000001</v>
      </c>
      <c r="Z15" s="177">
        <v>0.33300000000000002</v>
      </c>
      <c r="AA15" s="174">
        <v>0</v>
      </c>
      <c r="AB15" s="174">
        <v>0</v>
      </c>
      <c r="AC15" s="177">
        <v>0</v>
      </c>
      <c r="AD15" s="177">
        <v>0</v>
      </c>
      <c r="AE15" s="178">
        <v>1.2392E-3</v>
      </c>
      <c r="AF15" s="178">
        <v>1.2392E-3</v>
      </c>
      <c r="AG15" s="178">
        <v>0</v>
      </c>
      <c r="AH15" s="178">
        <v>1.2392E-3</v>
      </c>
      <c r="AI15" s="178">
        <v>1.2392E-3</v>
      </c>
      <c r="AJ15" s="178">
        <v>1.2392E-3</v>
      </c>
      <c r="AK15" s="178">
        <v>0.96329227257667327</v>
      </c>
      <c r="AL15" s="178">
        <v>0.96275345823917646</v>
      </c>
      <c r="AM15" s="178">
        <v>1.0381129444573554</v>
      </c>
      <c r="AN15" s="178">
        <v>1.0386939344643273</v>
      </c>
      <c r="AO15" s="178">
        <v>0</v>
      </c>
      <c r="AP15" s="178">
        <v>0</v>
      </c>
      <c r="AQ15" s="174">
        <v>1</v>
      </c>
      <c r="AR15" s="174">
        <v>1</v>
      </c>
      <c r="AS15" s="177">
        <v>0</v>
      </c>
      <c r="AT15" s="177">
        <v>0</v>
      </c>
      <c r="AU15" s="177">
        <v>0</v>
      </c>
      <c r="AV15" s="177">
        <v>0</v>
      </c>
      <c r="AW15" s="177">
        <v>0</v>
      </c>
      <c r="AX15" s="177">
        <v>0</v>
      </c>
      <c r="AY15" s="177">
        <v>0</v>
      </c>
      <c r="AZ15" s="177">
        <v>0</v>
      </c>
      <c r="BA15" s="177">
        <v>0</v>
      </c>
      <c r="BB15" s="177">
        <v>0</v>
      </c>
      <c r="BC15" s="177">
        <v>0</v>
      </c>
      <c r="BD15" s="177">
        <v>0</v>
      </c>
      <c r="BE15" s="177">
        <v>8.9339999999999993</v>
      </c>
      <c r="BF15" s="177">
        <v>8.9390000000000001</v>
      </c>
      <c r="BG15" s="174">
        <v>0</v>
      </c>
      <c r="BH15" s="174"/>
      <c r="BI15" s="174"/>
      <c r="BJ15" s="174"/>
      <c r="BK15" s="174"/>
      <c r="BL15" s="174"/>
      <c r="BM15" s="174"/>
      <c r="BN15" s="174"/>
    </row>
    <row r="16" spans="1:66">
      <c r="A16" s="174">
        <v>10062</v>
      </c>
      <c r="B16" s="174" t="s">
        <v>20</v>
      </c>
      <c r="C16" s="174">
        <v>1</v>
      </c>
      <c r="D16" s="174">
        <v>0</v>
      </c>
      <c r="E16" s="177">
        <v>5.399</v>
      </c>
      <c r="F16" s="177">
        <v>8.4830000000000005</v>
      </c>
      <c r="G16" s="177">
        <v>8.5139999999999993</v>
      </c>
      <c r="H16" s="177">
        <v>0</v>
      </c>
      <c r="I16" s="177">
        <v>0</v>
      </c>
      <c r="J16" s="177">
        <v>1.881</v>
      </c>
      <c r="K16" s="177">
        <v>1.881</v>
      </c>
      <c r="L16" s="176">
        <v>16477.560000000001</v>
      </c>
      <c r="M16" s="176">
        <v>16477.560000000001</v>
      </c>
      <c r="N16" s="177">
        <v>6.3639999999999999</v>
      </c>
      <c r="O16" s="177">
        <v>6.3970000000000002</v>
      </c>
      <c r="P16" s="176">
        <v>55748.639999999999</v>
      </c>
      <c r="Q16" s="176">
        <v>56037.72</v>
      </c>
      <c r="R16" s="174">
        <v>5.234</v>
      </c>
      <c r="S16" s="176">
        <v>45849.84</v>
      </c>
      <c r="T16" s="176">
        <v>45849.84</v>
      </c>
      <c r="U16" s="177">
        <v>1.1299999999999999</v>
      </c>
      <c r="V16" s="177">
        <v>1.163</v>
      </c>
      <c r="W16" s="177">
        <v>1.1299999999999999</v>
      </c>
      <c r="X16" s="177">
        <v>1.163</v>
      </c>
      <c r="Y16" s="177">
        <v>0</v>
      </c>
      <c r="Z16" s="177">
        <v>0</v>
      </c>
      <c r="AA16" s="174">
        <v>0</v>
      </c>
      <c r="AB16" s="174">
        <v>0</v>
      </c>
      <c r="AC16" s="177">
        <v>1.1299999999999999</v>
      </c>
      <c r="AD16" s="177">
        <v>1.163</v>
      </c>
      <c r="AE16" s="178">
        <v>7.5370000000000005E-4</v>
      </c>
      <c r="AF16" s="178">
        <v>7.5370000000000005E-4</v>
      </c>
      <c r="AG16" s="178">
        <v>0</v>
      </c>
      <c r="AH16" s="178">
        <v>7.5370000000000005E-4</v>
      </c>
      <c r="AI16" s="178">
        <v>7.5370000000000005E-4</v>
      </c>
      <c r="AJ16" s="178">
        <v>7.5370000000000005E-4</v>
      </c>
      <c r="AK16" s="178">
        <v>0.8629873171861735</v>
      </c>
      <c r="AL16" s="178">
        <v>0.85954704399613435</v>
      </c>
      <c r="AM16" s="178">
        <v>1.2158960641956438</v>
      </c>
      <c r="AN16" s="178">
        <v>1.2222009935040123</v>
      </c>
      <c r="AO16" s="178">
        <v>0</v>
      </c>
      <c r="AP16" s="178">
        <v>0</v>
      </c>
      <c r="AQ16" s="174">
        <v>1</v>
      </c>
      <c r="AR16" s="174">
        <v>1</v>
      </c>
      <c r="AS16" s="177">
        <v>0</v>
      </c>
      <c r="AT16" s="177">
        <v>0</v>
      </c>
      <c r="AU16" s="177">
        <v>1.1299999999999999</v>
      </c>
      <c r="AV16" s="177">
        <v>1.163</v>
      </c>
      <c r="AW16" s="177">
        <v>0</v>
      </c>
      <c r="AX16" s="177">
        <v>0</v>
      </c>
      <c r="AY16" s="177">
        <v>0</v>
      </c>
      <c r="AZ16" s="177">
        <v>0</v>
      </c>
      <c r="BA16" s="177">
        <v>0</v>
      </c>
      <c r="BB16" s="177">
        <v>0</v>
      </c>
      <c r="BC16" s="177">
        <v>0</v>
      </c>
      <c r="BD16" s="177">
        <v>0</v>
      </c>
      <c r="BE16" s="177">
        <v>6.3639999999999999</v>
      </c>
      <c r="BF16" s="177">
        <v>6.3970000000000002</v>
      </c>
      <c r="BG16" s="174">
        <v>1</v>
      </c>
      <c r="BH16" s="174"/>
      <c r="BI16" s="174"/>
      <c r="BJ16" s="174"/>
      <c r="BK16" s="174"/>
      <c r="BL16" s="174"/>
      <c r="BM16" s="174"/>
      <c r="BN16" s="174"/>
    </row>
    <row r="17" spans="1:66">
      <c r="A17" s="174">
        <v>10064</v>
      </c>
      <c r="B17" s="174" t="s">
        <v>21</v>
      </c>
      <c r="C17" s="174">
        <v>1</v>
      </c>
      <c r="D17" s="174">
        <v>0</v>
      </c>
      <c r="E17" s="177">
        <v>14.273999999999999</v>
      </c>
      <c r="F17" s="177">
        <v>13.731999999999999</v>
      </c>
      <c r="G17" s="177">
        <v>13.747999999999999</v>
      </c>
      <c r="H17" s="177">
        <v>0</v>
      </c>
      <c r="I17" s="177">
        <v>0</v>
      </c>
      <c r="J17" s="177">
        <v>0</v>
      </c>
      <c r="K17" s="177">
        <v>0</v>
      </c>
      <c r="L17" s="176">
        <v>0</v>
      </c>
      <c r="M17" s="176">
        <v>0</v>
      </c>
      <c r="N17" s="177">
        <v>13.843999999999999</v>
      </c>
      <c r="O17" s="177">
        <v>13.872</v>
      </c>
      <c r="P17" s="176">
        <v>121273.43999999999</v>
      </c>
      <c r="Q17" s="176">
        <v>121518.72</v>
      </c>
      <c r="R17" s="174">
        <v>13.837999999999999</v>
      </c>
      <c r="S17" s="176">
        <v>121220.87999999999</v>
      </c>
      <c r="T17" s="176">
        <v>121220.87999999999</v>
      </c>
      <c r="U17" s="177">
        <v>6.0000000000000001E-3</v>
      </c>
      <c r="V17" s="177">
        <v>3.4000000000000002E-2</v>
      </c>
      <c r="W17" s="177">
        <v>6.0000000000000001E-3</v>
      </c>
      <c r="X17" s="177">
        <v>3.4000000000000002E-2</v>
      </c>
      <c r="Y17" s="177">
        <v>0</v>
      </c>
      <c r="Z17" s="177">
        <v>0</v>
      </c>
      <c r="AA17" s="174">
        <v>3</v>
      </c>
      <c r="AB17" s="174">
        <v>3</v>
      </c>
      <c r="AC17" s="177">
        <v>0</v>
      </c>
      <c r="AD17" s="177">
        <v>0</v>
      </c>
      <c r="AE17" s="178">
        <v>1.9926000000000002E-3</v>
      </c>
      <c r="AF17" s="178">
        <v>1.9926000000000002E-3</v>
      </c>
      <c r="AG17" s="178">
        <v>0</v>
      </c>
      <c r="AH17" s="178">
        <v>1.9926000000000002E-3</v>
      </c>
      <c r="AI17" s="178">
        <v>1.9926000000000002E-3</v>
      </c>
      <c r="AJ17" s="178">
        <v>1.9926000000000002E-3</v>
      </c>
      <c r="AK17" s="178">
        <v>0.9995882793701244</v>
      </c>
      <c r="AL17" s="178">
        <v>0.99757065596885819</v>
      </c>
      <c r="AM17" s="178">
        <v>1.0004335886688829</v>
      </c>
      <c r="AN17" s="178">
        <v>1.0024570024570025</v>
      </c>
      <c r="AO17" s="178">
        <v>0</v>
      </c>
      <c r="AP17" s="178">
        <v>0</v>
      </c>
      <c r="AQ17" s="174">
        <v>1</v>
      </c>
      <c r="AR17" s="174">
        <v>1</v>
      </c>
      <c r="AS17" s="177">
        <v>0</v>
      </c>
      <c r="AT17" s="177">
        <v>0</v>
      </c>
      <c r="AU17" s="177">
        <v>3</v>
      </c>
      <c r="AV17" s="177">
        <v>3</v>
      </c>
      <c r="AW17" s="177">
        <v>0</v>
      </c>
      <c r="AX17" s="177">
        <v>0</v>
      </c>
      <c r="AY17" s="177">
        <v>-2.9940000000000002</v>
      </c>
      <c r="AZ17" s="177">
        <v>-2.9660000000000002</v>
      </c>
      <c r="BA17" s="177">
        <v>-2.9940000000000002</v>
      </c>
      <c r="BB17" s="177">
        <v>-2.9660000000000002</v>
      </c>
      <c r="BC17" s="177">
        <v>0</v>
      </c>
      <c r="BD17" s="177">
        <v>0</v>
      </c>
      <c r="BE17" s="177">
        <v>13.843999999999999</v>
      </c>
      <c r="BF17" s="177">
        <v>13.872</v>
      </c>
      <c r="BG17" s="174">
        <v>0</v>
      </c>
      <c r="BH17" s="174"/>
      <c r="BI17" s="174"/>
      <c r="BJ17" s="174"/>
      <c r="BK17" s="174"/>
      <c r="BL17" s="174"/>
      <c r="BM17" s="174"/>
      <c r="BN17" s="174"/>
    </row>
    <row r="18" spans="1:66">
      <c r="A18" s="174">
        <v>10065</v>
      </c>
      <c r="B18" s="174" t="s">
        <v>22</v>
      </c>
      <c r="C18" s="174">
        <v>1</v>
      </c>
      <c r="D18" s="174">
        <v>0</v>
      </c>
      <c r="E18" s="177">
        <v>2.4129999999999998</v>
      </c>
      <c r="F18" s="177">
        <v>2.395</v>
      </c>
      <c r="G18" s="177">
        <v>2.395</v>
      </c>
      <c r="H18" s="177">
        <v>0</v>
      </c>
      <c r="I18" s="177">
        <v>0</v>
      </c>
      <c r="J18" s="177">
        <v>0</v>
      </c>
      <c r="K18" s="177">
        <v>0</v>
      </c>
      <c r="L18" s="176">
        <v>0</v>
      </c>
      <c r="M18" s="176">
        <v>0</v>
      </c>
      <c r="N18" s="177">
        <v>2.5739999999999998</v>
      </c>
      <c r="O18" s="177">
        <v>2.5739999999999998</v>
      </c>
      <c r="P18" s="176">
        <v>22548.239999999998</v>
      </c>
      <c r="Q18" s="176">
        <v>22548.239999999998</v>
      </c>
      <c r="R18" s="174">
        <v>2.339</v>
      </c>
      <c r="S18" s="176">
        <v>20489.64</v>
      </c>
      <c r="T18" s="176">
        <v>20489.64</v>
      </c>
      <c r="U18" s="177">
        <v>0.23499999999999999</v>
      </c>
      <c r="V18" s="177">
        <v>0.23499999999999999</v>
      </c>
      <c r="W18" s="177">
        <v>0</v>
      </c>
      <c r="X18" s="177">
        <v>0</v>
      </c>
      <c r="Y18" s="177">
        <v>0.23499999999999999</v>
      </c>
      <c r="Z18" s="177">
        <v>0.23499999999999999</v>
      </c>
      <c r="AA18" s="174">
        <v>0</v>
      </c>
      <c r="AB18" s="174">
        <v>0</v>
      </c>
      <c r="AC18" s="177">
        <v>0</v>
      </c>
      <c r="AD18" s="177">
        <v>0</v>
      </c>
      <c r="AE18" s="178">
        <v>3.368E-4</v>
      </c>
      <c r="AF18" s="178">
        <v>3.368E-4</v>
      </c>
      <c r="AG18" s="178">
        <v>0</v>
      </c>
      <c r="AH18" s="178">
        <v>3.368E-4</v>
      </c>
      <c r="AI18" s="178">
        <v>3.368E-4</v>
      </c>
      <c r="AJ18" s="178">
        <v>3.368E-4</v>
      </c>
      <c r="AK18" s="178">
        <v>0.90871178430458421</v>
      </c>
      <c r="AL18" s="178">
        <v>0.90871178430458421</v>
      </c>
      <c r="AM18" s="178">
        <v>1.1004702864471996</v>
      </c>
      <c r="AN18" s="178">
        <v>1.1004702864471996</v>
      </c>
      <c r="AO18" s="178">
        <v>6.0525865754595974E-2</v>
      </c>
      <c r="AP18" s="178">
        <v>6.0525865754595974E-2</v>
      </c>
      <c r="AQ18" s="174">
        <v>1</v>
      </c>
      <c r="AR18" s="174">
        <v>1</v>
      </c>
      <c r="AS18" s="177">
        <v>0</v>
      </c>
      <c r="AT18" s="177">
        <v>0</v>
      </c>
      <c r="AU18" s="177">
        <v>0</v>
      </c>
      <c r="AV18" s="177">
        <v>0</v>
      </c>
      <c r="AW18" s="177">
        <v>0</v>
      </c>
      <c r="AX18" s="177">
        <v>0</v>
      </c>
      <c r="AY18" s="177">
        <v>0</v>
      </c>
      <c r="AZ18" s="177">
        <v>0</v>
      </c>
      <c r="BA18" s="177">
        <v>0</v>
      </c>
      <c r="BB18" s="177">
        <v>0</v>
      </c>
      <c r="BC18" s="177">
        <v>0</v>
      </c>
      <c r="BD18" s="177">
        <v>0</v>
      </c>
      <c r="BE18" s="177">
        <v>2.5739999999999998</v>
      </c>
      <c r="BF18" s="177">
        <v>2.5739999999999998</v>
      </c>
      <c r="BG18" s="174">
        <v>0</v>
      </c>
      <c r="BH18" s="174"/>
      <c r="BI18" s="174"/>
      <c r="BJ18" s="174"/>
      <c r="BK18" s="174"/>
      <c r="BL18" s="174"/>
      <c r="BM18" s="174"/>
      <c r="BN18" s="174"/>
    </row>
    <row r="19" spans="1:66">
      <c r="A19" s="174">
        <v>10066</v>
      </c>
      <c r="B19" s="174" t="s">
        <v>23</v>
      </c>
      <c r="C19" s="174">
        <v>1</v>
      </c>
      <c r="D19" s="174">
        <v>0</v>
      </c>
      <c r="E19" s="177">
        <v>24.734999999999999</v>
      </c>
      <c r="F19" s="177">
        <v>30.074000000000002</v>
      </c>
      <c r="G19" s="177">
        <v>30.103999999999999</v>
      </c>
      <c r="H19" s="177">
        <v>0</v>
      </c>
      <c r="I19" s="177">
        <v>0</v>
      </c>
      <c r="J19" s="177">
        <v>7.1139999999999999</v>
      </c>
      <c r="K19" s="177">
        <v>7.1139999999999999</v>
      </c>
      <c r="L19" s="176">
        <v>62318.64</v>
      </c>
      <c r="M19" s="176">
        <v>62318.64</v>
      </c>
      <c r="N19" s="177">
        <v>25.42</v>
      </c>
      <c r="O19" s="177">
        <v>23.885999999999999</v>
      </c>
      <c r="P19" s="176">
        <v>222679.2</v>
      </c>
      <c r="Q19" s="176">
        <v>209241.36</v>
      </c>
      <c r="R19" s="174">
        <v>23.98</v>
      </c>
      <c r="S19" s="176">
        <v>210064.80000000002</v>
      </c>
      <c r="T19" s="176">
        <v>210064.80000000002</v>
      </c>
      <c r="U19" s="177">
        <v>1.44</v>
      </c>
      <c r="V19" s="177">
        <v>0</v>
      </c>
      <c r="W19" s="177">
        <v>1.44</v>
      </c>
      <c r="X19" s="177">
        <v>0</v>
      </c>
      <c r="Y19" s="177">
        <v>0</v>
      </c>
      <c r="Z19" s="177">
        <v>0</v>
      </c>
      <c r="AA19" s="174">
        <v>0</v>
      </c>
      <c r="AB19" s="174">
        <v>0</v>
      </c>
      <c r="AC19" s="177">
        <v>1.44</v>
      </c>
      <c r="AD19" s="177">
        <v>0</v>
      </c>
      <c r="AE19" s="178">
        <v>3.4529000000000001E-3</v>
      </c>
      <c r="AF19" s="178">
        <v>3.4394E-3</v>
      </c>
      <c r="AG19" s="178">
        <v>0</v>
      </c>
      <c r="AH19" s="178">
        <v>3.4529000000000001E-3</v>
      </c>
      <c r="AI19" s="178">
        <v>3.4394E-3</v>
      </c>
      <c r="AJ19" s="178">
        <v>3.4461500000000003E-3</v>
      </c>
      <c r="AK19" s="178">
        <v>0.95573427040634418</v>
      </c>
      <c r="AL19" s="178">
        <v>1</v>
      </c>
      <c r="AM19" s="178">
        <v>1.0600500417014178</v>
      </c>
      <c r="AN19" s="178">
        <v>1</v>
      </c>
      <c r="AO19" s="178">
        <v>0</v>
      </c>
      <c r="AP19" s="178">
        <v>0</v>
      </c>
      <c r="AQ19" s="174">
        <v>3</v>
      </c>
      <c r="AR19" s="174">
        <v>3</v>
      </c>
      <c r="AS19" s="177">
        <v>18</v>
      </c>
      <c r="AT19" s="177">
        <v>22</v>
      </c>
      <c r="AU19" s="177">
        <v>0.44</v>
      </c>
      <c r="AV19" s="177">
        <v>0</v>
      </c>
      <c r="AW19" s="177">
        <v>0</v>
      </c>
      <c r="AX19" s="177">
        <v>0</v>
      </c>
      <c r="AY19" s="177">
        <v>0</v>
      </c>
      <c r="AZ19" s="177">
        <v>0</v>
      </c>
      <c r="BA19" s="177">
        <v>0</v>
      </c>
      <c r="BB19" s="177">
        <v>0</v>
      </c>
      <c r="BC19" s="177">
        <v>0</v>
      </c>
      <c r="BD19" s="177">
        <v>0</v>
      </c>
      <c r="BE19" s="177">
        <v>24.42</v>
      </c>
      <c r="BF19" s="177">
        <v>23.885999999999999</v>
      </c>
      <c r="BG19" s="174">
        <v>1</v>
      </c>
      <c r="BH19" s="174"/>
      <c r="BI19" s="174"/>
      <c r="BJ19" s="174"/>
      <c r="BK19" s="174"/>
      <c r="BL19" s="174"/>
      <c r="BM19" s="174"/>
      <c r="BN19" s="174"/>
    </row>
    <row r="20" spans="1:66">
      <c r="A20" s="174">
        <v>10067</v>
      </c>
      <c r="B20" s="174" t="s">
        <v>24</v>
      </c>
      <c r="C20" s="174">
        <v>1</v>
      </c>
      <c r="D20" s="174">
        <v>0</v>
      </c>
      <c r="E20" s="177">
        <v>16.053000000000001</v>
      </c>
      <c r="F20" s="177">
        <v>16.803999999999998</v>
      </c>
      <c r="G20" s="177">
        <v>17.013999999999999</v>
      </c>
      <c r="H20" s="177">
        <v>0</v>
      </c>
      <c r="I20" s="177">
        <v>0</v>
      </c>
      <c r="J20" s="177">
        <v>0</v>
      </c>
      <c r="K20" s="177">
        <v>0</v>
      </c>
      <c r="L20" s="176">
        <v>0</v>
      </c>
      <c r="M20" s="176">
        <v>0</v>
      </c>
      <c r="N20" s="177">
        <v>17.484000000000002</v>
      </c>
      <c r="O20" s="177">
        <v>17.702999999999999</v>
      </c>
      <c r="P20" s="176">
        <v>153159.84000000003</v>
      </c>
      <c r="Q20" s="176">
        <v>155078.28</v>
      </c>
      <c r="R20" s="174">
        <v>15.563000000000001</v>
      </c>
      <c r="S20" s="176">
        <v>136331.88</v>
      </c>
      <c r="T20" s="176">
        <v>136331.88</v>
      </c>
      <c r="U20" s="177">
        <v>1.921</v>
      </c>
      <c r="V20" s="177">
        <v>2.14</v>
      </c>
      <c r="W20" s="177">
        <v>1.921</v>
      </c>
      <c r="X20" s="177">
        <v>2.14</v>
      </c>
      <c r="Y20" s="177">
        <v>0</v>
      </c>
      <c r="Z20" s="177">
        <v>0</v>
      </c>
      <c r="AA20" s="174">
        <v>0</v>
      </c>
      <c r="AB20" s="174">
        <v>0</v>
      </c>
      <c r="AC20" s="177">
        <v>1.921</v>
      </c>
      <c r="AD20" s="177">
        <v>2.14</v>
      </c>
      <c r="AE20" s="178">
        <v>2.2409000000000001E-3</v>
      </c>
      <c r="AF20" s="178">
        <v>2.2409000000000001E-3</v>
      </c>
      <c r="AG20" s="178">
        <v>0</v>
      </c>
      <c r="AH20" s="178">
        <v>2.2409000000000001E-3</v>
      </c>
      <c r="AI20" s="178">
        <v>2.2409000000000001E-3</v>
      </c>
      <c r="AJ20" s="178">
        <v>2.2409000000000001E-3</v>
      </c>
      <c r="AK20" s="178">
        <v>0.8901112675245938</v>
      </c>
      <c r="AL20" s="178">
        <v>0.87909989275264078</v>
      </c>
      <c r="AM20" s="178">
        <v>1.1234337852599114</v>
      </c>
      <c r="AN20" s="178">
        <v>1.1375056223093234</v>
      </c>
      <c r="AO20" s="178">
        <v>0</v>
      </c>
      <c r="AP20" s="178">
        <v>0</v>
      </c>
      <c r="AQ20" s="174">
        <v>3</v>
      </c>
      <c r="AR20" s="174">
        <v>3</v>
      </c>
      <c r="AS20" s="177">
        <v>2</v>
      </c>
      <c r="AT20" s="177">
        <v>2</v>
      </c>
      <c r="AU20" s="177">
        <v>0.92100000000000004</v>
      </c>
      <c r="AV20" s="177">
        <v>0.14000000000000001</v>
      </c>
      <c r="AW20" s="177">
        <v>0</v>
      </c>
      <c r="AX20" s="177">
        <v>0</v>
      </c>
      <c r="AY20" s="177">
        <v>0</v>
      </c>
      <c r="AZ20" s="177">
        <v>0</v>
      </c>
      <c r="BA20" s="177">
        <v>0</v>
      </c>
      <c r="BB20" s="177">
        <v>0</v>
      </c>
      <c r="BC20" s="177">
        <v>0</v>
      </c>
      <c r="BD20" s="177">
        <v>0</v>
      </c>
      <c r="BE20" s="177">
        <v>16.484000000000002</v>
      </c>
      <c r="BF20" s="177">
        <v>15.702999999999999</v>
      </c>
      <c r="BG20" s="174">
        <v>1</v>
      </c>
      <c r="BH20" s="174"/>
      <c r="BI20" s="174"/>
      <c r="BJ20" s="174"/>
      <c r="BK20" s="174"/>
      <c r="BL20" s="174"/>
      <c r="BM20" s="174"/>
      <c r="BN20" s="174"/>
    </row>
    <row r="21" spans="1:66">
      <c r="A21" s="174">
        <v>10068</v>
      </c>
      <c r="B21" s="174" t="s">
        <v>25</v>
      </c>
      <c r="C21" s="174">
        <v>1</v>
      </c>
      <c r="D21" s="174">
        <v>0</v>
      </c>
      <c r="E21" s="177">
        <v>2.8109999999999999</v>
      </c>
      <c r="F21" s="177">
        <v>2.5510000000000002</v>
      </c>
      <c r="G21" s="177">
        <v>2.556</v>
      </c>
      <c r="H21" s="177">
        <v>0</v>
      </c>
      <c r="I21" s="177">
        <v>0</v>
      </c>
      <c r="J21" s="177">
        <v>0</v>
      </c>
      <c r="K21" s="177">
        <v>0</v>
      </c>
      <c r="L21" s="176">
        <v>0</v>
      </c>
      <c r="M21" s="176">
        <v>0</v>
      </c>
      <c r="N21" s="177">
        <v>2.6349999999999998</v>
      </c>
      <c r="O21" s="177">
        <v>2.641</v>
      </c>
      <c r="P21" s="176">
        <v>23082.6</v>
      </c>
      <c r="Q21" s="176">
        <v>23135.16</v>
      </c>
      <c r="R21" s="174">
        <v>2.7250000000000001</v>
      </c>
      <c r="S21" s="176">
        <v>23871</v>
      </c>
      <c r="T21" s="176">
        <v>23871</v>
      </c>
      <c r="U21" s="177">
        <v>0</v>
      </c>
      <c r="V21" s="177">
        <v>0</v>
      </c>
      <c r="W21" s="177">
        <v>0</v>
      </c>
      <c r="X21" s="177">
        <v>0</v>
      </c>
      <c r="Y21" s="177">
        <v>0</v>
      </c>
      <c r="Z21" s="177">
        <v>0</v>
      </c>
      <c r="AA21" s="174">
        <v>0</v>
      </c>
      <c r="AB21" s="174">
        <v>0</v>
      </c>
      <c r="AC21" s="177">
        <v>0</v>
      </c>
      <c r="AD21" s="177">
        <v>0</v>
      </c>
      <c r="AE21" s="178">
        <v>3.7940000000000001E-4</v>
      </c>
      <c r="AF21" s="178">
        <v>3.8029999999999997E-4</v>
      </c>
      <c r="AG21" s="178">
        <v>0</v>
      </c>
      <c r="AH21" s="178">
        <v>3.7940000000000001E-4</v>
      </c>
      <c r="AI21" s="178">
        <v>3.8029999999999997E-4</v>
      </c>
      <c r="AJ21" s="178">
        <v>3.7984999999999999E-4</v>
      </c>
      <c r="AK21" s="178">
        <v>0.99995239939278935</v>
      </c>
      <c r="AL21" s="178">
        <v>1</v>
      </c>
      <c r="AM21" s="178">
        <v>1</v>
      </c>
      <c r="AN21" s="178">
        <v>1</v>
      </c>
      <c r="AO21" s="178">
        <v>0</v>
      </c>
      <c r="AP21" s="178">
        <v>0</v>
      </c>
      <c r="AQ21" s="174">
        <v>1</v>
      </c>
      <c r="AR21" s="174">
        <v>1</v>
      </c>
      <c r="AS21" s="177">
        <v>0</v>
      </c>
      <c r="AT21" s="177">
        <v>0</v>
      </c>
      <c r="AU21" s="177">
        <v>0</v>
      </c>
      <c r="AV21" s="177">
        <v>0</v>
      </c>
      <c r="AW21" s="177">
        <v>0</v>
      </c>
      <c r="AX21" s="177">
        <v>0</v>
      </c>
      <c r="AY21" s="177">
        <v>0</v>
      </c>
      <c r="AZ21" s="177">
        <v>0</v>
      </c>
      <c r="BA21" s="177">
        <v>0</v>
      </c>
      <c r="BB21" s="177">
        <v>0</v>
      </c>
      <c r="BC21" s="177">
        <v>0</v>
      </c>
      <c r="BD21" s="177">
        <v>0</v>
      </c>
      <c r="BE21" s="177">
        <v>2.6349999999999998</v>
      </c>
      <c r="BF21" s="177">
        <v>2.641</v>
      </c>
      <c r="BG21" s="174">
        <v>0</v>
      </c>
      <c r="BH21" s="174"/>
      <c r="BI21" s="174"/>
      <c r="BJ21" s="174"/>
      <c r="BK21" s="174"/>
      <c r="BL21" s="174"/>
      <c r="BM21" s="174"/>
      <c r="BN21" s="174"/>
    </row>
    <row r="22" spans="1:66">
      <c r="A22" s="174">
        <v>10070</v>
      </c>
      <c r="B22" s="174" t="s">
        <v>26</v>
      </c>
      <c r="C22" s="174">
        <v>1</v>
      </c>
      <c r="D22" s="174">
        <v>0</v>
      </c>
      <c r="E22" s="177">
        <v>0.36399999999999999</v>
      </c>
      <c r="F22" s="177">
        <v>0.378</v>
      </c>
      <c r="G22" s="177">
        <v>0.378</v>
      </c>
      <c r="H22" s="177">
        <v>0</v>
      </c>
      <c r="I22" s="177">
        <v>0</v>
      </c>
      <c r="J22" s="177">
        <v>0</v>
      </c>
      <c r="K22" s="177">
        <v>0</v>
      </c>
      <c r="L22" s="176">
        <v>0</v>
      </c>
      <c r="M22" s="176">
        <v>0</v>
      </c>
      <c r="N22" s="177">
        <v>0.38700000000000001</v>
      </c>
      <c r="O22" s="177">
        <v>0.38700000000000001</v>
      </c>
      <c r="P22" s="176">
        <v>3390.12</v>
      </c>
      <c r="Q22" s="176">
        <v>3390.12</v>
      </c>
      <c r="R22" s="174">
        <v>0.35299999999999998</v>
      </c>
      <c r="S22" s="176">
        <v>3092.2799999999997</v>
      </c>
      <c r="T22" s="176">
        <v>3092.2799999999997</v>
      </c>
      <c r="U22" s="177">
        <v>3.4000000000000002E-2</v>
      </c>
      <c r="V22" s="177">
        <v>3.4000000000000002E-2</v>
      </c>
      <c r="W22" s="177">
        <v>0</v>
      </c>
      <c r="X22" s="177">
        <v>0</v>
      </c>
      <c r="Y22" s="177">
        <v>3.4000000000000002E-2</v>
      </c>
      <c r="Z22" s="177">
        <v>3.4000000000000002E-2</v>
      </c>
      <c r="AA22" s="174">
        <v>0</v>
      </c>
      <c r="AB22" s="174">
        <v>0</v>
      </c>
      <c r="AC22" s="177">
        <v>0</v>
      </c>
      <c r="AD22" s="177">
        <v>0</v>
      </c>
      <c r="AE22" s="178">
        <v>5.0800000000000002E-5</v>
      </c>
      <c r="AF22" s="178">
        <v>5.0800000000000002E-5</v>
      </c>
      <c r="AG22" s="178">
        <v>0</v>
      </c>
      <c r="AH22" s="178">
        <v>5.0800000000000002E-5</v>
      </c>
      <c r="AI22" s="178">
        <v>5.0800000000000002E-5</v>
      </c>
      <c r="AJ22" s="178">
        <v>5.0800000000000002E-5</v>
      </c>
      <c r="AK22" s="178">
        <v>0.91162319586563301</v>
      </c>
      <c r="AL22" s="178">
        <v>0.91162319586563301</v>
      </c>
      <c r="AM22" s="178">
        <v>1.0963172804532579</v>
      </c>
      <c r="AN22" s="178">
        <v>1.0963172804532579</v>
      </c>
      <c r="AO22" s="178">
        <v>0</v>
      </c>
      <c r="AP22" s="178">
        <v>0</v>
      </c>
      <c r="AQ22" s="174">
        <v>1</v>
      </c>
      <c r="AR22" s="174">
        <v>1</v>
      </c>
      <c r="AS22" s="177">
        <v>0</v>
      </c>
      <c r="AT22" s="177">
        <v>0</v>
      </c>
      <c r="AU22" s="177">
        <v>0</v>
      </c>
      <c r="AV22" s="177">
        <v>0</v>
      </c>
      <c r="AW22" s="177">
        <v>0</v>
      </c>
      <c r="AX22" s="177">
        <v>0</v>
      </c>
      <c r="AY22" s="177">
        <v>0</v>
      </c>
      <c r="AZ22" s="177">
        <v>0</v>
      </c>
      <c r="BA22" s="177">
        <v>0</v>
      </c>
      <c r="BB22" s="177">
        <v>0</v>
      </c>
      <c r="BC22" s="177">
        <v>0</v>
      </c>
      <c r="BD22" s="177">
        <v>0</v>
      </c>
      <c r="BE22" s="177">
        <v>0.38700000000000001</v>
      </c>
      <c r="BF22" s="177">
        <v>0.38700000000000001</v>
      </c>
      <c r="BG22" s="174">
        <v>0</v>
      </c>
      <c r="BH22" s="174"/>
      <c r="BI22" s="174"/>
      <c r="BJ22" s="174"/>
      <c r="BK22" s="174"/>
      <c r="BL22" s="174"/>
      <c r="BM22" s="174"/>
      <c r="BN22" s="174"/>
    </row>
    <row r="23" spans="1:66">
      <c r="A23" s="174">
        <v>10071</v>
      </c>
      <c r="B23" s="174" t="s">
        <v>27</v>
      </c>
      <c r="C23" s="174">
        <v>1</v>
      </c>
      <c r="D23" s="174">
        <v>0</v>
      </c>
      <c r="E23" s="177">
        <v>1.9430000000000001</v>
      </c>
      <c r="F23" s="177">
        <v>1.8839999999999999</v>
      </c>
      <c r="G23" s="177">
        <v>1.889</v>
      </c>
      <c r="H23" s="177">
        <v>0</v>
      </c>
      <c r="I23" s="177">
        <v>0</v>
      </c>
      <c r="J23" s="177">
        <v>0</v>
      </c>
      <c r="K23" s="177">
        <v>0</v>
      </c>
      <c r="L23" s="176">
        <v>0</v>
      </c>
      <c r="M23" s="176">
        <v>0</v>
      </c>
      <c r="N23" s="177">
        <v>1.867</v>
      </c>
      <c r="O23" s="177">
        <v>1.8720000000000001</v>
      </c>
      <c r="P23" s="176">
        <v>16354.92</v>
      </c>
      <c r="Q23" s="176">
        <v>16398.72</v>
      </c>
      <c r="R23" s="174">
        <v>1.8839999999999999</v>
      </c>
      <c r="S23" s="176">
        <v>16503.84</v>
      </c>
      <c r="T23" s="176">
        <v>16503.84</v>
      </c>
      <c r="U23" s="177">
        <v>0</v>
      </c>
      <c r="V23" s="177">
        <v>0</v>
      </c>
      <c r="W23" s="177">
        <v>0</v>
      </c>
      <c r="X23" s="177">
        <v>0</v>
      </c>
      <c r="Y23" s="177">
        <v>0</v>
      </c>
      <c r="Z23" s="177">
        <v>0</v>
      </c>
      <c r="AA23" s="174">
        <v>0</v>
      </c>
      <c r="AB23" s="174">
        <v>0</v>
      </c>
      <c r="AC23" s="177">
        <v>0</v>
      </c>
      <c r="AD23" s="177">
        <v>0</v>
      </c>
      <c r="AE23" s="178">
        <v>2.6879999999999997E-4</v>
      </c>
      <c r="AF23" s="178">
        <v>2.6959999999999999E-4</v>
      </c>
      <c r="AG23" s="178">
        <v>0</v>
      </c>
      <c r="AH23" s="178">
        <v>2.6879999999999997E-4</v>
      </c>
      <c r="AI23" s="178">
        <v>2.6959999999999999E-4</v>
      </c>
      <c r="AJ23" s="178">
        <v>2.6919999999999998E-4</v>
      </c>
      <c r="AK23" s="178">
        <v>0.99987927412961963</v>
      </c>
      <c r="AL23" s="178">
        <v>1</v>
      </c>
      <c r="AM23" s="178">
        <v>1</v>
      </c>
      <c r="AN23" s="178">
        <v>1</v>
      </c>
      <c r="AO23" s="178">
        <v>0</v>
      </c>
      <c r="AP23" s="178">
        <v>0</v>
      </c>
      <c r="AQ23" s="174">
        <v>1</v>
      </c>
      <c r="AR23" s="174">
        <v>1</v>
      </c>
      <c r="AS23" s="177">
        <v>0</v>
      </c>
      <c r="AT23" s="177">
        <v>0</v>
      </c>
      <c r="AU23" s="177">
        <v>0</v>
      </c>
      <c r="AV23" s="177">
        <v>0</v>
      </c>
      <c r="AW23" s="177">
        <v>0</v>
      </c>
      <c r="AX23" s="177">
        <v>0</v>
      </c>
      <c r="AY23" s="177">
        <v>0</v>
      </c>
      <c r="AZ23" s="177">
        <v>0</v>
      </c>
      <c r="BA23" s="177">
        <v>0</v>
      </c>
      <c r="BB23" s="177">
        <v>0</v>
      </c>
      <c r="BC23" s="177">
        <v>0</v>
      </c>
      <c r="BD23" s="177">
        <v>0</v>
      </c>
      <c r="BE23" s="177">
        <v>1.867</v>
      </c>
      <c r="BF23" s="177">
        <v>1.8720000000000001</v>
      </c>
      <c r="BG23" s="174">
        <v>0</v>
      </c>
      <c r="BH23" s="174"/>
      <c r="BI23" s="174"/>
      <c r="BJ23" s="174"/>
      <c r="BK23" s="174"/>
      <c r="BL23" s="174"/>
      <c r="BM23" s="174"/>
      <c r="BN23" s="174"/>
    </row>
    <row r="24" spans="1:66">
      <c r="A24" s="181">
        <v>10072</v>
      </c>
      <c r="B24" s="181" t="s">
        <v>28</v>
      </c>
      <c r="C24" s="181">
        <v>1</v>
      </c>
      <c r="D24" s="181">
        <v>0</v>
      </c>
      <c r="E24" s="177">
        <v>24.34</v>
      </c>
      <c r="F24" s="185">
        <v>23.928999999999998</v>
      </c>
      <c r="G24" s="185">
        <v>24.103999999999999</v>
      </c>
      <c r="H24" s="185">
        <v>0</v>
      </c>
      <c r="I24" s="185">
        <v>0</v>
      </c>
      <c r="J24" s="185">
        <v>0</v>
      </c>
      <c r="K24" s="185">
        <v>0</v>
      </c>
      <c r="L24" s="183">
        <v>0</v>
      </c>
      <c r="M24" s="183">
        <v>0</v>
      </c>
      <c r="N24" s="185">
        <v>24.015000000000001</v>
      </c>
      <c r="O24" s="185">
        <v>24.077000000000002</v>
      </c>
      <c r="P24" s="183">
        <v>210371.4</v>
      </c>
      <c r="Q24" s="183">
        <v>210914.52000000002</v>
      </c>
      <c r="R24" s="181">
        <v>23.597000000000001</v>
      </c>
      <c r="S24" s="183">
        <v>206709.72</v>
      </c>
      <c r="T24" s="183">
        <v>206709.72</v>
      </c>
      <c r="U24" s="185">
        <v>0.41799999999999998</v>
      </c>
      <c r="V24" s="185">
        <v>0.48</v>
      </c>
      <c r="W24" s="177">
        <v>0.41799999999999998</v>
      </c>
      <c r="X24" s="177">
        <v>0.48</v>
      </c>
      <c r="Y24" s="185">
        <v>0</v>
      </c>
      <c r="Z24" s="185">
        <v>0</v>
      </c>
      <c r="AA24" s="181">
        <v>2</v>
      </c>
      <c r="AB24" s="181">
        <v>2</v>
      </c>
      <c r="AC24" s="185">
        <v>0</v>
      </c>
      <c r="AD24" s="185">
        <v>0</v>
      </c>
      <c r="AE24" s="186">
        <v>3.3977999999999999E-3</v>
      </c>
      <c r="AF24" s="186">
        <v>3.3977999999999999E-3</v>
      </c>
      <c r="AG24" s="178">
        <v>0</v>
      </c>
      <c r="AH24" s="186">
        <v>3.3977999999999999E-3</v>
      </c>
      <c r="AI24" s="186">
        <v>3.3977999999999999E-3</v>
      </c>
      <c r="AJ24" s="186">
        <v>3.3977999999999999E-3</v>
      </c>
      <c r="AK24" s="186">
        <v>0.98260244592129908</v>
      </c>
      <c r="AL24" s="186">
        <v>0.98007217422436332</v>
      </c>
      <c r="AM24" s="186">
        <v>1.017714116201212</v>
      </c>
      <c r="AN24" s="186">
        <v>1.0203415688434971</v>
      </c>
      <c r="AO24" s="186">
        <v>0</v>
      </c>
      <c r="AP24" s="186">
        <v>0</v>
      </c>
      <c r="AQ24" s="181">
        <v>1</v>
      </c>
      <c r="AR24" s="181">
        <v>1</v>
      </c>
      <c r="AS24" s="185">
        <v>0</v>
      </c>
      <c r="AT24" s="185">
        <v>0</v>
      </c>
      <c r="AU24" s="177">
        <v>2</v>
      </c>
      <c r="AV24" s="177">
        <v>2</v>
      </c>
      <c r="AW24" s="177">
        <v>0</v>
      </c>
      <c r="AX24" s="177">
        <v>0</v>
      </c>
      <c r="AY24" s="177">
        <v>-1.5820000000000001</v>
      </c>
      <c r="AZ24" s="177">
        <v>-1.52</v>
      </c>
      <c r="BA24" s="177">
        <v>-1.5820000000000001</v>
      </c>
      <c r="BB24" s="177">
        <v>-1.52</v>
      </c>
      <c r="BC24" s="177">
        <v>0</v>
      </c>
      <c r="BD24" s="177">
        <v>0</v>
      </c>
      <c r="BE24" s="185">
        <v>24.015000000000001</v>
      </c>
      <c r="BF24" s="185">
        <v>24.077000000000002</v>
      </c>
      <c r="BG24" s="174">
        <v>1</v>
      </c>
      <c r="BH24" s="181"/>
      <c r="BI24" s="181"/>
      <c r="BJ24" s="181"/>
      <c r="BK24" s="181"/>
      <c r="BL24" s="181"/>
      <c r="BM24" s="174"/>
      <c r="BN24" s="174"/>
    </row>
    <row r="25" spans="1:66">
      <c r="A25" s="174">
        <v>10074</v>
      </c>
      <c r="B25" s="174" t="s">
        <v>29</v>
      </c>
      <c r="C25" s="174">
        <v>1</v>
      </c>
      <c r="D25" s="174">
        <v>0</v>
      </c>
      <c r="E25" s="177">
        <v>27.08</v>
      </c>
      <c r="F25" s="177">
        <v>31.253</v>
      </c>
      <c r="G25" s="177">
        <v>31.757000000000001</v>
      </c>
      <c r="H25" s="177">
        <v>0</v>
      </c>
      <c r="I25" s="177">
        <v>0</v>
      </c>
      <c r="J25" s="177">
        <v>2.9369999999999998</v>
      </c>
      <c r="K25" s="177">
        <v>2.9369999999999998</v>
      </c>
      <c r="L25" s="176">
        <v>25728.12</v>
      </c>
      <c r="M25" s="176">
        <v>25728.12</v>
      </c>
      <c r="N25" s="177">
        <v>26.864999999999998</v>
      </c>
      <c r="O25" s="177">
        <v>27.117000000000001</v>
      </c>
      <c r="P25" s="176">
        <v>235337.4</v>
      </c>
      <c r="Q25" s="176">
        <v>237544.92</v>
      </c>
      <c r="R25" s="174">
        <v>26.254000000000001</v>
      </c>
      <c r="S25" s="176">
        <v>229985.04</v>
      </c>
      <c r="T25" s="176">
        <v>229985.04</v>
      </c>
      <c r="U25" s="177">
        <v>0.61099999999999999</v>
      </c>
      <c r="V25" s="177">
        <v>0.86299999999999999</v>
      </c>
      <c r="W25" s="177">
        <v>0</v>
      </c>
      <c r="X25" s="177">
        <v>0</v>
      </c>
      <c r="Y25" s="177">
        <v>0.61099999999999999</v>
      </c>
      <c r="Z25" s="177">
        <v>0.86299999999999999</v>
      </c>
      <c r="AA25" s="174">
        <v>0</v>
      </c>
      <c r="AB25" s="174">
        <v>0</v>
      </c>
      <c r="AC25" s="177">
        <v>0</v>
      </c>
      <c r="AD25" s="177">
        <v>0</v>
      </c>
      <c r="AE25" s="178">
        <v>3.7804000000000002E-3</v>
      </c>
      <c r="AF25" s="178">
        <v>3.7804000000000002E-3</v>
      </c>
      <c r="AG25" s="178">
        <v>0</v>
      </c>
      <c r="AH25" s="178">
        <v>3.7804000000000002E-3</v>
      </c>
      <c r="AI25" s="178">
        <v>3.7804000000000002E-3</v>
      </c>
      <c r="AJ25" s="178">
        <v>3.7804000000000002E-3</v>
      </c>
      <c r="AK25" s="178">
        <v>0.97950794639285954</v>
      </c>
      <c r="AL25" s="178">
        <v>0.97129486319291947</v>
      </c>
      <c r="AM25" s="178">
        <v>1.0232726441685076</v>
      </c>
      <c r="AN25" s="178">
        <v>1.0328711815342424</v>
      </c>
      <c r="AO25" s="178">
        <v>0</v>
      </c>
      <c r="AP25" s="178">
        <v>0</v>
      </c>
      <c r="AQ25" s="174">
        <v>3</v>
      </c>
      <c r="AR25" s="174">
        <v>3</v>
      </c>
      <c r="AS25" s="177">
        <v>1</v>
      </c>
      <c r="AT25" s="177">
        <v>1</v>
      </c>
      <c r="AU25" s="177">
        <v>0</v>
      </c>
      <c r="AV25" s="177">
        <v>0</v>
      </c>
      <c r="AW25" s="177">
        <v>0</v>
      </c>
      <c r="AX25" s="177">
        <v>0</v>
      </c>
      <c r="AY25" s="177">
        <v>0</v>
      </c>
      <c r="AZ25" s="177">
        <v>0</v>
      </c>
      <c r="BA25" s="177">
        <v>0</v>
      </c>
      <c r="BB25" s="177">
        <v>0</v>
      </c>
      <c r="BC25" s="177">
        <v>0</v>
      </c>
      <c r="BD25" s="177">
        <v>0</v>
      </c>
      <c r="BE25" s="177">
        <v>26.864999999999998</v>
      </c>
      <c r="BF25" s="177">
        <v>27.117000000000001</v>
      </c>
      <c r="BG25" s="174">
        <v>1</v>
      </c>
      <c r="BH25" s="174"/>
      <c r="BI25" s="174"/>
      <c r="BJ25" s="174"/>
      <c r="BK25" s="174"/>
      <c r="BL25" s="174"/>
      <c r="BM25" s="174"/>
      <c r="BN25" s="174"/>
    </row>
    <row r="26" spans="1:66">
      <c r="A26" s="174">
        <v>10076</v>
      </c>
      <c r="B26" s="174" t="s">
        <v>30</v>
      </c>
      <c r="C26" s="174">
        <v>1</v>
      </c>
      <c r="D26" s="174">
        <v>0</v>
      </c>
      <c r="E26" s="177">
        <v>4.8890000000000002</v>
      </c>
      <c r="F26" s="177">
        <v>6.984</v>
      </c>
      <c r="G26" s="177">
        <v>7.0910000000000002</v>
      </c>
      <c r="H26" s="177">
        <v>0</v>
      </c>
      <c r="I26" s="177">
        <v>0</v>
      </c>
      <c r="J26" s="177">
        <v>0</v>
      </c>
      <c r="K26" s="177">
        <v>0</v>
      </c>
      <c r="L26" s="176">
        <v>0</v>
      </c>
      <c r="M26" s="176">
        <v>0</v>
      </c>
      <c r="N26" s="177">
        <v>6.4470000000000001</v>
      </c>
      <c r="O26" s="177">
        <v>6.5110000000000001</v>
      </c>
      <c r="P26" s="176">
        <v>56475.72</v>
      </c>
      <c r="Q26" s="176">
        <v>57036.36</v>
      </c>
      <c r="R26" s="174">
        <v>4.74</v>
      </c>
      <c r="S26" s="176">
        <v>41522.400000000001</v>
      </c>
      <c r="T26" s="176">
        <v>41522.400000000001</v>
      </c>
      <c r="U26" s="177">
        <v>1.7070000000000001</v>
      </c>
      <c r="V26" s="177">
        <v>1.7709999999999999</v>
      </c>
      <c r="W26" s="177">
        <v>1.7070000000000001</v>
      </c>
      <c r="X26" s="177">
        <v>1.7709999999999999</v>
      </c>
      <c r="Y26" s="177">
        <v>0</v>
      </c>
      <c r="Z26" s="177">
        <v>0</v>
      </c>
      <c r="AA26" s="174">
        <v>1</v>
      </c>
      <c r="AB26" s="174">
        <v>1</v>
      </c>
      <c r="AC26" s="177">
        <v>0.70700000000000007</v>
      </c>
      <c r="AD26" s="177">
        <v>0.77099999999999991</v>
      </c>
      <c r="AE26" s="178">
        <v>6.8249999999999995E-4</v>
      </c>
      <c r="AF26" s="178">
        <v>6.8249999999999995E-4</v>
      </c>
      <c r="AG26" s="178">
        <v>0</v>
      </c>
      <c r="AH26" s="178">
        <v>6.8249999999999995E-4</v>
      </c>
      <c r="AI26" s="178">
        <v>6.8249999999999995E-4</v>
      </c>
      <c r="AJ26" s="178">
        <v>6.8249999999999995E-4</v>
      </c>
      <c r="AK26" s="178">
        <v>0.73520356677524423</v>
      </c>
      <c r="AL26" s="178">
        <v>0.72797686914452453</v>
      </c>
      <c r="AM26" s="178">
        <v>1.3601265822784809</v>
      </c>
      <c r="AN26" s="178">
        <v>1.3736286919831224</v>
      </c>
      <c r="AO26" s="178">
        <v>0</v>
      </c>
      <c r="AP26" s="178">
        <v>0</v>
      </c>
      <c r="AQ26" s="174">
        <v>1</v>
      </c>
      <c r="AR26" s="174">
        <v>1</v>
      </c>
      <c r="AS26" s="177">
        <v>0</v>
      </c>
      <c r="AT26" s="177">
        <v>0</v>
      </c>
      <c r="AU26" s="177">
        <v>1.7070000000000001</v>
      </c>
      <c r="AV26" s="177">
        <v>1.7709999999999999</v>
      </c>
      <c r="AW26" s="177">
        <v>0</v>
      </c>
      <c r="AX26" s="177">
        <v>0</v>
      </c>
      <c r="AY26" s="177">
        <v>0</v>
      </c>
      <c r="AZ26" s="177">
        <v>0</v>
      </c>
      <c r="BA26" s="177">
        <v>0</v>
      </c>
      <c r="BB26" s="177">
        <v>0</v>
      </c>
      <c r="BC26" s="177">
        <v>0</v>
      </c>
      <c r="BD26" s="177">
        <v>0</v>
      </c>
      <c r="BE26" s="177">
        <v>6.4470000000000001</v>
      </c>
      <c r="BF26" s="177">
        <v>6.5110000000000001</v>
      </c>
      <c r="BG26" s="174">
        <v>1</v>
      </c>
      <c r="BH26" s="174"/>
      <c r="BI26" s="174"/>
      <c r="BJ26" s="174"/>
      <c r="BK26" s="174"/>
      <c r="BL26" s="174"/>
      <c r="BM26" s="174"/>
      <c r="BN26" s="174"/>
    </row>
    <row r="27" spans="1:66">
      <c r="A27" s="174">
        <v>10078</v>
      </c>
      <c r="B27" s="174" t="s">
        <v>31</v>
      </c>
      <c r="C27" s="174">
        <v>1</v>
      </c>
      <c r="D27" s="174">
        <v>0</v>
      </c>
      <c r="E27" s="177">
        <v>3.7729999999999997</v>
      </c>
      <c r="F27" s="177">
        <v>3.5470000000000002</v>
      </c>
      <c r="G27" s="177">
        <v>3.55</v>
      </c>
      <c r="H27" s="177">
        <v>0</v>
      </c>
      <c r="I27" s="177">
        <v>0</v>
      </c>
      <c r="J27" s="177">
        <v>0</v>
      </c>
      <c r="K27" s="177">
        <v>0</v>
      </c>
      <c r="L27" s="176">
        <v>0</v>
      </c>
      <c r="M27" s="176">
        <v>0</v>
      </c>
      <c r="N27" s="177">
        <v>3.9830000000000001</v>
      </c>
      <c r="O27" s="177">
        <v>4.1829999999999998</v>
      </c>
      <c r="P27" s="176">
        <v>34891.08</v>
      </c>
      <c r="Q27" s="176">
        <v>36643.08</v>
      </c>
      <c r="R27" s="174">
        <v>3.6579999999999999</v>
      </c>
      <c r="S27" s="176">
        <v>32044.079999999998</v>
      </c>
      <c r="T27" s="176">
        <v>32044.079999999998</v>
      </c>
      <c r="U27" s="177">
        <v>0.32500000000000001</v>
      </c>
      <c r="V27" s="177">
        <v>0.52500000000000002</v>
      </c>
      <c r="W27" s="177">
        <v>0</v>
      </c>
      <c r="X27" s="177">
        <v>0</v>
      </c>
      <c r="Y27" s="177">
        <v>0.32500000000000001</v>
      </c>
      <c r="Z27" s="177">
        <v>0.52500000000000002</v>
      </c>
      <c r="AA27" s="174">
        <v>0</v>
      </c>
      <c r="AB27" s="174">
        <v>0</v>
      </c>
      <c r="AC27" s="177">
        <v>0</v>
      </c>
      <c r="AD27" s="177">
        <v>0</v>
      </c>
      <c r="AE27" s="178">
        <v>5.2669999999999995E-4</v>
      </c>
      <c r="AF27" s="178">
        <v>5.2669999999999995E-4</v>
      </c>
      <c r="AG27" s="178">
        <v>0</v>
      </c>
      <c r="AH27" s="178">
        <v>5.2669999999999995E-4</v>
      </c>
      <c r="AI27" s="178">
        <v>5.2669999999999995E-4</v>
      </c>
      <c r="AJ27" s="178">
        <v>5.2669999999999995E-4</v>
      </c>
      <c r="AK27" s="178">
        <v>0.91836565106703472</v>
      </c>
      <c r="AL27" s="178">
        <v>0.87445622476691365</v>
      </c>
      <c r="AM27" s="178">
        <v>1.0888463641334063</v>
      </c>
      <c r="AN27" s="178">
        <v>1.1435210497539638</v>
      </c>
      <c r="AO27" s="178">
        <v>0</v>
      </c>
      <c r="AP27" s="178">
        <v>0</v>
      </c>
      <c r="AQ27" s="174">
        <v>1</v>
      </c>
      <c r="AR27" s="174">
        <v>1</v>
      </c>
      <c r="AS27" s="177">
        <v>0</v>
      </c>
      <c r="AT27" s="177">
        <v>0</v>
      </c>
      <c r="AU27" s="177">
        <v>0</v>
      </c>
      <c r="AV27" s="177">
        <v>0</v>
      </c>
      <c r="AW27" s="177">
        <v>0</v>
      </c>
      <c r="AX27" s="177">
        <v>0</v>
      </c>
      <c r="AY27" s="177">
        <v>0</v>
      </c>
      <c r="AZ27" s="177">
        <v>0</v>
      </c>
      <c r="BA27" s="177">
        <v>0</v>
      </c>
      <c r="BB27" s="177">
        <v>0</v>
      </c>
      <c r="BC27" s="177">
        <v>0</v>
      </c>
      <c r="BD27" s="177">
        <v>0</v>
      </c>
      <c r="BE27" s="177">
        <v>3.9830000000000001</v>
      </c>
      <c r="BF27" s="177">
        <v>4.1829999999999998</v>
      </c>
      <c r="BG27" s="174">
        <v>0</v>
      </c>
      <c r="BH27" s="174"/>
      <c r="BI27" s="174"/>
      <c r="BJ27" s="174"/>
      <c r="BK27" s="174"/>
      <c r="BL27" s="174"/>
      <c r="BM27" s="174"/>
      <c r="BN27" s="174"/>
    </row>
    <row r="28" spans="1:66">
      <c r="A28" s="174">
        <v>10079</v>
      </c>
      <c r="B28" s="174" t="s">
        <v>32</v>
      </c>
      <c r="C28" s="174">
        <v>1</v>
      </c>
      <c r="D28" s="174">
        <v>0</v>
      </c>
      <c r="E28" s="177">
        <v>89.494</v>
      </c>
      <c r="F28" s="177">
        <v>90.132999999999996</v>
      </c>
      <c r="G28" s="177">
        <v>92.278999999999996</v>
      </c>
      <c r="H28" s="177">
        <v>0</v>
      </c>
      <c r="I28" s="177">
        <v>0</v>
      </c>
      <c r="J28" s="177">
        <v>2.9369999999999998</v>
      </c>
      <c r="K28" s="177">
        <v>2.9369999999999998</v>
      </c>
      <c r="L28" s="176">
        <v>25728.12</v>
      </c>
      <c r="M28" s="176">
        <v>25728.12</v>
      </c>
      <c r="N28" s="177">
        <v>87.391000000000005</v>
      </c>
      <c r="O28" s="177">
        <v>89.537000000000006</v>
      </c>
      <c r="P28" s="176">
        <v>765545.16</v>
      </c>
      <c r="Q28" s="176">
        <v>784344.12000000011</v>
      </c>
      <c r="R28" s="174">
        <v>86.763000000000005</v>
      </c>
      <c r="S28" s="176">
        <v>760043.88</v>
      </c>
      <c r="T28" s="176">
        <v>760043.88</v>
      </c>
      <c r="U28" s="177">
        <v>0.628</v>
      </c>
      <c r="V28" s="177">
        <v>2.774</v>
      </c>
      <c r="W28" s="177">
        <v>0.628</v>
      </c>
      <c r="X28" s="177">
        <v>2.774</v>
      </c>
      <c r="Y28" s="177">
        <v>0</v>
      </c>
      <c r="Z28" s="177">
        <v>0</v>
      </c>
      <c r="AA28" s="174">
        <v>0</v>
      </c>
      <c r="AB28" s="174">
        <v>0</v>
      </c>
      <c r="AC28" s="177">
        <v>0.628</v>
      </c>
      <c r="AD28" s="177">
        <v>2.774</v>
      </c>
      <c r="AE28" s="178">
        <v>1.2493199999999999E-2</v>
      </c>
      <c r="AF28" s="178">
        <v>1.2493199999999999E-2</v>
      </c>
      <c r="AG28" s="178">
        <v>0</v>
      </c>
      <c r="AH28" s="178">
        <v>1.2493199999999999E-2</v>
      </c>
      <c r="AI28" s="178">
        <v>1.2493199999999999E-2</v>
      </c>
      <c r="AJ28" s="178">
        <v>1.2493199999999999E-2</v>
      </c>
      <c r="AK28" s="178">
        <v>0.99305143529359652</v>
      </c>
      <c r="AL28" s="178">
        <v>0.97000616440512999</v>
      </c>
      <c r="AM28" s="178">
        <v>1.0072381084102671</v>
      </c>
      <c r="AN28" s="178">
        <v>1.0319721540287912</v>
      </c>
      <c r="AO28" s="178">
        <v>0</v>
      </c>
      <c r="AP28" s="178">
        <v>0</v>
      </c>
      <c r="AQ28" s="174">
        <v>3</v>
      </c>
      <c r="AR28" s="174">
        <v>3</v>
      </c>
      <c r="AS28" s="177">
        <v>4.069</v>
      </c>
      <c r="AT28" s="177">
        <v>4.069</v>
      </c>
      <c r="AU28" s="177">
        <v>0</v>
      </c>
      <c r="AV28" s="177">
        <v>0</v>
      </c>
      <c r="AW28" s="177">
        <v>4.069</v>
      </c>
      <c r="AX28" s="177">
        <v>4.069</v>
      </c>
      <c r="AY28" s="177">
        <v>-3.4409999999999998</v>
      </c>
      <c r="AZ28" s="177">
        <v>-1.2949999999999999</v>
      </c>
      <c r="BA28" s="177">
        <v>0</v>
      </c>
      <c r="BB28" s="177">
        <v>0</v>
      </c>
      <c r="BC28" s="177">
        <v>-3.4409999999999998</v>
      </c>
      <c r="BD28" s="177">
        <v>-1.2949999999999999</v>
      </c>
      <c r="BE28" s="177">
        <v>86.763000000000005</v>
      </c>
      <c r="BF28" s="177">
        <v>86.763000000000005</v>
      </c>
      <c r="BG28" s="174">
        <v>0</v>
      </c>
      <c r="BH28" s="174"/>
      <c r="BI28" s="174"/>
      <c r="BJ28" s="174"/>
      <c r="BK28" s="174"/>
      <c r="BL28" s="174"/>
      <c r="BM28" s="174"/>
      <c r="BN28" s="174"/>
    </row>
    <row r="29" spans="1:66">
      <c r="A29" s="174">
        <v>10080</v>
      </c>
      <c r="B29" s="174" t="s">
        <v>33</v>
      </c>
      <c r="C29" s="174">
        <v>1</v>
      </c>
      <c r="D29" s="174">
        <v>0</v>
      </c>
      <c r="E29" s="177">
        <v>7.548</v>
      </c>
      <c r="F29" s="177">
        <v>6.7249999999999996</v>
      </c>
      <c r="G29" s="177">
        <v>6.7640000000000002</v>
      </c>
      <c r="H29" s="177">
        <v>0</v>
      </c>
      <c r="I29" s="177">
        <v>0</v>
      </c>
      <c r="J29" s="177">
        <v>0</v>
      </c>
      <c r="K29" s="177">
        <v>0</v>
      </c>
      <c r="L29" s="176">
        <v>0</v>
      </c>
      <c r="M29" s="176">
        <v>0</v>
      </c>
      <c r="N29" s="177">
        <v>7.8220000000000001</v>
      </c>
      <c r="O29" s="177">
        <v>7.8689999999999998</v>
      </c>
      <c r="P29" s="176">
        <v>68520.72</v>
      </c>
      <c r="Q29" s="176">
        <v>68932.44</v>
      </c>
      <c r="R29" s="174">
        <v>7.3179999999999996</v>
      </c>
      <c r="S29" s="176">
        <v>64105.679999999993</v>
      </c>
      <c r="T29" s="176">
        <v>64105.679999999993</v>
      </c>
      <c r="U29" s="177">
        <v>0.504</v>
      </c>
      <c r="V29" s="177">
        <v>0.55100000000000005</v>
      </c>
      <c r="W29" s="177">
        <v>0</v>
      </c>
      <c r="X29" s="177">
        <v>0</v>
      </c>
      <c r="Y29" s="177">
        <v>0.504</v>
      </c>
      <c r="Z29" s="177">
        <v>0.55100000000000005</v>
      </c>
      <c r="AA29" s="174">
        <v>0</v>
      </c>
      <c r="AB29" s="174">
        <v>0</v>
      </c>
      <c r="AC29" s="177">
        <v>0</v>
      </c>
      <c r="AD29" s="177">
        <v>0</v>
      </c>
      <c r="AE29" s="178">
        <v>1.0537000000000001E-3</v>
      </c>
      <c r="AF29" s="178">
        <v>1.0537000000000001E-3</v>
      </c>
      <c r="AG29" s="178">
        <v>0</v>
      </c>
      <c r="AH29" s="178">
        <v>1.0537000000000001E-3</v>
      </c>
      <c r="AI29" s="178">
        <v>1.0537000000000001E-3</v>
      </c>
      <c r="AJ29" s="178">
        <v>1.0537000000000001E-3</v>
      </c>
      <c r="AK29" s="178">
        <v>0.93553876632574784</v>
      </c>
      <c r="AL29" s="178">
        <v>0.92995097600711651</v>
      </c>
      <c r="AM29" s="178">
        <v>1.0688712763050014</v>
      </c>
      <c r="AN29" s="178">
        <v>1.0752937961191582</v>
      </c>
      <c r="AO29" s="178">
        <v>0</v>
      </c>
      <c r="AP29" s="178">
        <v>0</v>
      </c>
      <c r="AQ29" s="174">
        <v>1</v>
      </c>
      <c r="AR29" s="174">
        <v>1</v>
      </c>
      <c r="AS29" s="177">
        <v>0</v>
      </c>
      <c r="AT29" s="177">
        <v>0</v>
      </c>
      <c r="AU29" s="177">
        <v>0</v>
      </c>
      <c r="AV29" s="177">
        <v>0</v>
      </c>
      <c r="AW29" s="177">
        <v>0</v>
      </c>
      <c r="AX29" s="177">
        <v>0</v>
      </c>
      <c r="AY29" s="177">
        <v>0</v>
      </c>
      <c r="AZ29" s="177">
        <v>0</v>
      </c>
      <c r="BA29" s="177">
        <v>0</v>
      </c>
      <c r="BB29" s="177">
        <v>0</v>
      </c>
      <c r="BC29" s="177">
        <v>0</v>
      </c>
      <c r="BD29" s="177">
        <v>0</v>
      </c>
      <c r="BE29" s="177">
        <v>7.8220000000000001</v>
      </c>
      <c r="BF29" s="177">
        <v>7.8689999999999998</v>
      </c>
      <c r="BG29" s="174">
        <v>0</v>
      </c>
      <c r="BH29" s="174"/>
      <c r="BI29" s="174"/>
      <c r="BJ29" s="174"/>
      <c r="BK29" s="174"/>
      <c r="BL29" s="174"/>
      <c r="BM29" s="174"/>
      <c r="BN29" s="174"/>
    </row>
    <row r="30" spans="1:66">
      <c r="A30" s="174">
        <v>10081</v>
      </c>
      <c r="B30" s="174" t="s">
        <v>34</v>
      </c>
      <c r="C30" s="174">
        <v>1</v>
      </c>
      <c r="D30" s="174">
        <v>0</v>
      </c>
      <c r="E30" s="177">
        <v>10.611000000000001</v>
      </c>
      <c r="F30" s="177">
        <v>12.212999999999999</v>
      </c>
      <c r="G30" s="177">
        <v>12.212999999999999</v>
      </c>
      <c r="H30" s="177">
        <v>0</v>
      </c>
      <c r="I30" s="177">
        <v>0</v>
      </c>
      <c r="J30" s="177">
        <v>2.9369999999999998</v>
      </c>
      <c r="K30" s="177">
        <v>2.9369999999999998</v>
      </c>
      <c r="L30" s="176">
        <v>25728.12</v>
      </c>
      <c r="M30" s="176">
        <v>25728.12</v>
      </c>
      <c r="N30" s="177">
        <v>9.6950000000000003</v>
      </c>
      <c r="O30" s="177">
        <v>9.6950000000000003</v>
      </c>
      <c r="P30" s="176">
        <v>84928.2</v>
      </c>
      <c r="Q30" s="176">
        <v>84928.2</v>
      </c>
      <c r="R30" s="174">
        <v>10.287000000000001</v>
      </c>
      <c r="S30" s="176">
        <v>90114.12000000001</v>
      </c>
      <c r="T30" s="176">
        <v>90114.12000000001</v>
      </c>
      <c r="U30" s="177">
        <v>0</v>
      </c>
      <c r="V30" s="177">
        <v>0</v>
      </c>
      <c r="W30" s="177">
        <v>0</v>
      </c>
      <c r="X30" s="177">
        <v>0</v>
      </c>
      <c r="Y30" s="177">
        <v>0</v>
      </c>
      <c r="Z30" s="177">
        <v>0</v>
      </c>
      <c r="AA30" s="174">
        <v>0</v>
      </c>
      <c r="AB30" s="174">
        <v>0</v>
      </c>
      <c r="AC30" s="177">
        <v>0</v>
      </c>
      <c r="AD30" s="177">
        <v>0</v>
      </c>
      <c r="AE30" s="178">
        <v>1.3960000000000001E-3</v>
      </c>
      <c r="AF30" s="178">
        <v>1.3960000000000001E-3</v>
      </c>
      <c r="AG30" s="178">
        <v>0</v>
      </c>
      <c r="AH30" s="178">
        <v>1.3960000000000001E-3</v>
      </c>
      <c r="AI30" s="178">
        <v>1.3960000000000001E-3</v>
      </c>
      <c r="AJ30" s="178">
        <v>1.3960000000000001E-3</v>
      </c>
      <c r="AK30" s="178">
        <v>1</v>
      </c>
      <c r="AL30" s="178">
        <v>1</v>
      </c>
      <c r="AM30" s="178">
        <v>1</v>
      </c>
      <c r="AN30" s="178">
        <v>1</v>
      </c>
      <c r="AO30" s="178">
        <v>0</v>
      </c>
      <c r="AP30" s="178">
        <v>0</v>
      </c>
      <c r="AQ30" s="174">
        <v>1</v>
      </c>
      <c r="AR30" s="174">
        <v>1</v>
      </c>
      <c r="AS30" s="177">
        <v>0</v>
      </c>
      <c r="AT30" s="177">
        <v>0</v>
      </c>
      <c r="AU30" s="177">
        <v>0</v>
      </c>
      <c r="AV30" s="177">
        <v>0</v>
      </c>
      <c r="AW30" s="177">
        <v>0</v>
      </c>
      <c r="AX30" s="177">
        <v>0</v>
      </c>
      <c r="AY30" s="177">
        <v>0</v>
      </c>
      <c r="AZ30" s="177">
        <v>0</v>
      </c>
      <c r="BA30" s="177">
        <v>0</v>
      </c>
      <c r="BB30" s="177">
        <v>0</v>
      </c>
      <c r="BC30" s="177">
        <v>0</v>
      </c>
      <c r="BD30" s="177">
        <v>0</v>
      </c>
      <c r="BE30" s="177">
        <v>9.6950000000000003</v>
      </c>
      <c r="BF30" s="177">
        <v>9.6950000000000003</v>
      </c>
      <c r="BG30" s="174">
        <v>0</v>
      </c>
      <c r="BH30" s="174"/>
      <c r="BI30" s="174"/>
      <c r="BJ30" s="174"/>
      <c r="BK30" s="174"/>
      <c r="BL30" s="174"/>
      <c r="BM30" s="174"/>
      <c r="BN30" s="174"/>
    </row>
    <row r="31" spans="1:66">
      <c r="A31" s="174">
        <v>10082</v>
      </c>
      <c r="B31" s="174" t="s">
        <v>35</v>
      </c>
      <c r="C31" s="174">
        <v>1</v>
      </c>
      <c r="D31" s="174">
        <v>0</v>
      </c>
      <c r="E31" s="177">
        <v>0.12</v>
      </c>
      <c r="F31" s="177">
        <v>9.2999999999999999E-2</v>
      </c>
      <c r="G31" s="177">
        <v>9.2999999999999999E-2</v>
      </c>
      <c r="H31" s="177">
        <v>0</v>
      </c>
      <c r="I31" s="177">
        <v>0</v>
      </c>
      <c r="J31" s="177">
        <v>0</v>
      </c>
      <c r="K31" s="177">
        <v>0</v>
      </c>
      <c r="L31" s="176">
        <v>0</v>
      </c>
      <c r="M31" s="176">
        <v>0</v>
      </c>
      <c r="N31" s="177">
        <v>0.10100000000000001</v>
      </c>
      <c r="O31" s="177">
        <v>0.10100000000000001</v>
      </c>
      <c r="P31" s="176">
        <v>884.7600000000001</v>
      </c>
      <c r="Q31" s="176">
        <v>884.7600000000001</v>
      </c>
      <c r="R31" s="174">
        <v>0.11600000000000001</v>
      </c>
      <c r="S31" s="176">
        <v>1016.1600000000001</v>
      </c>
      <c r="T31" s="176">
        <v>1016.1600000000001</v>
      </c>
      <c r="U31" s="177">
        <v>0</v>
      </c>
      <c r="V31" s="177">
        <v>0</v>
      </c>
      <c r="W31" s="177">
        <v>0</v>
      </c>
      <c r="X31" s="177">
        <v>0</v>
      </c>
      <c r="Y31" s="177">
        <v>0</v>
      </c>
      <c r="Z31" s="177">
        <v>0</v>
      </c>
      <c r="AA31" s="174">
        <v>0</v>
      </c>
      <c r="AB31" s="174">
        <v>0</v>
      </c>
      <c r="AC31" s="177">
        <v>0</v>
      </c>
      <c r="AD31" s="177">
        <v>0</v>
      </c>
      <c r="AE31" s="178">
        <v>1.45E-5</v>
      </c>
      <c r="AF31" s="178">
        <v>1.45E-5</v>
      </c>
      <c r="AG31" s="178">
        <v>0</v>
      </c>
      <c r="AH31" s="178">
        <v>1.45E-5</v>
      </c>
      <c r="AI31" s="178">
        <v>1.45E-5</v>
      </c>
      <c r="AJ31" s="178">
        <v>1.45E-5</v>
      </c>
      <c r="AK31" s="178">
        <v>0.99703234653465334</v>
      </c>
      <c r="AL31" s="178">
        <v>0.99703234653465334</v>
      </c>
      <c r="AM31" s="178">
        <v>1</v>
      </c>
      <c r="AN31" s="178">
        <v>1</v>
      </c>
      <c r="AO31" s="178">
        <v>0</v>
      </c>
      <c r="AP31" s="178">
        <v>0</v>
      </c>
      <c r="AQ31" s="174">
        <v>1</v>
      </c>
      <c r="AR31" s="174">
        <v>1</v>
      </c>
      <c r="AS31" s="177">
        <v>0</v>
      </c>
      <c r="AT31" s="177">
        <v>0</v>
      </c>
      <c r="AU31" s="177">
        <v>0</v>
      </c>
      <c r="AV31" s="177">
        <v>0</v>
      </c>
      <c r="AW31" s="177">
        <v>0</v>
      </c>
      <c r="AX31" s="177">
        <v>0</v>
      </c>
      <c r="AY31" s="177">
        <v>0</v>
      </c>
      <c r="AZ31" s="177">
        <v>0</v>
      </c>
      <c r="BA31" s="177">
        <v>0</v>
      </c>
      <c r="BB31" s="177">
        <v>0</v>
      </c>
      <c r="BC31" s="177">
        <v>0</v>
      </c>
      <c r="BD31" s="177">
        <v>0</v>
      </c>
      <c r="BE31" s="177">
        <v>0.10100000000000001</v>
      </c>
      <c r="BF31" s="177">
        <v>0.10100000000000001</v>
      </c>
      <c r="BG31" s="174">
        <v>0</v>
      </c>
      <c r="BH31" s="174"/>
      <c r="BI31" s="174"/>
      <c r="BJ31" s="174"/>
      <c r="BK31" s="174"/>
      <c r="BL31" s="174"/>
      <c r="BM31" s="174"/>
      <c r="BN31" s="174"/>
    </row>
    <row r="32" spans="1:66">
      <c r="A32" s="174">
        <v>10083</v>
      </c>
      <c r="B32" s="174" t="s">
        <v>36</v>
      </c>
      <c r="C32" s="174">
        <v>1</v>
      </c>
      <c r="D32" s="174">
        <v>0</v>
      </c>
      <c r="E32" s="177">
        <v>8.4879999999999995</v>
      </c>
      <c r="F32" s="177">
        <v>8.44</v>
      </c>
      <c r="G32" s="177">
        <v>8.4819999999999993</v>
      </c>
      <c r="H32" s="177">
        <v>0</v>
      </c>
      <c r="I32" s="177">
        <v>0</v>
      </c>
      <c r="J32" s="177">
        <v>0</v>
      </c>
      <c r="K32" s="177">
        <v>0</v>
      </c>
      <c r="L32" s="176">
        <v>0</v>
      </c>
      <c r="M32" s="176">
        <v>0</v>
      </c>
      <c r="N32" s="177">
        <v>8.44</v>
      </c>
      <c r="O32" s="177">
        <v>8.4819999999999993</v>
      </c>
      <c r="P32" s="176">
        <v>73934.399999999994</v>
      </c>
      <c r="Q32" s="176">
        <v>74302.319999999992</v>
      </c>
      <c r="R32" s="174">
        <v>8.2289999999999992</v>
      </c>
      <c r="S32" s="176">
        <v>72086.039999999994</v>
      </c>
      <c r="T32" s="176">
        <v>72086.039999999994</v>
      </c>
      <c r="U32" s="177">
        <v>0.21099999999999999</v>
      </c>
      <c r="V32" s="177">
        <v>0.253</v>
      </c>
      <c r="W32" s="177">
        <v>0</v>
      </c>
      <c r="X32" s="177">
        <v>0</v>
      </c>
      <c r="Y32" s="177">
        <v>0.21099999999999999</v>
      </c>
      <c r="Z32" s="177">
        <v>0.253</v>
      </c>
      <c r="AA32" s="174">
        <v>0</v>
      </c>
      <c r="AB32" s="174">
        <v>0</v>
      </c>
      <c r="AC32" s="177">
        <v>0</v>
      </c>
      <c r="AD32" s="177">
        <v>0</v>
      </c>
      <c r="AE32" s="178">
        <v>1.1849E-3</v>
      </c>
      <c r="AF32" s="178">
        <v>1.1849E-3</v>
      </c>
      <c r="AG32" s="178">
        <v>0</v>
      </c>
      <c r="AH32" s="178">
        <v>1.1849E-3</v>
      </c>
      <c r="AI32" s="178">
        <v>1.1849E-3</v>
      </c>
      <c r="AJ32" s="178">
        <v>1.1849E-3</v>
      </c>
      <c r="AK32" s="178">
        <v>0.97499384187203786</v>
      </c>
      <c r="AL32" s="178">
        <v>0.97016600157981614</v>
      </c>
      <c r="AM32" s="178">
        <v>1.0256410256410258</v>
      </c>
      <c r="AN32" s="178">
        <v>1.0307449264795236</v>
      </c>
      <c r="AO32" s="178">
        <v>0</v>
      </c>
      <c r="AP32" s="178">
        <v>0</v>
      </c>
      <c r="AQ32" s="174">
        <v>1</v>
      </c>
      <c r="AR32" s="174">
        <v>1</v>
      </c>
      <c r="AS32" s="177">
        <v>0</v>
      </c>
      <c r="AT32" s="177">
        <v>0</v>
      </c>
      <c r="AU32" s="177">
        <v>0</v>
      </c>
      <c r="AV32" s="177">
        <v>0</v>
      </c>
      <c r="AW32" s="177">
        <v>0</v>
      </c>
      <c r="AX32" s="177">
        <v>0</v>
      </c>
      <c r="AY32" s="177">
        <v>0</v>
      </c>
      <c r="AZ32" s="177">
        <v>0</v>
      </c>
      <c r="BA32" s="177">
        <v>0</v>
      </c>
      <c r="BB32" s="177">
        <v>0</v>
      </c>
      <c r="BC32" s="177">
        <v>0</v>
      </c>
      <c r="BD32" s="177">
        <v>0</v>
      </c>
      <c r="BE32" s="177">
        <v>8.44</v>
      </c>
      <c r="BF32" s="177">
        <v>8.4819999999999993</v>
      </c>
      <c r="BG32" s="174">
        <v>0</v>
      </c>
      <c r="BH32" s="174"/>
      <c r="BI32" s="174"/>
      <c r="BJ32" s="174"/>
      <c r="BK32" s="174"/>
      <c r="BL32" s="174"/>
      <c r="BM32" s="174"/>
      <c r="BN32" s="174"/>
    </row>
    <row r="33" spans="1:66">
      <c r="A33" s="174">
        <v>10086</v>
      </c>
      <c r="B33" s="174" t="s">
        <v>37</v>
      </c>
      <c r="C33" s="174">
        <v>1</v>
      </c>
      <c r="D33" s="174">
        <v>0</v>
      </c>
      <c r="E33" s="177">
        <v>4.0039999999999996</v>
      </c>
      <c r="F33" s="177">
        <v>3.8290000000000002</v>
      </c>
      <c r="G33" s="177">
        <v>3.839</v>
      </c>
      <c r="H33" s="177">
        <v>0</v>
      </c>
      <c r="I33" s="177">
        <v>0</v>
      </c>
      <c r="J33" s="177">
        <v>0</v>
      </c>
      <c r="K33" s="177">
        <v>0</v>
      </c>
      <c r="L33" s="176">
        <v>0</v>
      </c>
      <c r="M33" s="176">
        <v>0</v>
      </c>
      <c r="N33" s="177">
        <v>3.9369999999999998</v>
      </c>
      <c r="O33" s="177">
        <v>3.9460000000000002</v>
      </c>
      <c r="P33" s="176">
        <v>34488.119999999995</v>
      </c>
      <c r="Q33" s="176">
        <v>34566.959999999999</v>
      </c>
      <c r="R33" s="174">
        <v>3.8820000000000001</v>
      </c>
      <c r="S33" s="176">
        <v>34006.32</v>
      </c>
      <c r="T33" s="176">
        <v>34006.32</v>
      </c>
      <c r="U33" s="177">
        <v>5.5E-2</v>
      </c>
      <c r="V33" s="177">
        <v>6.4000000000000001E-2</v>
      </c>
      <c r="W33" s="177">
        <v>0</v>
      </c>
      <c r="X33" s="177">
        <v>0</v>
      </c>
      <c r="Y33" s="177">
        <v>5.5E-2</v>
      </c>
      <c r="Z33" s="177">
        <v>6.4000000000000001E-2</v>
      </c>
      <c r="AA33" s="174">
        <v>0</v>
      </c>
      <c r="AB33" s="174">
        <v>0</v>
      </c>
      <c r="AC33" s="177">
        <v>0</v>
      </c>
      <c r="AD33" s="177">
        <v>0</v>
      </c>
      <c r="AE33" s="178">
        <v>5.5900000000000004E-4</v>
      </c>
      <c r="AF33" s="178">
        <v>5.5900000000000004E-4</v>
      </c>
      <c r="AG33" s="178">
        <v>0</v>
      </c>
      <c r="AH33" s="178">
        <v>5.5900000000000004E-4</v>
      </c>
      <c r="AI33" s="178">
        <v>5.5900000000000004E-4</v>
      </c>
      <c r="AJ33" s="178">
        <v>5.5900000000000004E-4</v>
      </c>
      <c r="AK33" s="178">
        <v>0.98607287630175267</v>
      </c>
      <c r="AL33" s="178">
        <v>0.98382385048150023</v>
      </c>
      <c r="AM33" s="178">
        <v>1.0141679546625451</v>
      </c>
      <c r="AN33" s="178">
        <v>1.0164863472436889</v>
      </c>
      <c r="AO33" s="178">
        <v>0</v>
      </c>
      <c r="AP33" s="178">
        <v>0</v>
      </c>
      <c r="AQ33" s="174">
        <v>1</v>
      </c>
      <c r="AR33" s="174">
        <v>1</v>
      </c>
      <c r="AS33" s="177">
        <v>0</v>
      </c>
      <c r="AT33" s="177">
        <v>0</v>
      </c>
      <c r="AU33" s="177">
        <v>0</v>
      </c>
      <c r="AV33" s="177">
        <v>0</v>
      </c>
      <c r="AW33" s="177">
        <v>0</v>
      </c>
      <c r="AX33" s="177">
        <v>0</v>
      </c>
      <c r="AY33" s="177">
        <v>0</v>
      </c>
      <c r="AZ33" s="177">
        <v>0</v>
      </c>
      <c r="BA33" s="177">
        <v>0</v>
      </c>
      <c r="BB33" s="177">
        <v>0</v>
      </c>
      <c r="BC33" s="177">
        <v>0</v>
      </c>
      <c r="BD33" s="177">
        <v>0</v>
      </c>
      <c r="BE33" s="177">
        <v>3.9369999999999998</v>
      </c>
      <c r="BF33" s="177">
        <v>3.9460000000000002</v>
      </c>
      <c r="BG33" s="174">
        <v>0</v>
      </c>
      <c r="BH33" s="174"/>
      <c r="BI33" s="174"/>
      <c r="BJ33" s="174"/>
      <c r="BK33" s="174"/>
      <c r="BL33" s="174"/>
      <c r="BM33" s="174"/>
      <c r="BN33" s="174"/>
    </row>
    <row r="34" spans="1:66">
      <c r="A34" s="174">
        <v>10087</v>
      </c>
      <c r="B34" s="174" t="s">
        <v>38</v>
      </c>
      <c r="C34" s="174">
        <v>1</v>
      </c>
      <c r="D34" s="174">
        <v>0</v>
      </c>
      <c r="E34" s="177">
        <v>86.754999999999995</v>
      </c>
      <c r="F34" s="177">
        <v>30.818999999999999</v>
      </c>
      <c r="G34" s="177">
        <v>30.896999999999998</v>
      </c>
      <c r="H34" s="177">
        <v>0</v>
      </c>
      <c r="I34" s="177">
        <v>0</v>
      </c>
      <c r="J34" s="177">
        <v>0</v>
      </c>
      <c r="K34" s="177">
        <v>0</v>
      </c>
      <c r="L34" s="176">
        <v>0</v>
      </c>
      <c r="M34" s="176">
        <v>0</v>
      </c>
      <c r="N34" s="177">
        <v>30.818999999999999</v>
      </c>
      <c r="O34" s="177">
        <v>30.896999999999998</v>
      </c>
      <c r="P34" s="176">
        <v>269974.44</v>
      </c>
      <c r="Q34" s="176">
        <v>270657.71999999997</v>
      </c>
      <c r="R34" s="174">
        <v>84.108000000000004</v>
      </c>
      <c r="S34" s="176">
        <v>736786.08000000007</v>
      </c>
      <c r="T34" s="176">
        <v>736786.08000000007</v>
      </c>
      <c r="U34" s="177">
        <v>0</v>
      </c>
      <c r="V34" s="177">
        <v>0</v>
      </c>
      <c r="W34" s="177">
        <v>0</v>
      </c>
      <c r="X34" s="177">
        <v>0</v>
      </c>
      <c r="Y34" s="177">
        <v>0</v>
      </c>
      <c r="Z34" s="177">
        <v>0</v>
      </c>
      <c r="AA34" s="174">
        <v>0</v>
      </c>
      <c r="AB34" s="174">
        <v>0</v>
      </c>
      <c r="AC34" s="177">
        <v>0</v>
      </c>
      <c r="AD34" s="177">
        <v>0</v>
      </c>
      <c r="AE34" s="178">
        <v>4.4377000000000002E-3</v>
      </c>
      <c r="AF34" s="178">
        <v>4.4489000000000004E-3</v>
      </c>
      <c r="AG34" s="178">
        <v>0</v>
      </c>
      <c r="AH34" s="178">
        <v>4.4377000000000002E-3</v>
      </c>
      <c r="AI34" s="178">
        <v>4.4489000000000004E-3</v>
      </c>
      <c r="AJ34" s="178">
        <v>4.4433000000000007E-3</v>
      </c>
      <c r="AK34" s="178">
        <v>0.99999491644021254</v>
      </c>
      <c r="AL34" s="178">
        <v>0.99999945875398399</v>
      </c>
      <c r="AM34" s="178">
        <v>1</v>
      </c>
      <c r="AN34" s="178">
        <v>1</v>
      </c>
      <c r="AO34" s="178">
        <v>0</v>
      </c>
      <c r="AP34" s="178">
        <v>0</v>
      </c>
      <c r="AQ34" s="174">
        <v>1</v>
      </c>
      <c r="AR34" s="174">
        <v>1</v>
      </c>
      <c r="AS34" s="177">
        <v>0</v>
      </c>
      <c r="AT34" s="177">
        <v>0</v>
      </c>
      <c r="AU34" s="177">
        <v>0</v>
      </c>
      <c r="AV34" s="177">
        <v>0</v>
      </c>
      <c r="AW34" s="177">
        <v>0</v>
      </c>
      <c r="AX34" s="177">
        <v>0</v>
      </c>
      <c r="AY34" s="177">
        <v>0</v>
      </c>
      <c r="AZ34" s="177">
        <v>0</v>
      </c>
      <c r="BA34" s="177">
        <v>0</v>
      </c>
      <c r="BB34" s="177">
        <v>0</v>
      </c>
      <c r="BC34" s="177">
        <v>0</v>
      </c>
      <c r="BD34" s="177">
        <v>0</v>
      </c>
      <c r="BE34" s="177">
        <v>30.818999999999999</v>
      </c>
      <c r="BF34" s="177">
        <v>30.896999999999998</v>
      </c>
      <c r="BG34" s="174">
        <v>0</v>
      </c>
      <c r="BH34" s="174"/>
      <c r="BI34" s="174"/>
      <c r="BJ34" s="174"/>
      <c r="BK34" s="174"/>
      <c r="BL34" s="174"/>
      <c r="BM34" s="174"/>
      <c r="BN34" s="174"/>
    </row>
    <row r="35" spans="1:66">
      <c r="A35" s="174">
        <v>10089</v>
      </c>
      <c r="B35" s="174" t="s">
        <v>39</v>
      </c>
      <c r="C35" s="174">
        <v>1</v>
      </c>
      <c r="D35" s="174">
        <v>0</v>
      </c>
      <c r="E35" s="177">
        <v>105.40600000000001</v>
      </c>
      <c r="F35" s="177">
        <v>115.798</v>
      </c>
      <c r="G35" s="177">
        <v>116.85599999999999</v>
      </c>
      <c r="H35" s="177">
        <v>0</v>
      </c>
      <c r="I35" s="177">
        <v>0</v>
      </c>
      <c r="J35" s="177">
        <v>0</v>
      </c>
      <c r="K35" s="177">
        <v>0</v>
      </c>
      <c r="L35" s="176">
        <v>0</v>
      </c>
      <c r="M35" s="176">
        <v>0</v>
      </c>
      <c r="N35" s="177">
        <v>115.798</v>
      </c>
      <c r="O35" s="177">
        <v>116.85599999999999</v>
      </c>
      <c r="P35" s="176">
        <v>1014390.48</v>
      </c>
      <c r="Q35" s="176">
        <v>1023658.5599999999</v>
      </c>
      <c r="R35" s="174">
        <v>102.19</v>
      </c>
      <c r="S35" s="176">
        <v>895184.4</v>
      </c>
      <c r="T35" s="176">
        <v>895184.4</v>
      </c>
      <c r="U35" s="177">
        <v>13.907999999999999</v>
      </c>
      <c r="V35" s="177">
        <v>14.965999999999999</v>
      </c>
      <c r="W35" s="177">
        <v>13.907999999999999</v>
      </c>
      <c r="X35" s="177">
        <v>14.965999999999999</v>
      </c>
      <c r="Y35" s="177">
        <v>0</v>
      </c>
      <c r="Z35" s="177">
        <v>0</v>
      </c>
      <c r="AA35" s="174">
        <v>14</v>
      </c>
      <c r="AB35" s="174">
        <v>14</v>
      </c>
      <c r="AC35" s="177">
        <v>0</v>
      </c>
      <c r="AD35" s="177">
        <v>0.9659999999999993</v>
      </c>
      <c r="AE35" s="178">
        <v>1.47145E-2</v>
      </c>
      <c r="AF35" s="178">
        <v>1.47145E-2</v>
      </c>
      <c r="AG35" s="178">
        <v>0</v>
      </c>
      <c r="AH35" s="178">
        <v>1.47145E-2</v>
      </c>
      <c r="AI35" s="178">
        <v>1.47145E-2</v>
      </c>
      <c r="AJ35" s="178">
        <v>1.47145E-2</v>
      </c>
      <c r="AK35" s="178">
        <v>0.87989360023316465</v>
      </c>
      <c r="AL35" s="178">
        <v>0.8719271506794688</v>
      </c>
      <c r="AM35" s="178">
        <v>1.1331637146491829</v>
      </c>
      <c r="AN35" s="178">
        <v>1.143516978177904</v>
      </c>
      <c r="AO35" s="178">
        <v>0</v>
      </c>
      <c r="AP35" s="178">
        <v>0</v>
      </c>
      <c r="AQ35" s="174">
        <v>1</v>
      </c>
      <c r="AR35" s="174">
        <v>1</v>
      </c>
      <c r="AS35" s="177">
        <v>0</v>
      </c>
      <c r="AT35" s="177">
        <v>0</v>
      </c>
      <c r="AU35" s="177">
        <v>14</v>
      </c>
      <c r="AV35" s="177">
        <v>14.965999999999999</v>
      </c>
      <c r="AW35" s="177">
        <v>0</v>
      </c>
      <c r="AX35" s="177">
        <v>0</v>
      </c>
      <c r="AY35" s="177">
        <v>-9.2000000000000526E-2</v>
      </c>
      <c r="AZ35" s="177">
        <v>0</v>
      </c>
      <c r="BA35" s="177">
        <v>-9.2000000000000526E-2</v>
      </c>
      <c r="BB35" s="177">
        <v>0</v>
      </c>
      <c r="BC35" s="177">
        <v>0</v>
      </c>
      <c r="BD35" s="177">
        <v>0</v>
      </c>
      <c r="BE35" s="177">
        <v>116.098</v>
      </c>
      <c r="BF35" s="177">
        <v>117.15600000000001</v>
      </c>
      <c r="BG35" s="174">
        <v>1</v>
      </c>
      <c r="BH35" s="174"/>
      <c r="BI35" s="174"/>
      <c r="BJ35" s="174"/>
      <c r="BK35" s="174"/>
      <c r="BL35" s="174"/>
      <c r="BM35" s="174"/>
      <c r="BN35" s="174"/>
    </row>
    <row r="36" spans="1:66">
      <c r="A36" s="174">
        <v>10091</v>
      </c>
      <c r="B36" s="174" t="s">
        <v>40</v>
      </c>
      <c r="C36" s="174">
        <v>1</v>
      </c>
      <c r="D36" s="174">
        <v>0</v>
      </c>
      <c r="E36" s="177">
        <v>9.5630000000000006</v>
      </c>
      <c r="F36" s="177">
        <v>9.391</v>
      </c>
      <c r="G36" s="177">
        <v>9.7129999999999992</v>
      </c>
      <c r="H36" s="177">
        <v>0</v>
      </c>
      <c r="I36" s="177">
        <v>0</v>
      </c>
      <c r="J36" s="177">
        <v>0</v>
      </c>
      <c r="K36" s="177">
        <v>0</v>
      </c>
      <c r="L36" s="176">
        <v>0</v>
      </c>
      <c r="M36" s="176">
        <v>0</v>
      </c>
      <c r="N36" s="177">
        <v>9.3650000000000002</v>
      </c>
      <c r="O36" s="177">
        <v>9.6859999999999999</v>
      </c>
      <c r="P36" s="176">
        <v>82037.400000000009</v>
      </c>
      <c r="Q36" s="176">
        <v>84849.36</v>
      </c>
      <c r="R36" s="174">
        <v>9.2710000000000008</v>
      </c>
      <c r="S36" s="176">
        <v>81213.960000000006</v>
      </c>
      <c r="T36" s="176">
        <v>81213.960000000006</v>
      </c>
      <c r="U36" s="177">
        <v>9.4E-2</v>
      </c>
      <c r="V36" s="177">
        <v>0.41499999999999998</v>
      </c>
      <c r="W36" s="177">
        <v>0</v>
      </c>
      <c r="X36" s="177">
        <v>0</v>
      </c>
      <c r="Y36" s="177">
        <v>9.4E-2</v>
      </c>
      <c r="Z36" s="177">
        <v>0.41499999999999998</v>
      </c>
      <c r="AA36" s="174">
        <v>0</v>
      </c>
      <c r="AB36" s="174">
        <v>0</v>
      </c>
      <c r="AC36" s="177">
        <v>0</v>
      </c>
      <c r="AD36" s="177">
        <v>0</v>
      </c>
      <c r="AE36" s="178">
        <v>1.3349E-3</v>
      </c>
      <c r="AF36" s="178">
        <v>1.3349E-3</v>
      </c>
      <c r="AG36" s="178">
        <v>0</v>
      </c>
      <c r="AH36" s="178">
        <v>1.3349E-3</v>
      </c>
      <c r="AI36" s="178">
        <v>1.3349E-3</v>
      </c>
      <c r="AJ36" s="178">
        <v>1.3349E-3</v>
      </c>
      <c r="AK36" s="178">
        <v>0.98992791515216227</v>
      </c>
      <c r="AL36" s="178">
        <v>0.95712109492050379</v>
      </c>
      <c r="AM36" s="178">
        <v>1.0101391435659584</v>
      </c>
      <c r="AN36" s="178">
        <v>1.0447632402114118</v>
      </c>
      <c r="AO36" s="178">
        <v>0</v>
      </c>
      <c r="AP36" s="178">
        <v>0</v>
      </c>
      <c r="AQ36" s="174">
        <v>1</v>
      </c>
      <c r="AR36" s="174">
        <v>1</v>
      </c>
      <c r="AS36" s="177">
        <v>0</v>
      </c>
      <c r="AT36" s="177">
        <v>0</v>
      </c>
      <c r="AU36" s="177">
        <v>0</v>
      </c>
      <c r="AV36" s="177">
        <v>0</v>
      </c>
      <c r="AW36" s="177">
        <v>0</v>
      </c>
      <c r="AX36" s="177">
        <v>0</v>
      </c>
      <c r="AY36" s="177">
        <v>0</v>
      </c>
      <c r="AZ36" s="177">
        <v>0</v>
      </c>
      <c r="BA36" s="177">
        <v>0</v>
      </c>
      <c r="BB36" s="177">
        <v>0</v>
      </c>
      <c r="BC36" s="177">
        <v>0</v>
      </c>
      <c r="BD36" s="177">
        <v>0</v>
      </c>
      <c r="BE36" s="177">
        <v>9.3650000000000002</v>
      </c>
      <c r="BF36" s="177">
        <v>9.6859999999999999</v>
      </c>
      <c r="BG36" s="174">
        <v>1</v>
      </c>
      <c r="BH36" s="174"/>
      <c r="BI36" s="174"/>
      <c r="BJ36" s="174"/>
      <c r="BK36" s="174"/>
      <c r="BL36" s="174"/>
      <c r="BM36" s="174"/>
      <c r="BN36" s="174"/>
    </row>
    <row r="37" spans="1:66">
      <c r="A37" s="174">
        <v>10094</v>
      </c>
      <c r="B37" s="174" t="s">
        <v>41</v>
      </c>
      <c r="C37" s="174">
        <v>1</v>
      </c>
      <c r="D37" s="174">
        <v>0</v>
      </c>
      <c r="E37" s="177">
        <v>3.0820000000000003</v>
      </c>
      <c r="F37" s="177">
        <v>3.2130000000000001</v>
      </c>
      <c r="G37" s="177">
        <v>3.2189999999999999</v>
      </c>
      <c r="H37" s="177">
        <v>0</v>
      </c>
      <c r="I37" s="177">
        <v>0</v>
      </c>
      <c r="J37" s="177">
        <v>0.112</v>
      </c>
      <c r="K37" s="177">
        <v>0.112</v>
      </c>
      <c r="L37" s="176">
        <v>981.12</v>
      </c>
      <c r="M37" s="176">
        <v>981.12</v>
      </c>
      <c r="N37" s="177">
        <v>2.9889999999999999</v>
      </c>
      <c r="O37" s="177">
        <v>2.988</v>
      </c>
      <c r="P37" s="176">
        <v>26183.64</v>
      </c>
      <c r="Q37" s="176">
        <v>26174.880000000001</v>
      </c>
      <c r="R37" s="174">
        <v>2.988</v>
      </c>
      <c r="S37" s="176">
        <v>26174.880000000001</v>
      </c>
      <c r="T37" s="176">
        <v>26174.880000000001</v>
      </c>
      <c r="U37" s="177">
        <v>1E-3</v>
      </c>
      <c r="V37" s="177">
        <v>0</v>
      </c>
      <c r="W37" s="177">
        <v>0</v>
      </c>
      <c r="X37" s="177">
        <v>0</v>
      </c>
      <c r="Y37" s="177">
        <v>1E-3</v>
      </c>
      <c r="Z37" s="177">
        <v>0</v>
      </c>
      <c r="AA37" s="174">
        <v>0</v>
      </c>
      <c r="AB37" s="174">
        <v>0</v>
      </c>
      <c r="AC37" s="177">
        <v>0</v>
      </c>
      <c r="AD37" s="177">
        <v>0</v>
      </c>
      <c r="AE37" s="178">
        <v>4.3019999999999999E-4</v>
      </c>
      <c r="AF37" s="178">
        <v>4.3019999999999999E-4</v>
      </c>
      <c r="AG37" s="178">
        <v>0</v>
      </c>
      <c r="AH37" s="178">
        <v>4.3019999999999999E-4</v>
      </c>
      <c r="AI37" s="178">
        <v>4.3019999999999999E-4</v>
      </c>
      <c r="AJ37" s="178">
        <v>4.3019999999999999E-4</v>
      </c>
      <c r="AK37" s="178">
        <v>0.99957199264753305</v>
      </c>
      <c r="AL37" s="178">
        <v>0.99989443522580634</v>
      </c>
      <c r="AM37" s="178">
        <v>1.000334672021419</v>
      </c>
      <c r="AN37" s="178">
        <v>1</v>
      </c>
      <c r="AO37" s="178">
        <v>0</v>
      </c>
      <c r="AP37" s="178">
        <v>0</v>
      </c>
      <c r="AQ37" s="174">
        <v>1</v>
      </c>
      <c r="AR37" s="174">
        <v>1</v>
      </c>
      <c r="AS37" s="177">
        <v>0</v>
      </c>
      <c r="AT37" s="177">
        <v>0</v>
      </c>
      <c r="AU37" s="177">
        <v>0</v>
      </c>
      <c r="AV37" s="177">
        <v>0</v>
      </c>
      <c r="AW37" s="177">
        <v>0</v>
      </c>
      <c r="AX37" s="177">
        <v>0</v>
      </c>
      <c r="AY37" s="177">
        <v>0</v>
      </c>
      <c r="AZ37" s="177">
        <v>0</v>
      </c>
      <c r="BA37" s="177">
        <v>0</v>
      </c>
      <c r="BB37" s="177">
        <v>0</v>
      </c>
      <c r="BC37" s="177">
        <v>0</v>
      </c>
      <c r="BD37" s="177">
        <v>0</v>
      </c>
      <c r="BE37" s="177">
        <v>2.9889999999999999</v>
      </c>
      <c r="BF37" s="177">
        <v>2.988</v>
      </c>
      <c r="BG37" s="174">
        <v>1</v>
      </c>
      <c r="BH37" s="174"/>
      <c r="BI37" s="174"/>
      <c r="BJ37" s="174"/>
      <c r="BK37" s="174"/>
      <c r="BL37" s="174"/>
      <c r="BM37" s="174"/>
      <c r="BN37" s="174"/>
    </row>
    <row r="38" spans="1:66">
      <c r="A38" s="174">
        <v>10095</v>
      </c>
      <c r="B38" s="174" t="s">
        <v>42</v>
      </c>
      <c r="C38" s="174">
        <v>1</v>
      </c>
      <c r="D38" s="174">
        <v>0</v>
      </c>
      <c r="E38" s="177">
        <v>3.6970000000000001</v>
      </c>
      <c r="F38" s="177">
        <v>3.6480000000000001</v>
      </c>
      <c r="G38" s="177">
        <v>3.6560000000000001</v>
      </c>
      <c r="H38" s="177">
        <v>0</v>
      </c>
      <c r="I38" s="177">
        <v>0</v>
      </c>
      <c r="J38" s="177">
        <v>0</v>
      </c>
      <c r="K38" s="177">
        <v>0</v>
      </c>
      <c r="L38" s="176">
        <v>0</v>
      </c>
      <c r="M38" s="176">
        <v>0</v>
      </c>
      <c r="N38" s="177">
        <v>3.7349999999999999</v>
      </c>
      <c r="O38" s="177">
        <v>3.75</v>
      </c>
      <c r="P38" s="176">
        <v>32718.6</v>
      </c>
      <c r="Q38" s="176">
        <v>32850</v>
      </c>
      <c r="R38" s="174">
        <v>3.5840000000000001</v>
      </c>
      <c r="S38" s="176">
        <v>31395.84</v>
      </c>
      <c r="T38" s="176">
        <v>31395.84</v>
      </c>
      <c r="U38" s="177">
        <v>0.151</v>
      </c>
      <c r="V38" s="177">
        <v>0.16600000000000001</v>
      </c>
      <c r="W38" s="177">
        <v>0</v>
      </c>
      <c r="X38" s="177">
        <v>0</v>
      </c>
      <c r="Y38" s="177">
        <v>0.151</v>
      </c>
      <c r="Z38" s="177">
        <v>0.16600000000000001</v>
      </c>
      <c r="AA38" s="174">
        <v>0</v>
      </c>
      <c r="AB38" s="174">
        <v>0</v>
      </c>
      <c r="AC38" s="177">
        <v>0</v>
      </c>
      <c r="AD38" s="177">
        <v>0</v>
      </c>
      <c r="AE38" s="178">
        <v>5.1610000000000002E-4</v>
      </c>
      <c r="AF38" s="178">
        <v>5.1610000000000002E-4</v>
      </c>
      <c r="AG38" s="178">
        <v>0</v>
      </c>
      <c r="AH38" s="178">
        <v>5.1610000000000002E-4</v>
      </c>
      <c r="AI38" s="178">
        <v>5.1610000000000002E-4</v>
      </c>
      <c r="AJ38" s="178">
        <v>5.1610000000000002E-4</v>
      </c>
      <c r="AK38" s="178">
        <v>0.95963454366800538</v>
      </c>
      <c r="AL38" s="178">
        <v>0.95579600549333332</v>
      </c>
      <c r="AM38" s="178">
        <v>1.0421316964285714</v>
      </c>
      <c r="AN38" s="178">
        <v>1.0463169642857142</v>
      </c>
      <c r="AO38" s="178">
        <v>0</v>
      </c>
      <c r="AP38" s="178">
        <v>0</v>
      </c>
      <c r="AQ38" s="174">
        <v>1</v>
      </c>
      <c r="AR38" s="174">
        <v>1</v>
      </c>
      <c r="AS38" s="177">
        <v>0</v>
      </c>
      <c r="AT38" s="177">
        <v>0</v>
      </c>
      <c r="AU38" s="177">
        <v>0</v>
      </c>
      <c r="AV38" s="177">
        <v>0</v>
      </c>
      <c r="AW38" s="177">
        <v>0</v>
      </c>
      <c r="AX38" s="177">
        <v>0</v>
      </c>
      <c r="AY38" s="177">
        <v>0</v>
      </c>
      <c r="AZ38" s="177">
        <v>0</v>
      </c>
      <c r="BA38" s="177">
        <v>0</v>
      </c>
      <c r="BB38" s="177">
        <v>0</v>
      </c>
      <c r="BC38" s="177">
        <v>0</v>
      </c>
      <c r="BD38" s="177">
        <v>0</v>
      </c>
      <c r="BE38" s="177">
        <v>3.7349999999999999</v>
      </c>
      <c r="BF38" s="177">
        <v>3.75</v>
      </c>
      <c r="BG38" s="174">
        <v>0</v>
      </c>
      <c r="BH38" s="174"/>
      <c r="BI38" s="174"/>
      <c r="BJ38" s="174"/>
      <c r="BK38" s="174"/>
      <c r="BL38" s="174"/>
      <c r="BM38" s="174"/>
      <c r="BN38" s="174"/>
    </row>
    <row r="39" spans="1:66">
      <c r="A39" s="174">
        <v>10097</v>
      </c>
      <c r="B39" s="174" t="s">
        <v>43</v>
      </c>
      <c r="C39" s="174">
        <v>1</v>
      </c>
      <c r="D39" s="174">
        <v>0</v>
      </c>
      <c r="E39" s="177">
        <v>2.0680000000000001</v>
      </c>
      <c r="F39" s="177">
        <v>2.0059999999999998</v>
      </c>
      <c r="G39" s="177">
        <v>2.0110000000000001</v>
      </c>
      <c r="H39" s="177">
        <v>0</v>
      </c>
      <c r="I39" s="177">
        <v>0</v>
      </c>
      <c r="J39" s="177">
        <v>0</v>
      </c>
      <c r="K39" s="177">
        <v>0</v>
      </c>
      <c r="L39" s="176">
        <v>0</v>
      </c>
      <c r="M39" s="176">
        <v>0</v>
      </c>
      <c r="N39" s="177">
        <v>2.0059999999999998</v>
      </c>
      <c r="O39" s="177">
        <v>2.0110000000000001</v>
      </c>
      <c r="P39" s="176">
        <v>17572.559999999998</v>
      </c>
      <c r="Q39" s="176">
        <v>17616.36</v>
      </c>
      <c r="R39" s="174">
        <v>2.0049999999999999</v>
      </c>
      <c r="S39" s="176">
        <v>17563.8</v>
      </c>
      <c r="T39" s="176">
        <v>17563.8</v>
      </c>
      <c r="U39" s="177">
        <v>1E-3</v>
      </c>
      <c r="V39" s="177">
        <v>6.0000000000000001E-3</v>
      </c>
      <c r="W39" s="177">
        <v>0</v>
      </c>
      <c r="X39" s="177">
        <v>0</v>
      </c>
      <c r="Y39" s="177">
        <v>1E-3</v>
      </c>
      <c r="Z39" s="177">
        <v>6.0000000000000001E-3</v>
      </c>
      <c r="AA39" s="174">
        <v>0</v>
      </c>
      <c r="AB39" s="174">
        <v>0</v>
      </c>
      <c r="AC39" s="177">
        <v>0</v>
      </c>
      <c r="AD39" s="177">
        <v>0</v>
      </c>
      <c r="AE39" s="178">
        <v>2.8870000000000002E-4</v>
      </c>
      <c r="AF39" s="178">
        <v>2.8870000000000002E-4</v>
      </c>
      <c r="AG39" s="178">
        <v>0</v>
      </c>
      <c r="AH39" s="178">
        <v>2.8870000000000002E-4</v>
      </c>
      <c r="AI39" s="178">
        <v>2.8870000000000002E-4</v>
      </c>
      <c r="AJ39" s="178">
        <v>2.8870000000000002E-4</v>
      </c>
      <c r="AK39" s="178">
        <v>0.99949004995014967</v>
      </c>
      <c r="AL39" s="178">
        <v>0.99700499264047737</v>
      </c>
      <c r="AM39" s="178">
        <v>1.0004987531172069</v>
      </c>
      <c r="AN39" s="178">
        <v>1.002992518703242</v>
      </c>
      <c r="AO39" s="178">
        <v>0</v>
      </c>
      <c r="AP39" s="178">
        <v>0</v>
      </c>
      <c r="AQ39" s="174">
        <v>1</v>
      </c>
      <c r="AR39" s="174">
        <v>1</v>
      </c>
      <c r="AS39" s="177">
        <v>0</v>
      </c>
      <c r="AT39" s="177">
        <v>0</v>
      </c>
      <c r="AU39" s="177">
        <v>0</v>
      </c>
      <c r="AV39" s="177">
        <v>0</v>
      </c>
      <c r="AW39" s="177">
        <v>0</v>
      </c>
      <c r="AX39" s="177">
        <v>0</v>
      </c>
      <c r="AY39" s="177">
        <v>0</v>
      </c>
      <c r="AZ39" s="177">
        <v>0</v>
      </c>
      <c r="BA39" s="177">
        <v>0</v>
      </c>
      <c r="BB39" s="177">
        <v>0</v>
      </c>
      <c r="BC39" s="177">
        <v>0</v>
      </c>
      <c r="BD39" s="177">
        <v>0</v>
      </c>
      <c r="BE39" s="177">
        <v>2.0059999999999998</v>
      </c>
      <c r="BF39" s="177">
        <v>2.0110000000000001</v>
      </c>
      <c r="BG39" s="174">
        <v>0</v>
      </c>
      <c r="BH39" s="174"/>
      <c r="BI39" s="174"/>
      <c r="BJ39" s="174"/>
      <c r="BK39" s="174"/>
      <c r="BL39" s="174"/>
      <c r="BM39" s="174"/>
      <c r="BN39" s="174"/>
    </row>
    <row r="40" spans="1:66">
      <c r="A40" s="174">
        <v>10101</v>
      </c>
      <c r="B40" s="174" t="s">
        <v>44</v>
      </c>
      <c r="C40" s="174">
        <v>1</v>
      </c>
      <c r="D40" s="174">
        <v>0</v>
      </c>
      <c r="E40" s="177">
        <v>77.162000000000006</v>
      </c>
      <c r="F40" s="177">
        <v>75.460999999999999</v>
      </c>
      <c r="G40" s="177">
        <v>75.948999999999998</v>
      </c>
      <c r="H40" s="177">
        <v>0</v>
      </c>
      <c r="I40" s="177">
        <v>0</v>
      </c>
      <c r="J40" s="177">
        <v>0</v>
      </c>
      <c r="K40" s="177">
        <v>0</v>
      </c>
      <c r="L40" s="176">
        <v>0</v>
      </c>
      <c r="M40" s="176">
        <v>0</v>
      </c>
      <c r="N40" s="177">
        <v>76.655000000000001</v>
      </c>
      <c r="O40" s="177">
        <v>77.150999999999996</v>
      </c>
      <c r="P40" s="176">
        <v>671497.8</v>
      </c>
      <c r="Q40" s="176">
        <v>675842.76</v>
      </c>
      <c r="R40" s="174">
        <v>74.808000000000007</v>
      </c>
      <c r="S40" s="176">
        <v>655318.08000000007</v>
      </c>
      <c r="T40" s="176">
        <v>655318.08000000007</v>
      </c>
      <c r="U40" s="177">
        <v>1.847</v>
      </c>
      <c r="V40" s="177">
        <v>2.343</v>
      </c>
      <c r="W40" s="177">
        <v>1.847</v>
      </c>
      <c r="X40" s="177">
        <v>2.343</v>
      </c>
      <c r="Y40" s="177">
        <v>0</v>
      </c>
      <c r="Z40" s="177">
        <v>0</v>
      </c>
      <c r="AA40" s="174">
        <v>2</v>
      </c>
      <c r="AB40" s="174">
        <v>3</v>
      </c>
      <c r="AC40" s="177">
        <v>0</v>
      </c>
      <c r="AD40" s="177">
        <v>0</v>
      </c>
      <c r="AE40" s="178">
        <v>1.07717E-2</v>
      </c>
      <c r="AF40" s="178">
        <v>1.07717E-2</v>
      </c>
      <c r="AG40" s="178">
        <v>0</v>
      </c>
      <c r="AH40" s="178">
        <v>1.07717E-2</v>
      </c>
      <c r="AI40" s="178">
        <v>1.07717E-2</v>
      </c>
      <c r="AJ40" s="178">
        <v>1.07717E-2</v>
      </c>
      <c r="AK40" s="178">
        <v>0.97590238938360185</v>
      </c>
      <c r="AL40" s="178">
        <v>0.96962836072377556</v>
      </c>
      <c r="AM40" s="178">
        <v>1.0246898727408833</v>
      </c>
      <c r="AN40" s="178">
        <v>1.0313201796599292</v>
      </c>
      <c r="AO40" s="178">
        <v>5.6357943000748582E-2</v>
      </c>
      <c r="AP40" s="178">
        <v>5.6722609881296106E-2</v>
      </c>
      <c r="AQ40" s="174">
        <v>3</v>
      </c>
      <c r="AR40" s="174">
        <v>3</v>
      </c>
      <c r="AS40" s="177">
        <v>0.67300000000000004</v>
      </c>
      <c r="AT40" s="177">
        <v>0.67300000000000004</v>
      </c>
      <c r="AU40" s="177">
        <v>2</v>
      </c>
      <c r="AV40" s="177">
        <v>3</v>
      </c>
      <c r="AW40" s="177">
        <v>0.67300000000000004</v>
      </c>
      <c r="AX40" s="177">
        <v>0.67300000000000004</v>
      </c>
      <c r="AY40" s="177">
        <v>-0.82600000000000007</v>
      </c>
      <c r="AZ40" s="177">
        <v>-1.33</v>
      </c>
      <c r="BA40" s="177">
        <v>-0.82600000000000007</v>
      </c>
      <c r="BB40" s="177">
        <v>-1.33</v>
      </c>
      <c r="BC40" s="177">
        <v>0</v>
      </c>
      <c r="BD40" s="177">
        <v>0</v>
      </c>
      <c r="BE40" s="177">
        <v>75.981999999999999</v>
      </c>
      <c r="BF40" s="177">
        <v>76.477999999999994</v>
      </c>
      <c r="BG40" s="174">
        <v>0</v>
      </c>
      <c r="BH40" s="174"/>
      <c r="BI40" s="174"/>
      <c r="BJ40" s="174"/>
      <c r="BK40" s="174"/>
      <c r="BL40" s="174"/>
      <c r="BM40" s="174"/>
      <c r="BN40" s="174"/>
    </row>
    <row r="41" spans="1:66">
      <c r="A41" s="174">
        <v>10103</v>
      </c>
      <c r="B41" s="174" t="s">
        <v>45</v>
      </c>
      <c r="C41" s="174">
        <v>1</v>
      </c>
      <c r="D41" s="174">
        <v>0</v>
      </c>
      <c r="E41" s="177">
        <v>323.245</v>
      </c>
      <c r="F41" s="177">
        <v>524.61099999999999</v>
      </c>
      <c r="G41" s="177">
        <v>525.548</v>
      </c>
      <c r="H41" s="177">
        <v>0</v>
      </c>
      <c r="I41" s="177">
        <v>0</v>
      </c>
      <c r="J41" s="177">
        <v>225.94900000000001</v>
      </c>
      <c r="K41" s="177">
        <v>225.94900000000001</v>
      </c>
      <c r="L41" s="176">
        <v>1979313.2400000002</v>
      </c>
      <c r="M41" s="176">
        <v>1979313.2400000002</v>
      </c>
      <c r="N41" s="177">
        <v>298.66199999999998</v>
      </c>
      <c r="O41" s="177">
        <v>299.59899999999999</v>
      </c>
      <c r="P41" s="176">
        <v>2616279.1199999996</v>
      </c>
      <c r="Q41" s="176">
        <v>2624487.2399999998</v>
      </c>
      <c r="R41" s="174">
        <v>313.38200000000001</v>
      </c>
      <c r="S41" s="176">
        <v>2745226.32</v>
      </c>
      <c r="T41" s="176">
        <v>2745226.32</v>
      </c>
      <c r="U41" s="177">
        <v>0</v>
      </c>
      <c r="V41" s="177">
        <v>0</v>
      </c>
      <c r="W41" s="177">
        <v>0</v>
      </c>
      <c r="X41" s="177">
        <v>0</v>
      </c>
      <c r="Y41" s="177">
        <v>0</v>
      </c>
      <c r="Z41" s="177">
        <v>0</v>
      </c>
      <c r="AA41" s="174">
        <v>0</v>
      </c>
      <c r="AB41" s="174">
        <v>0</v>
      </c>
      <c r="AC41" s="177">
        <v>0</v>
      </c>
      <c r="AD41" s="177">
        <v>0</v>
      </c>
      <c r="AE41" s="178">
        <v>4.3004800000000003E-2</v>
      </c>
      <c r="AF41" s="178">
        <v>4.3139799999999999E-2</v>
      </c>
      <c r="AG41" s="178">
        <v>2.1833200000000001E-2</v>
      </c>
      <c r="AH41" s="178">
        <v>2.1171600000000002E-2</v>
      </c>
      <c r="AI41" s="178">
        <v>2.1306599999999998E-2</v>
      </c>
      <c r="AJ41" s="178">
        <v>2.12391E-2</v>
      </c>
      <c r="AK41" s="178">
        <v>0.99999945342510932</v>
      </c>
      <c r="AL41" s="178">
        <v>1</v>
      </c>
      <c r="AM41" s="178">
        <v>1</v>
      </c>
      <c r="AN41" s="178">
        <v>1</v>
      </c>
      <c r="AO41" s="178">
        <v>0</v>
      </c>
      <c r="AP41" s="178">
        <v>0</v>
      </c>
      <c r="AQ41" s="174">
        <v>4</v>
      </c>
      <c r="AR41" s="174">
        <v>4</v>
      </c>
      <c r="AS41" s="177">
        <v>0</v>
      </c>
      <c r="AT41" s="177">
        <v>0</v>
      </c>
      <c r="AU41" s="177">
        <v>0</v>
      </c>
      <c r="AV41" s="177">
        <v>0</v>
      </c>
      <c r="AW41" s="177">
        <v>0</v>
      </c>
      <c r="AX41" s="177">
        <v>0</v>
      </c>
      <c r="AY41" s="177">
        <v>0</v>
      </c>
      <c r="AZ41" s="177">
        <v>0</v>
      </c>
      <c r="BA41" s="177">
        <v>0</v>
      </c>
      <c r="BB41" s="177">
        <v>0</v>
      </c>
      <c r="BC41" s="177">
        <v>0</v>
      </c>
      <c r="BD41" s="177">
        <v>0</v>
      </c>
      <c r="BE41" s="177">
        <v>298.66199999999998</v>
      </c>
      <c r="BF41" s="177">
        <v>299.59899999999999</v>
      </c>
      <c r="BG41" s="174">
        <v>0</v>
      </c>
      <c r="BH41" s="174"/>
      <c r="BI41" s="174"/>
      <c r="BJ41" s="174"/>
      <c r="BK41" s="174"/>
      <c r="BL41" s="174"/>
      <c r="BM41" s="174"/>
      <c r="BN41" s="174"/>
    </row>
    <row r="42" spans="1:66">
      <c r="A42" s="174">
        <v>10105</v>
      </c>
      <c r="B42" s="174" t="s">
        <v>46</v>
      </c>
      <c r="C42" s="174">
        <v>1</v>
      </c>
      <c r="D42" s="174">
        <v>0</v>
      </c>
      <c r="E42" s="177">
        <v>94.222999999999999</v>
      </c>
      <c r="F42" s="177">
        <v>84.521000000000001</v>
      </c>
      <c r="G42" s="177">
        <v>83.272999999999996</v>
      </c>
      <c r="H42" s="177">
        <v>0</v>
      </c>
      <c r="I42" s="177">
        <v>0</v>
      </c>
      <c r="J42" s="177">
        <v>0</v>
      </c>
      <c r="K42" s="177">
        <v>0</v>
      </c>
      <c r="L42" s="176">
        <v>0</v>
      </c>
      <c r="M42" s="176">
        <v>0</v>
      </c>
      <c r="N42" s="177">
        <v>84.521000000000001</v>
      </c>
      <c r="O42" s="177">
        <v>83.272999999999996</v>
      </c>
      <c r="P42" s="176">
        <v>740403.96</v>
      </c>
      <c r="Q42" s="176">
        <v>729471.48</v>
      </c>
      <c r="R42" s="174">
        <v>91.347999999999999</v>
      </c>
      <c r="S42" s="176">
        <v>800208.48</v>
      </c>
      <c r="T42" s="176">
        <v>800208.48</v>
      </c>
      <c r="U42" s="177">
        <v>0</v>
      </c>
      <c r="V42" s="177">
        <v>0</v>
      </c>
      <c r="W42" s="177">
        <v>0</v>
      </c>
      <c r="X42" s="177">
        <v>0</v>
      </c>
      <c r="Y42" s="177">
        <v>0</v>
      </c>
      <c r="Z42" s="177">
        <v>0</v>
      </c>
      <c r="AA42" s="174">
        <v>0</v>
      </c>
      <c r="AB42" s="174">
        <v>0</v>
      </c>
      <c r="AC42" s="177">
        <v>0</v>
      </c>
      <c r="AD42" s="177">
        <v>0</v>
      </c>
      <c r="AE42" s="178">
        <v>1.21703E-2</v>
      </c>
      <c r="AF42" s="178">
        <v>1.1990600000000001E-2</v>
      </c>
      <c r="AG42" s="178">
        <v>7.2573000000000004E-3</v>
      </c>
      <c r="AH42" s="178">
        <v>4.9129999999999998E-3</v>
      </c>
      <c r="AI42" s="178">
        <v>4.7333000000000002E-3</v>
      </c>
      <c r="AJ42" s="178">
        <v>4.82315E-3</v>
      </c>
      <c r="AK42" s="178">
        <v>0.99999833501496671</v>
      </c>
      <c r="AL42" s="178">
        <v>0.99999844424483331</v>
      </c>
      <c r="AM42" s="178">
        <v>1</v>
      </c>
      <c r="AN42" s="178">
        <v>1</v>
      </c>
      <c r="AO42" s="178">
        <v>0</v>
      </c>
      <c r="AP42" s="178">
        <v>0</v>
      </c>
      <c r="AQ42" s="174">
        <v>4</v>
      </c>
      <c r="AR42" s="174">
        <v>4</v>
      </c>
      <c r="AS42" s="177">
        <v>0</v>
      </c>
      <c r="AT42" s="177">
        <v>0</v>
      </c>
      <c r="AU42" s="177">
        <v>0</v>
      </c>
      <c r="AV42" s="177">
        <v>0</v>
      </c>
      <c r="AW42" s="177">
        <v>0</v>
      </c>
      <c r="AX42" s="177">
        <v>0</v>
      </c>
      <c r="AY42" s="177">
        <v>0</v>
      </c>
      <c r="AZ42" s="177">
        <v>0</v>
      </c>
      <c r="BA42" s="177">
        <v>0</v>
      </c>
      <c r="BB42" s="177">
        <v>0</v>
      </c>
      <c r="BC42" s="177">
        <v>0</v>
      </c>
      <c r="BD42" s="177">
        <v>0</v>
      </c>
      <c r="BE42" s="177">
        <v>84.521000000000001</v>
      </c>
      <c r="BF42" s="177">
        <v>83.272999999999996</v>
      </c>
      <c r="BG42" s="174">
        <v>0</v>
      </c>
      <c r="BH42" s="174"/>
      <c r="BI42" s="174"/>
      <c r="BJ42" s="174"/>
      <c r="BK42" s="174"/>
      <c r="BL42" s="174"/>
      <c r="BM42" s="174"/>
      <c r="BN42" s="174"/>
    </row>
    <row r="43" spans="1:66">
      <c r="A43" s="174">
        <v>10106</v>
      </c>
      <c r="B43" s="174" t="s">
        <v>47</v>
      </c>
      <c r="C43" s="174">
        <v>0</v>
      </c>
      <c r="D43" s="174">
        <v>1</v>
      </c>
      <c r="E43" s="177">
        <v>24.234999999999999</v>
      </c>
      <c r="F43" s="177">
        <v>23.501000000000001</v>
      </c>
      <c r="G43" s="177">
        <v>23.606000000000002</v>
      </c>
      <c r="H43" s="177">
        <v>0</v>
      </c>
      <c r="I43" s="177">
        <v>0</v>
      </c>
      <c r="J43" s="177">
        <v>0</v>
      </c>
      <c r="K43" s="177">
        <v>0</v>
      </c>
      <c r="L43" s="176">
        <v>0</v>
      </c>
      <c r="M43" s="176">
        <v>0</v>
      </c>
      <c r="N43" s="177">
        <v>23.568999999999999</v>
      </c>
      <c r="O43" s="177">
        <v>23.649000000000001</v>
      </c>
      <c r="P43" s="176">
        <v>206464.44</v>
      </c>
      <c r="Q43" s="176">
        <v>207165.24000000002</v>
      </c>
      <c r="R43" s="174">
        <v>23.495999999999999</v>
      </c>
      <c r="S43" s="176">
        <v>205824.96</v>
      </c>
      <c r="T43" s="176">
        <v>205824.96</v>
      </c>
      <c r="U43" s="177">
        <v>7.2999999999999995E-2</v>
      </c>
      <c r="V43" s="177">
        <v>0.153</v>
      </c>
      <c r="W43" s="177">
        <v>7.2999999999999995E-2</v>
      </c>
      <c r="X43" s="177">
        <v>0.153</v>
      </c>
      <c r="Y43" s="177">
        <v>0</v>
      </c>
      <c r="Z43" s="177">
        <v>0</v>
      </c>
      <c r="AA43" s="174">
        <v>0</v>
      </c>
      <c r="AB43" s="174">
        <v>0</v>
      </c>
      <c r="AC43" s="177">
        <v>7.2999999999999995E-2</v>
      </c>
      <c r="AD43" s="177">
        <v>0.153</v>
      </c>
      <c r="AE43" s="178">
        <v>3.3831999999999998E-3</v>
      </c>
      <c r="AF43" s="178">
        <v>3.3831999999999998E-3</v>
      </c>
      <c r="AG43" s="178">
        <v>0</v>
      </c>
      <c r="AH43" s="178">
        <v>3.3831999999999998E-3</v>
      </c>
      <c r="AI43" s="178">
        <v>3.3831999999999998E-3</v>
      </c>
      <c r="AJ43" s="178">
        <v>3.3831999999999998E-3</v>
      </c>
      <c r="AK43" s="178">
        <v>0.99689435220840927</v>
      </c>
      <c r="AL43" s="178">
        <v>0.99352205113112591</v>
      </c>
      <c r="AM43" s="178">
        <v>1.0031069118147771</v>
      </c>
      <c r="AN43" s="178">
        <v>1.0065117466802862</v>
      </c>
      <c r="AO43" s="178">
        <v>7.0217483827034397E-2</v>
      </c>
      <c r="AP43" s="178">
        <v>7.0455822267620039E-2</v>
      </c>
      <c r="AQ43" s="174">
        <v>6</v>
      </c>
      <c r="AR43" s="174">
        <v>6</v>
      </c>
      <c r="AS43" s="177">
        <v>0</v>
      </c>
      <c r="AT43" s="177">
        <v>0</v>
      </c>
      <c r="AU43" s="177">
        <v>0</v>
      </c>
      <c r="AV43" s="177">
        <v>0</v>
      </c>
      <c r="AW43" s="177">
        <v>0</v>
      </c>
      <c r="AX43" s="177">
        <v>0</v>
      </c>
      <c r="AY43" s="177">
        <v>0</v>
      </c>
      <c r="AZ43" s="177">
        <v>0</v>
      </c>
      <c r="BA43" s="177">
        <v>0</v>
      </c>
      <c r="BB43" s="177">
        <v>0</v>
      </c>
      <c r="BC43" s="177">
        <v>0</v>
      </c>
      <c r="BD43" s="177">
        <v>0</v>
      </c>
      <c r="BE43" s="177">
        <v>23.495999999999999</v>
      </c>
      <c r="BF43" s="177">
        <v>23.495999999999999</v>
      </c>
      <c r="BG43" s="174">
        <v>0</v>
      </c>
      <c r="BH43" s="174"/>
      <c r="BI43" s="174"/>
      <c r="BJ43" s="174"/>
      <c r="BK43" s="174"/>
      <c r="BL43" s="174"/>
      <c r="BM43" s="174"/>
      <c r="BN43" s="174"/>
    </row>
    <row r="44" spans="1:66">
      <c r="A44" s="174">
        <v>10109</v>
      </c>
      <c r="B44" s="174" t="s">
        <v>48</v>
      </c>
      <c r="C44" s="174">
        <v>1</v>
      </c>
      <c r="D44" s="174">
        <v>0</v>
      </c>
      <c r="E44" s="177">
        <v>12.298999999999999</v>
      </c>
      <c r="F44" s="177">
        <v>12.926</v>
      </c>
      <c r="G44" s="177">
        <v>13.31</v>
      </c>
      <c r="H44" s="177">
        <v>0</v>
      </c>
      <c r="I44" s="177">
        <v>0</v>
      </c>
      <c r="J44" s="177">
        <v>0</v>
      </c>
      <c r="K44" s="177">
        <v>0</v>
      </c>
      <c r="L44" s="176">
        <v>0</v>
      </c>
      <c r="M44" s="176">
        <v>0</v>
      </c>
      <c r="N44" s="177">
        <v>14.16</v>
      </c>
      <c r="O44" s="177">
        <v>14.271000000000001</v>
      </c>
      <c r="P44" s="176">
        <v>124041.60000000001</v>
      </c>
      <c r="Q44" s="176">
        <v>125013.96</v>
      </c>
      <c r="R44" s="174">
        <v>11.923999999999999</v>
      </c>
      <c r="S44" s="176">
        <v>104454.23999999999</v>
      </c>
      <c r="T44" s="176">
        <v>104454.23999999999</v>
      </c>
      <c r="U44" s="177">
        <v>2.2360000000000002</v>
      </c>
      <c r="V44" s="177">
        <v>2.347</v>
      </c>
      <c r="W44" s="177">
        <v>2.2360000000000002</v>
      </c>
      <c r="X44" s="177">
        <v>2.347</v>
      </c>
      <c r="Y44" s="177">
        <v>0</v>
      </c>
      <c r="Z44" s="177">
        <v>0</v>
      </c>
      <c r="AA44" s="174">
        <v>0</v>
      </c>
      <c r="AB44" s="174">
        <v>0</v>
      </c>
      <c r="AC44" s="177">
        <v>2.2360000000000002</v>
      </c>
      <c r="AD44" s="177">
        <v>2.347</v>
      </c>
      <c r="AE44" s="178">
        <v>1.717E-3</v>
      </c>
      <c r="AF44" s="178">
        <v>1.717E-3</v>
      </c>
      <c r="AG44" s="178">
        <v>0</v>
      </c>
      <c r="AH44" s="178">
        <v>1.717E-3</v>
      </c>
      <c r="AI44" s="178">
        <v>1.717E-3</v>
      </c>
      <c r="AJ44" s="178">
        <v>1.717E-3</v>
      </c>
      <c r="AK44" s="178">
        <v>0.84211162302259879</v>
      </c>
      <c r="AL44" s="178">
        <v>0.83556166925933695</v>
      </c>
      <c r="AM44" s="178">
        <v>1.1875209661187522</v>
      </c>
      <c r="AN44" s="178">
        <v>1.196829922844683</v>
      </c>
      <c r="AO44" s="178">
        <v>8.3126467628312661E-2</v>
      </c>
      <c r="AP44" s="178">
        <v>8.3778094599127814E-2</v>
      </c>
      <c r="AQ44" s="174">
        <v>1</v>
      </c>
      <c r="AR44" s="174">
        <v>1</v>
      </c>
      <c r="AS44" s="177">
        <v>0</v>
      </c>
      <c r="AT44" s="177">
        <v>0</v>
      </c>
      <c r="AU44" s="177">
        <v>2.2360000000000002</v>
      </c>
      <c r="AV44" s="177">
        <v>2.347</v>
      </c>
      <c r="AW44" s="177">
        <v>0</v>
      </c>
      <c r="AX44" s="177">
        <v>0</v>
      </c>
      <c r="AY44" s="177">
        <v>0</v>
      </c>
      <c r="AZ44" s="177">
        <v>0</v>
      </c>
      <c r="BA44" s="177">
        <v>0</v>
      </c>
      <c r="BB44" s="177">
        <v>0</v>
      </c>
      <c r="BC44" s="177">
        <v>0</v>
      </c>
      <c r="BD44" s="177">
        <v>0</v>
      </c>
      <c r="BE44" s="177">
        <v>14.16</v>
      </c>
      <c r="BF44" s="177">
        <v>14.271000000000001</v>
      </c>
      <c r="BG44" s="174">
        <v>1</v>
      </c>
      <c r="BH44" s="174"/>
      <c r="BI44" s="174"/>
      <c r="BJ44" s="174"/>
      <c r="BK44" s="174"/>
      <c r="BL44" s="174"/>
      <c r="BM44" s="174"/>
      <c r="BN44" s="174"/>
    </row>
    <row r="45" spans="1:66">
      <c r="A45" s="174">
        <v>10111</v>
      </c>
      <c r="B45" s="174" t="s">
        <v>49</v>
      </c>
      <c r="C45" s="174">
        <v>1</v>
      </c>
      <c r="D45" s="174">
        <v>0</v>
      </c>
      <c r="E45" s="177">
        <v>3.2829999999999999</v>
      </c>
      <c r="F45" s="177">
        <v>3.0379999999999998</v>
      </c>
      <c r="G45" s="177">
        <v>3.044</v>
      </c>
      <c r="H45" s="177">
        <v>0</v>
      </c>
      <c r="I45" s="177">
        <v>0</v>
      </c>
      <c r="J45" s="177">
        <v>0</v>
      </c>
      <c r="K45" s="177">
        <v>0</v>
      </c>
      <c r="L45" s="176">
        <v>0</v>
      </c>
      <c r="M45" s="176">
        <v>0</v>
      </c>
      <c r="N45" s="177">
        <v>2.95</v>
      </c>
      <c r="O45" s="177">
        <v>2.9369999999999998</v>
      </c>
      <c r="P45" s="176">
        <v>25842</v>
      </c>
      <c r="Q45" s="176">
        <v>25728.12</v>
      </c>
      <c r="R45" s="174">
        <v>3.1829999999999998</v>
      </c>
      <c r="S45" s="176">
        <v>27883.079999999998</v>
      </c>
      <c r="T45" s="176">
        <v>27883.079999999998</v>
      </c>
      <c r="U45" s="177">
        <v>0</v>
      </c>
      <c r="V45" s="177">
        <v>0</v>
      </c>
      <c r="W45" s="177">
        <v>0</v>
      </c>
      <c r="X45" s="177">
        <v>0</v>
      </c>
      <c r="Y45" s="177">
        <v>0</v>
      </c>
      <c r="Z45" s="177">
        <v>0</v>
      </c>
      <c r="AA45" s="174">
        <v>0</v>
      </c>
      <c r="AB45" s="174">
        <v>0</v>
      </c>
      <c r="AC45" s="177">
        <v>0</v>
      </c>
      <c r="AD45" s="177">
        <v>0</v>
      </c>
      <c r="AE45" s="178">
        <v>4.2480000000000003E-4</v>
      </c>
      <c r="AF45" s="178">
        <v>4.2289999999999998E-4</v>
      </c>
      <c r="AG45" s="178">
        <v>0</v>
      </c>
      <c r="AH45" s="178">
        <v>4.2480000000000003E-4</v>
      </c>
      <c r="AI45" s="178">
        <v>4.2289999999999998E-4</v>
      </c>
      <c r="AJ45" s="178">
        <v>4.2385000000000003E-4</v>
      </c>
      <c r="AK45" s="178">
        <v>1</v>
      </c>
      <c r="AL45" s="178">
        <v>0.99999161504937006</v>
      </c>
      <c r="AM45" s="178">
        <v>1</v>
      </c>
      <c r="AN45" s="178">
        <v>1</v>
      </c>
      <c r="AO45" s="178">
        <v>7.0000000000000007E-2</v>
      </c>
      <c r="AP45" s="178">
        <v>7.0000000000000007E-2</v>
      </c>
      <c r="AQ45" s="174">
        <v>1</v>
      </c>
      <c r="AR45" s="174">
        <v>1</v>
      </c>
      <c r="AS45" s="177">
        <v>0</v>
      </c>
      <c r="AT45" s="177">
        <v>0</v>
      </c>
      <c r="AU45" s="177">
        <v>0</v>
      </c>
      <c r="AV45" s="177">
        <v>0</v>
      </c>
      <c r="AW45" s="177">
        <v>0</v>
      </c>
      <c r="AX45" s="177">
        <v>0</v>
      </c>
      <c r="AY45" s="177">
        <v>0</v>
      </c>
      <c r="AZ45" s="177">
        <v>0</v>
      </c>
      <c r="BA45" s="177">
        <v>0</v>
      </c>
      <c r="BB45" s="177">
        <v>0</v>
      </c>
      <c r="BC45" s="177">
        <v>0</v>
      </c>
      <c r="BD45" s="177">
        <v>0</v>
      </c>
      <c r="BE45" s="177">
        <v>2.95</v>
      </c>
      <c r="BF45" s="177">
        <v>2.9369999999999998</v>
      </c>
      <c r="BG45" s="174">
        <v>0</v>
      </c>
      <c r="BH45" s="174"/>
      <c r="BI45" s="174"/>
      <c r="BJ45" s="174"/>
      <c r="BK45" s="174"/>
      <c r="BL45" s="174"/>
      <c r="BM45" s="174"/>
      <c r="BN45" s="174"/>
    </row>
    <row r="46" spans="1:66">
      <c r="A46" s="174">
        <v>10112</v>
      </c>
      <c r="B46" s="174" t="s">
        <v>50</v>
      </c>
      <c r="C46" s="174">
        <v>1</v>
      </c>
      <c r="D46" s="174">
        <v>0</v>
      </c>
      <c r="E46" s="177">
        <v>59.119</v>
      </c>
      <c r="F46" s="177">
        <v>56.033000000000001</v>
      </c>
      <c r="G46" s="177">
        <v>56.142000000000003</v>
      </c>
      <c r="H46" s="177">
        <v>0</v>
      </c>
      <c r="I46" s="177">
        <v>0</v>
      </c>
      <c r="J46" s="177">
        <v>0</v>
      </c>
      <c r="K46" s="177">
        <v>0</v>
      </c>
      <c r="L46" s="176">
        <v>0</v>
      </c>
      <c r="M46" s="176">
        <v>0</v>
      </c>
      <c r="N46" s="177">
        <v>56.033000000000001</v>
      </c>
      <c r="O46" s="177">
        <v>56.142000000000003</v>
      </c>
      <c r="P46" s="176">
        <v>490849.08</v>
      </c>
      <c r="Q46" s="176">
        <v>491803.92000000004</v>
      </c>
      <c r="R46" s="174">
        <v>57.314999999999998</v>
      </c>
      <c r="S46" s="176">
        <v>502079.39999999997</v>
      </c>
      <c r="T46" s="176">
        <v>502079.39999999997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4">
        <v>0</v>
      </c>
      <c r="AB46" s="174">
        <v>0</v>
      </c>
      <c r="AC46" s="177">
        <v>0</v>
      </c>
      <c r="AD46" s="177">
        <v>0</v>
      </c>
      <c r="AE46" s="178">
        <v>8.0683000000000005E-3</v>
      </c>
      <c r="AF46" s="178">
        <v>8.0839999999999992E-3</v>
      </c>
      <c r="AG46" s="178">
        <v>0</v>
      </c>
      <c r="AH46" s="178">
        <v>8.0683000000000005E-3</v>
      </c>
      <c r="AI46" s="178">
        <v>8.0839999999999992E-3</v>
      </c>
      <c r="AJ46" s="178">
        <v>8.0761500000000007E-3</v>
      </c>
      <c r="AK46" s="178">
        <v>1</v>
      </c>
      <c r="AL46" s="178">
        <v>1</v>
      </c>
      <c r="AM46" s="178">
        <v>1</v>
      </c>
      <c r="AN46" s="178">
        <v>1</v>
      </c>
      <c r="AO46" s="178">
        <v>0</v>
      </c>
      <c r="AP46" s="178">
        <v>0</v>
      </c>
      <c r="AQ46" s="174">
        <v>1</v>
      </c>
      <c r="AR46" s="174">
        <v>1</v>
      </c>
      <c r="AS46" s="177">
        <v>0</v>
      </c>
      <c r="AT46" s="177">
        <v>0</v>
      </c>
      <c r="AU46" s="177">
        <v>0</v>
      </c>
      <c r="AV46" s="177">
        <v>0</v>
      </c>
      <c r="AW46" s="177">
        <v>0</v>
      </c>
      <c r="AX46" s="177">
        <v>0</v>
      </c>
      <c r="AY46" s="177">
        <v>0</v>
      </c>
      <c r="AZ46" s="177">
        <v>0</v>
      </c>
      <c r="BA46" s="177">
        <v>0</v>
      </c>
      <c r="BB46" s="177">
        <v>0</v>
      </c>
      <c r="BC46" s="177">
        <v>0</v>
      </c>
      <c r="BD46" s="177">
        <v>0</v>
      </c>
      <c r="BE46" s="177">
        <v>56.033000000000001</v>
      </c>
      <c r="BF46" s="177">
        <v>56.142000000000003</v>
      </c>
      <c r="BG46" s="174">
        <v>1</v>
      </c>
      <c r="BH46" s="174"/>
      <c r="BI46" s="174"/>
      <c r="BJ46" s="174"/>
      <c r="BK46" s="174"/>
      <c r="BL46" s="174"/>
      <c r="BM46" s="174"/>
      <c r="BN46" s="174"/>
    </row>
    <row r="47" spans="1:66">
      <c r="A47" s="174">
        <v>10113</v>
      </c>
      <c r="B47" s="174" t="s">
        <v>51</v>
      </c>
      <c r="C47" s="174">
        <v>1</v>
      </c>
      <c r="D47" s="174">
        <v>0</v>
      </c>
      <c r="E47" s="177">
        <v>38.255000000000003</v>
      </c>
      <c r="F47" s="177">
        <v>42.383000000000003</v>
      </c>
      <c r="G47" s="177">
        <v>43.097999999999999</v>
      </c>
      <c r="H47" s="177">
        <v>0</v>
      </c>
      <c r="I47" s="177">
        <v>0</v>
      </c>
      <c r="J47" s="177">
        <v>0</v>
      </c>
      <c r="K47" s="177">
        <v>0</v>
      </c>
      <c r="L47" s="176">
        <v>0</v>
      </c>
      <c r="M47" s="176">
        <v>0</v>
      </c>
      <c r="N47" s="177">
        <v>42.383000000000003</v>
      </c>
      <c r="O47" s="177">
        <v>43.097999999999999</v>
      </c>
      <c r="P47" s="176">
        <v>371275.08</v>
      </c>
      <c r="Q47" s="176">
        <v>377538.48</v>
      </c>
      <c r="R47" s="174">
        <v>37.088000000000001</v>
      </c>
      <c r="S47" s="176">
        <v>324890.88</v>
      </c>
      <c r="T47" s="176">
        <v>324890.88</v>
      </c>
      <c r="U47" s="177">
        <v>5.2949999999999999</v>
      </c>
      <c r="V47" s="177">
        <v>6.01</v>
      </c>
      <c r="W47" s="177">
        <v>5.2949999999999999</v>
      </c>
      <c r="X47" s="177">
        <v>6.01</v>
      </c>
      <c r="Y47" s="177">
        <v>0</v>
      </c>
      <c r="Z47" s="177">
        <v>0</v>
      </c>
      <c r="AA47" s="174">
        <v>2</v>
      </c>
      <c r="AB47" s="174">
        <v>2</v>
      </c>
      <c r="AC47" s="177">
        <v>3.2949999999999999</v>
      </c>
      <c r="AD47" s="177">
        <v>4.01</v>
      </c>
      <c r="AE47" s="178">
        <v>5.3404000000000004E-3</v>
      </c>
      <c r="AF47" s="178">
        <v>5.3404000000000004E-3</v>
      </c>
      <c r="AG47" s="178">
        <v>0</v>
      </c>
      <c r="AH47" s="178">
        <v>5.3404000000000004E-3</v>
      </c>
      <c r="AI47" s="178">
        <v>5.3404000000000004E-3</v>
      </c>
      <c r="AJ47" s="178">
        <v>5.3404000000000004E-3</v>
      </c>
      <c r="AK47" s="178">
        <v>0.87507386401151399</v>
      </c>
      <c r="AL47" s="178">
        <v>0.86055630373567227</v>
      </c>
      <c r="AM47" s="178">
        <v>1.1427685504745471</v>
      </c>
      <c r="AN47" s="178">
        <v>1.1620470232959448</v>
      </c>
      <c r="AO47" s="178">
        <v>7.9993798533218308E-2</v>
      </c>
      <c r="AP47" s="178">
        <v>8.1343291630716144E-2</v>
      </c>
      <c r="AQ47" s="174">
        <v>3</v>
      </c>
      <c r="AR47" s="174">
        <v>3</v>
      </c>
      <c r="AS47" s="177">
        <v>20</v>
      </c>
      <c r="AT47" s="177">
        <v>20</v>
      </c>
      <c r="AU47" s="177">
        <v>2.0640000000000001</v>
      </c>
      <c r="AV47" s="177">
        <v>2.7789999999999999</v>
      </c>
      <c r="AW47" s="177">
        <v>1.2310000000000001</v>
      </c>
      <c r="AX47" s="177">
        <v>1.2310000000000001</v>
      </c>
      <c r="AY47" s="177">
        <v>0</v>
      </c>
      <c r="AZ47" s="177">
        <v>0</v>
      </c>
      <c r="BA47" s="177">
        <v>0</v>
      </c>
      <c r="BB47" s="177">
        <v>0</v>
      </c>
      <c r="BC47" s="177">
        <v>0</v>
      </c>
      <c r="BD47" s="177">
        <v>0</v>
      </c>
      <c r="BE47" s="177">
        <v>39.152000000000001</v>
      </c>
      <c r="BF47" s="177">
        <v>39.866999999999997</v>
      </c>
      <c r="BG47" s="174">
        <v>1</v>
      </c>
      <c r="BH47" s="174"/>
      <c r="BI47" s="174"/>
      <c r="BJ47" s="174"/>
      <c r="BK47" s="174"/>
      <c r="BL47" s="174"/>
      <c r="BM47" s="174"/>
      <c r="BN47" s="174"/>
    </row>
    <row r="48" spans="1:66">
      <c r="A48" s="174">
        <v>10116</v>
      </c>
      <c r="B48" s="174" t="s">
        <v>52</v>
      </c>
      <c r="C48" s="174">
        <v>1</v>
      </c>
      <c r="D48" s="174">
        <v>0</v>
      </c>
      <c r="E48" s="177">
        <v>0.23100000000000001</v>
      </c>
      <c r="F48" s="177">
        <v>0.22700000000000001</v>
      </c>
      <c r="G48" s="177">
        <v>0.22800000000000001</v>
      </c>
      <c r="H48" s="177">
        <v>0</v>
      </c>
      <c r="I48" s="177">
        <v>0</v>
      </c>
      <c r="J48" s="177">
        <v>0</v>
      </c>
      <c r="K48" s="177">
        <v>0</v>
      </c>
      <c r="L48" s="176">
        <v>0</v>
      </c>
      <c r="M48" s="176">
        <v>0</v>
      </c>
      <c r="N48" s="177">
        <v>0.24199999999999999</v>
      </c>
      <c r="O48" s="177">
        <v>0.24299999999999999</v>
      </c>
      <c r="P48" s="176">
        <v>2119.92</v>
      </c>
      <c r="Q48" s="176">
        <v>2128.6799999999998</v>
      </c>
      <c r="R48" s="174">
        <v>0.224</v>
      </c>
      <c r="S48" s="176">
        <v>1962.24</v>
      </c>
      <c r="T48" s="176">
        <v>1962.24</v>
      </c>
      <c r="U48" s="177">
        <v>1.7999999999999999E-2</v>
      </c>
      <c r="V48" s="177">
        <v>1.9E-2</v>
      </c>
      <c r="W48" s="177">
        <v>0</v>
      </c>
      <c r="X48" s="177">
        <v>0</v>
      </c>
      <c r="Y48" s="177">
        <v>1.7999999999999999E-2</v>
      </c>
      <c r="Z48" s="177">
        <v>1.9E-2</v>
      </c>
      <c r="AA48" s="174">
        <v>0</v>
      </c>
      <c r="AB48" s="174">
        <v>0</v>
      </c>
      <c r="AC48" s="177">
        <v>0</v>
      </c>
      <c r="AD48" s="177">
        <v>0</v>
      </c>
      <c r="AE48" s="178">
        <v>3.2299999999999999E-5</v>
      </c>
      <c r="AF48" s="178">
        <v>3.2299999999999999E-5</v>
      </c>
      <c r="AG48" s="178">
        <v>0</v>
      </c>
      <c r="AH48" s="178">
        <v>3.2299999999999999E-5</v>
      </c>
      <c r="AI48" s="178">
        <v>3.2299999999999999E-5</v>
      </c>
      <c r="AJ48" s="178">
        <v>3.2299999999999999E-5</v>
      </c>
      <c r="AK48" s="178">
        <v>0.92693605702479331</v>
      </c>
      <c r="AL48" s="178">
        <v>0.9231215053497942</v>
      </c>
      <c r="AM48" s="178">
        <v>1.0803571428571428</v>
      </c>
      <c r="AN48" s="178">
        <v>1.0848214285714286</v>
      </c>
      <c r="AO48" s="178">
        <v>0</v>
      </c>
      <c r="AP48" s="178">
        <v>0</v>
      </c>
      <c r="AQ48" s="174">
        <v>1</v>
      </c>
      <c r="AR48" s="174">
        <v>1</v>
      </c>
      <c r="AS48" s="177">
        <v>0</v>
      </c>
      <c r="AT48" s="177">
        <v>0</v>
      </c>
      <c r="AU48" s="177">
        <v>0</v>
      </c>
      <c r="AV48" s="177">
        <v>0</v>
      </c>
      <c r="AW48" s="177">
        <v>0</v>
      </c>
      <c r="AX48" s="177">
        <v>0</v>
      </c>
      <c r="AY48" s="177">
        <v>0</v>
      </c>
      <c r="AZ48" s="177">
        <v>0</v>
      </c>
      <c r="BA48" s="177">
        <v>0</v>
      </c>
      <c r="BB48" s="177">
        <v>0</v>
      </c>
      <c r="BC48" s="177">
        <v>0</v>
      </c>
      <c r="BD48" s="177">
        <v>0</v>
      </c>
      <c r="BE48" s="177">
        <v>0.24199999999999999</v>
      </c>
      <c r="BF48" s="177">
        <v>0.24299999999999999</v>
      </c>
      <c r="BG48" s="174">
        <v>0</v>
      </c>
      <c r="BH48" s="174"/>
      <c r="BI48" s="174"/>
      <c r="BJ48" s="174"/>
      <c r="BK48" s="174"/>
      <c r="BL48" s="174"/>
      <c r="BM48" s="174"/>
      <c r="BN48" s="174"/>
    </row>
    <row r="49" spans="1:66">
      <c r="A49" s="181">
        <v>10118</v>
      </c>
      <c r="B49" s="181" t="s">
        <v>53</v>
      </c>
      <c r="C49" s="181">
        <v>0</v>
      </c>
      <c r="D49" s="181">
        <v>1</v>
      </c>
      <c r="E49" s="177">
        <v>46.354999999999997</v>
      </c>
      <c r="F49" s="185">
        <v>48.655999999999999</v>
      </c>
      <c r="G49" s="185">
        <v>48.9</v>
      </c>
      <c r="H49" s="185">
        <v>0</v>
      </c>
      <c r="I49" s="185">
        <v>0</v>
      </c>
      <c r="J49" s="185">
        <v>2.363</v>
      </c>
      <c r="K49" s="185">
        <v>2.363</v>
      </c>
      <c r="L49" s="183">
        <v>20699.88</v>
      </c>
      <c r="M49" s="183">
        <v>20699.88</v>
      </c>
      <c r="N49" s="185">
        <v>46.279000000000003</v>
      </c>
      <c r="O49" s="185">
        <v>46.521999999999998</v>
      </c>
      <c r="P49" s="183">
        <v>405404.04000000004</v>
      </c>
      <c r="Q49" s="183">
        <v>407532.72</v>
      </c>
      <c r="R49" s="181">
        <v>44.941000000000003</v>
      </c>
      <c r="S49" s="183">
        <v>393683.16000000003</v>
      </c>
      <c r="T49" s="183">
        <v>393683.16000000003</v>
      </c>
      <c r="U49" s="185">
        <v>1.3380000000000001</v>
      </c>
      <c r="V49" s="185">
        <v>1.581</v>
      </c>
      <c r="W49" s="177">
        <v>1.3380000000000001</v>
      </c>
      <c r="X49" s="177">
        <v>1.581</v>
      </c>
      <c r="Y49" s="185">
        <v>0</v>
      </c>
      <c r="Z49" s="185">
        <v>0</v>
      </c>
      <c r="AA49" s="181">
        <v>0</v>
      </c>
      <c r="AB49" s="181">
        <v>0</v>
      </c>
      <c r="AC49" s="185">
        <v>1.3380000000000001</v>
      </c>
      <c r="AD49" s="185">
        <v>1.581</v>
      </c>
      <c r="AE49" s="186">
        <v>6.4710999999999996E-3</v>
      </c>
      <c r="AF49" s="186">
        <v>6.4710999999999996E-3</v>
      </c>
      <c r="AG49" s="178">
        <v>0</v>
      </c>
      <c r="AH49" s="186">
        <v>6.4710999999999996E-3</v>
      </c>
      <c r="AI49" s="186">
        <v>6.4710999999999996E-3</v>
      </c>
      <c r="AJ49" s="186">
        <v>6.4710999999999996E-3</v>
      </c>
      <c r="AK49" s="186">
        <v>0.97248865076682678</v>
      </c>
      <c r="AL49" s="186">
        <v>0.96765455560192271</v>
      </c>
      <c r="AM49" s="186">
        <v>1.0297723682161055</v>
      </c>
      <c r="AN49" s="186">
        <v>1.0351794575109587</v>
      </c>
      <c r="AO49" s="186">
        <v>6.6935203934046866E-2</v>
      </c>
      <c r="AP49" s="186">
        <v>6.7286664738212321E-2</v>
      </c>
      <c r="AQ49" s="181">
        <v>6</v>
      </c>
      <c r="AR49" s="181">
        <v>6</v>
      </c>
      <c r="AS49" s="185">
        <v>0</v>
      </c>
      <c r="AT49" s="185">
        <v>0</v>
      </c>
      <c r="AU49" s="177">
        <v>0</v>
      </c>
      <c r="AV49" s="177">
        <v>0</v>
      </c>
      <c r="AW49" s="177">
        <v>0</v>
      </c>
      <c r="AX49" s="177">
        <v>0</v>
      </c>
      <c r="AY49" s="177">
        <v>0</v>
      </c>
      <c r="AZ49" s="177">
        <v>0</v>
      </c>
      <c r="BA49" s="177">
        <v>0</v>
      </c>
      <c r="BB49" s="177">
        <v>0</v>
      </c>
      <c r="BC49" s="177">
        <v>0</v>
      </c>
      <c r="BD49" s="177">
        <v>0</v>
      </c>
      <c r="BE49" s="185">
        <v>44.941000000000003</v>
      </c>
      <c r="BF49" s="185">
        <v>44.941000000000003</v>
      </c>
      <c r="BG49" s="174">
        <v>0</v>
      </c>
      <c r="BH49" s="181"/>
      <c r="BI49" s="181"/>
      <c r="BJ49" s="181"/>
      <c r="BK49" s="181"/>
      <c r="BL49" s="181"/>
      <c r="BM49" s="174"/>
      <c r="BN49" s="174"/>
    </row>
    <row r="50" spans="1:66">
      <c r="A50" s="174">
        <v>10121</v>
      </c>
      <c r="B50" s="174" t="s">
        <v>54</v>
      </c>
      <c r="C50" s="174">
        <v>0</v>
      </c>
      <c r="D50" s="174">
        <v>1</v>
      </c>
      <c r="E50" s="177">
        <v>41.484999999999999</v>
      </c>
      <c r="F50" s="177">
        <v>38.862000000000002</v>
      </c>
      <c r="G50" s="177">
        <v>38.862000000000002</v>
      </c>
      <c r="H50" s="177">
        <v>0</v>
      </c>
      <c r="I50" s="177">
        <v>0</v>
      </c>
      <c r="J50" s="177">
        <v>0</v>
      </c>
      <c r="K50" s="177">
        <v>0</v>
      </c>
      <c r="L50" s="176">
        <v>0</v>
      </c>
      <c r="M50" s="176">
        <v>0</v>
      </c>
      <c r="N50" s="177">
        <v>38.851999999999997</v>
      </c>
      <c r="O50" s="177">
        <v>38.851999999999997</v>
      </c>
      <c r="P50" s="176">
        <v>340343.51999999996</v>
      </c>
      <c r="Q50" s="176">
        <v>340343.51999999996</v>
      </c>
      <c r="R50" s="174">
        <v>40.219000000000001</v>
      </c>
      <c r="S50" s="176">
        <v>352318.44</v>
      </c>
      <c r="T50" s="176">
        <v>352318.44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4">
        <v>0</v>
      </c>
      <c r="AB50" s="174">
        <v>0</v>
      </c>
      <c r="AC50" s="177">
        <v>0</v>
      </c>
      <c r="AD50" s="177">
        <v>0</v>
      </c>
      <c r="AE50" s="178">
        <v>5.5944000000000002E-3</v>
      </c>
      <c r="AF50" s="178">
        <v>5.5944000000000002E-3</v>
      </c>
      <c r="AG50" s="178">
        <v>0</v>
      </c>
      <c r="AH50" s="178">
        <v>5.5944000000000002E-3</v>
      </c>
      <c r="AI50" s="178">
        <v>5.5944000000000002E-3</v>
      </c>
      <c r="AJ50" s="178">
        <v>5.5944000000000002E-3</v>
      </c>
      <c r="AK50" s="178">
        <v>1</v>
      </c>
      <c r="AL50" s="178">
        <v>1</v>
      </c>
      <c r="AM50" s="178">
        <v>1</v>
      </c>
      <c r="AN50" s="178">
        <v>1</v>
      </c>
      <c r="AO50" s="178">
        <v>0.06</v>
      </c>
      <c r="AP50" s="178">
        <v>0.06</v>
      </c>
      <c r="AQ50" s="174">
        <v>6</v>
      </c>
      <c r="AR50" s="174">
        <v>6</v>
      </c>
      <c r="AS50" s="177">
        <v>0</v>
      </c>
      <c r="AT50" s="177">
        <v>0</v>
      </c>
      <c r="AU50" s="177">
        <v>0</v>
      </c>
      <c r="AV50" s="177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38.851999999999997</v>
      </c>
      <c r="BF50" s="177">
        <v>38.851999999999997</v>
      </c>
      <c r="BG50" s="174">
        <v>0</v>
      </c>
      <c r="BH50" s="174"/>
      <c r="BI50" s="174"/>
      <c r="BJ50" s="174"/>
      <c r="BK50" s="174"/>
      <c r="BL50" s="174"/>
      <c r="BM50" s="174"/>
      <c r="BN50" s="174"/>
    </row>
    <row r="51" spans="1:66">
      <c r="A51" s="174">
        <v>10123</v>
      </c>
      <c r="B51" s="174" t="s">
        <v>55</v>
      </c>
      <c r="C51" s="174">
        <v>1</v>
      </c>
      <c r="D51" s="174">
        <v>0</v>
      </c>
      <c r="E51" s="177">
        <v>557.39200000000005</v>
      </c>
      <c r="F51" s="177">
        <v>624.43600000000004</v>
      </c>
      <c r="G51" s="177">
        <v>638.85</v>
      </c>
      <c r="H51" s="177">
        <v>25.001999999999999</v>
      </c>
      <c r="I51" s="177">
        <v>25.001999999999999</v>
      </c>
      <c r="J51" s="177">
        <v>15.718</v>
      </c>
      <c r="K51" s="177">
        <v>15.718</v>
      </c>
      <c r="L51" s="176">
        <v>137689.68</v>
      </c>
      <c r="M51" s="176">
        <v>137689.68</v>
      </c>
      <c r="N51" s="177">
        <v>583.71600000000001</v>
      </c>
      <c r="O51" s="177">
        <v>598.13</v>
      </c>
      <c r="P51" s="176">
        <v>5113352.16</v>
      </c>
      <c r="Q51" s="176">
        <v>5239618.8</v>
      </c>
      <c r="R51" s="174">
        <v>540.38499999999999</v>
      </c>
      <c r="S51" s="176">
        <v>4733772.5999999996</v>
      </c>
      <c r="T51" s="176">
        <v>4733772.5999999996</v>
      </c>
      <c r="U51" s="177">
        <v>43.331000000000003</v>
      </c>
      <c r="V51" s="177">
        <v>57.744999999999997</v>
      </c>
      <c r="W51" s="177">
        <v>43.331000000000003</v>
      </c>
      <c r="X51" s="177">
        <v>57.744999999999997</v>
      </c>
      <c r="Y51" s="177">
        <v>0</v>
      </c>
      <c r="Z51" s="177">
        <v>0</v>
      </c>
      <c r="AA51" s="174">
        <v>0</v>
      </c>
      <c r="AB51" s="174">
        <v>0</v>
      </c>
      <c r="AC51" s="177">
        <v>43.331000000000003</v>
      </c>
      <c r="AD51" s="177">
        <v>57.744999999999997</v>
      </c>
      <c r="AE51" s="178">
        <v>7.7811000000000005E-2</v>
      </c>
      <c r="AF51" s="178">
        <v>7.7811000000000005E-2</v>
      </c>
      <c r="AG51" s="178">
        <v>3.9905299999999998E-2</v>
      </c>
      <c r="AH51" s="178">
        <v>3.7905700000000007E-2</v>
      </c>
      <c r="AI51" s="178">
        <v>3.7905700000000007E-2</v>
      </c>
      <c r="AJ51" s="178">
        <v>3.7905700000000007E-2</v>
      </c>
      <c r="AK51" s="178">
        <v>0.92771416387125172</v>
      </c>
      <c r="AL51" s="178">
        <v>0.90593015226244911</v>
      </c>
      <c r="AM51" s="178">
        <v>1.0801854233555706</v>
      </c>
      <c r="AN51" s="178">
        <v>1.1068589986768693</v>
      </c>
      <c r="AO51" s="178">
        <v>0</v>
      </c>
      <c r="AP51" s="178">
        <v>0</v>
      </c>
      <c r="AQ51" s="174">
        <v>4</v>
      </c>
      <c r="AR51" s="174">
        <v>4</v>
      </c>
      <c r="AS51" s="177">
        <v>0</v>
      </c>
      <c r="AT51" s="177">
        <v>0</v>
      </c>
      <c r="AU51" s="177">
        <v>0</v>
      </c>
      <c r="AV51" s="177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540.38499999999999</v>
      </c>
      <c r="BF51" s="177">
        <v>540.38499999999999</v>
      </c>
      <c r="BG51" s="174">
        <v>0</v>
      </c>
      <c r="BH51" s="174"/>
      <c r="BI51" s="174"/>
      <c r="BJ51" s="174"/>
      <c r="BK51" s="174"/>
      <c r="BL51" s="174"/>
      <c r="BM51" s="174"/>
      <c r="BN51" s="174"/>
    </row>
    <row r="52" spans="1:66">
      <c r="A52" s="174">
        <v>10136</v>
      </c>
      <c r="B52" s="174" t="s">
        <v>56</v>
      </c>
      <c r="C52" s="174">
        <v>0</v>
      </c>
      <c r="D52" s="174">
        <v>1</v>
      </c>
      <c r="E52" s="177">
        <v>18.814</v>
      </c>
      <c r="F52" s="177">
        <v>18.100000000000001</v>
      </c>
      <c r="G52" s="177">
        <v>18.145</v>
      </c>
      <c r="H52" s="177">
        <v>0</v>
      </c>
      <c r="I52" s="177">
        <v>0</v>
      </c>
      <c r="J52" s="177">
        <v>0</v>
      </c>
      <c r="K52" s="177">
        <v>0</v>
      </c>
      <c r="L52" s="176">
        <v>0</v>
      </c>
      <c r="M52" s="176">
        <v>0</v>
      </c>
      <c r="N52" s="177">
        <v>18.114000000000001</v>
      </c>
      <c r="O52" s="177">
        <v>18.158999999999999</v>
      </c>
      <c r="P52" s="176">
        <v>158678.64000000001</v>
      </c>
      <c r="Q52" s="176">
        <v>159072.84</v>
      </c>
      <c r="R52" s="174">
        <v>18.239999999999998</v>
      </c>
      <c r="S52" s="176">
        <v>159782.39999999999</v>
      </c>
      <c r="T52" s="176">
        <v>159782.39999999999</v>
      </c>
      <c r="U52" s="177">
        <v>0</v>
      </c>
      <c r="V52" s="177">
        <v>0</v>
      </c>
      <c r="W52" s="177">
        <v>0</v>
      </c>
      <c r="X52" s="177">
        <v>0</v>
      </c>
      <c r="Y52" s="177">
        <v>0</v>
      </c>
      <c r="Z52" s="177">
        <v>0</v>
      </c>
      <c r="AA52" s="174">
        <v>0</v>
      </c>
      <c r="AB52" s="174">
        <v>0</v>
      </c>
      <c r="AC52" s="177">
        <v>0</v>
      </c>
      <c r="AD52" s="177">
        <v>0</v>
      </c>
      <c r="AE52" s="178">
        <v>2.6083E-3</v>
      </c>
      <c r="AF52" s="178">
        <v>2.6147000000000002E-3</v>
      </c>
      <c r="AG52" s="178">
        <v>0</v>
      </c>
      <c r="AH52" s="178">
        <v>2.6083E-3</v>
      </c>
      <c r="AI52" s="178">
        <v>2.6147000000000002E-3</v>
      </c>
      <c r="AJ52" s="178">
        <v>2.6115000000000001E-3</v>
      </c>
      <c r="AK52" s="178">
        <v>1</v>
      </c>
      <c r="AL52" s="178">
        <v>0.99998286448592988</v>
      </c>
      <c r="AM52" s="178">
        <v>1</v>
      </c>
      <c r="AN52" s="178">
        <v>1</v>
      </c>
      <c r="AO52" s="178">
        <v>7.0000000000000007E-2</v>
      </c>
      <c r="AP52" s="178">
        <v>7.0000000000000007E-2</v>
      </c>
      <c r="AQ52" s="174">
        <v>6</v>
      </c>
      <c r="AR52" s="174">
        <v>6</v>
      </c>
      <c r="AS52" s="177">
        <v>0</v>
      </c>
      <c r="AT52" s="177">
        <v>0</v>
      </c>
      <c r="AU52" s="177">
        <v>0</v>
      </c>
      <c r="AV52" s="177">
        <v>0</v>
      </c>
      <c r="AW52" s="177">
        <v>0</v>
      </c>
      <c r="AX52" s="177">
        <v>0</v>
      </c>
      <c r="AY52" s="177">
        <v>0</v>
      </c>
      <c r="AZ52" s="177">
        <v>0</v>
      </c>
      <c r="BA52" s="177">
        <v>0</v>
      </c>
      <c r="BB52" s="177">
        <v>0</v>
      </c>
      <c r="BC52" s="177">
        <v>0</v>
      </c>
      <c r="BD52" s="177">
        <v>0</v>
      </c>
      <c r="BE52" s="177">
        <v>18.114000000000001</v>
      </c>
      <c r="BF52" s="177">
        <v>18.158999999999999</v>
      </c>
      <c r="BG52" s="174">
        <v>0</v>
      </c>
      <c r="BH52" s="174"/>
      <c r="BI52" s="174"/>
      <c r="BJ52" s="174"/>
      <c r="BK52" s="174"/>
      <c r="BL52" s="174"/>
      <c r="BM52" s="174"/>
      <c r="BN52" s="174"/>
    </row>
    <row r="53" spans="1:66">
      <c r="A53" s="174">
        <v>10142</v>
      </c>
      <c r="B53" s="174" t="s">
        <v>57</v>
      </c>
      <c r="C53" s="174">
        <v>1</v>
      </c>
      <c r="D53" s="174">
        <v>0</v>
      </c>
      <c r="E53" s="177">
        <v>2.7269999999999999</v>
      </c>
      <c r="F53" s="177">
        <v>2.8650000000000002</v>
      </c>
      <c r="G53" s="177">
        <v>2.8959999999999999</v>
      </c>
      <c r="H53" s="177">
        <v>0</v>
      </c>
      <c r="I53" s="177">
        <v>0</v>
      </c>
      <c r="J53" s="177">
        <v>0</v>
      </c>
      <c r="K53" s="177">
        <v>0</v>
      </c>
      <c r="L53" s="176">
        <v>0</v>
      </c>
      <c r="M53" s="176">
        <v>0</v>
      </c>
      <c r="N53" s="177">
        <v>2.8639999999999999</v>
      </c>
      <c r="O53" s="177">
        <v>2.8780000000000001</v>
      </c>
      <c r="P53" s="176">
        <v>25088.639999999999</v>
      </c>
      <c r="Q53" s="176">
        <v>25211.280000000002</v>
      </c>
      <c r="R53" s="174">
        <v>2.6440000000000001</v>
      </c>
      <c r="S53" s="176">
        <v>23161.440000000002</v>
      </c>
      <c r="T53" s="176">
        <v>23161.440000000002</v>
      </c>
      <c r="U53" s="177">
        <v>0.22</v>
      </c>
      <c r="V53" s="177">
        <v>0.23400000000000001</v>
      </c>
      <c r="W53" s="177">
        <v>0</v>
      </c>
      <c r="X53" s="177">
        <v>0</v>
      </c>
      <c r="Y53" s="177">
        <v>0.22</v>
      </c>
      <c r="Z53" s="177">
        <v>0.23400000000000001</v>
      </c>
      <c r="AA53" s="174">
        <v>0</v>
      </c>
      <c r="AB53" s="174">
        <v>0</v>
      </c>
      <c r="AC53" s="177">
        <v>0</v>
      </c>
      <c r="AD53" s="177">
        <v>0</v>
      </c>
      <c r="AE53" s="178">
        <v>3.8069999999999998E-4</v>
      </c>
      <c r="AF53" s="178">
        <v>3.8069999999999998E-4</v>
      </c>
      <c r="AG53" s="178">
        <v>0</v>
      </c>
      <c r="AH53" s="178">
        <v>3.8069999999999998E-4</v>
      </c>
      <c r="AI53" s="178">
        <v>3.8069999999999998E-4</v>
      </c>
      <c r="AJ53" s="178">
        <v>3.8069999999999998E-4</v>
      </c>
      <c r="AK53" s="178">
        <v>0.92315044420391046</v>
      </c>
      <c r="AL53" s="178">
        <v>0.91865978881167454</v>
      </c>
      <c r="AM53" s="178">
        <v>1.0832072617246595</v>
      </c>
      <c r="AN53" s="178">
        <v>1.0885022692889561</v>
      </c>
      <c r="AO53" s="178">
        <v>3.2496217851739791E-2</v>
      </c>
      <c r="AP53" s="178">
        <v>3.2655068078668685E-2</v>
      </c>
      <c r="AQ53" s="174">
        <v>1</v>
      </c>
      <c r="AR53" s="174">
        <v>1</v>
      </c>
      <c r="AS53" s="177">
        <v>0</v>
      </c>
      <c r="AT53" s="177">
        <v>0</v>
      </c>
      <c r="AU53" s="177">
        <v>0</v>
      </c>
      <c r="AV53" s="177">
        <v>0</v>
      </c>
      <c r="AW53" s="177">
        <v>0</v>
      </c>
      <c r="AX53" s="177">
        <v>0</v>
      </c>
      <c r="AY53" s="177">
        <v>0</v>
      </c>
      <c r="AZ53" s="177">
        <v>0</v>
      </c>
      <c r="BA53" s="177">
        <v>0</v>
      </c>
      <c r="BB53" s="177">
        <v>0</v>
      </c>
      <c r="BC53" s="177">
        <v>0</v>
      </c>
      <c r="BD53" s="177">
        <v>0</v>
      </c>
      <c r="BE53" s="177">
        <v>2.8639999999999999</v>
      </c>
      <c r="BF53" s="177">
        <v>2.8780000000000001</v>
      </c>
      <c r="BG53" s="174">
        <v>0</v>
      </c>
      <c r="BH53" s="174"/>
      <c r="BI53" s="174"/>
      <c r="BJ53" s="174"/>
      <c r="BK53" s="174"/>
      <c r="BL53" s="174"/>
      <c r="BM53" s="174"/>
      <c r="BN53" s="174"/>
    </row>
    <row r="54" spans="1:66">
      <c r="A54" s="174">
        <v>10144</v>
      </c>
      <c r="B54" s="174" t="s">
        <v>58</v>
      </c>
      <c r="C54" s="174">
        <v>1</v>
      </c>
      <c r="D54" s="174">
        <v>0</v>
      </c>
      <c r="E54" s="177">
        <v>3.4180000000000001</v>
      </c>
      <c r="F54" s="177">
        <v>3.2629999999999999</v>
      </c>
      <c r="G54" s="177">
        <v>3.2690000000000001</v>
      </c>
      <c r="H54" s="177">
        <v>0</v>
      </c>
      <c r="I54" s="177">
        <v>0</v>
      </c>
      <c r="J54" s="177">
        <v>0</v>
      </c>
      <c r="K54" s="177">
        <v>0</v>
      </c>
      <c r="L54" s="176">
        <v>0</v>
      </c>
      <c r="M54" s="176">
        <v>0</v>
      </c>
      <c r="N54" s="177">
        <v>3.2629999999999999</v>
      </c>
      <c r="O54" s="177">
        <v>3.2690000000000001</v>
      </c>
      <c r="P54" s="176">
        <v>28583.879999999997</v>
      </c>
      <c r="Q54" s="176">
        <v>28636.440000000002</v>
      </c>
      <c r="R54" s="174">
        <v>3.3140000000000001</v>
      </c>
      <c r="S54" s="176">
        <v>29030.639999999999</v>
      </c>
      <c r="T54" s="176">
        <v>29030.639999999999</v>
      </c>
      <c r="U54" s="177">
        <v>0</v>
      </c>
      <c r="V54" s="177">
        <v>0</v>
      </c>
      <c r="W54" s="177">
        <v>0</v>
      </c>
      <c r="X54" s="177">
        <v>0</v>
      </c>
      <c r="Y54" s="177">
        <v>0</v>
      </c>
      <c r="Z54" s="177">
        <v>0</v>
      </c>
      <c r="AA54" s="174">
        <v>0</v>
      </c>
      <c r="AB54" s="174">
        <v>0</v>
      </c>
      <c r="AC54" s="177">
        <v>0</v>
      </c>
      <c r="AD54" s="177">
        <v>0</v>
      </c>
      <c r="AE54" s="178">
        <v>4.6979999999999998E-4</v>
      </c>
      <c r="AF54" s="178">
        <v>4.707E-4</v>
      </c>
      <c r="AG54" s="178">
        <v>0</v>
      </c>
      <c r="AH54" s="178">
        <v>4.6979999999999998E-4</v>
      </c>
      <c r="AI54" s="178">
        <v>4.707E-4</v>
      </c>
      <c r="AJ54" s="178">
        <v>4.7024999999999996E-4</v>
      </c>
      <c r="AK54" s="178">
        <v>0.99990458191847975</v>
      </c>
      <c r="AL54" s="178">
        <v>0.99998134359131219</v>
      </c>
      <c r="AM54" s="178">
        <v>1</v>
      </c>
      <c r="AN54" s="178">
        <v>1</v>
      </c>
      <c r="AO54" s="178">
        <v>0</v>
      </c>
      <c r="AP54" s="178">
        <v>0</v>
      </c>
      <c r="AQ54" s="174">
        <v>1</v>
      </c>
      <c r="AR54" s="174">
        <v>1</v>
      </c>
      <c r="AS54" s="177">
        <v>0</v>
      </c>
      <c r="AT54" s="177">
        <v>0</v>
      </c>
      <c r="AU54" s="177">
        <v>0</v>
      </c>
      <c r="AV54" s="177">
        <v>0</v>
      </c>
      <c r="AW54" s="177">
        <v>0</v>
      </c>
      <c r="AX54" s="177">
        <v>0</v>
      </c>
      <c r="AY54" s="177">
        <v>0</v>
      </c>
      <c r="AZ54" s="177">
        <v>0</v>
      </c>
      <c r="BA54" s="177">
        <v>0</v>
      </c>
      <c r="BB54" s="177">
        <v>0</v>
      </c>
      <c r="BC54" s="177">
        <v>0</v>
      </c>
      <c r="BD54" s="177">
        <v>0</v>
      </c>
      <c r="BE54" s="177">
        <v>3.2629999999999999</v>
      </c>
      <c r="BF54" s="177">
        <v>3.2690000000000001</v>
      </c>
      <c r="BG54" s="174">
        <v>0</v>
      </c>
      <c r="BH54" s="174"/>
      <c r="BI54" s="174"/>
      <c r="BJ54" s="174"/>
      <c r="BK54" s="174"/>
      <c r="BL54" s="174"/>
      <c r="BM54" s="174"/>
      <c r="BN54" s="174"/>
    </row>
    <row r="55" spans="1:66">
      <c r="A55" s="174">
        <v>10156</v>
      </c>
      <c r="B55" s="174" t="s">
        <v>59</v>
      </c>
      <c r="C55" s="174">
        <v>1</v>
      </c>
      <c r="D55" s="174">
        <v>0</v>
      </c>
      <c r="E55" s="177">
        <v>32.719000000000001</v>
      </c>
      <c r="F55" s="177">
        <v>31.623000000000001</v>
      </c>
      <c r="G55" s="177">
        <v>31.885999999999999</v>
      </c>
      <c r="H55" s="177">
        <v>0</v>
      </c>
      <c r="I55" s="177">
        <v>0</v>
      </c>
      <c r="J55" s="177">
        <v>0</v>
      </c>
      <c r="K55" s="177">
        <v>0</v>
      </c>
      <c r="L55" s="176">
        <v>0</v>
      </c>
      <c r="M55" s="176">
        <v>0</v>
      </c>
      <c r="N55" s="177">
        <v>31.623000000000001</v>
      </c>
      <c r="O55" s="177">
        <v>31.885999999999999</v>
      </c>
      <c r="P55" s="176">
        <v>277017.48</v>
      </c>
      <c r="Q55" s="176">
        <v>279321.36</v>
      </c>
      <c r="R55" s="174">
        <v>31.721</v>
      </c>
      <c r="S55" s="176">
        <v>277875.96000000002</v>
      </c>
      <c r="T55" s="176">
        <v>277875.96000000002</v>
      </c>
      <c r="U55" s="177">
        <v>0</v>
      </c>
      <c r="V55" s="177">
        <v>0.16500000000000001</v>
      </c>
      <c r="W55" s="177">
        <v>0</v>
      </c>
      <c r="X55" s="177">
        <v>0</v>
      </c>
      <c r="Y55" s="177">
        <v>0</v>
      </c>
      <c r="Z55" s="177">
        <v>0.16500000000000001</v>
      </c>
      <c r="AA55" s="174">
        <v>0</v>
      </c>
      <c r="AB55" s="174">
        <v>0</v>
      </c>
      <c r="AC55" s="177">
        <v>0</v>
      </c>
      <c r="AD55" s="177">
        <v>0</v>
      </c>
      <c r="AE55" s="178">
        <v>4.5534E-3</v>
      </c>
      <c r="AF55" s="178">
        <v>4.5675999999999998E-3</v>
      </c>
      <c r="AG55" s="178">
        <v>0</v>
      </c>
      <c r="AH55" s="178">
        <v>4.5534E-3</v>
      </c>
      <c r="AI55" s="178">
        <v>4.5675999999999998E-3</v>
      </c>
      <c r="AJ55" s="178">
        <v>4.5605000000000003E-3</v>
      </c>
      <c r="AK55" s="178">
        <v>0.99998930450621371</v>
      </c>
      <c r="AL55" s="178">
        <v>0.994834052236091</v>
      </c>
      <c r="AM55" s="178">
        <v>1</v>
      </c>
      <c r="AN55" s="178">
        <v>1.0052016014627534</v>
      </c>
      <c r="AO55" s="178">
        <v>0</v>
      </c>
      <c r="AP55" s="178">
        <v>0</v>
      </c>
      <c r="AQ55" s="174">
        <v>1</v>
      </c>
      <c r="AR55" s="174">
        <v>1</v>
      </c>
      <c r="AS55" s="177">
        <v>0</v>
      </c>
      <c r="AT55" s="177">
        <v>0</v>
      </c>
      <c r="AU55" s="177">
        <v>0</v>
      </c>
      <c r="AV55" s="177">
        <v>0</v>
      </c>
      <c r="AW55" s="177">
        <v>0</v>
      </c>
      <c r="AX55" s="177">
        <v>0</v>
      </c>
      <c r="AY55" s="177">
        <v>0</v>
      </c>
      <c r="AZ55" s="177">
        <v>0</v>
      </c>
      <c r="BA55" s="177">
        <v>0</v>
      </c>
      <c r="BB55" s="177">
        <v>0</v>
      </c>
      <c r="BC55" s="177">
        <v>0</v>
      </c>
      <c r="BD55" s="177">
        <v>0</v>
      </c>
      <c r="BE55" s="177">
        <v>31.623000000000001</v>
      </c>
      <c r="BF55" s="177">
        <v>31.885999999999999</v>
      </c>
      <c r="BG55" s="174">
        <v>1</v>
      </c>
      <c r="BH55" s="174"/>
      <c r="BI55" s="174"/>
      <c r="BJ55" s="174"/>
      <c r="BK55" s="174"/>
      <c r="BL55" s="174"/>
      <c r="BM55" s="174"/>
      <c r="BN55" s="174"/>
    </row>
    <row r="56" spans="1:66">
      <c r="A56" s="174">
        <v>10157</v>
      </c>
      <c r="B56" s="174" t="s">
        <v>60</v>
      </c>
      <c r="C56" s="174">
        <v>1</v>
      </c>
      <c r="D56" s="174">
        <v>0</v>
      </c>
      <c r="E56" s="177">
        <v>50.703000000000003</v>
      </c>
      <c r="F56" s="177">
        <v>91.608999999999995</v>
      </c>
      <c r="G56" s="177">
        <v>92.052000000000007</v>
      </c>
      <c r="H56" s="177">
        <v>37.749000000000002</v>
      </c>
      <c r="I56" s="177">
        <v>37.749000000000002</v>
      </c>
      <c r="J56" s="177">
        <v>2.5489999999999999</v>
      </c>
      <c r="K56" s="177">
        <v>2.5489999999999999</v>
      </c>
      <c r="L56" s="176">
        <v>22329.239999999998</v>
      </c>
      <c r="M56" s="176">
        <v>22329.239999999998</v>
      </c>
      <c r="N56" s="177">
        <v>51.311</v>
      </c>
      <c r="O56" s="177">
        <v>51.753999999999998</v>
      </c>
      <c r="P56" s="176">
        <v>449484.36</v>
      </c>
      <c r="Q56" s="176">
        <v>453365.04</v>
      </c>
      <c r="R56" s="174">
        <v>49.155999999999999</v>
      </c>
      <c r="S56" s="176">
        <v>430606.56</v>
      </c>
      <c r="T56" s="176">
        <v>430606.56</v>
      </c>
      <c r="U56" s="177">
        <v>1.2050000000000001</v>
      </c>
      <c r="V56" s="177">
        <v>1.6479999999999999</v>
      </c>
      <c r="W56" s="177">
        <v>1.2050000000000001</v>
      </c>
      <c r="X56" s="177">
        <v>1.6479999999999999</v>
      </c>
      <c r="Y56" s="177">
        <v>0</v>
      </c>
      <c r="Z56" s="177">
        <v>0</v>
      </c>
      <c r="AA56" s="174">
        <v>0</v>
      </c>
      <c r="AB56" s="174">
        <v>0</v>
      </c>
      <c r="AC56" s="177">
        <v>1.2050000000000001</v>
      </c>
      <c r="AD56" s="177">
        <v>1.6479999999999999</v>
      </c>
      <c r="AE56" s="178">
        <v>7.0781000000000004E-3</v>
      </c>
      <c r="AF56" s="178">
        <v>7.0781000000000004E-3</v>
      </c>
      <c r="AG56" s="178">
        <v>3.7000000000000002E-3</v>
      </c>
      <c r="AH56" s="178">
        <v>3.3781000000000002E-3</v>
      </c>
      <c r="AI56" s="178">
        <v>3.3781000000000002E-3</v>
      </c>
      <c r="AJ56" s="178">
        <v>3.3781000000000002E-3</v>
      </c>
      <c r="AK56" s="178">
        <v>0.97723142076356073</v>
      </c>
      <c r="AL56" s="178">
        <v>0.96911728436264122</v>
      </c>
      <c r="AM56" s="178">
        <v>1.0438400195296607</v>
      </c>
      <c r="AN56" s="178">
        <v>1.0528521441939946</v>
      </c>
      <c r="AO56" s="433">
        <v>817847</v>
      </c>
      <c r="AP56" s="433">
        <v>817847</v>
      </c>
      <c r="AQ56" s="174">
        <v>4</v>
      </c>
      <c r="AR56" s="174">
        <v>4</v>
      </c>
      <c r="AS56" s="177">
        <v>0</v>
      </c>
      <c r="AT56" s="177">
        <v>0</v>
      </c>
      <c r="AU56" s="177">
        <v>0</v>
      </c>
      <c r="AV56" s="177">
        <v>0</v>
      </c>
      <c r="AW56" s="177">
        <v>0</v>
      </c>
      <c r="AX56" s="177">
        <v>0</v>
      </c>
      <c r="AY56" s="177">
        <v>0</v>
      </c>
      <c r="AZ56" s="177">
        <v>0</v>
      </c>
      <c r="BA56" s="177">
        <v>0</v>
      </c>
      <c r="BB56" s="177">
        <v>0</v>
      </c>
      <c r="BC56" s="177">
        <v>0</v>
      </c>
      <c r="BD56" s="177">
        <v>0</v>
      </c>
      <c r="BE56" s="177">
        <v>49.155999999999999</v>
      </c>
      <c r="BF56" s="177">
        <v>49.155999999999999</v>
      </c>
      <c r="BG56" s="174">
        <v>0</v>
      </c>
      <c r="BH56" s="174"/>
      <c r="BI56" s="174"/>
      <c r="BJ56" s="174"/>
      <c r="BK56" s="174"/>
      <c r="BL56" s="174"/>
      <c r="BM56" s="174"/>
      <c r="BN56" s="174"/>
    </row>
    <row r="57" spans="1:66">
      <c r="A57" s="174">
        <v>10158</v>
      </c>
      <c r="B57" s="174" t="s">
        <v>61</v>
      </c>
      <c r="C57" s="174">
        <v>1</v>
      </c>
      <c r="D57" s="174">
        <v>0</v>
      </c>
      <c r="E57" s="177">
        <v>2.8330000000000002</v>
      </c>
      <c r="F57" s="177">
        <v>2.4140000000000001</v>
      </c>
      <c r="G57" s="177">
        <v>2.4140000000000001</v>
      </c>
      <c r="H57" s="177">
        <v>0</v>
      </c>
      <c r="I57" s="177">
        <v>0</v>
      </c>
      <c r="J57" s="177">
        <v>0</v>
      </c>
      <c r="K57" s="177">
        <v>0</v>
      </c>
      <c r="L57" s="176">
        <v>0</v>
      </c>
      <c r="M57" s="176">
        <v>0</v>
      </c>
      <c r="N57" s="177">
        <v>2.637</v>
      </c>
      <c r="O57" s="177">
        <v>2.637</v>
      </c>
      <c r="P57" s="176">
        <v>23100.12</v>
      </c>
      <c r="Q57" s="176">
        <v>23100.12</v>
      </c>
      <c r="R57" s="174">
        <v>2.7469999999999999</v>
      </c>
      <c r="S57" s="176">
        <v>24063.719999999998</v>
      </c>
      <c r="T57" s="176">
        <v>24063.719999999998</v>
      </c>
      <c r="U57" s="177">
        <v>0</v>
      </c>
      <c r="V57" s="177">
        <v>0</v>
      </c>
      <c r="W57" s="177">
        <v>0</v>
      </c>
      <c r="X57" s="177">
        <v>0</v>
      </c>
      <c r="Y57" s="177">
        <v>0</v>
      </c>
      <c r="Z57" s="177">
        <v>0</v>
      </c>
      <c r="AA57" s="174">
        <v>0</v>
      </c>
      <c r="AB57" s="174">
        <v>0</v>
      </c>
      <c r="AC57" s="177">
        <v>0</v>
      </c>
      <c r="AD57" s="177">
        <v>0</v>
      </c>
      <c r="AE57" s="178">
        <v>3.7970000000000001E-4</v>
      </c>
      <c r="AF57" s="178">
        <v>3.7970000000000001E-4</v>
      </c>
      <c r="AG57" s="178">
        <v>0</v>
      </c>
      <c r="AH57" s="178">
        <v>3.7970000000000001E-4</v>
      </c>
      <c r="AI57" s="178">
        <v>3.7970000000000001E-4</v>
      </c>
      <c r="AJ57" s="178">
        <v>3.7970000000000001E-4</v>
      </c>
      <c r="AK57" s="178">
        <v>0.99998408274554407</v>
      </c>
      <c r="AL57" s="178">
        <v>0.99998408274554407</v>
      </c>
      <c r="AM57" s="178">
        <v>1</v>
      </c>
      <c r="AN57" s="178">
        <v>1</v>
      </c>
      <c r="AO57" s="178">
        <v>0</v>
      </c>
      <c r="AP57" s="178">
        <v>0</v>
      </c>
      <c r="AQ57" s="174">
        <v>1</v>
      </c>
      <c r="AR57" s="174">
        <v>1</v>
      </c>
      <c r="AS57" s="177">
        <v>0</v>
      </c>
      <c r="AT57" s="177">
        <v>0</v>
      </c>
      <c r="AU57" s="177">
        <v>0</v>
      </c>
      <c r="AV57" s="177">
        <v>0</v>
      </c>
      <c r="AW57" s="177">
        <v>0</v>
      </c>
      <c r="AX57" s="177">
        <v>0</v>
      </c>
      <c r="AY57" s="177">
        <v>0</v>
      </c>
      <c r="AZ57" s="177">
        <v>0</v>
      </c>
      <c r="BA57" s="177">
        <v>0</v>
      </c>
      <c r="BB57" s="177">
        <v>0</v>
      </c>
      <c r="BC57" s="177">
        <v>0</v>
      </c>
      <c r="BD57" s="177">
        <v>0</v>
      </c>
      <c r="BE57" s="177">
        <v>2.637</v>
      </c>
      <c r="BF57" s="177">
        <v>2.637</v>
      </c>
      <c r="BG57" s="174">
        <v>0</v>
      </c>
      <c r="BH57" s="174"/>
      <c r="BI57" s="174"/>
      <c r="BJ57" s="174"/>
      <c r="BK57" s="174"/>
      <c r="BL57" s="174"/>
      <c r="BM57" s="174"/>
      <c r="BN57" s="174"/>
    </row>
    <row r="58" spans="1:66">
      <c r="A58" s="174">
        <v>10170</v>
      </c>
      <c r="B58" s="174" t="s">
        <v>62</v>
      </c>
      <c r="C58" s="174">
        <v>1</v>
      </c>
      <c r="D58" s="174">
        <v>0</v>
      </c>
      <c r="E58" s="177">
        <v>254.84299999999999</v>
      </c>
      <c r="F58" s="177">
        <v>280.47199999999998</v>
      </c>
      <c r="G58" s="177">
        <v>280.95800000000003</v>
      </c>
      <c r="H58" s="177">
        <v>1</v>
      </c>
      <c r="I58" s="177">
        <v>1</v>
      </c>
      <c r="J58" s="177">
        <v>42.387999999999998</v>
      </c>
      <c r="K58" s="177">
        <v>42.387999999999998</v>
      </c>
      <c r="L58" s="176">
        <v>371318.88</v>
      </c>
      <c r="M58" s="176">
        <v>371318.88</v>
      </c>
      <c r="N58" s="177">
        <v>237.084</v>
      </c>
      <c r="O58" s="177">
        <v>237.57</v>
      </c>
      <c r="P58" s="176">
        <v>2076855.84</v>
      </c>
      <c r="Q58" s="176">
        <v>2081113.2</v>
      </c>
      <c r="R58" s="174">
        <v>247.06700000000001</v>
      </c>
      <c r="S58" s="176">
        <v>2164306.92</v>
      </c>
      <c r="T58" s="176">
        <v>2164306.92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4">
        <v>0</v>
      </c>
      <c r="AB58" s="174">
        <v>0</v>
      </c>
      <c r="AC58" s="177">
        <v>0</v>
      </c>
      <c r="AD58" s="177">
        <v>0</v>
      </c>
      <c r="AE58" s="178">
        <v>3.4138099999999998E-2</v>
      </c>
      <c r="AF58" s="178">
        <v>3.4208099999999998E-2</v>
      </c>
      <c r="AG58" s="178">
        <v>1.7943199999999999E-2</v>
      </c>
      <c r="AH58" s="178">
        <v>1.6194899999999998E-2</v>
      </c>
      <c r="AI58" s="178">
        <v>1.6264899999999999E-2</v>
      </c>
      <c r="AJ58" s="178">
        <v>1.6229899999999998E-2</v>
      </c>
      <c r="AK58" s="178">
        <v>0.99999945337135732</v>
      </c>
      <c r="AL58" s="178">
        <v>0.99999995160916977</v>
      </c>
      <c r="AM58" s="178">
        <v>1</v>
      </c>
      <c r="AN58" s="178">
        <v>1</v>
      </c>
      <c r="AO58" s="178">
        <v>0</v>
      </c>
      <c r="AP58" s="178">
        <v>0</v>
      </c>
      <c r="AQ58" s="174">
        <v>4</v>
      </c>
      <c r="AR58" s="174">
        <v>4</v>
      </c>
      <c r="AS58" s="177">
        <v>0</v>
      </c>
      <c r="AT58" s="177">
        <v>0</v>
      </c>
      <c r="AU58" s="177">
        <v>0</v>
      </c>
      <c r="AV58" s="177">
        <v>0</v>
      </c>
      <c r="AW58" s="177">
        <v>0</v>
      </c>
      <c r="AX58" s="177">
        <v>0</v>
      </c>
      <c r="AY58" s="177">
        <v>0</v>
      </c>
      <c r="AZ58" s="177">
        <v>0</v>
      </c>
      <c r="BA58" s="177">
        <v>0</v>
      </c>
      <c r="BB58" s="177">
        <v>0</v>
      </c>
      <c r="BC58" s="177">
        <v>0</v>
      </c>
      <c r="BD58" s="177">
        <v>0</v>
      </c>
      <c r="BE58" s="177">
        <v>237.084</v>
      </c>
      <c r="BF58" s="177">
        <v>237.57</v>
      </c>
      <c r="BG58" s="174">
        <v>0</v>
      </c>
      <c r="BH58" s="174"/>
      <c r="BI58" s="174"/>
      <c r="BJ58" s="174"/>
      <c r="BK58" s="174"/>
      <c r="BL58" s="174"/>
      <c r="BM58" s="174"/>
      <c r="BN58" s="174"/>
    </row>
    <row r="59" spans="1:66">
      <c r="A59" s="174">
        <v>10172</v>
      </c>
      <c r="B59" s="174" t="s">
        <v>63</v>
      </c>
      <c r="C59" s="174">
        <v>1</v>
      </c>
      <c r="D59" s="174">
        <v>0</v>
      </c>
      <c r="E59" s="177">
        <v>6.1929999999999996</v>
      </c>
      <c r="F59" s="177">
        <v>5.45</v>
      </c>
      <c r="G59" s="177">
        <v>5.4640000000000004</v>
      </c>
      <c r="H59" s="177">
        <v>0</v>
      </c>
      <c r="I59" s="177">
        <v>0</v>
      </c>
      <c r="J59" s="177">
        <v>0</v>
      </c>
      <c r="K59" s="177">
        <v>0</v>
      </c>
      <c r="L59" s="176">
        <v>0</v>
      </c>
      <c r="M59" s="176">
        <v>0</v>
      </c>
      <c r="N59" s="177">
        <v>5.5229999999999997</v>
      </c>
      <c r="O59" s="177">
        <v>5.5510000000000002</v>
      </c>
      <c r="P59" s="176">
        <v>48381.479999999996</v>
      </c>
      <c r="Q59" s="176">
        <v>48626.76</v>
      </c>
      <c r="R59" s="174">
        <v>6.0039999999999996</v>
      </c>
      <c r="S59" s="176">
        <v>52595.039999999994</v>
      </c>
      <c r="T59" s="176">
        <v>52595.039999999994</v>
      </c>
      <c r="U59" s="177">
        <v>0</v>
      </c>
      <c r="V59" s="177">
        <v>0</v>
      </c>
      <c r="W59" s="177">
        <v>0</v>
      </c>
      <c r="X59" s="177">
        <v>0</v>
      </c>
      <c r="Y59" s="177">
        <v>0</v>
      </c>
      <c r="Z59" s="177">
        <v>0</v>
      </c>
      <c r="AA59" s="174">
        <v>0</v>
      </c>
      <c r="AB59" s="174">
        <v>0</v>
      </c>
      <c r="AC59" s="177">
        <v>0</v>
      </c>
      <c r="AD59" s="177">
        <v>0</v>
      </c>
      <c r="AE59" s="178">
        <v>7.9529999999999998E-4</v>
      </c>
      <c r="AF59" s="178">
        <v>7.9929999999999997E-4</v>
      </c>
      <c r="AG59" s="178">
        <v>0</v>
      </c>
      <c r="AH59" s="178">
        <v>7.9529999999999998E-4</v>
      </c>
      <c r="AI59" s="178">
        <v>7.9929999999999997E-4</v>
      </c>
      <c r="AJ59" s="178">
        <v>7.9729999999999992E-4</v>
      </c>
      <c r="AK59" s="178">
        <v>1</v>
      </c>
      <c r="AL59" s="178">
        <v>1</v>
      </c>
      <c r="AM59" s="178">
        <v>1</v>
      </c>
      <c r="AN59" s="178">
        <v>1</v>
      </c>
      <c r="AO59" s="178">
        <v>0</v>
      </c>
      <c r="AP59" s="178">
        <v>0</v>
      </c>
      <c r="AQ59" s="174">
        <v>1</v>
      </c>
      <c r="AR59" s="174">
        <v>1</v>
      </c>
      <c r="AS59" s="177">
        <v>0</v>
      </c>
      <c r="AT59" s="177">
        <v>0</v>
      </c>
      <c r="AU59" s="177">
        <v>0</v>
      </c>
      <c r="AV59" s="177">
        <v>0</v>
      </c>
      <c r="AW59" s="177">
        <v>0</v>
      </c>
      <c r="AX59" s="177">
        <v>0</v>
      </c>
      <c r="AY59" s="177">
        <v>0</v>
      </c>
      <c r="AZ59" s="177">
        <v>0</v>
      </c>
      <c r="BA59" s="177">
        <v>0</v>
      </c>
      <c r="BB59" s="177">
        <v>0</v>
      </c>
      <c r="BC59" s="177">
        <v>0</v>
      </c>
      <c r="BD59" s="177">
        <v>0</v>
      </c>
      <c r="BE59" s="177">
        <v>5.5229999999999997</v>
      </c>
      <c r="BF59" s="177">
        <v>5.5510000000000002</v>
      </c>
      <c r="BG59" s="174">
        <v>0</v>
      </c>
      <c r="BH59" s="174"/>
      <c r="BI59" s="174"/>
      <c r="BJ59" s="174"/>
      <c r="BK59" s="174"/>
      <c r="BL59" s="174"/>
      <c r="BM59" s="174"/>
      <c r="BN59" s="174"/>
    </row>
    <row r="60" spans="1:66">
      <c r="A60" s="174">
        <v>10173</v>
      </c>
      <c r="B60" s="174" t="s">
        <v>64</v>
      </c>
      <c r="C60" s="174">
        <v>0</v>
      </c>
      <c r="D60" s="174">
        <v>1</v>
      </c>
      <c r="E60" s="177">
        <v>33.624000000000002</v>
      </c>
      <c r="F60" s="177">
        <v>37.125</v>
      </c>
      <c r="G60" s="177">
        <v>37.499000000000002</v>
      </c>
      <c r="H60" s="177">
        <v>0</v>
      </c>
      <c r="I60" s="177">
        <v>0</v>
      </c>
      <c r="J60" s="177">
        <v>2.0939999999999999</v>
      </c>
      <c r="K60" s="177">
        <v>2.0939999999999999</v>
      </c>
      <c r="L60" s="176">
        <v>18343.439999999999</v>
      </c>
      <c r="M60" s="176">
        <v>18343.439999999999</v>
      </c>
      <c r="N60" s="177">
        <v>35.030999999999999</v>
      </c>
      <c r="O60" s="177">
        <v>35.405000000000001</v>
      </c>
      <c r="P60" s="176">
        <v>306871.56</v>
      </c>
      <c r="Q60" s="176">
        <v>310147.8</v>
      </c>
      <c r="R60" s="174">
        <v>32.597999999999999</v>
      </c>
      <c r="S60" s="176">
        <v>285558.48</v>
      </c>
      <c r="T60" s="176">
        <v>285558.48</v>
      </c>
      <c r="U60" s="177">
        <v>2.4329999999999998</v>
      </c>
      <c r="V60" s="177">
        <v>2.8069999999999999</v>
      </c>
      <c r="W60" s="177">
        <v>2.4329999999999998</v>
      </c>
      <c r="X60" s="177">
        <v>2.8069999999999999</v>
      </c>
      <c r="Y60" s="177">
        <v>0</v>
      </c>
      <c r="Z60" s="177">
        <v>0</v>
      </c>
      <c r="AA60" s="174">
        <v>0</v>
      </c>
      <c r="AB60" s="174">
        <v>0</v>
      </c>
      <c r="AC60" s="177">
        <v>2.4329999999999998</v>
      </c>
      <c r="AD60" s="177">
        <v>2.8069999999999999</v>
      </c>
      <c r="AE60" s="178">
        <v>4.6937999999999997E-3</v>
      </c>
      <c r="AF60" s="178">
        <v>4.6937999999999997E-3</v>
      </c>
      <c r="AG60" s="178">
        <v>0</v>
      </c>
      <c r="AH60" s="178">
        <v>4.6937999999999997E-3</v>
      </c>
      <c r="AI60" s="178">
        <v>4.6937999999999997E-3</v>
      </c>
      <c r="AJ60" s="178">
        <v>4.6937999999999997E-3</v>
      </c>
      <c r="AK60" s="178">
        <v>0.93445705467474749</v>
      </c>
      <c r="AL60" s="178">
        <v>0.92513715445211864</v>
      </c>
      <c r="AM60" s="178">
        <v>1.0746364807656912</v>
      </c>
      <c r="AN60" s="178">
        <v>1.0861095772746796</v>
      </c>
      <c r="AO60" s="178">
        <v>7.5224553653598383E-2</v>
      </c>
      <c r="AP60" s="178">
        <v>7.6027670409227574E-2</v>
      </c>
      <c r="AQ60" s="174">
        <v>6</v>
      </c>
      <c r="AR60" s="174">
        <v>6</v>
      </c>
      <c r="AS60" s="177">
        <v>0</v>
      </c>
      <c r="AT60" s="177">
        <v>0</v>
      </c>
      <c r="AU60" s="177">
        <v>0</v>
      </c>
      <c r="AV60" s="177">
        <v>0</v>
      </c>
      <c r="AW60" s="177">
        <v>0</v>
      </c>
      <c r="AX60" s="177">
        <v>0</v>
      </c>
      <c r="AY60" s="177">
        <v>0</v>
      </c>
      <c r="AZ60" s="177">
        <v>0</v>
      </c>
      <c r="BA60" s="177">
        <v>0</v>
      </c>
      <c r="BB60" s="177">
        <v>0</v>
      </c>
      <c r="BC60" s="177">
        <v>0</v>
      </c>
      <c r="BD60" s="177">
        <v>0</v>
      </c>
      <c r="BE60" s="177">
        <v>32.597999999999999</v>
      </c>
      <c r="BF60" s="177">
        <v>32.597999999999999</v>
      </c>
      <c r="BG60" s="174">
        <v>0</v>
      </c>
      <c r="BH60" s="174"/>
      <c r="BI60" s="174"/>
      <c r="BJ60" s="174"/>
      <c r="BK60" s="174"/>
      <c r="BL60" s="174"/>
      <c r="BM60" s="174"/>
      <c r="BN60" s="174"/>
    </row>
    <row r="61" spans="1:66">
      <c r="A61" s="174">
        <v>10174</v>
      </c>
      <c r="B61" s="174" t="s">
        <v>65</v>
      </c>
      <c r="C61" s="174">
        <v>1</v>
      </c>
      <c r="D61" s="174">
        <v>0</v>
      </c>
      <c r="E61" s="177">
        <v>0.51500000000000001</v>
      </c>
      <c r="F61" s="177">
        <v>0.496</v>
      </c>
      <c r="G61" s="177">
        <v>0.496</v>
      </c>
      <c r="H61" s="177">
        <v>0</v>
      </c>
      <c r="I61" s="177">
        <v>0</v>
      </c>
      <c r="J61" s="177">
        <v>0</v>
      </c>
      <c r="K61" s="177">
        <v>0</v>
      </c>
      <c r="L61" s="176">
        <v>0</v>
      </c>
      <c r="M61" s="176">
        <v>0</v>
      </c>
      <c r="N61" s="177">
        <v>0.499</v>
      </c>
      <c r="O61" s="177">
        <v>0.499</v>
      </c>
      <c r="P61" s="176">
        <v>4371.24</v>
      </c>
      <c r="Q61" s="176">
        <v>4371.24</v>
      </c>
      <c r="R61" s="174">
        <v>0.499</v>
      </c>
      <c r="S61" s="176">
        <v>4371.24</v>
      </c>
      <c r="T61" s="176">
        <v>4371.24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4">
        <v>0</v>
      </c>
      <c r="AB61" s="174">
        <v>0</v>
      </c>
      <c r="AC61" s="177">
        <v>0</v>
      </c>
      <c r="AD61" s="177">
        <v>0</v>
      </c>
      <c r="AE61" s="178">
        <v>7.1899999999999999E-5</v>
      </c>
      <c r="AF61" s="178">
        <v>7.1899999999999999E-5</v>
      </c>
      <c r="AG61" s="178">
        <v>0</v>
      </c>
      <c r="AH61" s="178">
        <v>7.1899999999999999E-5</v>
      </c>
      <c r="AI61" s="178">
        <v>7.1899999999999999E-5</v>
      </c>
      <c r="AJ61" s="178">
        <v>7.1899999999999999E-5</v>
      </c>
      <c r="AK61" s="178">
        <v>1</v>
      </c>
      <c r="AL61" s="178">
        <v>1</v>
      </c>
      <c r="AM61" s="178">
        <v>1</v>
      </c>
      <c r="AN61" s="178">
        <v>1</v>
      </c>
      <c r="AO61" s="178">
        <v>0</v>
      </c>
      <c r="AP61" s="178">
        <v>0</v>
      </c>
      <c r="AQ61" s="174">
        <v>1</v>
      </c>
      <c r="AR61" s="174">
        <v>1</v>
      </c>
      <c r="AS61" s="177">
        <v>0</v>
      </c>
      <c r="AT61" s="177">
        <v>0</v>
      </c>
      <c r="AU61" s="177">
        <v>0</v>
      </c>
      <c r="AV61" s="177">
        <v>0</v>
      </c>
      <c r="AW61" s="177">
        <v>0</v>
      </c>
      <c r="AX61" s="177">
        <v>0</v>
      </c>
      <c r="AY61" s="177">
        <v>0</v>
      </c>
      <c r="AZ61" s="177">
        <v>0</v>
      </c>
      <c r="BA61" s="177">
        <v>0</v>
      </c>
      <c r="BB61" s="177">
        <v>0</v>
      </c>
      <c r="BC61" s="177">
        <v>0</v>
      </c>
      <c r="BD61" s="177">
        <v>0</v>
      </c>
      <c r="BE61" s="177">
        <v>0.499</v>
      </c>
      <c r="BF61" s="177">
        <v>0.499</v>
      </c>
      <c r="BG61" s="174">
        <v>0</v>
      </c>
      <c r="BH61" s="174"/>
      <c r="BI61" s="174"/>
      <c r="BJ61" s="174"/>
      <c r="BK61" s="174"/>
      <c r="BL61" s="174"/>
      <c r="BM61" s="174"/>
      <c r="BN61" s="174"/>
    </row>
    <row r="62" spans="1:66">
      <c r="A62" s="174">
        <v>10177</v>
      </c>
      <c r="B62" s="174" t="s">
        <v>66</v>
      </c>
      <c r="C62" s="174">
        <v>1</v>
      </c>
      <c r="D62" s="174">
        <v>0</v>
      </c>
      <c r="E62" s="177">
        <v>11.839</v>
      </c>
      <c r="F62" s="177">
        <v>9.7089999999999996</v>
      </c>
      <c r="G62" s="177">
        <v>9.3780000000000001</v>
      </c>
      <c r="H62" s="177">
        <v>0</v>
      </c>
      <c r="I62" s="177">
        <v>0</v>
      </c>
      <c r="J62" s="177">
        <v>0</v>
      </c>
      <c r="K62" s="177">
        <v>0</v>
      </c>
      <c r="L62" s="176">
        <v>0</v>
      </c>
      <c r="M62" s="176">
        <v>0</v>
      </c>
      <c r="N62" s="177">
        <v>9.8800000000000008</v>
      </c>
      <c r="O62" s="177">
        <v>9.5129999999999999</v>
      </c>
      <c r="P62" s="176">
        <v>86548.800000000003</v>
      </c>
      <c r="Q62" s="176">
        <v>83333.88</v>
      </c>
      <c r="R62" s="174">
        <v>11.478</v>
      </c>
      <c r="S62" s="176">
        <v>100547.28</v>
      </c>
      <c r="T62" s="176">
        <v>100547.28</v>
      </c>
      <c r="U62" s="177">
        <v>0</v>
      </c>
      <c r="V62" s="177">
        <v>0</v>
      </c>
      <c r="W62" s="177">
        <v>0</v>
      </c>
      <c r="X62" s="177">
        <v>0</v>
      </c>
      <c r="Y62" s="177">
        <v>0</v>
      </c>
      <c r="Z62" s="177">
        <v>0</v>
      </c>
      <c r="AA62" s="174">
        <v>0</v>
      </c>
      <c r="AB62" s="174">
        <v>0</v>
      </c>
      <c r="AC62" s="177">
        <v>0</v>
      </c>
      <c r="AD62" s="177">
        <v>0</v>
      </c>
      <c r="AE62" s="178">
        <v>1.4226E-3</v>
      </c>
      <c r="AF62" s="178">
        <v>1.3698E-3</v>
      </c>
      <c r="AG62" s="178">
        <v>0</v>
      </c>
      <c r="AH62" s="178">
        <v>1.4226E-3</v>
      </c>
      <c r="AI62" s="178">
        <v>1.3698E-3</v>
      </c>
      <c r="AJ62" s="178">
        <v>1.3962E-3</v>
      </c>
      <c r="AK62" s="178">
        <v>0.99997347364372469</v>
      </c>
      <c r="AL62" s="178">
        <v>1</v>
      </c>
      <c r="AM62" s="178">
        <v>1</v>
      </c>
      <c r="AN62" s="178">
        <v>1</v>
      </c>
      <c r="AO62" s="178">
        <v>7.0000000000000007E-2</v>
      </c>
      <c r="AP62" s="178">
        <v>7.0000000000000007E-2</v>
      </c>
      <c r="AQ62" s="174">
        <v>1</v>
      </c>
      <c r="AR62" s="174">
        <v>1</v>
      </c>
      <c r="AS62" s="177">
        <v>0</v>
      </c>
      <c r="AT62" s="177">
        <v>0</v>
      </c>
      <c r="AU62" s="177">
        <v>0</v>
      </c>
      <c r="AV62" s="177">
        <v>0</v>
      </c>
      <c r="AW62" s="177">
        <v>0</v>
      </c>
      <c r="AX62" s="177">
        <v>0</v>
      </c>
      <c r="AY62" s="177">
        <v>0</v>
      </c>
      <c r="AZ62" s="177">
        <v>0</v>
      </c>
      <c r="BA62" s="177">
        <v>0</v>
      </c>
      <c r="BB62" s="177">
        <v>0</v>
      </c>
      <c r="BC62" s="177">
        <v>0</v>
      </c>
      <c r="BD62" s="177">
        <v>0</v>
      </c>
      <c r="BE62" s="177">
        <v>9.8800000000000008</v>
      </c>
      <c r="BF62" s="177">
        <v>9.5129999999999999</v>
      </c>
      <c r="BG62" s="174">
        <v>1</v>
      </c>
      <c r="BH62" s="174"/>
      <c r="BI62" s="174"/>
      <c r="BJ62" s="174"/>
      <c r="BK62" s="174"/>
      <c r="BL62" s="174"/>
      <c r="BM62" s="174"/>
      <c r="BN62" s="174"/>
    </row>
    <row r="63" spans="1:66">
      <c r="A63" s="174">
        <v>10179</v>
      </c>
      <c r="B63" s="174" t="s">
        <v>67</v>
      </c>
      <c r="C63" s="174">
        <v>1</v>
      </c>
      <c r="D63" s="174">
        <v>0</v>
      </c>
      <c r="E63" s="177">
        <v>169.31100000000001</v>
      </c>
      <c r="F63" s="177">
        <v>177.55099999999999</v>
      </c>
      <c r="G63" s="177">
        <v>179.548</v>
      </c>
      <c r="H63" s="177">
        <v>0</v>
      </c>
      <c r="I63" s="177">
        <v>0</v>
      </c>
      <c r="J63" s="177">
        <v>6.8840000000000003</v>
      </c>
      <c r="K63" s="177">
        <v>5.3719999999999999</v>
      </c>
      <c r="L63" s="176">
        <v>60303.840000000004</v>
      </c>
      <c r="M63" s="176">
        <v>47058.720000000001</v>
      </c>
      <c r="N63" s="177">
        <v>173.745</v>
      </c>
      <c r="O63" s="177">
        <v>177.46</v>
      </c>
      <c r="P63" s="176">
        <v>1522006.2</v>
      </c>
      <c r="Q63" s="176">
        <v>1554549.6</v>
      </c>
      <c r="R63" s="174">
        <v>164.14500000000001</v>
      </c>
      <c r="S63" s="176">
        <v>1437910.2000000002</v>
      </c>
      <c r="T63" s="176">
        <v>1437910.2000000002</v>
      </c>
      <c r="U63" s="177">
        <v>9.6</v>
      </c>
      <c r="V63" s="177">
        <v>13.315</v>
      </c>
      <c r="W63" s="177">
        <v>9.6</v>
      </c>
      <c r="X63" s="177">
        <v>13.315</v>
      </c>
      <c r="Y63" s="177">
        <v>0</v>
      </c>
      <c r="Z63" s="177">
        <v>0</v>
      </c>
      <c r="AA63" s="174">
        <v>0</v>
      </c>
      <c r="AB63" s="174">
        <v>0</v>
      </c>
      <c r="AC63" s="177">
        <v>9.6</v>
      </c>
      <c r="AD63" s="177">
        <v>13.315</v>
      </c>
      <c r="AE63" s="178">
        <v>2.36355E-2</v>
      </c>
      <c r="AF63" s="178">
        <v>2.36355E-2</v>
      </c>
      <c r="AG63" s="178">
        <v>0</v>
      </c>
      <c r="AH63" s="178">
        <v>2.36355E-2</v>
      </c>
      <c r="AI63" s="178">
        <v>2.36355E-2</v>
      </c>
      <c r="AJ63" s="178">
        <v>2.36355E-2</v>
      </c>
      <c r="AK63" s="178">
        <v>0.94685187668093174</v>
      </c>
      <c r="AL63" s="178">
        <v>0.92717307491576983</v>
      </c>
      <c r="AM63" s="178">
        <v>1.0584848761765513</v>
      </c>
      <c r="AN63" s="178">
        <v>1.0811173048219562</v>
      </c>
      <c r="AO63" s="178">
        <v>0</v>
      </c>
      <c r="AP63" s="178">
        <v>0</v>
      </c>
      <c r="AQ63" s="174">
        <v>3</v>
      </c>
      <c r="AR63" s="174">
        <v>3</v>
      </c>
      <c r="AS63" s="177">
        <v>3.577</v>
      </c>
      <c r="AT63" s="177">
        <v>3.577</v>
      </c>
      <c r="AU63" s="177">
        <v>6.0229999999999997</v>
      </c>
      <c r="AV63" s="177">
        <v>9.7379999999999995</v>
      </c>
      <c r="AW63" s="177">
        <v>3.577</v>
      </c>
      <c r="AX63" s="177">
        <v>3.577</v>
      </c>
      <c r="AY63" s="177">
        <v>0</v>
      </c>
      <c r="AZ63" s="177">
        <v>0</v>
      </c>
      <c r="BA63" s="177">
        <v>0</v>
      </c>
      <c r="BB63" s="177">
        <v>0</v>
      </c>
      <c r="BC63" s="177">
        <v>0</v>
      </c>
      <c r="BD63" s="177">
        <v>0</v>
      </c>
      <c r="BE63" s="177">
        <v>170.16800000000001</v>
      </c>
      <c r="BF63" s="177">
        <v>173.88300000000001</v>
      </c>
      <c r="BG63" s="174">
        <v>0</v>
      </c>
      <c r="BH63" s="174"/>
      <c r="BI63" s="174"/>
      <c r="BJ63" s="174"/>
      <c r="BK63" s="174"/>
      <c r="BL63" s="174"/>
      <c r="BM63" s="174"/>
      <c r="BN63" s="174"/>
    </row>
    <row r="64" spans="1:66">
      <c r="A64" s="174">
        <v>10183</v>
      </c>
      <c r="B64" s="174" t="s">
        <v>68</v>
      </c>
      <c r="C64" s="174">
        <v>1</v>
      </c>
      <c r="D64" s="174">
        <v>0</v>
      </c>
      <c r="E64" s="177">
        <v>119.102</v>
      </c>
      <c r="F64" s="177">
        <v>126.88</v>
      </c>
      <c r="G64" s="177">
        <v>127.974</v>
      </c>
      <c r="H64" s="177">
        <v>0</v>
      </c>
      <c r="I64" s="177">
        <v>0</v>
      </c>
      <c r="J64" s="177">
        <v>0.68899999999999995</v>
      </c>
      <c r="K64" s="177">
        <v>0.68899999999999995</v>
      </c>
      <c r="L64" s="176">
        <v>6035.6399999999994</v>
      </c>
      <c r="M64" s="176">
        <v>6035.6399999999994</v>
      </c>
      <c r="N64" s="177">
        <v>126.191</v>
      </c>
      <c r="O64" s="177">
        <v>127.285</v>
      </c>
      <c r="P64" s="176">
        <v>1105433.1599999999</v>
      </c>
      <c r="Q64" s="176">
        <v>1115016.5999999999</v>
      </c>
      <c r="R64" s="174">
        <v>115.468</v>
      </c>
      <c r="S64" s="176">
        <v>1011499.68</v>
      </c>
      <c r="T64" s="176">
        <v>1011499.68</v>
      </c>
      <c r="U64" s="177">
        <v>10.723000000000001</v>
      </c>
      <c r="V64" s="177">
        <v>11.817</v>
      </c>
      <c r="W64" s="177">
        <v>10.723000000000001</v>
      </c>
      <c r="X64" s="177">
        <v>11.817</v>
      </c>
      <c r="Y64" s="177">
        <v>0</v>
      </c>
      <c r="Z64" s="177">
        <v>0</v>
      </c>
      <c r="AA64" s="174">
        <v>0</v>
      </c>
      <c r="AB64" s="174">
        <v>0</v>
      </c>
      <c r="AC64" s="177">
        <v>10.723000000000001</v>
      </c>
      <c r="AD64" s="177">
        <v>11.817</v>
      </c>
      <c r="AE64" s="178">
        <v>1.66264E-2</v>
      </c>
      <c r="AF64" s="178">
        <v>1.66264E-2</v>
      </c>
      <c r="AG64" s="178">
        <v>7.7936999999999998E-3</v>
      </c>
      <c r="AH64" s="178">
        <v>8.8326999999999989E-3</v>
      </c>
      <c r="AI64" s="178">
        <v>8.8326999999999989E-3</v>
      </c>
      <c r="AJ64" s="178">
        <v>8.8326999999999989E-3</v>
      </c>
      <c r="AK64" s="178">
        <v>0.91548539986128619</v>
      </c>
      <c r="AL64" s="178">
        <v>0.90765927090190179</v>
      </c>
      <c r="AM64" s="178">
        <v>1.0928655558249905</v>
      </c>
      <c r="AN64" s="178">
        <v>1.1023400422627914</v>
      </c>
      <c r="AO64" s="178">
        <v>0</v>
      </c>
      <c r="AP64" s="178">
        <v>0</v>
      </c>
      <c r="AQ64" s="174">
        <v>4</v>
      </c>
      <c r="AR64" s="174">
        <v>4</v>
      </c>
      <c r="AS64" s="177">
        <v>0</v>
      </c>
      <c r="AT64" s="177">
        <v>0</v>
      </c>
      <c r="AU64" s="177">
        <v>0</v>
      </c>
      <c r="AV64" s="177">
        <v>0</v>
      </c>
      <c r="AW64" s="177">
        <v>0</v>
      </c>
      <c r="AX64" s="177">
        <v>0</v>
      </c>
      <c r="AY64" s="177">
        <v>0</v>
      </c>
      <c r="AZ64" s="177">
        <v>0</v>
      </c>
      <c r="BA64" s="177">
        <v>0</v>
      </c>
      <c r="BB64" s="177">
        <v>0</v>
      </c>
      <c r="BC64" s="177">
        <v>0</v>
      </c>
      <c r="BD64" s="177">
        <v>0</v>
      </c>
      <c r="BE64" s="177">
        <v>115.468</v>
      </c>
      <c r="BF64" s="177">
        <v>115.468</v>
      </c>
      <c r="BG64" s="174">
        <v>0</v>
      </c>
      <c r="BH64" s="174"/>
      <c r="BI64" s="174"/>
      <c r="BJ64" s="174"/>
      <c r="BK64" s="174"/>
      <c r="BL64" s="174"/>
      <c r="BM64" s="174"/>
      <c r="BN64" s="174"/>
    </row>
    <row r="65" spans="1:66">
      <c r="A65" s="174">
        <v>10186</v>
      </c>
      <c r="B65" s="174" t="s">
        <v>69</v>
      </c>
      <c r="C65" s="174">
        <v>1</v>
      </c>
      <c r="D65" s="174">
        <v>0</v>
      </c>
      <c r="E65" s="177">
        <v>21.635000000000002</v>
      </c>
      <c r="F65" s="177">
        <v>21.643000000000001</v>
      </c>
      <c r="G65" s="177">
        <v>21.751000000000001</v>
      </c>
      <c r="H65" s="177">
        <v>0</v>
      </c>
      <c r="I65" s="177">
        <v>0</v>
      </c>
      <c r="J65" s="177">
        <v>3.3159999999999998</v>
      </c>
      <c r="K65" s="177">
        <v>3.3159999999999998</v>
      </c>
      <c r="L65" s="176">
        <v>29048.16</v>
      </c>
      <c r="M65" s="176">
        <v>29048.16</v>
      </c>
      <c r="N65" s="177">
        <v>18.327000000000002</v>
      </c>
      <c r="O65" s="177">
        <v>18.434999999999999</v>
      </c>
      <c r="P65" s="176">
        <v>160544.52000000002</v>
      </c>
      <c r="Q65" s="176">
        <v>161490.59999999998</v>
      </c>
      <c r="R65" s="174">
        <v>20.975000000000001</v>
      </c>
      <c r="S65" s="176">
        <v>183741</v>
      </c>
      <c r="T65" s="176">
        <v>183741</v>
      </c>
      <c r="U65" s="177">
        <v>0.66800000000000004</v>
      </c>
      <c r="V65" s="177">
        <v>0.77600000000000002</v>
      </c>
      <c r="W65" s="177">
        <v>0</v>
      </c>
      <c r="X65" s="177">
        <v>0</v>
      </c>
      <c r="Y65" s="177">
        <v>0.66800000000000004</v>
      </c>
      <c r="Z65" s="177">
        <v>0.77600000000000002</v>
      </c>
      <c r="AA65" s="174">
        <v>0</v>
      </c>
      <c r="AB65" s="174">
        <v>0</v>
      </c>
      <c r="AC65" s="177">
        <v>0</v>
      </c>
      <c r="AD65" s="177">
        <v>0</v>
      </c>
      <c r="AE65" s="178">
        <v>2.6389E-3</v>
      </c>
      <c r="AF65" s="178">
        <v>2.6545000000000002E-3</v>
      </c>
      <c r="AG65" s="178">
        <v>0</v>
      </c>
      <c r="AH65" s="178">
        <v>2.6389E-3</v>
      </c>
      <c r="AI65" s="178">
        <v>2.6545000000000002E-3</v>
      </c>
      <c r="AJ65" s="178">
        <v>2.6467000000000001E-3</v>
      </c>
      <c r="AK65" s="178">
        <v>0.96912738017834843</v>
      </c>
      <c r="AL65" s="178">
        <v>0.96431538270424322</v>
      </c>
      <c r="AM65" s="178">
        <v>1</v>
      </c>
      <c r="AN65" s="178">
        <v>1</v>
      </c>
      <c r="AO65" s="178">
        <v>7.0000000000000007E-2</v>
      </c>
      <c r="AP65" s="178">
        <v>7.0000000000000007E-2</v>
      </c>
      <c r="AQ65" s="174">
        <v>1</v>
      </c>
      <c r="AR65" s="174">
        <v>1</v>
      </c>
      <c r="AS65" s="177">
        <v>0</v>
      </c>
      <c r="AT65" s="177">
        <v>0</v>
      </c>
      <c r="AU65" s="177">
        <v>0</v>
      </c>
      <c r="AV65" s="177">
        <v>0</v>
      </c>
      <c r="AW65" s="177">
        <v>0</v>
      </c>
      <c r="AX65" s="177">
        <v>0</v>
      </c>
      <c r="AY65" s="177">
        <v>0</v>
      </c>
      <c r="AZ65" s="177">
        <v>0</v>
      </c>
      <c r="BA65" s="177">
        <v>0</v>
      </c>
      <c r="BB65" s="177">
        <v>0</v>
      </c>
      <c r="BC65" s="177">
        <v>0</v>
      </c>
      <c r="BD65" s="177">
        <v>0</v>
      </c>
      <c r="BE65" s="177">
        <v>18.995000000000001</v>
      </c>
      <c r="BF65" s="177">
        <v>19.210999999999999</v>
      </c>
      <c r="BG65" s="174">
        <v>1</v>
      </c>
      <c r="BH65" s="174"/>
      <c r="BI65" s="174"/>
      <c r="BJ65" s="174"/>
      <c r="BK65" s="174"/>
      <c r="BL65" s="174"/>
      <c r="BM65" s="174"/>
      <c r="BN65" s="174"/>
    </row>
    <row r="66" spans="1:66">
      <c r="A66" s="174">
        <v>10190</v>
      </c>
      <c r="B66" s="174" t="s">
        <v>70</v>
      </c>
      <c r="C66" s="174">
        <v>1</v>
      </c>
      <c r="D66" s="174">
        <v>0</v>
      </c>
      <c r="E66" s="177">
        <v>5.2690000000000001</v>
      </c>
      <c r="F66" s="177">
        <v>5.4930000000000003</v>
      </c>
      <c r="G66" s="177">
        <v>5.5270000000000001</v>
      </c>
      <c r="H66" s="177">
        <v>0</v>
      </c>
      <c r="I66" s="177">
        <v>0</v>
      </c>
      <c r="J66" s="177">
        <v>0</v>
      </c>
      <c r="K66" s="177">
        <v>0</v>
      </c>
      <c r="L66" s="176">
        <v>0</v>
      </c>
      <c r="M66" s="176">
        <v>0</v>
      </c>
      <c r="N66" s="177">
        <v>5.367</v>
      </c>
      <c r="O66" s="177">
        <v>5.3840000000000003</v>
      </c>
      <c r="P66" s="176">
        <v>47014.92</v>
      </c>
      <c r="Q66" s="176">
        <v>47163.840000000004</v>
      </c>
      <c r="R66" s="174">
        <v>5.1079999999999997</v>
      </c>
      <c r="S66" s="176">
        <v>44746.079999999994</v>
      </c>
      <c r="T66" s="176">
        <v>44746.079999999994</v>
      </c>
      <c r="U66" s="177">
        <v>0.25900000000000001</v>
      </c>
      <c r="V66" s="177">
        <v>0.27600000000000002</v>
      </c>
      <c r="W66" s="177">
        <v>0</v>
      </c>
      <c r="X66" s="177">
        <v>0</v>
      </c>
      <c r="Y66" s="177">
        <v>0.25900000000000001</v>
      </c>
      <c r="Z66" s="177">
        <v>0.27600000000000002</v>
      </c>
      <c r="AA66" s="174">
        <v>0</v>
      </c>
      <c r="AB66" s="174">
        <v>0</v>
      </c>
      <c r="AC66" s="177">
        <v>0</v>
      </c>
      <c r="AD66" s="177">
        <v>0</v>
      </c>
      <c r="AE66" s="178">
        <v>7.3550000000000004E-4</v>
      </c>
      <c r="AF66" s="178">
        <v>7.3550000000000004E-4</v>
      </c>
      <c r="AG66" s="178">
        <v>0</v>
      </c>
      <c r="AH66" s="178">
        <v>7.3550000000000004E-4</v>
      </c>
      <c r="AI66" s="178">
        <v>7.3550000000000004E-4</v>
      </c>
      <c r="AJ66" s="178">
        <v>7.3550000000000004E-4</v>
      </c>
      <c r="AK66" s="178">
        <v>0.95172987385876651</v>
      </c>
      <c r="AL66" s="178">
        <v>0.94872478324665666</v>
      </c>
      <c r="AM66" s="178">
        <v>1.0507047768206734</v>
      </c>
      <c r="AN66" s="178">
        <v>1.0540328895849649</v>
      </c>
      <c r="AO66" s="178">
        <v>0</v>
      </c>
      <c r="AP66" s="178">
        <v>0</v>
      </c>
      <c r="AQ66" s="174">
        <v>1</v>
      </c>
      <c r="AR66" s="174">
        <v>1</v>
      </c>
      <c r="AS66" s="177">
        <v>0</v>
      </c>
      <c r="AT66" s="177">
        <v>0</v>
      </c>
      <c r="AU66" s="177">
        <v>0</v>
      </c>
      <c r="AV66" s="177">
        <v>0</v>
      </c>
      <c r="AW66" s="177">
        <v>0</v>
      </c>
      <c r="AX66" s="177">
        <v>0</v>
      </c>
      <c r="AY66" s="177">
        <v>0</v>
      </c>
      <c r="AZ66" s="177">
        <v>0</v>
      </c>
      <c r="BA66" s="177">
        <v>0</v>
      </c>
      <c r="BB66" s="177">
        <v>0</v>
      </c>
      <c r="BC66" s="177">
        <v>0</v>
      </c>
      <c r="BD66" s="177">
        <v>0</v>
      </c>
      <c r="BE66" s="177">
        <v>5.367</v>
      </c>
      <c r="BF66" s="177">
        <v>5.3840000000000003</v>
      </c>
      <c r="BG66" s="174">
        <v>1</v>
      </c>
      <c r="BH66" s="174"/>
      <c r="BI66" s="174"/>
      <c r="BJ66" s="174"/>
      <c r="BK66" s="174"/>
      <c r="BL66" s="174"/>
      <c r="BM66" s="174"/>
      <c r="BN66" s="174"/>
    </row>
    <row r="67" spans="1:66">
      <c r="A67" s="174">
        <v>10191</v>
      </c>
      <c r="B67" s="174" t="s">
        <v>71</v>
      </c>
      <c r="C67" s="174">
        <v>1</v>
      </c>
      <c r="D67" s="174">
        <v>0</v>
      </c>
      <c r="E67" s="177">
        <v>133.17400000000001</v>
      </c>
      <c r="F67" s="177">
        <v>127.92100000000001</v>
      </c>
      <c r="G67" s="177">
        <v>127.89100000000001</v>
      </c>
      <c r="H67" s="177">
        <v>0</v>
      </c>
      <c r="I67" s="177">
        <v>0</v>
      </c>
      <c r="J67" s="177">
        <v>0</v>
      </c>
      <c r="K67" s="177">
        <v>0</v>
      </c>
      <c r="L67" s="176">
        <v>0</v>
      </c>
      <c r="M67" s="176">
        <v>0</v>
      </c>
      <c r="N67" s="177">
        <v>127.92100000000001</v>
      </c>
      <c r="O67" s="177">
        <v>127.89100000000001</v>
      </c>
      <c r="P67" s="176">
        <v>1120587.96</v>
      </c>
      <c r="Q67" s="176">
        <v>1120325.1600000001</v>
      </c>
      <c r="R67" s="174">
        <v>129.11099999999999</v>
      </c>
      <c r="S67" s="176">
        <v>1131012.3599999999</v>
      </c>
      <c r="T67" s="176">
        <v>1131012.3599999999</v>
      </c>
      <c r="U67" s="177">
        <v>3.8119999999999998</v>
      </c>
      <c r="V67" s="177">
        <v>5.202</v>
      </c>
      <c r="W67" s="177">
        <v>3.8119999999999998</v>
      </c>
      <c r="X67" s="177">
        <v>5.202</v>
      </c>
      <c r="Y67" s="177">
        <v>0</v>
      </c>
      <c r="Z67" s="177">
        <v>0</v>
      </c>
      <c r="AA67" s="174">
        <v>0</v>
      </c>
      <c r="AB67" s="174">
        <v>0</v>
      </c>
      <c r="AC67" s="177">
        <v>3.8119999999999998</v>
      </c>
      <c r="AD67" s="177">
        <v>5.202</v>
      </c>
      <c r="AE67" s="178">
        <v>1.8419600000000001E-2</v>
      </c>
      <c r="AF67" s="178">
        <v>1.84152E-2</v>
      </c>
      <c r="AG67" s="178">
        <v>9.6877999999999999E-3</v>
      </c>
      <c r="AH67" s="178">
        <v>8.7318000000000014E-3</v>
      </c>
      <c r="AI67" s="178">
        <v>8.7273999999999997E-3</v>
      </c>
      <c r="AJ67" s="178">
        <v>8.7296000000000006E-3</v>
      </c>
      <c r="AK67" s="178">
        <v>0.97132127247654654</v>
      </c>
      <c r="AL67" s="178">
        <v>0.9612691065004878</v>
      </c>
      <c r="AM67" s="178">
        <v>1</v>
      </c>
      <c r="AN67" s="178">
        <v>1</v>
      </c>
      <c r="AO67" s="178">
        <v>0</v>
      </c>
      <c r="AP67" s="178">
        <v>0</v>
      </c>
      <c r="AQ67" s="174">
        <v>4</v>
      </c>
      <c r="AR67" s="174">
        <v>4</v>
      </c>
      <c r="AS67" s="177">
        <v>0</v>
      </c>
      <c r="AT67" s="177">
        <v>0</v>
      </c>
      <c r="AU67" s="177">
        <v>0</v>
      </c>
      <c r="AV67" s="177">
        <v>0</v>
      </c>
      <c r="AW67" s="177">
        <v>0</v>
      </c>
      <c r="AX67" s="177">
        <v>0</v>
      </c>
      <c r="AY67" s="177">
        <v>0</v>
      </c>
      <c r="AZ67" s="177">
        <v>0</v>
      </c>
      <c r="BA67" s="177">
        <v>0</v>
      </c>
      <c r="BB67" s="177">
        <v>0</v>
      </c>
      <c r="BC67" s="177">
        <v>0</v>
      </c>
      <c r="BD67" s="177">
        <v>0</v>
      </c>
      <c r="BE67" s="177">
        <v>127.92100000000001</v>
      </c>
      <c r="BF67" s="177">
        <v>127.89100000000001</v>
      </c>
      <c r="BG67" s="174">
        <v>0</v>
      </c>
      <c r="BH67" s="174"/>
      <c r="BI67" s="174"/>
      <c r="BJ67" s="174"/>
      <c r="BK67" s="174"/>
      <c r="BL67" s="174"/>
      <c r="BM67" s="174"/>
      <c r="BN67" s="174"/>
    </row>
    <row r="68" spans="1:66">
      <c r="A68" s="174">
        <v>10197</v>
      </c>
      <c r="B68" s="174" t="s">
        <v>72</v>
      </c>
      <c r="C68" s="174">
        <v>1</v>
      </c>
      <c r="D68" s="174">
        <v>0</v>
      </c>
      <c r="E68" s="177">
        <v>23.091999999999999</v>
      </c>
      <c r="F68" s="177">
        <v>27.175999999999998</v>
      </c>
      <c r="G68" s="177">
        <v>27.175999999999998</v>
      </c>
      <c r="H68" s="177">
        <v>0</v>
      </c>
      <c r="I68" s="177">
        <v>0</v>
      </c>
      <c r="J68" s="177">
        <v>0</v>
      </c>
      <c r="K68" s="177">
        <v>0</v>
      </c>
      <c r="L68" s="176">
        <v>0</v>
      </c>
      <c r="M68" s="176">
        <v>0</v>
      </c>
      <c r="N68" s="177">
        <v>22.989000000000001</v>
      </c>
      <c r="O68" s="177">
        <v>22.989000000000001</v>
      </c>
      <c r="P68" s="176">
        <v>201383.64</v>
      </c>
      <c r="Q68" s="176">
        <v>201383.64</v>
      </c>
      <c r="R68" s="174">
        <v>22.387</v>
      </c>
      <c r="S68" s="176">
        <v>196110.12</v>
      </c>
      <c r="T68" s="176">
        <v>196110.12</v>
      </c>
      <c r="U68" s="177">
        <v>0.60199999999999998</v>
      </c>
      <c r="V68" s="177">
        <v>0.60199999999999998</v>
      </c>
      <c r="W68" s="177">
        <v>0</v>
      </c>
      <c r="X68" s="177">
        <v>0</v>
      </c>
      <c r="Y68" s="177">
        <v>0.60199999999999998</v>
      </c>
      <c r="Z68" s="177">
        <v>0.60199999999999998</v>
      </c>
      <c r="AA68" s="174">
        <v>0</v>
      </c>
      <c r="AB68" s="174">
        <v>0</v>
      </c>
      <c r="AC68" s="177">
        <v>0</v>
      </c>
      <c r="AD68" s="177">
        <v>0</v>
      </c>
      <c r="AE68" s="178">
        <v>3.2234999999999998E-3</v>
      </c>
      <c r="AF68" s="178">
        <v>3.2234999999999998E-3</v>
      </c>
      <c r="AG68" s="178">
        <v>0</v>
      </c>
      <c r="AH68" s="178">
        <v>3.2234999999999998E-3</v>
      </c>
      <c r="AI68" s="178">
        <v>3.2234999999999998E-3</v>
      </c>
      <c r="AJ68" s="178">
        <v>3.2234999999999998E-3</v>
      </c>
      <c r="AK68" s="178">
        <v>0.97380099530210085</v>
      </c>
      <c r="AL68" s="178">
        <v>0.97380099530210085</v>
      </c>
      <c r="AM68" s="178">
        <v>1.026890606155358</v>
      </c>
      <c r="AN68" s="178">
        <v>1.026890606155358</v>
      </c>
      <c r="AO68" s="178">
        <v>7.188234243087506E-2</v>
      </c>
      <c r="AP68" s="178">
        <v>7.188234243087506E-2</v>
      </c>
      <c r="AQ68" s="174">
        <v>1</v>
      </c>
      <c r="AR68" s="174">
        <v>1</v>
      </c>
      <c r="AS68" s="177">
        <v>0</v>
      </c>
      <c r="AT68" s="177">
        <v>0</v>
      </c>
      <c r="AU68" s="177">
        <v>0</v>
      </c>
      <c r="AV68" s="177">
        <v>0</v>
      </c>
      <c r="AW68" s="177">
        <v>0</v>
      </c>
      <c r="AX68" s="177">
        <v>0</v>
      </c>
      <c r="AY68" s="177">
        <v>0</v>
      </c>
      <c r="AZ68" s="177">
        <v>0</v>
      </c>
      <c r="BA68" s="177">
        <v>0</v>
      </c>
      <c r="BB68" s="177">
        <v>0</v>
      </c>
      <c r="BC68" s="177">
        <v>0</v>
      </c>
      <c r="BD68" s="177">
        <v>0</v>
      </c>
      <c r="BE68" s="177">
        <v>22.989000000000001</v>
      </c>
      <c r="BF68" s="177">
        <v>22.989000000000001</v>
      </c>
      <c r="BG68" s="174">
        <v>1</v>
      </c>
      <c r="BH68" s="174"/>
      <c r="BI68" s="174"/>
      <c r="BJ68" s="174"/>
      <c r="BK68" s="174"/>
      <c r="BL68" s="174"/>
      <c r="BM68" s="174"/>
      <c r="BN68" s="174"/>
    </row>
    <row r="69" spans="1:66">
      <c r="A69" s="174">
        <v>10202</v>
      </c>
      <c r="B69" s="174" t="s">
        <v>73</v>
      </c>
      <c r="C69" s="174">
        <v>1</v>
      </c>
      <c r="D69" s="174">
        <v>0</v>
      </c>
      <c r="E69" s="177">
        <v>13.294</v>
      </c>
      <c r="F69" s="177">
        <v>14.393000000000001</v>
      </c>
      <c r="G69" s="177">
        <v>14.584</v>
      </c>
      <c r="H69" s="177">
        <v>0</v>
      </c>
      <c r="I69" s="177">
        <v>0</v>
      </c>
      <c r="J69" s="177">
        <v>0</v>
      </c>
      <c r="K69" s="177">
        <v>0</v>
      </c>
      <c r="L69" s="176">
        <v>0</v>
      </c>
      <c r="M69" s="176">
        <v>0</v>
      </c>
      <c r="N69" s="177">
        <v>14.393000000000001</v>
      </c>
      <c r="O69" s="177">
        <v>14.584</v>
      </c>
      <c r="P69" s="176">
        <v>126082.68000000001</v>
      </c>
      <c r="Q69" s="176">
        <v>127755.84</v>
      </c>
      <c r="R69" s="174">
        <v>12.888</v>
      </c>
      <c r="S69" s="176">
        <v>112898.88</v>
      </c>
      <c r="T69" s="176">
        <v>112898.88</v>
      </c>
      <c r="U69" s="177">
        <v>1.5049999999999999</v>
      </c>
      <c r="V69" s="177">
        <v>1.696</v>
      </c>
      <c r="W69" s="177">
        <v>1.5049999999999999</v>
      </c>
      <c r="X69" s="177">
        <v>1.696</v>
      </c>
      <c r="Y69" s="177">
        <v>0</v>
      </c>
      <c r="Z69" s="177">
        <v>0</v>
      </c>
      <c r="AA69" s="174">
        <v>0</v>
      </c>
      <c r="AB69" s="174">
        <v>0</v>
      </c>
      <c r="AC69" s="177">
        <v>1.5049999999999999</v>
      </c>
      <c r="AD69" s="177">
        <v>1.696</v>
      </c>
      <c r="AE69" s="178">
        <v>1.8557999999999999E-3</v>
      </c>
      <c r="AF69" s="178">
        <v>1.8557999999999999E-3</v>
      </c>
      <c r="AG69" s="178">
        <v>0</v>
      </c>
      <c r="AH69" s="178">
        <v>1.8557999999999999E-3</v>
      </c>
      <c r="AI69" s="178">
        <v>1.8557999999999999E-3</v>
      </c>
      <c r="AJ69" s="178">
        <v>1.8557999999999999E-3</v>
      </c>
      <c r="AK69" s="178">
        <v>0.89545231757104138</v>
      </c>
      <c r="AL69" s="178">
        <v>0.88372498675260558</v>
      </c>
      <c r="AM69" s="178">
        <v>1.1167752948479206</v>
      </c>
      <c r="AN69" s="178">
        <v>1.1315952824332713</v>
      </c>
      <c r="AO69" s="178">
        <v>0</v>
      </c>
      <c r="AP69" s="178">
        <v>0</v>
      </c>
      <c r="AQ69" s="174">
        <v>1</v>
      </c>
      <c r="AR69" s="174">
        <v>1</v>
      </c>
      <c r="AS69" s="177">
        <v>0</v>
      </c>
      <c r="AT69" s="177">
        <v>0</v>
      </c>
      <c r="AU69" s="177">
        <v>1.5049999999999999</v>
      </c>
      <c r="AV69" s="177">
        <v>1.696</v>
      </c>
      <c r="AW69" s="177">
        <v>0</v>
      </c>
      <c r="AX69" s="177">
        <v>0</v>
      </c>
      <c r="AY69" s="177">
        <v>0</v>
      </c>
      <c r="AZ69" s="177">
        <v>0</v>
      </c>
      <c r="BA69" s="177">
        <v>0</v>
      </c>
      <c r="BB69" s="177">
        <v>0</v>
      </c>
      <c r="BC69" s="177">
        <v>0</v>
      </c>
      <c r="BD69" s="177">
        <v>0</v>
      </c>
      <c r="BE69" s="177">
        <v>14.393000000000001</v>
      </c>
      <c r="BF69" s="177">
        <v>14.584</v>
      </c>
      <c r="BG69" s="174">
        <v>1</v>
      </c>
      <c r="BH69" s="174"/>
      <c r="BI69" s="174"/>
      <c r="BJ69" s="174"/>
      <c r="BK69" s="174"/>
      <c r="BL69" s="174"/>
      <c r="BM69" s="174"/>
      <c r="BN69" s="174"/>
    </row>
    <row r="70" spans="1:66">
      <c r="A70" s="174">
        <v>10203</v>
      </c>
      <c r="B70" s="174" t="s">
        <v>74</v>
      </c>
      <c r="C70" s="174">
        <v>1</v>
      </c>
      <c r="D70" s="174">
        <v>0</v>
      </c>
      <c r="E70" s="177">
        <v>6.306</v>
      </c>
      <c r="F70" s="177">
        <v>6.3659999999999997</v>
      </c>
      <c r="G70" s="177">
        <v>6.3920000000000003</v>
      </c>
      <c r="H70" s="177">
        <v>0</v>
      </c>
      <c r="I70" s="177">
        <v>0</v>
      </c>
      <c r="J70" s="177">
        <v>0</v>
      </c>
      <c r="K70" s="177">
        <v>0</v>
      </c>
      <c r="L70" s="176">
        <v>0</v>
      </c>
      <c r="M70" s="176">
        <v>0</v>
      </c>
      <c r="N70" s="177">
        <v>6.3780000000000001</v>
      </c>
      <c r="O70" s="177">
        <v>6.4050000000000002</v>
      </c>
      <c r="P70" s="176">
        <v>55871.28</v>
      </c>
      <c r="Q70" s="176">
        <v>56107.8</v>
      </c>
      <c r="R70" s="174">
        <v>6.1139999999999999</v>
      </c>
      <c r="S70" s="176">
        <v>53558.64</v>
      </c>
      <c r="T70" s="176">
        <v>53558.64</v>
      </c>
      <c r="U70" s="177">
        <v>0.26400000000000001</v>
      </c>
      <c r="V70" s="177">
        <v>0.29099999999999998</v>
      </c>
      <c r="W70" s="177">
        <v>0</v>
      </c>
      <c r="X70" s="177">
        <v>0</v>
      </c>
      <c r="Y70" s="177">
        <v>0.26400000000000001</v>
      </c>
      <c r="Z70" s="177">
        <v>0.29099999999999998</v>
      </c>
      <c r="AA70" s="174">
        <v>0</v>
      </c>
      <c r="AB70" s="174">
        <v>0</v>
      </c>
      <c r="AC70" s="177">
        <v>0</v>
      </c>
      <c r="AD70" s="177">
        <v>0</v>
      </c>
      <c r="AE70" s="178">
        <v>8.8040000000000004E-4</v>
      </c>
      <c r="AF70" s="178">
        <v>8.8040000000000004E-4</v>
      </c>
      <c r="AG70" s="178">
        <v>0</v>
      </c>
      <c r="AH70" s="178">
        <v>8.8040000000000004E-4</v>
      </c>
      <c r="AI70" s="178">
        <v>8.8040000000000004E-4</v>
      </c>
      <c r="AJ70" s="178">
        <v>8.8040000000000004E-4</v>
      </c>
      <c r="AK70" s="178">
        <v>0.95864572254625269</v>
      </c>
      <c r="AL70" s="178">
        <v>0.95460459303668999</v>
      </c>
      <c r="AM70" s="178">
        <v>1.0431795878312071</v>
      </c>
      <c r="AN70" s="178">
        <v>1.0475956820412169</v>
      </c>
      <c r="AO70" s="178">
        <v>7.3022571148184501E-2</v>
      </c>
      <c r="AP70" s="178">
        <v>7.3331697742885185E-2</v>
      </c>
      <c r="AQ70" s="174">
        <v>3</v>
      </c>
      <c r="AR70" s="174">
        <v>3</v>
      </c>
      <c r="AS70" s="177">
        <v>2</v>
      </c>
      <c r="AT70" s="177">
        <v>1</v>
      </c>
      <c r="AU70" s="177">
        <v>0</v>
      </c>
      <c r="AV70" s="177">
        <v>0</v>
      </c>
      <c r="AW70" s="177">
        <v>0</v>
      </c>
      <c r="AX70" s="177">
        <v>0</v>
      </c>
      <c r="AY70" s="177">
        <v>0</v>
      </c>
      <c r="AZ70" s="177">
        <v>0</v>
      </c>
      <c r="BA70" s="177">
        <v>0</v>
      </c>
      <c r="BB70" s="177">
        <v>0</v>
      </c>
      <c r="BC70" s="177">
        <v>0</v>
      </c>
      <c r="BD70" s="177">
        <v>0</v>
      </c>
      <c r="BE70" s="177">
        <v>6.3780000000000001</v>
      </c>
      <c r="BF70" s="177">
        <v>6.4050000000000002</v>
      </c>
      <c r="BG70" s="174">
        <v>1</v>
      </c>
      <c r="BH70" s="174"/>
      <c r="BI70" s="174"/>
      <c r="BJ70" s="174"/>
      <c r="BK70" s="174"/>
      <c r="BL70" s="174"/>
      <c r="BM70" s="174"/>
      <c r="BN70" s="174"/>
    </row>
    <row r="71" spans="1:66">
      <c r="A71" s="174">
        <v>10204</v>
      </c>
      <c r="B71" s="174" t="s">
        <v>75</v>
      </c>
      <c r="C71" s="174">
        <v>1</v>
      </c>
      <c r="D71" s="174">
        <v>0</v>
      </c>
      <c r="E71" s="177">
        <v>80.742999999999995</v>
      </c>
      <c r="F71" s="177">
        <v>83.022000000000006</v>
      </c>
      <c r="G71" s="177">
        <v>83.164000000000001</v>
      </c>
      <c r="H71" s="177">
        <v>0</v>
      </c>
      <c r="I71" s="177">
        <v>0</v>
      </c>
      <c r="J71" s="177">
        <v>17.321999999999999</v>
      </c>
      <c r="K71" s="177">
        <v>17.321999999999999</v>
      </c>
      <c r="L71" s="176">
        <v>151740.72</v>
      </c>
      <c r="M71" s="176">
        <v>151740.72</v>
      </c>
      <c r="N71" s="177">
        <v>65.7</v>
      </c>
      <c r="O71" s="177">
        <v>65.841999999999999</v>
      </c>
      <c r="P71" s="176">
        <v>575532</v>
      </c>
      <c r="Q71" s="176">
        <v>576775.92000000004</v>
      </c>
      <c r="R71" s="174">
        <v>78.278999999999996</v>
      </c>
      <c r="S71" s="176">
        <v>685724.03999999992</v>
      </c>
      <c r="T71" s="176">
        <v>685724.03999999992</v>
      </c>
      <c r="U71" s="177">
        <v>0</v>
      </c>
      <c r="V71" s="177">
        <v>0</v>
      </c>
      <c r="W71" s="177">
        <v>0</v>
      </c>
      <c r="X71" s="177">
        <v>0</v>
      </c>
      <c r="Y71" s="177">
        <v>0</v>
      </c>
      <c r="Z71" s="177">
        <v>0</v>
      </c>
      <c r="AA71" s="174">
        <v>0</v>
      </c>
      <c r="AB71" s="174">
        <v>0</v>
      </c>
      <c r="AC71" s="177">
        <v>0</v>
      </c>
      <c r="AD71" s="177">
        <v>0</v>
      </c>
      <c r="AE71" s="178">
        <v>9.4602999999999996E-3</v>
      </c>
      <c r="AF71" s="178">
        <v>9.4806999999999999E-3</v>
      </c>
      <c r="AG71" s="178">
        <v>5.4922E-3</v>
      </c>
      <c r="AH71" s="178">
        <v>3.9680999999999996E-3</v>
      </c>
      <c r="AI71" s="178">
        <v>3.9884999999999999E-3</v>
      </c>
      <c r="AJ71" s="178">
        <v>3.9782999999999997E-3</v>
      </c>
      <c r="AK71" s="178">
        <v>1</v>
      </c>
      <c r="AL71" s="178">
        <v>0.99999819026978565</v>
      </c>
      <c r="AM71" s="178">
        <v>1</v>
      </c>
      <c r="AN71" s="178">
        <v>1</v>
      </c>
      <c r="AO71" s="178">
        <v>0</v>
      </c>
      <c r="AP71" s="178">
        <v>0</v>
      </c>
      <c r="AQ71" s="174">
        <v>4</v>
      </c>
      <c r="AR71" s="174">
        <v>4</v>
      </c>
      <c r="AS71" s="177">
        <v>0</v>
      </c>
      <c r="AT71" s="177">
        <v>0</v>
      </c>
      <c r="AU71" s="177">
        <v>0</v>
      </c>
      <c r="AV71" s="177">
        <v>0</v>
      </c>
      <c r="AW71" s="177">
        <v>0</v>
      </c>
      <c r="AX71" s="177">
        <v>0</v>
      </c>
      <c r="AY71" s="177">
        <v>0</v>
      </c>
      <c r="AZ71" s="177">
        <v>0</v>
      </c>
      <c r="BA71" s="177">
        <v>0</v>
      </c>
      <c r="BB71" s="177">
        <v>0</v>
      </c>
      <c r="BC71" s="177">
        <v>0</v>
      </c>
      <c r="BD71" s="177">
        <v>0</v>
      </c>
      <c r="BE71" s="177">
        <v>65.7</v>
      </c>
      <c r="BF71" s="177">
        <v>65.841999999999999</v>
      </c>
      <c r="BG71" s="174">
        <v>0</v>
      </c>
      <c r="BH71" s="174"/>
      <c r="BI71" s="174"/>
      <c r="BJ71" s="174"/>
      <c r="BK71" s="174"/>
      <c r="BL71" s="174"/>
      <c r="BM71" s="174"/>
      <c r="BN71" s="174"/>
    </row>
    <row r="72" spans="1:66">
      <c r="A72" s="174">
        <v>10209</v>
      </c>
      <c r="B72" s="174" t="s">
        <v>76</v>
      </c>
      <c r="C72" s="174">
        <v>1</v>
      </c>
      <c r="D72" s="174">
        <v>0</v>
      </c>
      <c r="E72" s="177">
        <v>106.455</v>
      </c>
      <c r="F72" s="177">
        <v>106.364</v>
      </c>
      <c r="G72" s="177">
        <v>106.35599999999999</v>
      </c>
      <c r="H72" s="177">
        <v>0</v>
      </c>
      <c r="I72" s="177">
        <v>0</v>
      </c>
      <c r="J72" s="177">
        <v>0</v>
      </c>
      <c r="K72" s="177">
        <v>0</v>
      </c>
      <c r="L72" s="176">
        <v>0</v>
      </c>
      <c r="M72" s="176">
        <v>0</v>
      </c>
      <c r="N72" s="177">
        <v>108.63200000000001</v>
      </c>
      <c r="O72" s="177">
        <v>109.416</v>
      </c>
      <c r="P72" s="176">
        <v>951616.32000000007</v>
      </c>
      <c r="Q72" s="176">
        <v>958484.15999999992</v>
      </c>
      <c r="R72" s="174">
        <v>103.20699999999999</v>
      </c>
      <c r="S72" s="176">
        <v>904093.32</v>
      </c>
      <c r="T72" s="176">
        <v>904093.32</v>
      </c>
      <c r="U72" s="177">
        <v>5.4249999999999998</v>
      </c>
      <c r="V72" s="177">
        <v>6.2089999999999996</v>
      </c>
      <c r="W72" s="177">
        <v>5.4249999999999998</v>
      </c>
      <c r="X72" s="177">
        <v>6.2089999999999996</v>
      </c>
      <c r="Y72" s="177">
        <v>0</v>
      </c>
      <c r="Z72" s="177">
        <v>0</v>
      </c>
      <c r="AA72" s="174">
        <v>5</v>
      </c>
      <c r="AB72" s="174">
        <v>7</v>
      </c>
      <c r="AC72" s="177">
        <v>0.42499999999999982</v>
      </c>
      <c r="AD72" s="177">
        <v>0</v>
      </c>
      <c r="AE72" s="178">
        <v>1.4860999999999999E-2</v>
      </c>
      <c r="AF72" s="178">
        <v>1.4860999999999999E-2</v>
      </c>
      <c r="AG72" s="178">
        <v>0</v>
      </c>
      <c r="AH72" s="178">
        <v>1.4860999999999999E-2</v>
      </c>
      <c r="AI72" s="178">
        <v>1.4860999999999999E-2</v>
      </c>
      <c r="AJ72" s="178">
        <v>1.4860999999999999E-2</v>
      </c>
      <c r="AK72" s="178">
        <v>0.9500640364349362</v>
      </c>
      <c r="AL72" s="178">
        <v>0.94325652926445847</v>
      </c>
      <c r="AM72" s="178">
        <v>1.0525642640518571</v>
      </c>
      <c r="AN72" s="178">
        <v>1.0601606480180608</v>
      </c>
      <c r="AO72" s="178">
        <v>7.3679498483630007E-2</v>
      </c>
      <c r="AP72" s="178">
        <v>7.4211245361264264E-2</v>
      </c>
      <c r="AQ72" s="174">
        <v>3</v>
      </c>
      <c r="AR72" s="174">
        <v>3</v>
      </c>
      <c r="AS72" s="177">
        <v>4</v>
      </c>
      <c r="AT72" s="177">
        <v>4</v>
      </c>
      <c r="AU72" s="177">
        <v>5.4249999999999998</v>
      </c>
      <c r="AV72" s="177">
        <v>7</v>
      </c>
      <c r="AW72" s="177">
        <v>0</v>
      </c>
      <c r="AX72" s="177">
        <v>0</v>
      </c>
      <c r="AY72" s="177">
        <v>0</v>
      </c>
      <c r="AZ72" s="177">
        <v>-0.79100000000000037</v>
      </c>
      <c r="BA72" s="177">
        <v>0</v>
      </c>
      <c r="BB72" s="177">
        <v>-0.79100000000000037</v>
      </c>
      <c r="BC72" s="177">
        <v>0</v>
      </c>
      <c r="BD72" s="177">
        <v>0</v>
      </c>
      <c r="BE72" s="177">
        <v>108.63200000000001</v>
      </c>
      <c r="BF72" s="177">
        <v>109.416</v>
      </c>
      <c r="BG72" s="174">
        <v>1</v>
      </c>
      <c r="BH72" s="174"/>
      <c r="BI72" s="174"/>
      <c r="BJ72" s="174"/>
      <c r="BK72" s="174"/>
      <c r="BL72" s="174"/>
      <c r="BM72" s="174"/>
      <c r="BN72" s="174"/>
    </row>
    <row r="73" spans="1:66">
      <c r="A73" s="174">
        <v>10230</v>
      </c>
      <c r="B73" s="174" t="s">
        <v>77</v>
      </c>
      <c r="C73" s="174">
        <v>1</v>
      </c>
      <c r="D73" s="174">
        <v>0</v>
      </c>
      <c r="E73" s="177">
        <v>9.8469999999999995</v>
      </c>
      <c r="F73" s="177">
        <v>11.595000000000001</v>
      </c>
      <c r="G73" s="177">
        <v>11.651</v>
      </c>
      <c r="H73" s="177">
        <v>0</v>
      </c>
      <c r="I73" s="177">
        <v>0</v>
      </c>
      <c r="J73" s="177">
        <v>0.97799999999999998</v>
      </c>
      <c r="K73" s="177">
        <v>0.97799999999999998</v>
      </c>
      <c r="L73" s="176">
        <v>8567.2800000000007</v>
      </c>
      <c r="M73" s="176">
        <v>8567.2800000000007</v>
      </c>
      <c r="N73" s="177">
        <v>10.186</v>
      </c>
      <c r="O73" s="177">
        <v>10.242000000000001</v>
      </c>
      <c r="P73" s="176">
        <v>89229.36</v>
      </c>
      <c r="Q73" s="176">
        <v>89719.920000000013</v>
      </c>
      <c r="R73" s="174">
        <v>9.5470000000000006</v>
      </c>
      <c r="S73" s="176">
        <v>83631.72</v>
      </c>
      <c r="T73" s="176">
        <v>83631.72</v>
      </c>
      <c r="U73" s="177">
        <v>0.63900000000000001</v>
      </c>
      <c r="V73" s="177">
        <v>0.69499999999999995</v>
      </c>
      <c r="W73" s="177">
        <v>0</v>
      </c>
      <c r="X73" s="177">
        <v>0</v>
      </c>
      <c r="Y73" s="177">
        <v>0.63900000000000001</v>
      </c>
      <c r="Z73" s="177">
        <v>0.69499999999999995</v>
      </c>
      <c r="AA73" s="174">
        <v>0</v>
      </c>
      <c r="AB73" s="174">
        <v>0</v>
      </c>
      <c r="AC73" s="177">
        <v>0</v>
      </c>
      <c r="AD73" s="177">
        <v>0</v>
      </c>
      <c r="AE73" s="178">
        <v>1.3747E-3</v>
      </c>
      <c r="AF73" s="178">
        <v>1.3747E-3</v>
      </c>
      <c r="AG73" s="178">
        <v>0</v>
      </c>
      <c r="AH73" s="178">
        <v>1.3747E-3</v>
      </c>
      <c r="AI73" s="178">
        <v>1.3747E-3</v>
      </c>
      <c r="AJ73" s="178">
        <v>1.3747E-3</v>
      </c>
      <c r="AK73" s="178">
        <v>0.94276959836975982</v>
      </c>
      <c r="AL73" s="178">
        <v>0.93806415295900158</v>
      </c>
      <c r="AM73" s="178">
        <v>1.0669320205300095</v>
      </c>
      <c r="AN73" s="178">
        <v>1.0727977375091653</v>
      </c>
      <c r="AO73" s="178">
        <v>7.4685241437100675E-2</v>
      </c>
      <c r="AP73" s="178">
        <v>7.5095841625641577E-2</v>
      </c>
      <c r="AQ73" s="174">
        <v>1</v>
      </c>
      <c r="AR73" s="174">
        <v>1</v>
      </c>
      <c r="AS73" s="177">
        <v>0</v>
      </c>
      <c r="AT73" s="177">
        <v>0</v>
      </c>
      <c r="AU73" s="177">
        <v>0</v>
      </c>
      <c r="AV73" s="177">
        <v>0</v>
      </c>
      <c r="AW73" s="177">
        <v>0</v>
      </c>
      <c r="AX73" s="177">
        <v>0</v>
      </c>
      <c r="AY73" s="177">
        <v>0</v>
      </c>
      <c r="AZ73" s="177">
        <v>0</v>
      </c>
      <c r="BA73" s="177">
        <v>0</v>
      </c>
      <c r="BB73" s="177">
        <v>0</v>
      </c>
      <c r="BC73" s="177">
        <v>0</v>
      </c>
      <c r="BD73" s="177">
        <v>0</v>
      </c>
      <c r="BE73" s="177">
        <v>10.186</v>
      </c>
      <c r="BF73" s="177">
        <v>10.242000000000001</v>
      </c>
      <c r="BG73" s="174">
        <v>1</v>
      </c>
      <c r="BH73" s="174"/>
      <c r="BI73" s="174"/>
      <c r="BJ73" s="174"/>
      <c r="BK73" s="174"/>
      <c r="BL73" s="174"/>
      <c r="BM73" s="174"/>
      <c r="BN73" s="174"/>
    </row>
    <row r="74" spans="1:66">
      <c r="A74" s="174">
        <v>10231</v>
      </c>
      <c r="B74" s="174" t="s">
        <v>78</v>
      </c>
      <c r="C74" s="174">
        <v>1</v>
      </c>
      <c r="D74" s="174">
        <v>0</v>
      </c>
      <c r="E74" s="177">
        <v>37.206000000000003</v>
      </c>
      <c r="F74" s="177">
        <v>48.018999999999998</v>
      </c>
      <c r="G74" s="177">
        <v>48.399000000000001</v>
      </c>
      <c r="H74" s="177">
        <v>0</v>
      </c>
      <c r="I74" s="177">
        <v>0</v>
      </c>
      <c r="J74" s="177">
        <v>4.4189999999999996</v>
      </c>
      <c r="K74" s="177">
        <v>4.4189999999999996</v>
      </c>
      <c r="L74" s="176">
        <v>38710.439999999995</v>
      </c>
      <c r="M74" s="176">
        <v>38710.439999999995</v>
      </c>
      <c r="N74" s="177">
        <v>43.6</v>
      </c>
      <c r="O74" s="177">
        <v>43.98</v>
      </c>
      <c r="P74" s="176">
        <v>381936</v>
      </c>
      <c r="Q74" s="176">
        <v>385264.8</v>
      </c>
      <c r="R74" s="174">
        <v>36.070999999999998</v>
      </c>
      <c r="S74" s="176">
        <v>315981.95999999996</v>
      </c>
      <c r="T74" s="176">
        <v>315981.95999999996</v>
      </c>
      <c r="U74" s="177">
        <v>7.5289999999999999</v>
      </c>
      <c r="V74" s="177">
        <v>7.9089999999999998</v>
      </c>
      <c r="W74" s="177">
        <v>7.5289999999999999</v>
      </c>
      <c r="X74" s="177">
        <v>7.9089999999999998</v>
      </c>
      <c r="Y74" s="177">
        <v>0</v>
      </c>
      <c r="Z74" s="177">
        <v>0</v>
      </c>
      <c r="AA74" s="174">
        <v>0</v>
      </c>
      <c r="AB74" s="174">
        <v>0</v>
      </c>
      <c r="AC74" s="177">
        <v>7.5289999999999999</v>
      </c>
      <c r="AD74" s="177">
        <v>7.9089999999999998</v>
      </c>
      <c r="AE74" s="178">
        <v>5.1939000000000004E-3</v>
      </c>
      <c r="AF74" s="178">
        <v>5.1939000000000004E-3</v>
      </c>
      <c r="AG74" s="178">
        <v>0</v>
      </c>
      <c r="AH74" s="178">
        <v>5.1939000000000004E-3</v>
      </c>
      <c r="AI74" s="178">
        <v>5.1939000000000004E-3</v>
      </c>
      <c r="AJ74" s="178">
        <v>5.1939000000000004E-3</v>
      </c>
      <c r="AK74" s="178">
        <v>0.84320447404985532</v>
      </c>
      <c r="AL74" s="178">
        <v>0.83658413684993493</v>
      </c>
      <c r="AM74" s="178">
        <v>1.2087272324027614</v>
      </c>
      <c r="AN74" s="178">
        <v>1.2192620110337944</v>
      </c>
      <c r="AO74" s="178">
        <v>8.4610906268193301E-2</v>
      </c>
      <c r="AP74" s="178">
        <v>8.5348340772365611E-2</v>
      </c>
      <c r="AQ74" s="174">
        <v>3</v>
      </c>
      <c r="AR74" s="174">
        <v>3</v>
      </c>
      <c r="AS74" s="177">
        <v>7</v>
      </c>
      <c r="AT74" s="177">
        <v>7</v>
      </c>
      <c r="AU74" s="177">
        <v>0.52900000000000003</v>
      </c>
      <c r="AV74" s="177">
        <v>0.90900000000000003</v>
      </c>
      <c r="AW74" s="177">
        <v>0</v>
      </c>
      <c r="AX74" s="177">
        <v>0</v>
      </c>
      <c r="AY74" s="177">
        <v>0</v>
      </c>
      <c r="AZ74" s="177">
        <v>0</v>
      </c>
      <c r="BA74" s="177">
        <v>0</v>
      </c>
      <c r="BB74" s="177">
        <v>0</v>
      </c>
      <c r="BC74" s="177">
        <v>0</v>
      </c>
      <c r="BD74" s="177">
        <v>0</v>
      </c>
      <c r="BE74" s="177">
        <v>36.6</v>
      </c>
      <c r="BF74" s="177">
        <v>36.979999999999997</v>
      </c>
      <c r="BG74" s="174">
        <v>1</v>
      </c>
      <c r="BH74" s="174"/>
      <c r="BI74" s="174"/>
      <c r="BJ74" s="174"/>
      <c r="BK74" s="174"/>
      <c r="BL74" s="174"/>
      <c r="BM74" s="174"/>
      <c r="BN74" s="174"/>
    </row>
    <row r="75" spans="1:66">
      <c r="A75" s="174">
        <v>10234</v>
      </c>
      <c r="B75" s="174" t="s">
        <v>79</v>
      </c>
      <c r="C75" s="174">
        <v>1</v>
      </c>
      <c r="D75" s="174">
        <v>0</v>
      </c>
      <c r="E75" s="177">
        <v>51.76</v>
      </c>
      <c r="F75" s="177">
        <v>53.232999999999997</v>
      </c>
      <c r="G75" s="177">
        <v>53.643999999999998</v>
      </c>
      <c r="H75" s="177">
        <v>0</v>
      </c>
      <c r="I75" s="177">
        <v>0</v>
      </c>
      <c r="J75" s="177">
        <v>0</v>
      </c>
      <c r="K75" s="177">
        <v>0</v>
      </c>
      <c r="L75" s="176">
        <v>0</v>
      </c>
      <c r="M75" s="176">
        <v>0</v>
      </c>
      <c r="N75" s="177">
        <v>53.232999999999997</v>
      </c>
      <c r="O75" s="177">
        <v>53.643999999999998</v>
      </c>
      <c r="P75" s="176">
        <v>466321.07999999996</v>
      </c>
      <c r="Q75" s="176">
        <v>469921.44</v>
      </c>
      <c r="R75" s="174">
        <v>50.180999999999997</v>
      </c>
      <c r="S75" s="176">
        <v>439585.56</v>
      </c>
      <c r="T75" s="176">
        <v>439585.56</v>
      </c>
      <c r="U75" s="177">
        <v>3.052</v>
      </c>
      <c r="V75" s="177">
        <v>3.4630000000000001</v>
      </c>
      <c r="W75" s="177">
        <v>3.052</v>
      </c>
      <c r="X75" s="177">
        <v>3.4630000000000001</v>
      </c>
      <c r="Y75" s="177">
        <v>0</v>
      </c>
      <c r="Z75" s="177">
        <v>0</v>
      </c>
      <c r="AA75" s="174">
        <v>0</v>
      </c>
      <c r="AB75" s="174">
        <v>0</v>
      </c>
      <c r="AC75" s="177">
        <v>3.052</v>
      </c>
      <c r="AD75" s="177">
        <v>3.4630000000000001</v>
      </c>
      <c r="AE75" s="178">
        <v>7.2256000000000004E-3</v>
      </c>
      <c r="AF75" s="178">
        <v>7.2256000000000004E-3</v>
      </c>
      <c r="AG75" s="178">
        <v>0</v>
      </c>
      <c r="AH75" s="178">
        <v>7.2256000000000004E-3</v>
      </c>
      <c r="AI75" s="178">
        <v>7.2256000000000004E-3</v>
      </c>
      <c r="AJ75" s="178">
        <v>7.2256000000000004E-3</v>
      </c>
      <c r="AK75" s="178">
        <v>0.94266111730693369</v>
      </c>
      <c r="AL75" s="178">
        <v>0.93543880504063825</v>
      </c>
      <c r="AM75" s="178">
        <v>1.0608198322074092</v>
      </c>
      <c r="AN75" s="178">
        <v>1.069010183137044</v>
      </c>
      <c r="AO75" s="178">
        <v>5.3040991610370458E-2</v>
      </c>
      <c r="AP75" s="178">
        <v>5.3450509156852205E-2</v>
      </c>
      <c r="AQ75" s="174">
        <v>3</v>
      </c>
      <c r="AR75" s="174">
        <v>3</v>
      </c>
      <c r="AS75" s="177">
        <v>16</v>
      </c>
      <c r="AT75" s="177">
        <v>18</v>
      </c>
      <c r="AU75" s="177">
        <v>5.1999999999999998E-2</v>
      </c>
      <c r="AV75" s="177">
        <v>0.46300000000000002</v>
      </c>
      <c r="AW75" s="177">
        <v>0</v>
      </c>
      <c r="AX75" s="177">
        <v>0</v>
      </c>
      <c r="AY75" s="177">
        <v>0</v>
      </c>
      <c r="AZ75" s="177">
        <v>0</v>
      </c>
      <c r="BA75" s="177">
        <v>0</v>
      </c>
      <c r="BB75" s="177">
        <v>0</v>
      </c>
      <c r="BC75" s="177">
        <v>0</v>
      </c>
      <c r="BD75" s="177">
        <v>0</v>
      </c>
      <c r="BE75" s="177">
        <v>50.232999999999997</v>
      </c>
      <c r="BF75" s="177">
        <v>50.643999999999998</v>
      </c>
      <c r="BG75" s="174">
        <v>1</v>
      </c>
      <c r="BH75" s="174"/>
      <c r="BI75" s="174"/>
      <c r="BJ75" s="174"/>
      <c r="BK75" s="174"/>
      <c r="BL75" s="174"/>
      <c r="BM75" s="174"/>
      <c r="BN75" s="174"/>
    </row>
    <row r="76" spans="1:66">
      <c r="A76" s="174">
        <v>10235</v>
      </c>
      <c r="B76" s="174" t="s">
        <v>80</v>
      </c>
      <c r="C76" s="174">
        <v>1</v>
      </c>
      <c r="D76" s="174">
        <v>0</v>
      </c>
      <c r="E76" s="177">
        <v>33.606999999999999</v>
      </c>
      <c r="F76" s="177">
        <v>31.097000000000001</v>
      </c>
      <c r="G76" s="177">
        <v>31.251999999999999</v>
      </c>
      <c r="H76" s="177">
        <v>0</v>
      </c>
      <c r="I76" s="177">
        <v>0</v>
      </c>
      <c r="J76" s="177">
        <v>0</v>
      </c>
      <c r="K76" s="177">
        <v>0</v>
      </c>
      <c r="L76" s="176">
        <v>0</v>
      </c>
      <c r="M76" s="176">
        <v>0</v>
      </c>
      <c r="N76" s="177">
        <v>31.097000000000001</v>
      </c>
      <c r="O76" s="177">
        <v>31.251999999999999</v>
      </c>
      <c r="P76" s="176">
        <v>272409.72000000003</v>
      </c>
      <c r="Q76" s="176">
        <v>273767.52</v>
      </c>
      <c r="R76" s="174">
        <v>32.582000000000001</v>
      </c>
      <c r="S76" s="176">
        <v>285418.32</v>
      </c>
      <c r="T76" s="176">
        <v>285418.32</v>
      </c>
      <c r="U76" s="177">
        <v>0</v>
      </c>
      <c r="V76" s="177">
        <v>0</v>
      </c>
      <c r="W76" s="177">
        <v>0</v>
      </c>
      <c r="X76" s="177">
        <v>0</v>
      </c>
      <c r="Y76" s="177">
        <v>0</v>
      </c>
      <c r="Z76" s="177">
        <v>0</v>
      </c>
      <c r="AA76" s="174">
        <v>0</v>
      </c>
      <c r="AB76" s="174">
        <v>0</v>
      </c>
      <c r="AC76" s="177">
        <v>0</v>
      </c>
      <c r="AD76" s="177">
        <v>0</v>
      </c>
      <c r="AE76" s="178">
        <v>4.4777000000000003E-3</v>
      </c>
      <c r="AF76" s="178">
        <v>4.4999999999999997E-3</v>
      </c>
      <c r="AG76" s="178">
        <v>0</v>
      </c>
      <c r="AH76" s="178">
        <v>4.4777000000000003E-3</v>
      </c>
      <c r="AI76" s="178">
        <v>4.4999999999999997E-3</v>
      </c>
      <c r="AJ76" s="178">
        <v>4.48885E-3</v>
      </c>
      <c r="AK76" s="178">
        <v>0.99999797196514129</v>
      </c>
      <c r="AL76" s="178">
        <v>0.99999382439523865</v>
      </c>
      <c r="AM76" s="178">
        <v>1</v>
      </c>
      <c r="AN76" s="178">
        <v>1</v>
      </c>
      <c r="AO76" s="178">
        <v>0</v>
      </c>
      <c r="AP76" s="178">
        <v>0</v>
      </c>
      <c r="AQ76" s="174">
        <v>1</v>
      </c>
      <c r="AR76" s="174">
        <v>1</v>
      </c>
      <c r="AS76" s="177">
        <v>0</v>
      </c>
      <c r="AT76" s="177">
        <v>0</v>
      </c>
      <c r="AU76" s="177">
        <v>0</v>
      </c>
      <c r="AV76" s="177">
        <v>0</v>
      </c>
      <c r="AW76" s="177">
        <v>0</v>
      </c>
      <c r="AX76" s="177">
        <v>0</v>
      </c>
      <c r="AY76" s="177">
        <v>0</v>
      </c>
      <c r="AZ76" s="177">
        <v>0</v>
      </c>
      <c r="BA76" s="177">
        <v>0</v>
      </c>
      <c r="BB76" s="177">
        <v>0</v>
      </c>
      <c r="BC76" s="177">
        <v>0</v>
      </c>
      <c r="BD76" s="177">
        <v>0</v>
      </c>
      <c r="BE76" s="177">
        <v>31.097000000000001</v>
      </c>
      <c r="BF76" s="177">
        <v>31.251999999999999</v>
      </c>
      <c r="BG76" s="174">
        <v>0</v>
      </c>
      <c r="BH76" s="174"/>
      <c r="BI76" s="174"/>
      <c r="BJ76" s="174"/>
      <c r="BK76" s="174"/>
      <c r="BL76" s="174"/>
      <c r="BM76" s="174"/>
      <c r="BN76" s="174"/>
    </row>
    <row r="77" spans="1:66">
      <c r="A77" s="174">
        <v>10236</v>
      </c>
      <c r="B77" s="174" t="s">
        <v>81</v>
      </c>
      <c r="C77" s="174">
        <v>0</v>
      </c>
      <c r="D77" s="174">
        <v>1</v>
      </c>
      <c r="E77" s="177">
        <v>29.536999999999999</v>
      </c>
      <c r="F77" s="177">
        <v>27.547999999999998</v>
      </c>
      <c r="G77" s="177">
        <v>27.547999999999998</v>
      </c>
      <c r="H77" s="177">
        <v>0</v>
      </c>
      <c r="I77" s="177">
        <v>0</v>
      </c>
      <c r="J77" s="177">
        <v>0.13200000000000001</v>
      </c>
      <c r="K77" s="177">
        <v>0.13200000000000001</v>
      </c>
      <c r="L77" s="176">
        <v>1156.3200000000002</v>
      </c>
      <c r="M77" s="176">
        <v>1156.3200000000002</v>
      </c>
      <c r="N77" s="177">
        <v>27.416</v>
      </c>
      <c r="O77" s="177">
        <v>27.416</v>
      </c>
      <c r="P77" s="176">
        <v>240164.16</v>
      </c>
      <c r="Q77" s="176">
        <v>240164.16</v>
      </c>
      <c r="R77" s="174">
        <v>28.635999999999999</v>
      </c>
      <c r="S77" s="176">
        <v>250851.36</v>
      </c>
      <c r="T77" s="176">
        <v>250851.36</v>
      </c>
      <c r="U77" s="177">
        <v>0</v>
      </c>
      <c r="V77" s="177">
        <v>0</v>
      </c>
      <c r="W77" s="177">
        <v>0</v>
      </c>
      <c r="X77" s="177">
        <v>0</v>
      </c>
      <c r="Y77" s="177">
        <v>0</v>
      </c>
      <c r="Z77" s="177">
        <v>0</v>
      </c>
      <c r="AA77" s="174">
        <v>0</v>
      </c>
      <c r="AB77" s="174">
        <v>0</v>
      </c>
      <c r="AC77" s="177">
        <v>0</v>
      </c>
      <c r="AD77" s="177">
        <v>0</v>
      </c>
      <c r="AE77" s="178">
        <v>3.9477000000000002E-3</v>
      </c>
      <c r="AF77" s="178">
        <v>3.9477000000000002E-3</v>
      </c>
      <c r="AG77" s="178">
        <v>0</v>
      </c>
      <c r="AH77" s="178">
        <v>3.9477000000000002E-3</v>
      </c>
      <c r="AI77" s="178">
        <v>3.9477000000000002E-3</v>
      </c>
      <c r="AJ77" s="178">
        <v>3.9477000000000002E-3</v>
      </c>
      <c r="AK77" s="178">
        <v>1</v>
      </c>
      <c r="AL77" s="178">
        <v>1</v>
      </c>
      <c r="AM77" s="178">
        <v>1</v>
      </c>
      <c r="AN77" s="178">
        <v>1</v>
      </c>
      <c r="AO77" s="178">
        <v>6.5000000000000002E-2</v>
      </c>
      <c r="AP77" s="178">
        <v>6.5000000000000002E-2</v>
      </c>
      <c r="AQ77" s="174">
        <v>6</v>
      </c>
      <c r="AR77" s="174">
        <v>6</v>
      </c>
      <c r="AS77" s="177">
        <v>0</v>
      </c>
      <c r="AT77" s="177">
        <v>0</v>
      </c>
      <c r="AU77" s="177">
        <v>0</v>
      </c>
      <c r="AV77" s="177">
        <v>0</v>
      </c>
      <c r="AW77" s="177">
        <v>0</v>
      </c>
      <c r="AX77" s="177">
        <v>0</v>
      </c>
      <c r="AY77" s="177">
        <v>0</v>
      </c>
      <c r="AZ77" s="177">
        <v>0</v>
      </c>
      <c r="BA77" s="177">
        <v>0</v>
      </c>
      <c r="BB77" s="177">
        <v>0</v>
      </c>
      <c r="BC77" s="177">
        <v>0</v>
      </c>
      <c r="BD77" s="177">
        <v>0</v>
      </c>
      <c r="BE77" s="177">
        <v>27.416</v>
      </c>
      <c r="BF77" s="177">
        <v>27.416</v>
      </c>
      <c r="BG77" s="174">
        <v>0</v>
      </c>
      <c r="BH77" s="174"/>
      <c r="BI77" s="174"/>
      <c r="BJ77" s="174"/>
      <c r="BK77" s="174"/>
      <c r="BL77" s="174"/>
      <c r="BM77" s="174"/>
      <c r="BN77" s="174"/>
    </row>
    <row r="78" spans="1:66">
      <c r="A78" s="174">
        <v>10237</v>
      </c>
      <c r="B78" s="174" t="s">
        <v>82</v>
      </c>
      <c r="C78" s="174">
        <v>1</v>
      </c>
      <c r="D78" s="174">
        <v>0</v>
      </c>
      <c r="E78" s="177">
        <v>115.429</v>
      </c>
      <c r="F78" s="177">
        <v>109.73399999999999</v>
      </c>
      <c r="G78" s="177">
        <v>110.014</v>
      </c>
      <c r="H78" s="177">
        <v>0</v>
      </c>
      <c r="I78" s="177">
        <v>0</v>
      </c>
      <c r="J78" s="177">
        <v>1.19</v>
      </c>
      <c r="K78" s="177">
        <v>1.19</v>
      </c>
      <c r="L78" s="176">
        <v>10424.4</v>
      </c>
      <c r="M78" s="176">
        <v>10424.4</v>
      </c>
      <c r="N78" s="177">
        <v>108.544</v>
      </c>
      <c r="O78" s="177">
        <v>108.824</v>
      </c>
      <c r="P78" s="176">
        <v>950845.43999999994</v>
      </c>
      <c r="Q78" s="176">
        <v>953298.24</v>
      </c>
      <c r="R78" s="174">
        <v>111.907</v>
      </c>
      <c r="S78" s="176">
        <v>980305.32</v>
      </c>
      <c r="T78" s="176">
        <v>980305.32</v>
      </c>
      <c r="U78" s="177">
        <v>0</v>
      </c>
      <c r="V78" s="177">
        <v>0</v>
      </c>
      <c r="W78" s="177">
        <v>0</v>
      </c>
      <c r="X78" s="177">
        <v>0</v>
      </c>
      <c r="Y78" s="177">
        <v>0</v>
      </c>
      <c r="Z78" s="177">
        <v>0</v>
      </c>
      <c r="AA78" s="174">
        <v>0</v>
      </c>
      <c r="AB78" s="174">
        <v>0</v>
      </c>
      <c r="AC78" s="177">
        <v>0</v>
      </c>
      <c r="AD78" s="177">
        <v>0</v>
      </c>
      <c r="AE78" s="178">
        <v>1.5629400000000002E-2</v>
      </c>
      <c r="AF78" s="178">
        <v>1.5669800000000001E-2</v>
      </c>
      <c r="AG78" s="178">
        <v>9.6100000000000005E-3</v>
      </c>
      <c r="AH78" s="178">
        <v>6.0194000000000011E-3</v>
      </c>
      <c r="AI78" s="178">
        <v>6.0598000000000006E-3</v>
      </c>
      <c r="AJ78" s="178">
        <v>6.0396000000000009E-3</v>
      </c>
      <c r="AK78" s="178">
        <v>0.99999893455182687</v>
      </c>
      <c r="AL78" s="178">
        <v>0.99999707007988103</v>
      </c>
      <c r="AM78" s="178">
        <v>1</v>
      </c>
      <c r="AN78" s="178">
        <v>1</v>
      </c>
      <c r="AO78" s="433">
        <v>1864727</v>
      </c>
      <c r="AP78" s="433">
        <v>1864727</v>
      </c>
      <c r="AQ78" s="174">
        <v>4</v>
      </c>
      <c r="AR78" s="174">
        <v>4</v>
      </c>
      <c r="AS78" s="177">
        <v>0</v>
      </c>
      <c r="AT78" s="177">
        <v>0</v>
      </c>
      <c r="AU78" s="177">
        <v>0</v>
      </c>
      <c r="AV78" s="177">
        <v>0</v>
      </c>
      <c r="AW78" s="177">
        <v>0</v>
      </c>
      <c r="AX78" s="177">
        <v>0</v>
      </c>
      <c r="AY78" s="177">
        <v>0</v>
      </c>
      <c r="AZ78" s="177">
        <v>0</v>
      </c>
      <c r="BA78" s="177">
        <v>0</v>
      </c>
      <c r="BB78" s="177">
        <v>0</v>
      </c>
      <c r="BC78" s="177">
        <v>0</v>
      </c>
      <c r="BD78" s="177">
        <v>0</v>
      </c>
      <c r="BE78" s="177">
        <v>108.544</v>
      </c>
      <c r="BF78" s="177">
        <v>108.824</v>
      </c>
      <c r="BG78" s="174">
        <v>0</v>
      </c>
      <c r="BH78" s="174"/>
      <c r="BI78" s="174"/>
      <c r="BJ78" s="174"/>
      <c r="BK78" s="174"/>
      <c r="BL78" s="174"/>
      <c r="BM78" s="174"/>
      <c r="BN78" s="174"/>
    </row>
    <row r="79" spans="1:66">
      <c r="A79" s="174">
        <v>10239</v>
      </c>
      <c r="B79" s="174" t="s">
        <v>83</v>
      </c>
      <c r="C79" s="174">
        <v>0</v>
      </c>
      <c r="D79" s="174">
        <v>1</v>
      </c>
      <c r="E79" s="177">
        <v>14.209</v>
      </c>
      <c r="F79" s="177">
        <v>13.472</v>
      </c>
      <c r="G79" s="177">
        <v>13.472</v>
      </c>
      <c r="H79" s="177">
        <v>0</v>
      </c>
      <c r="I79" s="177">
        <v>0</v>
      </c>
      <c r="J79" s="177">
        <v>0</v>
      </c>
      <c r="K79" s="177">
        <v>0</v>
      </c>
      <c r="L79" s="176">
        <v>0</v>
      </c>
      <c r="M79" s="176">
        <v>0</v>
      </c>
      <c r="N79" s="177">
        <v>13.609</v>
      </c>
      <c r="O79" s="177">
        <v>13.609</v>
      </c>
      <c r="P79" s="176">
        <v>119214.84</v>
      </c>
      <c r="Q79" s="176">
        <v>119214.84</v>
      </c>
      <c r="R79" s="174">
        <v>13.775</v>
      </c>
      <c r="S79" s="176">
        <v>120669</v>
      </c>
      <c r="T79" s="176">
        <v>120669</v>
      </c>
      <c r="U79" s="177">
        <v>0</v>
      </c>
      <c r="V79" s="177">
        <v>0</v>
      </c>
      <c r="W79" s="177">
        <v>0</v>
      </c>
      <c r="X79" s="177">
        <v>0</v>
      </c>
      <c r="Y79" s="177">
        <v>0</v>
      </c>
      <c r="Z79" s="177">
        <v>0</v>
      </c>
      <c r="AA79" s="174">
        <v>0</v>
      </c>
      <c r="AB79" s="174">
        <v>0</v>
      </c>
      <c r="AC79" s="177">
        <v>0</v>
      </c>
      <c r="AD79" s="177">
        <v>0</v>
      </c>
      <c r="AE79" s="178">
        <v>1.9596000000000001E-3</v>
      </c>
      <c r="AF79" s="178">
        <v>1.9596000000000001E-3</v>
      </c>
      <c r="AG79" s="178">
        <v>0</v>
      </c>
      <c r="AH79" s="178">
        <v>1.9596000000000001E-3</v>
      </c>
      <c r="AI79" s="178">
        <v>1.9596000000000001E-3</v>
      </c>
      <c r="AJ79" s="178">
        <v>1.9596000000000001E-3</v>
      </c>
      <c r="AK79" s="178">
        <v>1</v>
      </c>
      <c r="AL79" s="178">
        <v>1</v>
      </c>
      <c r="AM79" s="178">
        <v>1</v>
      </c>
      <c r="AN79" s="178">
        <v>1</v>
      </c>
      <c r="AO79" s="178">
        <v>7.0000000000000007E-2</v>
      </c>
      <c r="AP79" s="178">
        <v>7.0000000000000007E-2</v>
      </c>
      <c r="AQ79" s="174">
        <v>6</v>
      </c>
      <c r="AR79" s="174">
        <v>6</v>
      </c>
      <c r="AS79" s="177">
        <v>0</v>
      </c>
      <c r="AT79" s="177">
        <v>0</v>
      </c>
      <c r="AU79" s="177">
        <v>0</v>
      </c>
      <c r="AV79" s="177">
        <v>0</v>
      </c>
      <c r="AW79" s="177">
        <v>0</v>
      </c>
      <c r="AX79" s="177">
        <v>0</v>
      </c>
      <c r="AY79" s="177">
        <v>0</v>
      </c>
      <c r="AZ79" s="177">
        <v>0</v>
      </c>
      <c r="BA79" s="177">
        <v>0</v>
      </c>
      <c r="BB79" s="177">
        <v>0</v>
      </c>
      <c r="BC79" s="177">
        <v>0</v>
      </c>
      <c r="BD79" s="177">
        <v>0</v>
      </c>
      <c r="BE79" s="177">
        <v>13.609</v>
      </c>
      <c r="BF79" s="177">
        <v>13.609</v>
      </c>
      <c r="BG79" s="174">
        <v>0</v>
      </c>
      <c r="BH79" s="174"/>
      <c r="BI79" s="174"/>
      <c r="BJ79" s="174"/>
      <c r="BK79" s="174"/>
      <c r="BL79" s="174"/>
      <c r="BM79" s="174"/>
      <c r="BN79" s="174"/>
    </row>
    <row r="80" spans="1:66">
      <c r="A80" s="174">
        <v>10242</v>
      </c>
      <c r="B80" s="174" t="s">
        <v>84</v>
      </c>
      <c r="C80" s="174">
        <v>1</v>
      </c>
      <c r="D80" s="174">
        <v>0</v>
      </c>
      <c r="E80" s="177">
        <v>9.6679999999999993</v>
      </c>
      <c r="F80" s="177">
        <v>9.7430000000000003</v>
      </c>
      <c r="G80" s="177">
        <v>9.8360000000000003</v>
      </c>
      <c r="H80" s="177">
        <v>0</v>
      </c>
      <c r="I80" s="177">
        <v>0</v>
      </c>
      <c r="J80" s="177">
        <v>0</v>
      </c>
      <c r="K80" s="177">
        <v>0</v>
      </c>
      <c r="L80" s="176">
        <v>0</v>
      </c>
      <c r="M80" s="176">
        <v>0</v>
      </c>
      <c r="N80" s="177">
        <v>9.2360000000000007</v>
      </c>
      <c r="O80" s="177">
        <v>9.31</v>
      </c>
      <c r="P80" s="176">
        <v>80907.360000000001</v>
      </c>
      <c r="Q80" s="176">
        <v>81555.600000000006</v>
      </c>
      <c r="R80" s="174">
        <v>9.3729999999999993</v>
      </c>
      <c r="S80" s="176">
        <v>82107.48</v>
      </c>
      <c r="T80" s="176">
        <v>82107.48</v>
      </c>
      <c r="U80" s="177">
        <v>0</v>
      </c>
      <c r="V80" s="177">
        <v>0</v>
      </c>
      <c r="W80" s="177">
        <v>0</v>
      </c>
      <c r="X80" s="177">
        <v>0</v>
      </c>
      <c r="Y80" s="177">
        <v>0</v>
      </c>
      <c r="Z80" s="177">
        <v>0</v>
      </c>
      <c r="AA80" s="174">
        <v>0</v>
      </c>
      <c r="AB80" s="174">
        <v>0</v>
      </c>
      <c r="AC80" s="177">
        <v>0</v>
      </c>
      <c r="AD80" s="177">
        <v>0</v>
      </c>
      <c r="AE80" s="178">
        <v>1.3299E-3</v>
      </c>
      <c r="AF80" s="178">
        <v>1.3406E-3</v>
      </c>
      <c r="AG80" s="178">
        <v>0</v>
      </c>
      <c r="AH80" s="178">
        <v>1.3299E-3</v>
      </c>
      <c r="AI80" s="178">
        <v>1.3406E-3</v>
      </c>
      <c r="AJ80" s="178">
        <v>1.3352500000000001E-3</v>
      </c>
      <c r="AK80" s="178">
        <v>0.9999946616933737</v>
      </c>
      <c r="AL80" s="178">
        <v>1</v>
      </c>
      <c r="AM80" s="178">
        <v>1</v>
      </c>
      <c r="AN80" s="178">
        <v>1</v>
      </c>
      <c r="AO80" s="178">
        <v>7.0000000000000007E-2</v>
      </c>
      <c r="AP80" s="178">
        <v>7.0000000000000007E-2</v>
      </c>
      <c r="AQ80" s="174">
        <v>1</v>
      </c>
      <c r="AR80" s="174">
        <v>1</v>
      </c>
      <c r="AS80" s="177">
        <v>0</v>
      </c>
      <c r="AT80" s="177">
        <v>0</v>
      </c>
      <c r="AU80" s="177">
        <v>0</v>
      </c>
      <c r="AV80" s="177">
        <v>0</v>
      </c>
      <c r="AW80" s="177">
        <v>0</v>
      </c>
      <c r="AX80" s="177">
        <v>0</v>
      </c>
      <c r="AY80" s="177">
        <v>0</v>
      </c>
      <c r="AZ80" s="177">
        <v>0</v>
      </c>
      <c r="BA80" s="177">
        <v>0</v>
      </c>
      <c r="BB80" s="177">
        <v>0</v>
      </c>
      <c r="BC80" s="177">
        <v>0</v>
      </c>
      <c r="BD80" s="177">
        <v>0</v>
      </c>
      <c r="BE80" s="177">
        <v>9.2360000000000007</v>
      </c>
      <c r="BF80" s="177">
        <v>9.31</v>
      </c>
      <c r="BG80" s="174">
        <v>0</v>
      </c>
      <c r="BH80" s="174"/>
      <c r="BI80" s="174"/>
      <c r="BJ80" s="174"/>
      <c r="BK80" s="174"/>
      <c r="BL80" s="174"/>
      <c r="BM80" s="174"/>
      <c r="BN80" s="174"/>
    </row>
    <row r="81" spans="1:66">
      <c r="A81" s="174">
        <v>10244</v>
      </c>
      <c r="B81" s="174" t="s">
        <v>85</v>
      </c>
      <c r="C81" s="174">
        <v>1</v>
      </c>
      <c r="D81" s="174">
        <v>0</v>
      </c>
      <c r="E81" s="177">
        <v>87.320999999999998</v>
      </c>
      <c r="F81" s="177">
        <v>92.37</v>
      </c>
      <c r="G81" s="177">
        <v>93.212000000000003</v>
      </c>
      <c r="H81" s="177">
        <v>0</v>
      </c>
      <c r="I81" s="177">
        <v>0</v>
      </c>
      <c r="J81" s="177">
        <v>1.3620000000000001</v>
      </c>
      <c r="K81" s="177">
        <v>1.3620000000000001</v>
      </c>
      <c r="L81" s="176">
        <v>11931.12</v>
      </c>
      <c r="M81" s="176">
        <v>11931.12</v>
      </c>
      <c r="N81" s="177">
        <v>91.007999999999996</v>
      </c>
      <c r="O81" s="177">
        <v>91.85</v>
      </c>
      <c r="P81" s="176">
        <v>797230.07999999996</v>
      </c>
      <c r="Q81" s="176">
        <v>804606</v>
      </c>
      <c r="R81" s="174">
        <v>84.656999999999996</v>
      </c>
      <c r="S81" s="176">
        <v>741595.32</v>
      </c>
      <c r="T81" s="176">
        <v>741595.32</v>
      </c>
      <c r="U81" s="177">
        <v>6.351</v>
      </c>
      <c r="V81" s="177">
        <v>7.1929999999999996</v>
      </c>
      <c r="W81" s="177">
        <v>6.351</v>
      </c>
      <c r="X81" s="177">
        <v>7.1929999999999996</v>
      </c>
      <c r="Y81" s="177">
        <v>0</v>
      </c>
      <c r="Z81" s="177">
        <v>0</v>
      </c>
      <c r="AA81" s="174">
        <v>3</v>
      </c>
      <c r="AB81" s="174">
        <v>3</v>
      </c>
      <c r="AC81" s="177">
        <v>3.351</v>
      </c>
      <c r="AD81" s="177">
        <v>4.1929999999999996</v>
      </c>
      <c r="AE81" s="178">
        <v>1.21899E-2</v>
      </c>
      <c r="AF81" s="178">
        <v>1.21899E-2</v>
      </c>
      <c r="AG81" s="178">
        <v>0</v>
      </c>
      <c r="AH81" s="178">
        <v>1.21899E-2</v>
      </c>
      <c r="AI81" s="178">
        <v>1.21899E-2</v>
      </c>
      <c r="AJ81" s="178">
        <v>1.21899E-2</v>
      </c>
      <c r="AK81" s="178">
        <v>0.93124367495290661</v>
      </c>
      <c r="AL81" s="178">
        <v>0.92283159094751732</v>
      </c>
      <c r="AM81" s="178">
        <v>1.0750203763421808</v>
      </c>
      <c r="AN81" s="178">
        <v>1.0849663938008669</v>
      </c>
      <c r="AO81" s="178">
        <v>5.9126120698819951E-2</v>
      </c>
      <c r="AP81" s="178">
        <v>5.9673151659047685E-2</v>
      </c>
      <c r="AQ81" s="174">
        <v>3</v>
      </c>
      <c r="AR81" s="174">
        <v>3</v>
      </c>
      <c r="AS81" s="177">
        <v>2.988</v>
      </c>
      <c r="AT81" s="177">
        <v>2.988</v>
      </c>
      <c r="AU81" s="177">
        <v>3.363</v>
      </c>
      <c r="AV81" s="177">
        <v>4.2050000000000001</v>
      </c>
      <c r="AW81" s="177">
        <v>2.988</v>
      </c>
      <c r="AX81" s="177">
        <v>2.988</v>
      </c>
      <c r="AY81" s="177">
        <v>0</v>
      </c>
      <c r="AZ81" s="177">
        <v>-4.4408920985006262E-16</v>
      </c>
      <c r="BA81" s="177">
        <v>0</v>
      </c>
      <c r="BB81" s="177">
        <v>-4.4408920985006262E-16</v>
      </c>
      <c r="BC81" s="177">
        <v>0</v>
      </c>
      <c r="BD81" s="177">
        <v>0</v>
      </c>
      <c r="BE81" s="177">
        <v>88.02</v>
      </c>
      <c r="BF81" s="177">
        <v>88.861999999999995</v>
      </c>
      <c r="BG81" s="174">
        <v>0</v>
      </c>
      <c r="BH81" s="174"/>
      <c r="BI81" s="174"/>
      <c r="BJ81" s="174"/>
      <c r="BK81" s="174"/>
      <c r="BL81" s="174"/>
      <c r="BM81" s="174"/>
      <c r="BN81" s="174"/>
    </row>
    <row r="82" spans="1:66">
      <c r="A82" s="174">
        <v>10246</v>
      </c>
      <c r="B82" s="174" t="s">
        <v>86</v>
      </c>
      <c r="C82" s="174">
        <v>1</v>
      </c>
      <c r="D82" s="174">
        <v>0</v>
      </c>
      <c r="E82" s="177">
        <v>9.1210000000000004</v>
      </c>
      <c r="F82" s="177">
        <v>9.2270000000000003</v>
      </c>
      <c r="G82" s="177">
        <v>9.2439999999999998</v>
      </c>
      <c r="H82" s="177">
        <v>0</v>
      </c>
      <c r="I82" s="177">
        <v>0</v>
      </c>
      <c r="J82" s="177">
        <v>0.54200000000000004</v>
      </c>
      <c r="K82" s="177">
        <v>0.54200000000000004</v>
      </c>
      <c r="L82" s="176">
        <v>4747.92</v>
      </c>
      <c r="M82" s="176">
        <v>4747.92</v>
      </c>
      <c r="N82" s="177">
        <v>8.8569999999999993</v>
      </c>
      <c r="O82" s="177">
        <v>8.8740000000000006</v>
      </c>
      <c r="P82" s="176">
        <v>77587.319999999992</v>
      </c>
      <c r="Q82" s="176">
        <v>77736.240000000005</v>
      </c>
      <c r="R82" s="174">
        <v>8.843</v>
      </c>
      <c r="S82" s="176">
        <v>77464.679999999993</v>
      </c>
      <c r="T82" s="176">
        <v>77464.679999999993</v>
      </c>
      <c r="U82" s="177">
        <v>1.4E-2</v>
      </c>
      <c r="V82" s="177">
        <v>3.1E-2</v>
      </c>
      <c r="W82" s="177">
        <v>0</v>
      </c>
      <c r="X82" s="177">
        <v>0</v>
      </c>
      <c r="Y82" s="177">
        <v>1.4E-2</v>
      </c>
      <c r="Z82" s="177">
        <v>3.1E-2</v>
      </c>
      <c r="AA82" s="174">
        <v>0</v>
      </c>
      <c r="AB82" s="174">
        <v>0</v>
      </c>
      <c r="AC82" s="177">
        <v>0</v>
      </c>
      <c r="AD82" s="177">
        <v>0</v>
      </c>
      <c r="AE82" s="178">
        <v>1.2733E-3</v>
      </c>
      <c r="AF82" s="178">
        <v>1.2733E-3</v>
      </c>
      <c r="AG82" s="178">
        <v>0</v>
      </c>
      <c r="AH82" s="178">
        <v>1.2733E-3</v>
      </c>
      <c r="AI82" s="178">
        <v>1.2733E-3</v>
      </c>
      <c r="AJ82" s="178">
        <v>1.2733E-3</v>
      </c>
      <c r="AK82" s="178">
        <v>0.99849690518140233</v>
      </c>
      <c r="AL82" s="178">
        <v>0.9966941813721325</v>
      </c>
      <c r="AM82" s="178">
        <v>1.0015831731312903</v>
      </c>
      <c r="AN82" s="178">
        <v>1.0035055976478571</v>
      </c>
      <c r="AO82" s="178">
        <v>6.5102906253533877E-2</v>
      </c>
      <c r="AP82" s="178">
        <v>6.5227863847110712E-2</v>
      </c>
      <c r="AQ82" s="174">
        <v>1</v>
      </c>
      <c r="AR82" s="174">
        <v>1</v>
      </c>
      <c r="AS82" s="177">
        <v>0</v>
      </c>
      <c r="AT82" s="177">
        <v>0</v>
      </c>
      <c r="AU82" s="177">
        <v>0</v>
      </c>
      <c r="AV82" s="177">
        <v>0</v>
      </c>
      <c r="AW82" s="177">
        <v>0</v>
      </c>
      <c r="AX82" s="177">
        <v>0</v>
      </c>
      <c r="AY82" s="177">
        <v>0</v>
      </c>
      <c r="AZ82" s="177">
        <v>0</v>
      </c>
      <c r="BA82" s="177">
        <v>0</v>
      </c>
      <c r="BB82" s="177">
        <v>0</v>
      </c>
      <c r="BC82" s="177">
        <v>0</v>
      </c>
      <c r="BD82" s="177">
        <v>0</v>
      </c>
      <c r="BE82" s="177">
        <v>8.8569999999999993</v>
      </c>
      <c r="BF82" s="177">
        <v>8.8740000000000006</v>
      </c>
      <c r="BG82" s="174">
        <v>0</v>
      </c>
      <c r="BH82" s="174"/>
      <c r="BI82" s="174"/>
      <c r="BJ82" s="174"/>
      <c r="BK82" s="174"/>
      <c r="BL82" s="174"/>
      <c r="BM82" s="174"/>
      <c r="BN82" s="174"/>
    </row>
    <row r="83" spans="1:66">
      <c r="A83" s="174">
        <v>10247</v>
      </c>
      <c r="B83" s="174" t="s">
        <v>87</v>
      </c>
      <c r="C83" s="174">
        <v>1</v>
      </c>
      <c r="D83" s="174">
        <v>0</v>
      </c>
      <c r="E83" s="177">
        <v>81.120999999999995</v>
      </c>
      <c r="F83" s="177">
        <v>81.277000000000001</v>
      </c>
      <c r="G83" s="177">
        <v>84.415999999999997</v>
      </c>
      <c r="H83" s="177">
        <v>0</v>
      </c>
      <c r="I83" s="177">
        <v>0</v>
      </c>
      <c r="J83" s="177">
        <v>0.65600000000000003</v>
      </c>
      <c r="K83" s="177">
        <v>0.65600000000000003</v>
      </c>
      <c r="L83" s="176">
        <v>5746.56</v>
      </c>
      <c r="M83" s="176">
        <v>5746.56</v>
      </c>
      <c r="N83" s="177">
        <v>80.620999999999995</v>
      </c>
      <c r="O83" s="177">
        <v>83.76</v>
      </c>
      <c r="P83" s="176">
        <v>706239.96</v>
      </c>
      <c r="Q83" s="176">
        <v>733737.60000000009</v>
      </c>
      <c r="R83" s="174">
        <v>78.646000000000001</v>
      </c>
      <c r="S83" s="176">
        <v>688938.96</v>
      </c>
      <c r="T83" s="176">
        <v>688938.96</v>
      </c>
      <c r="U83" s="177">
        <v>1.9750000000000001</v>
      </c>
      <c r="V83" s="177">
        <v>5.1139999999999999</v>
      </c>
      <c r="W83" s="177">
        <v>1.9750000000000001</v>
      </c>
      <c r="X83" s="177">
        <v>5.1139999999999999</v>
      </c>
      <c r="Y83" s="177">
        <v>0</v>
      </c>
      <c r="Z83" s="177">
        <v>0</v>
      </c>
      <c r="AA83" s="174">
        <v>0</v>
      </c>
      <c r="AB83" s="174">
        <v>0</v>
      </c>
      <c r="AC83" s="177">
        <v>1.9750000000000001</v>
      </c>
      <c r="AD83" s="177">
        <v>5.1139999999999999</v>
      </c>
      <c r="AE83" s="178">
        <v>1.13244E-2</v>
      </c>
      <c r="AF83" s="178">
        <v>1.13244E-2</v>
      </c>
      <c r="AG83" s="178">
        <v>0</v>
      </c>
      <c r="AH83" s="178">
        <v>1.13244E-2</v>
      </c>
      <c r="AI83" s="178">
        <v>1.13244E-2</v>
      </c>
      <c r="AJ83" s="178">
        <v>1.13244E-2</v>
      </c>
      <c r="AK83" s="178">
        <v>0.97570301613494581</v>
      </c>
      <c r="AL83" s="178">
        <v>0.93942160304207734</v>
      </c>
      <c r="AM83" s="178">
        <v>1.0251125295628511</v>
      </c>
      <c r="AN83" s="178">
        <v>1.0650255575617324</v>
      </c>
      <c r="AO83" s="178">
        <v>5.1255626478142559E-2</v>
      </c>
      <c r="AP83" s="178">
        <v>5.3251277878086624E-2</v>
      </c>
      <c r="AQ83" s="174">
        <v>3</v>
      </c>
      <c r="AR83" s="174">
        <v>3</v>
      </c>
      <c r="AS83" s="177">
        <v>1.7290000000000001</v>
      </c>
      <c r="AT83" s="177">
        <v>1.7290000000000001</v>
      </c>
      <c r="AU83" s="177">
        <v>0.246</v>
      </c>
      <c r="AV83" s="177">
        <v>3.3849999999999998</v>
      </c>
      <c r="AW83" s="177">
        <v>1.728</v>
      </c>
      <c r="AX83" s="177">
        <v>1.728</v>
      </c>
      <c r="AY83" s="177">
        <v>0</v>
      </c>
      <c r="AZ83" s="177">
        <v>0</v>
      </c>
      <c r="BA83" s="177">
        <v>0</v>
      </c>
      <c r="BB83" s="177">
        <v>0</v>
      </c>
      <c r="BC83" s="177">
        <v>0</v>
      </c>
      <c r="BD83" s="177">
        <v>0</v>
      </c>
      <c r="BE83" s="177">
        <v>78.891999999999996</v>
      </c>
      <c r="BF83" s="177">
        <v>82.031000000000006</v>
      </c>
      <c r="BG83" s="174">
        <v>0</v>
      </c>
      <c r="BH83" s="174"/>
      <c r="BI83" s="174"/>
      <c r="BJ83" s="174"/>
      <c r="BK83" s="174"/>
      <c r="BL83" s="174"/>
      <c r="BM83" s="174"/>
      <c r="BN83" s="174"/>
    </row>
    <row r="84" spans="1:66">
      <c r="A84" s="174">
        <v>10256</v>
      </c>
      <c r="B84" s="174" t="s">
        <v>88</v>
      </c>
      <c r="C84" s="174">
        <v>1</v>
      </c>
      <c r="D84" s="174">
        <v>0</v>
      </c>
      <c r="E84" s="177">
        <v>47.442999999999998</v>
      </c>
      <c r="F84" s="177">
        <v>45.231999999999999</v>
      </c>
      <c r="G84" s="177">
        <v>45.247999999999998</v>
      </c>
      <c r="H84" s="177">
        <v>0</v>
      </c>
      <c r="I84" s="177">
        <v>0</v>
      </c>
      <c r="J84" s="177">
        <v>0.52200000000000002</v>
      </c>
      <c r="K84" s="177">
        <v>0.52200000000000002</v>
      </c>
      <c r="L84" s="176">
        <v>4572.72</v>
      </c>
      <c r="M84" s="176">
        <v>4572.72</v>
      </c>
      <c r="N84" s="177">
        <v>44.71</v>
      </c>
      <c r="O84" s="177">
        <v>44.725999999999999</v>
      </c>
      <c r="P84" s="176">
        <v>391659.60000000003</v>
      </c>
      <c r="Q84" s="176">
        <v>391799.76</v>
      </c>
      <c r="R84" s="174">
        <v>45.994999999999997</v>
      </c>
      <c r="S84" s="176">
        <v>402916.19999999995</v>
      </c>
      <c r="T84" s="176">
        <v>402916.19999999995</v>
      </c>
      <c r="U84" s="177">
        <v>0</v>
      </c>
      <c r="V84" s="177">
        <v>0</v>
      </c>
      <c r="W84" s="177">
        <v>0</v>
      </c>
      <c r="X84" s="177">
        <v>0</v>
      </c>
      <c r="Y84" s="177">
        <v>0</v>
      </c>
      <c r="Z84" s="177">
        <v>0</v>
      </c>
      <c r="AA84" s="174">
        <v>0</v>
      </c>
      <c r="AB84" s="174">
        <v>0</v>
      </c>
      <c r="AC84" s="177">
        <v>0</v>
      </c>
      <c r="AD84" s="177">
        <v>0</v>
      </c>
      <c r="AE84" s="178">
        <v>6.4378999999999999E-3</v>
      </c>
      <c r="AF84" s="178">
        <v>6.4402000000000001E-3</v>
      </c>
      <c r="AG84" s="178">
        <v>0</v>
      </c>
      <c r="AH84" s="178">
        <v>6.4378999999999999E-3</v>
      </c>
      <c r="AI84" s="178">
        <v>6.4402000000000001E-3</v>
      </c>
      <c r="AJ84" s="178">
        <v>6.43905E-3</v>
      </c>
      <c r="AK84" s="178">
        <v>1</v>
      </c>
      <c r="AL84" s="178">
        <v>1</v>
      </c>
      <c r="AM84" s="178">
        <v>1</v>
      </c>
      <c r="AN84" s="178">
        <v>1</v>
      </c>
      <c r="AO84" s="178">
        <v>6.5000000000000002E-2</v>
      </c>
      <c r="AP84" s="178">
        <v>6.5000000000000002E-2</v>
      </c>
      <c r="AQ84" s="174">
        <v>1</v>
      </c>
      <c r="AR84" s="174">
        <v>1</v>
      </c>
      <c r="AS84" s="177">
        <v>0</v>
      </c>
      <c r="AT84" s="177">
        <v>0</v>
      </c>
      <c r="AU84" s="177">
        <v>0</v>
      </c>
      <c r="AV84" s="177">
        <v>0</v>
      </c>
      <c r="AW84" s="177">
        <v>0</v>
      </c>
      <c r="AX84" s="177">
        <v>0</v>
      </c>
      <c r="AY84" s="177">
        <v>0</v>
      </c>
      <c r="AZ84" s="177">
        <v>0</v>
      </c>
      <c r="BA84" s="177">
        <v>0</v>
      </c>
      <c r="BB84" s="177">
        <v>0</v>
      </c>
      <c r="BC84" s="177">
        <v>0</v>
      </c>
      <c r="BD84" s="177">
        <v>0</v>
      </c>
      <c r="BE84" s="177">
        <v>44.71</v>
      </c>
      <c r="BF84" s="177">
        <v>44.725999999999999</v>
      </c>
      <c r="BG84" s="174">
        <v>1</v>
      </c>
      <c r="BH84" s="174"/>
      <c r="BI84" s="174"/>
      <c r="BJ84" s="174"/>
      <c r="BK84" s="174"/>
      <c r="BL84" s="174"/>
      <c r="BM84" s="174"/>
      <c r="BN84" s="174"/>
    </row>
    <row r="85" spans="1:66">
      <c r="A85" s="174">
        <v>10258</v>
      </c>
      <c r="B85" s="174" t="s">
        <v>89</v>
      </c>
      <c r="C85" s="174">
        <v>1</v>
      </c>
      <c r="D85" s="174">
        <v>0</v>
      </c>
      <c r="E85" s="177">
        <v>38.518000000000001</v>
      </c>
      <c r="F85" s="177">
        <v>48.661999999999999</v>
      </c>
      <c r="G85" s="177">
        <v>49.058999999999997</v>
      </c>
      <c r="H85" s="177">
        <v>0</v>
      </c>
      <c r="I85" s="177">
        <v>0</v>
      </c>
      <c r="J85" s="177">
        <v>9.7509999999999994</v>
      </c>
      <c r="K85" s="177">
        <v>9.7509999999999994</v>
      </c>
      <c r="L85" s="176">
        <v>85418.76</v>
      </c>
      <c r="M85" s="176">
        <v>85418.76</v>
      </c>
      <c r="N85" s="177">
        <v>39.076000000000001</v>
      </c>
      <c r="O85" s="177">
        <v>39.68</v>
      </c>
      <c r="P85" s="176">
        <v>342305.76</v>
      </c>
      <c r="Q85" s="176">
        <v>347596.79999999999</v>
      </c>
      <c r="R85" s="174">
        <v>37.343000000000004</v>
      </c>
      <c r="S85" s="176">
        <v>327124.68000000005</v>
      </c>
      <c r="T85" s="176">
        <v>327124.68000000005</v>
      </c>
      <c r="U85" s="177">
        <v>1.7330000000000001</v>
      </c>
      <c r="V85" s="177">
        <v>2.3370000000000002</v>
      </c>
      <c r="W85" s="177">
        <v>1.7330000000000001</v>
      </c>
      <c r="X85" s="177">
        <v>2.3370000000000002</v>
      </c>
      <c r="Y85" s="177">
        <v>0</v>
      </c>
      <c r="Z85" s="177">
        <v>0</v>
      </c>
      <c r="AA85" s="174">
        <v>0</v>
      </c>
      <c r="AB85" s="174">
        <v>0</v>
      </c>
      <c r="AC85" s="177">
        <v>1.7330000000000001</v>
      </c>
      <c r="AD85" s="177">
        <v>2.3370000000000002</v>
      </c>
      <c r="AE85" s="178">
        <v>5.3771000000000001E-3</v>
      </c>
      <c r="AF85" s="178">
        <v>5.3771000000000001E-3</v>
      </c>
      <c r="AG85" s="178">
        <v>0</v>
      </c>
      <c r="AH85" s="178">
        <v>5.3771000000000001E-3</v>
      </c>
      <c r="AI85" s="178">
        <v>5.3771000000000001E-3</v>
      </c>
      <c r="AJ85" s="178">
        <v>5.3771000000000001E-3</v>
      </c>
      <c r="AK85" s="178">
        <v>0.96451003392794965</v>
      </c>
      <c r="AL85" s="178">
        <v>0.95272463487689907</v>
      </c>
      <c r="AM85" s="178">
        <v>1.0464076265966846</v>
      </c>
      <c r="AN85" s="178">
        <v>1.0625820100152639</v>
      </c>
      <c r="AO85" s="178">
        <v>6.8016495728784501E-2</v>
      </c>
      <c r="AP85" s="178">
        <v>6.906783065099216E-2</v>
      </c>
      <c r="AQ85" s="174">
        <v>1</v>
      </c>
      <c r="AR85" s="174">
        <v>1</v>
      </c>
      <c r="AS85" s="177">
        <v>0</v>
      </c>
      <c r="AT85" s="177">
        <v>0</v>
      </c>
      <c r="AU85" s="177">
        <v>1.7330000000000001</v>
      </c>
      <c r="AV85" s="177">
        <v>2.3370000000000002</v>
      </c>
      <c r="AW85" s="177">
        <v>0</v>
      </c>
      <c r="AX85" s="177">
        <v>0</v>
      </c>
      <c r="AY85" s="177">
        <v>0</v>
      </c>
      <c r="AZ85" s="177">
        <v>0</v>
      </c>
      <c r="BA85" s="177">
        <v>0</v>
      </c>
      <c r="BB85" s="177">
        <v>0</v>
      </c>
      <c r="BC85" s="177">
        <v>0</v>
      </c>
      <c r="BD85" s="177">
        <v>0</v>
      </c>
      <c r="BE85" s="177">
        <v>39.076000000000001</v>
      </c>
      <c r="BF85" s="177">
        <v>39.68</v>
      </c>
      <c r="BG85" s="174">
        <v>1</v>
      </c>
      <c r="BH85" s="174"/>
      <c r="BI85" s="174"/>
      <c r="BJ85" s="174"/>
      <c r="BK85" s="174"/>
      <c r="BL85" s="174"/>
      <c r="BM85" s="174"/>
      <c r="BN85" s="174"/>
    </row>
    <row r="86" spans="1:66">
      <c r="A86" s="174">
        <v>10259</v>
      </c>
      <c r="B86" s="174" t="s">
        <v>90</v>
      </c>
      <c r="C86" s="174">
        <v>1</v>
      </c>
      <c r="D86" s="174">
        <v>0</v>
      </c>
      <c r="E86" s="177">
        <v>27.388000000000002</v>
      </c>
      <c r="F86" s="177">
        <v>26.747</v>
      </c>
      <c r="G86" s="177">
        <v>26.853000000000002</v>
      </c>
      <c r="H86" s="177">
        <v>0</v>
      </c>
      <c r="I86" s="177">
        <v>0</v>
      </c>
      <c r="J86" s="177">
        <v>0</v>
      </c>
      <c r="K86" s="177">
        <v>0</v>
      </c>
      <c r="L86" s="176">
        <v>0</v>
      </c>
      <c r="M86" s="176">
        <v>0</v>
      </c>
      <c r="N86" s="177">
        <v>27.254000000000001</v>
      </c>
      <c r="O86" s="177">
        <v>27.483000000000001</v>
      </c>
      <c r="P86" s="176">
        <v>238745.04</v>
      </c>
      <c r="Q86" s="176">
        <v>240751.08000000002</v>
      </c>
      <c r="R86" s="174">
        <v>26.552</v>
      </c>
      <c r="S86" s="176">
        <v>232595.52</v>
      </c>
      <c r="T86" s="176">
        <v>232595.52</v>
      </c>
      <c r="U86" s="177">
        <v>0.70199999999999996</v>
      </c>
      <c r="V86" s="177">
        <v>0.93100000000000005</v>
      </c>
      <c r="W86" s="177">
        <v>0</v>
      </c>
      <c r="X86" s="177">
        <v>0</v>
      </c>
      <c r="Y86" s="177">
        <v>0.70199999999999996</v>
      </c>
      <c r="Z86" s="177">
        <v>0.93100000000000005</v>
      </c>
      <c r="AA86" s="174">
        <v>0</v>
      </c>
      <c r="AB86" s="174">
        <v>0</v>
      </c>
      <c r="AC86" s="177">
        <v>0</v>
      </c>
      <c r="AD86" s="177">
        <v>0</v>
      </c>
      <c r="AE86" s="178">
        <v>3.8233E-3</v>
      </c>
      <c r="AF86" s="178">
        <v>3.8233E-3</v>
      </c>
      <c r="AG86" s="178">
        <v>0</v>
      </c>
      <c r="AH86" s="178">
        <v>3.8233E-3</v>
      </c>
      <c r="AI86" s="178">
        <v>3.8233E-3</v>
      </c>
      <c r="AJ86" s="178">
        <v>3.8233E-3</v>
      </c>
      <c r="AK86" s="178">
        <v>0.97425074160857117</v>
      </c>
      <c r="AL86" s="178">
        <v>0.96613287165884354</v>
      </c>
      <c r="AM86" s="178">
        <v>1.0264386863513106</v>
      </c>
      <c r="AN86" s="178">
        <v>1.0350632720699007</v>
      </c>
      <c r="AO86" s="178">
        <v>6.6718514612835192E-2</v>
      </c>
      <c r="AP86" s="178">
        <v>6.7279112684543549E-2</v>
      </c>
      <c r="AQ86" s="174">
        <v>1</v>
      </c>
      <c r="AR86" s="174">
        <v>1</v>
      </c>
      <c r="AS86" s="177">
        <v>0</v>
      </c>
      <c r="AT86" s="177">
        <v>0</v>
      </c>
      <c r="AU86" s="177">
        <v>0</v>
      </c>
      <c r="AV86" s="177">
        <v>0</v>
      </c>
      <c r="AW86" s="177">
        <v>0</v>
      </c>
      <c r="AX86" s="177">
        <v>0</v>
      </c>
      <c r="AY86" s="177">
        <v>0</v>
      </c>
      <c r="AZ86" s="177">
        <v>0</v>
      </c>
      <c r="BA86" s="177">
        <v>0</v>
      </c>
      <c r="BB86" s="177">
        <v>0</v>
      </c>
      <c r="BC86" s="177">
        <v>0</v>
      </c>
      <c r="BD86" s="177">
        <v>0</v>
      </c>
      <c r="BE86" s="177">
        <v>27.254000000000001</v>
      </c>
      <c r="BF86" s="177">
        <v>27.483000000000001</v>
      </c>
      <c r="BG86" s="174">
        <v>1</v>
      </c>
      <c r="BH86" s="174"/>
      <c r="BI86" s="174"/>
      <c r="BJ86" s="174"/>
      <c r="BK86" s="174"/>
      <c r="BL86" s="174"/>
      <c r="BM86" s="174"/>
      <c r="BN86" s="174"/>
    </row>
    <row r="87" spans="1:66">
      <c r="A87" s="174">
        <v>10260</v>
      </c>
      <c r="B87" s="174" t="s">
        <v>91</v>
      </c>
      <c r="C87" s="174">
        <v>1</v>
      </c>
      <c r="D87" s="174">
        <v>0</v>
      </c>
      <c r="E87" s="177">
        <v>26.677</v>
      </c>
      <c r="F87" s="177">
        <v>28.05</v>
      </c>
      <c r="G87" s="177">
        <v>28.306000000000001</v>
      </c>
      <c r="H87" s="177">
        <v>0</v>
      </c>
      <c r="I87" s="177">
        <v>0</v>
      </c>
      <c r="J87" s="177">
        <v>0</v>
      </c>
      <c r="K87" s="177">
        <v>0</v>
      </c>
      <c r="L87" s="176">
        <v>0</v>
      </c>
      <c r="M87" s="176">
        <v>0</v>
      </c>
      <c r="N87" s="177">
        <v>26.013999999999999</v>
      </c>
      <c r="O87" s="177">
        <v>26.079000000000001</v>
      </c>
      <c r="P87" s="176">
        <v>227882.63999999998</v>
      </c>
      <c r="Q87" s="176">
        <v>228452.04</v>
      </c>
      <c r="R87" s="174">
        <v>25.863</v>
      </c>
      <c r="S87" s="176">
        <v>226559.88</v>
      </c>
      <c r="T87" s="176">
        <v>226559.88</v>
      </c>
      <c r="U87" s="177">
        <v>0.151</v>
      </c>
      <c r="V87" s="177">
        <v>0.216</v>
      </c>
      <c r="W87" s="177">
        <v>0</v>
      </c>
      <c r="X87" s="177">
        <v>0</v>
      </c>
      <c r="Y87" s="177">
        <v>0.151</v>
      </c>
      <c r="Z87" s="177">
        <v>0.216</v>
      </c>
      <c r="AA87" s="174">
        <v>0</v>
      </c>
      <c r="AB87" s="174">
        <v>0</v>
      </c>
      <c r="AC87" s="177">
        <v>0</v>
      </c>
      <c r="AD87" s="177">
        <v>0</v>
      </c>
      <c r="AE87" s="178">
        <v>3.7241000000000002E-3</v>
      </c>
      <c r="AF87" s="178">
        <v>3.7241000000000002E-3</v>
      </c>
      <c r="AG87" s="178">
        <v>0</v>
      </c>
      <c r="AH87" s="178">
        <v>3.7241000000000002E-3</v>
      </c>
      <c r="AI87" s="178">
        <v>3.7241000000000002E-3</v>
      </c>
      <c r="AJ87" s="178">
        <v>3.7241000000000002E-3</v>
      </c>
      <c r="AK87" s="178">
        <v>0.99420700348274005</v>
      </c>
      <c r="AL87" s="178">
        <v>0.99172901524598334</v>
      </c>
      <c r="AM87" s="178">
        <v>1.0058384564822334</v>
      </c>
      <c r="AN87" s="178">
        <v>1.0083516993388237</v>
      </c>
      <c r="AO87" s="178">
        <v>0</v>
      </c>
      <c r="AP87" s="178">
        <v>0</v>
      </c>
      <c r="AQ87" s="174">
        <v>1</v>
      </c>
      <c r="AR87" s="174">
        <v>1</v>
      </c>
      <c r="AS87" s="177">
        <v>0</v>
      </c>
      <c r="AT87" s="177">
        <v>0</v>
      </c>
      <c r="AU87" s="177">
        <v>0</v>
      </c>
      <c r="AV87" s="177">
        <v>0</v>
      </c>
      <c r="AW87" s="177">
        <v>0</v>
      </c>
      <c r="AX87" s="177">
        <v>0</v>
      </c>
      <c r="AY87" s="177">
        <v>0</v>
      </c>
      <c r="AZ87" s="177">
        <v>0</v>
      </c>
      <c r="BA87" s="177">
        <v>0</v>
      </c>
      <c r="BB87" s="177">
        <v>0</v>
      </c>
      <c r="BC87" s="177">
        <v>0</v>
      </c>
      <c r="BD87" s="177">
        <v>0</v>
      </c>
      <c r="BE87" s="177">
        <v>26.013999999999999</v>
      </c>
      <c r="BF87" s="177">
        <v>26.079000000000001</v>
      </c>
      <c r="BG87" s="174">
        <v>1</v>
      </c>
      <c r="BH87" s="174"/>
      <c r="BI87" s="174"/>
      <c r="BJ87" s="174"/>
      <c r="BK87" s="174"/>
      <c r="BL87" s="174"/>
      <c r="BM87" s="174"/>
      <c r="BN87" s="174"/>
    </row>
    <row r="88" spans="1:66">
      <c r="A88" s="174">
        <v>10273</v>
      </c>
      <c r="B88" s="174" t="s">
        <v>92</v>
      </c>
      <c r="C88" s="174">
        <v>1</v>
      </c>
      <c r="D88" s="174">
        <v>0</v>
      </c>
      <c r="E88" s="177">
        <v>5.9690000000000003</v>
      </c>
      <c r="F88" s="177">
        <v>7.6609999999999996</v>
      </c>
      <c r="G88" s="177">
        <v>7.6680000000000001</v>
      </c>
      <c r="H88" s="177">
        <v>0</v>
      </c>
      <c r="I88" s="177">
        <v>0</v>
      </c>
      <c r="J88" s="177">
        <v>0</v>
      </c>
      <c r="K88" s="177">
        <v>0</v>
      </c>
      <c r="L88" s="176">
        <v>0</v>
      </c>
      <c r="M88" s="176">
        <v>0</v>
      </c>
      <c r="N88" s="177">
        <v>7.9539999999999997</v>
      </c>
      <c r="O88" s="177">
        <v>8.6010000000000009</v>
      </c>
      <c r="P88" s="176">
        <v>69677.039999999994</v>
      </c>
      <c r="Q88" s="176">
        <v>75344.760000000009</v>
      </c>
      <c r="R88" s="174">
        <v>5.7869999999999999</v>
      </c>
      <c r="S88" s="176">
        <v>50694.12</v>
      </c>
      <c r="T88" s="176">
        <v>50694.12</v>
      </c>
      <c r="U88" s="177">
        <v>2.1669999999999998</v>
      </c>
      <c r="V88" s="177">
        <v>2.8140000000000001</v>
      </c>
      <c r="W88" s="177">
        <v>2.1669999999999998</v>
      </c>
      <c r="X88" s="177">
        <v>2.8140000000000001</v>
      </c>
      <c r="Y88" s="177">
        <v>0</v>
      </c>
      <c r="Z88" s="177">
        <v>0</v>
      </c>
      <c r="AA88" s="174">
        <v>0</v>
      </c>
      <c r="AB88" s="174">
        <v>0</v>
      </c>
      <c r="AC88" s="177">
        <v>2.1669999999999998</v>
      </c>
      <c r="AD88" s="177">
        <v>2.8140000000000001</v>
      </c>
      <c r="AE88" s="178">
        <v>8.3330000000000003E-4</v>
      </c>
      <c r="AF88" s="178">
        <v>8.3330000000000003E-4</v>
      </c>
      <c r="AG88" s="178">
        <v>0</v>
      </c>
      <c r="AH88" s="178">
        <v>8.3330000000000003E-4</v>
      </c>
      <c r="AI88" s="178">
        <v>8.3330000000000003E-4</v>
      </c>
      <c r="AJ88" s="178">
        <v>8.3330000000000003E-4</v>
      </c>
      <c r="AK88" s="178">
        <v>0.72757608395775708</v>
      </c>
      <c r="AL88" s="178">
        <v>0.67284503799558182</v>
      </c>
      <c r="AM88" s="178">
        <v>1.3744599965439779</v>
      </c>
      <c r="AN88" s="178">
        <v>1.4862623120787974</v>
      </c>
      <c r="AO88" s="178">
        <v>9.6212199758078459E-2</v>
      </c>
      <c r="AP88" s="178">
        <v>0.10403836184551583</v>
      </c>
      <c r="AQ88" s="174">
        <v>1</v>
      </c>
      <c r="AR88" s="174">
        <v>1</v>
      </c>
      <c r="AS88" s="177">
        <v>0</v>
      </c>
      <c r="AT88" s="177">
        <v>0</v>
      </c>
      <c r="AU88" s="177">
        <v>2.1669999999999998</v>
      </c>
      <c r="AV88" s="177">
        <v>2.8140000000000001</v>
      </c>
      <c r="AW88" s="177">
        <v>0</v>
      </c>
      <c r="AX88" s="177">
        <v>0</v>
      </c>
      <c r="AY88" s="177">
        <v>0</v>
      </c>
      <c r="AZ88" s="177">
        <v>0</v>
      </c>
      <c r="BA88" s="177">
        <v>0</v>
      </c>
      <c r="BB88" s="177">
        <v>0</v>
      </c>
      <c r="BC88" s="177">
        <v>0</v>
      </c>
      <c r="BD88" s="177">
        <v>0</v>
      </c>
      <c r="BE88" s="177">
        <v>7.9539999999999997</v>
      </c>
      <c r="BF88" s="177">
        <v>8.6010000000000009</v>
      </c>
      <c r="BG88" s="174">
        <v>1</v>
      </c>
      <c r="BH88" s="174"/>
      <c r="BI88" s="174"/>
      <c r="BJ88" s="174"/>
      <c r="BK88" s="174"/>
      <c r="BL88" s="174"/>
      <c r="BM88" s="174"/>
      <c r="BN88" s="174"/>
    </row>
    <row r="89" spans="1:66">
      <c r="A89" s="174">
        <v>10278</v>
      </c>
      <c r="B89" s="174" t="s">
        <v>93</v>
      </c>
      <c r="C89" s="174">
        <v>0</v>
      </c>
      <c r="D89" s="174">
        <v>1</v>
      </c>
      <c r="E89" s="177">
        <v>36.463999999999999</v>
      </c>
      <c r="F89" s="177">
        <v>36.24</v>
      </c>
      <c r="G89" s="177">
        <v>36.259</v>
      </c>
      <c r="H89" s="177">
        <v>0</v>
      </c>
      <c r="I89" s="177">
        <v>0</v>
      </c>
      <c r="J89" s="177">
        <v>1.53</v>
      </c>
      <c r="K89" s="177">
        <v>1.53</v>
      </c>
      <c r="L89" s="176">
        <v>13402.800000000001</v>
      </c>
      <c r="M89" s="176">
        <v>13402.800000000001</v>
      </c>
      <c r="N89" s="177">
        <v>33.238</v>
      </c>
      <c r="O89" s="177">
        <v>33.396000000000001</v>
      </c>
      <c r="P89" s="176">
        <v>291164.88</v>
      </c>
      <c r="Q89" s="176">
        <v>292548.96000000002</v>
      </c>
      <c r="R89" s="174">
        <v>35.350999999999999</v>
      </c>
      <c r="S89" s="176">
        <v>309674.76</v>
      </c>
      <c r="T89" s="176">
        <v>309674.76</v>
      </c>
      <c r="U89" s="177">
        <v>0</v>
      </c>
      <c r="V89" s="177">
        <v>0</v>
      </c>
      <c r="W89" s="177">
        <v>0</v>
      </c>
      <c r="X89" s="177">
        <v>0</v>
      </c>
      <c r="Y89" s="177">
        <v>0</v>
      </c>
      <c r="Z89" s="177">
        <v>0</v>
      </c>
      <c r="AA89" s="174">
        <v>0</v>
      </c>
      <c r="AB89" s="174">
        <v>0</v>
      </c>
      <c r="AC89" s="177">
        <v>0</v>
      </c>
      <c r="AD89" s="177">
        <v>0</v>
      </c>
      <c r="AE89" s="178">
        <v>4.7860000000000003E-3</v>
      </c>
      <c r="AF89" s="178">
        <v>4.8087E-3</v>
      </c>
      <c r="AG89" s="178">
        <v>0</v>
      </c>
      <c r="AH89" s="178">
        <v>4.7860000000000003E-3</v>
      </c>
      <c r="AI89" s="178">
        <v>4.8087E-3</v>
      </c>
      <c r="AJ89" s="178">
        <v>4.7973500000000006E-3</v>
      </c>
      <c r="AK89" s="178">
        <v>1</v>
      </c>
      <c r="AL89" s="178">
        <v>0.99999086526370029</v>
      </c>
      <c r="AM89" s="178">
        <v>1</v>
      </c>
      <c r="AN89" s="178">
        <v>1</v>
      </c>
      <c r="AO89" s="178">
        <v>7.0000000000000007E-2</v>
      </c>
      <c r="AP89" s="178">
        <v>7.0000000000000007E-2</v>
      </c>
      <c r="AQ89" s="174">
        <v>6</v>
      </c>
      <c r="AR89" s="174">
        <v>6</v>
      </c>
      <c r="AS89" s="177">
        <v>0</v>
      </c>
      <c r="AT89" s="177">
        <v>0</v>
      </c>
      <c r="AU89" s="177">
        <v>0</v>
      </c>
      <c r="AV89" s="177">
        <v>0</v>
      </c>
      <c r="AW89" s="177">
        <v>0</v>
      </c>
      <c r="AX89" s="177">
        <v>0</v>
      </c>
      <c r="AY89" s="177">
        <v>0</v>
      </c>
      <c r="AZ89" s="177">
        <v>0</v>
      </c>
      <c r="BA89" s="177">
        <v>0</v>
      </c>
      <c r="BB89" s="177">
        <v>0</v>
      </c>
      <c r="BC89" s="177">
        <v>0</v>
      </c>
      <c r="BD89" s="177">
        <v>0</v>
      </c>
      <c r="BE89" s="177">
        <v>33.238</v>
      </c>
      <c r="BF89" s="177">
        <v>33.396000000000001</v>
      </c>
      <c r="BG89" s="174">
        <v>0</v>
      </c>
      <c r="BH89" s="174"/>
      <c r="BI89" s="174"/>
      <c r="BJ89" s="174"/>
      <c r="BK89" s="174"/>
      <c r="BL89" s="174"/>
      <c r="BM89" s="174"/>
      <c r="BN89" s="174"/>
    </row>
    <row r="90" spans="1:66">
      <c r="A90" s="174">
        <v>10279</v>
      </c>
      <c r="B90" s="174" t="s">
        <v>94</v>
      </c>
      <c r="C90" s="174">
        <v>1</v>
      </c>
      <c r="D90" s="174">
        <v>0</v>
      </c>
      <c r="E90" s="177">
        <v>65.730999999999995</v>
      </c>
      <c r="F90" s="177">
        <v>89.881</v>
      </c>
      <c r="G90" s="177">
        <v>108.735</v>
      </c>
      <c r="H90" s="177">
        <v>7.843</v>
      </c>
      <c r="I90" s="177">
        <v>22.187999999999999</v>
      </c>
      <c r="J90" s="177">
        <v>4.4039999999999999</v>
      </c>
      <c r="K90" s="177">
        <v>4.4039999999999999</v>
      </c>
      <c r="L90" s="176">
        <v>38579.040000000001</v>
      </c>
      <c r="M90" s="176">
        <v>38579.040000000001</v>
      </c>
      <c r="N90" s="177">
        <v>71.456000000000003</v>
      </c>
      <c r="O90" s="177">
        <v>75.614000000000004</v>
      </c>
      <c r="P90" s="176">
        <v>625954.56000000006</v>
      </c>
      <c r="Q90" s="176">
        <v>662378.64</v>
      </c>
      <c r="R90" s="174">
        <v>63.725000000000001</v>
      </c>
      <c r="S90" s="176">
        <v>558231</v>
      </c>
      <c r="T90" s="176">
        <v>558231</v>
      </c>
      <c r="U90" s="177">
        <v>7.7309999999999999</v>
      </c>
      <c r="V90" s="177">
        <v>11.888999999999999</v>
      </c>
      <c r="W90" s="177">
        <v>7.7309999999999999</v>
      </c>
      <c r="X90" s="177">
        <v>11.888999999999999</v>
      </c>
      <c r="Y90" s="177">
        <v>0</v>
      </c>
      <c r="Z90" s="177">
        <v>0</v>
      </c>
      <c r="AA90" s="174">
        <v>0</v>
      </c>
      <c r="AB90" s="174">
        <v>0</v>
      </c>
      <c r="AC90" s="177">
        <v>7.7309999999999999</v>
      </c>
      <c r="AD90" s="177">
        <v>11.888999999999999</v>
      </c>
      <c r="AE90" s="178">
        <v>9.1759000000000007E-3</v>
      </c>
      <c r="AF90" s="178">
        <v>9.1759000000000007E-3</v>
      </c>
      <c r="AG90" s="178">
        <v>0</v>
      </c>
      <c r="AH90" s="178">
        <v>9.1759000000000007E-3</v>
      </c>
      <c r="AI90" s="178">
        <v>9.1759000000000007E-3</v>
      </c>
      <c r="AJ90" s="178">
        <v>9.1759000000000007E-3</v>
      </c>
      <c r="AK90" s="178">
        <v>0.89809138427893498</v>
      </c>
      <c r="AL90" s="178">
        <v>0.85142358483591196</v>
      </c>
      <c r="AM90" s="178">
        <v>1.1213181639858769</v>
      </c>
      <c r="AN90" s="178">
        <v>1.1865672812867791</v>
      </c>
      <c r="AO90" s="178">
        <v>0</v>
      </c>
      <c r="AP90" s="178">
        <v>0</v>
      </c>
      <c r="AQ90" s="174">
        <v>3</v>
      </c>
      <c r="AR90" s="174">
        <v>3</v>
      </c>
      <c r="AS90" s="177">
        <v>22</v>
      </c>
      <c r="AT90" s="177">
        <v>22</v>
      </c>
      <c r="AU90" s="177">
        <v>0.73099999999999998</v>
      </c>
      <c r="AV90" s="177">
        <v>0.88900000000000001</v>
      </c>
      <c r="AW90" s="177">
        <v>0</v>
      </c>
      <c r="AX90" s="177">
        <v>0</v>
      </c>
      <c r="AY90" s="177">
        <v>0</v>
      </c>
      <c r="AZ90" s="177">
        <v>0</v>
      </c>
      <c r="BA90" s="177">
        <v>0</v>
      </c>
      <c r="BB90" s="177">
        <v>0</v>
      </c>
      <c r="BC90" s="177">
        <v>0</v>
      </c>
      <c r="BD90" s="177">
        <v>0</v>
      </c>
      <c r="BE90" s="177">
        <v>64.456000000000003</v>
      </c>
      <c r="BF90" s="177">
        <v>64.614000000000004</v>
      </c>
      <c r="BG90" s="174">
        <v>1</v>
      </c>
      <c r="BH90" s="174"/>
      <c r="BI90" s="174"/>
      <c r="BJ90" s="174"/>
      <c r="BK90" s="174"/>
      <c r="BL90" s="174"/>
      <c r="BM90" s="174"/>
      <c r="BN90" s="174"/>
    </row>
    <row r="91" spans="1:66">
      <c r="A91" s="174">
        <v>10284</v>
      </c>
      <c r="B91" s="174" t="s">
        <v>95</v>
      </c>
      <c r="C91" s="174">
        <v>1</v>
      </c>
      <c r="D91" s="174">
        <v>0</v>
      </c>
      <c r="E91" s="177">
        <v>10.31</v>
      </c>
      <c r="F91" s="177">
        <v>9.7780000000000005</v>
      </c>
      <c r="G91" s="177">
        <v>9.7970000000000006</v>
      </c>
      <c r="H91" s="177">
        <v>0</v>
      </c>
      <c r="I91" s="177">
        <v>0</v>
      </c>
      <c r="J91" s="177">
        <v>0</v>
      </c>
      <c r="K91" s="177">
        <v>0</v>
      </c>
      <c r="L91" s="176">
        <v>0</v>
      </c>
      <c r="M91" s="176">
        <v>0</v>
      </c>
      <c r="N91" s="177">
        <v>9.7780000000000005</v>
      </c>
      <c r="O91" s="177">
        <v>9.7970000000000006</v>
      </c>
      <c r="P91" s="176">
        <v>85655.28</v>
      </c>
      <c r="Q91" s="176">
        <v>85821.72</v>
      </c>
      <c r="R91" s="174">
        <v>9.9949999999999992</v>
      </c>
      <c r="S91" s="176">
        <v>87556.2</v>
      </c>
      <c r="T91" s="176">
        <v>87556.2</v>
      </c>
      <c r="U91" s="177">
        <v>0</v>
      </c>
      <c r="V91" s="177">
        <v>0</v>
      </c>
      <c r="W91" s="177">
        <v>0</v>
      </c>
      <c r="X91" s="177">
        <v>0</v>
      </c>
      <c r="Y91" s="177">
        <v>0</v>
      </c>
      <c r="Z91" s="177">
        <v>0</v>
      </c>
      <c r="AA91" s="174">
        <v>0</v>
      </c>
      <c r="AB91" s="174">
        <v>0</v>
      </c>
      <c r="AC91" s="177">
        <v>0</v>
      </c>
      <c r="AD91" s="177">
        <v>0</v>
      </c>
      <c r="AE91" s="178">
        <v>1.408E-3</v>
      </c>
      <c r="AF91" s="178">
        <v>1.4107E-3</v>
      </c>
      <c r="AG91" s="178">
        <v>0</v>
      </c>
      <c r="AH91" s="178">
        <v>1.408E-3</v>
      </c>
      <c r="AI91" s="178">
        <v>1.4107E-3</v>
      </c>
      <c r="AJ91" s="178">
        <v>1.40935E-3</v>
      </c>
      <c r="AK91" s="178">
        <v>1</v>
      </c>
      <c r="AL91" s="178">
        <v>1</v>
      </c>
      <c r="AM91" s="178">
        <v>1</v>
      </c>
      <c r="AN91" s="178">
        <v>1</v>
      </c>
      <c r="AO91" s="178">
        <v>5.5E-2</v>
      </c>
      <c r="AP91" s="178">
        <v>5.5E-2</v>
      </c>
      <c r="AQ91" s="174">
        <v>1</v>
      </c>
      <c r="AR91" s="174">
        <v>1</v>
      </c>
      <c r="AS91" s="177">
        <v>0</v>
      </c>
      <c r="AT91" s="177">
        <v>0</v>
      </c>
      <c r="AU91" s="177">
        <v>0</v>
      </c>
      <c r="AV91" s="177">
        <v>0</v>
      </c>
      <c r="AW91" s="177">
        <v>0</v>
      </c>
      <c r="AX91" s="177">
        <v>0</v>
      </c>
      <c r="AY91" s="177">
        <v>0</v>
      </c>
      <c r="AZ91" s="177">
        <v>0</v>
      </c>
      <c r="BA91" s="177">
        <v>0</v>
      </c>
      <c r="BB91" s="177">
        <v>0</v>
      </c>
      <c r="BC91" s="177">
        <v>0</v>
      </c>
      <c r="BD91" s="177">
        <v>0</v>
      </c>
      <c r="BE91" s="177">
        <v>9.7780000000000005</v>
      </c>
      <c r="BF91" s="177">
        <v>9.7970000000000006</v>
      </c>
      <c r="BG91" s="174">
        <v>0</v>
      </c>
      <c r="BH91" s="174"/>
      <c r="BI91" s="174"/>
      <c r="BJ91" s="174"/>
      <c r="BK91" s="174"/>
      <c r="BL91" s="174"/>
      <c r="BM91" s="174"/>
      <c r="BN91" s="174"/>
    </row>
    <row r="92" spans="1:66">
      <c r="A92" s="174">
        <v>10285</v>
      </c>
      <c r="B92" s="174" t="s">
        <v>96</v>
      </c>
      <c r="C92" s="174">
        <v>0</v>
      </c>
      <c r="D92" s="174">
        <v>1</v>
      </c>
      <c r="E92" s="177">
        <v>6.6260000000000003</v>
      </c>
      <c r="F92" s="177">
        <v>6.7930000000000001</v>
      </c>
      <c r="G92" s="177">
        <v>6.8449999999999998</v>
      </c>
      <c r="H92" s="177">
        <v>0</v>
      </c>
      <c r="I92" s="177">
        <v>0</v>
      </c>
      <c r="J92" s="177">
        <v>0</v>
      </c>
      <c r="K92" s="177">
        <v>0</v>
      </c>
      <c r="L92" s="176">
        <v>0</v>
      </c>
      <c r="M92" s="176">
        <v>0</v>
      </c>
      <c r="N92" s="177">
        <v>6.63</v>
      </c>
      <c r="O92" s="177">
        <v>6.6509999999999998</v>
      </c>
      <c r="P92" s="176">
        <v>58078.799999999996</v>
      </c>
      <c r="Q92" s="176">
        <v>58262.759999999995</v>
      </c>
      <c r="R92" s="174">
        <v>6.4240000000000004</v>
      </c>
      <c r="S92" s="176">
        <v>56274.240000000005</v>
      </c>
      <c r="T92" s="176">
        <v>56274.240000000005</v>
      </c>
      <c r="U92" s="177">
        <v>0.20599999999999999</v>
      </c>
      <c r="V92" s="177">
        <v>0.22700000000000001</v>
      </c>
      <c r="W92" s="177">
        <v>0.20599999999999999</v>
      </c>
      <c r="X92" s="177">
        <v>0.22700000000000001</v>
      </c>
      <c r="Y92" s="177">
        <v>0</v>
      </c>
      <c r="Z92" s="177">
        <v>0</v>
      </c>
      <c r="AA92" s="174">
        <v>0</v>
      </c>
      <c r="AB92" s="174">
        <v>0</v>
      </c>
      <c r="AC92" s="177">
        <v>0.20599999999999999</v>
      </c>
      <c r="AD92" s="177">
        <v>0.22700000000000001</v>
      </c>
      <c r="AE92" s="178">
        <v>9.2500000000000004E-4</v>
      </c>
      <c r="AF92" s="178">
        <v>9.2500000000000004E-4</v>
      </c>
      <c r="AG92" s="178">
        <v>0</v>
      </c>
      <c r="AH92" s="178">
        <v>9.2500000000000004E-4</v>
      </c>
      <c r="AI92" s="178">
        <v>9.2500000000000004E-4</v>
      </c>
      <c r="AJ92" s="178">
        <v>9.2500000000000004E-4</v>
      </c>
      <c r="AK92" s="178">
        <v>0.96892647812971344</v>
      </c>
      <c r="AL92" s="178">
        <v>0.96586717035032321</v>
      </c>
      <c r="AM92" s="178">
        <v>1.0320672478206725</v>
      </c>
      <c r="AN92" s="178">
        <v>1.0353362391033623</v>
      </c>
      <c r="AO92" s="178">
        <v>7.2244707347447076E-2</v>
      </c>
      <c r="AP92" s="178">
        <v>7.2473536737235361E-2</v>
      </c>
      <c r="AQ92" s="174">
        <v>6</v>
      </c>
      <c r="AR92" s="174">
        <v>6</v>
      </c>
      <c r="AS92" s="177">
        <v>0</v>
      </c>
      <c r="AT92" s="177">
        <v>0</v>
      </c>
      <c r="AU92" s="177">
        <v>0</v>
      </c>
      <c r="AV92" s="177">
        <v>0</v>
      </c>
      <c r="AW92" s="177">
        <v>0</v>
      </c>
      <c r="AX92" s="177">
        <v>0</v>
      </c>
      <c r="AY92" s="177">
        <v>0</v>
      </c>
      <c r="AZ92" s="177">
        <v>0</v>
      </c>
      <c r="BA92" s="177">
        <v>0</v>
      </c>
      <c r="BB92" s="177">
        <v>0</v>
      </c>
      <c r="BC92" s="177">
        <v>0</v>
      </c>
      <c r="BD92" s="177">
        <v>0</v>
      </c>
      <c r="BE92" s="177">
        <v>6.4240000000000004</v>
      </c>
      <c r="BF92" s="177">
        <v>6.4240000000000004</v>
      </c>
      <c r="BG92" s="174">
        <v>0</v>
      </c>
      <c r="BH92" s="174"/>
      <c r="BI92" s="174"/>
      <c r="BJ92" s="174"/>
      <c r="BK92" s="174"/>
      <c r="BL92" s="174"/>
      <c r="BM92" s="174"/>
      <c r="BN92" s="174"/>
    </row>
    <row r="93" spans="1:66">
      <c r="A93" s="174">
        <v>10286</v>
      </c>
      <c r="B93" s="174" t="s">
        <v>97</v>
      </c>
      <c r="C93" s="174">
        <v>1</v>
      </c>
      <c r="D93" s="174">
        <v>0</v>
      </c>
      <c r="E93" s="177">
        <v>46.595999999999997</v>
      </c>
      <c r="F93" s="177">
        <v>73.986000000000004</v>
      </c>
      <c r="G93" s="177">
        <v>75.006</v>
      </c>
      <c r="H93" s="177">
        <v>0</v>
      </c>
      <c r="I93" s="177">
        <v>0</v>
      </c>
      <c r="J93" s="177">
        <v>24.257999999999999</v>
      </c>
      <c r="K93" s="177">
        <v>24.283999999999999</v>
      </c>
      <c r="L93" s="176">
        <v>212500.08</v>
      </c>
      <c r="M93" s="176">
        <v>212727.84</v>
      </c>
      <c r="N93" s="177">
        <v>49.728000000000002</v>
      </c>
      <c r="O93" s="177">
        <v>50.722000000000001</v>
      </c>
      <c r="P93" s="176">
        <v>435617.28000000003</v>
      </c>
      <c r="Q93" s="176">
        <v>444324.72000000003</v>
      </c>
      <c r="R93" s="174">
        <v>45.173999999999999</v>
      </c>
      <c r="S93" s="176">
        <v>395724.24</v>
      </c>
      <c r="T93" s="176">
        <v>395724.24</v>
      </c>
      <c r="U93" s="177">
        <v>5.9950000000000001</v>
      </c>
      <c r="V93" s="177">
        <v>6.9169999999999998</v>
      </c>
      <c r="W93" s="177">
        <v>5.9950000000000001</v>
      </c>
      <c r="X93" s="177">
        <v>6.9169999999999998</v>
      </c>
      <c r="Y93" s="177">
        <v>0</v>
      </c>
      <c r="Z93" s="177">
        <v>0</v>
      </c>
      <c r="AA93" s="174">
        <v>0</v>
      </c>
      <c r="AB93" s="174">
        <v>0</v>
      </c>
      <c r="AC93" s="177">
        <v>5.9950000000000001</v>
      </c>
      <c r="AD93" s="177">
        <v>6.9169999999999998</v>
      </c>
      <c r="AE93" s="178">
        <v>6.5047000000000004E-3</v>
      </c>
      <c r="AF93" s="178">
        <v>6.5047000000000004E-3</v>
      </c>
      <c r="AG93" s="178">
        <v>3.6116999999999998E-3</v>
      </c>
      <c r="AH93" s="178">
        <v>2.8930000000000006E-3</v>
      </c>
      <c r="AI93" s="178">
        <v>2.8930000000000006E-3</v>
      </c>
      <c r="AJ93" s="178">
        <v>2.8930000000000006E-3</v>
      </c>
      <c r="AK93" s="178">
        <v>0.92052103061503177</v>
      </c>
      <c r="AL93" s="178">
        <v>0.9094355453512275</v>
      </c>
      <c r="AM93" s="178">
        <v>1.1008102005578431</v>
      </c>
      <c r="AN93" s="178">
        <v>1.1228140080577325</v>
      </c>
      <c r="AO93" s="178">
        <v>0</v>
      </c>
      <c r="AP93" s="178">
        <v>0</v>
      </c>
      <c r="AQ93" s="174">
        <v>4</v>
      </c>
      <c r="AR93" s="174">
        <v>4</v>
      </c>
      <c r="AS93" s="177">
        <v>0</v>
      </c>
      <c r="AT93" s="177">
        <v>0</v>
      </c>
      <c r="AU93" s="177">
        <v>0</v>
      </c>
      <c r="AV93" s="177">
        <v>0</v>
      </c>
      <c r="AW93" s="177">
        <v>0</v>
      </c>
      <c r="AX93" s="177">
        <v>0</v>
      </c>
      <c r="AY93" s="177">
        <v>0</v>
      </c>
      <c r="AZ93" s="177">
        <v>0</v>
      </c>
      <c r="BA93" s="177">
        <v>0</v>
      </c>
      <c r="BB93" s="177">
        <v>0</v>
      </c>
      <c r="BC93" s="177">
        <v>0</v>
      </c>
      <c r="BD93" s="177">
        <v>0</v>
      </c>
      <c r="BE93" s="177">
        <v>45.173999999999999</v>
      </c>
      <c r="BF93" s="177">
        <v>45.173999999999999</v>
      </c>
      <c r="BG93" s="174">
        <v>0</v>
      </c>
      <c r="BH93" s="174"/>
      <c r="BI93" s="174"/>
      <c r="BJ93" s="174"/>
      <c r="BK93" s="174"/>
      <c r="BL93" s="174"/>
      <c r="BM93" s="174"/>
      <c r="BN93" s="174"/>
    </row>
    <row r="94" spans="1:66">
      <c r="A94" s="174">
        <v>10288</v>
      </c>
      <c r="B94" s="174" t="s">
        <v>98</v>
      </c>
      <c r="C94" s="174">
        <v>0</v>
      </c>
      <c r="D94" s="174">
        <v>1</v>
      </c>
      <c r="E94" s="177">
        <v>25.103000000000002</v>
      </c>
      <c r="F94" s="177">
        <v>24.085999999999999</v>
      </c>
      <c r="G94" s="177">
        <v>24.146999999999998</v>
      </c>
      <c r="H94" s="177">
        <v>0</v>
      </c>
      <c r="I94" s="177">
        <v>0</v>
      </c>
      <c r="J94" s="177">
        <v>0</v>
      </c>
      <c r="K94" s="177">
        <v>0</v>
      </c>
      <c r="L94" s="176">
        <v>0</v>
      </c>
      <c r="M94" s="176">
        <v>0</v>
      </c>
      <c r="N94" s="177">
        <v>24.824000000000002</v>
      </c>
      <c r="O94" s="177">
        <v>24.885999999999999</v>
      </c>
      <c r="P94" s="176">
        <v>217458.24000000002</v>
      </c>
      <c r="Q94" s="176">
        <v>218001.36</v>
      </c>
      <c r="R94" s="174">
        <v>24.337</v>
      </c>
      <c r="S94" s="176">
        <v>213192.12</v>
      </c>
      <c r="T94" s="176">
        <v>213192.12</v>
      </c>
      <c r="U94" s="177">
        <v>0.48699999999999999</v>
      </c>
      <c r="V94" s="177">
        <v>0.54900000000000004</v>
      </c>
      <c r="W94" s="177">
        <v>0.48699999999999999</v>
      </c>
      <c r="X94" s="177">
        <v>0.54900000000000004</v>
      </c>
      <c r="Y94" s="177">
        <v>0</v>
      </c>
      <c r="Z94" s="177">
        <v>0</v>
      </c>
      <c r="AA94" s="174">
        <v>0</v>
      </c>
      <c r="AB94" s="174">
        <v>0</v>
      </c>
      <c r="AC94" s="177">
        <v>0.48699999999999999</v>
      </c>
      <c r="AD94" s="177">
        <v>0.54900000000000004</v>
      </c>
      <c r="AE94" s="178">
        <v>3.5043000000000001E-3</v>
      </c>
      <c r="AF94" s="178">
        <v>3.5043000000000001E-3</v>
      </c>
      <c r="AG94" s="178">
        <v>0</v>
      </c>
      <c r="AH94" s="178">
        <v>3.5043000000000001E-3</v>
      </c>
      <c r="AI94" s="178">
        <v>3.5043000000000001E-3</v>
      </c>
      <c r="AJ94" s="178">
        <v>3.5043000000000001E-3</v>
      </c>
      <c r="AK94" s="178">
        <v>0.98037479204801803</v>
      </c>
      <c r="AL94" s="178">
        <v>0.97793232491360615</v>
      </c>
      <c r="AM94" s="178">
        <v>1.0200106833216913</v>
      </c>
      <c r="AN94" s="178">
        <v>1.0225582446480668</v>
      </c>
      <c r="AO94" s="178">
        <v>5.6100587582693019E-2</v>
      </c>
      <c r="AP94" s="178">
        <v>5.6240703455643672E-2</v>
      </c>
      <c r="AQ94" s="174">
        <v>6</v>
      </c>
      <c r="AR94" s="174">
        <v>6</v>
      </c>
      <c r="AS94" s="177">
        <v>0</v>
      </c>
      <c r="AT94" s="177">
        <v>0</v>
      </c>
      <c r="AU94" s="177">
        <v>0</v>
      </c>
      <c r="AV94" s="177">
        <v>0</v>
      </c>
      <c r="AW94" s="177">
        <v>0</v>
      </c>
      <c r="AX94" s="177">
        <v>0</v>
      </c>
      <c r="AY94" s="177">
        <v>0</v>
      </c>
      <c r="AZ94" s="177">
        <v>0</v>
      </c>
      <c r="BA94" s="177">
        <v>0</v>
      </c>
      <c r="BB94" s="177">
        <v>0</v>
      </c>
      <c r="BC94" s="177">
        <v>0</v>
      </c>
      <c r="BD94" s="177">
        <v>0</v>
      </c>
      <c r="BE94" s="177">
        <v>24.337</v>
      </c>
      <c r="BF94" s="177">
        <v>24.337</v>
      </c>
      <c r="BG94" s="174">
        <v>0</v>
      </c>
      <c r="BH94" s="174"/>
      <c r="BI94" s="174"/>
      <c r="BJ94" s="174"/>
      <c r="BK94" s="174"/>
      <c r="BL94" s="174"/>
      <c r="BM94" s="174"/>
      <c r="BN94" s="174"/>
    </row>
    <row r="95" spans="1:66">
      <c r="A95" s="174">
        <v>10291</v>
      </c>
      <c r="B95" s="174" t="s">
        <v>99</v>
      </c>
      <c r="C95" s="174">
        <v>1</v>
      </c>
      <c r="D95" s="174">
        <v>0</v>
      </c>
      <c r="E95" s="177">
        <v>80.363</v>
      </c>
      <c r="F95" s="177">
        <v>78.563999999999993</v>
      </c>
      <c r="G95" s="177">
        <v>77.902000000000001</v>
      </c>
      <c r="H95" s="177">
        <v>0</v>
      </c>
      <c r="I95" s="177">
        <v>0</v>
      </c>
      <c r="J95" s="177">
        <v>0</v>
      </c>
      <c r="K95" s="177">
        <v>0</v>
      </c>
      <c r="L95" s="176">
        <v>0</v>
      </c>
      <c r="M95" s="176">
        <v>0</v>
      </c>
      <c r="N95" s="177">
        <v>77.408000000000001</v>
      </c>
      <c r="O95" s="177">
        <v>78.774000000000001</v>
      </c>
      <c r="P95" s="176">
        <v>678094.08</v>
      </c>
      <c r="Q95" s="176">
        <v>690060.24</v>
      </c>
      <c r="R95" s="174">
        <v>77.911000000000001</v>
      </c>
      <c r="S95" s="176">
        <v>682500.36</v>
      </c>
      <c r="T95" s="176">
        <v>682500.36</v>
      </c>
      <c r="U95" s="177">
        <v>0</v>
      </c>
      <c r="V95" s="177">
        <v>0.86299999999999999</v>
      </c>
      <c r="W95" s="177">
        <v>0</v>
      </c>
      <c r="X95" s="177">
        <v>0</v>
      </c>
      <c r="Y95" s="177">
        <v>0</v>
      </c>
      <c r="Z95" s="177">
        <v>0.86299999999999999</v>
      </c>
      <c r="AA95" s="174">
        <v>0</v>
      </c>
      <c r="AB95" s="174">
        <v>0</v>
      </c>
      <c r="AC95" s="177">
        <v>0</v>
      </c>
      <c r="AD95" s="177">
        <v>0</v>
      </c>
      <c r="AE95" s="178">
        <v>1.1146100000000001E-2</v>
      </c>
      <c r="AF95" s="178">
        <v>1.1218499999999999E-2</v>
      </c>
      <c r="AG95" s="178">
        <v>0</v>
      </c>
      <c r="AH95" s="178">
        <v>1.1146100000000001E-2</v>
      </c>
      <c r="AI95" s="178">
        <v>1.1218499999999999E-2</v>
      </c>
      <c r="AJ95" s="178">
        <v>1.1182299999999999E-2</v>
      </c>
      <c r="AK95" s="178">
        <v>0.99999932824255888</v>
      </c>
      <c r="AL95" s="178">
        <v>0.98904149657247309</v>
      </c>
      <c r="AM95" s="178">
        <v>1</v>
      </c>
      <c r="AN95" s="178">
        <v>1.0110767414100705</v>
      </c>
      <c r="AO95" s="178">
        <v>0.05</v>
      </c>
      <c r="AP95" s="178">
        <v>5.0553837070503531E-2</v>
      </c>
      <c r="AQ95" s="174">
        <v>1</v>
      </c>
      <c r="AR95" s="174">
        <v>1</v>
      </c>
      <c r="AS95" s="177">
        <v>0</v>
      </c>
      <c r="AT95" s="177">
        <v>0</v>
      </c>
      <c r="AU95" s="177">
        <v>0</v>
      </c>
      <c r="AV95" s="177">
        <v>0</v>
      </c>
      <c r="AW95" s="177">
        <v>0</v>
      </c>
      <c r="AX95" s="177">
        <v>0</v>
      </c>
      <c r="AY95" s="177">
        <v>0</v>
      </c>
      <c r="AZ95" s="177">
        <v>0</v>
      </c>
      <c r="BA95" s="177">
        <v>0</v>
      </c>
      <c r="BB95" s="177">
        <v>0</v>
      </c>
      <c r="BC95" s="177">
        <v>0</v>
      </c>
      <c r="BD95" s="177">
        <v>0</v>
      </c>
      <c r="BE95" s="177">
        <v>77.408000000000001</v>
      </c>
      <c r="BF95" s="177">
        <v>78.774000000000001</v>
      </c>
      <c r="BG95" s="174">
        <v>1</v>
      </c>
      <c r="BH95" s="174"/>
      <c r="BI95" s="174"/>
      <c r="BJ95" s="174"/>
      <c r="BK95" s="174"/>
      <c r="BL95" s="174"/>
      <c r="BM95" s="174"/>
      <c r="BN95" s="174"/>
    </row>
    <row r="96" spans="1:66">
      <c r="A96" s="174">
        <v>10294</v>
      </c>
      <c r="B96" s="174" t="s">
        <v>100</v>
      </c>
      <c r="C96" s="174">
        <v>1</v>
      </c>
      <c r="D96" s="174">
        <v>0</v>
      </c>
      <c r="E96" s="177">
        <v>36.869</v>
      </c>
      <c r="F96" s="177">
        <v>34.29</v>
      </c>
      <c r="G96" s="177">
        <v>34.405000000000001</v>
      </c>
      <c r="H96" s="177">
        <v>0</v>
      </c>
      <c r="I96" s="177">
        <v>0</v>
      </c>
      <c r="J96" s="177">
        <v>0</v>
      </c>
      <c r="K96" s="177">
        <v>0</v>
      </c>
      <c r="L96" s="176">
        <v>0</v>
      </c>
      <c r="M96" s="176">
        <v>0</v>
      </c>
      <c r="N96" s="177">
        <v>34.29</v>
      </c>
      <c r="O96" s="177">
        <v>34.405000000000001</v>
      </c>
      <c r="P96" s="176">
        <v>300380.39999999997</v>
      </c>
      <c r="Q96" s="176">
        <v>301387.8</v>
      </c>
      <c r="R96" s="174">
        <v>35.744</v>
      </c>
      <c r="S96" s="176">
        <v>313117.44</v>
      </c>
      <c r="T96" s="176">
        <v>313117.44</v>
      </c>
      <c r="U96" s="177">
        <v>0</v>
      </c>
      <c r="V96" s="177">
        <v>0</v>
      </c>
      <c r="W96" s="177">
        <v>0</v>
      </c>
      <c r="X96" s="177">
        <v>0</v>
      </c>
      <c r="Y96" s="177">
        <v>0</v>
      </c>
      <c r="Z96" s="177">
        <v>0</v>
      </c>
      <c r="AA96" s="174">
        <v>0</v>
      </c>
      <c r="AB96" s="174">
        <v>0</v>
      </c>
      <c r="AC96" s="177">
        <v>0</v>
      </c>
      <c r="AD96" s="177">
        <v>0</v>
      </c>
      <c r="AE96" s="178">
        <v>4.9375E-3</v>
      </c>
      <c r="AF96" s="178">
        <v>4.9540000000000001E-3</v>
      </c>
      <c r="AG96" s="178">
        <v>2.8173999999999999E-3</v>
      </c>
      <c r="AH96" s="178">
        <v>2.1201000000000002E-3</v>
      </c>
      <c r="AI96" s="178">
        <v>2.1366000000000002E-3</v>
      </c>
      <c r="AJ96" s="178">
        <v>2.1283500000000002E-3</v>
      </c>
      <c r="AK96" s="178">
        <v>1</v>
      </c>
      <c r="AL96" s="178">
        <v>0.99999323017003339</v>
      </c>
      <c r="AM96" s="178">
        <v>1</v>
      </c>
      <c r="AN96" s="178">
        <v>1</v>
      </c>
      <c r="AO96" s="178">
        <v>0</v>
      </c>
      <c r="AP96" s="178">
        <v>0</v>
      </c>
      <c r="AQ96" s="174">
        <v>4</v>
      </c>
      <c r="AR96" s="174">
        <v>4</v>
      </c>
      <c r="AS96" s="177">
        <v>0</v>
      </c>
      <c r="AT96" s="177">
        <v>0</v>
      </c>
      <c r="AU96" s="177">
        <v>0</v>
      </c>
      <c r="AV96" s="177">
        <v>0</v>
      </c>
      <c r="AW96" s="177">
        <v>0</v>
      </c>
      <c r="AX96" s="177">
        <v>0</v>
      </c>
      <c r="AY96" s="177">
        <v>0</v>
      </c>
      <c r="AZ96" s="177">
        <v>0</v>
      </c>
      <c r="BA96" s="177">
        <v>0</v>
      </c>
      <c r="BB96" s="177">
        <v>0</v>
      </c>
      <c r="BC96" s="177">
        <v>0</v>
      </c>
      <c r="BD96" s="177">
        <v>0</v>
      </c>
      <c r="BE96" s="177">
        <v>34.29</v>
      </c>
      <c r="BF96" s="177">
        <v>34.405000000000001</v>
      </c>
      <c r="BG96" s="174">
        <v>0</v>
      </c>
      <c r="BH96" s="174"/>
      <c r="BI96" s="174"/>
      <c r="BJ96" s="174"/>
      <c r="BK96" s="174"/>
      <c r="BL96" s="174"/>
      <c r="BM96" s="174"/>
      <c r="BN96" s="174"/>
    </row>
    <row r="97" spans="1:66">
      <c r="A97" s="174">
        <v>10304</v>
      </c>
      <c r="B97" s="174" t="s">
        <v>101</v>
      </c>
      <c r="C97" s="174">
        <v>1</v>
      </c>
      <c r="D97" s="174">
        <v>0</v>
      </c>
      <c r="E97" s="177">
        <v>14.278</v>
      </c>
      <c r="F97" s="177">
        <v>13.598000000000001</v>
      </c>
      <c r="G97" s="177">
        <v>13.635999999999999</v>
      </c>
      <c r="H97" s="177">
        <v>0</v>
      </c>
      <c r="I97" s="177">
        <v>0</v>
      </c>
      <c r="J97" s="177">
        <v>0</v>
      </c>
      <c r="K97" s="177">
        <v>0</v>
      </c>
      <c r="L97" s="176">
        <v>0</v>
      </c>
      <c r="M97" s="176">
        <v>0</v>
      </c>
      <c r="N97" s="177">
        <v>13.598000000000001</v>
      </c>
      <c r="O97" s="177">
        <v>13.635999999999999</v>
      </c>
      <c r="P97" s="176">
        <v>119118.48000000001</v>
      </c>
      <c r="Q97" s="176">
        <v>119451.35999999999</v>
      </c>
      <c r="R97" s="174">
        <v>13.842000000000001</v>
      </c>
      <c r="S97" s="176">
        <v>121255.92</v>
      </c>
      <c r="T97" s="176">
        <v>121255.92</v>
      </c>
      <c r="U97" s="177">
        <v>0</v>
      </c>
      <c r="V97" s="177">
        <v>0</v>
      </c>
      <c r="W97" s="177">
        <v>0</v>
      </c>
      <c r="X97" s="177">
        <v>0</v>
      </c>
      <c r="Y97" s="177">
        <v>0</v>
      </c>
      <c r="Z97" s="177">
        <v>0</v>
      </c>
      <c r="AA97" s="174">
        <v>0</v>
      </c>
      <c r="AB97" s="174">
        <v>0</v>
      </c>
      <c r="AC97" s="177">
        <v>0</v>
      </c>
      <c r="AD97" s="177">
        <v>0</v>
      </c>
      <c r="AE97" s="178">
        <v>1.9580000000000001E-3</v>
      </c>
      <c r="AF97" s="178">
        <v>1.9635E-3</v>
      </c>
      <c r="AG97" s="178">
        <v>0</v>
      </c>
      <c r="AH97" s="178">
        <v>1.9580000000000001E-3</v>
      </c>
      <c r="AI97" s="178">
        <v>1.9635E-3</v>
      </c>
      <c r="AJ97" s="178">
        <v>1.9607499999999998E-3</v>
      </c>
      <c r="AK97" s="178">
        <v>1</v>
      </c>
      <c r="AL97" s="178">
        <v>1</v>
      </c>
      <c r="AM97" s="178">
        <v>1</v>
      </c>
      <c r="AN97" s="178">
        <v>1</v>
      </c>
      <c r="AO97" s="178">
        <v>0</v>
      </c>
      <c r="AP97" s="178">
        <v>0</v>
      </c>
      <c r="AQ97" s="174">
        <v>1</v>
      </c>
      <c r="AR97" s="174">
        <v>1</v>
      </c>
      <c r="AS97" s="177">
        <v>0</v>
      </c>
      <c r="AT97" s="177">
        <v>0</v>
      </c>
      <c r="AU97" s="177">
        <v>0</v>
      </c>
      <c r="AV97" s="177">
        <v>0</v>
      </c>
      <c r="AW97" s="177">
        <v>0</v>
      </c>
      <c r="AX97" s="177">
        <v>0</v>
      </c>
      <c r="AY97" s="177">
        <v>0</v>
      </c>
      <c r="AZ97" s="177">
        <v>0</v>
      </c>
      <c r="BA97" s="177">
        <v>0</v>
      </c>
      <c r="BB97" s="177">
        <v>0</v>
      </c>
      <c r="BC97" s="177">
        <v>0</v>
      </c>
      <c r="BD97" s="177">
        <v>0</v>
      </c>
      <c r="BE97" s="177">
        <v>13.598000000000001</v>
      </c>
      <c r="BF97" s="177">
        <v>13.635999999999999</v>
      </c>
      <c r="BG97" s="174">
        <v>0</v>
      </c>
      <c r="BH97" s="174"/>
      <c r="BI97" s="174"/>
      <c r="BJ97" s="174"/>
      <c r="BK97" s="174"/>
      <c r="BL97" s="174"/>
      <c r="BM97" s="174"/>
      <c r="BN97" s="174"/>
    </row>
    <row r="98" spans="1:66">
      <c r="A98" s="174">
        <v>10306</v>
      </c>
      <c r="B98" s="174" t="s">
        <v>102</v>
      </c>
      <c r="C98" s="174">
        <v>1</v>
      </c>
      <c r="D98" s="174">
        <v>0</v>
      </c>
      <c r="E98" s="177">
        <v>26.152999999999999</v>
      </c>
      <c r="F98" s="177">
        <v>86</v>
      </c>
      <c r="G98" s="177">
        <v>30.027999999999999</v>
      </c>
      <c r="H98" s="177">
        <v>40.590000000000003</v>
      </c>
      <c r="I98" s="177">
        <v>0</v>
      </c>
      <c r="J98" s="177">
        <v>46.249000000000002</v>
      </c>
      <c r="K98" s="177">
        <v>86.653000000000006</v>
      </c>
      <c r="L98" s="176">
        <v>405141.24000000005</v>
      </c>
      <c r="M98" s="176">
        <v>759080.28</v>
      </c>
      <c r="N98" s="177">
        <v>0</v>
      </c>
      <c r="O98" s="177">
        <v>0</v>
      </c>
      <c r="P98" s="176">
        <v>0</v>
      </c>
      <c r="Q98" s="176">
        <v>0</v>
      </c>
      <c r="R98" s="174">
        <v>25.355</v>
      </c>
      <c r="S98" s="176">
        <v>222109.80000000002</v>
      </c>
      <c r="T98" s="176">
        <v>222109.80000000002</v>
      </c>
      <c r="U98" s="177">
        <v>0</v>
      </c>
      <c r="V98" s="177">
        <v>0</v>
      </c>
      <c r="W98" s="177">
        <v>0</v>
      </c>
      <c r="X98" s="177">
        <v>0</v>
      </c>
      <c r="Y98" s="177">
        <v>0</v>
      </c>
      <c r="Z98" s="177">
        <v>0</v>
      </c>
      <c r="AA98" s="174">
        <v>0</v>
      </c>
      <c r="AB98" s="174">
        <v>0</v>
      </c>
      <c r="AC98" s="177">
        <v>0</v>
      </c>
      <c r="AD98" s="177">
        <v>0</v>
      </c>
      <c r="AE98" s="178">
        <v>0</v>
      </c>
      <c r="AF98" s="178">
        <v>0</v>
      </c>
      <c r="AG98" s="178">
        <v>0</v>
      </c>
      <c r="AH98" s="178">
        <v>0</v>
      </c>
      <c r="AI98" s="178">
        <v>0</v>
      </c>
      <c r="AJ98" s="178">
        <v>0</v>
      </c>
      <c r="AK98" s="178">
        <v>1</v>
      </c>
      <c r="AL98" s="178">
        <v>1</v>
      </c>
      <c r="AM98" s="178">
        <v>1</v>
      </c>
      <c r="AN98" s="178">
        <v>1</v>
      </c>
      <c r="AO98" s="178">
        <v>0</v>
      </c>
      <c r="AP98" s="178">
        <v>0</v>
      </c>
      <c r="AQ98" s="174">
        <v>4</v>
      </c>
      <c r="AR98" s="174">
        <v>4</v>
      </c>
      <c r="AS98" s="177">
        <v>0</v>
      </c>
      <c r="AT98" s="177">
        <v>0</v>
      </c>
      <c r="AU98" s="177">
        <v>0</v>
      </c>
      <c r="AV98" s="177">
        <v>0</v>
      </c>
      <c r="AW98" s="177">
        <v>0</v>
      </c>
      <c r="AX98" s="177">
        <v>0</v>
      </c>
      <c r="AY98" s="177">
        <v>0</v>
      </c>
      <c r="AZ98" s="177">
        <v>0</v>
      </c>
      <c r="BA98" s="177">
        <v>0</v>
      </c>
      <c r="BB98" s="177">
        <v>0</v>
      </c>
      <c r="BC98" s="177">
        <v>0</v>
      </c>
      <c r="BD98" s="177">
        <v>0</v>
      </c>
      <c r="BE98" s="177">
        <v>0</v>
      </c>
      <c r="BF98" s="177">
        <v>0</v>
      </c>
      <c r="BG98" s="174">
        <v>0</v>
      </c>
      <c r="BH98" s="174"/>
      <c r="BI98" s="174"/>
      <c r="BJ98" s="174"/>
      <c r="BK98" s="174"/>
      <c r="BL98" s="174"/>
      <c r="BM98" s="174"/>
      <c r="BN98" s="174"/>
    </row>
    <row r="99" spans="1:66">
      <c r="A99" s="174">
        <v>10307</v>
      </c>
      <c r="B99" s="174" t="s">
        <v>103</v>
      </c>
      <c r="C99" s="174">
        <v>1</v>
      </c>
      <c r="D99" s="174">
        <v>0</v>
      </c>
      <c r="E99" s="177">
        <v>73.058999999999997</v>
      </c>
      <c r="F99" s="177">
        <v>67.260999999999996</v>
      </c>
      <c r="G99" s="177">
        <v>67.343000000000004</v>
      </c>
      <c r="H99" s="177">
        <v>0</v>
      </c>
      <c r="I99" s="177">
        <v>0</v>
      </c>
      <c r="J99" s="177">
        <v>0</v>
      </c>
      <c r="K99" s="177">
        <v>0</v>
      </c>
      <c r="L99" s="176">
        <v>0</v>
      </c>
      <c r="M99" s="176">
        <v>0</v>
      </c>
      <c r="N99" s="177">
        <v>67.260999999999996</v>
      </c>
      <c r="O99" s="177">
        <v>67.343000000000004</v>
      </c>
      <c r="P99" s="176">
        <v>589206.36</v>
      </c>
      <c r="Q99" s="176">
        <v>589924.68000000005</v>
      </c>
      <c r="R99" s="174">
        <v>70.83</v>
      </c>
      <c r="S99" s="176">
        <v>620470.79999999993</v>
      </c>
      <c r="T99" s="176">
        <v>620470.79999999993</v>
      </c>
      <c r="U99" s="177">
        <v>0</v>
      </c>
      <c r="V99" s="177">
        <v>0</v>
      </c>
      <c r="W99" s="177">
        <v>0</v>
      </c>
      <c r="X99" s="177">
        <v>0</v>
      </c>
      <c r="Y99" s="177">
        <v>0</v>
      </c>
      <c r="Z99" s="177">
        <v>0</v>
      </c>
      <c r="AA99" s="174">
        <v>1</v>
      </c>
      <c r="AB99" s="174">
        <v>1</v>
      </c>
      <c r="AC99" s="177">
        <v>0</v>
      </c>
      <c r="AD99" s="177">
        <v>0</v>
      </c>
      <c r="AE99" s="178">
        <v>9.6849999999999992E-3</v>
      </c>
      <c r="AF99" s="178">
        <v>9.6968000000000002E-3</v>
      </c>
      <c r="AG99" s="178">
        <v>0</v>
      </c>
      <c r="AH99" s="178">
        <v>9.6849999999999992E-3</v>
      </c>
      <c r="AI99" s="178">
        <v>9.6968000000000002E-3</v>
      </c>
      <c r="AJ99" s="178">
        <v>9.6908999999999988E-3</v>
      </c>
      <c r="AK99" s="178">
        <v>0.99999752471714642</v>
      </c>
      <c r="AL99" s="178">
        <v>0.99999677312861024</v>
      </c>
      <c r="AM99" s="178">
        <v>1</v>
      </c>
      <c r="AN99" s="178">
        <v>1</v>
      </c>
      <c r="AO99" s="178">
        <v>0</v>
      </c>
      <c r="AP99" s="178">
        <v>0</v>
      </c>
      <c r="AQ99" s="174">
        <v>3</v>
      </c>
      <c r="AR99" s="174">
        <v>3</v>
      </c>
      <c r="AS99" s="177">
        <v>0</v>
      </c>
      <c r="AT99" s="177">
        <v>0</v>
      </c>
      <c r="AU99" s="177">
        <v>1</v>
      </c>
      <c r="AV99" s="177">
        <v>1</v>
      </c>
      <c r="AW99" s="177">
        <v>0</v>
      </c>
      <c r="AX99" s="177">
        <v>0</v>
      </c>
      <c r="AY99" s="177">
        <v>-1</v>
      </c>
      <c r="AZ99" s="177">
        <v>-1</v>
      </c>
      <c r="BA99" s="177">
        <v>-1</v>
      </c>
      <c r="BB99" s="177">
        <v>-1</v>
      </c>
      <c r="BC99" s="177">
        <v>0</v>
      </c>
      <c r="BD99" s="177">
        <v>0</v>
      </c>
      <c r="BE99" s="177">
        <v>67.260999999999996</v>
      </c>
      <c r="BF99" s="177">
        <v>67.343000000000004</v>
      </c>
      <c r="BG99" s="174">
        <v>0</v>
      </c>
      <c r="BH99" s="174"/>
      <c r="BI99" s="174"/>
      <c r="BJ99" s="174"/>
      <c r="BK99" s="174"/>
      <c r="BL99" s="174"/>
      <c r="BM99" s="174"/>
      <c r="BN99" s="174"/>
    </row>
    <row r="100" spans="1:66">
      <c r="A100" s="174">
        <v>10326</v>
      </c>
      <c r="B100" s="174" t="s">
        <v>104</v>
      </c>
      <c r="C100" s="174">
        <v>1</v>
      </c>
      <c r="D100" s="174">
        <v>0</v>
      </c>
      <c r="E100" s="177">
        <v>30.914000000000001</v>
      </c>
      <c r="F100" s="177">
        <v>28.962</v>
      </c>
      <c r="G100" s="177">
        <v>28.991</v>
      </c>
      <c r="H100" s="177">
        <v>0</v>
      </c>
      <c r="I100" s="177">
        <v>0</v>
      </c>
      <c r="J100" s="177">
        <v>0</v>
      </c>
      <c r="K100" s="177">
        <v>0</v>
      </c>
      <c r="L100" s="176">
        <v>0</v>
      </c>
      <c r="M100" s="176">
        <v>0</v>
      </c>
      <c r="N100" s="177">
        <v>28.655000000000001</v>
      </c>
      <c r="O100" s="177">
        <v>28.655000000000001</v>
      </c>
      <c r="P100" s="176">
        <v>251017.80000000002</v>
      </c>
      <c r="Q100" s="176">
        <v>251017.80000000002</v>
      </c>
      <c r="R100" s="174">
        <v>29.971</v>
      </c>
      <c r="S100" s="176">
        <v>262545.96000000002</v>
      </c>
      <c r="T100" s="176">
        <v>262545.96000000002</v>
      </c>
      <c r="U100" s="177">
        <v>0</v>
      </c>
      <c r="V100" s="177">
        <v>0</v>
      </c>
      <c r="W100" s="177">
        <v>0</v>
      </c>
      <c r="X100" s="177">
        <v>0</v>
      </c>
      <c r="Y100" s="177">
        <v>0</v>
      </c>
      <c r="Z100" s="177">
        <v>0</v>
      </c>
      <c r="AA100" s="174">
        <v>0</v>
      </c>
      <c r="AB100" s="174">
        <v>0</v>
      </c>
      <c r="AC100" s="177">
        <v>0</v>
      </c>
      <c r="AD100" s="177">
        <v>0</v>
      </c>
      <c r="AE100" s="178">
        <v>4.1260999999999997E-3</v>
      </c>
      <c r="AF100" s="178">
        <v>4.1260999999999997E-3</v>
      </c>
      <c r="AG100" s="178">
        <v>0</v>
      </c>
      <c r="AH100" s="178">
        <v>4.1260999999999997E-3</v>
      </c>
      <c r="AI100" s="178">
        <v>4.1260999999999997E-3</v>
      </c>
      <c r="AJ100" s="178">
        <v>4.1260999999999997E-3</v>
      </c>
      <c r="AK100" s="178">
        <v>1</v>
      </c>
      <c r="AL100" s="178">
        <v>1</v>
      </c>
      <c r="AM100" s="178">
        <v>1</v>
      </c>
      <c r="AN100" s="178">
        <v>1</v>
      </c>
      <c r="AO100" s="178">
        <v>0</v>
      </c>
      <c r="AP100" s="178">
        <v>0</v>
      </c>
      <c r="AQ100" s="174">
        <v>1</v>
      </c>
      <c r="AR100" s="174">
        <v>1</v>
      </c>
      <c r="AS100" s="177">
        <v>0</v>
      </c>
      <c r="AT100" s="177">
        <v>0</v>
      </c>
      <c r="AU100" s="177">
        <v>0</v>
      </c>
      <c r="AV100" s="177">
        <v>0</v>
      </c>
      <c r="AW100" s="177">
        <v>0</v>
      </c>
      <c r="AX100" s="177">
        <v>0</v>
      </c>
      <c r="AY100" s="177">
        <v>0</v>
      </c>
      <c r="AZ100" s="177">
        <v>0</v>
      </c>
      <c r="BA100" s="177">
        <v>0</v>
      </c>
      <c r="BB100" s="177">
        <v>0</v>
      </c>
      <c r="BC100" s="177">
        <v>0</v>
      </c>
      <c r="BD100" s="177">
        <v>0</v>
      </c>
      <c r="BE100" s="177">
        <v>28.655000000000001</v>
      </c>
      <c r="BF100" s="177">
        <v>28.655000000000001</v>
      </c>
      <c r="BG100" s="174">
        <v>0</v>
      </c>
      <c r="BH100" s="174"/>
      <c r="BI100" s="174"/>
      <c r="BJ100" s="174"/>
      <c r="BK100" s="174"/>
      <c r="BL100" s="174"/>
      <c r="BM100" s="174"/>
      <c r="BN100" s="174"/>
    </row>
    <row r="101" spans="1:66">
      <c r="A101" s="174">
        <v>10331</v>
      </c>
      <c r="B101" s="174" t="s">
        <v>105</v>
      </c>
      <c r="C101" s="174">
        <v>0</v>
      </c>
      <c r="D101" s="174">
        <v>1</v>
      </c>
      <c r="E101" s="177">
        <v>37.148000000000003</v>
      </c>
      <c r="F101" s="177">
        <v>35.887</v>
      </c>
      <c r="G101" s="177">
        <v>35.887</v>
      </c>
      <c r="H101" s="177">
        <v>0</v>
      </c>
      <c r="I101" s="177">
        <v>0</v>
      </c>
      <c r="J101" s="177">
        <v>0</v>
      </c>
      <c r="K101" s="177">
        <v>0</v>
      </c>
      <c r="L101" s="176">
        <v>0</v>
      </c>
      <c r="M101" s="176">
        <v>0</v>
      </c>
      <c r="N101" s="177">
        <v>36.097999999999999</v>
      </c>
      <c r="O101" s="177">
        <v>36.097999999999999</v>
      </c>
      <c r="P101" s="176">
        <v>316218.48</v>
      </c>
      <c r="Q101" s="176">
        <v>316218.48</v>
      </c>
      <c r="R101" s="174">
        <v>36.015000000000001</v>
      </c>
      <c r="S101" s="176">
        <v>315491.40000000002</v>
      </c>
      <c r="T101" s="176">
        <v>315491.40000000002</v>
      </c>
      <c r="U101" s="177">
        <v>8.3000000000000004E-2</v>
      </c>
      <c r="V101" s="177">
        <v>8.3000000000000004E-2</v>
      </c>
      <c r="W101" s="177">
        <v>8.3000000000000004E-2</v>
      </c>
      <c r="X101" s="177">
        <v>8.3000000000000004E-2</v>
      </c>
      <c r="Y101" s="177">
        <v>0</v>
      </c>
      <c r="Z101" s="177">
        <v>0</v>
      </c>
      <c r="AA101" s="174">
        <v>0</v>
      </c>
      <c r="AB101" s="174">
        <v>0</v>
      </c>
      <c r="AC101" s="177">
        <v>8.3000000000000004E-2</v>
      </c>
      <c r="AD101" s="177">
        <v>8.3000000000000004E-2</v>
      </c>
      <c r="AE101" s="178">
        <v>5.1859000000000002E-3</v>
      </c>
      <c r="AF101" s="178">
        <v>5.1859000000000002E-3</v>
      </c>
      <c r="AG101" s="178">
        <v>0</v>
      </c>
      <c r="AH101" s="178">
        <v>5.1859000000000002E-3</v>
      </c>
      <c r="AI101" s="178">
        <v>5.1859000000000002E-3</v>
      </c>
      <c r="AJ101" s="178">
        <v>5.1859000000000002E-3</v>
      </c>
      <c r="AK101" s="178">
        <v>0.99770837363288822</v>
      </c>
      <c r="AL101" s="178">
        <v>0.99770837363288822</v>
      </c>
      <c r="AM101" s="178">
        <v>1.0023045953075107</v>
      </c>
      <c r="AN101" s="178">
        <v>1.0023045953075107</v>
      </c>
      <c r="AO101" s="178">
        <v>7.016132167152575E-2</v>
      </c>
      <c r="AP101" s="178">
        <v>7.016132167152575E-2</v>
      </c>
      <c r="AQ101" s="174">
        <v>6</v>
      </c>
      <c r="AR101" s="174">
        <v>6</v>
      </c>
      <c r="AS101" s="177">
        <v>0</v>
      </c>
      <c r="AT101" s="177">
        <v>0</v>
      </c>
      <c r="AU101" s="177">
        <v>0</v>
      </c>
      <c r="AV101" s="177">
        <v>0</v>
      </c>
      <c r="AW101" s="177">
        <v>0</v>
      </c>
      <c r="AX101" s="177">
        <v>0</v>
      </c>
      <c r="AY101" s="177">
        <v>0</v>
      </c>
      <c r="AZ101" s="177">
        <v>0</v>
      </c>
      <c r="BA101" s="177">
        <v>0</v>
      </c>
      <c r="BB101" s="177">
        <v>0</v>
      </c>
      <c r="BC101" s="177">
        <v>0</v>
      </c>
      <c r="BD101" s="177">
        <v>0</v>
      </c>
      <c r="BE101" s="177">
        <v>36.015000000000001</v>
      </c>
      <c r="BF101" s="177">
        <v>36.015000000000001</v>
      </c>
      <c r="BG101" s="174">
        <v>0</v>
      </c>
      <c r="BH101" s="174"/>
      <c r="BI101" s="174"/>
      <c r="BJ101" s="174"/>
      <c r="BK101" s="174"/>
      <c r="BL101" s="174"/>
      <c r="BM101" s="174"/>
      <c r="BN101" s="174"/>
    </row>
    <row r="102" spans="1:66">
      <c r="A102" s="174">
        <v>10333</v>
      </c>
      <c r="B102" s="174" t="s">
        <v>106</v>
      </c>
      <c r="C102" s="174">
        <v>1</v>
      </c>
      <c r="D102" s="174">
        <v>0</v>
      </c>
      <c r="E102" s="177">
        <v>18.791</v>
      </c>
      <c r="F102" s="177">
        <v>18.332000000000001</v>
      </c>
      <c r="G102" s="177">
        <v>18.442</v>
      </c>
      <c r="H102" s="177">
        <v>0</v>
      </c>
      <c r="I102" s="177">
        <v>0</v>
      </c>
      <c r="J102" s="177">
        <v>0</v>
      </c>
      <c r="K102" s="177">
        <v>0</v>
      </c>
      <c r="L102" s="176">
        <v>0</v>
      </c>
      <c r="M102" s="176">
        <v>0</v>
      </c>
      <c r="N102" s="177">
        <v>18.744</v>
      </c>
      <c r="O102" s="177">
        <v>18.890999999999998</v>
      </c>
      <c r="P102" s="176">
        <v>164197.44</v>
      </c>
      <c r="Q102" s="176">
        <v>165485.15999999997</v>
      </c>
      <c r="R102" s="174">
        <v>18.218</v>
      </c>
      <c r="S102" s="176">
        <v>159589.68</v>
      </c>
      <c r="T102" s="176">
        <v>159589.68</v>
      </c>
      <c r="U102" s="177">
        <v>0.52600000000000002</v>
      </c>
      <c r="V102" s="177">
        <v>0.67300000000000004</v>
      </c>
      <c r="W102" s="177">
        <v>0</v>
      </c>
      <c r="X102" s="177">
        <v>0</v>
      </c>
      <c r="Y102" s="177">
        <v>0.52600000000000002</v>
      </c>
      <c r="Z102" s="177">
        <v>0.67300000000000004</v>
      </c>
      <c r="AA102" s="174">
        <v>0</v>
      </c>
      <c r="AB102" s="174">
        <v>0</v>
      </c>
      <c r="AC102" s="177">
        <v>0</v>
      </c>
      <c r="AD102" s="177">
        <v>0</v>
      </c>
      <c r="AE102" s="178">
        <v>2.6232E-3</v>
      </c>
      <c r="AF102" s="178">
        <v>2.6232E-3</v>
      </c>
      <c r="AG102" s="178">
        <v>0</v>
      </c>
      <c r="AH102" s="178">
        <v>2.6232E-3</v>
      </c>
      <c r="AI102" s="178">
        <v>2.6232E-3</v>
      </c>
      <c r="AJ102" s="178">
        <v>2.6232E-3</v>
      </c>
      <c r="AK102" s="178">
        <v>0.9719227500640204</v>
      </c>
      <c r="AL102" s="178">
        <v>0.96435974946800063</v>
      </c>
      <c r="AM102" s="178">
        <v>1.0288725436381601</v>
      </c>
      <c r="AN102" s="178">
        <v>1.0369414864419804</v>
      </c>
      <c r="AO102" s="178">
        <v>6.6876715336480402E-2</v>
      </c>
      <c r="AP102" s="178">
        <v>6.7401196618728731E-2</v>
      </c>
      <c r="AQ102" s="174">
        <v>1</v>
      </c>
      <c r="AR102" s="174">
        <v>1</v>
      </c>
      <c r="AS102" s="177">
        <v>0</v>
      </c>
      <c r="AT102" s="177">
        <v>0</v>
      </c>
      <c r="AU102" s="177">
        <v>0</v>
      </c>
      <c r="AV102" s="177">
        <v>0</v>
      </c>
      <c r="AW102" s="177">
        <v>0</v>
      </c>
      <c r="AX102" s="177">
        <v>0</v>
      </c>
      <c r="AY102" s="177">
        <v>0</v>
      </c>
      <c r="AZ102" s="177">
        <v>0</v>
      </c>
      <c r="BA102" s="177">
        <v>0</v>
      </c>
      <c r="BB102" s="177">
        <v>0</v>
      </c>
      <c r="BC102" s="177">
        <v>0</v>
      </c>
      <c r="BD102" s="177">
        <v>0</v>
      </c>
      <c r="BE102" s="177">
        <v>18.744</v>
      </c>
      <c r="BF102" s="177">
        <v>18.890999999999998</v>
      </c>
      <c r="BG102" s="174">
        <v>1</v>
      </c>
      <c r="BH102" s="174"/>
      <c r="BI102" s="174"/>
      <c r="BJ102" s="174"/>
      <c r="BK102" s="174"/>
      <c r="BL102" s="174"/>
      <c r="BM102" s="174"/>
      <c r="BN102" s="174"/>
    </row>
    <row r="103" spans="1:66">
      <c r="A103" s="174">
        <v>10338</v>
      </c>
      <c r="B103" s="174" t="s">
        <v>107</v>
      </c>
      <c r="C103" s="174">
        <v>1</v>
      </c>
      <c r="D103" s="174">
        <v>0</v>
      </c>
      <c r="E103" s="177">
        <v>2.4079999999999999</v>
      </c>
      <c r="F103" s="177">
        <v>2.399</v>
      </c>
      <c r="G103" s="177">
        <v>2.407</v>
      </c>
      <c r="H103" s="177">
        <v>0</v>
      </c>
      <c r="I103" s="177">
        <v>0</v>
      </c>
      <c r="J103" s="177">
        <v>0</v>
      </c>
      <c r="K103" s="177">
        <v>0</v>
      </c>
      <c r="L103" s="176">
        <v>0</v>
      </c>
      <c r="M103" s="176">
        <v>0</v>
      </c>
      <c r="N103" s="177">
        <v>2.3969999999999998</v>
      </c>
      <c r="O103" s="177">
        <v>2.4129999999999998</v>
      </c>
      <c r="P103" s="176">
        <v>20997.719999999998</v>
      </c>
      <c r="Q103" s="176">
        <v>21137.879999999997</v>
      </c>
      <c r="R103" s="174">
        <v>2.335</v>
      </c>
      <c r="S103" s="176">
        <v>20454.599999999999</v>
      </c>
      <c r="T103" s="176">
        <v>20454.599999999999</v>
      </c>
      <c r="U103" s="177">
        <v>6.2E-2</v>
      </c>
      <c r="V103" s="177">
        <v>7.8E-2</v>
      </c>
      <c r="W103" s="177">
        <v>0</v>
      </c>
      <c r="X103" s="177">
        <v>0</v>
      </c>
      <c r="Y103" s="177">
        <v>6.2E-2</v>
      </c>
      <c r="Z103" s="177">
        <v>7.8E-2</v>
      </c>
      <c r="AA103" s="174">
        <v>0</v>
      </c>
      <c r="AB103" s="174">
        <v>0</v>
      </c>
      <c r="AC103" s="177">
        <v>0</v>
      </c>
      <c r="AD103" s="177">
        <v>0</v>
      </c>
      <c r="AE103" s="178">
        <v>3.3619999999999999E-4</v>
      </c>
      <c r="AF103" s="178">
        <v>3.3619999999999999E-4</v>
      </c>
      <c r="AG103" s="178">
        <v>0</v>
      </c>
      <c r="AH103" s="178">
        <v>3.3619999999999999E-4</v>
      </c>
      <c r="AI103" s="178">
        <v>3.3619999999999999E-4</v>
      </c>
      <c r="AJ103" s="178">
        <v>3.3619999999999999E-4</v>
      </c>
      <c r="AK103" s="178">
        <v>0.97407477062995418</v>
      </c>
      <c r="AL103" s="178">
        <v>0.96761592424368015</v>
      </c>
      <c r="AM103" s="178">
        <v>1.0265524625267666</v>
      </c>
      <c r="AN103" s="178">
        <v>1.0334047109207709</v>
      </c>
      <c r="AO103" s="178">
        <v>4.1062098501070662E-2</v>
      </c>
      <c r="AP103" s="178">
        <v>4.1336188436830838E-2</v>
      </c>
      <c r="AQ103" s="174">
        <v>1</v>
      </c>
      <c r="AR103" s="174">
        <v>1</v>
      </c>
      <c r="AS103" s="177">
        <v>0</v>
      </c>
      <c r="AT103" s="177">
        <v>0</v>
      </c>
      <c r="AU103" s="177">
        <v>0</v>
      </c>
      <c r="AV103" s="177">
        <v>0</v>
      </c>
      <c r="AW103" s="177">
        <v>0</v>
      </c>
      <c r="AX103" s="177">
        <v>0</v>
      </c>
      <c r="AY103" s="177">
        <v>0</v>
      </c>
      <c r="AZ103" s="177">
        <v>0</v>
      </c>
      <c r="BA103" s="177">
        <v>0</v>
      </c>
      <c r="BB103" s="177">
        <v>0</v>
      </c>
      <c r="BC103" s="177">
        <v>0</v>
      </c>
      <c r="BD103" s="177">
        <v>0</v>
      </c>
      <c r="BE103" s="177">
        <v>2.3969999999999998</v>
      </c>
      <c r="BF103" s="177">
        <v>2.4129999999999998</v>
      </c>
      <c r="BG103" s="174">
        <v>0</v>
      </c>
      <c r="BH103" s="174"/>
      <c r="BI103" s="174"/>
      <c r="BJ103" s="174"/>
      <c r="BK103" s="174"/>
      <c r="BL103" s="174"/>
      <c r="BM103" s="174"/>
      <c r="BN103" s="174"/>
    </row>
    <row r="104" spans="1:66">
      <c r="A104" s="174">
        <v>10342</v>
      </c>
      <c r="B104" s="174" t="s">
        <v>108</v>
      </c>
      <c r="C104" s="174">
        <v>1</v>
      </c>
      <c r="D104" s="174">
        <v>0</v>
      </c>
      <c r="E104" s="177">
        <v>39.268000000000001</v>
      </c>
      <c r="F104" s="177">
        <v>37.39</v>
      </c>
      <c r="G104" s="177">
        <v>37.484000000000002</v>
      </c>
      <c r="H104" s="177">
        <v>0</v>
      </c>
      <c r="I104" s="177">
        <v>0</v>
      </c>
      <c r="J104" s="177">
        <v>0</v>
      </c>
      <c r="K104" s="177">
        <v>0</v>
      </c>
      <c r="L104" s="176">
        <v>0</v>
      </c>
      <c r="M104" s="176">
        <v>0</v>
      </c>
      <c r="N104" s="177">
        <v>37.39</v>
      </c>
      <c r="O104" s="177">
        <v>37.484000000000002</v>
      </c>
      <c r="P104" s="176">
        <v>327536.40000000002</v>
      </c>
      <c r="Q104" s="176">
        <v>328359.84000000003</v>
      </c>
      <c r="R104" s="174">
        <v>38.07</v>
      </c>
      <c r="S104" s="176">
        <v>333493.2</v>
      </c>
      <c r="T104" s="176">
        <v>333493.2</v>
      </c>
      <c r="U104" s="177">
        <v>0</v>
      </c>
      <c r="V104" s="177">
        <v>0</v>
      </c>
      <c r="W104" s="177">
        <v>0</v>
      </c>
      <c r="X104" s="177">
        <v>0</v>
      </c>
      <c r="Y104" s="177">
        <v>0</v>
      </c>
      <c r="Z104" s="177">
        <v>0</v>
      </c>
      <c r="AA104" s="174">
        <v>0</v>
      </c>
      <c r="AB104" s="174">
        <v>0</v>
      </c>
      <c r="AC104" s="177">
        <v>0</v>
      </c>
      <c r="AD104" s="177">
        <v>0</v>
      </c>
      <c r="AE104" s="178">
        <v>5.3838000000000002E-3</v>
      </c>
      <c r="AF104" s="178">
        <v>5.3974000000000001E-3</v>
      </c>
      <c r="AG104" s="178">
        <v>0</v>
      </c>
      <c r="AH104" s="178">
        <v>5.3838000000000002E-3</v>
      </c>
      <c r="AI104" s="178">
        <v>5.3974000000000001E-3</v>
      </c>
      <c r="AJ104" s="178">
        <v>5.3906000000000006E-3</v>
      </c>
      <c r="AK104" s="178">
        <v>0.99999095733618615</v>
      </c>
      <c r="AL104" s="178">
        <v>1</v>
      </c>
      <c r="AM104" s="178">
        <v>1</v>
      </c>
      <c r="AN104" s="178">
        <v>1</v>
      </c>
      <c r="AO104" s="178">
        <v>0</v>
      </c>
      <c r="AP104" s="178">
        <v>0</v>
      </c>
      <c r="AQ104" s="174">
        <v>1</v>
      </c>
      <c r="AR104" s="174">
        <v>1</v>
      </c>
      <c r="AS104" s="177">
        <v>0</v>
      </c>
      <c r="AT104" s="177">
        <v>0</v>
      </c>
      <c r="AU104" s="177">
        <v>0</v>
      </c>
      <c r="AV104" s="177">
        <v>0</v>
      </c>
      <c r="AW104" s="177">
        <v>0</v>
      </c>
      <c r="AX104" s="177">
        <v>0</v>
      </c>
      <c r="AY104" s="177">
        <v>0</v>
      </c>
      <c r="AZ104" s="177">
        <v>0</v>
      </c>
      <c r="BA104" s="177">
        <v>0</v>
      </c>
      <c r="BB104" s="177">
        <v>0</v>
      </c>
      <c r="BC104" s="177">
        <v>0</v>
      </c>
      <c r="BD104" s="177">
        <v>0</v>
      </c>
      <c r="BE104" s="177">
        <v>37.39</v>
      </c>
      <c r="BF104" s="177">
        <v>37.484000000000002</v>
      </c>
      <c r="BG104" s="174">
        <v>0</v>
      </c>
      <c r="BH104" s="174"/>
      <c r="BI104" s="174"/>
      <c r="BJ104" s="174"/>
      <c r="BK104" s="174"/>
      <c r="BL104" s="174"/>
      <c r="BM104" s="174"/>
      <c r="BN104" s="174"/>
    </row>
    <row r="105" spans="1:66">
      <c r="A105" s="174">
        <v>10343</v>
      </c>
      <c r="B105" s="174" t="s">
        <v>109</v>
      </c>
      <c r="C105" s="174">
        <v>1</v>
      </c>
      <c r="D105" s="174">
        <v>0</v>
      </c>
      <c r="E105" s="177">
        <v>31.856999999999999</v>
      </c>
      <c r="F105" s="177">
        <v>11.365</v>
      </c>
      <c r="G105" s="177">
        <v>11.365</v>
      </c>
      <c r="H105" s="177">
        <v>0</v>
      </c>
      <c r="I105" s="177">
        <v>0</v>
      </c>
      <c r="J105" s="177">
        <v>0</v>
      </c>
      <c r="K105" s="177">
        <v>0</v>
      </c>
      <c r="L105" s="176">
        <v>0</v>
      </c>
      <c r="M105" s="176">
        <v>0</v>
      </c>
      <c r="N105" s="177">
        <v>11.365</v>
      </c>
      <c r="O105" s="177">
        <v>11.365</v>
      </c>
      <c r="P105" s="176">
        <v>99557.400000000009</v>
      </c>
      <c r="Q105" s="176">
        <v>99557.400000000009</v>
      </c>
      <c r="R105" s="174">
        <v>30.885000000000002</v>
      </c>
      <c r="S105" s="176">
        <v>270552.60000000003</v>
      </c>
      <c r="T105" s="176">
        <v>270552.60000000003</v>
      </c>
      <c r="U105" s="177">
        <v>0</v>
      </c>
      <c r="V105" s="177">
        <v>0</v>
      </c>
      <c r="W105" s="177">
        <v>0</v>
      </c>
      <c r="X105" s="177">
        <v>0</v>
      </c>
      <c r="Y105" s="177">
        <v>0</v>
      </c>
      <c r="Z105" s="177">
        <v>0</v>
      </c>
      <c r="AA105" s="174">
        <v>0</v>
      </c>
      <c r="AB105" s="174">
        <v>0</v>
      </c>
      <c r="AC105" s="177">
        <v>0</v>
      </c>
      <c r="AD105" s="177">
        <v>0</v>
      </c>
      <c r="AE105" s="178">
        <v>1.6364999999999999E-3</v>
      </c>
      <c r="AF105" s="178">
        <v>1.6364999999999999E-3</v>
      </c>
      <c r="AG105" s="178">
        <v>0</v>
      </c>
      <c r="AH105" s="178">
        <v>1.6364999999999999E-3</v>
      </c>
      <c r="AI105" s="178">
        <v>1.6364999999999999E-3</v>
      </c>
      <c r="AJ105" s="178">
        <v>1.6364999999999999E-3</v>
      </c>
      <c r="AK105" s="178">
        <v>1</v>
      </c>
      <c r="AL105" s="178">
        <v>1</v>
      </c>
      <c r="AM105" s="178">
        <v>1</v>
      </c>
      <c r="AN105" s="178">
        <v>1</v>
      </c>
      <c r="AO105" s="178">
        <v>0.06</v>
      </c>
      <c r="AP105" s="178">
        <v>0.06</v>
      </c>
      <c r="AQ105" s="174">
        <v>1</v>
      </c>
      <c r="AR105" s="174">
        <v>1</v>
      </c>
      <c r="AS105" s="177">
        <v>0</v>
      </c>
      <c r="AT105" s="177">
        <v>0</v>
      </c>
      <c r="AU105" s="177">
        <v>0</v>
      </c>
      <c r="AV105" s="177">
        <v>0</v>
      </c>
      <c r="AW105" s="177">
        <v>0</v>
      </c>
      <c r="AX105" s="177">
        <v>0</v>
      </c>
      <c r="AY105" s="177">
        <v>0</v>
      </c>
      <c r="AZ105" s="177">
        <v>0</v>
      </c>
      <c r="BA105" s="177">
        <v>0</v>
      </c>
      <c r="BB105" s="177">
        <v>0</v>
      </c>
      <c r="BC105" s="177">
        <v>0</v>
      </c>
      <c r="BD105" s="177">
        <v>0</v>
      </c>
      <c r="BE105" s="177">
        <v>11.365</v>
      </c>
      <c r="BF105" s="177">
        <v>11.365</v>
      </c>
      <c r="BG105" s="174">
        <v>1</v>
      </c>
      <c r="BH105" s="174"/>
      <c r="BI105" s="174"/>
      <c r="BJ105" s="174"/>
      <c r="BK105" s="174"/>
      <c r="BL105" s="174"/>
      <c r="BM105" s="174"/>
      <c r="BN105" s="174"/>
    </row>
    <row r="106" spans="1:66">
      <c r="A106" s="174">
        <v>10349</v>
      </c>
      <c r="B106" s="174" t="s">
        <v>110</v>
      </c>
      <c r="C106" s="174">
        <v>1</v>
      </c>
      <c r="D106" s="174">
        <v>0</v>
      </c>
      <c r="E106" s="177">
        <v>531.72699999999998</v>
      </c>
      <c r="F106" s="177">
        <v>1126.595</v>
      </c>
      <c r="G106" s="177">
        <v>1130.8979999999999</v>
      </c>
      <c r="H106" s="177">
        <v>0</v>
      </c>
      <c r="I106" s="177">
        <v>0</v>
      </c>
      <c r="J106" s="177">
        <v>615.74599999999998</v>
      </c>
      <c r="K106" s="177">
        <v>615.74599999999998</v>
      </c>
      <c r="L106" s="176">
        <v>5393934.96</v>
      </c>
      <c r="M106" s="176">
        <v>5393934.96</v>
      </c>
      <c r="N106" s="177">
        <v>510.84899999999999</v>
      </c>
      <c r="O106" s="177">
        <v>515.15200000000004</v>
      </c>
      <c r="P106" s="176">
        <v>4475037.24</v>
      </c>
      <c r="Q106" s="176">
        <v>4512731.5200000005</v>
      </c>
      <c r="R106" s="174">
        <v>515.50300000000004</v>
      </c>
      <c r="S106" s="176">
        <v>4515806.28</v>
      </c>
      <c r="T106" s="176">
        <v>4515806.28</v>
      </c>
      <c r="U106" s="177">
        <v>9.4600000000000009</v>
      </c>
      <c r="V106" s="177">
        <v>14.305999999999999</v>
      </c>
      <c r="W106" s="177">
        <v>9.4600000000000009</v>
      </c>
      <c r="X106" s="177">
        <v>14.305999999999999</v>
      </c>
      <c r="Y106" s="177">
        <v>0</v>
      </c>
      <c r="Z106" s="177">
        <v>0</v>
      </c>
      <c r="AA106" s="174">
        <v>0</v>
      </c>
      <c r="AB106" s="174">
        <v>0</v>
      </c>
      <c r="AC106" s="177">
        <v>9.4600000000000009</v>
      </c>
      <c r="AD106" s="177">
        <v>14.305999999999999</v>
      </c>
      <c r="AE106" s="178">
        <v>7.3557999999999998E-2</v>
      </c>
      <c r="AF106" s="178">
        <v>7.4177599999999996E-2</v>
      </c>
      <c r="AG106" s="178">
        <v>0</v>
      </c>
      <c r="AH106" s="178">
        <v>7.3557999999999998E-2</v>
      </c>
      <c r="AI106" s="178">
        <v>7.4177599999999996E-2</v>
      </c>
      <c r="AJ106" s="178">
        <v>7.3867799999999997E-2</v>
      </c>
      <c r="AK106" s="178">
        <v>0.9917072784182468</v>
      </c>
      <c r="AL106" s="178">
        <v>0.9875120948860594</v>
      </c>
      <c r="AM106" s="178">
        <v>1</v>
      </c>
      <c r="AN106" s="178">
        <v>1</v>
      </c>
      <c r="AO106" s="178">
        <v>0</v>
      </c>
      <c r="AP106" s="178">
        <v>0</v>
      </c>
      <c r="AQ106" s="174">
        <v>4</v>
      </c>
      <c r="AR106" s="174">
        <v>4</v>
      </c>
      <c r="AS106" s="177">
        <v>0</v>
      </c>
      <c r="AT106" s="177">
        <v>0</v>
      </c>
      <c r="AU106" s="177">
        <v>0</v>
      </c>
      <c r="AV106" s="177">
        <v>0</v>
      </c>
      <c r="AW106" s="177">
        <v>0</v>
      </c>
      <c r="AX106" s="177">
        <v>0</v>
      </c>
      <c r="AY106" s="177">
        <v>0</v>
      </c>
      <c r="AZ106" s="177">
        <v>0</v>
      </c>
      <c r="BA106" s="177">
        <v>0</v>
      </c>
      <c r="BB106" s="177">
        <v>0</v>
      </c>
      <c r="BC106" s="177">
        <v>0</v>
      </c>
      <c r="BD106" s="177">
        <v>0</v>
      </c>
      <c r="BE106" s="177">
        <v>510.84899999999999</v>
      </c>
      <c r="BF106" s="177">
        <v>515.15200000000004</v>
      </c>
      <c r="BG106" s="174">
        <v>0</v>
      </c>
      <c r="BH106" s="174"/>
      <c r="BI106" s="174"/>
      <c r="BJ106" s="174"/>
      <c r="BK106" s="174"/>
      <c r="BL106" s="174"/>
      <c r="BM106" s="174"/>
      <c r="BN106" s="174"/>
    </row>
    <row r="107" spans="1:66">
      <c r="A107" s="174">
        <v>10352</v>
      </c>
      <c r="B107" s="174" t="s">
        <v>111</v>
      </c>
      <c r="C107" s="174">
        <v>1</v>
      </c>
      <c r="D107" s="174">
        <v>0</v>
      </c>
      <c r="E107" s="177">
        <v>16.143999999999998</v>
      </c>
      <c r="F107" s="177">
        <v>15.247999999999999</v>
      </c>
      <c r="G107" s="177">
        <v>15.278</v>
      </c>
      <c r="H107" s="177">
        <v>0</v>
      </c>
      <c r="I107" s="177">
        <v>0</v>
      </c>
      <c r="J107" s="177">
        <v>0</v>
      </c>
      <c r="K107" s="177">
        <v>0</v>
      </c>
      <c r="L107" s="176">
        <v>0</v>
      </c>
      <c r="M107" s="176">
        <v>0</v>
      </c>
      <c r="N107" s="177">
        <v>15.247999999999999</v>
      </c>
      <c r="O107" s="177">
        <v>15.278</v>
      </c>
      <c r="P107" s="176">
        <v>133572.47999999998</v>
      </c>
      <c r="Q107" s="176">
        <v>133835.28</v>
      </c>
      <c r="R107" s="174">
        <v>15.651</v>
      </c>
      <c r="S107" s="176">
        <v>137102.76</v>
      </c>
      <c r="T107" s="176">
        <v>137102.76</v>
      </c>
      <c r="U107" s="177">
        <v>0</v>
      </c>
      <c r="V107" s="177">
        <v>0</v>
      </c>
      <c r="W107" s="177">
        <v>0</v>
      </c>
      <c r="X107" s="177">
        <v>0</v>
      </c>
      <c r="Y107" s="177">
        <v>0</v>
      </c>
      <c r="Z107" s="177">
        <v>0</v>
      </c>
      <c r="AA107" s="174">
        <v>0</v>
      </c>
      <c r="AB107" s="174">
        <v>0</v>
      </c>
      <c r="AC107" s="177">
        <v>0</v>
      </c>
      <c r="AD107" s="177">
        <v>0</v>
      </c>
      <c r="AE107" s="178">
        <v>2.1955999999999998E-3</v>
      </c>
      <c r="AF107" s="178">
        <v>2.1998999999999999E-3</v>
      </c>
      <c r="AG107" s="178">
        <v>0</v>
      </c>
      <c r="AH107" s="178">
        <v>2.1955999999999998E-3</v>
      </c>
      <c r="AI107" s="178">
        <v>2.1998999999999999E-3</v>
      </c>
      <c r="AJ107" s="178">
        <v>2.1977500000000001E-3</v>
      </c>
      <c r="AK107" s="178">
        <v>1</v>
      </c>
      <c r="AL107" s="178">
        <v>0.99999782140332494</v>
      </c>
      <c r="AM107" s="178">
        <v>1</v>
      </c>
      <c r="AN107" s="178">
        <v>1</v>
      </c>
      <c r="AO107" s="178">
        <v>4.4999999999999998E-2</v>
      </c>
      <c r="AP107" s="178">
        <v>4.4999999999999998E-2</v>
      </c>
      <c r="AQ107" s="174">
        <v>1</v>
      </c>
      <c r="AR107" s="174">
        <v>1</v>
      </c>
      <c r="AS107" s="177">
        <v>0</v>
      </c>
      <c r="AT107" s="177">
        <v>0</v>
      </c>
      <c r="AU107" s="177">
        <v>0</v>
      </c>
      <c r="AV107" s="177">
        <v>0</v>
      </c>
      <c r="AW107" s="177">
        <v>0</v>
      </c>
      <c r="AX107" s="177">
        <v>0</v>
      </c>
      <c r="AY107" s="177">
        <v>0</v>
      </c>
      <c r="AZ107" s="177">
        <v>0</v>
      </c>
      <c r="BA107" s="177">
        <v>0</v>
      </c>
      <c r="BB107" s="177">
        <v>0</v>
      </c>
      <c r="BC107" s="177">
        <v>0</v>
      </c>
      <c r="BD107" s="177">
        <v>0</v>
      </c>
      <c r="BE107" s="177">
        <v>15.247999999999999</v>
      </c>
      <c r="BF107" s="177">
        <v>15.278</v>
      </c>
      <c r="BG107" s="174">
        <v>0</v>
      </c>
      <c r="BH107" s="174"/>
      <c r="BI107" s="174"/>
      <c r="BJ107" s="174"/>
      <c r="BK107" s="174"/>
      <c r="BL107" s="174"/>
      <c r="BM107" s="174"/>
      <c r="BN107" s="174"/>
    </row>
    <row r="108" spans="1:66">
      <c r="A108" s="174">
        <v>10354</v>
      </c>
      <c r="B108" s="174" t="s">
        <v>112</v>
      </c>
      <c r="C108" s="174">
        <v>1</v>
      </c>
      <c r="D108" s="174">
        <v>0</v>
      </c>
      <c r="E108" s="177">
        <v>810.99</v>
      </c>
      <c r="F108" s="177">
        <v>804.99300000000005</v>
      </c>
      <c r="G108" s="177">
        <v>814.38800000000003</v>
      </c>
      <c r="H108" s="177">
        <v>0</v>
      </c>
      <c r="I108" s="177">
        <v>0</v>
      </c>
      <c r="J108" s="177">
        <v>30.827999999999999</v>
      </c>
      <c r="K108" s="177">
        <v>30.827999999999999</v>
      </c>
      <c r="L108" s="176">
        <v>270053.27999999997</v>
      </c>
      <c r="M108" s="176">
        <v>270053.27999999997</v>
      </c>
      <c r="N108" s="177">
        <v>774.16499999999996</v>
      </c>
      <c r="O108" s="177">
        <v>783.56</v>
      </c>
      <c r="P108" s="176">
        <v>6781685.3999999994</v>
      </c>
      <c r="Q108" s="176">
        <v>6863985.5999999996</v>
      </c>
      <c r="R108" s="174">
        <v>786.245</v>
      </c>
      <c r="S108" s="176">
        <v>6887506.2000000002</v>
      </c>
      <c r="T108" s="176">
        <v>6887506.2000000002</v>
      </c>
      <c r="U108" s="177">
        <v>0</v>
      </c>
      <c r="V108" s="177">
        <v>0</v>
      </c>
      <c r="W108" s="177">
        <v>0</v>
      </c>
      <c r="X108" s="177">
        <v>0</v>
      </c>
      <c r="Y108" s="177">
        <v>0</v>
      </c>
      <c r="Z108" s="177">
        <v>0</v>
      </c>
      <c r="AA108" s="174">
        <v>0</v>
      </c>
      <c r="AB108" s="174">
        <v>0</v>
      </c>
      <c r="AC108" s="177">
        <v>0</v>
      </c>
      <c r="AD108" s="177">
        <v>0</v>
      </c>
      <c r="AE108" s="178">
        <v>0.1114733</v>
      </c>
      <c r="AF108" s="178">
        <v>0.1128261</v>
      </c>
      <c r="AG108" s="178">
        <v>5.4392799999999998E-2</v>
      </c>
      <c r="AH108" s="178">
        <v>5.7080499999999999E-2</v>
      </c>
      <c r="AI108" s="178">
        <v>5.8433300000000001E-2</v>
      </c>
      <c r="AJ108" s="178">
        <v>5.77569E-2</v>
      </c>
      <c r="AK108" s="178">
        <v>0.99999987777757049</v>
      </c>
      <c r="AL108" s="178">
        <v>0.99999986404588459</v>
      </c>
      <c r="AM108" s="178">
        <v>1</v>
      </c>
      <c r="AN108" s="178">
        <v>1</v>
      </c>
      <c r="AO108" s="178">
        <v>0</v>
      </c>
      <c r="AP108" s="178">
        <v>0</v>
      </c>
      <c r="AQ108" s="174">
        <v>4</v>
      </c>
      <c r="AR108" s="174">
        <v>4</v>
      </c>
      <c r="AS108" s="177">
        <v>0</v>
      </c>
      <c r="AT108" s="177">
        <v>0</v>
      </c>
      <c r="AU108" s="177">
        <v>0</v>
      </c>
      <c r="AV108" s="177">
        <v>0</v>
      </c>
      <c r="AW108" s="177">
        <v>1.369</v>
      </c>
      <c r="AX108" s="177">
        <v>1.3680000000000001</v>
      </c>
      <c r="AY108" s="177">
        <v>-1.369</v>
      </c>
      <c r="AZ108" s="177">
        <v>-1.3680000000000001</v>
      </c>
      <c r="BA108" s="177">
        <v>0</v>
      </c>
      <c r="BB108" s="177">
        <v>0</v>
      </c>
      <c r="BC108" s="177">
        <v>-1.369</v>
      </c>
      <c r="BD108" s="177">
        <v>-1.3680000000000001</v>
      </c>
      <c r="BE108" s="177">
        <v>774.16499999999996</v>
      </c>
      <c r="BF108" s="177">
        <v>783.56</v>
      </c>
      <c r="BG108" s="174">
        <v>0</v>
      </c>
      <c r="BH108" s="174"/>
      <c r="BI108" s="174"/>
      <c r="BJ108" s="174"/>
      <c r="BK108" s="174"/>
      <c r="BL108" s="174"/>
      <c r="BM108" s="174"/>
      <c r="BN108" s="174"/>
    </row>
    <row r="109" spans="1:66">
      <c r="A109" s="174">
        <v>10360</v>
      </c>
      <c r="B109" s="174" t="s">
        <v>113</v>
      </c>
      <c r="C109" s="174">
        <v>1</v>
      </c>
      <c r="D109" s="174">
        <v>0</v>
      </c>
      <c r="E109" s="177">
        <v>6.8659999999999997</v>
      </c>
      <c r="F109" s="177">
        <v>7.15</v>
      </c>
      <c r="G109" s="177">
        <v>7.17</v>
      </c>
      <c r="H109" s="177">
        <v>0</v>
      </c>
      <c r="I109" s="177">
        <v>0</v>
      </c>
      <c r="J109" s="177">
        <v>0</v>
      </c>
      <c r="K109" s="177">
        <v>0</v>
      </c>
      <c r="L109" s="176">
        <v>0</v>
      </c>
      <c r="M109" s="176">
        <v>0</v>
      </c>
      <c r="N109" s="177">
        <v>6.9649999999999999</v>
      </c>
      <c r="O109" s="177">
        <v>6.9850000000000003</v>
      </c>
      <c r="P109" s="176">
        <v>61013.4</v>
      </c>
      <c r="Q109" s="176">
        <v>61188.600000000006</v>
      </c>
      <c r="R109" s="174">
        <v>6.657</v>
      </c>
      <c r="S109" s="176">
        <v>58315.32</v>
      </c>
      <c r="T109" s="176">
        <v>58315.32</v>
      </c>
      <c r="U109" s="177">
        <v>0.308</v>
      </c>
      <c r="V109" s="177">
        <v>0.32800000000000001</v>
      </c>
      <c r="W109" s="177">
        <v>0</v>
      </c>
      <c r="X109" s="177">
        <v>0</v>
      </c>
      <c r="Y109" s="177">
        <v>0.308</v>
      </c>
      <c r="Z109" s="177">
        <v>0.32800000000000001</v>
      </c>
      <c r="AA109" s="174">
        <v>0</v>
      </c>
      <c r="AB109" s="174">
        <v>0</v>
      </c>
      <c r="AC109" s="177">
        <v>0</v>
      </c>
      <c r="AD109" s="177">
        <v>0</v>
      </c>
      <c r="AE109" s="178">
        <v>9.5859999999999999E-4</v>
      </c>
      <c r="AF109" s="178">
        <v>9.5859999999999999E-4</v>
      </c>
      <c r="AG109" s="178">
        <v>0</v>
      </c>
      <c r="AH109" s="178">
        <v>9.5859999999999999E-4</v>
      </c>
      <c r="AI109" s="178">
        <v>9.5859999999999999E-4</v>
      </c>
      <c r="AJ109" s="178">
        <v>9.5859999999999999E-4</v>
      </c>
      <c r="AK109" s="178">
        <v>0.95582618458004309</v>
      </c>
      <c r="AL109" s="178">
        <v>0.95308938806012877</v>
      </c>
      <c r="AM109" s="178">
        <v>1.0462670872765509</v>
      </c>
      <c r="AN109" s="178">
        <v>1.0492714435932102</v>
      </c>
      <c r="AO109" s="178">
        <v>4.7082018927444791E-2</v>
      </c>
      <c r="AP109" s="178">
        <v>4.7217214961694461E-2</v>
      </c>
      <c r="AQ109" s="174">
        <v>1</v>
      </c>
      <c r="AR109" s="174">
        <v>1</v>
      </c>
      <c r="AS109" s="177">
        <v>0</v>
      </c>
      <c r="AT109" s="177">
        <v>0</v>
      </c>
      <c r="AU109" s="177">
        <v>0</v>
      </c>
      <c r="AV109" s="177">
        <v>0</v>
      </c>
      <c r="AW109" s="177">
        <v>0</v>
      </c>
      <c r="AX109" s="177">
        <v>0</v>
      </c>
      <c r="AY109" s="177">
        <v>0</v>
      </c>
      <c r="AZ109" s="177">
        <v>0</v>
      </c>
      <c r="BA109" s="177">
        <v>0</v>
      </c>
      <c r="BB109" s="177">
        <v>0</v>
      </c>
      <c r="BC109" s="177">
        <v>0</v>
      </c>
      <c r="BD109" s="177">
        <v>0</v>
      </c>
      <c r="BE109" s="177">
        <v>6.9649999999999999</v>
      </c>
      <c r="BF109" s="177">
        <v>6.9850000000000003</v>
      </c>
      <c r="BG109" s="174">
        <v>0</v>
      </c>
      <c r="BH109" s="174"/>
      <c r="BI109" s="174"/>
      <c r="BJ109" s="174"/>
      <c r="BK109" s="174"/>
      <c r="BL109" s="174"/>
      <c r="BM109" s="174"/>
      <c r="BN109" s="174"/>
    </row>
    <row r="110" spans="1:66">
      <c r="A110" s="174">
        <v>10363</v>
      </c>
      <c r="B110" s="174" t="s">
        <v>114</v>
      </c>
      <c r="C110" s="174">
        <v>1</v>
      </c>
      <c r="D110" s="174">
        <v>0</v>
      </c>
      <c r="E110" s="177">
        <v>102.208</v>
      </c>
      <c r="F110" s="177">
        <v>94.388000000000005</v>
      </c>
      <c r="G110" s="177">
        <v>94.623999999999995</v>
      </c>
      <c r="H110" s="177">
        <v>0</v>
      </c>
      <c r="I110" s="177">
        <v>0</v>
      </c>
      <c r="J110" s="177">
        <v>0</v>
      </c>
      <c r="K110" s="177">
        <v>0</v>
      </c>
      <c r="L110" s="176">
        <v>0</v>
      </c>
      <c r="M110" s="176">
        <v>0</v>
      </c>
      <c r="N110" s="177">
        <v>94.388000000000005</v>
      </c>
      <c r="O110" s="177">
        <v>94.623999999999995</v>
      </c>
      <c r="P110" s="176">
        <v>826838.88</v>
      </c>
      <c r="Q110" s="176">
        <v>828906.24</v>
      </c>
      <c r="R110" s="174">
        <v>99.088999999999999</v>
      </c>
      <c r="S110" s="176">
        <v>868019.64</v>
      </c>
      <c r="T110" s="176">
        <v>868019.64</v>
      </c>
      <c r="U110" s="177">
        <v>0</v>
      </c>
      <c r="V110" s="177">
        <v>0</v>
      </c>
      <c r="W110" s="177">
        <v>0</v>
      </c>
      <c r="X110" s="177">
        <v>0</v>
      </c>
      <c r="Y110" s="177">
        <v>0</v>
      </c>
      <c r="Z110" s="177">
        <v>0</v>
      </c>
      <c r="AA110" s="174">
        <v>3</v>
      </c>
      <c r="AB110" s="174">
        <v>4</v>
      </c>
      <c r="AC110" s="177">
        <v>0</v>
      </c>
      <c r="AD110" s="177">
        <v>0</v>
      </c>
      <c r="AE110" s="178">
        <v>1.35911E-2</v>
      </c>
      <c r="AF110" s="178">
        <v>1.3625099999999999E-2</v>
      </c>
      <c r="AG110" s="178">
        <v>0</v>
      </c>
      <c r="AH110" s="178">
        <v>1.35911E-2</v>
      </c>
      <c r="AI110" s="178">
        <v>1.3625099999999999E-2</v>
      </c>
      <c r="AJ110" s="178">
        <v>1.36081E-2</v>
      </c>
      <c r="AK110" s="178">
        <v>1</v>
      </c>
      <c r="AL110" s="178">
        <v>1</v>
      </c>
      <c r="AM110" s="178">
        <v>1</v>
      </c>
      <c r="AN110" s="178">
        <v>1</v>
      </c>
      <c r="AO110" s="178">
        <v>0</v>
      </c>
      <c r="AP110" s="178">
        <v>0</v>
      </c>
      <c r="AQ110" s="174">
        <v>1</v>
      </c>
      <c r="AR110" s="174">
        <v>1</v>
      </c>
      <c r="AS110" s="177">
        <v>0</v>
      </c>
      <c r="AT110" s="177">
        <v>0</v>
      </c>
      <c r="AU110" s="177">
        <v>3</v>
      </c>
      <c r="AV110" s="177">
        <v>4</v>
      </c>
      <c r="AW110" s="177">
        <v>0</v>
      </c>
      <c r="AX110" s="177">
        <v>0</v>
      </c>
      <c r="AY110" s="177">
        <v>-3</v>
      </c>
      <c r="AZ110" s="177">
        <v>-4</v>
      </c>
      <c r="BA110" s="177">
        <v>-3</v>
      </c>
      <c r="BB110" s="177">
        <v>-4</v>
      </c>
      <c r="BC110" s="177">
        <v>0</v>
      </c>
      <c r="BD110" s="177">
        <v>0</v>
      </c>
      <c r="BE110" s="177">
        <v>94.388000000000005</v>
      </c>
      <c r="BF110" s="177">
        <v>94.623999999999995</v>
      </c>
      <c r="BG110" s="174">
        <v>0</v>
      </c>
      <c r="BH110" s="174"/>
      <c r="BI110" s="174"/>
      <c r="BJ110" s="174"/>
      <c r="BK110" s="174"/>
      <c r="BL110" s="174"/>
      <c r="BM110" s="174"/>
      <c r="BN110" s="174"/>
    </row>
    <row r="111" spans="1:66">
      <c r="A111" s="174">
        <v>10369</v>
      </c>
      <c r="B111" s="174" t="s">
        <v>115</v>
      </c>
      <c r="C111" s="174">
        <v>1</v>
      </c>
      <c r="D111" s="174">
        <v>0</v>
      </c>
      <c r="E111" s="177">
        <v>16.677</v>
      </c>
      <c r="F111" s="177">
        <v>18.04</v>
      </c>
      <c r="G111" s="177">
        <v>18.04</v>
      </c>
      <c r="H111" s="177">
        <v>0</v>
      </c>
      <c r="I111" s="177">
        <v>0</v>
      </c>
      <c r="J111" s="177">
        <v>0</v>
      </c>
      <c r="K111" s="177">
        <v>0</v>
      </c>
      <c r="L111" s="176">
        <v>0</v>
      </c>
      <c r="M111" s="176">
        <v>0</v>
      </c>
      <c r="N111" s="177">
        <v>16.875</v>
      </c>
      <c r="O111" s="177">
        <v>16.875</v>
      </c>
      <c r="P111" s="176">
        <v>147825</v>
      </c>
      <c r="Q111" s="176">
        <v>147825</v>
      </c>
      <c r="R111" s="174">
        <v>16.167999999999999</v>
      </c>
      <c r="S111" s="176">
        <v>141631.67999999999</v>
      </c>
      <c r="T111" s="176">
        <v>141631.67999999999</v>
      </c>
      <c r="U111" s="177">
        <v>0.70699999999999996</v>
      </c>
      <c r="V111" s="177">
        <v>0.70699999999999996</v>
      </c>
      <c r="W111" s="177">
        <v>0</v>
      </c>
      <c r="X111" s="177">
        <v>0</v>
      </c>
      <c r="Y111" s="177">
        <v>0.70699999999999996</v>
      </c>
      <c r="Z111" s="177">
        <v>0.70699999999999996</v>
      </c>
      <c r="AA111" s="174">
        <v>0</v>
      </c>
      <c r="AB111" s="174">
        <v>0</v>
      </c>
      <c r="AC111" s="177">
        <v>0</v>
      </c>
      <c r="AD111" s="177">
        <v>0</v>
      </c>
      <c r="AE111" s="178">
        <v>2.3281E-3</v>
      </c>
      <c r="AF111" s="178">
        <v>2.3281E-3</v>
      </c>
      <c r="AG111" s="178">
        <v>0</v>
      </c>
      <c r="AH111" s="178">
        <v>2.3281E-3</v>
      </c>
      <c r="AI111" s="178">
        <v>2.3281E-3</v>
      </c>
      <c r="AJ111" s="178">
        <v>2.3281E-3</v>
      </c>
      <c r="AK111" s="178">
        <v>0.95812124282074074</v>
      </c>
      <c r="AL111" s="178">
        <v>0.95812124282074074</v>
      </c>
      <c r="AM111" s="178">
        <v>1.0437283523008412</v>
      </c>
      <c r="AN111" s="178">
        <v>1.0437283523008412</v>
      </c>
      <c r="AO111" s="178">
        <v>7.3060984661058884E-2</v>
      </c>
      <c r="AP111" s="178">
        <v>7.3060984661058884E-2</v>
      </c>
      <c r="AQ111" s="174">
        <v>1</v>
      </c>
      <c r="AR111" s="174">
        <v>1</v>
      </c>
      <c r="AS111" s="177">
        <v>0</v>
      </c>
      <c r="AT111" s="177">
        <v>0</v>
      </c>
      <c r="AU111" s="177">
        <v>0</v>
      </c>
      <c r="AV111" s="177">
        <v>0</v>
      </c>
      <c r="AW111" s="177">
        <v>0</v>
      </c>
      <c r="AX111" s="177">
        <v>0</v>
      </c>
      <c r="AY111" s="177">
        <v>0</v>
      </c>
      <c r="AZ111" s="177">
        <v>0</v>
      </c>
      <c r="BA111" s="177">
        <v>0</v>
      </c>
      <c r="BB111" s="177">
        <v>0</v>
      </c>
      <c r="BC111" s="177">
        <v>0</v>
      </c>
      <c r="BD111" s="177">
        <v>0</v>
      </c>
      <c r="BE111" s="177">
        <v>16.875</v>
      </c>
      <c r="BF111" s="177">
        <v>16.875</v>
      </c>
      <c r="BG111" s="174">
        <v>1</v>
      </c>
      <c r="BH111" s="174"/>
      <c r="BI111" s="174"/>
      <c r="BJ111" s="174"/>
      <c r="BK111" s="174"/>
      <c r="BL111" s="174"/>
      <c r="BM111" s="174"/>
      <c r="BN111" s="174"/>
    </row>
    <row r="112" spans="1:66">
      <c r="A112" s="174">
        <v>10370</v>
      </c>
      <c r="B112" s="174" t="s">
        <v>116</v>
      </c>
      <c r="C112" s="174">
        <v>1</v>
      </c>
      <c r="D112" s="174">
        <v>0</v>
      </c>
      <c r="E112" s="177">
        <v>408.39299999999997</v>
      </c>
      <c r="F112" s="177">
        <v>554.25800000000004</v>
      </c>
      <c r="G112" s="177">
        <v>565.23299999999995</v>
      </c>
      <c r="H112" s="177">
        <v>0</v>
      </c>
      <c r="I112" s="177">
        <v>0</v>
      </c>
      <c r="J112" s="177">
        <v>178.422</v>
      </c>
      <c r="K112" s="177">
        <v>178.422</v>
      </c>
      <c r="L112" s="176">
        <v>1562976.72</v>
      </c>
      <c r="M112" s="176">
        <v>1562976.72</v>
      </c>
      <c r="N112" s="177">
        <v>375.83600000000001</v>
      </c>
      <c r="O112" s="177">
        <v>386.81099999999998</v>
      </c>
      <c r="P112" s="176">
        <v>3292323.3600000003</v>
      </c>
      <c r="Q112" s="176">
        <v>3388464.36</v>
      </c>
      <c r="R112" s="174">
        <v>395.93200000000002</v>
      </c>
      <c r="S112" s="176">
        <v>3468364.3200000003</v>
      </c>
      <c r="T112" s="176">
        <v>3468364.3200000003</v>
      </c>
      <c r="U112" s="177">
        <v>0</v>
      </c>
      <c r="V112" s="177">
        <v>6.17</v>
      </c>
      <c r="W112" s="177">
        <v>0</v>
      </c>
      <c r="X112" s="177">
        <v>6.17</v>
      </c>
      <c r="Y112" s="177">
        <v>0</v>
      </c>
      <c r="Z112" s="177">
        <v>0</v>
      </c>
      <c r="AA112" s="174">
        <v>0</v>
      </c>
      <c r="AB112" s="174">
        <v>0</v>
      </c>
      <c r="AC112" s="177">
        <v>0</v>
      </c>
      <c r="AD112" s="177">
        <v>6.17</v>
      </c>
      <c r="AE112" s="178">
        <v>5.41173E-2</v>
      </c>
      <c r="AF112" s="178">
        <v>5.56976E-2</v>
      </c>
      <c r="AG112" s="178">
        <v>2.9626900000000001E-2</v>
      </c>
      <c r="AH112" s="178">
        <v>2.4490399999999999E-2</v>
      </c>
      <c r="AI112" s="178">
        <v>2.6070699999999999E-2</v>
      </c>
      <c r="AJ112" s="178">
        <v>2.5280549999999999E-2</v>
      </c>
      <c r="AK112" s="178">
        <v>1</v>
      </c>
      <c r="AL112" s="178">
        <v>0.9893715347193226</v>
      </c>
      <c r="AM112" s="178">
        <v>1</v>
      </c>
      <c r="AN112" s="178">
        <v>1</v>
      </c>
      <c r="AO112" s="178">
        <v>0</v>
      </c>
      <c r="AP112" s="178">
        <v>0</v>
      </c>
      <c r="AQ112" s="174">
        <v>4</v>
      </c>
      <c r="AR112" s="174">
        <v>4</v>
      </c>
      <c r="AS112" s="177">
        <v>0</v>
      </c>
      <c r="AT112" s="177">
        <v>0</v>
      </c>
      <c r="AU112" s="177">
        <v>0</v>
      </c>
      <c r="AV112" s="177">
        <v>0</v>
      </c>
      <c r="AW112" s="177">
        <v>30.562999999999999</v>
      </c>
      <c r="AX112" s="177">
        <v>30.562999999999999</v>
      </c>
      <c r="AY112" s="177">
        <v>-30.562999999999999</v>
      </c>
      <c r="AZ112" s="177">
        <v>-24.393000000000001</v>
      </c>
      <c r="BA112" s="177">
        <v>0</v>
      </c>
      <c r="BB112" s="177">
        <v>0</v>
      </c>
      <c r="BC112" s="177">
        <v>-30.562999999999999</v>
      </c>
      <c r="BD112" s="177">
        <v>-24.393000000000001</v>
      </c>
      <c r="BE112" s="177">
        <v>375.83600000000001</v>
      </c>
      <c r="BF112" s="177">
        <v>386.81099999999998</v>
      </c>
      <c r="BG112" s="174">
        <v>0</v>
      </c>
      <c r="BH112" s="174"/>
      <c r="BI112" s="174"/>
      <c r="BJ112" s="174"/>
      <c r="BK112" s="174"/>
      <c r="BL112" s="174"/>
      <c r="BM112" s="174"/>
      <c r="BN112" s="174"/>
    </row>
    <row r="113" spans="1:66">
      <c r="A113" s="174">
        <v>10371</v>
      </c>
      <c r="B113" s="174" t="s">
        <v>117</v>
      </c>
      <c r="C113" s="174">
        <v>1</v>
      </c>
      <c r="D113" s="174">
        <v>0</v>
      </c>
      <c r="E113" s="177">
        <v>11.196999999999999</v>
      </c>
      <c r="F113" s="177">
        <v>11.384</v>
      </c>
      <c r="G113" s="177">
        <v>11.528</v>
      </c>
      <c r="H113" s="177">
        <v>0</v>
      </c>
      <c r="I113" s="177">
        <v>0</v>
      </c>
      <c r="J113" s="177">
        <v>0</v>
      </c>
      <c r="K113" s="177">
        <v>0</v>
      </c>
      <c r="L113" s="176">
        <v>0</v>
      </c>
      <c r="M113" s="176">
        <v>0</v>
      </c>
      <c r="N113" s="177">
        <v>11.750999999999999</v>
      </c>
      <c r="O113" s="177">
        <v>11.944000000000001</v>
      </c>
      <c r="P113" s="176">
        <v>102938.76</v>
      </c>
      <c r="Q113" s="176">
        <v>104629.44</v>
      </c>
      <c r="R113" s="174">
        <v>10.855</v>
      </c>
      <c r="S113" s="176">
        <v>95089.8</v>
      </c>
      <c r="T113" s="176">
        <v>95089.8</v>
      </c>
      <c r="U113" s="177">
        <v>0.89600000000000002</v>
      </c>
      <c r="V113" s="177">
        <v>1.089</v>
      </c>
      <c r="W113" s="177">
        <v>0.89600000000000002</v>
      </c>
      <c r="X113" s="177">
        <v>1.089</v>
      </c>
      <c r="Y113" s="177">
        <v>0</v>
      </c>
      <c r="Z113" s="177">
        <v>0</v>
      </c>
      <c r="AA113" s="174">
        <v>1</v>
      </c>
      <c r="AB113" s="174">
        <v>1</v>
      </c>
      <c r="AC113" s="177">
        <v>0</v>
      </c>
      <c r="AD113" s="177">
        <v>8.8999999999999968E-2</v>
      </c>
      <c r="AE113" s="178">
        <v>1.5629999999999999E-3</v>
      </c>
      <c r="AF113" s="178">
        <v>1.5629999999999999E-3</v>
      </c>
      <c r="AG113" s="178">
        <v>0</v>
      </c>
      <c r="AH113" s="178">
        <v>1.5629999999999999E-3</v>
      </c>
      <c r="AI113" s="178">
        <v>1.5629999999999999E-3</v>
      </c>
      <c r="AJ113" s="178">
        <v>1.5629999999999999E-3</v>
      </c>
      <c r="AK113" s="178">
        <v>0.92373366504978283</v>
      </c>
      <c r="AL113" s="178">
        <v>0.90880729219691869</v>
      </c>
      <c r="AM113" s="178">
        <v>1.0825426070935051</v>
      </c>
      <c r="AN113" s="178">
        <v>1.1003224320589591</v>
      </c>
      <c r="AO113" s="178">
        <v>0</v>
      </c>
      <c r="AP113" s="178">
        <v>0</v>
      </c>
      <c r="AQ113" s="174">
        <v>3</v>
      </c>
      <c r="AR113" s="174">
        <v>3</v>
      </c>
      <c r="AS113" s="177">
        <v>10</v>
      </c>
      <c r="AT113" s="177">
        <v>10</v>
      </c>
      <c r="AU113" s="177">
        <v>1</v>
      </c>
      <c r="AV113" s="177">
        <v>1.089</v>
      </c>
      <c r="AW113" s="177">
        <v>0</v>
      </c>
      <c r="AX113" s="177">
        <v>0</v>
      </c>
      <c r="AY113" s="177">
        <v>-0.10399999999999998</v>
      </c>
      <c r="AZ113" s="177">
        <v>0</v>
      </c>
      <c r="BA113" s="177">
        <v>-0.10399999999999998</v>
      </c>
      <c r="BB113" s="177">
        <v>0</v>
      </c>
      <c r="BC113" s="177">
        <v>0</v>
      </c>
      <c r="BD113" s="177">
        <v>0</v>
      </c>
      <c r="BE113" s="177">
        <v>11.750999999999999</v>
      </c>
      <c r="BF113" s="177">
        <v>11.944000000000001</v>
      </c>
      <c r="BG113" s="174">
        <v>1</v>
      </c>
      <c r="BH113" s="174"/>
      <c r="BI113" s="174"/>
      <c r="BJ113" s="174"/>
      <c r="BK113" s="174"/>
      <c r="BL113" s="174"/>
      <c r="BM113" s="174"/>
      <c r="BN113" s="174"/>
    </row>
    <row r="114" spans="1:66">
      <c r="A114" s="174">
        <v>10376</v>
      </c>
      <c r="B114" s="174" t="s">
        <v>118</v>
      </c>
      <c r="C114" s="174">
        <v>1</v>
      </c>
      <c r="D114" s="174">
        <v>0</v>
      </c>
      <c r="E114" s="177">
        <v>56.865000000000002</v>
      </c>
      <c r="F114" s="177">
        <v>54.91</v>
      </c>
      <c r="G114" s="177">
        <v>55.045999999999999</v>
      </c>
      <c r="H114" s="177">
        <v>0</v>
      </c>
      <c r="I114" s="177">
        <v>0</v>
      </c>
      <c r="J114" s="177">
        <v>0.69699999999999995</v>
      </c>
      <c r="K114" s="177">
        <v>0.69699999999999995</v>
      </c>
      <c r="L114" s="176">
        <v>6105.7199999999993</v>
      </c>
      <c r="M114" s="176">
        <v>6105.7199999999993</v>
      </c>
      <c r="N114" s="177">
        <v>54.244999999999997</v>
      </c>
      <c r="O114" s="177">
        <v>54.38</v>
      </c>
      <c r="P114" s="176">
        <v>475186.19999999995</v>
      </c>
      <c r="Q114" s="176">
        <v>476368.80000000005</v>
      </c>
      <c r="R114" s="174">
        <v>55.13</v>
      </c>
      <c r="S114" s="176">
        <v>482938.80000000005</v>
      </c>
      <c r="T114" s="176">
        <v>482938.80000000005</v>
      </c>
      <c r="U114" s="177">
        <v>0</v>
      </c>
      <c r="V114" s="177">
        <v>0</v>
      </c>
      <c r="W114" s="177">
        <v>0</v>
      </c>
      <c r="X114" s="177">
        <v>0</v>
      </c>
      <c r="Y114" s="177">
        <v>0</v>
      </c>
      <c r="Z114" s="177">
        <v>0</v>
      </c>
      <c r="AA114" s="174">
        <v>0</v>
      </c>
      <c r="AB114" s="174">
        <v>0</v>
      </c>
      <c r="AC114" s="177">
        <v>0</v>
      </c>
      <c r="AD114" s="177">
        <v>0</v>
      </c>
      <c r="AE114" s="178">
        <v>7.8107999999999997E-3</v>
      </c>
      <c r="AF114" s="178">
        <v>7.8303000000000001E-3</v>
      </c>
      <c r="AG114" s="178">
        <v>0</v>
      </c>
      <c r="AH114" s="178">
        <v>7.8107999999999997E-3</v>
      </c>
      <c r="AI114" s="178">
        <v>7.8303000000000001E-3</v>
      </c>
      <c r="AJ114" s="178">
        <v>7.820549999999999E-3</v>
      </c>
      <c r="AK114" s="178">
        <v>0.99999641689053909</v>
      </c>
      <c r="AL114" s="178">
        <v>1</v>
      </c>
      <c r="AM114" s="178">
        <v>1</v>
      </c>
      <c r="AN114" s="178">
        <v>1</v>
      </c>
      <c r="AO114" s="178">
        <v>0</v>
      </c>
      <c r="AP114" s="178">
        <v>0</v>
      </c>
      <c r="AQ114" s="174">
        <v>1</v>
      </c>
      <c r="AR114" s="174">
        <v>1</v>
      </c>
      <c r="AS114" s="177">
        <v>0</v>
      </c>
      <c r="AT114" s="177">
        <v>0</v>
      </c>
      <c r="AU114" s="177">
        <v>0</v>
      </c>
      <c r="AV114" s="177">
        <v>0</v>
      </c>
      <c r="AW114" s="177">
        <v>0</v>
      </c>
      <c r="AX114" s="177">
        <v>0</v>
      </c>
      <c r="AY114" s="177">
        <v>0</v>
      </c>
      <c r="AZ114" s="177">
        <v>0</v>
      </c>
      <c r="BA114" s="177">
        <v>0</v>
      </c>
      <c r="BB114" s="177">
        <v>0</v>
      </c>
      <c r="BC114" s="177">
        <v>0</v>
      </c>
      <c r="BD114" s="177">
        <v>0</v>
      </c>
      <c r="BE114" s="177">
        <v>54.244999999999997</v>
      </c>
      <c r="BF114" s="177">
        <v>54.38</v>
      </c>
      <c r="BG114" s="174">
        <v>1</v>
      </c>
      <c r="BH114" s="174"/>
      <c r="BI114" s="174"/>
      <c r="BJ114" s="174"/>
      <c r="BK114" s="174"/>
      <c r="BL114" s="174"/>
      <c r="BM114" s="174"/>
      <c r="BN114" s="174"/>
    </row>
    <row r="115" spans="1:66">
      <c r="A115" s="174">
        <v>10378</v>
      </c>
      <c r="B115" s="174" t="s">
        <v>119</v>
      </c>
      <c r="C115" s="174">
        <v>1</v>
      </c>
      <c r="D115" s="174">
        <v>0</v>
      </c>
      <c r="E115" s="177">
        <v>2.0510000000000002</v>
      </c>
      <c r="F115" s="177">
        <v>1.883</v>
      </c>
      <c r="G115" s="177">
        <v>1.897</v>
      </c>
      <c r="H115" s="177">
        <v>0</v>
      </c>
      <c r="I115" s="177">
        <v>0</v>
      </c>
      <c r="J115" s="177">
        <v>0</v>
      </c>
      <c r="K115" s="177">
        <v>0</v>
      </c>
      <c r="L115" s="176">
        <v>0</v>
      </c>
      <c r="M115" s="176">
        <v>0</v>
      </c>
      <c r="N115" s="177">
        <v>1.883</v>
      </c>
      <c r="O115" s="177">
        <v>1.897</v>
      </c>
      <c r="P115" s="176">
        <v>16495.080000000002</v>
      </c>
      <c r="Q115" s="176">
        <v>16617.72</v>
      </c>
      <c r="R115" s="174">
        <v>1.988</v>
      </c>
      <c r="S115" s="176">
        <v>17414.88</v>
      </c>
      <c r="T115" s="176">
        <v>17414.88</v>
      </c>
      <c r="U115" s="177">
        <v>0</v>
      </c>
      <c r="V115" s="177">
        <v>0</v>
      </c>
      <c r="W115" s="177">
        <v>0</v>
      </c>
      <c r="X115" s="177">
        <v>0</v>
      </c>
      <c r="Y115" s="177">
        <v>0</v>
      </c>
      <c r="Z115" s="177">
        <v>0</v>
      </c>
      <c r="AA115" s="174">
        <v>0</v>
      </c>
      <c r="AB115" s="174">
        <v>0</v>
      </c>
      <c r="AC115" s="177">
        <v>0</v>
      </c>
      <c r="AD115" s="177">
        <v>0</v>
      </c>
      <c r="AE115" s="178">
        <v>2.7109999999999998E-4</v>
      </c>
      <c r="AF115" s="178">
        <v>2.7320000000000003E-4</v>
      </c>
      <c r="AG115" s="178">
        <v>0</v>
      </c>
      <c r="AH115" s="178">
        <v>2.7109999999999998E-4</v>
      </c>
      <c r="AI115" s="178">
        <v>2.7320000000000003E-4</v>
      </c>
      <c r="AJ115" s="178">
        <v>2.7214999999999997E-4</v>
      </c>
      <c r="AK115" s="178">
        <v>0.99986603855549638</v>
      </c>
      <c r="AL115" s="178">
        <v>1</v>
      </c>
      <c r="AM115" s="178">
        <v>1</v>
      </c>
      <c r="AN115" s="178">
        <v>1</v>
      </c>
      <c r="AO115" s="178">
        <v>0</v>
      </c>
      <c r="AP115" s="178">
        <v>0</v>
      </c>
      <c r="AQ115" s="174">
        <v>1</v>
      </c>
      <c r="AR115" s="174">
        <v>1</v>
      </c>
      <c r="AS115" s="177">
        <v>0</v>
      </c>
      <c r="AT115" s="177">
        <v>0</v>
      </c>
      <c r="AU115" s="177">
        <v>0</v>
      </c>
      <c r="AV115" s="177">
        <v>0</v>
      </c>
      <c r="AW115" s="177">
        <v>0</v>
      </c>
      <c r="AX115" s="177">
        <v>0</v>
      </c>
      <c r="AY115" s="177">
        <v>0</v>
      </c>
      <c r="AZ115" s="177">
        <v>0</v>
      </c>
      <c r="BA115" s="177">
        <v>0</v>
      </c>
      <c r="BB115" s="177">
        <v>0</v>
      </c>
      <c r="BC115" s="177">
        <v>0</v>
      </c>
      <c r="BD115" s="177">
        <v>0</v>
      </c>
      <c r="BE115" s="177">
        <v>1.883</v>
      </c>
      <c r="BF115" s="177">
        <v>1.897</v>
      </c>
      <c r="BG115" s="174">
        <v>0</v>
      </c>
      <c r="BH115" s="174"/>
      <c r="BI115" s="174"/>
      <c r="BJ115" s="174"/>
      <c r="BK115" s="174"/>
      <c r="BL115" s="174"/>
      <c r="BM115" s="174"/>
      <c r="BN115" s="174"/>
    </row>
    <row r="116" spans="1:66">
      <c r="A116" s="174">
        <v>10379</v>
      </c>
      <c r="B116" s="174" t="s">
        <v>120</v>
      </c>
      <c r="C116" s="174">
        <v>1</v>
      </c>
      <c r="D116" s="174">
        <v>0</v>
      </c>
      <c r="E116" s="177">
        <v>4.88</v>
      </c>
      <c r="F116" s="177">
        <v>4.7009999999999996</v>
      </c>
      <c r="G116" s="177">
        <v>4.7249999999999996</v>
      </c>
      <c r="H116" s="177">
        <v>0</v>
      </c>
      <c r="I116" s="177">
        <v>0</v>
      </c>
      <c r="J116" s="177">
        <v>0</v>
      </c>
      <c r="K116" s="177">
        <v>0</v>
      </c>
      <c r="L116" s="176">
        <v>0</v>
      </c>
      <c r="M116" s="176">
        <v>0</v>
      </c>
      <c r="N116" s="177">
        <v>4.7009999999999996</v>
      </c>
      <c r="O116" s="177">
        <v>4.7249999999999996</v>
      </c>
      <c r="P116" s="176">
        <v>41180.759999999995</v>
      </c>
      <c r="Q116" s="176">
        <v>41391</v>
      </c>
      <c r="R116" s="174">
        <v>4.7309999999999999</v>
      </c>
      <c r="S116" s="176">
        <v>41443.56</v>
      </c>
      <c r="T116" s="176">
        <v>41443.56</v>
      </c>
      <c r="U116" s="177">
        <v>0</v>
      </c>
      <c r="V116" s="177">
        <v>0</v>
      </c>
      <c r="W116" s="177">
        <v>0</v>
      </c>
      <c r="X116" s="177">
        <v>0</v>
      </c>
      <c r="Y116" s="177">
        <v>0</v>
      </c>
      <c r="Z116" s="177">
        <v>0</v>
      </c>
      <c r="AA116" s="174">
        <v>0</v>
      </c>
      <c r="AB116" s="174">
        <v>0</v>
      </c>
      <c r="AC116" s="177">
        <v>0</v>
      </c>
      <c r="AD116" s="177">
        <v>0</v>
      </c>
      <c r="AE116" s="178">
        <v>6.7690000000000003E-4</v>
      </c>
      <c r="AF116" s="178">
        <v>6.8039999999999995E-4</v>
      </c>
      <c r="AG116" s="178">
        <v>0</v>
      </c>
      <c r="AH116" s="178">
        <v>6.7690000000000003E-4</v>
      </c>
      <c r="AI116" s="178">
        <v>6.8039999999999995E-4</v>
      </c>
      <c r="AJ116" s="178">
        <v>6.7865000000000004E-4</v>
      </c>
      <c r="AK116" s="178">
        <v>0.99999282225058506</v>
      </c>
      <c r="AL116" s="178">
        <v>1</v>
      </c>
      <c r="AM116" s="178">
        <v>1</v>
      </c>
      <c r="AN116" s="178">
        <v>1</v>
      </c>
      <c r="AO116" s="178">
        <v>0</v>
      </c>
      <c r="AP116" s="178">
        <v>0</v>
      </c>
      <c r="AQ116" s="174">
        <v>1</v>
      </c>
      <c r="AR116" s="174">
        <v>1</v>
      </c>
      <c r="AS116" s="177">
        <v>0</v>
      </c>
      <c r="AT116" s="177">
        <v>0</v>
      </c>
      <c r="AU116" s="177">
        <v>0</v>
      </c>
      <c r="AV116" s="177">
        <v>0</v>
      </c>
      <c r="AW116" s="177">
        <v>0</v>
      </c>
      <c r="AX116" s="177">
        <v>0</v>
      </c>
      <c r="AY116" s="177">
        <v>0</v>
      </c>
      <c r="AZ116" s="177">
        <v>0</v>
      </c>
      <c r="BA116" s="177">
        <v>0</v>
      </c>
      <c r="BB116" s="177">
        <v>0</v>
      </c>
      <c r="BC116" s="177">
        <v>0</v>
      </c>
      <c r="BD116" s="177">
        <v>0</v>
      </c>
      <c r="BE116" s="177">
        <v>4.7009999999999996</v>
      </c>
      <c r="BF116" s="177">
        <v>4.7249999999999996</v>
      </c>
      <c r="BG116" s="174">
        <v>0</v>
      </c>
      <c r="BH116" s="174"/>
      <c r="BI116" s="174"/>
      <c r="BJ116" s="174"/>
      <c r="BK116" s="174"/>
      <c r="BL116" s="174"/>
      <c r="BM116" s="174"/>
      <c r="BN116" s="174"/>
    </row>
    <row r="117" spans="1:66">
      <c r="A117" s="174">
        <v>10388</v>
      </c>
      <c r="B117" s="174" t="s">
        <v>121</v>
      </c>
      <c r="C117" s="174">
        <v>0</v>
      </c>
      <c r="D117" s="174">
        <v>1</v>
      </c>
      <c r="E117" s="177">
        <v>114.91200000000001</v>
      </c>
      <c r="F117" s="177">
        <v>264.245</v>
      </c>
      <c r="G117" s="177">
        <v>329.42700000000002</v>
      </c>
      <c r="H117" s="177">
        <v>61.593000000000004</v>
      </c>
      <c r="I117" s="177">
        <v>125.861</v>
      </c>
      <c r="J117" s="177">
        <v>0.23200000000000001</v>
      </c>
      <c r="K117" s="177">
        <v>0.23200000000000001</v>
      </c>
      <c r="L117" s="176">
        <v>2032.3200000000002</v>
      </c>
      <c r="M117" s="176">
        <v>2032.3200000000002</v>
      </c>
      <c r="N117" s="177">
        <v>181.024</v>
      </c>
      <c r="O117" s="177">
        <v>181.041</v>
      </c>
      <c r="P117" s="176">
        <v>1585770.24</v>
      </c>
      <c r="Q117" s="176">
        <v>1585919.16</v>
      </c>
      <c r="R117" s="174">
        <v>111.40600000000001</v>
      </c>
      <c r="S117" s="176">
        <v>975916.56</v>
      </c>
      <c r="T117" s="176">
        <v>975916.56</v>
      </c>
      <c r="U117" s="177">
        <v>69.617999999999995</v>
      </c>
      <c r="V117" s="177">
        <v>69.635000000000005</v>
      </c>
      <c r="W117" s="177">
        <v>69.617999999999995</v>
      </c>
      <c r="X117" s="177">
        <v>69.635000000000005</v>
      </c>
      <c r="Y117" s="177">
        <v>0</v>
      </c>
      <c r="Z117" s="177">
        <v>0</v>
      </c>
      <c r="AA117" s="174">
        <v>0</v>
      </c>
      <c r="AB117" s="174">
        <v>0</v>
      </c>
      <c r="AC117" s="177">
        <v>69.617999999999995</v>
      </c>
      <c r="AD117" s="177">
        <v>69.635000000000005</v>
      </c>
      <c r="AE117" s="178">
        <v>1.60415E-2</v>
      </c>
      <c r="AF117" s="178">
        <v>1.60415E-2</v>
      </c>
      <c r="AG117" s="178">
        <v>0</v>
      </c>
      <c r="AH117" s="178">
        <v>1.60415E-2</v>
      </c>
      <c r="AI117" s="178">
        <v>1.60415E-2</v>
      </c>
      <c r="AJ117" s="178">
        <v>1.60415E-2</v>
      </c>
      <c r="AK117" s="178">
        <v>0.61591200903142507</v>
      </c>
      <c r="AL117" s="178">
        <v>0.6158542480623147</v>
      </c>
      <c r="AM117" s="178">
        <v>1.6249035060948243</v>
      </c>
      <c r="AN117" s="178">
        <v>1.6250561011076601</v>
      </c>
      <c r="AO117" s="178">
        <v>8.9369692835215328E-2</v>
      </c>
      <c r="AP117" s="178">
        <v>8.9378085560921305E-2</v>
      </c>
      <c r="AQ117" s="174">
        <v>6</v>
      </c>
      <c r="AR117" s="174">
        <v>6</v>
      </c>
      <c r="AS117" s="177">
        <v>0</v>
      </c>
      <c r="AT117" s="177">
        <v>0</v>
      </c>
      <c r="AU117" s="177">
        <v>0</v>
      </c>
      <c r="AV117" s="177">
        <v>0</v>
      </c>
      <c r="AW117" s="177">
        <v>0</v>
      </c>
      <c r="AX117" s="177">
        <v>0</v>
      </c>
      <c r="AY117" s="177">
        <v>0</v>
      </c>
      <c r="AZ117" s="177">
        <v>0</v>
      </c>
      <c r="BA117" s="177">
        <v>0</v>
      </c>
      <c r="BB117" s="177">
        <v>0</v>
      </c>
      <c r="BC117" s="177">
        <v>0</v>
      </c>
      <c r="BD117" s="177">
        <v>0</v>
      </c>
      <c r="BE117" s="177">
        <v>111.40600000000001</v>
      </c>
      <c r="BF117" s="177">
        <v>111.40600000000001</v>
      </c>
      <c r="BG117" s="174">
        <v>0</v>
      </c>
      <c r="BH117" s="174"/>
      <c r="BI117" s="174"/>
      <c r="BJ117" s="174"/>
      <c r="BK117" s="174"/>
      <c r="BL117" s="174"/>
      <c r="BM117" s="174"/>
      <c r="BN117" s="174"/>
    </row>
    <row r="118" spans="1:66">
      <c r="A118" s="174">
        <v>10391</v>
      </c>
      <c r="B118" s="174" t="s">
        <v>122</v>
      </c>
      <c r="C118" s="174">
        <v>1</v>
      </c>
      <c r="D118" s="174">
        <v>0</v>
      </c>
      <c r="E118" s="177">
        <v>30.423999999999999</v>
      </c>
      <c r="F118" s="177">
        <v>35.070999999999998</v>
      </c>
      <c r="G118" s="177">
        <v>35.542999999999999</v>
      </c>
      <c r="H118" s="177">
        <v>0</v>
      </c>
      <c r="I118" s="177">
        <v>0</v>
      </c>
      <c r="J118" s="177">
        <v>0</v>
      </c>
      <c r="K118" s="177">
        <v>0</v>
      </c>
      <c r="L118" s="176">
        <v>0</v>
      </c>
      <c r="M118" s="176">
        <v>0</v>
      </c>
      <c r="N118" s="177">
        <v>35.070999999999998</v>
      </c>
      <c r="O118" s="177">
        <v>35.542999999999999</v>
      </c>
      <c r="P118" s="176">
        <v>307221.95999999996</v>
      </c>
      <c r="Q118" s="176">
        <v>311356.68</v>
      </c>
      <c r="R118" s="174">
        <v>29.495999999999999</v>
      </c>
      <c r="S118" s="176">
        <v>258384.96</v>
      </c>
      <c r="T118" s="176">
        <v>258384.96</v>
      </c>
      <c r="U118" s="177">
        <v>5.5750000000000002</v>
      </c>
      <c r="V118" s="177">
        <v>6.0469999999999997</v>
      </c>
      <c r="W118" s="177">
        <v>5.5750000000000002</v>
      </c>
      <c r="X118" s="177">
        <v>6.0469999999999997</v>
      </c>
      <c r="Y118" s="177">
        <v>0</v>
      </c>
      <c r="Z118" s="177">
        <v>0</v>
      </c>
      <c r="AA118" s="174">
        <v>2</v>
      </c>
      <c r="AB118" s="174">
        <v>2</v>
      </c>
      <c r="AC118" s="177">
        <v>3.5750000000000002</v>
      </c>
      <c r="AD118" s="177">
        <v>4.0469999999999997</v>
      </c>
      <c r="AE118" s="178">
        <v>4.2471999999999996E-3</v>
      </c>
      <c r="AF118" s="178">
        <v>4.2471999999999996E-3</v>
      </c>
      <c r="AG118" s="178">
        <v>0</v>
      </c>
      <c r="AH118" s="178">
        <v>4.2471999999999996E-3</v>
      </c>
      <c r="AI118" s="178">
        <v>4.2471999999999996E-3</v>
      </c>
      <c r="AJ118" s="178">
        <v>4.2471999999999996E-3</v>
      </c>
      <c r="AK118" s="178">
        <v>0.84104102908956102</v>
      </c>
      <c r="AL118" s="178">
        <v>0.82987226545873993</v>
      </c>
      <c r="AM118" s="178">
        <v>1.1890086791429346</v>
      </c>
      <c r="AN118" s="178">
        <v>1.2050108489286684</v>
      </c>
      <c r="AO118" s="178">
        <v>4.1615303770002714E-2</v>
      </c>
      <c r="AP118" s="178">
        <v>4.2175379712503396E-2</v>
      </c>
      <c r="AQ118" s="174">
        <v>3</v>
      </c>
      <c r="AR118" s="174">
        <v>3</v>
      </c>
      <c r="AS118" s="177">
        <v>2</v>
      </c>
      <c r="AT118" s="177">
        <v>2</v>
      </c>
      <c r="AU118" s="177">
        <v>3.5750000000000002</v>
      </c>
      <c r="AV118" s="177">
        <v>4.0469999999999997</v>
      </c>
      <c r="AW118" s="177">
        <v>0</v>
      </c>
      <c r="AX118" s="177">
        <v>0</v>
      </c>
      <c r="AY118" s="177">
        <v>0</v>
      </c>
      <c r="AZ118" s="177">
        <v>0</v>
      </c>
      <c r="BA118" s="177">
        <v>0</v>
      </c>
      <c r="BB118" s="177">
        <v>0</v>
      </c>
      <c r="BC118" s="177">
        <v>0</v>
      </c>
      <c r="BD118" s="177">
        <v>0</v>
      </c>
      <c r="BE118" s="177">
        <v>33.070999999999998</v>
      </c>
      <c r="BF118" s="177">
        <v>33.542999999999999</v>
      </c>
      <c r="BG118" s="174">
        <v>1</v>
      </c>
      <c r="BH118" s="174"/>
      <c r="BI118" s="174"/>
      <c r="BJ118" s="174"/>
      <c r="BK118" s="174"/>
      <c r="BL118" s="174"/>
      <c r="BM118" s="174"/>
      <c r="BN118" s="174"/>
    </row>
    <row r="119" spans="1:66">
      <c r="A119" s="174">
        <v>10406</v>
      </c>
      <c r="B119" s="174" t="s">
        <v>123</v>
      </c>
      <c r="C119" s="174">
        <v>1</v>
      </c>
      <c r="D119" s="174">
        <v>0</v>
      </c>
      <c r="E119" s="177">
        <v>0.46500000000000002</v>
      </c>
      <c r="F119" s="177">
        <v>0.56399999999999995</v>
      </c>
      <c r="G119" s="177">
        <v>0.56399999999999995</v>
      </c>
      <c r="H119" s="177">
        <v>0</v>
      </c>
      <c r="I119" s="177">
        <v>0</v>
      </c>
      <c r="J119" s="177">
        <v>0</v>
      </c>
      <c r="K119" s="177">
        <v>0</v>
      </c>
      <c r="L119" s="176">
        <v>0</v>
      </c>
      <c r="M119" s="176">
        <v>0</v>
      </c>
      <c r="N119" s="177">
        <v>0.56399999999999995</v>
      </c>
      <c r="O119" s="177">
        <v>0.56399999999999995</v>
      </c>
      <c r="P119" s="176">
        <v>4940.6399999999994</v>
      </c>
      <c r="Q119" s="176">
        <v>4940.6399999999994</v>
      </c>
      <c r="R119" s="174">
        <v>0.45100000000000001</v>
      </c>
      <c r="S119" s="176">
        <v>3950.76</v>
      </c>
      <c r="T119" s="176">
        <v>3950.76</v>
      </c>
      <c r="U119" s="177">
        <v>0.113</v>
      </c>
      <c r="V119" s="177">
        <v>0.113</v>
      </c>
      <c r="W119" s="177">
        <v>0</v>
      </c>
      <c r="X119" s="177">
        <v>0</v>
      </c>
      <c r="Y119" s="177">
        <v>0.113</v>
      </c>
      <c r="Z119" s="177">
        <v>0.113</v>
      </c>
      <c r="AA119" s="174">
        <v>0</v>
      </c>
      <c r="AB119" s="174">
        <v>0</v>
      </c>
      <c r="AC119" s="177">
        <v>0</v>
      </c>
      <c r="AD119" s="177">
        <v>0</v>
      </c>
      <c r="AE119" s="178">
        <v>6.4900000000000005E-5</v>
      </c>
      <c r="AF119" s="178">
        <v>6.4900000000000005E-5</v>
      </c>
      <c r="AG119" s="178">
        <v>0</v>
      </c>
      <c r="AH119" s="178">
        <v>6.4900000000000005E-5</v>
      </c>
      <c r="AI119" s="178">
        <v>6.4900000000000005E-5</v>
      </c>
      <c r="AJ119" s="178">
        <v>6.4900000000000005E-5</v>
      </c>
      <c r="AK119" s="178">
        <v>0.79914983226950365</v>
      </c>
      <c r="AL119" s="178">
        <v>0.79914983226950365</v>
      </c>
      <c r="AM119" s="178">
        <v>1.2505543237250554</v>
      </c>
      <c r="AN119" s="178">
        <v>1.2505543237250554</v>
      </c>
      <c r="AO119" s="178">
        <v>0</v>
      </c>
      <c r="AP119" s="178">
        <v>0</v>
      </c>
      <c r="AQ119" s="174">
        <v>1</v>
      </c>
      <c r="AR119" s="174">
        <v>1</v>
      </c>
      <c r="AS119" s="177">
        <v>0</v>
      </c>
      <c r="AT119" s="177">
        <v>0</v>
      </c>
      <c r="AU119" s="177">
        <v>0</v>
      </c>
      <c r="AV119" s="177">
        <v>0</v>
      </c>
      <c r="AW119" s="177">
        <v>0</v>
      </c>
      <c r="AX119" s="177">
        <v>0</v>
      </c>
      <c r="AY119" s="177">
        <v>0</v>
      </c>
      <c r="AZ119" s="177">
        <v>0</v>
      </c>
      <c r="BA119" s="177">
        <v>0</v>
      </c>
      <c r="BB119" s="177">
        <v>0</v>
      </c>
      <c r="BC119" s="177">
        <v>0</v>
      </c>
      <c r="BD119" s="177">
        <v>0</v>
      </c>
      <c r="BE119" s="177">
        <v>0.56399999999999995</v>
      </c>
      <c r="BF119" s="177">
        <v>0.56399999999999995</v>
      </c>
      <c r="BG119" s="174">
        <v>0</v>
      </c>
      <c r="BH119" s="174"/>
      <c r="BI119" s="174"/>
      <c r="BJ119" s="174"/>
      <c r="BK119" s="174"/>
      <c r="BL119" s="174"/>
      <c r="BM119" s="174"/>
      <c r="BN119" s="174"/>
    </row>
    <row r="120" spans="1:66">
      <c r="A120" s="174">
        <v>10408</v>
      </c>
      <c r="B120" s="174" t="s">
        <v>124</v>
      </c>
      <c r="C120" s="174">
        <v>1</v>
      </c>
      <c r="D120" s="174">
        <v>0</v>
      </c>
      <c r="E120" s="177">
        <v>1.55</v>
      </c>
      <c r="F120" s="177">
        <v>1.375</v>
      </c>
      <c r="G120" s="177">
        <v>1.375</v>
      </c>
      <c r="H120" s="177">
        <v>0</v>
      </c>
      <c r="I120" s="177">
        <v>0</v>
      </c>
      <c r="J120" s="177">
        <v>0</v>
      </c>
      <c r="K120" s="177">
        <v>0</v>
      </c>
      <c r="L120" s="176">
        <v>0</v>
      </c>
      <c r="M120" s="176">
        <v>0</v>
      </c>
      <c r="N120" s="177">
        <v>1.4430000000000001</v>
      </c>
      <c r="O120" s="177">
        <v>1.4430000000000001</v>
      </c>
      <c r="P120" s="176">
        <v>12640.68</v>
      </c>
      <c r="Q120" s="176">
        <v>12640.68</v>
      </c>
      <c r="R120" s="174">
        <v>1.5029999999999999</v>
      </c>
      <c r="S120" s="176">
        <v>13166.279999999999</v>
      </c>
      <c r="T120" s="176">
        <v>13166.279999999999</v>
      </c>
      <c r="U120" s="177">
        <v>0</v>
      </c>
      <c r="V120" s="177">
        <v>0</v>
      </c>
      <c r="W120" s="177">
        <v>0</v>
      </c>
      <c r="X120" s="177">
        <v>0</v>
      </c>
      <c r="Y120" s="177">
        <v>0</v>
      </c>
      <c r="Z120" s="177">
        <v>0</v>
      </c>
      <c r="AA120" s="174">
        <v>0</v>
      </c>
      <c r="AB120" s="174">
        <v>0</v>
      </c>
      <c r="AC120" s="177">
        <v>0</v>
      </c>
      <c r="AD120" s="177">
        <v>0</v>
      </c>
      <c r="AE120" s="178">
        <v>2.0780000000000001E-4</v>
      </c>
      <c r="AF120" s="178">
        <v>2.0780000000000001E-4</v>
      </c>
      <c r="AG120" s="178">
        <v>0</v>
      </c>
      <c r="AH120" s="178">
        <v>2.0780000000000001E-4</v>
      </c>
      <c r="AI120" s="178">
        <v>2.0780000000000001E-4</v>
      </c>
      <c r="AJ120" s="178">
        <v>2.0780000000000001E-4</v>
      </c>
      <c r="AK120" s="178">
        <v>1</v>
      </c>
      <c r="AL120" s="178">
        <v>1</v>
      </c>
      <c r="AM120" s="178">
        <v>1</v>
      </c>
      <c r="AN120" s="178">
        <v>1</v>
      </c>
      <c r="AO120" s="178">
        <v>0</v>
      </c>
      <c r="AP120" s="178">
        <v>0</v>
      </c>
      <c r="AQ120" s="174">
        <v>1</v>
      </c>
      <c r="AR120" s="174">
        <v>1</v>
      </c>
      <c r="AS120" s="177">
        <v>0</v>
      </c>
      <c r="AT120" s="177">
        <v>0</v>
      </c>
      <c r="AU120" s="177">
        <v>0</v>
      </c>
      <c r="AV120" s="177">
        <v>0</v>
      </c>
      <c r="AW120" s="177">
        <v>0</v>
      </c>
      <c r="AX120" s="177">
        <v>0</v>
      </c>
      <c r="AY120" s="177">
        <v>0</v>
      </c>
      <c r="AZ120" s="177">
        <v>0</v>
      </c>
      <c r="BA120" s="177">
        <v>0</v>
      </c>
      <c r="BB120" s="177">
        <v>0</v>
      </c>
      <c r="BC120" s="177">
        <v>0</v>
      </c>
      <c r="BD120" s="177">
        <v>0</v>
      </c>
      <c r="BE120" s="177">
        <v>1.4430000000000001</v>
      </c>
      <c r="BF120" s="177">
        <v>1.4430000000000001</v>
      </c>
      <c r="BG120" s="174">
        <v>0</v>
      </c>
      <c r="BH120" s="174"/>
      <c r="BI120" s="174"/>
      <c r="BJ120" s="174"/>
      <c r="BK120" s="174"/>
      <c r="BL120" s="174"/>
      <c r="BM120" s="174"/>
      <c r="BN120" s="174"/>
    </row>
    <row r="121" spans="1:66">
      <c r="A121" s="174">
        <v>10409</v>
      </c>
      <c r="B121" s="174" t="s">
        <v>125</v>
      </c>
      <c r="C121" s="174">
        <v>1</v>
      </c>
      <c r="D121" s="174">
        <v>0</v>
      </c>
      <c r="E121" s="177">
        <v>20.725999999999999</v>
      </c>
      <c r="F121" s="177">
        <v>19.513999999999999</v>
      </c>
      <c r="G121" s="185">
        <v>19.513999999999999</v>
      </c>
      <c r="H121" s="177">
        <v>0</v>
      </c>
      <c r="I121" s="177">
        <v>0</v>
      </c>
      <c r="J121" s="177">
        <v>0</v>
      </c>
      <c r="K121" s="177">
        <v>0</v>
      </c>
      <c r="L121" s="176">
        <v>0</v>
      </c>
      <c r="M121" s="176">
        <v>0</v>
      </c>
      <c r="N121" s="177">
        <v>19.46</v>
      </c>
      <c r="O121" s="177">
        <v>19.486999999999998</v>
      </c>
      <c r="P121" s="176">
        <v>170469.6</v>
      </c>
      <c r="Q121" s="176">
        <v>170706.12</v>
      </c>
      <c r="R121" s="174">
        <v>20.094000000000001</v>
      </c>
      <c r="S121" s="176">
        <v>176023.44</v>
      </c>
      <c r="T121" s="176">
        <v>176023.44</v>
      </c>
      <c r="U121" s="177">
        <v>0</v>
      </c>
      <c r="V121" s="177">
        <v>0</v>
      </c>
      <c r="W121" s="177">
        <v>0</v>
      </c>
      <c r="X121" s="177">
        <v>0</v>
      </c>
      <c r="Y121" s="177">
        <v>0</v>
      </c>
      <c r="Z121" s="177">
        <v>0</v>
      </c>
      <c r="AA121" s="174">
        <v>0</v>
      </c>
      <c r="AB121" s="174">
        <v>0</v>
      </c>
      <c r="AC121" s="177">
        <v>0</v>
      </c>
      <c r="AD121" s="177">
        <v>0</v>
      </c>
      <c r="AE121" s="178">
        <v>2.8021000000000001E-3</v>
      </c>
      <c r="AF121" s="178">
        <v>2.8059999999999999E-3</v>
      </c>
      <c r="AG121" s="178">
        <v>0</v>
      </c>
      <c r="AH121" s="178">
        <v>2.8021000000000001E-3</v>
      </c>
      <c r="AI121" s="178">
        <v>2.8059999999999999E-3</v>
      </c>
      <c r="AJ121" s="178">
        <v>2.8040499999999998E-3</v>
      </c>
      <c r="AK121" s="178">
        <v>1</v>
      </c>
      <c r="AL121" s="178">
        <v>1</v>
      </c>
      <c r="AM121" s="178">
        <v>1</v>
      </c>
      <c r="AN121" s="178">
        <v>1</v>
      </c>
      <c r="AO121" s="178">
        <v>0</v>
      </c>
      <c r="AP121" s="178">
        <v>0</v>
      </c>
      <c r="AQ121" s="174">
        <v>1</v>
      </c>
      <c r="AR121" s="174">
        <v>1</v>
      </c>
      <c r="AS121" s="177">
        <v>0</v>
      </c>
      <c r="AT121" s="177">
        <v>0</v>
      </c>
      <c r="AU121" s="177">
        <v>0</v>
      </c>
      <c r="AV121" s="177">
        <v>0</v>
      </c>
      <c r="AW121" s="177">
        <v>0</v>
      </c>
      <c r="AX121" s="177">
        <v>0</v>
      </c>
      <c r="AY121" s="177">
        <v>0</v>
      </c>
      <c r="AZ121" s="177">
        <v>0</v>
      </c>
      <c r="BA121" s="177">
        <v>0</v>
      </c>
      <c r="BB121" s="177">
        <v>0</v>
      </c>
      <c r="BC121" s="177">
        <v>0</v>
      </c>
      <c r="BD121" s="177">
        <v>0</v>
      </c>
      <c r="BE121" s="177">
        <v>19.46</v>
      </c>
      <c r="BF121" s="177">
        <v>19.486999999999998</v>
      </c>
      <c r="BG121" s="174">
        <v>0</v>
      </c>
      <c r="BH121" s="174"/>
      <c r="BI121" s="174"/>
      <c r="BJ121" s="174"/>
      <c r="BK121" s="174"/>
      <c r="BL121" s="174"/>
      <c r="BM121" s="174"/>
      <c r="BN121" s="174"/>
    </row>
    <row r="122" spans="1:66">
      <c r="A122" s="181">
        <v>10426</v>
      </c>
      <c r="B122" s="181" t="s">
        <v>126</v>
      </c>
      <c r="C122" s="181">
        <v>1</v>
      </c>
      <c r="D122" s="181">
        <v>0</v>
      </c>
      <c r="E122" s="185">
        <v>31.762999999999998</v>
      </c>
      <c r="F122" s="185">
        <v>18.111999999999998</v>
      </c>
      <c r="G122" s="185">
        <v>31.763000000000002</v>
      </c>
      <c r="H122" s="177">
        <v>0</v>
      </c>
      <c r="I122" s="177">
        <v>0</v>
      </c>
      <c r="J122" s="177">
        <v>0</v>
      </c>
      <c r="K122" s="177">
        <v>0</v>
      </c>
      <c r="L122" s="176">
        <v>0</v>
      </c>
      <c r="M122" s="176">
        <v>0</v>
      </c>
      <c r="N122" s="177">
        <v>18.111999999999998</v>
      </c>
      <c r="O122" s="177">
        <v>31.763000000000002</v>
      </c>
      <c r="P122" s="176">
        <v>158661.12</v>
      </c>
      <c r="Q122" s="176">
        <v>278243.88</v>
      </c>
      <c r="R122" s="174">
        <v>30.794</v>
      </c>
      <c r="S122" s="176">
        <v>269755.44</v>
      </c>
      <c r="T122" s="176">
        <v>269755.44</v>
      </c>
      <c r="U122" s="177">
        <v>0</v>
      </c>
      <c r="V122" s="177">
        <v>0.96899999999999997</v>
      </c>
      <c r="W122" s="177">
        <v>0</v>
      </c>
      <c r="X122" s="177">
        <v>0</v>
      </c>
      <c r="Y122" s="177">
        <v>0</v>
      </c>
      <c r="Z122" s="177">
        <v>0.96899999999999997</v>
      </c>
      <c r="AA122" s="174">
        <v>0</v>
      </c>
      <c r="AB122" s="174">
        <v>0</v>
      </c>
      <c r="AC122" s="177">
        <v>0</v>
      </c>
      <c r="AD122" s="177">
        <v>0</v>
      </c>
      <c r="AE122" s="178">
        <v>2.6080000000000001E-3</v>
      </c>
      <c r="AF122" s="178">
        <v>4.4340999999999998E-3</v>
      </c>
      <c r="AG122" s="178">
        <v>0</v>
      </c>
      <c r="AH122" s="178">
        <v>2.6080000000000001E-3</v>
      </c>
      <c r="AI122" s="178">
        <v>4.4340999999999998E-3</v>
      </c>
      <c r="AJ122" s="178">
        <v>3.52105E-3</v>
      </c>
      <c r="AK122" s="178">
        <v>1</v>
      </c>
      <c r="AL122" s="178">
        <v>0.96949726564241401</v>
      </c>
      <c r="AM122" s="178">
        <v>1</v>
      </c>
      <c r="AN122" s="178">
        <v>1.0314671689290122</v>
      </c>
      <c r="AO122" s="178">
        <v>0</v>
      </c>
      <c r="AP122" s="178">
        <v>0</v>
      </c>
      <c r="AQ122" s="174">
        <v>1</v>
      </c>
      <c r="AR122" s="174">
        <v>1</v>
      </c>
      <c r="AS122" s="177">
        <v>0</v>
      </c>
      <c r="AT122" s="177">
        <v>0</v>
      </c>
      <c r="AU122" s="177">
        <v>0</v>
      </c>
      <c r="AV122" s="177">
        <v>0</v>
      </c>
      <c r="AW122" s="177">
        <v>0</v>
      </c>
      <c r="AX122" s="177">
        <v>0</v>
      </c>
      <c r="AY122" s="177">
        <v>0</v>
      </c>
      <c r="AZ122" s="177">
        <v>0</v>
      </c>
      <c r="BA122" s="177">
        <v>0</v>
      </c>
      <c r="BB122" s="177">
        <v>0</v>
      </c>
      <c r="BC122" s="177">
        <v>0</v>
      </c>
      <c r="BD122" s="177">
        <v>0</v>
      </c>
      <c r="BE122" s="177">
        <v>18.111999999999998</v>
      </c>
      <c r="BF122" s="177">
        <v>31.763000000000002</v>
      </c>
      <c r="BG122" s="174">
        <v>0</v>
      </c>
      <c r="BH122" s="174"/>
      <c r="BI122" s="174"/>
      <c r="BJ122" s="174"/>
      <c r="BK122" s="174"/>
      <c r="BL122" s="174"/>
      <c r="BM122" s="174"/>
      <c r="BN122" s="174"/>
    </row>
    <row r="123" spans="1:66">
      <c r="A123" s="181">
        <v>10434</v>
      </c>
      <c r="B123" s="181" t="s">
        <v>127</v>
      </c>
      <c r="C123" s="181">
        <v>1</v>
      </c>
      <c r="D123" s="181">
        <v>0</v>
      </c>
      <c r="E123" s="185">
        <v>27.562000000000001</v>
      </c>
      <c r="F123" s="185">
        <v>28.981999999999999</v>
      </c>
      <c r="G123" s="185">
        <v>29.244</v>
      </c>
      <c r="H123" s="177">
        <v>0</v>
      </c>
      <c r="I123" s="177">
        <v>0</v>
      </c>
      <c r="J123" s="177">
        <v>0</v>
      </c>
      <c r="K123" s="177">
        <v>0</v>
      </c>
      <c r="L123" s="176">
        <v>0</v>
      </c>
      <c r="M123" s="176">
        <v>0</v>
      </c>
      <c r="N123" s="177">
        <v>28.981999999999999</v>
      </c>
      <c r="O123" s="177">
        <v>29.244</v>
      </c>
      <c r="P123" s="176">
        <v>253882.32</v>
      </c>
      <c r="Q123" s="176">
        <v>256177.44</v>
      </c>
      <c r="R123" s="174">
        <v>26.721</v>
      </c>
      <c r="S123" s="176">
        <v>234075.96</v>
      </c>
      <c r="T123" s="176">
        <v>234075.96</v>
      </c>
      <c r="U123" s="177">
        <v>2.2610000000000001</v>
      </c>
      <c r="V123" s="177">
        <v>2.5230000000000001</v>
      </c>
      <c r="W123" s="177">
        <v>2.2610000000000001</v>
      </c>
      <c r="X123" s="177">
        <v>2.5230000000000001</v>
      </c>
      <c r="Y123" s="177">
        <v>0</v>
      </c>
      <c r="Z123" s="177">
        <v>0</v>
      </c>
      <c r="AA123" s="174">
        <v>0</v>
      </c>
      <c r="AB123" s="174">
        <v>0</v>
      </c>
      <c r="AC123" s="177">
        <v>2.2610000000000001</v>
      </c>
      <c r="AD123" s="177">
        <v>2.5230000000000001</v>
      </c>
      <c r="AE123" s="178">
        <v>3.8476000000000001E-3</v>
      </c>
      <c r="AF123" s="178">
        <v>3.8476000000000001E-3</v>
      </c>
      <c r="AG123" s="178">
        <v>0</v>
      </c>
      <c r="AH123" s="178">
        <v>3.8476000000000001E-3</v>
      </c>
      <c r="AI123" s="178">
        <v>3.8476000000000001E-3</v>
      </c>
      <c r="AJ123" s="178">
        <v>3.8476000000000001E-3</v>
      </c>
      <c r="AK123" s="178">
        <v>0.92198569697053345</v>
      </c>
      <c r="AL123" s="178">
        <v>0.91372553240322796</v>
      </c>
      <c r="AM123" s="178">
        <v>1.0846150967403914</v>
      </c>
      <c r="AN123" s="178">
        <v>1.0944201190075222</v>
      </c>
      <c r="AO123" s="178">
        <v>0</v>
      </c>
      <c r="AP123" s="178">
        <v>0</v>
      </c>
      <c r="AQ123" s="174">
        <v>3</v>
      </c>
      <c r="AR123" s="174">
        <v>3</v>
      </c>
      <c r="AS123" s="177">
        <v>10</v>
      </c>
      <c r="AT123" s="177">
        <v>10</v>
      </c>
      <c r="AU123" s="177">
        <v>0.26100000000000001</v>
      </c>
      <c r="AV123" s="177">
        <v>0.52300000000000002</v>
      </c>
      <c r="AW123" s="177">
        <v>0</v>
      </c>
      <c r="AX123" s="177">
        <v>0</v>
      </c>
      <c r="AY123" s="177">
        <v>0</v>
      </c>
      <c r="AZ123" s="177">
        <v>0</v>
      </c>
      <c r="BA123" s="177">
        <v>0</v>
      </c>
      <c r="BB123" s="177">
        <v>0</v>
      </c>
      <c r="BC123" s="177">
        <v>0</v>
      </c>
      <c r="BD123" s="177">
        <v>0</v>
      </c>
      <c r="BE123" s="177">
        <v>26.981999999999999</v>
      </c>
      <c r="BF123" s="177">
        <v>27.244</v>
      </c>
      <c r="BG123" s="174">
        <v>1</v>
      </c>
      <c r="BH123" s="174"/>
      <c r="BI123" s="174"/>
      <c r="BJ123" s="174"/>
      <c r="BK123" s="174"/>
      <c r="BL123" s="174"/>
      <c r="BM123" s="174"/>
      <c r="BN123" s="174"/>
    </row>
    <row r="124" spans="1:66">
      <c r="A124" s="181">
        <v>10436</v>
      </c>
      <c r="B124" s="181" t="s">
        <v>128</v>
      </c>
      <c r="C124" s="181">
        <v>1</v>
      </c>
      <c r="D124" s="181">
        <v>0</v>
      </c>
      <c r="E124" s="185">
        <v>19.437999999999999</v>
      </c>
      <c r="F124" s="185">
        <v>21.425000000000001</v>
      </c>
      <c r="G124" s="185">
        <v>21.864999999999998</v>
      </c>
      <c r="H124" s="177">
        <v>0</v>
      </c>
      <c r="I124" s="177">
        <v>0</v>
      </c>
      <c r="J124" s="177">
        <v>0</v>
      </c>
      <c r="K124" s="177">
        <v>0</v>
      </c>
      <c r="L124" s="176">
        <v>0</v>
      </c>
      <c r="M124" s="176">
        <v>0</v>
      </c>
      <c r="N124" s="177">
        <v>20.138000000000002</v>
      </c>
      <c r="O124" s="177">
        <v>20.344000000000001</v>
      </c>
      <c r="P124" s="176">
        <v>176408.88</v>
      </c>
      <c r="Q124" s="176">
        <v>178213.44</v>
      </c>
      <c r="R124" s="174">
        <v>18.844999999999999</v>
      </c>
      <c r="S124" s="176">
        <v>165082.19999999998</v>
      </c>
      <c r="T124" s="176">
        <v>165082.19999999998</v>
      </c>
      <c r="U124" s="177">
        <v>1.2929999999999999</v>
      </c>
      <c r="V124" s="177">
        <v>1.4990000000000001</v>
      </c>
      <c r="W124" s="177">
        <v>1.2929999999999999</v>
      </c>
      <c r="X124" s="177">
        <v>1.4990000000000001</v>
      </c>
      <c r="Y124" s="177">
        <v>0</v>
      </c>
      <c r="Z124" s="177">
        <v>0</v>
      </c>
      <c r="AA124" s="174">
        <v>0</v>
      </c>
      <c r="AB124" s="174">
        <v>0</v>
      </c>
      <c r="AC124" s="177">
        <v>1.2929999999999999</v>
      </c>
      <c r="AD124" s="177">
        <v>1.4990000000000001</v>
      </c>
      <c r="AE124" s="178">
        <v>2.7135000000000002E-3</v>
      </c>
      <c r="AF124" s="178">
        <v>2.7135000000000002E-3</v>
      </c>
      <c r="AG124" s="178">
        <v>0</v>
      </c>
      <c r="AH124" s="178">
        <v>2.7135000000000002E-3</v>
      </c>
      <c r="AI124" s="178">
        <v>2.7135000000000002E-3</v>
      </c>
      <c r="AJ124" s="178">
        <v>2.7135000000000002E-3</v>
      </c>
      <c r="AK124" s="178">
        <v>0.93578506410765705</v>
      </c>
      <c r="AL124" s="178">
        <v>0.9263094583661029</v>
      </c>
      <c r="AM124" s="178">
        <v>1.0686123640222873</v>
      </c>
      <c r="AN124" s="178">
        <v>1.0795436455293181</v>
      </c>
      <c r="AO124" s="178">
        <v>7.4802865481560121E-2</v>
      </c>
      <c r="AP124" s="178">
        <v>7.5568055187052272E-2</v>
      </c>
      <c r="AQ124" s="174">
        <v>1</v>
      </c>
      <c r="AR124" s="174">
        <v>1</v>
      </c>
      <c r="AS124" s="177">
        <v>0</v>
      </c>
      <c r="AT124" s="177">
        <v>0</v>
      </c>
      <c r="AU124" s="177">
        <v>1.2929999999999999</v>
      </c>
      <c r="AV124" s="177">
        <v>1.4990000000000001</v>
      </c>
      <c r="AW124" s="177">
        <v>0</v>
      </c>
      <c r="AX124" s="177">
        <v>0</v>
      </c>
      <c r="AY124" s="177">
        <v>0</v>
      </c>
      <c r="AZ124" s="177">
        <v>0</v>
      </c>
      <c r="BA124" s="177">
        <v>0</v>
      </c>
      <c r="BB124" s="177">
        <v>0</v>
      </c>
      <c r="BC124" s="177">
        <v>0</v>
      </c>
      <c r="BD124" s="177">
        <v>0</v>
      </c>
      <c r="BE124" s="177">
        <v>20.138000000000002</v>
      </c>
      <c r="BF124" s="177">
        <v>20.344000000000001</v>
      </c>
      <c r="BG124" s="174">
        <v>1</v>
      </c>
      <c r="BH124" s="174"/>
      <c r="BI124" s="174"/>
      <c r="BJ124" s="174"/>
      <c r="BK124" s="174"/>
      <c r="BL124" s="174"/>
      <c r="BM124" s="174"/>
      <c r="BN124" s="174"/>
    </row>
    <row r="125" spans="1:66">
      <c r="A125" s="181">
        <v>10440</v>
      </c>
      <c r="B125" s="181" t="s">
        <v>129</v>
      </c>
      <c r="C125" s="181">
        <v>1</v>
      </c>
      <c r="D125" s="181">
        <v>0</v>
      </c>
      <c r="E125" s="185">
        <v>5.08</v>
      </c>
      <c r="F125" s="185">
        <v>4.9210000000000003</v>
      </c>
      <c r="G125" s="185">
        <v>4.9210000000000003</v>
      </c>
      <c r="H125" s="177">
        <v>0</v>
      </c>
      <c r="I125" s="177">
        <v>0</v>
      </c>
      <c r="J125" s="177">
        <v>0</v>
      </c>
      <c r="K125" s="177">
        <v>0</v>
      </c>
      <c r="L125" s="176">
        <v>0</v>
      </c>
      <c r="M125" s="176">
        <v>0</v>
      </c>
      <c r="N125" s="177">
        <v>4.91</v>
      </c>
      <c r="O125" s="177">
        <v>4.91</v>
      </c>
      <c r="P125" s="176">
        <v>43011.6</v>
      </c>
      <c r="Q125" s="176">
        <v>43011.6</v>
      </c>
      <c r="R125" s="174">
        <v>4.9249999999999998</v>
      </c>
      <c r="S125" s="176">
        <v>43143</v>
      </c>
      <c r="T125" s="176">
        <v>43143</v>
      </c>
      <c r="U125" s="177">
        <v>0</v>
      </c>
      <c r="V125" s="177">
        <v>0</v>
      </c>
      <c r="W125" s="177">
        <v>0</v>
      </c>
      <c r="X125" s="177">
        <v>0</v>
      </c>
      <c r="Y125" s="177">
        <v>0</v>
      </c>
      <c r="Z125" s="177">
        <v>0</v>
      </c>
      <c r="AA125" s="174">
        <v>0</v>
      </c>
      <c r="AB125" s="174">
        <v>0</v>
      </c>
      <c r="AC125" s="177">
        <v>0</v>
      </c>
      <c r="AD125" s="177">
        <v>0</v>
      </c>
      <c r="AE125" s="178">
        <v>7.0699999999999995E-4</v>
      </c>
      <c r="AF125" s="178">
        <v>7.0699999999999995E-4</v>
      </c>
      <c r="AG125" s="178">
        <v>0</v>
      </c>
      <c r="AH125" s="178">
        <v>7.0699999999999995E-4</v>
      </c>
      <c r="AI125" s="178">
        <v>7.0699999999999995E-4</v>
      </c>
      <c r="AJ125" s="178">
        <v>7.0699999999999995E-4</v>
      </c>
      <c r="AK125" s="178">
        <v>1</v>
      </c>
      <c r="AL125" s="178">
        <v>1</v>
      </c>
      <c r="AM125" s="178">
        <v>1</v>
      </c>
      <c r="AN125" s="178">
        <v>1</v>
      </c>
      <c r="AO125" s="178">
        <v>5.5E-2</v>
      </c>
      <c r="AP125" s="178">
        <v>5.5E-2</v>
      </c>
      <c r="AQ125" s="174">
        <v>1</v>
      </c>
      <c r="AR125" s="174">
        <v>1</v>
      </c>
      <c r="AS125" s="177">
        <v>0</v>
      </c>
      <c r="AT125" s="177">
        <v>0</v>
      </c>
      <c r="AU125" s="177">
        <v>0</v>
      </c>
      <c r="AV125" s="177">
        <v>0</v>
      </c>
      <c r="AW125" s="177">
        <v>0</v>
      </c>
      <c r="AX125" s="177">
        <v>0</v>
      </c>
      <c r="AY125" s="177">
        <v>0</v>
      </c>
      <c r="AZ125" s="177">
        <v>0</v>
      </c>
      <c r="BA125" s="177">
        <v>0</v>
      </c>
      <c r="BB125" s="177">
        <v>0</v>
      </c>
      <c r="BC125" s="177">
        <v>0</v>
      </c>
      <c r="BD125" s="177">
        <v>0</v>
      </c>
      <c r="BE125" s="177">
        <v>4.91</v>
      </c>
      <c r="BF125" s="177">
        <v>4.91</v>
      </c>
      <c r="BG125" s="174">
        <v>0</v>
      </c>
      <c r="BH125" s="174"/>
      <c r="BI125" s="174"/>
      <c r="BJ125" s="174"/>
      <c r="BK125" s="174"/>
      <c r="BL125" s="174"/>
      <c r="BM125" s="174"/>
      <c r="BN125" s="174"/>
    </row>
    <row r="126" spans="1:66">
      <c r="A126" s="181">
        <v>10442</v>
      </c>
      <c r="B126" s="181" t="s">
        <v>130</v>
      </c>
      <c r="C126" s="181">
        <v>1</v>
      </c>
      <c r="D126" s="181">
        <v>0</v>
      </c>
      <c r="E126" s="185">
        <v>13.596</v>
      </c>
      <c r="F126" s="185">
        <v>12.35</v>
      </c>
      <c r="G126" s="185">
        <v>12.35</v>
      </c>
      <c r="H126" s="177">
        <v>0</v>
      </c>
      <c r="I126" s="177">
        <v>0</v>
      </c>
      <c r="J126" s="177">
        <v>0</v>
      </c>
      <c r="K126" s="177">
        <v>0</v>
      </c>
      <c r="L126" s="176">
        <v>0</v>
      </c>
      <c r="M126" s="176">
        <v>0</v>
      </c>
      <c r="N126" s="177">
        <v>13.05</v>
      </c>
      <c r="O126" s="177">
        <v>13.093999999999999</v>
      </c>
      <c r="P126" s="176">
        <v>114318</v>
      </c>
      <c r="Q126" s="176">
        <v>114703.43999999999</v>
      </c>
      <c r="R126" s="174">
        <v>13.180999999999999</v>
      </c>
      <c r="S126" s="176">
        <v>115465.56</v>
      </c>
      <c r="T126" s="176">
        <v>115465.56</v>
      </c>
      <c r="U126" s="177">
        <v>0</v>
      </c>
      <c r="V126" s="177">
        <v>0</v>
      </c>
      <c r="W126" s="177">
        <v>0</v>
      </c>
      <c r="X126" s="177">
        <v>0</v>
      </c>
      <c r="Y126" s="177">
        <v>0</v>
      </c>
      <c r="Z126" s="177">
        <v>0</v>
      </c>
      <c r="AA126" s="174">
        <v>0</v>
      </c>
      <c r="AB126" s="174">
        <v>0</v>
      </c>
      <c r="AC126" s="177">
        <v>0</v>
      </c>
      <c r="AD126" s="177">
        <v>0</v>
      </c>
      <c r="AE126" s="178">
        <v>1.8791000000000001E-3</v>
      </c>
      <c r="AF126" s="178">
        <v>1.8854E-3</v>
      </c>
      <c r="AG126" s="178">
        <v>0</v>
      </c>
      <c r="AH126" s="178">
        <v>1.8791000000000001E-3</v>
      </c>
      <c r="AI126" s="178">
        <v>1.8854E-3</v>
      </c>
      <c r="AJ126" s="178">
        <v>1.88225E-3</v>
      </c>
      <c r="AK126" s="178">
        <v>1</v>
      </c>
      <c r="AL126" s="178">
        <v>0.99998569179776986</v>
      </c>
      <c r="AM126" s="178">
        <v>1</v>
      </c>
      <c r="AN126" s="178">
        <v>1</v>
      </c>
      <c r="AO126" s="178">
        <v>7.0000000000000007E-2</v>
      </c>
      <c r="AP126" s="178">
        <v>7.0000000000000007E-2</v>
      </c>
      <c r="AQ126" s="174">
        <v>1</v>
      </c>
      <c r="AR126" s="174">
        <v>1</v>
      </c>
      <c r="AS126" s="177">
        <v>0</v>
      </c>
      <c r="AT126" s="177">
        <v>0</v>
      </c>
      <c r="AU126" s="177">
        <v>0</v>
      </c>
      <c r="AV126" s="177">
        <v>0</v>
      </c>
      <c r="AW126" s="177">
        <v>0</v>
      </c>
      <c r="AX126" s="177">
        <v>0</v>
      </c>
      <c r="AY126" s="177">
        <v>0</v>
      </c>
      <c r="AZ126" s="177">
        <v>0</v>
      </c>
      <c r="BA126" s="177">
        <v>0</v>
      </c>
      <c r="BB126" s="177">
        <v>0</v>
      </c>
      <c r="BC126" s="177">
        <v>0</v>
      </c>
      <c r="BD126" s="177">
        <v>0</v>
      </c>
      <c r="BE126" s="177">
        <v>13.05</v>
      </c>
      <c r="BF126" s="177">
        <v>13.093999999999999</v>
      </c>
      <c r="BG126" s="174">
        <v>1</v>
      </c>
      <c r="BH126" s="174"/>
      <c r="BI126" s="174"/>
      <c r="BJ126" s="174"/>
      <c r="BK126" s="174"/>
      <c r="BL126" s="174"/>
      <c r="BM126" s="174"/>
      <c r="BN126" s="174"/>
    </row>
    <row r="127" spans="1:66">
      <c r="A127" s="181">
        <v>10446</v>
      </c>
      <c r="B127" s="181" t="s">
        <v>131</v>
      </c>
      <c r="C127" s="181">
        <v>1</v>
      </c>
      <c r="D127" s="181">
        <v>0</v>
      </c>
      <c r="E127" s="185">
        <v>97.2</v>
      </c>
      <c r="F127" s="185">
        <v>94.067999999999998</v>
      </c>
      <c r="G127" s="185">
        <v>94.817999999999998</v>
      </c>
      <c r="H127" s="177">
        <v>0</v>
      </c>
      <c r="I127" s="177">
        <v>0</v>
      </c>
      <c r="J127" s="177">
        <v>0</v>
      </c>
      <c r="K127" s="177">
        <v>0</v>
      </c>
      <c r="L127" s="176">
        <v>0</v>
      </c>
      <c r="M127" s="176">
        <v>0</v>
      </c>
      <c r="N127" s="177">
        <v>96.594999999999999</v>
      </c>
      <c r="O127" s="177">
        <v>97.244</v>
      </c>
      <c r="P127" s="176">
        <v>846172.2</v>
      </c>
      <c r="Q127" s="176">
        <v>851857.44</v>
      </c>
      <c r="R127" s="174">
        <v>94.233999999999995</v>
      </c>
      <c r="S127" s="176">
        <v>825489.84</v>
      </c>
      <c r="T127" s="176">
        <v>825489.84</v>
      </c>
      <c r="U127" s="177">
        <v>2.3610000000000002</v>
      </c>
      <c r="V127" s="177">
        <v>3.01</v>
      </c>
      <c r="W127" s="177">
        <v>2.3610000000000002</v>
      </c>
      <c r="X127" s="177">
        <v>3.01</v>
      </c>
      <c r="Y127" s="177">
        <v>0</v>
      </c>
      <c r="Z127" s="177">
        <v>0</v>
      </c>
      <c r="AA127" s="174">
        <v>4</v>
      </c>
      <c r="AB127" s="174">
        <v>4</v>
      </c>
      <c r="AC127" s="177">
        <v>0</v>
      </c>
      <c r="AD127" s="177">
        <v>0</v>
      </c>
      <c r="AE127" s="178">
        <v>1.35689E-2</v>
      </c>
      <c r="AF127" s="178">
        <v>1.35689E-2</v>
      </c>
      <c r="AG127" s="178">
        <v>0</v>
      </c>
      <c r="AH127" s="178">
        <v>1.35689E-2</v>
      </c>
      <c r="AI127" s="178">
        <v>1.35689E-2</v>
      </c>
      <c r="AJ127" s="178">
        <v>1.35689E-2</v>
      </c>
      <c r="AK127" s="178">
        <v>0.97555692209120548</v>
      </c>
      <c r="AL127" s="178">
        <v>0.96904611996010037</v>
      </c>
      <c r="AM127" s="178">
        <v>1.0250546511874696</v>
      </c>
      <c r="AN127" s="178">
        <v>1.0319417619967315</v>
      </c>
      <c r="AO127" s="178">
        <v>6.1503279071248175E-2</v>
      </c>
      <c r="AP127" s="178">
        <v>6.1916505719803887E-2</v>
      </c>
      <c r="AQ127" s="174">
        <v>3</v>
      </c>
      <c r="AR127" s="174">
        <v>3</v>
      </c>
      <c r="AS127" s="177">
        <v>2</v>
      </c>
      <c r="AT127" s="177">
        <v>3</v>
      </c>
      <c r="AU127" s="177">
        <v>4</v>
      </c>
      <c r="AV127" s="177">
        <v>4</v>
      </c>
      <c r="AW127" s="177">
        <v>0</v>
      </c>
      <c r="AX127" s="177">
        <v>0</v>
      </c>
      <c r="AY127" s="177">
        <v>-1.6389999999999998</v>
      </c>
      <c r="AZ127" s="177">
        <v>-0.99000000000000021</v>
      </c>
      <c r="BA127" s="177">
        <v>-1.6389999999999998</v>
      </c>
      <c r="BB127" s="177">
        <v>-0.99000000000000021</v>
      </c>
      <c r="BC127" s="177">
        <v>0</v>
      </c>
      <c r="BD127" s="177">
        <v>0</v>
      </c>
      <c r="BE127" s="177">
        <v>96.594999999999999</v>
      </c>
      <c r="BF127" s="177">
        <v>97.244</v>
      </c>
      <c r="BG127" s="174">
        <v>1</v>
      </c>
      <c r="BH127" s="174"/>
      <c r="BI127" s="174"/>
      <c r="BJ127" s="174"/>
      <c r="BK127" s="174"/>
      <c r="BL127" s="174"/>
      <c r="BM127" s="174"/>
      <c r="BN127" s="174"/>
    </row>
    <row r="128" spans="1:66">
      <c r="A128" s="181">
        <v>10448</v>
      </c>
      <c r="B128" s="181" t="s">
        <v>132</v>
      </c>
      <c r="C128" s="181">
        <v>0</v>
      </c>
      <c r="D128" s="181">
        <v>1</v>
      </c>
      <c r="E128" s="185">
        <v>8.6079999999999988</v>
      </c>
      <c r="F128" s="185">
        <v>8.0559999999999992</v>
      </c>
      <c r="G128" s="185">
        <v>8.0559999999999992</v>
      </c>
      <c r="H128" s="177">
        <v>0</v>
      </c>
      <c r="I128" s="177">
        <v>0</v>
      </c>
      <c r="J128" s="177">
        <v>0</v>
      </c>
      <c r="K128" s="177">
        <v>0</v>
      </c>
      <c r="L128" s="176">
        <v>0</v>
      </c>
      <c r="M128" s="176">
        <v>0</v>
      </c>
      <c r="N128" s="177">
        <v>8.1519999999999992</v>
      </c>
      <c r="O128" s="177">
        <v>8.1519999999999992</v>
      </c>
      <c r="P128" s="176">
        <v>71411.51999999999</v>
      </c>
      <c r="Q128" s="176">
        <v>71411.51999999999</v>
      </c>
      <c r="R128" s="174">
        <v>8.3450000000000006</v>
      </c>
      <c r="S128" s="176">
        <v>73102.200000000012</v>
      </c>
      <c r="T128" s="176">
        <v>73102.200000000012</v>
      </c>
      <c r="U128" s="177">
        <v>0</v>
      </c>
      <c r="V128" s="177">
        <v>0</v>
      </c>
      <c r="W128" s="177">
        <v>0</v>
      </c>
      <c r="X128" s="177">
        <v>0</v>
      </c>
      <c r="Y128" s="177">
        <v>0</v>
      </c>
      <c r="Z128" s="177">
        <v>0</v>
      </c>
      <c r="AA128" s="174">
        <v>0</v>
      </c>
      <c r="AB128" s="174">
        <v>0</v>
      </c>
      <c r="AC128" s="177">
        <v>0</v>
      </c>
      <c r="AD128" s="177">
        <v>0</v>
      </c>
      <c r="AE128" s="178">
        <v>1.1738E-3</v>
      </c>
      <c r="AF128" s="178">
        <v>1.1738E-3</v>
      </c>
      <c r="AG128" s="178">
        <v>0</v>
      </c>
      <c r="AH128" s="178">
        <v>1.1738E-3</v>
      </c>
      <c r="AI128" s="178">
        <v>1.1738E-3</v>
      </c>
      <c r="AJ128" s="178">
        <v>1.1738E-3</v>
      </c>
      <c r="AK128" s="178">
        <v>0.99998285510304219</v>
      </c>
      <c r="AL128" s="178">
        <v>0.99998285510304219</v>
      </c>
      <c r="AM128" s="178">
        <v>1</v>
      </c>
      <c r="AN128" s="178">
        <v>1</v>
      </c>
      <c r="AO128" s="178">
        <v>7.0000000000000007E-2</v>
      </c>
      <c r="AP128" s="178">
        <v>7.0000000000000007E-2</v>
      </c>
      <c r="AQ128" s="174">
        <v>6</v>
      </c>
      <c r="AR128" s="174">
        <v>6</v>
      </c>
      <c r="AS128" s="177">
        <v>0</v>
      </c>
      <c r="AT128" s="177">
        <v>0</v>
      </c>
      <c r="AU128" s="177">
        <v>0</v>
      </c>
      <c r="AV128" s="177">
        <v>0</v>
      </c>
      <c r="AW128" s="177">
        <v>0</v>
      </c>
      <c r="AX128" s="177">
        <v>0</v>
      </c>
      <c r="AY128" s="177">
        <v>0</v>
      </c>
      <c r="AZ128" s="177">
        <v>0</v>
      </c>
      <c r="BA128" s="177">
        <v>0</v>
      </c>
      <c r="BB128" s="177">
        <v>0</v>
      </c>
      <c r="BC128" s="177">
        <v>0</v>
      </c>
      <c r="BD128" s="177">
        <v>0</v>
      </c>
      <c r="BE128" s="177">
        <v>8.1519999999999992</v>
      </c>
      <c r="BF128" s="177">
        <v>8.1519999999999992</v>
      </c>
      <c r="BG128" s="174">
        <v>0</v>
      </c>
      <c r="BH128" s="174"/>
      <c r="BI128" s="174"/>
      <c r="BJ128" s="174"/>
      <c r="BK128" s="174"/>
      <c r="BL128" s="174"/>
      <c r="BM128" s="174"/>
      <c r="BN128" s="174"/>
    </row>
    <row r="129" spans="1:66">
      <c r="A129" s="181">
        <v>10451</v>
      </c>
      <c r="B129" s="181" t="s">
        <v>133</v>
      </c>
      <c r="C129" s="181">
        <v>1</v>
      </c>
      <c r="D129" s="181">
        <v>0</v>
      </c>
      <c r="E129" s="185">
        <v>27.233000000000001</v>
      </c>
      <c r="F129" s="185">
        <v>26.26</v>
      </c>
      <c r="G129" s="185">
        <v>26.26</v>
      </c>
      <c r="H129" s="177">
        <v>0</v>
      </c>
      <c r="I129" s="177">
        <v>0</v>
      </c>
      <c r="J129" s="177">
        <v>0</v>
      </c>
      <c r="K129" s="177">
        <v>0</v>
      </c>
      <c r="L129" s="176">
        <v>0</v>
      </c>
      <c r="M129" s="176">
        <v>0</v>
      </c>
      <c r="N129" s="177">
        <v>26.184999999999999</v>
      </c>
      <c r="O129" s="177">
        <v>26.184999999999999</v>
      </c>
      <c r="P129" s="176">
        <v>229380.59999999998</v>
      </c>
      <c r="Q129" s="176">
        <v>229380.59999999998</v>
      </c>
      <c r="R129" s="174">
        <v>26.402000000000001</v>
      </c>
      <c r="S129" s="176">
        <v>231281.52000000002</v>
      </c>
      <c r="T129" s="176">
        <v>231281.52000000002</v>
      </c>
      <c r="U129" s="177">
        <v>0</v>
      </c>
      <c r="V129" s="177">
        <v>0</v>
      </c>
      <c r="W129" s="177">
        <v>0</v>
      </c>
      <c r="X129" s="177">
        <v>0</v>
      </c>
      <c r="Y129" s="177">
        <v>0</v>
      </c>
      <c r="Z129" s="177">
        <v>0</v>
      </c>
      <c r="AA129" s="174">
        <v>0</v>
      </c>
      <c r="AB129" s="174">
        <v>0</v>
      </c>
      <c r="AC129" s="177">
        <v>0</v>
      </c>
      <c r="AD129" s="177">
        <v>0</v>
      </c>
      <c r="AE129" s="178">
        <v>3.7704000000000001E-3</v>
      </c>
      <c r="AF129" s="178">
        <v>3.7704000000000001E-3</v>
      </c>
      <c r="AG129" s="178">
        <v>0</v>
      </c>
      <c r="AH129" s="178">
        <v>3.7704000000000001E-3</v>
      </c>
      <c r="AI129" s="178">
        <v>3.7704000000000001E-3</v>
      </c>
      <c r="AJ129" s="178">
        <v>3.7704000000000001E-3</v>
      </c>
      <c r="AK129" s="178">
        <v>0.99999417064731722</v>
      </c>
      <c r="AL129" s="178">
        <v>0.99999417064731722</v>
      </c>
      <c r="AM129" s="178">
        <v>1</v>
      </c>
      <c r="AN129" s="178">
        <v>1</v>
      </c>
      <c r="AO129" s="178">
        <v>0</v>
      </c>
      <c r="AP129" s="178">
        <v>0</v>
      </c>
      <c r="AQ129" s="174">
        <v>1</v>
      </c>
      <c r="AR129" s="174">
        <v>1</v>
      </c>
      <c r="AS129" s="177">
        <v>0</v>
      </c>
      <c r="AT129" s="177">
        <v>0</v>
      </c>
      <c r="AU129" s="177">
        <v>0</v>
      </c>
      <c r="AV129" s="177">
        <v>0</v>
      </c>
      <c r="AW129" s="177">
        <v>0</v>
      </c>
      <c r="AX129" s="177">
        <v>0</v>
      </c>
      <c r="AY129" s="177">
        <v>0</v>
      </c>
      <c r="AZ129" s="177">
        <v>0</v>
      </c>
      <c r="BA129" s="177">
        <v>0</v>
      </c>
      <c r="BB129" s="177">
        <v>0</v>
      </c>
      <c r="BC129" s="177">
        <v>0</v>
      </c>
      <c r="BD129" s="177">
        <v>0</v>
      </c>
      <c r="BE129" s="177">
        <v>26.184999999999999</v>
      </c>
      <c r="BF129" s="177">
        <v>26.184999999999999</v>
      </c>
      <c r="BG129" s="174">
        <v>0</v>
      </c>
      <c r="BH129" s="174"/>
      <c r="BI129" s="174"/>
      <c r="BJ129" s="174"/>
      <c r="BK129" s="174"/>
      <c r="BL129" s="174"/>
      <c r="BM129" s="174"/>
      <c r="BN129" s="174"/>
    </row>
    <row r="130" spans="1:66">
      <c r="A130" s="181">
        <v>10482</v>
      </c>
      <c r="B130" s="181" t="s">
        <v>134</v>
      </c>
      <c r="C130" s="181">
        <v>1</v>
      </c>
      <c r="D130" s="181">
        <v>0</v>
      </c>
      <c r="E130" s="185">
        <v>4.1749999999999998</v>
      </c>
      <c r="F130" s="185">
        <v>2.698</v>
      </c>
      <c r="G130" s="185">
        <v>2.698</v>
      </c>
      <c r="H130" s="177">
        <v>0</v>
      </c>
      <c r="I130" s="177">
        <v>0</v>
      </c>
      <c r="J130" s="177">
        <v>0</v>
      </c>
      <c r="K130" s="177">
        <v>0</v>
      </c>
      <c r="L130" s="176">
        <v>0</v>
      </c>
      <c r="M130" s="176">
        <v>0</v>
      </c>
      <c r="N130" s="177">
        <v>2.7109999999999999</v>
      </c>
      <c r="O130" s="177">
        <v>2.7109999999999999</v>
      </c>
      <c r="P130" s="176">
        <v>23748.359999999997</v>
      </c>
      <c r="Q130" s="176">
        <v>23748.359999999997</v>
      </c>
      <c r="R130" s="174">
        <v>4.048</v>
      </c>
      <c r="S130" s="176">
        <v>35460.480000000003</v>
      </c>
      <c r="T130" s="176">
        <v>35460.480000000003</v>
      </c>
      <c r="U130" s="177">
        <v>0</v>
      </c>
      <c r="V130" s="177">
        <v>0</v>
      </c>
      <c r="W130" s="177">
        <v>0</v>
      </c>
      <c r="X130" s="177">
        <v>0</v>
      </c>
      <c r="Y130" s="177">
        <v>0</v>
      </c>
      <c r="Z130" s="177">
        <v>0</v>
      </c>
      <c r="AA130" s="174">
        <v>0</v>
      </c>
      <c r="AB130" s="174">
        <v>0</v>
      </c>
      <c r="AC130" s="177">
        <v>0</v>
      </c>
      <c r="AD130" s="177">
        <v>0</v>
      </c>
      <c r="AE130" s="178">
        <v>3.904E-4</v>
      </c>
      <c r="AF130" s="178">
        <v>3.904E-4</v>
      </c>
      <c r="AG130" s="178">
        <v>0</v>
      </c>
      <c r="AH130" s="178">
        <v>3.904E-4</v>
      </c>
      <c r="AI130" s="178">
        <v>3.904E-4</v>
      </c>
      <c r="AJ130" s="178">
        <v>3.904E-4</v>
      </c>
      <c r="AK130" s="178">
        <v>1</v>
      </c>
      <c r="AL130" s="178">
        <v>1</v>
      </c>
      <c r="AM130" s="178">
        <v>1</v>
      </c>
      <c r="AN130" s="178">
        <v>1</v>
      </c>
      <c r="AO130" s="178">
        <v>0</v>
      </c>
      <c r="AP130" s="178">
        <v>0</v>
      </c>
      <c r="AQ130" s="174">
        <v>1</v>
      </c>
      <c r="AR130" s="174">
        <v>1</v>
      </c>
      <c r="AS130" s="177">
        <v>0</v>
      </c>
      <c r="AT130" s="177">
        <v>0</v>
      </c>
      <c r="AU130" s="177">
        <v>0</v>
      </c>
      <c r="AV130" s="177">
        <v>0</v>
      </c>
      <c r="AW130" s="177">
        <v>0</v>
      </c>
      <c r="AX130" s="177">
        <v>0</v>
      </c>
      <c r="AY130" s="177">
        <v>0</v>
      </c>
      <c r="AZ130" s="177">
        <v>0</v>
      </c>
      <c r="BA130" s="177">
        <v>0</v>
      </c>
      <c r="BB130" s="177">
        <v>0</v>
      </c>
      <c r="BC130" s="177">
        <v>0</v>
      </c>
      <c r="BD130" s="177">
        <v>0</v>
      </c>
      <c r="BE130" s="177">
        <v>2.7109999999999999</v>
      </c>
      <c r="BF130" s="177">
        <v>2.7109999999999999</v>
      </c>
      <c r="BG130" s="174">
        <v>0</v>
      </c>
      <c r="BH130" s="174"/>
      <c r="BI130" s="174"/>
      <c r="BJ130" s="174"/>
      <c r="BK130" s="174"/>
      <c r="BL130" s="174"/>
      <c r="BM130" s="174"/>
      <c r="BN130" s="174"/>
    </row>
    <row r="131" spans="1:66">
      <c r="A131" s="181">
        <v>10502</v>
      </c>
      <c r="B131" s="181" t="s">
        <v>135</v>
      </c>
      <c r="C131" s="181">
        <v>1</v>
      </c>
      <c r="D131" s="181">
        <v>0</v>
      </c>
      <c r="E131" s="185">
        <v>18.986000000000001</v>
      </c>
      <c r="F131" s="185">
        <v>16.605</v>
      </c>
      <c r="G131" s="185">
        <v>17.364999999999998</v>
      </c>
      <c r="H131" s="177">
        <v>0</v>
      </c>
      <c r="I131" s="177">
        <v>0</v>
      </c>
      <c r="J131" s="177">
        <v>0</v>
      </c>
      <c r="K131" s="177">
        <v>0</v>
      </c>
      <c r="L131" s="176">
        <v>0</v>
      </c>
      <c r="M131" s="176">
        <v>0</v>
      </c>
      <c r="N131" s="185">
        <v>16.605</v>
      </c>
      <c r="O131" s="185">
        <v>17.364999999999998</v>
      </c>
      <c r="P131" s="176">
        <v>145459.80000000002</v>
      </c>
      <c r="Q131" s="176">
        <v>152117.4</v>
      </c>
      <c r="R131" s="174">
        <v>18.407</v>
      </c>
      <c r="S131" s="176">
        <v>161245.32</v>
      </c>
      <c r="T131" s="176">
        <v>161245.32</v>
      </c>
      <c r="U131" s="177">
        <v>0</v>
      </c>
      <c r="V131" s="177">
        <v>0</v>
      </c>
      <c r="W131" s="177">
        <v>0</v>
      </c>
      <c r="X131" s="177">
        <v>0</v>
      </c>
      <c r="Y131" s="177">
        <v>0</v>
      </c>
      <c r="Z131" s="177">
        <v>0</v>
      </c>
      <c r="AA131" s="174">
        <v>0</v>
      </c>
      <c r="AB131" s="174">
        <v>0</v>
      </c>
      <c r="AC131" s="177">
        <v>0</v>
      </c>
      <c r="AD131" s="177">
        <v>0</v>
      </c>
      <c r="AE131" s="178">
        <v>2.3909999999999999E-3</v>
      </c>
      <c r="AF131" s="178">
        <v>2.5003999999999998E-3</v>
      </c>
      <c r="AG131" s="178">
        <v>0</v>
      </c>
      <c r="AH131" s="178">
        <v>2.3909999999999999E-3</v>
      </c>
      <c r="AI131" s="178">
        <v>2.5003999999999998E-3</v>
      </c>
      <c r="AJ131" s="178">
        <v>2.4456999999999999E-3</v>
      </c>
      <c r="AK131" s="178">
        <v>0.9999795477144644</v>
      </c>
      <c r="AL131" s="178">
        <v>0.99996676271255869</v>
      </c>
      <c r="AM131" s="178">
        <v>1</v>
      </c>
      <c r="AN131" s="178">
        <v>1</v>
      </c>
      <c r="AO131" s="178">
        <v>7.0000000000000007E-2</v>
      </c>
      <c r="AP131" s="178">
        <v>7.0000000000000007E-2</v>
      </c>
      <c r="AQ131" s="174">
        <v>1</v>
      </c>
      <c r="AR131" s="174">
        <v>1</v>
      </c>
      <c r="AS131" s="177">
        <v>0</v>
      </c>
      <c r="AT131" s="177">
        <v>0</v>
      </c>
      <c r="AU131" s="177">
        <v>0</v>
      </c>
      <c r="AV131" s="177">
        <v>0</v>
      </c>
      <c r="AW131" s="177">
        <v>0</v>
      </c>
      <c r="AX131" s="177">
        <v>0</v>
      </c>
      <c r="AY131" s="177">
        <v>0</v>
      </c>
      <c r="AZ131" s="177">
        <v>0</v>
      </c>
      <c r="BA131" s="177">
        <v>0</v>
      </c>
      <c r="BB131" s="177">
        <v>0</v>
      </c>
      <c r="BC131" s="177">
        <v>0</v>
      </c>
      <c r="BD131" s="177">
        <v>0</v>
      </c>
      <c r="BE131" s="177">
        <v>16.605</v>
      </c>
      <c r="BF131" s="177">
        <v>17.364999999999998</v>
      </c>
      <c r="BG131" s="174">
        <v>1</v>
      </c>
      <c r="BH131" s="174"/>
      <c r="BI131" s="174"/>
      <c r="BJ131" s="174"/>
      <c r="BK131" s="174"/>
      <c r="BL131" s="174"/>
      <c r="BM131" s="174"/>
      <c r="BN131" s="174"/>
    </row>
    <row r="132" spans="1:66">
      <c r="A132" s="181">
        <v>13927</v>
      </c>
      <c r="B132" s="181" t="s">
        <v>320</v>
      </c>
      <c r="C132" s="181">
        <v>1</v>
      </c>
      <c r="D132" s="181">
        <v>0</v>
      </c>
      <c r="E132" s="185">
        <v>4.1340000000000003</v>
      </c>
      <c r="F132" s="185">
        <v>4.1139999999999999</v>
      </c>
      <c r="G132" s="185">
        <v>4.1139999999999999</v>
      </c>
      <c r="H132" s="177">
        <v>0</v>
      </c>
      <c r="I132" s="177">
        <v>0</v>
      </c>
      <c r="J132" s="177">
        <v>0</v>
      </c>
      <c r="K132" s="177">
        <v>0</v>
      </c>
      <c r="L132" s="176">
        <v>0</v>
      </c>
      <c r="M132" s="176">
        <v>0</v>
      </c>
      <c r="N132" s="177">
        <v>4.1139999999999999</v>
      </c>
      <c r="O132" s="177">
        <v>4.1139999999999999</v>
      </c>
      <c r="P132" s="176">
        <v>36038.639999999999</v>
      </c>
      <c r="Q132" s="176">
        <v>36038.639999999999</v>
      </c>
      <c r="R132" s="174">
        <v>4.008</v>
      </c>
      <c r="S132" s="176">
        <v>35110.080000000002</v>
      </c>
      <c r="T132" s="176">
        <v>35110.080000000002</v>
      </c>
      <c r="U132" s="177">
        <v>0.106</v>
      </c>
      <c r="V132" s="177">
        <v>0.106</v>
      </c>
      <c r="W132" s="177">
        <v>0</v>
      </c>
      <c r="X132" s="177">
        <v>0</v>
      </c>
      <c r="Y132" s="177">
        <v>0.106</v>
      </c>
      <c r="Z132" s="177">
        <v>0.106</v>
      </c>
      <c r="AA132" s="174">
        <v>0</v>
      </c>
      <c r="AB132" s="174">
        <v>0</v>
      </c>
      <c r="AC132" s="177">
        <v>0</v>
      </c>
      <c r="AD132" s="177">
        <v>0</v>
      </c>
      <c r="AE132" s="178">
        <v>5.7709999999999999E-4</v>
      </c>
      <c r="AF132" s="178">
        <v>5.7709999999999999E-4</v>
      </c>
      <c r="AG132" s="178">
        <v>0</v>
      </c>
      <c r="AH132" s="178">
        <v>5.7709999999999999E-4</v>
      </c>
      <c r="AI132" s="178">
        <v>5.7709999999999999E-4</v>
      </c>
      <c r="AJ132" s="178">
        <v>5.7709999999999999E-4</v>
      </c>
      <c r="AK132" s="178">
        <v>0.97420287472046674</v>
      </c>
      <c r="AL132" s="178">
        <v>0.97420287472046674</v>
      </c>
      <c r="AM132" s="178">
        <v>1.026447105788423</v>
      </c>
      <c r="AN132" s="178">
        <v>1.026447105788423</v>
      </c>
      <c r="AO132" s="178">
        <v>0</v>
      </c>
      <c r="AP132" s="178">
        <v>0</v>
      </c>
      <c r="AQ132" s="174">
        <v>1</v>
      </c>
      <c r="AR132" s="174">
        <v>1</v>
      </c>
      <c r="AS132" s="177">
        <v>0</v>
      </c>
      <c r="AT132" s="177">
        <v>0</v>
      </c>
      <c r="AU132" s="177">
        <v>0</v>
      </c>
      <c r="AV132" s="177">
        <v>0</v>
      </c>
      <c r="AW132" s="177">
        <v>0</v>
      </c>
      <c r="AX132" s="177">
        <v>0</v>
      </c>
      <c r="AY132" s="177">
        <v>0</v>
      </c>
      <c r="AZ132" s="177">
        <v>0</v>
      </c>
      <c r="BA132" s="177">
        <v>0</v>
      </c>
      <c r="BB132" s="177">
        <v>0</v>
      </c>
      <c r="BC132" s="177">
        <v>0</v>
      </c>
      <c r="BD132" s="177">
        <v>0</v>
      </c>
      <c r="BE132" s="177">
        <v>4.1139999999999999</v>
      </c>
      <c r="BF132" s="177">
        <v>4.1139999999999999</v>
      </c>
      <c r="BG132" s="174">
        <v>0</v>
      </c>
      <c r="BH132" s="174"/>
      <c r="BI132" s="174"/>
      <c r="BJ132" s="174"/>
      <c r="BK132" s="174"/>
      <c r="BL132" s="174"/>
      <c r="BM132" s="174"/>
      <c r="BN132" s="174"/>
    </row>
    <row r="133" spans="1:66">
      <c r="A133" s="181">
        <v>10597</v>
      </c>
      <c r="B133" s="181" t="s">
        <v>136</v>
      </c>
      <c r="C133" s="181">
        <v>1</v>
      </c>
      <c r="D133" s="181">
        <v>0</v>
      </c>
      <c r="E133" s="185">
        <v>13.13</v>
      </c>
      <c r="F133" s="185">
        <v>12.387</v>
      </c>
      <c r="G133" s="185">
        <v>12.387</v>
      </c>
      <c r="H133" s="177">
        <v>0</v>
      </c>
      <c r="I133" s="177">
        <v>0</v>
      </c>
      <c r="J133" s="177">
        <v>0</v>
      </c>
      <c r="K133" s="177">
        <v>0</v>
      </c>
      <c r="L133" s="176">
        <v>0</v>
      </c>
      <c r="M133" s="176">
        <v>0</v>
      </c>
      <c r="N133" s="177">
        <v>12.439</v>
      </c>
      <c r="O133" s="177">
        <v>12.439</v>
      </c>
      <c r="P133" s="176">
        <v>108965.64</v>
      </c>
      <c r="Q133" s="176">
        <v>108965.64</v>
      </c>
      <c r="R133" s="174">
        <v>12.728999999999999</v>
      </c>
      <c r="S133" s="176">
        <v>111506.04</v>
      </c>
      <c r="T133" s="176">
        <v>111506.04</v>
      </c>
      <c r="U133" s="177">
        <v>0</v>
      </c>
      <c r="V133" s="177">
        <v>0</v>
      </c>
      <c r="W133" s="177">
        <v>0</v>
      </c>
      <c r="X133" s="177">
        <v>0</v>
      </c>
      <c r="Y133" s="177">
        <v>0</v>
      </c>
      <c r="Z133" s="177">
        <v>0</v>
      </c>
      <c r="AA133" s="174">
        <v>0</v>
      </c>
      <c r="AB133" s="174">
        <v>0</v>
      </c>
      <c r="AC133" s="177">
        <v>0</v>
      </c>
      <c r="AD133" s="177">
        <v>0</v>
      </c>
      <c r="AE133" s="178">
        <v>1.7910999999999999E-3</v>
      </c>
      <c r="AF133" s="178">
        <v>1.7910999999999999E-3</v>
      </c>
      <c r="AG133" s="178">
        <v>0</v>
      </c>
      <c r="AH133" s="178">
        <v>1.7910999999999999E-3</v>
      </c>
      <c r="AI133" s="178">
        <v>1.7910999999999999E-3</v>
      </c>
      <c r="AJ133" s="178">
        <v>1.7910999999999999E-3</v>
      </c>
      <c r="AK133" s="178">
        <v>0.99999305977972486</v>
      </c>
      <c r="AL133" s="178">
        <v>0.99999305977972486</v>
      </c>
      <c r="AM133" s="178">
        <v>1</v>
      </c>
      <c r="AN133" s="178">
        <v>1</v>
      </c>
      <c r="AO133" s="178">
        <v>0</v>
      </c>
      <c r="AP133" s="178">
        <v>0</v>
      </c>
      <c r="AQ133" s="174">
        <v>1</v>
      </c>
      <c r="AR133" s="174">
        <v>1</v>
      </c>
      <c r="AS133" s="177">
        <v>0</v>
      </c>
      <c r="AT133" s="177">
        <v>0</v>
      </c>
      <c r="AU133" s="177">
        <v>0</v>
      </c>
      <c r="AV133" s="177">
        <v>0</v>
      </c>
      <c r="AW133" s="177">
        <v>0</v>
      </c>
      <c r="AX133" s="177">
        <v>0</v>
      </c>
      <c r="AY133" s="177">
        <v>0</v>
      </c>
      <c r="AZ133" s="177">
        <v>0</v>
      </c>
      <c r="BA133" s="177">
        <v>0</v>
      </c>
      <c r="BB133" s="177">
        <v>0</v>
      </c>
      <c r="BC133" s="177">
        <v>0</v>
      </c>
      <c r="BD133" s="177">
        <v>0</v>
      </c>
      <c r="BE133" s="177">
        <v>12.439</v>
      </c>
      <c r="BF133" s="177">
        <v>12.439</v>
      </c>
      <c r="BG133" s="174">
        <v>1</v>
      </c>
      <c r="BH133" s="174"/>
      <c r="BI133" s="174"/>
      <c r="BJ133" s="174"/>
      <c r="BK133" s="174"/>
      <c r="BL133" s="174"/>
      <c r="BM133" s="174"/>
      <c r="BN133" s="174"/>
    </row>
    <row r="134" spans="1:66">
      <c r="A134" s="181">
        <v>10706</v>
      </c>
      <c r="B134" s="181" t="s">
        <v>137</v>
      </c>
      <c r="C134" s="181">
        <v>1</v>
      </c>
      <c r="D134" s="181">
        <v>0</v>
      </c>
      <c r="E134" s="185">
        <v>17.536000000000001</v>
      </c>
      <c r="F134" s="185">
        <v>18.748000000000001</v>
      </c>
      <c r="G134" s="185">
        <v>19.527000000000001</v>
      </c>
      <c r="H134" s="177">
        <v>0</v>
      </c>
      <c r="I134" s="177">
        <v>0</v>
      </c>
      <c r="J134" s="177">
        <v>0</v>
      </c>
      <c r="K134" s="177">
        <v>0</v>
      </c>
      <c r="L134" s="176">
        <v>0</v>
      </c>
      <c r="M134" s="176">
        <v>0</v>
      </c>
      <c r="N134" s="177">
        <v>18.553999999999998</v>
      </c>
      <c r="O134" s="177">
        <v>19.523</v>
      </c>
      <c r="P134" s="176">
        <v>162533.03999999998</v>
      </c>
      <c r="Q134" s="176">
        <v>171021.48</v>
      </c>
      <c r="R134" s="174">
        <v>17.001000000000001</v>
      </c>
      <c r="S134" s="176">
        <v>148928.76</v>
      </c>
      <c r="T134" s="176">
        <v>148928.76</v>
      </c>
      <c r="U134" s="177">
        <v>1.5529999999999999</v>
      </c>
      <c r="V134" s="177">
        <v>2.5219999999999998</v>
      </c>
      <c r="W134" s="177">
        <v>1.5529999999999999</v>
      </c>
      <c r="X134" s="177">
        <v>2.5219999999999998</v>
      </c>
      <c r="Y134" s="177">
        <v>0</v>
      </c>
      <c r="Z134" s="177">
        <v>0</v>
      </c>
      <c r="AA134" s="174">
        <v>0</v>
      </c>
      <c r="AB134" s="174">
        <v>0</v>
      </c>
      <c r="AC134" s="177">
        <v>1.5529999999999999</v>
      </c>
      <c r="AD134" s="177">
        <v>2.5219999999999998</v>
      </c>
      <c r="AE134" s="178">
        <v>2.4480000000000001E-3</v>
      </c>
      <c r="AF134" s="178">
        <v>2.4480000000000001E-3</v>
      </c>
      <c r="AG134" s="178">
        <v>0</v>
      </c>
      <c r="AH134" s="178">
        <v>2.4480000000000001E-3</v>
      </c>
      <c r="AI134" s="178">
        <v>2.4480000000000001E-3</v>
      </c>
      <c r="AJ134" s="178">
        <v>2.4480000000000001E-3</v>
      </c>
      <c r="AK134" s="178">
        <v>0.91629745650533578</v>
      </c>
      <c r="AL134" s="178">
        <v>0.87081816360190534</v>
      </c>
      <c r="AM134" s="178">
        <v>1.0913475677901299</v>
      </c>
      <c r="AN134" s="178">
        <v>1.1483442150461736</v>
      </c>
      <c r="AO134" s="178">
        <v>0</v>
      </c>
      <c r="AP134" s="178">
        <v>0</v>
      </c>
      <c r="AQ134" s="174">
        <v>1</v>
      </c>
      <c r="AR134" s="174">
        <v>1</v>
      </c>
      <c r="AS134" s="177">
        <v>0</v>
      </c>
      <c r="AT134" s="177">
        <v>0</v>
      </c>
      <c r="AU134" s="177">
        <v>1.5529999999999999</v>
      </c>
      <c r="AV134" s="177">
        <v>2.5219999999999998</v>
      </c>
      <c r="AW134" s="177">
        <v>0</v>
      </c>
      <c r="AX134" s="177">
        <v>0</v>
      </c>
      <c r="AY134" s="177">
        <v>0</v>
      </c>
      <c r="AZ134" s="177">
        <v>0</v>
      </c>
      <c r="BA134" s="177">
        <v>0</v>
      </c>
      <c r="BB134" s="177">
        <v>0</v>
      </c>
      <c r="BC134" s="177">
        <v>0</v>
      </c>
      <c r="BD134" s="177">
        <v>0</v>
      </c>
      <c r="BE134" s="177">
        <v>18.553999999999998</v>
      </c>
      <c r="BF134" s="177">
        <v>19.523</v>
      </c>
      <c r="BG134" s="174">
        <v>0</v>
      </c>
      <c r="BH134" s="174"/>
      <c r="BI134" s="174"/>
      <c r="BJ134" s="174"/>
      <c r="BK134" s="174"/>
      <c r="BL134" s="174"/>
      <c r="BM134" s="174"/>
      <c r="BN134" s="174"/>
    </row>
    <row r="135" spans="1:66">
      <c r="A135" s="181">
        <v>11680</v>
      </c>
      <c r="B135" s="181" t="s">
        <v>138</v>
      </c>
      <c r="C135" s="181">
        <v>1</v>
      </c>
      <c r="D135" s="181">
        <v>0</v>
      </c>
      <c r="E135" s="185">
        <v>6.423</v>
      </c>
      <c r="F135" s="185">
        <v>6.431</v>
      </c>
      <c r="G135" s="185">
        <v>6.4640000000000004</v>
      </c>
      <c r="H135" s="177">
        <v>0</v>
      </c>
      <c r="I135" s="177">
        <v>0</v>
      </c>
      <c r="J135" s="177">
        <v>0</v>
      </c>
      <c r="K135" s="177">
        <v>0</v>
      </c>
      <c r="L135" s="176">
        <v>0</v>
      </c>
      <c r="M135" s="176">
        <v>0</v>
      </c>
      <c r="N135" s="177">
        <v>6.4420000000000002</v>
      </c>
      <c r="O135" s="177">
        <v>6.4740000000000002</v>
      </c>
      <c r="P135" s="176">
        <v>56431.92</v>
      </c>
      <c r="Q135" s="176">
        <v>56712.240000000005</v>
      </c>
      <c r="R135" s="174">
        <v>6.2270000000000003</v>
      </c>
      <c r="S135" s="176">
        <v>54548.520000000004</v>
      </c>
      <c r="T135" s="176">
        <v>54548.520000000004</v>
      </c>
      <c r="U135" s="177">
        <v>0.215</v>
      </c>
      <c r="V135" s="177">
        <v>0.247</v>
      </c>
      <c r="W135" s="177">
        <v>0</v>
      </c>
      <c r="X135" s="177">
        <v>0</v>
      </c>
      <c r="Y135" s="177">
        <v>0.215</v>
      </c>
      <c r="Z135" s="177">
        <v>0.247</v>
      </c>
      <c r="AA135" s="174">
        <v>0</v>
      </c>
      <c r="AB135" s="174">
        <v>0</v>
      </c>
      <c r="AC135" s="177">
        <v>0</v>
      </c>
      <c r="AD135" s="177">
        <v>0</v>
      </c>
      <c r="AE135" s="178">
        <v>8.966E-4</v>
      </c>
      <c r="AF135" s="178">
        <v>8.966E-4</v>
      </c>
      <c r="AG135" s="178">
        <v>0</v>
      </c>
      <c r="AH135" s="178">
        <v>8.966E-4</v>
      </c>
      <c r="AI135" s="178">
        <v>8.966E-4</v>
      </c>
      <c r="AJ135" s="178">
        <v>8.966E-4</v>
      </c>
      <c r="AK135" s="178">
        <v>0.96658629674014274</v>
      </c>
      <c r="AL135" s="178">
        <v>0.96180860729070117</v>
      </c>
      <c r="AM135" s="178">
        <v>1.0345270595792517</v>
      </c>
      <c r="AN135" s="178">
        <v>1.0396659707724425</v>
      </c>
      <c r="AO135" s="178">
        <v>0</v>
      </c>
      <c r="AP135" s="178">
        <v>0</v>
      </c>
      <c r="AQ135" s="174">
        <v>1</v>
      </c>
      <c r="AR135" s="174">
        <v>1</v>
      </c>
      <c r="AS135" s="177">
        <v>0</v>
      </c>
      <c r="AT135" s="177">
        <v>0</v>
      </c>
      <c r="AU135" s="177">
        <v>0</v>
      </c>
      <c r="AV135" s="177">
        <v>0</v>
      </c>
      <c r="AW135" s="177">
        <v>0</v>
      </c>
      <c r="AX135" s="177">
        <v>0</v>
      </c>
      <c r="AY135" s="177">
        <v>0</v>
      </c>
      <c r="AZ135" s="177">
        <v>0</v>
      </c>
      <c r="BA135" s="177">
        <v>0</v>
      </c>
      <c r="BB135" s="177">
        <v>0</v>
      </c>
      <c r="BC135" s="177">
        <v>0</v>
      </c>
      <c r="BD135" s="177">
        <v>0</v>
      </c>
      <c r="BE135" s="177">
        <v>6.4420000000000002</v>
      </c>
      <c r="BF135" s="177">
        <v>6.4740000000000002</v>
      </c>
      <c r="BG135" s="174">
        <v>1</v>
      </c>
      <c r="BH135" s="174"/>
      <c r="BI135" s="174"/>
      <c r="BJ135" s="174"/>
      <c r="BK135" s="174"/>
      <c r="BL135" s="174"/>
      <c r="BM135" s="174"/>
      <c r="BN135" s="174"/>
    </row>
    <row r="136" spans="1:66">
      <c r="A136" s="181">
        <v>12026</v>
      </c>
      <c r="B136" s="181" t="s">
        <v>139</v>
      </c>
      <c r="C136" s="181">
        <v>1</v>
      </c>
      <c r="D136" s="181">
        <v>0</v>
      </c>
      <c r="E136" s="185">
        <v>45.847000000000001</v>
      </c>
      <c r="F136" s="185">
        <v>43.198</v>
      </c>
      <c r="G136" s="185">
        <v>43.368000000000002</v>
      </c>
      <c r="H136" s="177">
        <v>0</v>
      </c>
      <c r="I136" s="177">
        <v>0</v>
      </c>
      <c r="J136" s="177">
        <v>0</v>
      </c>
      <c r="K136" s="177">
        <v>0</v>
      </c>
      <c r="L136" s="176">
        <v>0</v>
      </c>
      <c r="M136" s="176">
        <v>0</v>
      </c>
      <c r="N136" s="177">
        <v>43.82</v>
      </c>
      <c r="O136" s="177">
        <v>43.948</v>
      </c>
      <c r="P136" s="176">
        <v>383863.2</v>
      </c>
      <c r="Q136" s="176">
        <v>384984.48</v>
      </c>
      <c r="R136" s="174">
        <v>44.448</v>
      </c>
      <c r="S136" s="176">
        <v>389364.47999999998</v>
      </c>
      <c r="T136" s="176">
        <v>389364.47999999998</v>
      </c>
      <c r="U136" s="177">
        <v>0</v>
      </c>
      <c r="V136" s="177">
        <v>0</v>
      </c>
      <c r="W136" s="177">
        <v>0</v>
      </c>
      <c r="X136" s="177">
        <v>0</v>
      </c>
      <c r="Y136" s="177">
        <v>0</v>
      </c>
      <c r="Z136" s="177">
        <v>0</v>
      </c>
      <c r="AA136" s="174">
        <v>0</v>
      </c>
      <c r="AB136" s="174">
        <v>0</v>
      </c>
      <c r="AC136" s="177">
        <v>0</v>
      </c>
      <c r="AD136" s="177">
        <v>0</v>
      </c>
      <c r="AE136" s="178">
        <v>6.3096999999999997E-3</v>
      </c>
      <c r="AF136" s="178">
        <v>6.3280999999999997E-3</v>
      </c>
      <c r="AG136" s="178">
        <v>0</v>
      </c>
      <c r="AH136" s="178">
        <v>6.3096999999999997E-3</v>
      </c>
      <c r="AI136" s="178">
        <v>6.3280999999999997E-3</v>
      </c>
      <c r="AJ136" s="178">
        <v>6.3188999999999997E-3</v>
      </c>
      <c r="AK136" s="178">
        <v>0.99999759941122768</v>
      </c>
      <c r="AL136" s="178">
        <v>0.99999271804405188</v>
      </c>
      <c r="AM136" s="178">
        <v>1</v>
      </c>
      <c r="AN136" s="178">
        <v>1</v>
      </c>
      <c r="AO136" s="178">
        <v>0</v>
      </c>
      <c r="AP136" s="178">
        <v>0</v>
      </c>
      <c r="AQ136" s="174">
        <v>1</v>
      </c>
      <c r="AR136" s="174">
        <v>1</v>
      </c>
      <c r="AS136" s="177">
        <v>0</v>
      </c>
      <c r="AT136" s="177">
        <v>0</v>
      </c>
      <c r="AU136" s="177">
        <v>0</v>
      </c>
      <c r="AV136" s="177">
        <v>0</v>
      </c>
      <c r="AW136" s="177">
        <v>0</v>
      </c>
      <c r="AX136" s="177">
        <v>0</v>
      </c>
      <c r="AY136" s="177">
        <v>0</v>
      </c>
      <c r="AZ136" s="177">
        <v>0</v>
      </c>
      <c r="BA136" s="177">
        <v>0</v>
      </c>
      <c r="BB136" s="177">
        <v>0</v>
      </c>
      <c r="BC136" s="177">
        <v>0</v>
      </c>
      <c r="BD136" s="177">
        <v>0</v>
      </c>
      <c r="BE136" s="177">
        <v>43.82</v>
      </c>
      <c r="BF136" s="177">
        <v>43.948</v>
      </c>
      <c r="BG136" s="174">
        <v>0</v>
      </c>
      <c r="BH136" s="174"/>
      <c r="BI136" s="174"/>
      <c r="BJ136" s="174"/>
      <c r="BK136" s="174"/>
      <c r="BL136" s="174"/>
      <c r="BM136" s="174"/>
      <c r="BN136" s="174"/>
    </row>
    <row r="137" spans="1:66" s="21" customFormat="1" ht="54.75" customHeight="1">
      <c r="A137" s="174">
        <v>10298</v>
      </c>
      <c r="B137" s="174" t="s">
        <v>140</v>
      </c>
      <c r="C137" s="174">
        <v>1</v>
      </c>
      <c r="D137" s="174">
        <v>0</v>
      </c>
      <c r="E137" s="177">
        <v>538.07099999999991</v>
      </c>
      <c r="F137" s="177">
        <v>686.71100000000001</v>
      </c>
      <c r="G137" s="177">
        <v>753.37</v>
      </c>
      <c r="H137" s="177">
        <v>61.593000000000004</v>
      </c>
      <c r="I137" s="177">
        <v>125.861</v>
      </c>
      <c r="J137" s="177">
        <v>6.351</v>
      </c>
      <c r="K137" s="177">
        <v>6.351</v>
      </c>
      <c r="L137" s="176">
        <v>55634.76</v>
      </c>
      <c r="M137" s="176">
        <v>55634.76</v>
      </c>
      <c r="N137" s="177">
        <v>595.46699999999998</v>
      </c>
      <c r="O137" s="177">
        <v>596.827</v>
      </c>
      <c r="P137" s="176">
        <v>5216290.92</v>
      </c>
      <c r="Q137" s="176">
        <v>5228204.5199999996</v>
      </c>
      <c r="R137" s="174">
        <v>521.65300000000002</v>
      </c>
      <c r="S137" s="176">
        <v>4569680.28</v>
      </c>
      <c r="T137" s="176">
        <v>4569680.28</v>
      </c>
      <c r="U137" s="177">
        <v>78.998999999999995</v>
      </c>
      <c r="V137" s="177">
        <v>80.156000000000006</v>
      </c>
      <c r="W137" s="177">
        <v>78.998999999999995</v>
      </c>
      <c r="X137" s="177">
        <v>80.156000000000006</v>
      </c>
      <c r="Y137" s="177">
        <v>0</v>
      </c>
      <c r="Z137" s="177">
        <v>0</v>
      </c>
      <c r="AA137" s="174">
        <v>25</v>
      </c>
      <c r="AB137" s="174">
        <v>25</v>
      </c>
      <c r="AC137" s="177">
        <v>53.998999999999995</v>
      </c>
      <c r="AD137" s="177">
        <v>55.156000000000006</v>
      </c>
      <c r="AE137" s="178">
        <v>7.4367100000000005E-2</v>
      </c>
      <c r="AF137" s="178">
        <v>7.4396199999999996E-2</v>
      </c>
      <c r="AG137" s="178">
        <v>0</v>
      </c>
      <c r="AH137" s="178">
        <v>7.4367100000000005E-2</v>
      </c>
      <c r="AI137" s="178">
        <v>7.4396199999999996E-2</v>
      </c>
      <c r="AJ137" s="178">
        <v>7.4381649999999994E-2</v>
      </c>
      <c r="AK137" s="178">
        <v>0.90610987822486588</v>
      </c>
      <c r="AL137" s="178">
        <v>0.90442397955565701</v>
      </c>
      <c r="AM137" s="178">
        <v>1.1415001926568042</v>
      </c>
      <c r="AN137" s="178">
        <v>1.1441072897117432</v>
      </c>
      <c r="AO137" s="178">
        <v>7.2679999999999995E-2</v>
      </c>
      <c r="AP137" s="178">
        <v>7.2830000000000006E-2</v>
      </c>
      <c r="AQ137" s="174">
        <v>3</v>
      </c>
      <c r="AR137" s="174">
        <v>3</v>
      </c>
      <c r="AS137" s="177">
        <v>35</v>
      </c>
      <c r="AT137" s="177">
        <v>35</v>
      </c>
      <c r="AU137" s="177">
        <v>43.999000000000002</v>
      </c>
      <c r="AV137" s="177">
        <v>45.155999999999999</v>
      </c>
      <c r="AW137" s="177">
        <v>0</v>
      </c>
      <c r="AX137" s="177">
        <v>0</v>
      </c>
      <c r="AY137" s="177">
        <v>0</v>
      </c>
      <c r="AZ137" s="177">
        <v>0</v>
      </c>
      <c r="BA137" s="177">
        <v>0</v>
      </c>
      <c r="BB137" s="177">
        <v>0</v>
      </c>
      <c r="BC137" s="177">
        <v>0</v>
      </c>
      <c r="BD137" s="177">
        <v>0</v>
      </c>
      <c r="BE137" s="177">
        <v>560.46699999999998</v>
      </c>
      <c r="BF137" s="177">
        <v>561.82600000000002</v>
      </c>
      <c r="BG137" s="174">
        <v>0</v>
      </c>
      <c r="BH137" s="174"/>
      <c r="BI137" s="174"/>
      <c r="BJ137" s="174"/>
      <c r="BK137" s="174"/>
      <c r="BL137" s="174"/>
      <c r="BM137" s="174"/>
      <c r="BN137" s="174"/>
    </row>
    <row r="138" spans="1:66" s="21" customFormat="1">
      <c r="A138" s="174"/>
      <c r="B138" s="174"/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7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</row>
    <row r="139" spans="1:66" s="21" customFormat="1" ht="42.75" customHeight="1">
      <c r="A139" s="174"/>
      <c r="B139" s="174"/>
      <c r="C139" s="174"/>
      <c r="D139" s="174"/>
      <c r="E139" s="174"/>
      <c r="F139" s="174"/>
      <c r="G139" s="174"/>
      <c r="H139" s="174"/>
      <c r="I139" s="174"/>
      <c r="J139" s="179"/>
      <c r="K139" s="174"/>
      <c r="L139" s="174"/>
      <c r="M139" s="174"/>
      <c r="N139" s="174"/>
      <c r="O139" s="179"/>
      <c r="P139" s="174"/>
      <c r="Q139" s="179"/>
      <c r="R139" s="174"/>
      <c r="S139" s="174"/>
      <c r="T139" s="174"/>
      <c r="U139" s="174"/>
      <c r="V139" s="184"/>
      <c r="W139" s="179"/>
      <c r="X139" s="179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</row>
    <row r="140" spans="1:66">
      <c r="A140" s="174"/>
      <c r="B140" s="174"/>
      <c r="C140" s="174"/>
      <c r="D140" s="174"/>
      <c r="E140" s="174"/>
      <c r="F140" s="174"/>
      <c r="G140" s="174"/>
      <c r="H140" s="174"/>
      <c r="I140" s="174"/>
      <c r="J140" s="179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</row>
    <row r="141" spans="1:66">
      <c r="A141" s="3"/>
      <c r="B141" s="4"/>
      <c r="C141" s="5"/>
      <c r="D141" s="5"/>
      <c r="E141" s="7"/>
      <c r="F141" s="7"/>
      <c r="G141" s="7"/>
      <c r="H141" s="7"/>
      <c r="I141" s="7"/>
      <c r="J141" s="7"/>
      <c r="K141" s="8"/>
      <c r="L141" s="8"/>
      <c r="M141" s="7"/>
      <c r="N141" s="7"/>
      <c r="O141" s="8"/>
      <c r="P141" s="8"/>
      <c r="Q141" s="6"/>
      <c r="R141" s="7"/>
      <c r="S141" s="7"/>
      <c r="T141" s="9"/>
      <c r="U141" s="9"/>
      <c r="V141" s="157"/>
      <c r="W141" s="157"/>
      <c r="X141" s="158"/>
      <c r="Y141" s="158"/>
      <c r="Z141" s="7"/>
      <c r="AA141" s="7"/>
      <c r="AB141" s="22"/>
      <c r="AC141" s="22"/>
      <c r="AD141" s="18"/>
      <c r="AE141" s="18"/>
      <c r="AF141" s="10"/>
      <c r="AG141" s="19"/>
      <c r="AH141" s="19"/>
      <c r="AI141" s="19"/>
      <c r="AJ141" s="11"/>
      <c r="AK141" s="11"/>
      <c r="AL141" s="11"/>
      <c r="AM141" s="11"/>
      <c r="AN141" s="12"/>
      <c r="AO141" s="12"/>
      <c r="AP141" s="12"/>
      <c r="AQ141" s="12"/>
      <c r="AR141" s="12"/>
      <c r="AS141" s="12"/>
      <c r="AT141" s="12"/>
      <c r="AU141" s="12"/>
    </row>
    <row r="142" spans="1:66">
      <c r="A142" s="174"/>
      <c r="B142" s="174"/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80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</row>
    <row r="143" spans="1:66">
      <c r="A143" s="174"/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9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</row>
    <row r="144" spans="1:66">
      <c r="A144" s="3"/>
      <c r="B144" s="4"/>
      <c r="C144" s="5"/>
      <c r="D144" s="5"/>
      <c r="E144" s="7"/>
      <c r="F144" s="7"/>
      <c r="G144" s="7"/>
      <c r="H144" s="7"/>
      <c r="I144" s="7"/>
      <c r="J144" s="7"/>
      <c r="K144" s="8"/>
      <c r="L144" s="8"/>
      <c r="M144" s="7"/>
      <c r="N144" s="7"/>
      <c r="O144" s="8"/>
      <c r="P144" s="8"/>
      <c r="Q144" s="6"/>
      <c r="R144" s="7"/>
      <c r="S144" s="7"/>
      <c r="T144" s="9"/>
      <c r="U144" s="9"/>
      <c r="V144" s="157"/>
      <c r="W144" s="157"/>
      <c r="X144" s="158"/>
      <c r="Y144" s="158"/>
      <c r="Z144" s="7"/>
      <c r="AA144" s="7"/>
      <c r="AB144" s="22"/>
      <c r="AC144" s="22"/>
      <c r="AD144" s="18"/>
      <c r="AE144" s="18"/>
      <c r="AF144" s="10"/>
      <c r="AG144" s="19"/>
      <c r="AH144" s="19"/>
      <c r="AI144" s="19"/>
      <c r="AJ144" s="11"/>
      <c r="AK144" s="11"/>
      <c r="AL144" s="11"/>
      <c r="AM144" s="11"/>
      <c r="AN144" s="12"/>
      <c r="AO144" s="12"/>
      <c r="AP144" s="12"/>
      <c r="AQ144" s="12"/>
      <c r="AR144" s="12"/>
      <c r="AS144" s="12"/>
      <c r="AT144" s="12"/>
      <c r="AU144" s="12"/>
    </row>
    <row r="145" spans="1:56">
      <c r="A145" s="3"/>
      <c r="B145" s="4"/>
      <c r="C145" s="5"/>
      <c r="D145" s="5"/>
      <c r="E145" s="7"/>
      <c r="F145" s="7"/>
      <c r="G145" s="179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</row>
    <row r="146" spans="1:56">
      <c r="A146" s="3"/>
      <c r="B146" s="4"/>
      <c r="C146" s="5"/>
      <c r="D146" s="5"/>
      <c r="E146" s="7"/>
      <c r="F146" s="7"/>
      <c r="G146" s="7"/>
      <c r="H146" s="7"/>
      <c r="I146" s="7"/>
      <c r="J146" s="7"/>
      <c r="K146" s="8"/>
      <c r="L146" s="8"/>
      <c r="M146" s="7"/>
      <c r="N146" s="7"/>
      <c r="O146" s="8"/>
      <c r="P146" s="8"/>
      <c r="Q146" s="6"/>
      <c r="R146" s="7"/>
      <c r="S146" s="7"/>
      <c r="T146" s="9"/>
      <c r="U146" s="9"/>
      <c r="V146" s="157"/>
      <c r="W146" s="157"/>
      <c r="X146" s="158"/>
      <c r="Y146" s="158"/>
      <c r="Z146" s="7"/>
      <c r="AA146" s="7"/>
      <c r="AB146" s="22"/>
      <c r="AC146" s="22"/>
      <c r="AD146" s="18"/>
      <c r="AE146" s="18"/>
      <c r="AF146" s="10"/>
      <c r="AG146" s="19"/>
      <c r="AH146" s="19"/>
      <c r="AI146" s="19"/>
      <c r="AJ146" s="11"/>
      <c r="AK146" s="11"/>
      <c r="AL146" s="11"/>
      <c r="AM146" s="11"/>
      <c r="AN146" s="12"/>
      <c r="AO146" s="12"/>
      <c r="AP146" s="12"/>
      <c r="AQ146" s="12"/>
      <c r="AR146" s="12"/>
      <c r="AS146" s="12"/>
      <c r="AT146" s="12"/>
      <c r="AU146" s="12"/>
    </row>
    <row r="147" spans="1:56">
      <c r="A147" s="3"/>
      <c r="B147" s="4"/>
      <c r="C147" s="5"/>
      <c r="D147" s="5"/>
      <c r="E147" s="7"/>
      <c r="F147" s="7"/>
      <c r="G147" s="7"/>
      <c r="H147" s="7"/>
      <c r="I147" s="7"/>
      <c r="J147" s="7"/>
      <c r="K147" s="8"/>
      <c r="L147" s="8"/>
      <c r="M147" s="7"/>
      <c r="N147" s="7"/>
      <c r="O147" s="8"/>
      <c r="P147" s="8"/>
      <c r="Q147" s="6"/>
      <c r="R147" s="7"/>
      <c r="S147" s="7"/>
      <c r="T147" s="9"/>
      <c r="U147" s="9"/>
      <c r="V147" s="157"/>
      <c r="W147" s="157"/>
      <c r="X147" s="158"/>
      <c r="Y147" s="158"/>
      <c r="Z147" s="7"/>
      <c r="AA147" s="7"/>
      <c r="AB147" s="22"/>
      <c r="AC147" s="22"/>
      <c r="AD147" s="18"/>
      <c r="AE147" s="18"/>
      <c r="AF147" s="10"/>
      <c r="AG147" s="19"/>
      <c r="AH147" s="19"/>
      <c r="AI147" s="19"/>
      <c r="AJ147" s="11"/>
      <c r="AK147" s="11"/>
      <c r="AL147" s="11"/>
      <c r="AM147" s="11"/>
      <c r="AN147" s="12"/>
      <c r="AO147" s="12"/>
      <c r="AP147" s="12"/>
      <c r="AQ147" s="12"/>
      <c r="AR147" s="12"/>
      <c r="AS147" s="12"/>
      <c r="AT147" s="12"/>
      <c r="AU147" s="12"/>
    </row>
    <row r="148" spans="1:56">
      <c r="A148" s="3"/>
      <c r="B148" s="4"/>
      <c r="C148" s="5"/>
      <c r="D148" s="5"/>
      <c r="E148" s="7"/>
      <c r="F148" s="7"/>
      <c r="G148" s="7"/>
      <c r="H148" s="7"/>
      <c r="I148" s="7"/>
      <c r="J148" s="7"/>
      <c r="K148" s="8"/>
      <c r="L148" s="8"/>
      <c r="M148" s="7"/>
      <c r="N148" s="7"/>
      <c r="O148" s="8"/>
      <c r="P148" s="8"/>
      <c r="Q148" s="6"/>
      <c r="R148" s="7"/>
      <c r="S148" s="7"/>
      <c r="T148" s="9"/>
      <c r="U148" s="9"/>
      <c r="V148" s="157"/>
      <c r="W148" s="157"/>
      <c r="X148" s="158"/>
      <c r="Y148" s="158"/>
      <c r="Z148" s="7"/>
      <c r="AA148" s="7"/>
      <c r="AB148" s="22"/>
      <c r="AC148" s="22"/>
      <c r="AD148" s="18"/>
      <c r="AE148" s="18"/>
      <c r="AF148" s="10"/>
      <c r="AG148" s="19"/>
      <c r="AH148" s="19"/>
      <c r="AI148" s="19"/>
      <c r="AJ148" s="11"/>
      <c r="AK148" s="11"/>
      <c r="AL148" s="11"/>
      <c r="AM148" s="11"/>
      <c r="AN148" s="12"/>
      <c r="AO148" s="12"/>
      <c r="AP148" s="12"/>
      <c r="AQ148" s="12"/>
      <c r="AR148" s="12"/>
      <c r="AS148" s="12"/>
      <c r="AT148" s="12"/>
      <c r="AU148" s="12"/>
    </row>
    <row r="149" spans="1:56">
      <c r="A149" s="3"/>
      <c r="B149" s="4"/>
      <c r="C149" s="5"/>
      <c r="D149" s="5"/>
      <c r="E149" s="7"/>
      <c r="F149" s="7"/>
      <c r="G149" s="7"/>
      <c r="H149" s="7"/>
      <c r="I149" s="7"/>
      <c r="J149" s="7"/>
      <c r="K149" s="8"/>
      <c r="L149" s="8"/>
      <c r="M149" s="7"/>
      <c r="N149" s="7"/>
      <c r="O149" s="8"/>
      <c r="P149" s="8"/>
      <c r="Q149" s="6"/>
      <c r="R149" s="7"/>
      <c r="S149" s="7"/>
      <c r="T149" s="9"/>
      <c r="U149" s="9"/>
      <c r="V149" s="157"/>
      <c r="W149" s="157"/>
      <c r="X149" s="158"/>
      <c r="Y149" s="158"/>
      <c r="Z149" s="7"/>
      <c r="AA149" s="7"/>
      <c r="AB149" s="22"/>
      <c r="AC149" s="22"/>
      <c r="AD149" s="18"/>
      <c r="AE149" s="18"/>
      <c r="AF149" s="10"/>
      <c r="AG149" s="19"/>
      <c r="AH149" s="19"/>
      <c r="AI149" s="19"/>
      <c r="AJ149" s="11"/>
      <c r="AK149" s="11"/>
      <c r="AL149" s="11"/>
      <c r="AM149" s="11"/>
      <c r="AN149" s="12"/>
      <c r="AO149" s="12"/>
      <c r="AP149" s="12"/>
      <c r="AQ149" s="12"/>
      <c r="AR149" s="12"/>
      <c r="AS149" s="12"/>
      <c r="AT149" s="12"/>
      <c r="AU149" s="12"/>
    </row>
    <row r="150" spans="1:56">
      <c r="A150" s="3"/>
      <c r="B150" s="4"/>
      <c r="C150" s="5"/>
      <c r="D150" s="5"/>
      <c r="E150" s="7"/>
      <c r="F150" s="7"/>
      <c r="G150" s="7"/>
      <c r="H150" s="7"/>
      <c r="I150" s="7"/>
      <c r="J150" s="7"/>
      <c r="K150" s="8"/>
      <c r="L150" s="8"/>
      <c r="M150" s="7"/>
      <c r="N150" s="7"/>
      <c r="O150" s="8"/>
      <c r="P150" s="8"/>
      <c r="Q150" s="6"/>
      <c r="R150" s="7"/>
      <c r="S150" s="7"/>
      <c r="T150" s="9"/>
      <c r="U150" s="9"/>
      <c r="V150" s="157"/>
      <c r="W150" s="157"/>
      <c r="X150" s="158"/>
      <c r="Y150" s="158"/>
      <c r="Z150" s="7"/>
      <c r="AA150" s="7"/>
      <c r="AB150" s="22"/>
      <c r="AC150" s="22"/>
      <c r="AD150" s="18"/>
      <c r="AE150" s="18"/>
      <c r="AF150" s="10"/>
      <c r="AG150" s="19"/>
      <c r="AH150" s="19"/>
      <c r="AI150" s="19"/>
      <c r="AJ150" s="11"/>
      <c r="AK150" s="11"/>
      <c r="AL150" s="11"/>
      <c r="AM150" s="11"/>
      <c r="AN150" s="12"/>
      <c r="AO150" s="12"/>
      <c r="AP150" s="12"/>
      <c r="AQ150" s="12"/>
      <c r="AR150" s="12"/>
      <c r="AS150" s="12"/>
      <c r="AT150" s="12"/>
      <c r="AU150" s="12"/>
    </row>
    <row r="151" spans="1:56">
      <c r="A151" s="3"/>
      <c r="B151" s="4"/>
      <c r="C151" s="5"/>
      <c r="D151" s="5"/>
      <c r="E151" s="7"/>
      <c r="F151" s="7"/>
      <c r="G151" s="7"/>
      <c r="H151" s="7"/>
      <c r="I151" s="7"/>
      <c r="J151" s="7"/>
      <c r="K151" s="8"/>
      <c r="L151" s="8"/>
      <c r="M151" s="7"/>
      <c r="N151" s="7"/>
      <c r="O151" s="8"/>
      <c r="P151" s="8"/>
      <c r="Q151" s="6"/>
      <c r="R151" s="7"/>
      <c r="S151" s="7"/>
      <c r="T151" s="9"/>
      <c r="U151" s="9"/>
      <c r="V151" s="157"/>
      <c r="W151" s="157"/>
      <c r="X151" s="158"/>
      <c r="Y151" s="158"/>
      <c r="Z151" s="7"/>
      <c r="AA151" s="7"/>
      <c r="AB151" s="22"/>
      <c r="AC151" s="22"/>
      <c r="AD151" s="18"/>
      <c r="AE151" s="18"/>
      <c r="AF151" s="10"/>
      <c r="AG151" s="19"/>
      <c r="AH151" s="19"/>
      <c r="AI151" s="19"/>
      <c r="AJ151" s="11"/>
      <c r="AK151" s="11"/>
      <c r="AL151" s="11"/>
      <c r="AM151" s="11"/>
      <c r="AN151" s="12"/>
      <c r="AO151" s="12"/>
      <c r="AP151" s="12"/>
      <c r="AQ151" s="12"/>
      <c r="AR151" s="12"/>
      <c r="AS151" s="12"/>
      <c r="AT151" s="12"/>
      <c r="AU151" s="12"/>
    </row>
    <row r="152" spans="1:56">
      <c r="A152" s="3"/>
      <c r="B152" s="4"/>
      <c r="C152" s="5"/>
      <c r="D152" s="5"/>
      <c r="E152" s="7"/>
      <c r="F152" s="7"/>
      <c r="G152" s="7"/>
      <c r="H152" s="7"/>
      <c r="I152" s="7"/>
      <c r="J152" s="7"/>
      <c r="K152" s="8"/>
      <c r="L152" s="8"/>
      <c r="M152" s="7"/>
      <c r="N152" s="7"/>
      <c r="O152" s="8"/>
      <c r="P152" s="8"/>
      <c r="Q152" s="6"/>
      <c r="R152" s="7"/>
      <c r="S152" s="7"/>
      <c r="T152" s="9"/>
      <c r="U152" s="9"/>
      <c r="V152" s="157"/>
      <c r="W152" s="157"/>
      <c r="X152" s="158"/>
      <c r="Y152" s="158"/>
      <c r="Z152" s="7"/>
      <c r="AA152" s="7"/>
      <c r="AB152" s="22"/>
      <c r="AC152" s="22"/>
      <c r="AD152" s="18"/>
      <c r="AE152" s="18"/>
      <c r="AF152" s="10"/>
      <c r="AG152" s="19"/>
      <c r="AH152" s="19"/>
      <c r="AI152" s="19"/>
      <c r="AJ152" s="11"/>
      <c r="AK152" s="11"/>
      <c r="AL152" s="11"/>
      <c r="AM152" s="11"/>
      <c r="AN152" s="12"/>
      <c r="AO152" s="12"/>
      <c r="AP152" s="12"/>
      <c r="AQ152" s="12"/>
      <c r="AR152" s="12"/>
      <c r="AS152" s="12"/>
      <c r="AT152" s="12"/>
      <c r="AU152" s="12"/>
    </row>
    <row r="153" spans="1:56">
      <c r="A153" s="3"/>
      <c r="B153" s="4"/>
      <c r="C153" s="5"/>
      <c r="D153" s="5"/>
      <c r="E153" s="7"/>
      <c r="F153" s="7"/>
      <c r="G153" s="7"/>
      <c r="H153" s="7"/>
      <c r="I153" s="7"/>
      <c r="J153" s="7"/>
      <c r="K153" s="8"/>
      <c r="L153" s="8"/>
      <c r="M153" s="7"/>
      <c r="N153" s="7"/>
      <c r="O153" s="8"/>
      <c r="P153" s="8"/>
      <c r="Q153" s="6"/>
      <c r="R153" s="7"/>
      <c r="S153" s="7"/>
      <c r="T153" s="9"/>
      <c r="U153" s="9"/>
      <c r="V153" s="157"/>
      <c r="W153" s="157"/>
      <c r="X153" s="158"/>
      <c r="Y153" s="158"/>
      <c r="Z153" s="7"/>
      <c r="AA153" s="7"/>
      <c r="AB153" s="22"/>
      <c r="AC153" s="22"/>
      <c r="AD153" s="18"/>
      <c r="AE153" s="18"/>
      <c r="AF153" s="10"/>
      <c r="AG153" s="19"/>
      <c r="AH153" s="19"/>
      <c r="AI153" s="19"/>
      <c r="AJ153" s="11"/>
      <c r="AK153" s="11"/>
      <c r="AL153" s="11"/>
      <c r="AM153" s="11"/>
      <c r="AN153" s="12"/>
      <c r="AO153" s="12"/>
      <c r="AP153" s="12"/>
      <c r="AQ153" s="12"/>
      <c r="AR153" s="12"/>
      <c r="AS153" s="12"/>
      <c r="AT153" s="12"/>
      <c r="AU153" s="12"/>
    </row>
    <row r="154" spans="1:56">
      <c r="A154" s="3"/>
      <c r="B154" s="4"/>
      <c r="C154" s="5"/>
      <c r="D154" s="5"/>
      <c r="E154" s="7"/>
      <c r="F154" s="7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8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</row>
    <row r="155" spans="1:56">
      <c r="A155" s="3"/>
      <c r="B155" s="4"/>
      <c r="C155" s="5"/>
      <c r="D155" s="5"/>
      <c r="E155" s="7"/>
      <c r="F155" s="7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8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</row>
    <row r="156" spans="1:56">
      <c r="A156" s="3"/>
      <c r="B156" s="4"/>
      <c r="C156" s="5"/>
      <c r="D156" s="5"/>
      <c r="E156" s="7"/>
      <c r="F156" s="7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8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</row>
    <row r="157" spans="1:56">
      <c r="A157" s="3"/>
      <c r="B157" s="4"/>
      <c r="C157" s="5"/>
      <c r="D157" s="5"/>
      <c r="E157" s="7"/>
      <c r="F157" s="7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8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</row>
    <row r="158" spans="1:56">
      <c r="A158" s="3"/>
      <c r="B158" s="4"/>
      <c r="C158" s="5"/>
      <c r="D158" s="5"/>
      <c r="E158" s="7"/>
      <c r="F158" s="7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8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</row>
    <row r="159" spans="1:56">
      <c r="A159" s="3"/>
      <c r="B159" s="4"/>
      <c r="C159" s="5"/>
      <c r="D159" s="5"/>
      <c r="E159" s="7"/>
      <c r="F159" s="7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8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</row>
    <row r="160" spans="1:56">
      <c r="A160" s="3"/>
      <c r="B160" s="4"/>
      <c r="C160" s="5"/>
      <c r="D160" s="5"/>
      <c r="E160" s="7"/>
      <c r="F160" s="7"/>
      <c r="G160" s="7"/>
      <c r="H160" s="7"/>
      <c r="I160" s="7"/>
      <c r="J160" s="7"/>
      <c r="K160" s="8"/>
      <c r="L160" s="8"/>
      <c r="M160" s="7"/>
      <c r="N160" s="7"/>
      <c r="O160" s="8"/>
      <c r="P160" s="8"/>
      <c r="Q160" s="6"/>
      <c r="R160" s="7"/>
      <c r="S160" s="7"/>
      <c r="T160" s="9"/>
      <c r="U160" s="9"/>
      <c r="V160" s="157"/>
      <c r="W160" s="157"/>
      <c r="X160" s="158"/>
      <c r="Y160" s="158"/>
      <c r="Z160" s="7"/>
      <c r="AA160" s="7"/>
      <c r="AB160" s="22"/>
      <c r="AC160" s="174"/>
      <c r="AD160" s="178"/>
      <c r="AE160" s="18"/>
      <c r="AF160" s="10"/>
      <c r="AG160" s="19"/>
      <c r="AH160" s="19"/>
      <c r="AI160" s="19"/>
      <c r="AJ160" s="11"/>
      <c r="AK160" s="11"/>
      <c r="AL160" s="11"/>
      <c r="AM160" s="11"/>
      <c r="AN160" s="12"/>
      <c r="AO160" s="12"/>
      <c r="AP160" s="12"/>
      <c r="AQ160" s="12"/>
      <c r="AR160" s="12"/>
      <c r="AS160" s="12"/>
      <c r="AT160" s="12"/>
      <c r="AU160" s="12"/>
    </row>
    <row r="161" spans="1:47">
      <c r="A161" s="3"/>
      <c r="B161" s="4"/>
      <c r="C161" s="5"/>
      <c r="D161" s="5"/>
      <c r="E161" s="7"/>
      <c r="F161" s="7"/>
      <c r="G161" s="7"/>
      <c r="H161" s="7"/>
      <c r="I161" s="7"/>
      <c r="J161" s="7"/>
      <c r="K161" s="8"/>
      <c r="L161" s="8"/>
      <c r="M161" s="7"/>
      <c r="N161" s="7"/>
      <c r="O161" s="8"/>
      <c r="P161" s="8"/>
      <c r="Q161" s="6"/>
      <c r="R161" s="7"/>
      <c r="S161" s="7"/>
      <c r="T161" s="9"/>
      <c r="U161" s="9"/>
      <c r="V161" s="157"/>
      <c r="W161" s="157"/>
      <c r="X161" s="158"/>
      <c r="Y161" s="158"/>
      <c r="Z161" s="7"/>
      <c r="AA161" s="7"/>
      <c r="AB161" s="22"/>
      <c r="AC161" s="174"/>
      <c r="AD161" s="178"/>
      <c r="AE161" s="18"/>
      <c r="AF161" s="10"/>
      <c r="AG161" s="19"/>
      <c r="AH161" s="19"/>
      <c r="AI161" s="19"/>
      <c r="AJ161" s="11"/>
      <c r="AK161" s="11"/>
      <c r="AL161" s="11"/>
      <c r="AM161" s="11"/>
      <c r="AN161" s="12"/>
      <c r="AO161" s="12"/>
      <c r="AP161" s="12"/>
      <c r="AQ161" s="12"/>
      <c r="AR161" s="12"/>
      <c r="AS161" s="12"/>
      <c r="AT161" s="12"/>
      <c r="AU161" s="12"/>
    </row>
    <row r="162" spans="1:47">
      <c r="A162" s="3"/>
      <c r="B162" s="4"/>
      <c r="C162" s="5"/>
      <c r="D162" s="5"/>
      <c r="E162" s="7"/>
      <c r="F162" s="7"/>
      <c r="G162" s="7"/>
      <c r="H162" s="7"/>
      <c r="I162" s="7"/>
      <c r="J162" s="7"/>
      <c r="K162" s="8"/>
      <c r="L162" s="8"/>
      <c r="M162" s="7"/>
      <c r="N162" s="7"/>
      <c r="O162" s="8"/>
      <c r="P162" s="8"/>
      <c r="Q162" s="6"/>
      <c r="R162" s="7"/>
      <c r="S162" s="7"/>
      <c r="T162" s="9"/>
      <c r="U162" s="9"/>
      <c r="V162" s="157"/>
      <c r="W162" s="157"/>
      <c r="X162" s="158"/>
      <c r="Y162" s="158"/>
      <c r="Z162" s="7"/>
      <c r="AA162" s="7"/>
      <c r="AB162" s="22"/>
      <c r="AC162" s="174"/>
      <c r="AD162" s="178"/>
      <c r="AE162" s="18"/>
      <c r="AF162" s="10"/>
      <c r="AG162" s="19"/>
      <c r="AH162" s="19"/>
      <c r="AI162" s="19"/>
      <c r="AJ162" s="11"/>
      <c r="AK162" s="11"/>
      <c r="AL162" s="11"/>
      <c r="AM162" s="11"/>
      <c r="AN162" s="12"/>
      <c r="AO162" s="12"/>
      <c r="AP162" s="12"/>
      <c r="AQ162" s="12"/>
      <c r="AR162" s="12"/>
      <c r="AS162" s="12"/>
      <c r="AT162" s="12"/>
      <c r="AU162" s="12"/>
    </row>
    <row r="163" spans="1:47">
      <c r="A163" s="3"/>
      <c r="B163" s="4"/>
      <c r="C163" s="5"/>
      <c r="D163" s="5"/>
      <c r="E163" s="7"/>
      <c r="F163" s="7"/>
      <c r="G163" s="7"/>
      <c r="H163" s="7"/>
      <c r="I163" s="7"/>
      <c r="J163" s="7"/>
      <c r="K163" s="8"/>
      <c r="L163" s="8"/>
      <c r="M163" s="7"/>
      <c r="N163" s="7"/>
      <c r="O163" s="8"/>
      <c r="P163" s="8"/>
      <c r="Q163" s="6"/>
      <c r="R163" s="7"/>
      <c r="S163" s="7"/>
      <c r="T163" s="9"/>
      <c r="U163" s="9"/>
      <c r="V163" s="157"/>
      <c r="W163" s="157"/>
      <c r="X163" s="158"/>
      <c r="Y163" s="158"/>
      <c r="Z163" s="7"/>
      <c r="AA163" s="7"/>
      <c r="AB163" s="22"/>
      <c r="AC163" s="174"/>
      <c r="AD163" s="178"/>
      <c r="AE163" s="18"/>
      <c r="AF163" s="10"/>
      <c r="AG163" s="19"/>
      <c r="AH163" s="19"/>
      <c r="AI163" s="19"/>
      <c r="AJ163" s="11"/>
      <c r="AK163" s="11"/>
      <c r="AL163" s="11"/>
      <c r="AM163" s="11"/>
      <c r="AN163" s="12"/>
      <c r="AO163" s="12"/>
      <c r="AP163" s="12"/>
      <c r="AQ163" s="12"/>
      <c r="AR163" s="12"/>
      <c r="AS163" s="12"/>
      <c r="AT163" s="12"/>
      <c r="AU163" s="12"/>
    </row>
    <row r="164" spans="1:47">
      <c r="A164" s="3"/>
      <c r="B164" s="4"/>
      <c r="C164" s="5"/>
      <c r="D164" s="5"/>
      <c r="E164" s="7"/>
      <c r="F164" s="7"/>
      <c r="G164" s="7"/>
      <c r="H164" s="7"/>
      <c r="I164" s="7"/>
      <c r="J164" s="7"/>
      <c r="K164" s="8"/>
      <c r="L164" s="8"/>
      <c r="M164" s="7"/>
      <c r="N164" s="7"/>
      <c r="O164" s="8"/>
      <c r="P164" s="8"/>
      <c r="Q164" s="6"/>
      <c r="R164" s="7"/>
      <c r="S164" s="7"/>
      <c r="T164" s="9"/>
      <c r="U164" s="9"/>
      <c r="V164" s="157"/>
      <c r="W164" s="157"/>
      <c r="X164" s="158"/>
      <c r="Y164" s="158"/>
      <c r="Z164" s="7"/>
      <c r="AA164" s="7"/>
      <c r="AB164" s="22"/>
      <c r="AC164" s="174"/>
      <c r="AD164" s="178"/>
      <c r="AE164" s="18"/>
      <c r="AF164" s="10"/>
      <c r="AG164" s="19"/>
      <c r="AH164" s="19"/>
      <c r="AI164" s="19"/>
      <c r="AJ164" s="11"/>
      <c r="AK164" s="11"/>
      <c r="AL164" s="11"/>
      <c r="AM164" s="11"/>
      <c r="AN164" s="12"/>
      <c r="AO164" s="12"/>
      <c r="AP164" s="12"/>
      <c r="AQ164" s="12"/>
      <c r="AR164" s="12"/>
      <c r="AS164" s="12"/>
      <c r="AT164" s="12"/>
      <c r="AU164" s="12"/>
    </row>
    <row r="165" spans="1:47">
      <c r="A165" s="23"/>
      <c r="B165" s="23"/>
      <c r="C165" s="5"/>
      <c r="D165" s="5"/>
      <c r="E165" s="7"/>
      <c r="F165" s="7"/>
      <c r="G165" s="7"/>
      <c r="H165" s="7"/>
      <c r="I165" s="7"/>
      <c r="J165" s="7"/>
      <c r="K165" s="8"/>
      <c r="L165" s="8"/>
      <c r="M165" s="7"/>
      <c r="N165" s="7"/>
      <c r="O165" s="8"/>
      <c r="P165" s="8"/>
      <c r="Q165" s="6"/>
      <c r="R165" s="7"/>
      <c r="S165" s="7"/>
      <c r="T165" s="9"/>
      <c r="U165" s="9"/>
      <c r="V165" s="157"/>
      <c r="W165" s="157"/>
      <c r="X165" s="158"/>
      <c r="Y165" s="158"/>
      <c r="Z165" s="7"/>
      <c r="AA165" s="7"/>
      <c r="AB165" s="22"/>
      <c r="AC165" s="174"/>
      <c r="AD165" s="178"/>
      <c r="AE165" s="18"/>
      <c r="AF165" s="10"/>
      <c r="AG165" s="19"/>
      <c r="AH165" s="19"/>
      <c r="AI165" s="19"/>
      <c r="AJ165" s="11"/>
      <c r="AK165" s="11"/>
      <c r="AL165" s="11"/>
      <c r="AM165" s="11"/>
      <c r="AN165" s="12"/>
      <c r="AO165" s="12"/>
      <c r="AP165" s="12"/>
      <c r="AQ165" s="12"/>
      <c r="AR165" s="12"/>
      <c r="AS165" s="12"/>
      <c r="AT165" s="12"/>
      <c r="AU165" s="12"/>
    </row>
    <row r="166" spans="1:47">
      <c r="A166" s="23"/>
      <c r="B166" s="23"/>
      <c r="C166" s="5"/>
      <c r="D166" s="5"/>
      <c r="E166" s="7"/>
      <c r="F166" s="7"/>
      <c r="G166" s="7"/>
      <c r="H166" s="7"/>
      <c r="I166" s="7"/>
      <c r="J166" s="7"/>
      <c r="K166" s="8"/>
      <c r="L166" s="8"/>
      <c r="M166" s="7"/>
      <c r="N166" s="7"/>
      <c r="O166" s="8"/>
      <c r="P166" s="8"/>
      <c r="Q166" s="6"/>
      <c r="R166" s="7"/>
      <c r="S166" s="7"/>
      <c r="T166" s="9"/>
      <c r="U166" s="9"/>
      <c r="V166" s="157"/>
      <c r="W166" s="157"/>
      <c r="X166" s="158"/>
      <c r="Y166" s="158"/>
      <c r="Z166" s="7"/>
      <c r="AA166" s="7"/>
      <c r="AB166" s="22"/>
      <c r="AC166" s="174"/>
      <c r="AD166" s="178"/>
      <c r="AE166" s="18"/>
      <c r="AF166" s="10"/>
      <c r="AG166" s="19"/>
      <c r="AH166" s="19"/>
      <c r="AI166" s="19"/>
      <c r="AJ166" s="11"/>
      <c r="AK166" s="11"/>
      <c r="AL166" s="11"/>
      <c r="AM166" s="11"/>
      <c r="AN166" s="12"/>
      <c r="AO166" s="12"/>
      <c r="AP166" s="12"/>
      <c r="AQ166" s="12"/>
      <c r="AR166" s="12"/>
      <c r="AS166" s="12"/>
      <c r="AT166" s="12"/>
      <c r="AU166" s="12"/>
    </row>
    <row r="167" spans="1:47">
      <c r="A167" s="23"/>
      <c r="B167" s="23"/>
      <c r="C167" s="5"/>
      <c r="D167" s="5"/>
      <c r="E167" s="7"/>
      <c r="F167" s="7"/>
      <c r="G167" s="7"/>
      <c r="H167" s="7"/>
      <c r="I167" s="7"/>
      <c r="J167" s="7"/>
      <c r="K167" s="8"/>
      <c r="L167" s="8"/>
      <c r="M167" s="7"/>
      <c r="N167" s="7"/>
      <c r="O167" s="8"/>
      <c r="P167" s="8"/>
      <c r="Q167" s="6"/>
      <c r="R167" s="7"/>
      <c r="S167" s="7"/>
      <c r="T167" s="9"/>
      <c r="U167" s="9"/>
      <c r="V167" s="157"/>
      <c r="W167" s="157"/>
      <c r="X167" s="158"/>
      <c r="Y167" s="158"/>
      <c r="Z167" s="7"/>
      <c r="AA167" s="7"/>
      <c r="AB167" s="22"/>
      <c r="AC167" s="174"/>
      <c r="AD167" s="178"/>
      <c r="AE167" s="18"/>
      <c r="AF167" s="10"/>
      <c r="AG167" s="19"/>
      <c r="AH167" s="19"/>
      <c r="AI167" s="19"/>
      <c r="AJ167" s="11"/>
      <c r="AK167" s="11"/>
      <c r="AL167" s="11"/>
      <c r="AM167" s="11"/>
      <c r="AN167" s="12"/>
      <c r="AO167" s="12"/>
      <c r="AP167" s="12"/>
      <c r="AQ167" s="12"/>
      <c r="AR167" s="12"/>
      <c r="AS167" s="12"/>
      <c r="AT167" s="12"/>
      <c r="AU167" s="12"/>
    </row>
    <row r="168" spans="1:47">
      <c r="C168" s="5"/>
      <c r="D168" s="5"/>
      <c r="E168" s="7"/>
      <c r="F168" s="7"/>
      <c r="G168" s="7"/>
      <c r="H168" s="7"/>
      <c r="I168" s="7"/>
      <c r="J168" s="7"/>
      <c r="K168" s="8"/>
      <c r="L168" s="8"/>
      <c r="M168" s="7"/>
      <c r="N168" s="7"/>
      <c r="O168" s="8"/>
      <c r="P168" s="8"/>
      <c r="Q168" s="6"/>
      <c r="R168" s="7"/>
      <c r="S168" s="7"/>
      <c r="T168" s="9"/>
      <c r="U168" s="9"/>
      <c r="V168" s="157"/>
      <c r="W168" s="157"/>
      <c r="X168" s="158"/>
      <c r="Y168" s="158"/>
      <c r="Z168" s="7"/>
      <c r="AA168" s="7"/>
      <c r="AB168" s="22"/>
      <c r="AC168" s="22"/>
      <c r="AD168" s="18"/>
      <c r="AE168" s="18"/>
      <c r="AF168" s="10"/>
      <c r="AG168" s="19"/>
      <c r="AH168" s="19"/>
      <c r="AI168" s="19"/>
      <c r="AJ168" s="11"/>
      <c r="AK168" s="11"/>
      <c r="AL168" s="11"/>
      <c r="AM168" s="11"/>
      <c r="AN168" s="12"/>
      <c r="AO168" s="12"/>
      <c r="AP168" s="12"/>
      <c r="AQ168" s="12"/>
      <c r="AR168" s="12"/>
      <c r="AS168" s="12"/>
      <c r="AT168" s="12"/>
      <c r="AU168" s="12"/>
    </row>
    <row r="169" spans="1:47">
      <c r="C169" s="18" t="s">
        <v>141</v>
      </c>
      <c r="D169" s="18" t="s">
        <v>141</v>
      </c>
      <c r="E169" s="7" t="s">
        <v>141</v>
      </c>
      <c r="F169" s="7" t="s">
        <v>141</v>
      </c>
      <c r="G169" s="7" t="s">
        <v>141</v>
      </c>
      <c r="H169" s="7" t="s">
        <v>141</v>
      </c>
      <c r="I169" s="7" t="s">
        <v>141</v>
      </c>
      <c r="J169" s="7" t="s">
        <v>141</v>
      </c>
      <c r="K169" s="8" t="s">
        <v>141</v>
      </c>
      <c r="L169" s="8" t="s">
        <v>141</v>
      </c>
      <c r="M169" s="7" t="s">
        <v>141</v>
      </c>
      <c r="N169" s="7" t="s">
        <v>141</v>
      </c>
      <c r="O169" s="8" t="s">
        <v>141</v>
      </c>
      <c r="P169" s="8" t="s">
        <v>141</v>
      </c>
      <c r="Q169" s="6" t="s">
        <v>141</v>
      </c>
      <c r="R169" s="7" t="s">
        <v>141</v>
      </c>
      <c r="S169" s="7"/>
      <c r="T169" s="9" t="s">
        <v>141</v>
      </c>
      <c r="U169" s="9" t="s">
        <v>141</v>
      </c>
      <c r="V169" s="157" t="s">
        <v>141</v>
      </c>
      <c r="W169" s="157" t="s">
        <v>141</v>
      </c>
      <c r="X169" s="158"/>
      <c r="Y169" s="158"/>
      <c r="Z169" s="7"/>
      <c r="AA169" s="7"/>
      <c r="AB169" s="22"/>
      <c r="AC169" s="22"/>
      <c r="AD169" s="18"/>
      <c r="AE169" s="18"/>
      <c r="AF169" s="10"/>
      <c r="AG169" s="19"/>
      <c r="AH169" s="19"/>
      <c r="AI169" s="19"/>
      <c r="AJ169" s="11"/>
      <c r="AK169" s="11"/>
      <c r="AL169" s="11"/>
      <c r="AM169" s="11"/>
      <c r="AN169" s="12"/>
      <c r="AO169" s="12"/>
      <c r="AP169" s="12"/>
      <c r="AQ169" s="12"/>
      <c r="AR169" s="12"/>
      <c r="AS169" s="12"/>
      <c r="AT169" s="12"/>
      <c r="AU169" s="12"/>
    </row>
    <row r="170" spans="1:47">
      <c r="C170" s="18" t="s">
        <v>141</v>
      </c>
      <c r="D170" s="18" t="s">
        <v>141</v>
      </c>
      <c r="E170" s="7" t="s">
        <v>141</v>
      </c>
      <c r="F170" s="7" t="s">
        <v>141</v>
      </c>
      <c r="G170" s="7" t="s">
        <v>141</v>
      </c>
      <c r="H170" s="7" t="s">
        <v>141</v>
      </c>
      <c r="I170" s="7" t="s">
        <v>141</v>
      </c>
      <c r="J170" s="7" t="s">
        <v>141</v>
      </c>
      <c r="K170" s="8" t="s">
        <v>141</v>
      </c>
      <c r="L170" s="8" t="s">
        <v>141</v>
      </c>
      <c r="M170" s="7" t="s">
        <v>141</v>
      </c>
      <c r="N170" s="7" t="s">
        <v>141</v>
      </c>
      <c r="O170" s="8" t="s">
        <v>141</v>
      </c>
      <c r="P170" s="8" t="s">
        <v>141</v>
      </c>
      <c r="Q170" s="6" t="s">
        <v>141</v>
      </c>
      <c r="R170" s="7" t="s">
        <v>141</v>
      </c>
      <c r="S170" s="7"/>
      <c r="T170" s="9" t="s">
        <v>141</v>
      </c>
      <c r="U170" s="9" t="s">
        <v>141</v>
      </c>
      <c r="V170" s="157" t="s">
        <v>141</v>
      </c>
      <c r="W170" s="157" t="s">
        <v>141</v>
      </c>
      <c r="X170" s="158"/>
      <c r="Y170" s="158"/>
      <c r="Z170" s="7"/>
      <c r="AA170" s="7"/>
      <c r="AB170" s="22"/>
      <c r="AC170" s="22"/>
      <c r="AD170" s="18"/>
      <c r="AE170" s="18"/>
      <c r="AF170" s="10"/>
      <c r="AG170" s="19"/>
      <c r="AH170" s="19"/>
      <c r="AI170" s="19"/>
      <c r="AJ170" s="11"/>
      <c r="AK170" s="11"/>
      <c r="AL170" s="11"/>
      <c r="AM170" s="11"/>
      <c r="AN170" s="12"/>
      <c r="AO170" s="12"/>
      <c r="AP170" s="12"/>
      <c r="AQ170" s="12"/>
      <c r="AR170" s="12"/>
      <c r="AS170" s="12"/>
      <c r="AT170" s="12"/>
      <c r="AU170" s="12"/>
    </row>
    <row r="171" spans="1:47">
      <c r="C171" s="18" t="s">
        <v>141</v>
      </c>
      <c r="D171" s="18" t="s">
        <v>141</v>
      </c>
      <c r="E171" s="7" t="s">
        <v>141</v>
      </c>
      <c r="F171" s="7" t="s">
        <v>141</v>
      </c>
      <c r="G171" s="7" t="s">
        <v>141</v>
      </c>
      <c r="H171" s="7" t="s">
        <v>141</v>
      </c>
      <c r="I171" s="7" t="s">
        <v>141</v>
      </c>
      <c r="J171" s="7" t="s">
        <v>141</v>
      </c>
      <c r="K171" s="8" t="s">
        <v>141</v>
      </c>
      <c r="L171" s="8" t="s">
        <v>141</v>
      </c>
      <c r="M171" s="7" t="s">
        <v>141</v>
      </c>
      <c r="N171" s="7" t="s">
        <v>141</v>
      </c>
      <c r="O171" s="8" t="s">
        <v>141</v>
      </c>
      <c r="P171" s="8" t="s">
        <v>141</v>
      </c>
      <c r="Q171" s="6" t="s">
        <v>141</v>
      </c>
      <c r="R171" s="7" t="s">
        <v>141</v>
      </c>
      <c r="S171" s="7"/>
      <c r="T171" s="9" t="s">
        <v>141</v>
      </c>
      <c r="U171" s="9" t="s">
        <v>141</v>
      </c>
      <c r="V171" s="157" t="s">
        <v>141</v>
      </c>
      <c r="W171" s="157" t="s">
        <v>141</v>
      </c>
      <c r="X171" s="158"/>
      <c r="Y171" s="158"/>
      <c r="Z171" s="7"/>
      <c r="AA171" s="7"/>
      <c r="AB171" s="22"/>
      <c r="AC171" s="22"/>
      <c r="AD171" s="18"/>
      <c r="AE171" s="18"/>
      <c r="AF171" s="10"/>
      <c r="AG171" s="19"/>
      <c r="AH171" s="19"/>
      <c r="AI171" s="19"/>
      <c r="AJ171" s="11"/>
      <c r="AK171" s="11"/>
      <c r="AL171" s="11"/>
      <c r="AM171" s="11"/>
      <c r="AN171" s="12"/>
      <c r="AO171" s="12"/>
      <c r="AP171" s="12"/>
      <c r="AQ171" s="12"/>
      <c r="AR171" s="12"/>
      <c r="AS171" s="12"/>
      <c r="AT171" s="12"/>
      <c r="AU171" s="12"/>
    </row>
    <row r="172" spans="1:47">
      <c r="C172" s="18" t="s">
        <v>141</v>
      </c>
      <c r="D172" s="18" t="s">
        <v>141</v>
      </c>
      <c r="E172" s="7" t="s">
        <v>141</v>
      </c>
      <c r="F172" s="7" t="s">
        <v>141</v>
      </c>
      <c r="G172" s="7" t="s">
        <v>141</v>
      </c>
      <c r="H172" s="7" t="s">
        <v>141</v>
      </c>
      <c r="I172" s="7" t="s">
        <v>141</v>
      </c>
      <c r="J172" s="7" t="s">
        <v>141</v>
      </c>
      <c r="K172" s="8" t="s">
        <v>141</v>
      </c>
      <c r="L172" s="8" t="s">
        <v>141</v>
      </c>
      <c r="M172" s="7" t="s">
        <v>141</v>
      </c>
      <c r="N172" s="7" t="s">
        <v>141</v>
      </c>
      <c r="O172" s="8" t="s">
        <v>141</v>
      </c>
      <c r="P172" s="8" t="s">
        <v>141</v>
      </c>
      <c r="Q172" s="6" t="s">
        <v>141</v>
      </c>
      <c r="R172" s="7" t="s">
        <v>141</v>
      </c>
      <c r="S172" s="7"/>
      <c r="T172" s="9" t="s">
        <v>141</v>
      </c>
      <c r="U172" s="9" t="s">
        <v>141</v>
      </c>
      <c r="V172" s="157" t="s">
        <v>141</v>
      </c>
      <c r="W172" s="157" t="s">
        <v>141</v>
      </c>
      <c r="X172" s="158"/>
      <c r="Y172" s="158"/>
      <c r="Z172" s="7"/>
      <c r="AA172" s="7"/>
      <c r="AB172" s="22"/>
      <c r="AC172" s="22"/>
      <c r="AD172" s="18"/>
      <c r="AE172" s="18"/>
      <c r="AF172" s="10"/>
      <c r="AG172" s="19"/>
      <c r="AH172" s="19"/>
      <c r="AI172" s="19"/>
      <c r="AJ172" s="11"/>
      <c r="AK172" s="11"/>
      <c r="AL172" s="11"/>
      <c r="AM172" s="11"/>
      <c r="AN172" s="12"/>
      <c r="AO172" s="12"/>
      <c r="AP172" s="12"/>
      <c r="AQ172" s="12"/>
      <c r="AR172" s="12"/>
      <c r="AS172" s="12"/>
      <c r="AT172" s="12"/>
      <c r="AU172" s="12"/>
    </row>
    <row r="173" spans="1:47">
      <c r="C173" s="18" t="s">
        <v>141</v>
      </c>
      <c r="D173" s="18" t="s">
        <v>141</v>
      </c>
      <c r="E173" s="7" t="s">
        <v>141</v>
      </c>
      <c r="F173" s="7" t="s">
        <v>141</v>
      </c>
      <c r="G173" s="7" t="s">
        <v>141</v>
      </c>
      <c r="H173" s="7" t="s">
        <v>141</v>
      </c>
      <c r="I173" s="7" t="s">
        <v>141</v>
      </c>
      <c r="J173" s="7" t="s">
        <v>141</v>
      </c>
      <c r="K173" s="8" t="s">
        <v>141</v>
      </c>
      <c r="L173" s="8" t="s">
        <v>141</v>
      </c>
      <c r="M173" s="7" t="s">
        <v>141</v>
      </c>
      <c r="N173" s="7" t="s">
        <v>141</v>
      </c>
      <c r="O173" s="8" t="s">
        <v>141</v>
      </c>
      <c r="P173" s="8" t="s">
        <v>141</v>
      </c>
      <c r="Q173" s="6" t="s">
        <v>141</v>
      </c>
      <c r="R173" s="7" t="s">
        <v>141</v>
      </c>
      <c r="S173" s="7"/>
      <c r="T173" s="9" t="s">
        <v>141</v>
      </c>
      <c r="U173" s="9" t="s">
        <v>141</v>
      </c>
      <c r="V173" s="157" t="s">
        <v>141</v>
      </c>
      <c r="W173" s="157" t="s">
        <v>141</v>
      </c>
      <c r="X173" s="158"/>
      <c r="Y173" s="158"/>
      <c r="Z173" s="7"/>
      <c r="AA173" s="7"/>
      <c r="AB173" s="22"/>
      <c r="AC173" s="22"/>
      <c r="AD173" s="18"/>
      <c r="AE173" s="18"/>
      <c r="AF173" s="10"/>
      <c r="AG173" s="19"/>
      <c r="AH173" s="19"/>
      <c r="AI173" s="19"/>
      <c r="AJ173" s="11"/>
      <c r="AK173" s="11"/>
      <c r="AL173" s="11"/>
      <c r="AM173" s="11"/>
      <c r="AN173" s="12"/>
      <c r="AO173" s="12"/>
      <c r="AP173" s="12"/>
      <c r="AQ173" s="12"/>
      <c r="AR173" s="12"/>
      <c r="AS173" s="12"/>
      <c r="AT173" s="12"/>
      <c r="AU173" s="12"/>
    </row>
    <row r="174" spans="1:47">
      <c r="C174" s="18" t="s">
        <v>141</v>
      </c>
      <c r="D174" s="18" t="s">
        <v>141</v>
      </c>
      <c r="E174" s="7" t="s">
        <v>141</v>
      </c>
      <c r="F174" s="7" t="s">
        <v>141</v>
      </c>
      <c r="G174" s="7" t="s">
        <v>141</v>
      </c>
      <c r="H174" s="7" t="s">
        <v>141</v>
      </c>
      <c r="I174" s="7" t="s">
        <v>141</v>
      </c>
      <c r="J174" s="7" t="s">
        <v>141</v>
      </c>
      <c r="K174" s="8" t="s">
        <v>141</v>
      </c>
      <c r="L174" s="8" t="s">
        <v>141</v>
      </c>
      <c r="M174" s="7" t="s">
        <v>141</v>
      </c>
      <c r="N174" s="7" t="s">
        <v>141</v>
      </c>
      <c r="O174" s="8" t="s">
        <v>141</v>
      </c>
      <c r="P174" s="8" t="s">
        <v>141</v>
      </c>
      <c r="Q174" s="6" t="s">
        <v>141</v>
      </c>
      <c r="R174" s="7" t="s">
        <v>141</v>
      </c>
      <c r="S174" s="7"/>
      <c r="T174" s="9" t="s">
        <v>141</v>
      </c>
      <c r="U174" s="9" t="s">
        <v>141</v>
      </c>
      <c r="V174" s="157" t="s">
        <v>141</v>
      </c>
      <c r="W174" s="157" t="s">
        <v>141</v>
      </c>
      <c r="X174" s="158"/>
      <c r="Y174" s="158"/>
      <c r="Z174" s="7"/>
      <c r="AA174" s="7"/>
      <c r="AB174" s="22"/>
      <c r="AC174" s="22"/>
      <c r="AD174" s="18"/>
      <c r="AE174" s="18"/>
      <c r="AF174" s="10"/>
      <c r="AG174" s="19"/>
      <c r="AH174" s="19"/>
      <c r="AI174" s="19"/>
      <c r="AJ174" s="11"/>
      <c r="AK174" s="11"/>
      <c r="AL174" s="11"/>
      <c r="AM174" s="11"/>
      <c r="AN174" s="12"/>
      <c r="AO174" s="12"/>
      <c r="AP174" s="12"/>
      <c r="AQ174" s="12"/>
      <c r="AR174" s="12"/>
      <c r="AS174" s="12"/>
      <c r="AT174" s="12"/>
      <c r="AU174" s="12"/>
    </row>
    <row r="175" spans="1:47">
      <c r="C175" s="18" t="s">
        <v>141</v>
      </c>
      <c r="D175" s="18" t="s">
        <v>141</v>
      </c>
      <c r="E175" s="7" t="s">
        <v>141</v>
      </c>
      <c r="F175" s="7" t="s">
        <v>141</v>
      </c>
      <c r="G175" s="7" t="s">
        <v>141</v>
      </c>
      <c r="H175" s="7" t="s">
        <v>141</v>
      </c>
      <c r="I175" s="7" t="s">
        <v>141</v>
      </c>
      <c r="J175" s="7" t="s">
        <v>141</v>
      </c>
      <c r="K175" s="8" t="s">
        <v>141</v>
      </c>
      <c r="L175" s="8" t="s">
        <v>141</v>
      </c>
      <c r="M175" s="7" t="s">
        <v>141</v>
      </c>
      <c r="N175" s="7" t="s">
        <v>141</v>
      </c>
      <c r="O175" s="8" t="s">
        <v>141</v>
      </c>
      <c r="P175" s="8" t="s">
        <v>141</v>
      </c>
      <c r="Q175" s="6" t="s">
        <v>141</v>
      </c>
      <c r="R175" s="7" t="s">
        <v>141</v>
      </c>
      <c r="S175" s="7"/>
      <c r="T175" s="9" t="s">
        <v>141</v>
      </c>
      <c r="U175" s="9" t="s">
        <v>141</v>
      </c>
      <c r="V175" s="157" t="s">
        <v>141</v>
      </c>
      <c r="W175" s="157" t="s">
        <v>141</v>
      </c>
      <c r="X175" s="158"/>
      <c r="Y175" s="158"/>
      <c r="Z175" s="7"/>
      <c r="AA175" s="7"/>
      <c r="AB175" s="22"/>
      <c r="AC175" s="22"/>
      <c r="AD175" s="18"/>
      <c r="AE175" s="18"/>
      <c r="AF175" s="10"/>
      <c r="AG175" s="19"/>
      <c r="AH175" s="19"/>
      <c r="AI175" s="19"/>
      <c r="AJ175" s="11"/>
      <c r="AK175" s="11"/>
      <c r="AL175" s="11"/>
      <c r="AM175" s="11"/>
      <c r="AN175" s="12"/>
      <c r="AO175" s="12"/>
      <c r="AP175" s="12"/>
      <c r="AQ175" s="12"/>
      <c r="AR175" s="12"/>
      <c r="AS175" s="12"/>
      <c r="AT175" s="12"/>
      <c r="AU175" s="12"/>
    </row>
    <row r="176" spans="1:47">
      <c r="C176" s="18" t="s">
        <v>141</v>
      </c>
      <c r="D176" s="18" t="s">
        <v>141</v>
      </c>
      <c r="E176" s="7" t="s">
        <v>141</v>
      </c>
      <c r="F176" s="7" t="s">
        <v>141</v>
      </c>
      <c r="G176" s="7" t="s">
        <v>141</v>
      </c>
      <c r="H176" s="7" t="s">
        <v>141</v>
      </c>
      <c r="I176" s="7" t="s">
        <v>141</v>
      </c>
      <c r="J176" s="7" t="s">
        <v>141</v>
      </c>
      <c r="K176" s="8" t="s">
        <v>141</v>
      </c>
      <c r="L176" s="8" t="s">
        <v>141</v>
      </c>
      <c r="M176" s="7" t="s">
        <v>141</v>
      </c>
      <c r="N176" s="7" t="s">
        <v>141</v>
      </c>
      <c r="O176" s="8" t="s">
        <v>141</v>
      </c>
      <c r="P176" s="8" t="s">
        <v>141</v>
      </c>
      <c r="Q176" s="6" t="s">
        <v>141</v>
      </c>
      <c r="R176" s="7" t="s">
        <v>141</v>
      </c>
      <c r="S176" s="7"/>
      <c r="T176" s="9" t="s">
        <v>141</v>
      </c>
      <c r="U176" s="9" t="s">
        <v>141</v>
      </c>
      <c r="V176" s="157" t="s">
        <v>141</v>
      </c>
      <c r="W176" s="157" t="s">
        <v>141</v>
      </c>
      <c r="X176" s="158"/>
      <c r="Y176" s="158"/>
      <c r="Z176" s="7"/>
      <c r="AA176" s="7"/>
      <c r="AB176" s="22"/>
      <c r="AC176" s="22"/>
      <c r="AD176" s="18"/>
      <c r="AE176" s="18"/>
      <c r="AF176" s="10"/>
      <c r="AG176" s="19"/>
      <c r="AH176" s="19"/>
      <c r="AI176" s="19"/>
      <c r="AJ176" s="11"/>
      <c r="AK176" s="11"/>
      <c r="AL176" s="11"/>
      <c r="AM176" s="11"/>
      <c r="AN176" s="12"/>
      <c r="AO176" s="12"/>
      <c r="AP176" s="12"/>
      <c r="AQ176" s="12"/>
      <c r="AR176" s="12"/>
      <c r="AS176" s="12"/>
      <c r="AT176" s="12"/>
      <c r="AU176" s="12"/>
    </row>
    <row r="177" spans="3:47">
      <c r="C177" s="18" t="s">
        <v>141</v>
      </c>
      <c r="D177" s="18" t="s">
        <v>141</v>
      </c>
      <c r="E177" s="7" t="s">
        <v>141</v>
      </c>
      <c r="F177" s="7" t="s">
        <v>141</v>
      </c>
      <c r="G177" s="7" t="s">
        <v>141</v>
      </c>
      <c r="H177" s="7" t="s">
        <v>141</v>
      </c>
      <c r="I177" s="7" t="s">
        <v>141</v>
      </c>
      <c r="J177" s="7" t="s">
        <v>141</v>
      </c>
      <c r="K177" s="8" t="s">
        <v>141</v>
      </c>
      <c r="L177" s="8" t="s">
        <v>141</v>
      </c>
      <c r="M177" s="7" t="s">
        <v>141</v>
      </c>
      <c r="N177" s="7" t="s">
        <v>141</v>
      </c>
      <c r="O177" s="8" t="s">
        <v>141</v>
      </c>
      <c r="P177" s="8" t="s">
        <v>141</v>
      </c>
      <c r="Q177" s="6" t="s">
        <v>141</v>
      </c>
      <c r="R177" s="7" t="s">
        <v>141</v>
      </c>
      <c r="S177" s="7"/>
      <c r="T177" s="9" t="s">
        <v>141</v>
      </c>
      <c r="U177" s="9" t="s">
        <v>141</v>
      </c>
      <c r="V177" s="157" t="s">
        <v>141</v>
      </c>
      <c r="W177" s="157" t="s">
        <v>141</v>
      </c>
      <c r="X177" s="158"/>
      <c r="Y177" s="158"/>
      <c r="Z177" s="7"/>
      <c r="AA177" s="7"/>
      <c r="AB177" s="22"/>
      <c r="AC177" s="22"/>
      <c r="AD177" s="18"/>
      <c r="AE177" s="18"/>
      <c r="AF177" s="10"/>
      <c r="AG177" s="19"/>
      <c r="AH177" s="19"/>
      <c r="AI177" s="19"/>
      <c r="AJ177" s="11"/>
      <c r="AK177" s="11"/>
      <c r="AL177" s="11"/>
      <c r="AM177" s="11"/>
      <c r="AN177" s="12"/>
      <c r="AO177" s="12"/>
      <c r="AP177" s="12"/>
      <c r="AQ177" s="12"/>
      <c r="AR177" s="12"/>
      <c r="AS177" s="12"/>
      <c r="AT177" s="12"/>
      <c r="AU177" s="12"/>
    </row>
    <row r="178" spans="3:47">
      <c r="C178" s="18" t="s">
        <v>141</v>
      </c>
      <c r="D178" s="18" t="s">
        <v>141</v>
      </c>
      <c r="E178" s="7" t="s">
        <v>141</v>
      </c>
      <c r="F178" s="7" t="s">
        <v>141</v>
      </c>
      <c r="G178" s="7" t="s">
        <v>141</v>
      </c>
      <c r="H178" s="7" t="s">
        <v>141</v>
      </c>
      <c r="I178" s="7" t="s">
        <v>141</v>
      </c>
      <c r="J178" s="7" t="s">
        <v>141</v>
      </c>
      <c r="K178" s="8" t="s">
        <v>141</v>
      </c>
      <c r="L178" s="8" t="s">
        <v>141</v>
      </c>
      <c r="M178" s="7" t="s">
        <v>141</v>
      </c>
      <c r="N178" s="7" t="s">
        <v>141</v>
      </c>
      <c r="O178" s="8" t="s">
        <v>141</v>
      </c>
      <c r="P178" s="8" t="s">
        <v>141</v>
      </c>
      <c r="Q178" s="6" t="s">
        <v>141</v>
      </c>
      <c r="R178" s="7" t="s">
        <v>141</v>
      </c>
      <c r="S178" s="7"/>
      <c r="T178" s="9" t="s">
        <v>141</v>
      </c>
      <c r="U178" s="9" t="s">
        <v>141</v>
      </c>
      <c r="V178" s="157" t="s">
        <v>141</v>
      </c>
      <c r="W178" s="157" t="s">
        <v>141</v>
      </c>
      <c r="X178" s="158"/>
      <c r="Y178" s="158"/>
      <c r="Z178" s="7"/>
      <c r="AA178" s="7"/>
      <c r="AB178" s="22"/>
      <c r="AC178" s="22"/>
      <c r="AD178" s="18"/>
      <c r="AE178" s="18"/>
      <c r="AF178" s="10"/>
      <c r="AG178" s="19"/>
      <c r="AH178" s="19"/>
      <c r="AI178" s="19"/>
      <c r="AJ178" s="11"/>
      <c r="AK178" s="11"/>
      <c r="AL178" s="11"/>
      <c r="AM178" s="11"/>
      <c r="AN178" s="12"/>
      <c r="AO178" s="12"/>
      <c r="AP178" s="12"/>
      <c r="AQ178" s="12"/>
      <c r="AR178" s="12"/>
      <c r="AS178" s="12"/>
      <c r="AT178" s="12"/>
      <c r="AU178" s="12"/>
    </row>
    <row r="179" spans="3:47">
      <c r="C179" s="18" t="s">
        <v>141</v>
      </c>
      <c r="D179" s="18" t="s">
        <v>141</v>
      </c>
      <c r="E179" s="7" t="s">
        <v>141</v>
      </c>
      <c r="F179" s="7" t="s">
        <v>141</v>
      </c>
      <c r="G179" s="7" t="s">
        <v>141</v>
      </c>
      <c r="H179" s="7" t="s">
        <v>141</v>
      </c>
      <c r="I179" s="7" t="s">
        <v>141</v>
      </c>
      <c r="J179" s="7" t="s">
        <v>141</v>
      </c>
      <c r="K179" s="8" t="s">
        <v>141</v>
      </c>
      <c r="L179" s="8" t="s">
        <v>141</v>
      </c>
      <c r="M179" s="7" t="s">
        <v>141</v>
      </c>
      <c r="N179" s="7" t="s">
        <v>141</v>
      </c>
      <c r="O179" s="8" t="s">
        <v>141</v>
      </c>
      <c r="P179" s="8" t="s">
        <v>141</v>
      </c>
      <c r="Q179" s="6" t="s">
        <v>141</v>
      </c>
      <c r="R179" s="7" t="s">
        <v>141</v>
      </c>
      <c r="S179" s="7"/>
      <c r="T179" s="9" t="s">
        <v>141</v>
      </c>
      <c r="U179" s="9" t="s">
        <v>141</v>
      </c>
      <c r="V179" s="157" t="s">
        <v>141</v>
      </c>
      <c r="W179" s="157" t="s">
        <v>141</v>
      </c>
      <c r="X179" s="158"/>
      <c r="Y179" s="158"/>
      <c r="Z179" s="7"/>
      <c r="AA179" s="7"/>
      <c r="AB179" s="22"/>
      <c r="AC179" s="22"/>
      <c r="AD179" s="18"/>
      <c r="AE179" s="18"/>
      <c r="AF179" s="10"/>
      <c r="AG179" s="19"/>
      <c r="AH179" s="19"/>
      <c r="AI179" s="19"/>
      <c r="AJ179" s="11"/>
      <c r="AK179" s="11"/>
      <c r="AL179" s="11"/>
      <c r="AM179" s="11"/>
      <c r="AN179" s="12"/>
      <c r="AO179" s="12"/>
      <c r="AP179" s="12"/>
      <c r="AQ179" s="12"/>
      <c r="AR179" s="12"/>
      <c r="AS179" s="12"/>
      <c r="AT179" s="12"/>
      <c r="AU179" s="12"/>
    </row>
    <row r="180" spans="3:47">
      <c r="C180" s="18" t="s">
        <v>141</v>
      </c>
      <c r="D180" s="18" t="s">
        <v>141</v>
      </c>
      <c r="E180" s="7" t="s">
        <v>141</v>
      </c>
      <c r="F180" s="7" t="s">
        <v>141</v>
      </c>
      <c r="G180" s="7" t="s">
        <v>141</v>
      </c>
      <c r="H180" s="7" t="s">
        <v>141</v>
      </c>
      <c r="I180" s="7" t="s">
        <v>141</v>
      </c>
      <c r="J180" s="7" t="s">
        <v>141</v>
      </c>
      <c r="K180" s="8" t="s">
        <v>141</v>
      </c>
      <c r="L180" s="8" t="s">
        <v>141</v>
      </c>
      <c r="M180" s="7" t="s">
        <v>141</v>
      </c>
      <c r="N180" s="7" t="s">
        <v>141</v>
      </c>
      <c r="O180" s="8" t="s">
        <v>141</v>
      </c>
      <c r="P180" s="8" t="s">
        <v>141</v>
      </c>
      <c r="Q180" s="6" t="s">
        <v>141</v>
      </c>
      <c r="R180" s="7" t="s">
        <v>141</v>
      </c>
      <c r="S180" s="7"/>
      <c r="T180" s="9" t="s">
        <v>141</v>
      </c>
      <c r="U180" s="9" t="s">
        <v>141</v>
      </c>
      <c r="V180" s="157" t="s">
        <v>141</v>
      </c>
      <c r="W180" s="157" t="s">
        <v>141</v>
      </c>
      <c r="Z180" s="7"/>
      <c r="AA180" s="7"/>
      <c r="AB180" s="22"/>
      <c r="AC180" s="22"/>
      <c r="AD180" s="18"/>
      <c r="AE180" s="18"/>
      <c r="AF180" s="10"/>
      <c r="AG180" s="19"/>
      <c r="AH180" s="19"/>
      <c r="AI180" s="19"/>
      <c r="AJ180" s="11"/>
      <c r="AK180" s="11"/>
      <c r="AL180" s="11"/>
      <c r="AM180" s="11"/>
      <c r="AN180" s="12"/>
      <c r="AO180" s="12"/>
      <c r="AP180" s="12"/>
      <c r="AQ180" s="12"/>
      <c r="AR180" s="12"/>
      <c r="AS180" s="12"/>
      <c r="AT180" s="12"/>
      <c r="AU180" s="12"/>
    </row>
    <row r="181" spans="3:47">
      <c r="C181" s="18" t="s">
        <v>141</v>
      </c>
      <c r="D181" s="18" t="s">
        <v>141</v>
      </c>
      <c r="E181" s="7" t="s">
        <v>141</v>
      </c>
      <c r="F181" s="7" t="s">
        <v>141</v>
      </c>
      <c r="G181" s="7" t="s">
        <v>141</v>
      </c>
      <c r="H181" s="7" t="s">
        <v>141</v>
      </c>
      <c r="I181" s="7" t="s">
        <v>141</v>
      </c>
      <c r="J181" s="7" t="s">
        <v>141</v>
      </c>
      <c r="K181" s="8" t="s">
        <v>141</v>
      </c>
      <c r="L181" s="8" t="s">
        <v>141</v>
      </c>
      <c r="M181" s="7" t="s">
        <v>141</v>
      </c>
      <c r="N181" s="7" t="s">
        <v>141</v>
      </c>
      <c r="O181" s="8" t="s">
        <v>141</v>
      </c>
      <c r="P181" s="8" t="s">
        <v>141</v>
      </c>
      <c r="Q181" s="6" t="s">
        <v>141</v>
      </c>
      <c r="R181" s="7" t="s">
        <v>141</v>
      </c>
      <c r="S181" s="7"/>
      <c r="T181" s="9" t="s">
        <v>141</v>
      </c>
      <c r="U181" s="9" t="s">
        <v>141</v>
      </c>
      <c r="V181" s="157" t="s">
        <v>141</v>
      </c>
      <c r="W181" s="157" t="s">
        <v>141</v>
      </c>
      <c r="Z181" s="7"/>
      <c r="AA181" s="7"/>
      <c r="AB181" s="22"/>
      <c r="AC181" s="22"/>
      <c r="AD181" s="18"/>
      <c r="AE181" s="18"/>
      <c r="AF181" s="10"/>
      <c r="AG181" s="19"/>
      <c r="AH181" s="19"/>
      <c r="AI181" s="19"/>
      <c r="AJ181" s="11"/>
      <c r="AK181" s="11"/>
      <c r="AL181" s="11"/>
      <c r="AM181" s="11"/>
      <c r="AN181" s="12"/>
      <c r="AO181" s="12"/>
      <c r="AP181" s="12"/>
      <c r="AQ181" s="12"/>
      <c r="AR181" s="12"/>
      <c r="AS181" s="12"/>
      <c r="AT181" s="12"/>
      <c r="AU181" s="12"/>
    </row>
    <row r="182" spans="3:47">
      <c r="C182" s="18" t="s">
        <v>141</v>
      </c>
      <c r="D182" s="18" t="s">
        <v>141</v>
      </c>
      <c r="E182" s="7" t="s">
        <v>141</v>
      </c>
      <c r="F182" s="7" t="s">
        <v>141</v>
      </c>
      <c r="G182" s="7" t="s">
        <v>141</v>
      </c>
      <c r="H182" s="7" t="s">
        <v>141</v>
      </c>
      <c r="I182" s="7" t="s">
        <v>141</v>
      </c>
      <c r="J182" s="7" t="s">
        <v>141</v>
      </c>
      <c r="K182" s="8" t="s">
        <v>141</v>
      </c>
      <c r="L182" s="8" t="s">
        <v>141</v>
      </c>
      <c r="M182" s="7" t="s">
        <v>141</v>
      </c>
      <c r="N182" s="7" t="s">
        <v>141</v>
      </c>
      <c r="O182" s="8" t="s">
        <v>141</v>
      </c>
      <c r="P182" s="8" t="s">
        <v>141</v>
      </c>
      <c r="Q182" s="6" t="s">
        <v>141</v>
      </c>
      <c r="R182" s="7" t="s">
        <v>141</v>
      </c>
      <c r="S182" s="7"/>
      <c r="T182" s="9" t="s">
        <v>141</v>
      </c>
      <c r="U182" s="9" t="s">
        <v>141</v>
      </c>
      <c r="V182" s="157" t="s">
        <v>141</v>
      </c>
      <c r="W182" s="157" t="s">
        <v>141</v>
      </c>
      <c r="Z182" s="7"/>
      <c r="AA182" s="7"/>
      <c r="AB182" s="22"/>
      <c r="AC182" s="22"/>
      <c r="AD182" s="18"/>
      <c r="AE182" s="18"/>
      <c r="AF182" s="10"/>
      <c r="AG182" s="19"/>
      <c r="AH182" s="19"/>
      <c r="AI182" s="19"/>
      <c r="AJ182" s="11"/>
      <c r="AK182" s="11"/>
      <c r="AL182" s="11"/>
      <c r="AM182" s="11"/>
      <c r="AN182" s="12"/>
      <c r="AO182" s="12"/>
      <c r="AP182" s="12"/>
      <c r="AQ182" s="12"/>
      <c r="AR182" s="12"/>
      <c r="AS182" s="12"/>
      <c r="AT182" s="12"/>
      <c r="AU182" s="12"/>
    </row>
    <row r="274" spans="1:35">
      <c r="A274" s="2"/>
      <c r="B274" s="2"/>
      <c r="C274" s="2"/>
      <c r="D274" s="2"/>
      <c r="K274" s="2"/>
      <c r="L274" s="2"/>
      <c r="Q274" s="2"/>
      <c r="T274" s="2"/>
      <c r="U274" s="2"/>
      <c r="V274" s="2"/>
      <c r="W274" s="2"/>
      <c r="X274" s="2"/>
      <c r="Y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K275" s="2"/>
      <c r="L275" s="2"/>
      <c r="Q275" s="2"/>
      <c r="T275" s="2"/>
      <c r="U275" s="2"/>
      <c r="V275" s="2"/>
      <c r="W275" s="2"/>
      <c r="X275" s="2"/>
      <c r="Y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K276" s="2"/>
      <c r="L276" s="2"/>
      <c r="Q276" s="2"/>
      <c r="T276" s="2"/>
      <c r="U276" s="2"/>
      <c r="V276" s="2"/>
      <c r="W276" s="2"/>
      <c r="X276" s="2"/>
      <c r="Y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K277" s="2"/>
      <c r="L277" s="2"/>
      <c r="Q277" s="2"/>
      <c r="T277" s="2"/>
      <c r="U277" s="2"/>
      <c r="V277" s="2"/>
      <c r="W277" s="2"/>
      <c r="X277" s="2"/>
      <c r="Y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K278" s="2"/>
      <c r="L278" s="2"/>
      <c r="Q278" s="2"/>
      <c r="T278" s="2"/>
      <c r="U278" s="2"/>
      <c r="V278" s="2"/>
      <c r="W278" s="2"/>
      <c r="X278" s="2"/>
      <c r="Y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K279" s="2"/>
      <c r="L279" s="2"/>
      <c r="Q279" s="2"/>
      <c r="T279" s="2"/>
      <c r="U279" s="2"/>
      <c r="V279" s="2"/>
      <c r="W279" s="2"/>
      <c r="X279" s="2"/>
      <c r="Y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K280" s="2"/>
      <c r="L280" s="2"/>
      <c r="Q280" s="2"/>
      <c r="T280" s="2"/>
      <c r="U280" s="2"/>
      <c r="V280" s="2"/>
      <c r="W280" s="2"/>
      <c r="X280" s="2"/>
      <c r="Y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K281" s="2"/>
      <c r="L281" s="2"/>
      <c r="Q281" s="2"/>
      <c r="T281" s="2"/>
      <c r="U281" s="2"/>
      <c r="V281" s="2"/>
      <c r="W281" s="2"/>
      <c r="X281" s="2"/>
      <c r="Y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K282" s="2"/>
      <c r="L282" s="2"/>
      <c r="Q282" s="2"/>
      <c r="T282" s="2"/>
      <c r="U282" s="2"/>
      <c r="V282" s="2"/>
      <c r="W282" s="2"/>
      <c r="X282" s="2"/>
      <c r="Y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K283" s="2"/>
      <c r="L283" s="2"/>
      <c r="Q283" s="2"/>
      <c r="T283" s="2"/>
      <c r="U283" s="2"/>
      <c r="V283" s="2"/>
      <c r="W283" s="2"/>
      <c r="X283" s="2"/>
      <c r="Y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K284" s="2"/>
      <c r="L284" s="2"/>
      <c r="Q284" s="2"/>
      <c r="T284" s="2"/>
      <c r="U284" s="2"/>
      <c r="V284" s="2"/>
      <c r="W284" s="2"/>
      <c r="X284" s="2"/>
      <c r="Y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K285" s="2"/>
      <c r="L285" s="2"/>
      <c r="Q285" s="2"/>
      <c r="T285" s="2"/>
      <c r="U285" s="2"/>
      <c r="V285" s="2"/>
      <c r="W285" s="2"/>
      <c r="X285" s="2"/>
      <c r="Y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K286" s="2"/>
      <c r="L286" s="2"/>
      <c r="Q286" s="2"/>
      <c r="T286" s="2"/>
      <c r="U286" s="2"/>
      <c r="V286" s="2"/>
      <c r="W286" s="2"/>
      <c r="X286" s="2"/>
      <c r="Y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K287" s="2"/>
      <c r="L287" s="2"/>
      <c r="Q287" s="2"/>
      <c r="T287" s="2"/>
      <c r="U287" s="2"/>
      <c r="V287" s="2"/>
      <c r="W287" s="2"/>
      <c r="X287" s="2"/>
      <c r="Y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K288" s="2"/>
      <c r="L288" s="2"/>
      <c r="Q288" s="2"/>
      <c r="T288" s="2"/>
      <c r="U288" s="2"/>
      <c r="V288" s="2"/>
      <c r="W288" s="2"/>
      <c r="X288" s="2"/>
      <c r="Y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K289" s="2"/>
      <c r="L289" s="2"/>
      <c r="Q289" s="2"/>
      <c r="T289" s="2"/>
      <c r="U289" s="2"/>
      <c r="V289" s="2"/>
      <c r="W289" s="2"/>
      <c r="X289" s="2"/>
      <c r="Y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K290" s="2"/>
      <c r="L290" s="2"/>
      <c r="Q290" s="2"/>
      <c r="T290" s="2"/>
      <c r="U290" s="2"/>
      <c r="V290" s="2"/>
      <c r="W290" s="2"/>
      <c r="X290" s="2"/>
      <c r="Y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K291" s="2"/>
      <c r="L291" s="2"/>
      <c r="Q291" s="2"/>
      <c r="T291" s="2"/>
      <c r="U291" s="2"/>
      <c r="V291" s="2"/>
      <c r="W291" s="2"/>
      <c r="X291" s="2"/>
      <c r="Y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K292" s="2"/>
      <c r="L292" s="2"/>
      <c r="Q292" s="2"/>
      <c r="T292" s="2"/>
      <c r="U292" s="2"/>
      <c r="V292" s="2"/>
      <c r="W292" s="2"/>
      <c r="X292" s="2"/>
      <c r="Y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K293" s="2"/>
      <c r="L293" s="2"/>
      <c r="Q293" s="2"/>
      <c r="T293" s="2"/>
      <c r="U293" s="2"/>
      <c r="V293" s="2"/>
      <c r="W293" s="2"/>
      <c r="X293" s="2"/>
      <c r="Y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K294" s="2"/>
      <c r="L294" s="2"/>
      <c r="Q294" s="2"/>
      <c r="T294" s="2"/>
      <c r="U294" s="2"/>
      <c r="V294" s="2"/>
      <c r="W294" s="2"/>
      <c r="X294" s="2"/>
      <c r="Y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K295" s="2"/>
      <c r="L295" s="2"/>
      <c r="Q295" s="2"/>
      <c r="T295" s="2"/>
      <c r="U295" s="2"/>
      <c r="V295" s="2"/>
      <c r="W295" s="2"/>
      <c r="X295" s="2"/>
      <c r="Y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K296" s="2"/>
      <c r="L296" s="2"/>
      <c r="Q296" s="2"/>
      <c r="T296" s="2"/>
      <c r="U296" s="2"/>
      <c r="V296" s="2"/>
      <c r="W296" s="2"/>
      <c r="X296" s="2"/>
      <c r="Y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K297" s="2"/>
      <c r="L297" s="2"/>
      <c r="Q297" s="2"/>
      <c r="T297" s="2"/>
      <c r="U297" s="2"/>
      <c r="V297" s="2"/>
      <c r="W297" s="2"/>
      <c r="X297" s="2"/>
      <c r="Y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K298" s="2"/>
      <c r="L298" s="2"/>
      <c r="Q298" s="2"/>
      <c r="T298" s="2"/>
      <c r="U298" s="2"/>
      <c r="V298" s="2"/>
      <c r="W298" s="2"/>
      <c r="X298" s="2"/>
      <c r="Y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K299" s="2"/>
      <c r="L299" s="2"/>
      <c r="Q299" s="2"/>
      <c r="T299" s="2"/>
      <c r="U299" s="2"/>
      <c r="V299" s="2"/>
      <c r="W299" s="2"/>
      <c r="X299" s="2"/>
      <c r="Y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K300" s="2"/>
      <c r="L300" s="2"/>
      <c r="Q300" s="2"/>
      <c r="T300" s="2"/>
      <c r="U300" s="2"/>
      <c r="V300" s="2"/>
      <c r="W300" s="2"/>
      <c r="X300" s="2"/>
      <c r="Y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K301" s="2"/>
      <c r="L301" s="2"/>
      <c r="Q301" s="2"/>
      <c r="T301" s="2"/>
      <c r="U301" s="2"/>
      <c r="V301" s="2"/>
      <c r="W301" s="2"/>
      <c r="X301" s="2"/>
      <c r="Y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K302" s="2"/>
      <c r="L302" s="2"/>
      <c r="Q302" s="2"/>
      <c r="T302" s="2"/>
      <c r="U302" s="2"/>
      <c r="V302" s="2"/>
      <c r="W302" s="2"/>
      <c r="X302" s="2"/>
      <c r="Y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K303" s="2"/>
      <c r="L303" s="2"/>
      <c r="Q303" s="2"/>
      <c r="T303" s="2"/>
      <c r="U303" s="2"/>
      <c r="V303" s="2"/>
      <c r="W303" s="2"/>
      <c r="X303" s="2"/>
      <c r="Y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K304" s="2"/>
      <c r="L304" s="2"/>
      <c r="Q304" s="2"/>
      <c r="T304" s="2"/>
      <c r="U304" s="2"/>
      <c r="V304" s="2"/>
      <c r="W304" s="2"/>
      <c r="X304" s="2"/>
      <c r="Y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K305" s="2"/>
      <c r="L305" s="2"/>
      <c r="Q305" s="2"/>
      <c r="T305" s="2"/>
      <c r="U305" s="2"/>
      <c r="V305" s="2"/>
      <c r="W305" s="2"/>
      <c r="X305" s="2"/>
      <c r="Y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K306" s="2"/>
      <c r="L306" s="2"/>
      <c r="Q306" s="2"/>
      <c r="T306" s="2"/>
      <c r="U306" s="2"/>
      <c r="V306" s="2"/>
      <c r="W306" s="2"/>
      <c r="X306" s="2"/>
      <c r="Y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K307" s="2"/>
      <c r="L307" s="2"/>
      <c r="Q307" s="2"/>
      <c r="T307" s="2"/>
      <c r="U307" s="2"/>
      <c r="V307" s="2"/>
      <c r="W307" s="2"/>
      <c r="X307" s="2"/>
      <c r="Y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K308" s="2"/>
      <c r="L308" s="2"/>
      <c r="Q308" s="2"/>
      <c r="T308" s="2"/>
      <c r="U308" s="2"/>
      <c r="V308" s="2"/>
      <c r="W308" s="2"/>
      <c r="X308" s="2"/>
      <c r="Y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K309" s="2"/>
      <c r="L309" s="2"/>
      <c r="Q309" s="2"/>
      <c r="T309" s="2"/>
      <c r="U309" s="2"/>
      <c r="V309" s="2"/>
      <c r="W309" s="2"/>
      <c r="X309" s="2"/>
      <c r="Y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K310" s="2"/>
      <c r="L310" s="2"/>
      <c r="Q310" s="2"/>
      <c r="T310" s="2"/>
      <c r="U310" s="2"/>
      <c r="V310" s="2"/>
      <c r="W310" s="2"/>
      <c r="X310" s="2"/>
      <c r="Y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K311" s="2"/>
      <c r="L311" s="2"/>
      <c r="Q311" s="2"/>
      <c r="T311" s="2"/>
      <c r="U311" s="2"/>
      <c r="V311" s="2"/>
      <c r="W311" s="2"/>
      <c r="X311" s="2"/>
      <c r="Y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K312" s="2"/>
      <c r="L312" s="2"/>
      <c r="Q312" s="2"/>
      <c r="T312" s="2"/>
      <c r="U312" s="2"/>
      <c r="V312" s="2"/>
      <c r="W312" s="2"/>
      <c r="X312" s="2"/>
      <c r="Y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K313" s="2"/>
      <c r="L313" s="2"/>
      <c r="Q313" s="2"/>
      <c r="T313" s="2"/>
      <c r="U313" s="2"/>
      <c r="V313" s="2"/>
      <c r="W313" s="2"/>
      <c r="X313" s="2"/>
      <c r="Y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K314" s="2"/>
      <c r="L314" s="2"/>
      <c r="Q314" s="2"/>
      <c r="T314" s="2"/>
      <c r="U314" s="2"/>
      <c r="V314" s="2"/>
      <c r="W314" s="2"/>
      <c r="X314" s="2"/>
      <c r="Y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K315" s="2"/>
      <c r="L315" s="2"/>
      <c r="Q315" s="2"/>
      <c r="T315" s="2"/>
      <c r="U315" s="2"/>
      <c r="V315" s="2"/>
      <c r="W315" s="2"/>
      <c r="X315" s="2"/>
      <c r="Y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K316" s="2"/>
      <c r="L316" s="2"/>
      <c r="Q316" s="2"/>
      <c r="T316" s="2"/>
      <c r="U316" s="2"/>
      <c r="V316" s="2"/>
      <c r="W316" s="2"/>
      <c r="X316" s="2"/>
      <c r="Y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K317" s="2"/>
      <c r="L317" s="2"/>
      <c r="Q317" s="2"/>
      <c r="T317" s="2"/>
      <c r="U317" s="2"/>
      <c r="V317" s="2"/>
      <c r="W317" s="2"/>
      <c r="X317" s="2"/>
      <c r="Y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K318" s="2"/>
      <c r="L318" s="2"/>
      <c r="Q318" s="2"/>
      <c r="T318" s="2"/>
      <c r="U318" s="2"/>
      <c r="V318" s="2"/>
      <c r="W318" s="2"/>
      <c r="X318" s="2"/>
      <c r="Y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K319" s="2"/>
      <c r="L319" s="2"/>
      <c r="Q319" s="2"/>
      <c r="T319" s="2"/>
      <c r="U319" s="2"/>
      <c r="V319" s="2"/>
      <c r="W319" s="2"/>
      <c r="X319" s="2"/>
      <c r="Y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K320" s="2"/>
      <c r="L320" s="2"/>
      <c r="Q320" s="2"/>
      <c r="T320" s="2"/>
      <c r="U320" s="2"/>
      <c r="V320" s="2"/>
      <c r="W320" s="2"/>
      <c r="X320" s="2"/>
      <c r="Y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K321" s="2"/>
      <c r="L321" s="2"/>
      <c r="Q321" s="2"/>
      <c r="T321" s="2"/>
      <c r="U321" s="2"/>
      <c r="V321" s="2"/>
      <c r="W321" s="2"/>
      <c r="X321" s="2"/>
      <c r="Y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K322" s="2"/>
      <c r="L322" s="2"/>
      <c r="Q322" s="2"/>
      <c r="T322" s="2"/>
      <c r="U322" s="2"/>
      <c r="V322" s="2"/>
      <c r="W322" s="2"/>
      <c r="X322" s="2"/>
      <c r="Y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K323" s="2"/>
      <c r="L323" s="2"/>
      <c r="Q323" s="2"/>
      <c r="T323" s="2"/>
      <c r="U323" s="2"/>
      <c r="V323" s="2"/>
      <c r="W323" s="2"/>
      <c r="X323" s="2"/>
      <c r="Y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K324" s="2"/>
      <c r="L324" s="2"/>
      <c r="Q324" s="2"/>
      <c r="T324" s="2"/>
      <c r="U324" s="2"/>
      <c r="V324" s="2"/>
      <c r="W324" s="2"/>
      <c r="X324" s="2"/>
      <c r="Y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K325" s="2"/>
      <c r="L325" s="2"/>
      <c r="Q325" s="2"/>
      <c r="T325" s="2"/>
      <c r="U325" s="2"/>
      <c r="V325" s="2"/>
      <c r="W325" s="2"/>
      <c r="X325" s="2"/>
      <c r="Y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K326" s="2"/>
      <c r="L326" s="2"/>
      <c r="Q326" s="2"/>
      <c r="T326" s="2"/>
      <c r="U326" s="2"/>
      <c r="V326" s="2"/>
      <c r="W326" s="2"/>
      <c r="X326" s="2"/>
      <c r="Y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K327" s="2"/>
      <c r="L327" s="2"/>
      <c r="Q327" s="2"/>
      <c r="T327" s="2"/>
      <c r="U327" s="2"/>
      <c r="V327" s="2"/>
      <c r="W327" s="2"/>
      <c r="X327" s="2"/>
      <c r="Y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K328" s="2"/>
      <c r="L328" s="2"/>
      <c r="Q328" s="2"/>
      <c r="T328" s="2"/>
      <c r="U328" s="2"/>
      <c r="V328" s="2"/>
      <c r="W328" s="2"/>
      <c r="X328" s="2"/>
      <c r="Y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K329" s="2"/>
      <c r="L329" s="2"/>
      <c r="Q329" s="2"/>
      <c r="T329" s="2"/>
      <c r="U329" s="2"/>
      <c r="V329" s="2"/>
      <c r="W329" s="2"/>
      <c r="X329" s="2"/>
      <c r="Y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K330" s="2"/>
      <c r="L330" s="2"/>
      <c r="Q330" s="2"/>
      <c r="T330" s="2"/>
      <c r="U330" s="2"/>
      <c r="V330" s="2"/>
      <c r="W330" s="2"/>
      <c r="X330" s="2"/>
      <c r="Y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K331" s="2"/>
      <c r="L331" s="2"/>
      <c r="Q331" s="2"/>
      <c r="T331" s="2"/>
      <c r="U331" s="2"/>
      <c r="V331" s="2"/>
      <c r="W331" s="2"/>
      <c r="X331" s="2"/>
      <c r="Y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K332" s="2"/>
      <c r="L332" s="2"/>
      <c r="Q332" s="2"/>
      <c r="T332" s="2"/>
      <c r="U332" s="2"/>
      <c r="V332" s="2"/>
      <c r="W332" s="2"/>
      <c r="X332" s="2"/>
      <c r="Y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K333" s="2"/>
      <c r="L333" s="2"/>
      <c r="Q333" s="2"/>
      <c r="T333" s="2"/>
      <c r="U333" s="2"/>
      <c r="V333" s="2"/>
      <c r="W333" s="2"/>
      <c r="X333" s="2"/>
      <c r="Y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K334" s="2"/>
      <c r="L334" s="2"/>
      <c r="Q334" s="2"/>
      <c r="T334" s="2"/>
      <c r="U334" s="2"/>
      <c r="V334" s="2"/>
      <c r="W334" s="2"/>
      <c r="X334" s="2"/>
      <c r="Y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K335" s="2"/>
      <c r="L335" s="2"/>
      <c r="Q335" s="2"/>
      <c r="T335" s="2"/>
      <c r="U335" s="2"/>
      <c r="V335" s="2"/>
      <c r="W335" s="2"/>
      <c r="X335" s="2"/>
      <c r="Y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K336" s="2"/>
      <c r="L336" s="2"/>
      <c r="Q336" s="2"/>
      <c r="T336" s="2"/>
      <c r="U336" s="2"/>
      <c r="V336" s="2"/>
      <c r="W336" s="2"/>
      <c r="X336" s="2"/>
      <c r="Y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K337" s="2"/>
      <c r="L337" s="2"/>
      <c r="Q337" s="2"/>
      <c r="T337" s="2"/>
      <c r="U337" s="2"/>
      <c r="V337" s="2"/>
      <c r="W337" s="2"/>
      <c r="X337" s="2"/>
      <c r="Y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K338" s="2"/>
      <c r="L338" s="2"/>
      <c r="Q338" s="2"/>
      <c r="T338" s="2"/>
      <c r="U338" s="2"/>
      <c r="V338" s="2"/>
      <c r="W338" s="2"/>
      <c r="X338" s="2"/>
      <c r="Y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K339" s="2"/>
      <c r="L339" s="2"/>
      <c r="Q339" s="2"/>
      <c r="T339" s="2"/>
      <c r="U339" s="2"/>
      <c r="V339" s="2"/>
      <c r="W339" s="2"/>
      <c r="X339" s="2"/>
      <c r="Y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K340" s="2"/>
      <c r="L340" s="2"/>
      <c r="Q340" s="2"/>
      <c r="T340" s="2"/>
      <c r="U340" s="2"/>
      <c r="V340" s="2"/>
      <c r="W340" s="2"/>
      <c r="X340" s="2"/>
      <c r="Y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K341" s="2"/>
      <c r="L341" s="2"/>
      <c r="Q341" s="2"/>
      <c r="T341" s="2"/>
      <c r="U341" s="2"/>
      <c r="V341" s="2"/>
      <c r="W341" s="2"/>
      <c r="X341" s="2"/>
      <c r="Y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K342" s="2"/>
      <c r="L342" s="2"/>
      <c r="Q342" s="2"/>
      <c r="T342" s="2"/>
      <c r="U342" s="2"/>
      <c r="V342" s="2"/>
      <c r="W342" s="2"/>
      <c r="X342" s="2"/>
      <c r="Y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K343" s="2"/>
      <c r="L343" s="2"/>
      <c r="Q343" s="2"/>
      <c r="T343" s="2"/>
      <c r="U343" s="2"/>
      <c r="V343" s="2"/>
      <c r="W343" s="2"/>
      <c r="X343" s="2"/>
      <c r="Y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K344" s="2"/>
      <c r="L344" s="2"/>
      <c r="Q344" s="2"/>
      <c r="T344" s="2"/>
      <c r="U344" s="2"/>
      <c r="V344" s="2"/>
      <c r="W344" s="2"/>
      <c r="X344" s="2"/>
      <c r="Y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K345" s="2"/>
      <c r="L345" s="2"/>
      <c r="Q345" s="2"/>
      <c r="T345" s="2"/>
      <c r="U345" s="2"/>
      <c r="V345" s="2"/>
      <c r="W345" s="2"/>
      <c r="X345" s="2"/>
      <c r="Y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K346" s="2"/>
      <c r="L346" s="2"/>
      <c r="Q346" s="2"/>
      <c r="T346" s="2"/>
      <c r="U346" s="2"/>
      <c r="V346" s="2"/>
      <c r="W346" s="2"/>
      <c r="X346" s="2"/>
      <c r="Y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K347" s="2"/>
      <c r="L347" s="2"/>
      <c r="Q347" s="2"/>
      <c r="T347" s="2"/>
      <c r="U347" s="2"/>
      <c r="V347" s="2"/>
      <c r="W347" s="2"/>
      <c r="X347" s="2"/>
      <c r="Y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K348" s="2"/>
      <c r="L348" s="2"/>
      <c r="Q348" s="2"/>
      <c r="T348" s="2"/>
      <c r="U348" s="2"/>
      <c r="V348" s="2"/>
      <c r="W348" s="2"/>
      <c r="X348" s="2"/>
      <c r="Y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K349" s="2"/>
      <c r="L349" s="2"/>
      <c r="Q349" s="2"/>
      <c r="T349" s="2"/>
      <c r="U349" s="2"/>
      <c r="V349" s="2"/>
      <c r="W349" s="2"/>
      <c r="X349" s="2"/>
      <c r="Y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K350" s="2"/>
      <c r="L350" s="2"/>
      <c r="Q350" s="2"/>
      <c r="T350" s="2"/>
      <c r="U350" s="2"/>
      <c r="V350" s="2"/>
      <c r="W350" s="2"/>
      <c r="X350" s="2"/>
      <c r="Y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K351" s="2"/>
      <c r="L351" s="2"/>
      <c r="Q351" s="2"/>
      <c r="T351" s="2"/>
      <c r="U351" s="2"/>
      <c r="V351" s="2"/>
      <c r="W351" s="2"/>
      <c r="X351" s="2"/>
      <c r="Y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K352" s="2"/>
      <c r="L352" s="2"/>
      <c r="Q352" s="2"/>
      <c r="T352" s="2"/>
      <c r="U352" s="2"/>
      <c r="V352" s="2"/>
      <c r="W352" s="2"/>
      <c r="X352" s="2"/>
      <c r="Y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K353" s="2"/>
      <c r="L353" s="2"/>
      <c r="Q353" s="2"/>
      <c r="T353" s="2"/>
      <c r="U353" s="2"/>
      <c r="V353" s="2"/>
      <c r="W353" s="2"/>
      <c r="X353" s="2"/>
      <c r="Y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K354" s="2"/>
      <c r="L354" s="2"/>
      <c r="Q354" s="2"/>
      <c r="T354" s="2"/>
      <c r="U354" s="2"/>
      <c r="V354" s="2"/>
      <c r="W354" s="2"/>
      <c r="X354" s="2"/>
      <c r="Y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K355" s="2"/>
      <c r="L355" s="2"/>
      <c r="Q355" s="2"/>
      <c r="T355" s="2"/>
      <c r="U355" s="2"/>
      <c r="V355" s="2"/>
      <c r="W355" s="2"/>
      <c r="X355" s="2"/>
      <c r="Y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K356" s="2"/>
      <c r="L356" s="2"/>
      <c r="Q356" s="2"/>
      <c r="T356" s="2"/>
      <c r="U356" s="2"/>
      <c r="V356" s="2"/>
      <c r="W356" s="2"/>
      <c r="X356" s="2"/>
      <c r="Y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K357" s="2"/>
      <c r="L357" s="2"/>
      <c r="Q357" s="2"/>
      <c r="T357" s="2"/>
      <c r="U357" s="2"/>
      <c r="V357" s="2"/>
      <c r="W357" s="2"/>
      <c r="X357" s="2"/>
      <c r="Y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K358" s="2"/>
      <c r="L358" s="2"/>
      <c r="Q358" s="2"/>
      <c r="T358" s="2"/>
      <c r="U358" s="2"/>
      <c r="V358" s="2"/>
      <c r="W358" s="2"/>
      <c r="X358" s="2"/>
      <c r="Y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K359" s="2"/>
      <c r="L359" s="2"/>
      <c r="Q359" s="2"/>
      <c r="T359" s="2"/>
      <c r="U359" s="2"/>
      <c r="V359" s="2"/>
      <c r="W359" s="2"/>
      <c r="X359" s="2"/>
      <c r="Y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K360" s="2"/>
      <c r="L360" s="2"/>
      <c r="Q360" s="2"/>
      <c r="T360" s="2"/>
      <c r="U360" s="2"/>
      <c r="V360" s="2"/>
      <c r="W360" s="2"/>
      <c r="X360" s="2"/>
      <c r="Y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K361" s="2"/>
      <c r="L361" s="2"/>
      <c r="Q361" s="2"/>
      <c r="T361" s="2"/>
      <c r="U361" s="2"/>
      <c r="V361" s="2"/>
      <c r="W361" s="2"/>
      <c r="X361" s="2"/>
      <c r="Y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K362" s="2"/>
      <c r="L362" s="2"/>
      <c r="Q362" s="2"/>
      <c r="T362" s="2"/>
      <c r="U362" s="2"/>
      <c r="V362" s="2"/>
      <c r="W362" s="2"/>
      <c r="X362" s="2"/>
      <c r="Y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K363" s="2"/>
      <c r="L363" s="2"/>
      <c r="Q363" s="2"/>
      <c r="T363" s="2"/>
      <c r="U363" s="2"/>
      <c r="V363" s="2"/>
      <c r="W363" s="2"/>
      <c r="X363" s="2"/>
      <c r="Y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K364" s="2"/>
      <c r="L364" s="2"/>
      <c r="Q364" s="2"/>
      <c r="T364" s="2"/>
      <c r="U364" s="2"/>
      <c r="V364" s="2"/>
      <c r="W364" s="2"/>
      <c r="X364" s="2"/>
      <c r="Y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K365" s="2"/>
      <c r="L365" s="2"/>
      <c r="Q365" s="2"/>
      <c r="T365" s="2"/>
      <c r="U365" s="2"/>
      <c r="V365" s="2"/>
      <c r="W365" s="2"/>
      <c r="X365" s="2"/>
      <c r="Y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K366" s="2"/>
      <c r="L366" s="2"/>
      <c r="Q366" s="2"/>
      <c r="T366" s="2"/>
      <c r="U366" s="2"/>
      <c r="V366" s="2"/>
      <c r="W366" s="2"/>
      <c r="X366" s="2"/>
      <c r="Y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K367" s="2"/>
      <c r="L367" s="2"/>
      <c r="Q367" s="2"/>
      <c r="T367" s="2"/>
      <c r="U367" s="2"/>
      <c r="V367" s="2"/>
      <c r="W367" s="2"/>
      <c r="X367" s="2"/>
      <c r="Y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K368" s="2"/>
      <c r="L368" s="2"/>
      <c r="Q368" s="2"/>
      <c r="T368" s="2"/>
      <c r="U368" s="2"/>
      <c r="V368" s="2"/>
      <c r="W368" s="2"/>
      <c r="X368" s="2"/>
      <c r="Y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K369" s="2"/>
      <c r="L369" s="2"/>
      <c r="Q369" s="2"/>
      <c r="T369" s="2"/>
      <c r="U369" s="2"/>
      <c r="V369" s="2"/>
      <c r="W369" s="2"/>
      <c r="X369" s="2"/>
      <c r="Y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K370" s="2"/>
      <c r="L370" s="2"/>
      <c r="Q370" s="2"/>
      <c r="T370" s="2"/>
      <c r="U370" s="2"/>
      <c r="V370" s="2"/>
      <c r="W370" s="2"/>
      <c r="X370" s="2"/>
      <c r="Y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K371" s="2"/>
      <c r="L371" s="2"/>
      <c r="Q371" s="2"/>
      <c r="T371" s="2"/>
      <c r="U371" s="2"/>
      <c r="V371" s="2"/>
      <c r="W371" s="2"/>
      <c r="X371" s="2"/>
      <c r="Y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K372" s="2"/>
      <c r="L372" s="2"/>
      <c r="Q372" s="2"/>
      <c r="T372" s="2"/>
      <c r="U372" s="2"/>
      <c r="V372" s="2"/>
      <c r="W372" s="2"/>
      <c r="X372" s="2"/>
      <c r="Y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K373" s="2"/>
      <c r="L373" s="2"/>
      <c r="Q373" s="2"/>
      <c r="T373" s="2"/>
      <c r="U373" s="2"/>
      <c r="V373" s="2"/>
      <c r="W373" s="2"/>
      <c r="X373" s="2"/>
      <c r="Y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K374" s="2"/>
      <c r="L374" s="2"/>
      <c r="Q374" s="2"/>
      <c r="T374" s="2"/>
      <c r="U374" s="2"/>
      <c r="V374" s="2"/>
      <c r="W374" s="2"/>
      <c r="X374" s="2"/>
      <c r="Y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K375" s="2"/>
      <c r="L375" s="2"/>
      <c r="Q375" s="2"/>
      <c r="T375" s="2"/>
      <c r="U375" s="2"/>
      <c r="V375" s="2"/>
      <c r="W375" s="2"/>
      <c r="X375" s="2"/>
      <c r="Y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K376" s="2"/>
      <c r="L376" s="2"/>
      <c r="Q376" s="2"/>
      <c r="T376" s="2"/>
      <c r="U376" s="2"/>
      <c r="V376" s="2"/>
      <c r="W376" s="2"/>
      <c r="X376" s="2"/>
      <c r="Y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K377" s="2"/>
      <c r="L377" s="2"/>
      <c r="Q377" s="2"/>
      <c r="T377" s="2"/>
      <c r="U377" s="2"/>
      <c r="V377" s="2"/>
      <c r="W377" s="2"/>
      <c r="X377" s="2"/>
      <c r="Y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K378" s="2"/>
      <c r="L378" s="2"/>
      <c r="Q378" s="2"/>
      <c r="T378" s="2"/>
      <c r="U378" s="2"/>
      <c r="V378" s="2"/>
      <c r="W378" s="2"/>
      <c r="X378" s="2"/>
      <c r="Y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K379" s="2"/>
      <c r="L379" s="2"/>
      <c r="Q379" s="2"/>
      <c r="T379" s="2"/>
      <c r="U379" s="2"/>
      <c r="V379" s="2"/>
      <c r="W379" s="2"/>
      <c r="X379" s="2"/>
      <c r="Y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K380" s="2"/>
      <c r="L380" s="2"/>
      <c r="Q380" s="2"/>
      <c r="T380" s="2"/>
      <c r="U380" s="2"/>
      <c r="V380" s="2"/>
      <c r="W380" s="2"/>
      <c r="X380" s="2"/>
      <c r="Y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K381" s="2"/>
      <c r="L381" s="2"/>
      <c r="Q381" s="2"/>
      <c r="T381" s="2"/>
      <c r="U381" s="2"/>
      <c r="V381" s="2"/>
      <c r="W381" s="2"/>
      <c r="X381" s="2"/>
      <c r="Y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K382" s="2"/>
      <c r="L382" s="2"/>
      <c r="Q382" s="2"/>
      <c r="T382" s="2"/>
      <c r="U382" s="2"/>
      <c r="V382" s="2"/>
      <c r="W382" s="2"/>
      <c r="X382" s="2"/>
      <c r="Y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K383" s="2"/>
      <c r="L383" s="2"/>
      <c r="Q383" s="2"/>
      <c r="T383" s="2"/>
      <c r="U383" s="2"/>
      <c r="V383" s="2"/>
      <c r="W383" s="2"/>
      <c r="X383" s="2"/>
      <c r="Y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K384" s="2"/>
      <c r="L384" s="2"/>
      <c r="Q384" s="2"/>
      <c r="T384" s="2"/>
      <c r="U384" s="2"/>
      <c r="V384" s="2"/>
      <c r="W384" s="2"/>
      <c r="X384" s="2"/>
      <c r="Y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K385" s="2"/>
      <c r="L385" s="2"/>
      <c r="Q385" s="2"/>
      <c r="T385" s="2"/>
      <c r="U385" s="2"/>
      <c r="V385" s="2"/>
      <c r="W385" s="2"/>
      <c r="X385" s="2"/>
      <c r="Y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K386" s="2"/>
      <c r="L386" s="2"/>
      <c r="Q386" s="2"/>
      <c r="T386" s="2"/>
      <c r="U386" s="2"/>
      <c r="V386" s="2"/>
      <c r="W386" s="2"/>
      <c r="X386" s="2"/>
      <c r="Y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K387" s="2"/>
      <c r="L387" s="2"/>
      <c r="Q387" s="2"/>
      <c r="T387" s="2"/>
      <c r="U387" s="2"/>
      <c r="V387" s="2"/>
      <c r="W387" s="2"/>
      <c r="X387" s="2"/>
      <c r="Y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K388" s="2"/>
      <c r="L388" s="2"/>
      <c r="Q388" s="2"/>
      <c r="T388" s="2"/>
      <c r="U388" s="2"/>
      <c r="V388" s="2"/>
      <c r="W388" s="2"/>
      <c r="X388" s="2"/>
      <c r="Y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K389" s="2"/>
      <c r="L389" s="2"/>
      <c r="Q389" s="2"/>
      <c r="T389" s="2"/>
      <c r="U389" s="2"/>
      <c r="V389" s="2"/>
      <c r="W389" s="2"/>
      <c r="X389" s="2"/>
      <c r="Y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K390" s="2"/>
      <c r="L390" s="2"/>
      <c r="Q390" s="2"/>
      <c r="T390" s="2"/>
      <c r="U390" s="2"/>
      <c r="V390" s="2"/>
      <c r="W390" s="2"/>
      <c r="X390" s="2"/>
      <c r="Y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K391" s="2"/>
      <c r="L391" s="2"/>
      <c r="Q391" s="2"/>
      <c r="T391" s="2"/>
      <c r="U391" s="2"/>
      <c r="V391" s="2"/>
      <c r="W391" s="2"/>
      <c r="X391" s="2"/>
      <c r="Y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K392" s="2"/>
      <c r="L392" s="2"/>
      <c r="Q392" s="2"/>
      <c r="T392" s="2"/>
      <c r="U392" s="2"/>
      <c r="V392" s="2"/>
      <c r="W392" s="2"/>
      <c r="X392" s="2"/>
      <c r="Y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K393" s="2"/>
      <c r="L393" s="2"/>
      <c r="Q393" s="2"/>
      <c r="T393" s="2"/>
      <c r="U393" s="2"/>
      <c r="V393" s="2"/>
      <c r="W393" s="2"/>
      <c r="X393" s="2"/>
      <c r="Y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K394" s="2"/>
      <c r="L394" s="2"/>
      <c r="Q394" s="2"/>
      <c r="T394" s="2"/>
      <c r="U394" s="2"/>
      <c r="V394" s="2"/>
      <c r="W394" s="2"/>
      <c r="X394" s="2"/>
      <c r="Y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K395" s="2"/>
      <c r="L395" s="2"/>
      <c r="Q395" s="2"/>
      <c r="T395" s="2"/>
      <c r="U395" s="2"/>
      <c r="V395" s="2"/>
      <c r="W395" s="2"/>
      <c r="X395" s="2"/>
      <c r="Y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K396" s="2"/>
      <c r="L396" s="2"/>
      <c r="Q396" s="2"/>
      <c r="T396" s="2"/>
      <c r="U396" s="2"/>
      <c r="V396" s="2"/>
      <c r="W396" s="2"/>
      <c r="X396" s="2"/>
      <c r="Y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K397" s="2"/>
      <c r="L397" s="2"/>
      <c r="Q397" s="2"/>
      <c r="T397" s="2"/>
      <c r="U397" s="2"/>
      <c r="V397" s="2"/>
      <c r="W397" s="2"/>
      <c r="X397" s="2"/>
      <c r="Y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K398" s="2"/>
      <c r="L398" s="2"/>
      <c r="Q398" s="2"/>
      <c r="T398" s="2"/>
      <c r="U398" s="2"/>
      <c r="V398" s="2"/>
      <c r="W398" s="2"/>
      <c r="X398" s="2"/>
      <c r="Y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K399" s="2"/>
      <c r="L399" s="2"/>
      <c r="Q399" s="2"/>
      <c r="T399" s="2"/>
      <c r="U399" s="2"/>
      <c r="V399" s="2"/>
      <c r="W399" s="2"/>
      <c r="X399" s="2"/>
      <c r="Y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K400" s="2"/>
      <c r="L400" s="2"/>
      <c r="Q400" s="2"/>
      <c r="T400" s="2"/>
      <c r="U400" s="2"/>
      <c r="V400" s="2"/>
      <c r="W400" s="2"/>
      <c r="X400" s="2"/>
      <c r="Y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K401" s="2"/>
      <c r="L401" s="2"/>
      <c r="Q401" s="2"/>
      <c r="T401" s="2"/>
      <c r="U401" s="2"/>
      <c r="V401" s="2"/>
      <c r="W401" s="2"/>
      <c r="X401" s="2"/>
      <c r="Y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K402" s="2"/>
      <c r="L402" s="2"/>
      <c r="Q402" s="2"/>
      <c r="T402" s="2"/>
      <c r="U402" s="2"/>
      <c r="V402" s="2"/>
      <c r="W402" s="2"/>
      <c r="X402" s="2"/>
      <c r="Y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K403" s="2"/>
      <c r="L403" s="2"/>
      <c r="Q403" s="2"/>
      <c r="T403" s="2"/>
      <c r="U403" s="2"/>
      <c r="V403" s="2"/>
      <c r="W403" s="2"/>
      <c r="X403" s="2"/>
      <c r="Y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K404" s="2"/>
      <c r="L404" s="2"/>
      <c r="Q404" s="2"/>
      <c r="T404" s="2"/>
      <c r="U404" s="2"/>
      <c r="V404" s="2"/>
      <c r="W404" s="2"/>
      <c r="X404" s="2"/>
      <c r="Y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K405" s="2"/>
      <c r="L405" s="2"/>
      <c r="Q405" s="2"/>
      <c r="T405" s="2"/>
      <c r="U405" s="2"/>
      <c r="V405" s="2"/>
      <c r="W405" s="2"/>
      <c r="X405" s="2"/>
      <c r="Y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K406" s="2"/>
      <c r="L406" s="2"/>
      <c r="Q406" s="2"/>
      <c r="T406" s="2"/>
      <c r="U406" s="2"/>
      <c r="V406" s="2"/>
      <c r="W406" s="2"/>
      <c r="X406" s="2"/>
      <c r="Y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K407" s="2"/>
      <c r="L407" s="2"/>
      <c r="Q407" s="2"/>
      <c r="T407" s="2"/>
      <c r="U407" s="2"/>
      <c r="V407" s="2"/>
      <c r="W407" s="2"/>
      <c r="X407" s="2"/>
      <c r="Y407" s="2"/>
      <c r="AD407" s="2"/>
      <c r="AE407" s="2"/>
      <c r="AF407" s="2"/>
      <c r="AG407" s="2"/>
      <c r="AH407" s="2"/>
      <c r="AI407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BB167"/>
  <sheetViews>
    <sheetView zoomScaleNormal="100" workbookViewId="0">
      <selection activeCell="D1" sqref="D1"/>
    </sheetView>
  </sheetViews>
  <sheetFormatPr defaultRowHeight="15"/>
  <cols>
    <col min="1" max="2" width="9.140625" style="271"/>
    <col min="3" max="3" width="30.140625" style="271" bestFit="1" customWidth="1"/>
    <col min="4" max="258" width="9.140625" style="271"/>
    <col min="259" max="259" width="30.140625" style="271" bestFit="1" customWidth="1"/>
    <col min="260" max="514" width="9.140625" style="271"/>
    <col min="515" max="515" width="30.140625" style="271" bestFit="1" customWidth="1"/>
    <col min="516" max="770" width="9.140625" style="271"/>
    <col min="771" max="771" width="30.140625" style="271" bestFit="1" customWidth="1"/>
    <col min="772" max="1026" width="9.140625" style="271"/>
    <col min="1027" max="1027" width="30.140625" style="271" bestFit="1" customWidth="1"/>
    <col min="1028" max="1282" width="9.140625" style="271"/>
    <col min="1283" max="1283" width="30.140625" style="271" bestFit="1" customWidth="1"/>
    <col min="1284" max="1538" width="9.140625" style="271"/>
    <col min="1539" max="1539" width="30.140625" style="271" bestFit="1" customWidth="1"/>
    <col min="1540" max="1794" width="9.140625" style="271"/>
    <col min="1795" max="1795" width="30.140625" style="271" bestFit="1" customWidth="1"/>
    <col min="1796" max="2050" width="9.140625" style="271"/>
    <col min="2051" max="2051" width="30.140625" style="271" bestFit="1" customWidth="1"/>
    <col min="2052" max="2306" width="9.140625" style="271"/>
    <col min="2307" max="2307" width="30.140625" style="271" bestFit="1" customWidth="1"/>
    <col min="2308" max="2562" width="9.140625" style="271"/>
    <col min="2563" max="2563" width="30.140625" style="271" bestFit="1" customWidth="1"/>
    <col min="2564" max="2818" width="9.140625" style="271"/>
    <col min="2819" max="2819" width="30.140625" style="271" bestFit="1" customWidth="1"/>
    <col min="2820" max="3074" width="9.140625" style="271"/>
    <col min="3075" max="3075" width="30.140625" style="271" bestFit="1" customWidth="1"/>
    <col min="3076" max="3330" width="9.140625" style="271"/>
    <col min="3331" max="3331" width="30.140625" style="271" bestFit="1" customWidth="1"/>
    <col min="3332" max="3586" width="9.140625" style="271"/>
    <col min="3587" max="3587" width="30.140625" style="271" bestFit="1" customWidth="1"/>
    <col min="3588" max="3842" width="9.140625" style="271"/>
    <col min="3843" max="3843" width="30.140625" style="271" bestFit="1" customWidth="1"/>
    <col min="3844" max="4098" width="9.140625" style="271"/>
    <col min="4099" max="4099" width="30.140625" style="271" bestFit="1" customWidth="1"/>
    <col min="4100" max="4354" width="9.140625" style="271"/>
    <col min="4355" max="4355" width="30.140625" style="271" bestFit="1" customWidth="1"/>
    <col min="4356" max="4610" width="9.140625" style="271"/>
    <col min="4611" max="4611" width="30.140625" style="271" bestFit="1" customWidth="1"/>
    <col min="4612" max="4866" width="9.140625" style="271"/>
    <col min="4867" max="4867" width="30.140625" style="271" bestFit="1" customWidth="1"/>
    <col min="4868" max="5122" width="9.140625" style="271"/>
    <col min="5123" max="5123" width="30.140625" style="271" bestFit="1" customWidth="1"/>
    <col min="5124" max="5378" width="9.140625" style="271"/>
    <col min="5379" max="5379" width="30.140625" style="271" bestFit="1" customWidth="1"/>
    <col min="5380" max="5634" width="9.140625" style="271"/>
    <col min="5635" max="5635" width="30.140625" style="271" bestFit="1" customWidth="1"/>
    <col min="5636" max="5890" width="9.140625" style="271"/>
    <col min="5891" max="5891" width="30.140625" style="271" bestFit="1" customWidth="1"/>
    <col min="5892" max="6146" width="9.140625" style="271"/>
    <col min="6147" max="6147" width="30.140625" style="271" bestFit="1" customWidth="1"/>
    <col min="6148" max="6402" width="9.140625" style="271"/>
    <col min="6403" max="6403" width="30.140625" style="271" bestFit="1" customWidth="1"/>
    <col min="6404" max="6658" width="9.140625" style="271"/>
    <col min="6659" max="6659" width="30.140625" style="271" bestFit="1" customWidth="1"/>
    <col min="6660" max="6914" width="9.140625" style="271"/>
    <col min="6915" max="6915" width="30.140625" style="271" bestFit="1" customWidth="1"/>
    <col min="6916" max="7170" width="9.140625" style="271"/>
    <col min="7171" max="7171" width="30.140625" style="271" bestFit="1" customWidth="1"/>
    <col min="7172" max="7426" width="9.140625" style="271"/>
    <col min="7427" max="7427" width="30.140625" style="271" bestFit="1" customWidth="1"/>
    <col min="7428" max="7682" width="9.140625" style="271"/>
    <col min="7683" max="7683" width="30.140625" style="271" bestFit="1" customWidth="1"/>
    <col min="7684" max="7938" width="9.140625" style="271"/>
    <col min="7939" max="7939" width="30.140625" style="271" bestFit="1" customWidth="1"/>
    <col min="7940" max="8194" width="9.140625" style="271"/>
    <col min="8195" max="8195" width="30.140625" style="271" bestFit="1" customWidth="1"/>
    <col min="8196" max="8450" width="9.140625" style="271"/>
    <col min="8451" max="8451" width="30.140625" style="271" bestFit="1" customWidth="1"/>
    <col min="8452" max="8706" width="9.140625" style="271"/>
    <col min="8707" max="8707" width="30.140625" style="271" bestFit="1" customWidth="1"/>
    <col min="8708" max="8962" width="9.140625" style="271"/>
    <col min="8963" max="8963" width="30.140625" style="271" bestFit="1" customWidth="1"/>
    <col min="8964" max="9218" width="9.140625" style="271"/>
    <col min="9219" max="9219" width="30.140625" style="271" bestFit="1" customWidth="1"/>
    <col min="9220" max="9474" width="9.140625" style="271"/>
    <col min="9475" max="9475" width="30.140625" style="271" bestFit="1" customWidth="1"/>
    <col min="9476" max="9730" width="9.140625" style="271"/>
    <col min="9731" max="9731" width="30.140625" style="271" bestFit="1" customWidth="1"/>
    <col min="9732" max="9986" width="9.140625" style="271"/>
    <col min="9987" max="9987" width="30.140625" style="271" bestFit="1" customWidth="1"/>
    <col min="9988" max="10242" width="9.140625" style="271"/>
    <col min="10243" max="10243" width="30.140625" style="271" bestFit="1" customWidth="1"/>
    <col min="10244" max="10498" width="9.140625" style="271"/>
    <col min="10499" max="10499" width="30.140625" style="271" bestFit="1" customWidth="1"/>
    <col min="10500" max="10754" width="9.140625" style="271"/>
    <col min="10755" max="10755" width="30.140625" style="271" bestFit="1" customWidth="1"/>
    <col min="10756" max="11010" width="9.140625" style="271"/>
    <col min="11011" max="11011" width="30.140625" style="271" bestFit="1" customWidth="1"/>
    <col min="11012" max="11266" width="9.140625" style="271"/>
    <col min="11267" max="11267" width="30.140625" style="271" bestFit="1" customWidth="1"/>
    <col min="11268" max="11522" width="9.140625" style="271"/>
    <col min="11523" max="11523" width="30.140625" style="271" bestFit="1" customWidth="1"/>
    <col min="11524" max="11778" width="9.140625" style="271"/>
    <col min="11779" max="11779" width="30.140625" style="271" bestFit="1" customWidth="1"/>
    <col min="11780" max="12034" width="9.140625" style="271"/>
    <col min="12035" max="12035" width="30.140625" style="271" bestFit="1" customWidth="1"/>
    <col min="12036" max="12290" width="9.140625" style="271"/>
    <col min="12291" max="12291" width="30.140625" style="271" bestFit="1" customWidth="1"/>
    <col min="12292" max="12546" width="9.140625" style="271"/>
    <col min="12547" max="12547" width="30.140625" style="271" bestFit="1" customWidth="1"/>
    <col min="12548" max="12802" width="9.140625" style="271"/>
    <col min="12803" max="12803" width="30.140625" style="271" bestFit="1" customWidth="1"/>
    <col min="12804" max="13058" width="9.140625" style="271"/>
    <col min="13059" max="13059" width="30.140625" style="271" bestFit="1" customWidth="1"/>
    <col min="13060" max="13314" width="9.140625" style="271"/>
    <col min="13315" max="13315" width="30.140625" style="271" bestFit="1" customWidth="1"/>
    <col min="13316" max="13570" width="9.140625" style="271"/>
    <col min="13571" max="13571" width="30.140625" style="271" bestFit="1" customWidth="1"/>
    <col min="13572" max="13826" width="9.140625" style="271"/>
    <col min="13827" max="13827" width="30.140625" style="271" bestFit="1" customWidth="1"/>
    <col min="13828" max="14082" width="9.140625" style="271"/>
    <col min="14083" max="14083" width="30.140625" style="271" bestFit="1" customWidth="1"/>
    <col min="14084" max="14338" width="9.140625" style="271"/>
    <col min="14339" max="14339" width="30.140625" style="271" bestFit="1" customWidth="1"/>
    <col min="14340" max="14594" width="9.140625" style="271"/>
    <col min="14595" max="14595" width="30.140625" style="271" bestFit="1" customWidth="1"/>
    <col min="14596" max="14850" width="9.140625" style="271"/>
    <col min="14851" max="14851" width="30.140625" style="271" bestFit="1" customWidth="1"/>
    <col min="14852" max="15106" width="9.140625" style="271"/>
    <col min="15107" max="15107" width="30.140625" style="271" bestFit="1" customWidth="1"/>
    <col min="15108" max="15362" width="9.140625" style="271"/>
    <col min="15363" max="15363" width="30.140625" style="271" bestFit="1" customWidth="1"/>
    <col min="15364" max="15618" width="9.140625" style="271"/>
    <col min="15619" max="15619" width="30.140625" style="271" bestFit="1" customWidth="1"/>
    <col min="15620" max="15874" width="9.140625" style="271"/>
    <col min="15875" max="15875" width="30.140625" style="271" bestFit="1" customWidth="1"/>
    <col min="15876" max="16130" width="9.140625" style="271"/>
    <col min="16131" max="16131" width="30.140625" style="271" bestFit="1" customWidth="1"/>
    <col min="16132" max="16384" width="9.140625" style="271"/>
  </cols>
  <sheetData>
    <row r="1" spans="1:54" s="295" customFormat="1">
      <c r="A1" s="271"/>
      <c r="B1" s="266" t="s">
        <v>384</v>
      </c>
      <c r="C1" s="271"/>
      <c r="D1" s="271">
        <v>3</v>
      </c>
      <c r="E1" s="271">
        <f>D1+1</f>
        <v>4</v>
      </c>
      <c r="F1" s="432">
        <f t="shared" ref="F1:AY1" si="0">E1+1</f>
        <v>5</v>
      </c>
      <c r="G1" s="432">
        <f t="shared" si="0"/>
        <v>6</v>
      </c>
      <c r="H1" s="432">
        <f t="shared" si="0"/>
        <v>7</v>
      </c>
      <c r="I1" s="432">
        <f t="shared" si="0"/>
        <v>8</v>
      </c>
      <c r="J1" s="432">
        <f t="shared" si="0"/>
        <v>9</v>
      </c>
      <c r="K1" s="432">
        <f t="shared" si="0"/>
        <v>10</v>
      </c>
      <c r="L1" s="432">
        <f t="shared" si="0"/>
        <v>11</v>
      </c>
      <c r="M1" s="432">
        <f t="shared" si="0"/>
        <v>12</v>
      </c>
      <c r="N1" s="432">
        <f t="shared" si="0"/>
        <v>13</v>
      </c>
      <c r="O1" s="432">
        <f t="shared" si="0"/>
        <v>14</v>
      </c>
      <c r="P1" s="432">
        <f t="shared" si="0"/>
        <v>15</v>
      </c>
      <c r="Q1" s="432">
        <f t="shared" si="0"/>
        <v>16</v>
      </c>
      <c r="R1" s="432">
        <f t="shared" si="0"/>
        <v>17</v>
      </c>
      <c r="S1" s="432">
        <f t="shared" si="0"/>
        <v>18</v>
      </c>
      <c r="T1" s="432">
        <f t="shared" si="0"/>
        <v>19</v>
      </c>
      <c r="U1" s="432">
        <f t="shared" si="0"/>
        <v>20</v>
      </c>
      <c r="V1" s="432">
        <f t="shared" si="0"/>
        <v>21</v>
      </c>
      <c r="W1" s="432">
        <f t="shared" si="0"/>
        <v>22</v>
      </c>
      <c r="X1" s="432">
        <f t="shared" si="0"/>
        <v>23</v>
      </c>
      <c r="Y1" s="432">
        <f t="shared" si="0"/>
        <v>24</v>
      </c>
      <c r="Z1" s="432">
        <f t="shared" si="0"/>
        <v>25</v>
      </c>
      <c r="AA1" s="432">
        <f t="shared" si="0"/>
        <v>26</v>
      </c>
      <c r="AB1" s="432">
        <f t="shared" si="0"/>
        <v>27</v>
      </c>
      <c r="AC1" s="432">
        <f t="shared" si="0"/>
        <v>28</v>
      </c>
      <c r="AD1" s="432">
        <f t="shared" si="0"/>
        <v>29</v>
      </c>
      <c r="AE1" s="432">
        <f t="shared" si="0"/>
        <v>30</v>
      </c>
      <c r="AF1" s="432">
        <f t="shared" si="0"/>
        <v>31</v>
      </c>
      <c r="AG1" s="432">
        <f t="shared" si="0"/>
        <v>32</v>
      </c>
      <c r="AH1" s="432">
        <f t="shared" si="0"/>
        <v>33</v>
      </c>
      <c r="AI1" s="432">
        <f t="shared" si="0"/>
        <v>34</v>
      </c>
      <c r="AJ1" s="432">
        <f t="shared" si="0"/>
        <v>35</v>
      </c>
      <c r="AK1" s="432">
        <f t="shared" si="0"/>
        <v>36</v>
      </c>
      <c r="AL1" s="432">
        <f t="shared" si="0"/>
        <v>37</v>
      </c>
      <c r="AM1" s="432">
        <f t="shared" si="0"/>
        <v>38</v>
      </c>
      <c r="AN1" s="432">
        <f t="shared" si="0"/>
        <v>39</v>
      </c>
      <c r="AO1" s="432">
        <f t="shared" si="0"/>
        <v>40</v>
      </c>
      <c r="AP1" s="432">
        <f t="shared" si="0"/>
        <v>41</v>
      </c>
      <c r="AQ1" s="432">
        <f t="shared" si="0"/>
        <v>42</v>
      </c>
      <c r="AR1" s="432">
        <f t="shared" si="0"/>
        <v>43</v>
      </c>
      <c r="AS1" s="432">
        <f t="shared" si="0"/>
        <v>44</v>
      </c>
      <c r="AT1" s="432">
        <f t="shared" si="0"/>
        <v>45</v>
      </c>
      <c r="AU1" s="432">
        <f t="shared" si="0"/>
        <v>46</v>
      </c>
      <c r="AV1" s="432">
        <f t="shared" si="0"/>
        <v>47</v>
      </c>
      <c r="AW1" s="432">
        <f t="shared" si="0"/>
        <v>48</v>
      </c>
      <c r="AX1" s="432">
        <f t="shared" si="0"/>
        <v>49</v>
      </c>
      <c r="AY1" s="432">
        <f t="shared" si="0"/>
        <v>50</v>
      </c>
    </row>
    <row r="2" spans="1:54" s="295" customFormat="1">
      <c r="A2" s="270"/>
      <c r="B2" s="271"/>
      <c r="C2" s="271"/>
      <c r="D2" s="326">
        <v>42278</v>
      </c>
      <c r="E2" s="323">
        <v>42278</v>
      </c>
      <c r="F2" s="326">
        <v>42309</v>
      </c>
      <c r="G2" s="323">
        <v>42309</v>
      </c>
      <c r="H2" s="326">
        <v>42339</v>
      </c>
      <c r="I2" s="323">
        <v>42339</v>
      </c>
      <c r="J2" s="326">
        <v>42370</v>
      </c>
      <c r="K2" s="323">
        <v>42370</v>
      </c>
      <c r="L2" s="326">
        <v>42401</v>
      </c>
      <c r="M2" s="323">
        <v>42401</v>
      </c>
      <c r="N2" s="326">
        <v>42430</v>
      </c>
      <c r="O2" s="323">
        <v>42430</v>
      </c>
      <c r="P2" s="326">
        <v>42461</v>
      </c>
      <c r="Q2" s="323">
        <v>42461</v>
      </c>
      <c r="R2" s="326">
        <v>42491</v>
      </c>
      <c r="S2" s="323">
        <v>42491</v>
      </c>
      <c r="T2" s="326">
        <v>42522</v>
      </c>
      <c r="U2" s="323">
        <v>42522</v>
      </c>
      <c r="V2" s="326">
        <v>42552</v>
      </c>
      <c r="W2" s="323">
        <v>42552</v>
      </c>
      <c r="X2" s="326">
        <v>42583</v>
      </c>
      <c r="Y2" s="323">
        <v>42583</v>
      </c>
      <c r="Z2" s="326">
        <v>42614</v>
      </c>
      <c r="AA2" s="323">
        <v>42614</v>
      </c>
      <c r="AB2" s="326">
        <v>42644</v>
      </c>
      <c r="AC2" s="323">
        <v>42644</v>
      </c>
      <c r="AD2" s="326">
        <v>42675</v>
      </c>
      <c r="AE2" s="323">
        <v>42675</v>
      </c>
      <c r="AF2" s="326">
        <v>42705</v>
      </c>
      <c r="AG2" s="323">
        <v>42705</v>
      </c>
      <c r="AH2" s="326">
        <v>42736</v>
      </c>
      <c r="AI2" s="323">
        <v>42736</v>
      </c>
      <c r="AJ2" s="326">
        <v>42767</v>
      </c>
      <c r="AK2" s="323">
        <v>42767</v>
      </c>
      <c r="AL2" s="326">
        <v>42795</v>
      </c>
      <c r="AM2" s="323">
        <v>42795</v>
      </c>
      <c r="AN2" s="326">
        <v>42826</v>
      </c>
      <c r="AO2" s="323">
        <v>42826</v>
      </c>
      <c r="AP2" s="326">
        <v>42856</v>
      </c>
      <c r="AQ2" s="323">
        <v>42856</v>
      </c>
      <c r="AR2" s="326">
        <v>42887</v>
      </c>
      <c r="AS2" s="323">
        <v>42887</v>
      </c>
      <c r="AT2" s="326">
        <v>42917</v>
      </c>
      <c r="AU2" s="323">
        <v>42917</v>
      </c>
      <c r="AV2" s="326">
        <v>42948</v>
      </c>
      <c r="AW2" s="323">
        <v>42948</v>
      </c>
      <c r="AX2" s="326">
        <v>42979</v>
      </c>
      <c r="AY2" s="323">
        <v>42979</v>
      </c>
      <c r="BA2" s="361"/>
    </row>
    <row r="3" spans="1:54" s="295" customFormat="1">
      <c r="A3" s="271"/>
      <c r="B3" s="318" t="s">
        <v>2</v>
      </c>
      <c r="C3" s="318" t="s">
        <v>147</v>
      </c>
      <c r="D3" s="324" t="s">
        <v>143</v>
      </c>
      <c r="E3" s="325" t="s">
        <v>144</v>
      </c>
      <c r="F3" s="324" t="s">
        <v>143</v>
      </c>
      <c r="G3" s="325" t="s">
        <v>144</v>
      </c>
      <c r="H3" s="324" t="s">
        <v>143</v>
      </c>
      <c r="I3" s="325" t="s">
        <v>144</v>
      </c>
      <c r="J3" s="324" t="s">
        <v>143</v>
      </c>
      <c r="K3" s="325" t="s">
        <v>144</v>
      </c>
      <c r="L3" s="324" t="s">
        <v>143</v>
      </c>
      <c r="M3" s="325" t="s">
        <v>144</v>
      </c>
      <c r="N3" s="324" t="s">
        <v>143</v>
      </c>
      <c r="O3" s="325" t="s">
        <v>144</v>
      </c>
      <c r="P3" s="324" t="s">
        <v>143</v>
      </c>
      <c r="Q3" s="325" t="s">
        <v>144</v>
      </c>
      <c r="R3" s="324" t="s">
        <v>143</v>
      </c>
      <c r="S3" s="325" t="s">
        <v>144</v>
      </c>
      <c r="T3" s="324" t="s">
        <v>143</v>
      </c>
      <c r="U3" s="325" t="s">
        <v>144</v>
      </c>
      <c r="V3" s="324" t="s">
        <v>143</v>
      </c>
      <c r="W3" s="325" t="s">
        <v>144</v>
      </c>
      <c r="X3" s="324" t="s">
        <v>143</v>
      </c>
      <c r="Y3" s="325" t="s">
        <v>144</v>
      </c>
      <c r="Z3" s="324" t="s">
        <v>143</v>
      </c>
      <c r="AA3" s="325" t="s">
        <v>144</v>
      </c>
      <c r="AB3" s="324" t="s">
        <v>143</v>
      </c>
      <c r="AC3" s="325" t="s">
        <v>144</v>
      </c>
      <c r="AD3" s="324" t="s">
        <v>143</v>
      </c>
      <c r="AE3" s="325" t="s">
        <v>144</v>
      </c>
      <c r="AF3" s="324" t="s">
        <v>143</v>
      </c>
      <c r="AG3" s="325" t="s">
        <v>144</v>
      </c>
      <c r="AH3" s="324" t="s">
        <v>143</v>
      </c>
      <c r="AI3" s="325" t="s">
        <v>144</v>
      </c>
      <c r="AJ3" s="324" t="s">
        <v>143</v>
      </c>
      <c r="AK3" s="325" t="s">
        <v>144</v>
      </c>
      <c r="AL3" s="324" t="s">
        <v>143</v>
      </c>
      <c r="AM3" s="325" t="s">
        <v>144</v>
      </c>
      <c r="AN3" s="324" t="s">
        <v>143</v>
      </c>
      <c r="AO3" s="325" t="s">
        <v>144</v>
      </c>
      <c r="AP3" s="324" t="s">
        <v>143</v>
      </c>
      <c r="AQ3" s="325" t="s">
        <v>144</v>
      </c>
      <c r="AR3" s="324" t="s">
        <v>143</v>
      </c>
      <c r="AS3" s="325" t="s">
        <v>144</v>
      </c>
      <c r="AT3" s="324" t="s">
        <v>143</v>
      </c>
      <c r="AU3" s="325" t="s">
        <v>144</v>
      </c>
      <c r="AV3" s="324" t="s">
        <v>143</v>
      </c>
      <c r="AW3" s="325" t="s">
        <v>144</v>
      </c>
      <c r="AX3" s="324" t="s">
        <v>143</v>
      </c>
      <c r="AY3" s="325" t="s">
        <v>144</v>
      </c>
      <c r="BA3" s="358"/>
      <c r="BB3" s="362"/>
    </row>
    <row r="4" spans="1:54" s="295" customFormat="1">
      <c r="A4" s="271"/>
      <c r="B4" s="271">
        <v>10005</v>
      </c>
      <c r="C4" s="271" t="s">
        <v>7</v>
      </c>
      <c r="D4" s="434">
        <v>-17.841518406107383</v>
      </c>
      <c r="E4" s="435">
        <v>15.516806982929893</v>
      </c>
      <c r="F4" s="435">
        <v>15.306374925081968</v>
      </c>
      <c r="G4" s="435">
        <v>39.965684989330526</v>
      </c>
      <c r="H4" s="435">
        <v>43.234362027392478</v>
      </c>
      <c r="I4" s="435">
        <v>71.072866736887846</v>
      </c>
      <c r="J4" s="435">
        <v>91.776757510433441</v>
      </c>
      <c r="K4" s="435">
        <v>83.739573598285801</v>
      </c>
      <c r="L4" s="435">
        <v>70.370298206023449</v>
      </c>
      <c r="M4" s="435">
        <v>62.190249792603865</v>
      </c>
      <c r="N4" s="435">
        <v>26.944408656775238</v>
      </c>
      <c r="O4" s="435">
        <v>27.71128384870957</v>
      </c>
      <c r="P4" s="435">
        <v>23.325313513519944</v>
      </c>
      <c r="Q4" s="435">
        <v>42.699022571092272</v>
      </c>
      <c r="R4" s="435">
        <v>-142.07337925320769</v>
      </c>
      <c r="S4" s="435">
        <v>-49.099639112432584</v>
      </c>
      <c r="T4" s="435">
        <v>-89.049483196574329</v>
      </c>
      <c r="U4" s="435">
        <v>-38.367600693421394</v>
      </c>
      <c r="V4" s="435">
        <v>-87.293842026064169</v>
      </c>
      <c r="W4" s="435">
        <v>-14.324451808465867</v>
      </c>
      <c r="X4" s="435">
        <v>-90.823855674492449</v>
      </c>
      <c r="Y4" s="435">
        <v>-30.837662337719735</v>
      </c>
      <c r="Z4" s="435">
        <v>-40.551285466654576</v>
      </c>
      <c r="AA4" s="435">
        <v>-3.2655095465416224</v>
      </c>
      <c r="AB4" s="435">
        <v>-19.661532835245879</v>
      </c>
      <c r="AC4" s="435">
        <v>14.479927556822844</v>
      </c>
      <c r="AD4" s="435">
        <v>13.160271353069618</v>
      </c>
      <c r="AE4" s="435">
        <v>38.667882534701931</v>
      </c>
      <c r="AF4" s="435">
        <v>41.163320692540992</v>
      </c>
      <c r="AG4" s="435">
        <v>69.789808555616844</v>
      </c>
      <c r="AH4" s="435">
        <v>89.983675101423842</v>
      </c>
      <c r="AI4" s="435">
        <v>82.622159886064651</v>
      </c>
      <c r="AJ4" s="435">
        <v>77.395937826745723</v>
      </c>
      <c r="AK4" s="435">
        <v>65.541054803143652</v>
      </c>
      <c r="AL4" s="435">
        <v>25.045926126828022</v>
      </c>
      <c r="AM4" s="435">
        <v>26.555576969608609</v>
      </c>
      <c r="AN4" s="435">
        <v>21.746817255183743</v>
      </c>
      <c r="AO4" s="435">
        <v>41.734955214503373</v>
      </c>
      <c r="AP4" s="435">
        <v>-144.65695883180416</v>
      </c>
      <c r="AQ4" s="435">
        <v>-50.534446689932082</v>
      </c>
      <c r="AR4" s="435">
        <v>-91.133138909794411</v>
      </c>
      <c r="AS4" s="435">
        <v>-39.546987192331187</v>
      </c>
      <c r="AT4" s="435">
        <v>-89.231910924968588</v>
      </c>
      <c r="AU4" s="435">
        <v>-15.361512471908455</v>
      </c>
      <c r="AV4" s="435">
        <v>-92.896893510917096</v>
      </c>
      <c r="AW4" s="435">
        <v>-31.891493472818837</v>
      </c>
      <c r="AX4" s="435">
        <v>-42.169916262498646</v>
      </c>
      <c r="AY4" s="435">
        <v>-4.2761005300211679</v>
      </c>
      <c r="BA4" s="359"/>
      <c r="BB4" s="359"/>
    </row>
    <row r="5" spans="1:54">
      <c r="B5" s="271">
        <v>10015</v>
      </c>
      <c r="C5" s="271" t="s">
        <v>8</v>
      </c>
      <c r="D5" s="435">
        <v>-62.95395514826663</v>
      </c>
      <c r="E5" s="435">
        <v>9.376837762496109</v>
      </c>
      <c r="F5" s="435">
        <v>-199.00303400767325</v>
      </c>
      <c r="G5" s="435">
        <v>-106.29923260217438</v>
      </c>
      <c r="H5" s="435">
        <v>-186.92110087237648</v>
      </c>
      <c r="I5" s="435">
        <v>-98.734383562220984</v>
      </c>
      <c r="J5" s="435">
        <v>-128.84666642080208</v>
      </c>
      <c r="K5" s="435">
        <v>-86.179558005965774</v>
      </c>
      <c r="L5" s="435">
        <v>-124.62970592013369</v>
      </c>
      <c r="M5" s="435">
        <v>-79.783858335861112</v>
      </c>
      <c r="N5" s="435">
        <v>-139.53138280784643</v>
      </c>
      <c r="O5" s="435">
        <v>-89.675282118180661</v>
      </c>
      <c r="P5" s="435">
        <v>-20.358243004556215</v>
      </c>
      <c r="Q5" s="435">
        <v>-14.264126817794775</v>
      </c>
      <c r="R5" s="435">
        <v>-16.545032899815396</v>
      </c>
      <c r="S5" s="435">
        <v>107.24257324882117</v>
      </c>
      <c r="T5" s="435">
        <v>137.14665085868194</v>
      </c>
      <c r="U5" s="435">
        <v>215.63712939772523</v>
      </c>
      <c r="V5" s="435">
        <v>330.73566419845434</v>
      </c>
      <c r="W5" s="435">
        <v>367.61328010352889</v>
      </c>
      <c r="X5" s="435">
        <v>265.56137316446444</v>
      </c>
      <c r="Y5" s="435">
        <v>316.65588119406993</v>
      </c>
      <c r="Z5" s="435">
        <v>93.312527163129658</v>
      </c>
      <c r="AA5" s="435">
        <v>202.05392173852161</v>
      </c>
      <c r="AB5" s="435">
        <v>-62.95395514826663</v>
      </c>
      <c r="AC5" s="435">
        <v>9.376837762496109</v>
      </c>
      <c r="AD5" s="435">
        <v>-199.00303400767325</v>
      </c>
      <c r="AE5" s="435">
        <v>-106.29923260217438</v>
      </c>
      <c r="AF5" s="435">
        <v>-186.92110087237648</v>
      </c>
      <c r="AG5" s="435">
        <v>-98.734383562220984</v>
      </c>
      <c r="AH5" s="435">
        <v>-128.84666642080208</v>
      </c>
      <c r="AI5" s="435">
        <v>-86.179558005965774</v>
      </c>
      <c r="AJ5" s="435">
        <v>-115.54610895213366</v>
      </c>
      <c r="AK5" s="435">
        <v>-75.242059851861114</v>
      </c>
      <c r="AL5" s="435">
        <v>-139.53138280784643</v>
      </c>
      <c r="AM5" s="435">
        <v>-89.675282118180661</v>
      </c>
      <c r="AN5" s="435">
        <v>-20.358243004556215</v>
      </c>
      <c r="AO5" s="435">
        <v>-14.264126817794775</v>
      </c>
      <c r="AP5" s="435">
        <v>-16.545032899815396</v>
      </c>
      <c r="AQ5" s="435">
        <v>107.24257324882117</v>
      </c>
      <c r="AR5" s="435">
        <v>137.14665085868194</v>
      </c>
      <c r="AS5" s="435">
        <v>215.63712939772523</v>
      </c>
      <c r="AT5" s="435">
        <v>330.73566419845434</v>
      </c>
      <c r="AU5" s="435">
        <v>367.61328010352889</v>
      </c>
      <c r="AV5" s="435">
        <v>265.56137316446444</v>
      </c>
      <c r="AW5" s="435">
        <v>316.65588119406993</v>
      </c>
      <c r="AX5" s="435">
        <v>93.312527163129658</v>
      </c>
      <c r="AY5" s="435">
        <v>202.05392173852161</v>
      </c>
      <c r="BA5" s="360"/>
      <c r="BB5" s="360"/>
    </row>
    <row r="6" spans="1:54">
      <c r="B6" s="271">
        <v>10024</v>
      </c>
      <c r="C6" s="271" t="s">
        <v>9</v>
      </c>
      <c r="D6" s="435">
        <v>-10925.171096768114</v>
      </c>
      <c r="E6" s="435">
        <v>-1002.9682328565978</v>
      </c>
      <c r="F6" s="435">
        <v>-19917.064234318386</v>
      </c>
      <c r="G6" s="435">
        <v>-2948.2338532950416</v>
      </c>
      <c r="H6" s="435">
        <v>-10306.95115086541</v>
      </c>
      <c r="I6" s="435">
        <v>554.83628744506495</v>
      </c>
      <c r="J6" s="435">
        <v>-1576.3575802479609</v>
      </c>
      <c r="K6" s="435">
        <v>9180.7835474731255</v>
      </c>
      <c r="L6" s="435">
        <v>-6400.0918518961626</v>
      </c>
      <c r="M6" s="435">
        <v>1037.3645182722394</v>
      </c>
      <c r="N6" s="435">
        <v>-12826.110902371191</v>
      </c>
      <c r="O6" s="435">
        <v>-3997.4901211659235</v>
      </c>
      <c r="P6" s="435">
        <v>-2481.058596608942</v>
      </c>
      <c r="Q6" s="435">
        <v>2887.6886510362892</v>
      </c>
      <c r="R6" s="435">
        <v>-21190.832099677318</v>
      </c>
      <c r="S6" s="435">
        <v>1305.3424672995898</v>
      </c>
      <c r="T6" s="435">
        <v>2279.2882897385643</v>
      </c>
      <c r="U6" s="435">
        <v>10183.50683975275</v>
      </c>
      <c r="V6" s="435">
        <v>12869.964575581034</v>
      </c>
      <c r="W6" s="435">
        <v>26692.279432689786</v>
      </c>
      <c r="X6" s="435">
        <v>5444.068571907992</v>
      </c>
      <c r="Y6" s="435">
        <v>14932.916000556914</v>
      </c>
      <c r="Z6" s="435">
        <v>-3880.0520106443291</v>
      </c>
      <c r="AA6" s="435">
        <v>3950.5856826206691</v>
      </c>
      <c r="AB6" s="435">
        <v>-11837.992433629166</v>
      </c>
      <c r="AC6" s="435">
        <v>544.98001121861307</v>
      </c>
      <c r="AD6" s="435">
        <v>-18154.111465026064</v>
      </c>
      <c r="AE6" s="435">
        <v>-4036.9749826215666</v>
      </c>
      <c r="AF6" s="435">
        <v>-9864.4111122903851</v>
      </c>
      <c r="AG6" s="435">
        <v>903.76208709075945</v>
      </c>
      <c r="AH6" s="435">
        <v>-1114.0650423253319</v>
      </c>
      <c r="AI6" s="435">
        <v>9578.3551300865875</v>
      </c>
      <c r="AJ6" s="435">
        <v>-4564.7915756925213</v>
      </c>
      <c r="AK6" s="435">
        <v>2342.0521217786736</v>
      </c>
      <c r="AL6" s="435">
        <v>-12456.831193196878</v>
      </c>
      <c r="AM6" s="435">
        <v>-3731.6429231260809</v>
      </c>
      <c r="AN6" s="435">
        <v>-3512.0645231004601</v>
      </c>
      <c r="AO6" s="435">
        <v>4602.6774006815212</v>
      </c>
      <c r="AP6" s="435">
        <v>-18993.443964740211</v>
      </c>
      <c r="AQ6" s="435">
        <v>-32.18154710141971</v>
      </c>
      <c r="AR6" s="435">
        <v>2860.782258121304</v>
      </c>
      <c r="AS6" s="435">
        <v>10608.444739724742</v>
      </c>
      <c r="AT6" s="435">
        <v>13526.630112402949</v>
      </c>
      <c r="AU6" s="435">
        <v>27257.011794356637</v>
      </c>
      <c r="AV6" s="435">
        <v>6056.8163176272574</v>
      </c>
      <c r="AW6" s="435">
        <v>15375.456039131939</v>
      </c>
      <c r="AX6" s="435">
        <v>-3489.2046831279295</v>
      </c>
      <c r="AY6" s="435">
        <v>4263.2635446337954</v>
      </c>
      <c r="BA6" s="360"/>
      <c r="BB6" s="360"/>
    </row>
    <row r="7" spans="1:54">
      <c r="B7" s="271">
        <v>10025</v>
      </c>
      <c r="C7" s="271" t="s">
        <v>10</v>
      </c>
      <c r="D7" s="435">
        <v>-2903.7009048960244</v>
      </c>
      <c r="E7" s="435">
        <v>-65.757682084860789</v>
      </c>
      <c r="F7" s="435">
        <v>-11850.411169921419</v>
      </c>
      <c r="G7" s="435">
        <v>-4072.1017135839611</v>
      </c>
      <c r="H7" s="435">
        <v>-6301.8055861660323</v>
      </c>
      <c r="I7" s="435">
        <v>1243.5740510541546</v>
      </c>
      <c r="J7" s="435">
        <v>-1838.9050607632198</v>
      </c>
      <c r="K7" s="435">
        <v>1511.8704020854384</v>
      </c>
      <c r="L7" s="435">
        <v>-4938.37687112208</v>
      </c>
      <c r="M7" s="435">
        <v>-1135.0813534102526</v>
      </c>
      <c r="N7" s="435">
        <v>-10576.302634817352</v>
      </c>
      <c r="O7" s="435">
        <v>-4116.0976615540385</v>
      </c>
      <c r="P7" s="435">
        <v>-183.73082105922731</v>
      </c>
      <c r="Q7" s="435">
        <v>1000.4740076655398</v>
      </c>
      <c r="R7" s="435">
        <v>-12791.016920429924</v>
      </c>
      <c r="S7" s="435">
        <v>-3590.1588431292112</v>
      </c>
      <c r="T7" s="435">
        <v>-3937.3923570023762</v>
      </c>
      <c r="U7" s="435">
        <v>1792.9962680279714</v>
      </c>
      <c r="V7" s="435">
        <v>7188.1153494461614</v>
      </c>
      <c r="W7" s="435">
        <v>8862.0139030712671</v>
      </c>
      <c r="X7" s="435">
        <v>2812.1542565230884</v>
      </c>
      <c r="Y7" s="435">
        <v>6069.1966142617966</v>
      </c>
      <c r="Z7" s="435">
        <v>-2075.9303684539227</v>
      </c>
      <c r="AA7" s="435">
        <v>1978.8438722217743</v>
      </c>
      <c r="AB7" s="435">
        <v>-3254.5649048960258</v>
      </c>
      <c r="AC7" s="435">
        <v>-441.03768208486144</v>
      </c>
      <c r="AD7" s="435">
        <v>-12295.963169921419</v>
      </c>
      <c r="AE7" s="435">
        <v>-4330.2457135839613</v>
      </c>
      <c r="AF7" s="435">
        <v>-6707.8215861660319</v>
      </c>
      <c r="AG7" s="435">
        <v>923.44605105415394</v>
      </c>
      <c r="AH7" s="435">
        <v>-2229.3050607632213</v>
      </c>
      <c r="AI7" s="435">
        <v>1176.1264020854396</v>
      </c>
      <c r="AJ7" s="435">
        <v>-4200.7139374420767</v>
      </c>
      <c r="AK7" s="435">
        <v>-859.9458865702527</v>
      </c>
      <c r="AL7" s="435">
        <v>-10997.934634817353</v>
      </c>
      <c r="AM7" s="435">
        <v>-4419.6336615540386</v>
      </c>
      <c r="AN7" s="435">
        <v>-518.9788210592269</v>
      </c>
      <c r="AO7" s="435">
        <v>633.00200766553826</v>
      </c>
      <c r="AP7" s="435">
        <v>-13252.184920429925</v>
      </c>
      <c r="AQ7" s="435">
        <v>-3855.1348431292099</v>
      </c>
      <c r="AR7" s="435">
        <v>-4343.4083570023759</v>
      </c>
      <c r="AS7" s="435">
        <v>1496.2922680279698</v>
      </c>
      <c r="AT7" s="435">
        <v>6797.7153494461672</v>
      </c>
      <c r="AU7" s="435">
        <v>8526.2699030712683</v>
      </c>
      <c r="AV7" s="435">
        <v>2390.5222565230906</v>
      </c>
      <c r="AW7" s="435">
        <v>5764.6846142617978</v>
      </c>
      <c r="AX7" s="435">
        <v>-2466.3303684539242</v>
      </c>
      <c r="AY7" s="435">
        <v>1666.5238722217746</v>
      </c>
      <c r="BA7" s="360"/>
      <c r="BB7" s="360"/>
    </row>
    <row r="8" spans="1:54">
      <c r="B8" s="271">
        <v>10027</v>
      </c>
      <c r="C8" s="271" t="s">
        <v>11</v>
      </c>
      <c r="D8" s="435">
        <v>-3546.0643528919209</v>
      </c>
      <c r="E8" s="435">
        <v>437.90267345156644</v>
      </c>
      <c r="F8" s="435">
        <v>-16457.772278085926</v>
      </c>
      <c r="G8" s="435">
        <v>-7904.2246008842358</v>
      </c>
      <c r="H8" s="435">
        <v>-12855.246652401245</v>
      </c>
      <c r="I8" s="435">
        <v>-5814.0926326923163</v>
      </c>
      <c r="J8" s="435">
        <v>-10381.639034437816</v>
      </c>
      <c r="K8" s="435">
        <v>-4716.0492842357835</v>
      </c>
      <c r="L8" s="435">
        <v>-9679.281605942735</v>
      </c>
      <c r="M8" s="435">
        <v>-4414.7613503210578</v>
      </c>
      <c r="N8" s="435">
        <v>-12874.071416871453</v>
      </c>
      <c r="O8" s="435">
        <v>-7072.5209746240635</v>
      </c>
      <c r="P8" s="435">
        <v>1479.0666983931442</v>
      </c>
      <c r="Q8" s="435">
        <v>2610.3344995476327</v>
      </c>
      <c r="R8" s="435">
        <v>-443.83684864364477</v>
      </c>
      <c r="S8" s="435">
        <v>6751.5511412213455</v>
      </c>
      <c r="T8" s="435">
        <v>12401.610695650477</v>
      </c>
      <c r="U8" s="435">
        <v>12111.226630684381</v>
      </c>
      <c r="V8" s="435">
        <v>18132.916526628866</v>
      </c>
      <c r="W8" s="435">
        <v>20001.919468073716</v>
      </c>
      <c r="X8" s="435">
        <v>13682.822278096835</v>
      </c>
      <c r="Y8" s="435">
        <v>14910.454931584025</v>
      </c>
      <c r="Z8" s="435">
        <v>9145.2635715066463</v>
      </c>
      <c r="AA8" s="435">
        <v>9644.0870377659157</v>
      </c>
      <c r="AB8" s="435">
        <v>-3763.1683528919239</v>
      </c>
      <c r="AC8" s="435">
        <v>263.66267345156666</v>
      </c>
      <c r="AD8" s="435">
        <v>-16669.884278085927</v>
      </c>
      <c r="AE8" s="435">
        <v>-8071.3586008842358</v>
      </c>
      <c r="AF8" s="435">
        <v>-13074.062652401248</v>
      </c>
      <c r="AG8" s="435">
        <v>-5986.6206326923166</v>
      </c>
      <c r="AH8" s="435">
        <v>-10592.039034437817</v>
      </c>
      <c r="AI8" s="435">
        <v>-4896.993284235783</v>
      </c>
      <c r="AJ8" s="435">
        <v>-8909.9997386707328</v>
      </c>
      <c r="AK8" s="435">
        <v>-4080.6164166850558</v>
      </c>
      <c r="AL8" s="435">
        <v>-13101.303416871453</v>
      </c>
      <c r="AM8" s="435">
        <v>-7236.1069746240628</v>
      </c>
      <c r="AN8" s="435">
        <v>1270.3786983931423</v>
      </c>
      <c r="AO8" s="435">
        <v>2440.3024995476317</v>
      </c>
      <c r="AP8" s="435">
        <v>-664.3648486436432</v>
      </c>
      <c r="AQ8" s="435">
        <v>6580.7351412213466</v>
      </c>
      <c r="AR8" s="435">
        <v>12182.794695650478</v>
      </c>
      <c r="AS8" s="435">
        <v>11951.322630684379</v>
      </c>
      <c r="AT8" s="435">
        <v>17922.516526628871</v>
      </c>
      <c r="AU8" s="435">
        <v>19820.975468073713</v>
      </c>
      <c r="AV8" s="435">
        <v>13455.590278096839</v>
      </c>
      <c r="AW8" s="435">
        <v>14746.342931584024</v>
      </c>
      <c r="AX8" s="435">
        <v>8934.8635715066448</v>
      </c>
      <c r="AY8" s="435">
        <v>9475.767037765916</v>
      </c>
      <c r="BA8" s="360"/>
      <c r="BB8" s="360"/>
    </row>
    <row r="9" spans="1:54">
      <c r="B9" s="271">
        <v>10029</v>
      </c>
      <c r="C9" s="271" t="s">
        <v>12</v>
      </c>
      <c r="D9" s="435">
        <v>0</v>
      </c>
      <c r="E9" s="435">
        <v>0</v>
      </c>
      <c r="F9" s="435">
        <v>0</v>
      </c>
      <c r="G9" s="435">
        <v>0</v>
      </c>
      <c r="H9" s="435">
        <v>0</v>
      </c>
      <c r="I9" s="435">
        <v>0</v>
      </c>
      <c r="J9" s="435">
        <v>0</v>
      </c>
      <c r="K9" s="435">
        <v>0</v>
      </c>
      <c r="L9" s="435">
        <v>0</v>
      </c>
      <c r="M9" s="435">
        <v>0</v>
      </c>
      <c r="N9" s="435">
        <v>0</v>
      </c>
      <c r="O9" s="435">
        <v>0</v>
      </c>
      <c r="P9" s="435">
        <v>0</v>
      </c>
      <c r="Q9" s="435">
        <v>0</v>
      </c>
      <c r="R9" s="435">
        <v>0</v>
      </c>
      <c r="S9" s="435">
        <v>0</v>
      </c>
      <c r="T9" s="435">
        <v>0</v>
      </c>
      <c r="U9" s="435">
        <v>0</v>
      </c>
      <c r="V9" s="435">
        <v>0</v>
      </c>
      <c r="W9" s="435">
        <v>0</v>
      </c>
      <c r="X9" s="435">
        <v>0</v>
      </c>
      <c r="Y9" s="435">
        <v>0</v>
      </c>
      <c r="Z9" s="435">
        <v>0</v>
      </c>
      <c r="AA9" s="435">
        <v>0</v>
      </c>
      <c r="AB9" s="435">
        <v>0</v>
      </c>
      <c r="AC9" s="435">
        <v>0</v>
      </c>
      <c r="AD9" s="435">
        <v>0</v>
      </c>
      <c r="AE9" s="435">
        <v>0</v>
      </c>
      <c r="AF9" s="435">
        <v>0</v>
      </c>
      <c r="AG9" s="435">
        <v>0</v>
      </c>
      <c r="AH9" s="435">
        <v>0</v>
      </c>
      <c r="AI9" s="435">
        <v>0</v>
      </c>
      <c r="AJ9" s="435">
        <v>0</v>
      </c>
      <c r="AK9" s="435">
        <v>0</v>
      </c>
      <c r="AL9" s="435">
        <v>0</v>
      </c>
      <c r="AM9" s="435">
        <v>0</v>
      </c>
      <c r="AN9" s="435">
        <v>0</v>
      </c>
      <c r="AO9" s="435">
        <v>0</v>
      </c>
      <c r="AP9" s="435">
        <v>0</v>
      </c>
      <c r="AQ9" s="435">
        <v>0</v>
      </c>
      <c r="AR9" s="435">
        <v>0</v>
      </c>
      <c r="AS9" s="435">
        <v>0</v>
      </c>
      <c r="AT9" s="435">
        <v>0</v>
      </c>
      <c r="AU9" s="435">
        <v>0</v>
      </c>
      <c r="AV9" s="435">
        <v>0</v>
      </c>
      <c r="AW9" s="435">
        <v>0</v>
      </c>
      <c r="AX9" s="435">
        <v>0</v>
      </c>
      <c r="AY9" s="435">
        <v>0</v>
      </c>
      <c r="BA9" s="360"/>
      <c r="BB9" s="360"/>
    </row>
    <row r="10" spans="1:54">
      <c r="B10" s="271">
        <v>10044</v>
      </c>
      <c r="C10" s="271" t="s">
        <v>13</v>
      </c>
      <c r="D10" s="435">
        <v>-705.4082598647974</v>
      </c>
      <c r="E10" s="435">
        <v>-530.12124531379141</v>
      </c>
      <c r="F10" s="435">
        <v>-737.18514565927399</v>
      </c>
      <c r="G10" s="435">
        <v>-752.3477822172481</v>
      </c>
      <c r="H10" s="435">
        <v>634.0125927128629</v>
      </c>
      <c r="I10" s="435">
        <v>553.65972989918191</v>
      </c>
      <c r="J10" s="435">
        <v>1938.8464367538727</v>
      </c>
      <c r="K10" s="435">
        <v>638.69318133848083</v>
      </c>
      <c r="L10" s="435">
        <v>1264.4161666668506</v>
      </c>
      <c r="M10" s="435">
        <v>224.57404419089744</v>
      </c>
      <c r="N10" s="435">
        <v>-121.0761437465917</v>
      </c>
      <c r="O10" s="435">
        <v>-956.70201968462879</v>
      </c>
      <c r="P10" s="435">
        <v>447.00995998619965</v>
      </c>
      <c r="Q10" s="435">
        <v>-45.776311626679671</v>
      </c>
      <c r="R10" s="435">
        <v>-4461.9099772628324</v>
      </c>
      <c r="S10" s="435">
        <v>-2683.3083719974793</v>
      </c>
      <c r="T10" s="435">
        <v>-1981.6924234562885</v>
      </c>
      <c r="U10" s="435">
        <v>-1638.9211947669296</v>
      </c>
      <c r="V10" s="435">
        <v>-678.36471474110294</v>
      </c>
      <c r="W10" s="435">
        <v>91.051815475562762</v>
      </c>
      <c r="X10" s="435">
        <v>-711.29361483815956</v>
      </c>
      <c r="Y10" s="435">
        <v>-516.90844847575045</v>
      </c>
      <c r="Z10" s="435">
        <v>-230.44682005149662</v>
      </c>
      <c r="AA10" s="435">
        <v>-374.78972070181771</v>
      </c>
      <c r="AB10" s="435">
        <v>-748.40025986479759</v>
      </c>
      <c r="AC10" s="435">
        <v>-612.12124531379141</v>
      </c>
      <c r="AD10" s="435">
        <v>-831.28114565927353</v>
      </c>
      <c r="AE10" s="435">
        <v>-779.37978221724734</v>
      </c>
      <c r="AF10" s="435">
        <v>564.12459271286389</v>
      </c>
      <c r="AG10" s="435">
        <v>498.55572989918255</v>
      </c>
      <c r="AH10" s="435">
        <v>1871.646436753872</v>
      </c>
      <c r="AI10" s="435">
        <v>580.90118133848046</v>
      </c>
      <c r="AJ10" s="435">
        <v>1548.5807234668519</v>
      </c>
      <c r="AK10" s="435">
        <v>350.52832259089791</v>
      </c>
      <c r="AL10" s="435">
        <v>-193.65214374659081</v>
      </c>
      <c r="AM10" s="435">
        <v>-1008.9500196846284</v>
      </c>
      <c r="AN10" s="435">
        <v>406.70595998619956</v>
      </c>
      <c r="AO10" s="435">
        <v>-126.43231162667962</v>
      </c>
      <c r="AP10" s="435">
        <v>-4558.693977262833</v>
      </c>
      <c r="AQ10" s="435">
        <v>-2711.5163719974789</v>
      </c>
      <c r="AR10" s="435">
        <v>-2051.5804234562884</v>
      </c>
      <c r="AS10" s="435">
        <v>-1689.9931947669297</v>
      </c>
      <c r="AT10" s="435">
        <v>-745.56471474110367</v>
      </c>
      <c r="AU10" s="435">
        <v>33.259815475562391</v>
      </c>
      <c r="AV10" s="435">
        <v>-783.86961483816049</v>
      </c>
      <c r="AW10" s="435">
        <v>-569.32444847575061</v>
      </c>
      <c r="AX10" s="435">
        <v>-297.64682005149734</v>
      </c>
      <c r="AY10" s="435">
        <v>-428.54972070181793</v>
      </c>
      <c r="BA10" s="360"/>
      <c r="BB10" s="360"/>
    </row>
    <row r="11" spans="1:54">
      <c r="B11" s="271">
        <v>10046</v>
      </c>
      <c r="C11" s="271" t="s">
        <v>14</v>
      </c>
      <c r="D11" s="435">
        <v>0</v>
      </c>
      <c r="E11" s="435">
        <v>0</v>
      </c>
      <c r="F11" s="435">
        <v>0</v>
      </c>
      <c r="G11" s="435">
        <v>0</v>
      </c>
      <c r="H11" s="435">
        <v>0</v>
      </c>
      <c r="I11" s="435">
        <v>0</v>
      </c>
      <c r="J11" s="435">
        <v>0</v>
      </c>
      <c r="K11" s="435">
        <v>0</v>
      </c>
      <c r="L11" s="435">
        <v>0</v>
      </c>
      <c r="M11" s="435">
        <v>0</v>
      </c>
      <c r="N11" s="435">
        <v>0</v>
      </c>
      <c r="O11" s="435">
        <v>0</v>
      </c>
      <c r="P11" s="435">
        <v>0</v>
      </c>
      <c r="Q11" s="435">
        <v>0</v>
      </c>
      <c r="R11" s="435">
        <v>0</v>
      </c>
      <c r="S11" s="435">
        <v>0</v>
      </c>
      <c r="T11" s="435">
        <v>0</v>
      </c>
      <c r="U11" s="435">
        <v>0</v>
      </c>
      <c r="V11" s="435">
        <v>0</v>
      </c>
      <c r="W11" s="435">
        <v>0</v>
      </c>
      <c r="X11" s="435">
        <v>0</v>
      </c>
      <c r="Y11" s="435">
        <v>0</v>
      </c>
      <c r="Z11" s="435">
        <v>0</v>
      </c>
      <c r="AA11" s="435">
        <v>0</v>
      </c>
      <c r="AB11" s="435">
        <v>0</v>
      </c>
      <c r="AC11" s="435">
        <v>0</v>
      </c>
      <c r="AD11" s="435">
        <v>0</v>
      </c>
      <c r="AE11" s="435">
        <v>0</v>
      </c>
      <c r="AF11" s="435">
        <v>0</v>
      </c>
      <c r="AG11" s="435">
        <v>0</v>
      </c>
      <c r="AH11" s="435">
        <v>0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BA11" s="360"/>
      <c r="BB11" s="360"/>
    </row>
    <row r="12" spans="1:54">
      <c r="B12" s="271">
        <v>10047</v>
      </c>
      <c r="C12" s="271" t="s">
        <v>15</v>
      </c>
      <c r="D12" s="435">
        <v>-600.61059810264851</v>
      </c>
      <c r="E12" s="435">
        <v>8211.7056376719192</v>
      </c>
      <c r="F12" s="435">
        <v>-6333.2013606178953</v>
      </c>
      <c r="G12" s="435">
        <v>4323.7763037801633</v>
      </c>
      <c r="H12" s="435">
        <v>212.24488896859111</v>
      </c>
      <c r="I12" s="435">
        <v>10462.376626055411</v>
      </c>
      <c r="J12" s="435">
        <v>14207.788304107184</v>
      </c>
      <c r="K12" s="435">
        <v>14914.078599252156</v>
      </c>
      <c r="L12" s="435">
        <v>7262.3176125592654</v>
      </c>
      <c r="M12" s="435">
        <v>8820.0319961407804</v>
      </c>
      <c r="N12" s="435">
        <v>3324.7842181791784</v>
      </c>
      <c r="O12" s="435">
        <v>4030.5794595189291</v>
      </c>
      <c r="P12" s="435">
        <v>2663.3068932977258</v>
      </c>
      <c r="Q12" s="435">
        <v>8206.4850113142602</v>
      </c>
      <c r="R12" s="435">
        <v>-35012.744767877644</v>
      </c>
      <c r="S12" s="435">
        <v>-10390.7252277933</v>
      </c>
      <c r="T12" s="435">
        <v>-16902.174520583016</v>
      </c>
      <c r="U12" s="435">
        <v>-4186.4783143281093</v>
      </c>
      <c r="V12" s="435">
        <v>-14415.451680798149</v>
      </c>
      <c r="W12" s="435">
        <v>6098.2589233686522</v>
      </c>
      <c r="X12" s="435">
        <v>-14082.527606016192</v>
      </c>
      <c r="Y12" s="435">
        <v>1294.7739382531799</v>
      </c>
      <c r="Z12" s="435">
        <v>-1620.70899813508</v>
      </c>
      <c r="AA12" s="435">
        <v>8545.6021453516223</v>
      </c>
      <c r="AB12" s="435">
        <v>-772.90529739443446</v>
      </c>
      <c r="AC12" s="435">
        <v>8113.5477186671196</v>
      </c>
      <c r="AD12" s="435">
        <v>-6536.3658321017283</v>
      </c>
      <c r="AE12" s="435">
        <v>4200.917671408657</v>
      </c>
      <c r="AF12" s="435">
        <v>16.186309269323829</v>
      </c>
      <c r="AG12" s="435">
        <v>10340.913784895085</v>
      </c>
      <c r="AH12" s="435">
        <v>14038.043169387616</v>
      </c>
      <c r="AI12" s="435">
        <v>14808.296767828557</v>
      </c>
      <c r="AJ12" s="435">
        <v>9562.6451664943161</v>
      </c>
      <c r="AK12" s="435">
        <v>9954.8583720585448</v>
      </c>
      <c r="AL12" s="435">
        <v>3145.0612053441728</v>
      </c>
      <c r="AM12" s="435">
        <v>3921.172541630709</v>
      </c>
      <c r="AN12" s="435">
        <v>2513.8759141752307</v>
      </c>
      <c r="AO12" s="435">
        <v>8115.2199682238497</v>
      </c>
      <c r="AP12" s="435">
        <v>-35257.323634651439</v>
      </c>
      <c r="AQ12" s="435">
        <v>-10526.55367846325</v>
      </c>
      <c r="AR12" s="435">
        <v>-17099.427261434517</v>
      </c>
      <c r="AS12" s="435">
        <v>-4298.1269028915631</v>
      </c>
      <c r="AT12" s="435">
        <v>-14598.922203227754</v>
      </c>
      <c r="AU12" s="435">
        <v>6000.0838472294199</v>
      </c>
      <c r="AV12" s="435">
        <v>-14278.775187864398</v>
      </c>
      <c r="AW12" s="435">
        <v>1195.0112574637969</v>
      </c>
      <c r="AX12" s="435">
        <v>-1773.9393801416518</v>
      </c>
      <c r="AY12" s="435">
        <v>8449.9328655822319</v>
      </c>
      <c r="BA12" s="360"/>
      <c r="BB12" s="360"/>
    </row>
    <row r="13" spans="1:54">
      <c r="B13" s="271">
        <v>10055</v>
      </c>
      <c r="C13" s="271" t="s">
        <v>16</v>
      </c>
      <c r="D13" s="435">
        <v>-38.884356339018922</v>
      </c>
      <c r="E13" s="435">
        <v>-5.0306660540617401</v>
      </c>
      <c r="F13" s="435">
        <v>-29.162735769160776</v>
      </c>
      <c r="G13" s="435">
        <v>10.088569264912223</v>
      </c>
      <c r="H13" s="435">
        <v>42.88411452396025</v>
      </c>
      <c r="I13" s="435">
        <v>73.660530960525648</v>
      </c>
      <c r="J13" s="435">
        <v>68.457253553096706</v>
      </c>
      <c r="K13" s="435">
        <v>78.124111051211941</v>
      </c>
      <c r="L13" s="435">
        <v>41.263480763892488</v>
      </c>
      <c r="M13" s="435">
        <v>50.663349198738416</v>
      </c>
      <c r="N13" s="435">
        <v>-7.8363578150373883</v>
      </c>
      <c r="O13" s="435">
        <v>9.280553364509359</v>
      </c>
      <c r="P13" s="435">
        <v>-10.148648283603592</v>
      </c>
      <c r="Q13" s="435">
        <v>13.634668480644223</v>
      </c>
      <c r="R13" s="435">
        <v>-119.78348038806384</v>
      </c>
      <c r="S13" s="435">
        <v>-49.296912284950608</v>
      </c>
      <c r="T13" s="435">
        <v>-74.586637042685638</v>
      </c>
      <c r="U13" s="435">
        <v>-42.194330897519038</v>
      </c>
      <c r="V13" s="435">
        <v>-49.356476497013261</v>
      </c>
      <c r="W13" s="435">
        <v>-11.718702363603569</v>
      </c>
      <c r="X13" s="435">
        <v>-62.165556623913972</v>
      </c>
      <c r="Y13" s="435">
        <v>-29.11612669931678</v>
      </c>
      <c r="Z13" s="435">
        <v>-42.046294809341802</v>
      </c>
      <c r="AA13" s="435">
        <v>-17.629552447077245</v>
      </c>
      <c r="AB13" s="435">
        <v>-38.884356339018922</v>
      </c>
      <c r="AC13" s="435">
        <v>-5.0306660540617401</v>
      </c>
      <c r="AD13" s="435">
        <v>-29.162735769160776</v>
      </c>
      <c r="AE13" s="435">
        <v>10.088569264912223</v>
      </c>
      <c r="AF13" s="435">
        <v>42.88411452396025</v>
      </c>
      <c r="AG13" s="435">
        <v>73.660530960525648</v>
      </c>
      <c r="AH13" s="435">
        <v>68.457253553096706</v>
      </c>
      <c r="AI13" s="435">
        <v>78.124111051211941</v>
      </c>
      <c r="AJ13" s="435">
        <v>47.565016667892507</v>
      </c>
      <c r="AK13" s="435">
        <v>53.814117150738426</v>
      </c>
      <c r="AL13" s="435">
        <v>-7.8363578150373883</v>
      </c>
      <c r="AM13" s="435">
        <v>9.280553364509359</v>
      </c>
      <c r="AN13" s="435">
        <v>-10.148648283603592</v>
      </c>
      <c r="AO13" s="435">
        <v>13.634668480644223</v>
      </c>
      <c r="AP13" s="435">
        <v>-119.78348038806384</v>
      </c>
      <c r="AQ13" s="435">
        <v>-49.296912284950608</v>
      </c>
      <c r="AR13" s="435">
        <v>-74.586637042685638</v>
      </c>
      <c r="AS13" s="435">
        <v>-42.194330897519038</v>
      </c>
      <c r="AT13" s="435">
        <v>-49.356476497013261</v>
      </c>
      <c r="AU13" s="435">
        <v>-11.718702363603569</v>
      </c>
      <c r="AV13" s="435">
        <v>-62.165556623913972</v>
      </c>
      <c r="AW13" s="435">
        <v>-29.11612669931678</v>
      </c>
      <c r="AX13" s="435">
        <v>-42.046294809341802</v>
      </c>
      <c r="AY13" s="435">
        <v>-17.629552447077245</v>
      </c>
      <c r="BA13" s="360"/>
      <c r="BB13" s="360"/>
    </row>
    <row r="14" spans="1:54">
      <c r="B14" s="271">
        <v>10057</v>
      </c>
      <c r="C14" s="271" t="s">
        <v>17</v>
      </c>
      <c r="D14" s="435">
        <v>-491.13451415696545</v>
      </c>
      <c r="E14" s="435">
        <v>-221.21928906232097</v>
      </c>
      <c r="F14" s="435">
        <v>-606.98005290682158</v>
      </c>
      <c r="G14" s="435">
        <v>-346.16002241397473</v>
      </c>
      <c r="H14" s="435">
        <v>353.7768466628313</v>
      </c>
      <c r="I14" s="435">
        <v>701.92662939124875</v>
      </c>
      <c r="J14" s="435">
        <v>2397.8059914048172</v>
      </c>
      <c r="K14" s="435">
        <v>1256.8206556134892</v>
      </c>
      <c r="L14" s="435">
        <v>1414.1809703937079</v>
      </c>
      <c r="M14" s="435">
        <v>598.03429195302942</v>
      </c>
      <c r="N14" s="435">
        <v>46.868655882877647</v>
      </c>
      <c r="O14" s="435">
        <v>-588.87878667006862</v>
      </c>
      <c r="P14" s="435">
        <v>630.0959643245742</v>
      </c>
      <c r="Q14" s="435">
        <v>292.17927575837984</v>
      </c>
      <c r="R14" s="435">
        <v>-4820.9299150244578</v>
      </c>
      <c r="S14" s="435">
        <v>-2537.408197562384</v>
      </c>
      <c r="T14" s="435">
        <v>-2467.7903480270843</v>
      </c>
      <c r="U14" s="435">
        <v>-1781.2175069047498</v>
      </c>
      <c r="V14" s="435">
        <v>-162.37207061129084</v>
      </c>
      <c r="W14" s="435">
        <v>486.86126983152462</v>
      </c>
      <c r="X14" s="435">
        <v>-576.09440017030647</v>
      </c>
      <c r="Y14" s="435">
        <v>-441.05749870352429</v>
      </c>
      <c r="Z14" s="435">
        <v>-832.19627610619682</v>
      </c>
      <c r="AA14" s="435">
        <v>-503.68037040581476</v>
      </c>
      <c r="AB14" s="435">
        <v>-491.13451415696545</v>
      </c>
      <c r="AC14" s="435">
        <v>-221.21928906232097</v>
      </c>
      <c r="AD14" s="435">
        <v>-606.98005290682158</v>
      </c>
      <c r="AE14" s="435">
        <v>-346.16002241397473</v>
      </c>
      <c r="AF14" s="435">
        <v>353.7768466628313</v>
      </c>
      <c r="AG14" s="435">
        <v>701.92662939124875</v>
      </c>
      <c r="AH14" s="435">
        <v>2397.8059914048172</v>
      </c>
      <c r="AI14" s="435">
        <v>1256.8206556134892</v>
      </c>
      <c r="AJ14" s="435">
        <v>1747.9836063297089</v>
      </c>
      <c r="AK14" s="435">
        <v>764.93560992102994</v>
      </c>
      <c r="AL14" s="435">
        <v>46.868655882877647</v>
      </c>
      <c r="AM14" s="435">
        <v>-588.87878667006862</v>
      </c>
      <c r="AN14" s="435">
        <v>630.0959643245742</v>
      </c>
      <c r="AO14" s="435">
        <v>292.17927575837984</v>
      </c>
      <c r="AP14" s="435">
        <v>-4820.9299150244578</v>
      </c>
      <c r="AQ14" s="435">
        <v>-2537.408197562384</v>
      </c>
      <c r="AR14" s="435">
        <v>-2467.7903480270843</v>
      </c>
      <c r="AS14" s="435">
        <v>-1781.2175069047498</v>
      </c>
      <c r="AT14" s="435">
        <v>-162.37207061129084</v>
      </c>
      <c r="AU14" s="435">
        <v>486.86126983152462</v>
      </c>
      <c r="AV14" s="435">
        <v>-576.09440017030647</v>
      </c>
      <c r="AW14" s="435">
        <v>-441.05749870352429</v>
      </c>
      <c r="AX14" s="435">
        <v>-832.19627610619682</v>
      </c>
      <c r="AY14" s="435">
        <v>-503.68037040581476</v>
      </c>
      <c r="BA14" s="360"/>
      <c r="BB14" s="360"/>
    </row>
    <row r="15" spans="1:54">
      <c r="B15" s="271">
        <v>10059</v>
      </c>
      <c r="C15" s="271" t="s">
        <v>18</v>
      </c>
      <c r="D15" s="435">
        <v>-129.45435147490343</v>
      </c>
      <c r="E15" s="435">
        <v>-1.0654185086773396</v>
      </c>
      <c r="F15" s="435">
        <v>-33.653424266933143</v>
      </c>
      <c r="G15" s="435">
        <v>60.436873895541794</v>
      </c>
      <c r="H15" s="435">
        <v>257.24129970696049</v>
      </c>
      <c r="I15" s="435">
        <v>434.23325613816814</v>
      </c>
      <c r="J15" s="435">
        <v>1165.7165694875057</v>
      </c>
      <c r="K15" s="435">
        <v>807.1408412465637</v>
      </c>
      <c r="L15" s="435">
        <v>747.28354323502299</v>
      </c>
      <c r="M15" s="435">
        <v>429.17158507296267</v>
      </c>
      <c r="N15" s="435">
        <v>400.21658475019603</v>
      </c>
      <c r="O15" s="435">
        <v>115.88787916777801</v>
      </c>
      <c r="P15" s="435">
        <v>448.60816351009407</v>
      </c>
      <c r="Q15" s="435">
        <v>415.41787817746399</v>
      </c>
      <c r="R15" s="435">
        <v>-1782.7365768057844</v>
      </c>
      <c r="S15" s="435">
        <v>-802.92619682780264</v>
      </c>
      <c r="T15" s="435">
        <v>-926.90152688797116</v>
      </c>
      <c r="U15" s="435">
        <v>-547.78242195081293</v>
      </c>
      <c r="V15" s="435">
        <v>-856.72123620777711</v>
      </c>
      <c r="W15" s="435">
        <v>-128.56621963089901</v>
      </c>
      <c r="X15" s="435">
        <v>-848.3497253796545</v>
      </c>
      <c r="Y15" s="435">
        <v>-352.68517510622019</v>
      </c>
      <c r="Z15" s="435">
        <v>-186.29409670615041</v>
      </c>
      <c r="AA15" s="435">
        <v>-18.780975044199749</v>
      </c>
      <c r="AB15" s="435">
        <v>-133.70105180955989</v>
      </c>
      <c r="AC15" s="435">
        <v>-3.4848038362601983</v>
      </c>
      <c r="AD15" s="435">
        <v>-38.6609992682952</v>
      </c>
      <c r="AE15" s="435">
        <v>57.40866816807511</v>
      </c>
      <c r="AF15" s="435">
        <v>252.40886992564083</v>
      </c>
      <c r="AG15" s="435">
        <v>431.23945371520267</v>
      </c>
      <c r="AH15" s="435">
        <v>1161.5327105331503</v>
      </c>
      <c r="AI15" s="435">
        <v>804.5335425847145</v>
      </c>
      <c r="AJ15" s="435">
        <v>864.48265525404213</v>
      </c>
      <c r="AK15" s="435">
        <v>487.39310654955557</v>
      </c>
      <c r="AL15" s="435">
        <v>395.78679218031948</v>
      </c>
      <c r="AM15" s="435">
        <v>113.19122978320911</v>
      </c>
      <c r="AN15" s="435">
        <v>444.92500557397625</v>
      </c>
      <c r="AO15" s="435">
        <v>413.16838767875674</v>
      </c>
      <c r="AP15" s="435">
        <v>-1788.7649291558428</v>
      </c>
      <c r="AQ15" s="435">
        <v>-806.27408117530126</v>
      </c>
      <c r="AR15" s="435">
        <v>-931.76339021881768</v>
      </c>
      <c r="AS15" s="435">
        <v>-550.53432378160232</v>
      </c>
      <c r="AT15" s="435">
        <v>-861.24339697188725</v>
      </c>
      <c r="AU15" s="435">
        <v>-130.9860278455983</v>
      </c>
      <c r="AV15" s="435">
        <v>-853.18681366464489</v>
      </c>
      <c r="AW15" s="435">
        <v>-355.14411442145138</v>
      </c>
      <c r="AX15" s="435">
        <v>-190.0709018964526</v>
      </c>
      <c r="AY15" s="435">
        <v>-21.139020672318566</v>
      </c>
      <c r="BA15" s="360"/>
      <c r="BB15" s="360"/>
    </row>
    <row r="16" spans="1:54">
      <c r="B16" s="271">
        <v>10061</v>
      </c>
      <c r="C16" s="271" t="s">
        <v>19</v>
      </c>
      <c r="D16" s="435">
        <v>98.45683923253273</v>
      </c>
      <c r="E16" s="435">
        <v>347.98341299906406</v>
      </c>
      <c r="F16" s="435">
        <v>-192.19776727819317</v>
      </c>
      <c r="G16" s="435">
        <v>163.73702587359321</v>
      </c>
      <c r="H16" s="435">
        <v>214.53238730616886</v>
      </c>
      <c r="I16" s="435">
        <v>583.59989628262338</v>
      </c>
      <c r="J16" s="435">
        <v>1013.8758135089683</v>
      </c>
      <c r="K16" s="435">
        <v>846.00762122018023</v>
      </c>
      <c r="L16" s="435">
        <v>790.11404240169941</v>
      </c>
      <c r="M16" s="435">
        <v>664.20592750346191</v>
      </c>
      <c r="N16" s="435">
        <v>350.47519684413373</v>
      </c>
      <c r="O16" s="435">
        <v>204.10426308512342</v>
      </c>
      <c r="P16" s="435">
        <v>324.28915130933501</v>
      </c>
      <c r="Q16" s="435">
        <v>478.56209603799675</v>
      </c>
      <c r="R16" s="435">
        <v>-1882.3195855552403</v>
      </c>
      <c r="S16" s="435">
        <v>-682.79539728766395</v>
      </c>
      <c r="T16" s="435">
        <v>-929.49163517806664</v>
      </c>
      <c r="U16" s="435">
        <v>-362.67345766299422</v>
      </c>
      <c r="V16" s="435">
        <v>-693.13642551853718</v>
      </c>
      <c r="W16" s="435">
        <v>286.65576522025731</v>
      </c>
      <c r="X16" s="435">
        <v>-691.27971419575351</v>
      </c>
      <c r="Y16" s="435">
        <v>2.1714052276133771</v>
      </c>
      <c r="Z16" s="435">
        <v>-30.945626808982524</v>
      </c>
      <c r="AA16" s="435">
        <v>285.31900531720021</v>
      </c>
      <c r="AB16" s="435">
        <v>98.45683923253273</v>
      </c>
      <c r="AC16" s="435">
        <v>347.98341299906406</v>
      </c>
      <c r="AD16" s="435">
        <v>-192.19776727819317</v>
      </c>
      <c r="AE16" s="435">
        <v>163.73702587359321</v>
      </c>
      <c r="AF16" s="435">
        <v>214.53238730616886</v>
      </c>
      <c r="AG16" s="435">
        <v>583.59989628262338</v>
      </c>
      <c r="AH16" s="435">
        <v>1013.8758135089683</v>
      </c>
      <c r="AI16" s="435">
        <v>846.00762122018023</v>
      </c>
      <c r="AJ16" s="435">
        <v>928.69196760969999</v>
      </c>
      <c r="AK16" s="435">
        <v>733.4948901074622</v>
      </c>
      <c r="AL16" s="435">
        <v>350.47519684413373</v>
      </c>
      <c r="AM16" s="435">
        <v>204.10426308512342</v>
      </c>
      <c r="AN16" s="435">
        <v>324.28915130933501</v>
      </c>
      <c r="AO16" s="435">
        <v>478.56209603799675</v>
      </c>
      <c r="AP16" s="435">
        <v>-1882.3195855552403</v>
      </c>
      <c r="AQ16" s="435">
        <v>-682.79539728766395</v>
      </c>
      <c r="AR16" s="435">
        <v>-929.49163517806664</v>
      </c>
      <c r="AS16" s="435">
        <v>-362.67345766299422</v>
      </c>
      <c r="AT16" s="435">
        <v>-693.13642551853718</v>
      </c>
      <c r="AU16" s="435">
        <v>286.65576522025731</v>
      </c>
      <c r="AV16" s="435">
        <v>-691.27971419575351</v>
      </c>
      <c r="AW16" s="435">
        <v>2.1714052276133771</v>
      </c>
      <c r="AX16" s="435">
        <v>-30.945626808982524</v>
      </c>
      <c r="AY16" s="435">
        <v>285.31900531720021</v>
      </c>
      <c r="BA16" s="360"/>
      <c r="BB16" s="360"/>
    </row>
    <row r="17" spans="2:54">
      <c r="B17" s="271">
        <v>10062</v>
      </c>
      <c r="C17" s="271" t="s">
        <v>20</v>
      </c>
      <c r="D17" s="435">
        <v>991.34719109652724</v>
      </c>
      <c r="E17" s="435">
        <v>240.2709349080817</v>
      </c>
      <c r="F17" s="435">
        <v>1069.3434421231409</v>
      </c>
      <c r="G17" s="435">
        <v>558.56171371364871</v>
      </c>
      <c r="H17" s="435">
        <v>2132.5966949800641</v>
      </c>
      <c r="I17" s="435">
        <v>1227.7681800819246</v>
      </c>
      <c r="J17" s="435">
        <v>2371.1977177385838</v>
      </c>
      <c r="K17" s="435">
        <v>1438.4104925006077</v>
      </c>
      <c r="L17" s="435">
        <v>1918.4385086574557</v>
      </c>
      <c r="M17" s="435">
        <v>1007.9131460200044</v>
      </c>
      <c r="N17" s="435">
        <v>1284.8506323463794</v>
      </c>
      <c r="O17" s="435">
        <v>476.9002173437209</v>
      </c>
      <c r="P17" s="435">
        <v>742.86703785194095</v>
      </c>
      <c r="Q17" s="435">
        <v>-28.357023017766096</v>
      </c>
      <c r="R17" s="435">
        <v>-1593.3667234885697</v>
      </c>
      <c r="S17" s="435">
        <v>-1322.6853941093395</v>
      </c>
      <c r="T17" s="435">
        <v>-905.88978342202199</v>
      </c>
      <c r="U17" s="435">
        <v>-1061.0029579625598</v>
      </c>
      <c r="V17" s="435">
        <v>-102.7116288891275</v>
      </c>
      <c r="W17" s="435">
        <v>-459.56794083515115</v>
      </c>
      <c r="X17" s="435">
        <v>466.53142700211538</v>
      </c>
      <c r="Y17" s="435">
        <v>42.69498613537985</v>
      </c>
      <c r="Z17" s="435">
        <v>887.58254602539978</v>
      </c>
      <c r="AA17" s="435">
        <v>173.42027010505194</v>
      </c>
      <c r="AB17" s="435">
        <v>991.34719109652724</v>
      </c>
      <c r="AC17" s="435">
        <v>240.2709349080817</v>
      </c>
      <c r="AD17" s="435">
        <v>1069.3434421231409</v>
      </c>
      <c r="AE17" s="435">
        <v>558.56171371364871</v>
      </c>
      <c r="AF17" s="435">
        <v>2132.5966949800641</v>
      </c>
      <c r="AG17" s="435">
        <v>1227.7681800819246</v>
      </c>
      <c r="AH17" s="435">
        <v>2371.1977177385838</v>
      </c>
      <c r="AI17" s="435">
        <v>1438.4104925006077</v>
      </c>
      <c r="AJ17" s="435">
        <v>2002.7271378414559</v>
      </c>
      <c r="AK17" s="435">
        <v>1050.0574606120044</v>
      </c>
      <c r="AL17" s="435">
        <v>1284.8506323463794</v>
      </c>
      <c r="AM17" s="435">
        <v>476.9002173437209</v>
      </c>
      <c r="AN17" s="435">
        <v>742.86703785194095</v>
      </c>
      <c r="AO17" s="435">
        <v>-28.357023017766096</v>
      </c>
      <c r="AP17" s="435">
        <v>-1593.3667234885697</v>
      </c>
      <c r="AQ17" s="435">
        <v>-1322.6853941093395</v>
      </c>
      <c r="AR17" s="435">
        <v>-905.88978342202199</v>
      </c>
      <c r="AS17" s="435">
        <v>-1061.0029579625598</v>
      </c>
      <c r="AT17" s="435">
        <v>-102.7116288891275</v>
      </c>
      <c r="AU17" s="435">
        <v>-459.56794083515115</v>
      </c>
      <c r="AV17" s="435">
        <v>466.53142700211538</v>
      </c>
      <c r="AW17" s="435">
        <v>42.69498613537985</v>
      </c>
      <c r="AX17" s="435">
        <v>887.58254602539978</v>
      </c>
      <c r="AY17" s="435">
        <v>173.42027010505194</v>
      </c>
      <c r="BA17" s="360"/>
      <c r="BB17" s="360"/>
    </row>
    <row r="18" spans="2:54">
      <c r="B18" s="271">
        <v>10064</v>
      </c>
      <c r="C18" s="271" t="s">
        <v>21</v>
      </c>
      <c r="D18" s="435">
        <v>-492.95069217074251</v>
      </c>
      <c r="E18" s="435">
        <v>-108.53508972098916</v>
      </c>
      <c r="F18" s="435">
        <v>-857.75160727319508</v>
      </c>
      <c r="G18" s="435">
        <v>-275.20595650014729</v>
      </c>
      <c r="H18" s="435">
        <v>565.04916546161257</v>
      </c>
      <c r="I18" s="435">
        <v>968.27420603835435</v>
      </c>
      <c r="J18" s="435">
        <v>1805.9856865622933</v>
      </c>
      <c r="K18" s="435">
        <v>1311.3329608714839</v>
      </c>
      <c r="L18" s="435">
        <v>1170.0072033392462</v>
      </c>
      <c r="M18" s="435">
        <v>814.86352618928368</v>
      </c>
      <c r="N18" s="435">
        <v>230.74692295827845</v>
      </c>
      <c r="O18" s="435">
        <v>-56.104595022547983</v>
      </c>
      <c r="P18" s="435">
        <v>421.54619743084277</v>
      </c>
      <c r="Q18" s="435">
        <v>314.28725778249418</v>
      </c>
      <c r="R18" s="435">
        <v>-3013.2227735498946</v>
      </c>
      <c r="S18" s="435">
        <v>-1514.9976039495255</v>
      </c>
      <c r="T18" s="435">
        <v>-1147.3923267404389</v>
      </c>
      <c r="U18" s="435">
        <v>-867.5760538383729</v>
      </c>
      <c r="V18" s="435">
        <v>32.780862312621139</v>
      </c>
      <c r="W18" s="435">
        <v>519.94405913750916</v>
      </c>
      <c r="X18" s="435">
        <v>-176.79968545166139</v>
      </c>
      <c r="Y18" s="435">
        <v>-82.369423917810309</v>
      </c>
      <c r="Z18" s="435">
        <v>-85.880043759517321</v>
      </c>
      <c r="AA18" s="435">
        <v>20.376960389553005</v>
      </c>
      <c r="AB18" s="435">
        <v>-510.54416498574847</v>
      </c>
      <c r="AC18" s="435">
        <v>-118.55825750669101</v>
      </c>
      <c r="AD18" s="435">
        <v>-878.49727513598191</v>
      </c>
      <c r="AE18" s="435">
        <v>-287.75138022822375</v>
      </c>
      <c r="AF18" s="435">
        <v>545.02909922471372</v>
      </c>
      <c r="AG18" s="435">
        <v>955.87131028606746</v>
      </c>
      <c r="AH18" s="435">
        <v>1788.6525566085329</v>
      </c>
      <c r="AI18" s="435">
        <v>1300.5312949866793</v>
      </c>
      <c r="AJ18" s="435">
        <v>1374.7864613608954</v>
      </c>
      <c r="AK18" s="435">
        <v>915.68701213516806</v>
      </c>
      <c r="AL18" s="435">
        <v>212.39492516878818</v>
      </c>
      <c r="AM18" s="435">
        <v>-67.276428187190959</v>
      </c>
      <c r="AN18" s="435">
        <v>406.28740026692503</v>
      </c>
      <c r="AO18" s="435">
        <v>304.96794000213413</v>
      </c>
      <c r="AP18" s="435">
        <v>-3038.1973761429945</v>
      </c>
      <c r="AQ18" s="435">
        <v>-1528.867410532021</v>
      </c>
      <c r="AR18" s="435">
        <v>-1167.5343319682333</v>
      </c>
      <c r="AS18" s="435">
        <v>-878.9767899945009</v>
      </c>
      <c r="AT18" s="435">
        <v>14.046196289878026</v>
      </c>
      <c r="AU18" s="435">
        <v>509.91913939089727</v>
      </c>
      <c r="AV18" s="435">
        <v>-196.83905120376676</v>
      </c>
      <c r="AW18" s="435">
        <v>-92.556458223768914</v>
      </c>
      <c r="AX18" s="435">
        <v>-101.52680811934351</v>
      </c>
      <c r="AY18" s="435">
        <v>10.607914215916935</v>
      </c>
      <c r="BA18" s="360"/>
      <c r="BB18" s="360"/>
    </row>
    <row r="19" spans="2:54">
      <c r="B19" s="271">
        <v>10065</v>
      </c>
      <c r="C19" s="271" t="s">
        <v>22</v>
      </c>
      <c r="D19" s="435">
        <v>-16.177867748486278</v>
      </c>
      <c r="E19" s="435">
        <v>41.269126334440671</v>
      </c>
      <c r="F19" s="435">
        <v>32.805251480885318</v>
      </c>
      <c r="G19" s="435">
        <v>80.724818274769518</v>
      </c>
      <c r="H19" s="435">
        <v>389.06224965171532</v>
      </c>
      <c r="I19" s="435">
        <v>366.7727863463241</v>
      </c>
      <c r="J19" s="435">
        <v>447.55713542881551</v>
      </c>
      <c r="K19" s="435">
        <v>343.6598066018563</v>
      </c>
      <c r="L19" s="435">
        <v>363.67025750580694</v>
      </c>
      <c r="M19" s="435">
        <v>248.8404007795167</v>
      </c>
      <c r="N19" s="435">
        <v>126.03870561256713</v>
      </c>
      <c r="O19" s="435">
        <v>74.803391296113091</v>
      </c>
      <c r="P19" s="435">
        <v>147.40187043877654</v>
      </c>
      <c r="Q19" s="435">
        <v>152.01316196783392</v>
      </c>
      <c r="R19" s="435">
        <v>-463.14413662376592</v>
      </c>
      <c r="S19" s="435">
        <v>-180.57569005097571</v>
      </c>
      <c r="T19" s="435">
        <v>-186.76055825307469</v>
      </c>
      <c r="U19" s="435">
        <v>-86.353316847388669</v>
      </c>
      <c r="V19" s="435">
        <v>-117.21797671124557</v>
      </c>
      <c r="W19" s="435">
        <v>66.35249023906033</v>
      </c>
      <c r="X19" s="435">
        <v>-90.622256919720598</v>
      </c>
      <c r="Y19" s="435">
        <v>0.80550895574560855</v>
      </c>
      <c r="Z19" s="435">
        <v>-12.634047229907537</v>
      </c>
      <c r="AA19" s="435">
        <v>37.773074793097521</v>
      </c>
      <c r="AB19" s="435">
        <v>-16.784539224865625</v>
      </c>
      <c r="AC19" s="435">
        <v>40.92349985907174</v>
      </c>
      <c r="AD19" s="435">
        <v>32.089883623548076</v>
      </c>
      <c r="AE19" s="435">
        <v>80.292217456560138</v>
      </c>
      <c r="AF19" s="435">
        <v>388.37190254009829</v>
      </c>
      <c r="AG19" s="435">
        <v>366.34510028590057</v>
      </c>
      <c r="AH19" s="435">
        <v>446.95944129247914</v>
      </c>
      <c r="AI19" s="435">
        <v>343.2873353644494</v>
      </c>
      <c r="AJ19" s="435">
        <v>398.14922562738127</v>
      </c>
      <c r="AK19" s="435">
        <v>266.02587990703012</v>
      </c>
      <c r="AL19" s="435">
        <v>125.40587810258489</v>
      </c>
      <c r="AM19" s="435">
        <v>74.41815566974617</v>
      </c>
      <c r="AN19" s="435">
        <v>146.87570501933124</v>
      </c>
      <c r="AO19" s="435">
        <v>151.69180618230433</v>
      </c>
      <c r="AP19" s="435">
        <v>-464.00532981663127</v>
      </c>
      <c r="AQ19" s="435">
        <v>-181.05395924347545</v>
      </c>
      <c r="AR19" s="435">
        <v>-187.45511015748104</v>
      </c>
      <c r="AS19" s="435">
        <v>-86.746445680358534</v>
      </c>
      <c r="AT19" s="435">
        <v>-117.86399967754687</v>
      </c>
      <c r="AU19" s="435">
        <v>66.006803351246162</v>
      </c>
      <c r="AV19" s="435">
        <v>-91.313269531862147</v>
      </c>
      <c r="AW19" s="435">
        <v>0.45423191071267865</v>
      </c>
      <c r="AX19" s="435">
        <v>-13.173590828522038</v>
      </c>
      <c r="AY19" s="435">
        <v>37.436211131937739</v>
      </c>
      <c r="BA19" s="360"/>
      <c r="BB19" s="360"/>
    </row>
    <row r="20" spans="2:54">
      <c r="B20" s="271">
        <v>10066</v>
      </c>
      <c r="C20" s="271" t="s">
        <v>23</v>
      </c>
      <c r="D20" s="435">
        <v>-1570.3334475759439</v>
      </c>
      <c r="E20" s="435">
        <v>-1613.242307614235</v>
      </c>
      <c r="F20" s="435">
        <v>37.372741280203627</v>
      </c>
      <c r="G20" s="435">
        <v>-144.9544390698029</v>
      </c>
      <c r="H20" s="435">
        <v>3237.2807376996279</v>
      </c>
      <c r="I20" s="435">
        <v>2502.8480328488067</v>
      </c>
      <c r="J20" s="435">
        <v>5229.4954770364802</v>
      </c>
      <c r="K20" s="435">
        <v>2992.2017819874754</v>
      </c>
      <c r="L20" s="435">
        <v>4345.829706881008</v>
      </c>
      <c r="M20" s="435">
        <v>2239.4306040028341</v>
      </c>
      <c r="N20" s="435">
        <v>1971.7402137491008</v>
      </c>
      <c r="O20" s="435">
        <v>218.59975856526216</v>
      </c>
      <c r="P20" s="435">
        <v>1099.3894692737176</v>
      </c>
      <c r="Q20" s="435">
        <v>95.879348155221123</v>
      </c>
      <c r="R20" s="435">
        <v>-5812.6379693118342</v>
      </c>
      <c r="S20" s="435">
        <v>-3680.210780993224</v>
      </c>
      <c r="T20" s="435">
        <v>-3450.5041840997474</v>
      </c>
      <c r="U20" s="435">
        <v>-2936.9227981368012</v>
      </c>
      <c r="V20" s="435">
        <v>-3503.6038691724734</v>
      </c>
      <c r="W20" s="435">
        <v>-1948.7282648732325</v>
      </c>
      <c r="X20" s="435">
        <v>-4088.2184441118625</v>
      </c>
      <c r="Y20" s="435">
        <v>-2818.1679766934176</v>
      </c>
      <c r="Z20" s="435">
        <v>-1550.6491558611033</v>
      </c>
      <c r="AA20" s="435">
        <v>-1723.2564966727596</v>
      </c>
      <c r="AB20" s="435">
        <v>-1570.3334475759439</v>
      </c>
      <c r="AC20" s="435">
        <v>-1613.242307614235</v>
      </c>
      <c r="AD20" s="435">
        <v>37.372741280203627</v>
      </c>
      <c r="AE20" s="435">
        <v>-144.9544390698029</v>
      </c>
      <c r="AF20" s="435">
        <v>3237.2807376996279</v>
      </c>
      <c r="AG20" s="435">
        <v>2502.8480328488067</v>
      </c>
      <c r="AH20" s="435">
        <v>5229.4954770364802</v>
      </c>
      <c r="AI20" s="435">
        <v>2992.2017819874754</v>
      </c>
      <c r="AJ20" s="435">
        <v>4731.9775479770087</v>
      </c>
      <c r="AK20" s="435">
        <v>2432.5045245508354</v>
      </c>
      <c r="AL20" s="435">
        <v>1971.7402137491008</v>
      </c>
      <c r="AM20" s="435">
        <v>218.59975856526216</v>
      </c>
      <c r="AN20" s="435">
        <v>1099.3894692737176</v>
      </c>
      <c r="AO20" s="435">
        <v>95.879348155221123</v>
      </c>
      <c r="AP20" s="435">
        <v>-5812.6379693118342</v>
      </c>
      <c r="AQ20" s="435">
        <v>-3680.210780993224</v>
      </c>
      <c r="AR20" s="435">
        <v>-3450.5041840997474</v>
      </c>
      <c r="AS20" s="435">
        <v>-2936.9227981368012</v>
      </c>
      <c r="AT20" s="435">
        <v>-3503.6038691724734</v>
      </c>
      <c r="AU20" s="435">
        <v>-1948.7282648732325</v>
      </c>
      <c r="AV20" s="435">
        <v>-4088.2184441118625</v>
      </c>
      <c r="AW20" s="435">
        <v>-2818.1679766934176</v>
      </c>
      <c r="AX20" s="435">
        <v>-1550.6491558611033</v>
      </c>
      <c r="AY20" s="435">
        <v>-1723.2564966727596</v>
      </c>
      <c r="BA20" s="360"/>
      <c r="BB20" s="360"/>
    </row>
    <row r="21" spans="2:54">
      <c r="B21" s="271">
        <v>10067</v>
      </c>
      <c r="C21" s="271" t="s">
        <v>24</v>
      </c>
      <c r="D21" s="435">
        <v>478.91839240390982</v>
      </c>
      <c r="E21" s="435">
        <v>206.19007873651572</v>
      </c>
      <c r="F21" s="435">
        <v>-272.14552003949666</v>
      </c>
      <c r="G21" s="435">
        <v>551.34482378010853</v>
      </c>
      <c r="H21" s="435">
        <v>866.00614321352441</v>
      </c>
      <c r="I21" s="435">
        <v>1244.4078323485637</v>
      </c>
      <c r="J21" s="435">
        <v>2621.6682609857435</v>
      </c>
      <c r="K21" s="435">
        <v>2119.6070724799356</v>
      </c>
      <c r="L21" s="435">
        <v>2013.5063360533832</v>
      </c>
      <c r="M21" s="435">
        <v>1534.7083413611749</v>
      </c>
      <c r="N21" s="435">
        <v>690.08947554736005</v>
      </c>
      <c r="O21" s="435">
        <v>679.99245029422764</v>
      </c>
      <c r="P21" s="435">
        <v>1280.7718209198074</v>
      </c>
      <c r="Q21" s="435">
        <v>719.30986528519361</v>
      </c>
      <c r="R21" s="435">
        <v>-2811.6986579862978</v>
      </c>
      <c r="S21" s="435">
        <v>-1167.4879938855365</v>
      </c>
      <c r="T21" s="435">
        <v>-1044.2226079209913</v>
      </c>
      <c r="U21" s="435">
        <v>-450.88486175771732</v>
      </c>
      <c r="V21" s="435">
        <v>-49.452567070935402</v>
      </c>
      <c r="W21" s="435">
        <v>534.63955316377996</v>
      </c>
      <c r="X21" s="435">
        <v>-630.62944516735934</v>
      </c>
      <c r="Y21" s="435">
        <v>169.44293995447651</v>
      </c>
      <c r="Z21" s="435">
        <v>158.35454153628325</v>
      </c>
      <c r="AA21" s="435">
        <v>176.2060400923001</v>
      </c>
      <c r="AB21" s="435">
        <v>20.486392403910031</v>
      </c>
      <c r="AC21" s="435">
        <v>-155.26592126348442</v>
      </c>
      <c r="AD21" s="435">
        <v>-712.94552003949684</v>
      </c>
      <c r="AE21" s="435">
        <v>197.60282378010834</v>
      </c>
      <c r="AF21" s="435">
        <v>407.57414321352462</v>
      </c>
      <c r="AG21" s="435">
        <v>882.95183234856358</v>
      </c>
      <c r="AH21" s="435">
        <v>2180.8682609857442</v>
      </c>
      <c r="AI21" s="435">
        <v>1740.5190724799359</v>
      </c>
      <c r="AJ21" s="435">
        <v>1840.9472905333841</v>
      </c>
      <c r="AK21" s="435">
        <v>1342.636818601175</v>
      </c>
      <c r="AL21" s="435">
        <v>214.02547554735975</v>
      </c>
      <c r="AM21" s="435">
        <v>337.27045029422789</v>
      </c>
      <c r="AN21" s="435">
        <v>839.97182091980721</v>
      </c>
      <c r="AO21" s="435">
        <v>366.66986528519374</v>
      </c>
      <c r="AP21" s="435">
        <v>-3270.1306579862976</v>
      </c>
      <c r="AQ21" s="435">
        <v>-1528.9439938855367</v>
      </c>
      <c r="AR21" s="435">
        <v>-1502.6546079209911</v>
      </c>
      <c r="AS21" s="435">
        <v>-785.89286175771758</v>
      </c>
      <c r="AT21" s="435">
        <v>-490.25256707093558</v>
      </c>
      <c r="AU21" s="435">
        <v>155.55155316377977</v>
      </c>
      <c r="AV21" s="435">
        <v>-1106.6934451673596</v>
      </c>
      <c r="AW21" s="435">
        <v>-174.38106004552355</v>
      </c>
      <c r="AX21" s="435">
        <v>-282.44545846371693</v>
      </c>
      <c r="AY21" s="435">
        <v>-176.43395990769977</v>
      </c>
      <c r="BA21" s="360"/>
      <c r="BB21" s="360"/>
    </row>
    <row r="22" spans="2:54">
      <c r="B22" s="271">
        <v>10068</v>
      </c>
      <c r="C22" s="271" t="s">
        <v>25</v>
      </c>
      <c r="D22" s="435">
        <v>-90.907974924146401</v>
      </c>
      <c r="E22" s="435">
        <v>-0.94400303857878498</v>
      </c>
      <c r="F22" s="435">
        <v>-57.342421791680636</v>
      </c>
      <c r="G22" s="435">
        <v>63.211873221015026</v>
      </c>
      <c r="H22" s="435">
        <v>253.47028972237513</v>
      </c>
      <c r="I22" s="435">
        <v>248.06781124943575</v>
      </c>
      <c r="J22" s="435">
        <v>344.8547415960229</v>
      </c>
      <c r="K22" s="435">
        <v>305.09367099844496</v>
      </c>
      <c r="L22" s="435">
        <v>225.80347909724605</v>
      </c>
      <c r="M22" s="435">
        <v>162.77303405973714</v>
      </c>
      <c r="N22" s="435">
        <v>37.826866372837685</v>
      </c>
      <c r="O22" s="435">
        <v>33.260321199200121</v>
      </c>
      <c r="P22" s="435">
        <v>49.796327314878567</v>
      </c>
      <c r="Q22" s="435">
        <v>27.12210420170959</v>
      </c>
      <c r="R22" s="435">
        <v>-671.58649788697551</v>
      </c>
      <c r="S22" s="435">
        <v>-295.08631320467327</v>
      </c>
      <c r="T22" s="435">
        <v>-344.80485362287732</v>
      </c>
      <c r="U22" s="435">
        <v>-187.76240232188138</v>
      </c>
      <c r="V22" s="435">
        <v>-163.21785511853454</v>
      </c>
      <c r="W22" s="435">
        <v>6.6712673387082759</v>
      </c>
      <c r="X22" s="435">
        <v>-251.2675342561115</v>
      </c>
      <c r="Y22" s="435">
        <v>-65.547966031649366</v>
      </c>
      <c r="Z22" s="435">
        <v>-105.38535501500633</v>
      </c>
      <c r="AA22" s="435">
        <v>-68.597591724277095</v>
      </c>
      <c r="AB22" s="435">
        <v>-90.907974924146401</v>
      </c>
      <c r="AC22" s="435">
        <v>-0.94400303857878498</v>
      </c>
      <c r="AD22" s="435">
        <v>-57.342421791680636</v>
      </c>
      <c r="AE22" s="435">
        <v>63.211873221015026</v>
      </c>
      <c r="AF22" s="435">
        <v>253.47028972237513</v>
      </c>
      <c r="AG22" s="435">
        <v>248.06781124943575</v>
      </c>
      <c r="AH22" s="435">
        <v>344.8547415960229</v>
      </c>
      <c r="AI22" s="435">
        <v>305.09367099844496</v>
      </c>
      <c r="AJ22" s="435">
        <v>267.50087624924618</v>
      </c>
      <c r="AK22" s="435">
        <v>183.6217326357372</v>
      </c>
      <c r="AL22" s="435">
        <v>37.826866372837685</v>
      </c>
      <c r="AM22" s="435">
        <v>33.260321199200121</v>
      </c>
      <c r="AN22" s="435">
        <v>49.796327314878567</v>
      </c>
      <c r="AO22" s="435">
        <v>27.12210420170959</v>
      </c>
      <c r="AP22" s="435">
        <v>-671.58649788697551</v>
      </c>
      <c r="AQ22" s="435">
        <v>-295.08631320467327</v>
      </c>
      <c r="AR22" s="435">
        <v>-344.80485362287732</v>
      </c>
      <c r="AS22" s="435">
        <v>-187.76240232188138</v>
      </c>
      <c r="AT22" s="435">
        <v>-163.21785511853454</v>
      </c>
      <c r="AU22" s="435">
        <v>6.6712673387082759</v>
      </c>
      <c r="AV22" s="435">
        <v>-251.2675342561115</v>
      </c>
      <c r="AW22" s="435">
        <v>-65.547966031649366</v>
      </c>
      <c r="AX22" s="435">
        <v>-105.38535501500633</v>
      </c>
      <c r="AY22" s="435">
        <v>-68.597591724277095</v>
      </c>
      <c r="BA22" s="360"/>
      <c r="BB22" s="360"/>
    </row>
    <row r="23" spans="2:54">
      <c r="B23" s="271">
        <v>10070</v>
      </c>
      <c r="C23" s="271" t="s">
        <v>26</v>
      </c>
      <c r="D23" s="435">
        <v>-5.2905550003929136</v>
      </c>
      <c r="E23" s="435">
        <v>4.2768752562706283</v>
      </c>
      <c r="F23" s="435">
        <v>-5.7094357637121789</v>
      </c>
      <c r="G23" s="435">
        <v>9.403392174779114</v>
      </c>
      <c r="H23" s="435">
        <v>32.320833649240797</v>
      </c>
      <c r="I23" s="435">
        <v>50.16174065238836</v>
      </c>
      <c r="J23" s="435">
        <v>68.721689370519726</v>
      </c>
      <c r="K23" s="435">
        <v>56.485305698609324</v>
      </c>
      <c r="L23" s="435">
        <v>45.402695439818046</v>
      </c>
      <c r="M23" s="435">
        <v>37.180094668367218</v>
      </c>
      <c r="N23" s="435">
        <v>10.857812464469873</v>
      </c>
      <c r="O23" s="435">
        <v>9.1261509027850138</v>
      </c>
      <c r="P23" s="435">
        <v>19.962983460867719</v>
      </c>
      <c r="Q23" s="435">
        <v>21.623630475473874</v>
      </c>
      <c r="R23" s="435">
        <v>-66.685070987830557</v>
      </c>
      <c r="S23" s="435">
        <v>-23.413374894955538</v>
      </c>
      <c r="T23" s="435">
        <v>-31.081183719298394</v>
      </c>
      <c r="U23" s="435">
        <v>-10.46472357436113</v>
      </c>
      <c r="V23" s="435">
        <v>-21.093833440572212</v>
      </c>
      <c r="W23" s="435">
        <v>11.152530495193943</v>
      </c>
      <c r="X23" s="435">
        <v>-20.330203483950868</v>
      </c>
      <c r="Y23" s="435">
        <v>-2.2733694383917111</v>
      </c>
      <c r="Z23" s="435">
        <v>-3.1100740481305422</v>
      </c>
      <c r="AA23" s="435">
        <v>5.171630065398503</v>
      </c>
      <c r="AB23" s="435">
        <v>-5.2905550003929136</v>
      </c>
      <c r="AC23" s="435">
        <v>4.2768752562706283</v>
      </c>
      <c r="AD23" s="435">
        <v>-5.7094357637121789</v>
      </c>
      <c r="AE23" s="435">
        <v>9.403392174779114</v>
      </c>
      <c r="AF23" s="435">
        <v>32.320833649240797</v>
      </c>
      <c r="AG23" s="435">
        <v>50.16174065238836</v>
      </c>
      <c r="AH23" s="435">
        <v>68.721689370519726</v>
      </c>
      <c r="AI23" s="435">
        <v>56.485305698609324</v>
      </c>
      <c r="AJ23" s="435">
        <v>51.078546927818053</v>
      </c>
      <c r="AK23" s="435">
        <v>40.018020412367221</v>
      </c>
      <c r="AL23" s="435">
        <v>10.857812464469873</v>
      </c>
      <c r="AM23" s="435">
        <v>9.1261509027850138</v>
      </c>
      <c r="AN23" s="435">
        <v>19.962983460867719</v>
      </c>
      <c r="AO23" s="435">
        <v>21.623630475473874</v>
      </c>
      <c r="AP23" s="435">
        <v>-66.685070987830557</v>
      </c>
      <c r="AQ23" s="435">
        <v>-23.413374894955538</v>
      </c>
      <c r="AR23" s="435">
        <v>-31.081183719298394</v>
      </c>
      <c r="AS23" s="435">
        <v>-10.46472357436113</v>
      </c>
      <c r="AT23" s="435">
        <v>-21.093833440572212</v>
      </c>
      <c r="AU23" s="435">
        <v>11.152530495193943</v>
      </c>
      <c r="AV23" s="435">
        <v>-20.330203483950868</v>
      </c>
      <c r="AW23" s="435">
        <v>-2.2733694383917111</v>
      </c>
      <c r="AX23" s="435">
        <v>-3.1100740481305422</v>
      </c>
      <c r="AY23" s="435">
        <v>5.171630065398503</v>
      </c>
      <c r="BA23" s="360"/>
      <c r="BB23" s="360"/>
    </row>
    <row r="24" spans="2:54">
      <c r="B24" s="271">
        <v>10071</v>
      </c>
      <c r="C24" s="271" t="s">
        <v>27</v>
      </c>
      <c r="D24" s="435">
        <v>-65.612529185170843</v>
      </c>
      <c r="E24" s="435">
        <v>-11.657940313435518</v>
      </c>
      <c r="F24" s="435">
        <v>5.1631336644123849</v>
      </c>
      <c r="G24" s="435">
        <v>36.864389280561568</v>
      </c>
      <c r="H24" s="435">
        <v>165.19079597970222</v>
      </c>
      <c r="I24" s="435">
        <v>182.54017297487087</v>
      </c>
      <c r="J24" s="435">
        <v>267.25520992315171</v>
      </c>
      <c r="K24" s="435">
        <v>190.1952952199299</v>
      </c>
      <c r="L24" s="435">
        <v>242.5551813368229</v>
      </c>
      <c r="M24" s="435">
        <v>149.52089374924611</v>
      </c>
      <c r="N24" s="435">
        <v>78.654655198889259</v>
      </c>
      <c r="O24" s="435">
        <v>21.436637206813657</v>
      </c>
      <c r="P24" s="435">
        <v>115.78444310286579</v>
      </c>
      <c r="Q24" s="435">
        <v>92.236521143526659</v>
      </c>
      <c r="R24" s="435">
        <v>-428.75575931488163</v>
      </c>
      <c r="S24" s="435">
        <v>-197.9164288185122</v>
      </c>
      <c r="T24" s="435">
        <v>-246.04921023207703</v>
      </c>
      <c r="U24" s="435">
        <v>-147.29839075667405</v>
      </c>
      <c r="V24" s="435">
        <v>-193.13017675423919</v>
      </c>
      <c r="W24" s="435">
        <v>-38.023950207772486</v>
      </c>
      <c r="X24" s="435">
        <v>-183.39462098213903</v>
      </c>
      <c r="Y24" s="435">
        <v>-80.521588632349392</v>
      </c>
      <c r="Z24" s="435">
        <v>-66.374435119437749</v>
      </c>
      <c r="AA24" s="435">
        <v>-35.057420024494149</v>
      </c>
      <c r="AB24" s="435">
        <v>-65.612529185170843</v>
      </c>
      <c r="AC24" s="435">
        <v>-11.657940313435518</v>
      </c>
      <c r="AD24" s="435">
        <v>5.1631336644123849</v>
      </c>
      <c r="AE24" s="435">
        <v>36.864389280561568</v>
      </c>
      <c r="AF24" s="435">
        <v>165.19079597970222</v>
      </c>
      <c r="AG24" s="435">
        <v>182.54017297487087</v>
      </c>
      <c r="AH24" s="435">
        <v>267.25520992315171</v>
      </c>
      <c r="AI24" s="435">
        <v>190.1952952199299</v>
      </c>
      <c r="AJ24" s="435">
        <v>272.88970257682297</v>
      </c>
      <c r="AK24" s="435">
        <v>164.68815436924615</v>
      </c>
      <c r="AL24" s="435">
        <v>78.654655198889259</v>
      </c>
      <c r="AM24" s="435">
        <v>21.436637206813657</v>
      </c>
      <c r="AN24" s="435">
        <v>115.78444310286579</v>
      </c>
      <c r="AO24" s="435">
        <v>92.236521143526659</v>
      </c>
      <c r="AP24" s="435">
        <v>-428.75575931488163</v>
      </c>
      <c r="AQ24" s="435">
        <v>-197.9164288185122</v>
      </c>
      <c r="AR24" s="435">
        <v>-246.04921023207703</v>
      </c>
      <c r="AS24" s="435">
        <v>-147.29839075667405</v>
      </c>
      <c r="AT24" s="435">
        <v>-193.13017675423919</v>
      </c>
      <c r="AU24" s="435">
        <v>-38.023950207772486</v>
      </c>
      <c r="AV24" s="435">
        <v>-183.39462098213903</v>
      </c>
      <c r="AW24" s="435">
        <v>-80.521588632349392</v>
      </c>
      <c r="AX24" s="435">
        <v>-66.374435119437749</v>
      </c>
      <c r="AY24" s="435">
        <v>-35.057420024494149</v>
      </c>
      <c r="BA24" s="360"/>
      <c r="BB24" s="360"/>
    </row>
    <row r="25" spans="2:54">
      <c r="B25" s="271">
        <v>10072</v>
      </c>
      <c r="C25" s="271" t="s">
        <v>28</v>
      </c>
      <c r="D25" s="435">
        <v>658.67821564298902</v>
      </c>
      <c r="E25" s="435">
        <v>409.63541282529786</v>
      </c>
      <c r="F25" s="435">
        <v>-1110.5340461659907</v>
      </c>
      <c r="G25" s="435">
        <v>114.85268716513383</v>
      </c>
      <c r="H25" s="435">
        <v>1143.4177140617739</v>
      </c>
      <c r="I25" s="435">
        <v>1392.2142285559512</v>
      </c>
      <c r="J25" s="435">
        <v>3005.7999057335328</v>
      </c>
      <c r="K25" s="435">
        <v>2517.0620791305246</v>
      </c>
      <c r="L25" s="435">
        <v>1955.6772018057727</v>
      </c>
      <c r="M25" s="435">
        <v>1257.9497155154186</v>
      </c>
      <c r="N25" s="435">
        <v>-246.96497974076374</v>
      </c>
      <c r="O25" s="435">
        <v>-108.93259074426533</v>
      </c>
      <c r="P25" s="435">
        <v>800.74520775037308</v>
      </c>
      <c r="Q25" s="435">
        <v>190.86722285416454</v>
      </c>
      <c r="R25" s="435">
        <v>-5615.9540514845285</v>
      </c>
      <c r="S25" s="435">
        <v>-2465.7493492670219</v>
      </c>
      <c r="T25" s="435">
        <v>-2306.6645825312971</v>
      </c>
      <c r="U25" s="435">
        <v>-1230.7026758206166</v>
      </c>
      <c r="V25" s="435">
        <v>-950.88151899011609</v>
      </c>
      <c r="W25" s="435">
        <v>299.28215960739362</v>
      </c>
      <c r="X25" s="435">
        <v>-1381.3874568547253</v>
      </c>
      <c r="Y25" s="435">
        <v>-52.628873741781717</v>
      </c>
      <c r="Z25" s="435">
        <v>-534.77835084414073</v>
      </c>
      <c r="AA25" s="435">
        <v>-238.57569436206177</v>
      </c>
      <c r="AB25" s="435">
        <v>549.01421564298835</v>
      </c>
      <c r="AC25" s="435">
        <v>311.7234128252976</v>
      </c>
      <c r="AD25" s="435">
        <v>-1228.5340461659907</v>
      </c>
      <c r="AE25" s="435">
        <v>31.693687165134179</v>
      </c>
      <c r="AF25" s="435">
        <v>1027.3537140617736</v>
      </c>
      <c r="AG25" s="435">
        <v>1300.7022285559524</v>
      </c>
      <c r="AH25" s="435">
        <v>2894.1999057335324</v>
      </c>
      <c r="AI25" s="435">
        <v>2421.086079130524</v>
      </c>
      <c r="AJ25" s="435">
        <v>2234.9104092937741</v>
      </c>
      <c r="AK25" s="435">
        <v>1370.7823192594196</v>
      </c>
      <c r="AL25" s="435">
        <v>-367.49297974076399</v>
      </c>
      <c r="AM25" s="435">
        <v>-195.70159074426556</v>
      </c>
      <c r="AN25" s="435">
        <v>695.54520775037236</v>
      </c>
      <c r="AO25" s="435">
        <v>95.187222854165157</v>
      </c>
      <c r="AP25" s="435">
        <v>-5738.4180514845284</v>
      </c>
      <c r="AQ25" s="435">
        <v>-2550.861349267022</v>
      </c>
      <c r="AR25" s="435">
        <v>-2422.7285825312974</v>
      </c>
      <c r="AS25" s="435">
        <v>-1315.5186758206164</v>
      </c>
      <c r="AT25" s="435">
        <v>-1062.4815189901165</v>
      </c>
      <c r="AU25" s="435">
        <v>203.30615960739397</v>
      </c>
      <c r="AV25" s="435">
        <v>-1501.9154568547256</v>
      </c>
      <c r="AW25" s="435">
        <v>-139.67687374178149</v>
      </c>
      <c r="AX25" s="435">
        <v>-646.3783508441411</v>
      </c>
      <c r="AY25" s="435">
        <v>-327.85569436206151</v>
      </c>
      <c r="BA25" s="360"/>
      <c r="BB25" s="360"/>
    </row>
    <row r="26" spans="2:54">
      <c r="B26" s="271">
        <v>10074</v>
      </c>
      <c r="C26" s="271" t="s">
        <v>29</v>
      </c>
      <c r="D26" s="435">
        <v>-234.94032588556547</v>
      </c>
      <c r="E26" s="435">
        <v>-108.8924742686786</v>
      </c>
      <c r="F26" s="435">
        <v>477.18119096146256</v>
      </c>
      <c r="G26" s="435">
        <v>585.11742070298624</v>
      </c>
      <c r="H26" s="435">
        <v>1893.2481688707176</v>
      </c>
      <c r="I26" s="435">
        <v>1859.9652658748382</v>
      </c>
      <c r="J26" s="435">
        <v>4255.5294817172344</v>
      </c>
      <c r="K26" s="435">
        <v>2483.1898951147277</v>
      </c>
      <c r="L26" s="435">
        <v>3950.4416483393616</v>
      </c>
      <c r="M26" s="435">
        <v>2144.1469940295483</v>
      </c>
      <c r="N26" s="435">
        <v>2329.051752397927</v>
      </c>
      <c r="O26" s="435">
        <v>597.67480257613443</v>
      </c>
      <c r="P26" s="435">
        <v>3006.4505122221472</v>
      </c>
      <c r="Q26" s="435">
        <v>1803.8945714576867</v>
      </c>
      <c r="R26" s="435">
        <v>-4681.5474192254806</v>
      </c>
      <c r="S26" s="435">
        <v>-2401.6407183079382</v>
      </c>
      <c r="T26" s="435">
        <v>-2270.8162035179012</v>
      </c>
      <c r="U26" s="435">
        <v>-1738.9378265415389</v>
      </c>
      <c r="V26" s="435">
        <v>-330.41148797427377</v>
      </c>
      <c r="W26" s="435">
        <v>671.27461288711311</v>
      </c>
      <c r="X26" s="435">
        <v>-117.3141027997026</v>
      </c>
      <c r="Y26" s="435">
        <v>-52.660776457533757</v>
      </c>
      <c r="Z26" s="435">
        <v>1169.9444296080401</v>
      </c>
      <c r="AA26" s="435">
        <v>668.02682634740813</v>
      </c>
      <c r="AB26" s="435">
        <v>-234.94032588556547</v>
      </c>
      <c r="AC26" s="435">
        <v>-108.8924742686786</v>
      </c>
      <c r="AD26" s="435">
        <v>477.18119096146256</v>
      </c>
      <c r="AE26" s="435">
        <v>585.11742070298624</v>
      </c>
      <c r="AF26" s="435">
        <v>1893.2481688707176</v>
      </c>
      <c r="AG26" s="435">
        <v>1859.9652658748382</v>
      </c>
      <c r="AH26" s="435">
        <v>4255.5294817172344</v>
      </c>
      <c r="AI26" s="435">
        <v>2483.1898951147277</v>
      </c>
      <c r="AJ26" s="435">
        <v>4373.1920277713634</v>
      </c>
      <c r="AK26" s="435">
        <v>2355.5221837455492</v>
      </c>
      <c r="AL26" s="435">
        <v>2329.051752397927</v>
      </c>
      <c r="AM26" s="435">
        <v>597.67480257613443</v>
      </c>
      <c r="AN26" s="435">
        <v>3006.4505122221472</v>
      </c>
      <c r="AO26" s="435">
        <v>1803.8945714576867</v>
      </c>
      <c r="AP26" s="435">
        <v>-4681.5474192254806</v>
      </c>
      <c r="AQ26" s="435">
        <v>-2401.6407183079382</v>
      </c>
      <c r="AR26" s="435">
        <v>-2270.8162035179012</v>
      </c>
      <c r="AS26" s="435">
        <v>-1738.9378265415389</v>
      </c>
      <c r="AT26" s="435">
        <v>-330.41148797427377</v>
      </c>
      <c r="AU26" s="435">
        <v>671.27461288711311</v>
      </c>
      <c r="AV26" s="435">
        <v>-117.3141027997026</v>
      </c>
      <c r="AW26" s="435">
        <v>-52.660776457533757</v>
      </c>
      <c r="AX26" s="435">
        <v>1169.9444296080401</v>
      </c>
      <c r="AY26" s="435">
        <v>668.02682634740813</v>
      </c>
      <c r="BA26" s="360"/>
      <c r="BB26" s="360"/>
    </row>
    <row r="27" spans="2:54">
      <c r="B27" s="271">
        <v>10076</v>
      </c>
      <c r="C27" s="271" t="s">
        <v>30</v>
      </c>
      <c r="D27" s="435">
        <v>-401.72942757418082</v>
      </c>
      <c r="E27" s="435">
        <v>-73.91322662286484</v>
      </c>
      <c r="F27" s="435">
        <v>-426.47291673605855</v>
      </c>
      <c r="G27" s="435">
        <v>-172.64709459465348</v>
      </c>
      <c r="H27" s="435">
        <v>-7.7535597284177129</v>
      </c>
      <c r="I27" s="435">
        <v>364.99826062296256</v>
      </c>
      <c r="J27" s="435">
        <v>492.82367734255968</v>
      </c>
      <c r="K27" s="435">
        <v>409.92348863622124</v>
      </c>
      <c r="L27" s="435">
        <v>245.51690265629395</v>
      </c>
      <c r="M27" s="435">
        <v>287.0151017315286</v>
      </c>
      <c r="N27" s="435">
        <v>-169.0923603448939</v>
      </c>
      <c r="O27" s="435">
        <v>-80.880281856447709</v>
      </c>
      <c r="P27" s="435">
        <v>-119.28899011577278</v>
      </c>
      <c r="Q27" s="435">
        <v>81.797314523547357</v>
      </c>
      <c r="R27" s="435">
        <v>-1225.3773502320278</v>
      </c>
      <c r="S27" s="435">
        <v>-676.00542698315166</v>
      </c>
      <c r="T27" s="435">
        <v>-593.29202950103809</v>
      </c>
      <c r="U27" s="435">
        <v>-398.17052900878093</v>
      </c>
      <c r="V27" s="435">
        <v>-370.85944140265474</v>
      </c>
      <c r="W27" s="435">
        <v>-40.180565329389765</v>
      </c>
      <c r="X27" s="435">
        <v>-508.25957676942585</v>
      </c>
      <c r="Y27" s="435">
        <v>-283.64374731034195</v>
      </c>
      <c r="Z27" s="435">
        <v>-331.210161068464</v>
      </c>
      <c r="AA27" s="435">
        <v>-115.7138346914619</v>
      </c>
      <c r="AB27" s="435">
        <v>-499.31342757418088</v>
      </c>
      <c r="AC27" s="435">
        <v>-227.05722662286485</v>
      </c>
      <c r="AD27" s="435">
        <v>-603.88091673605868</v>
      </c>
      <c r="AE27" s="435">
        <v>-238.21609459465344</v>
      </c>
      <c r="AF27" s="435">
        <v>-147.94555972841772</v>
      </c>
      <c r="AG27" s="435">
        <v>254.4622606229625</v>
      </c>
      <c r="AH27" s="435">
        <v>358.02367734255949</v>
      </c>
      <c r="AI27" s="435">
        <v>293.99548863622113</v>
      </c>
      <c r="AJ27" s="435">
        <v>235.03922847229387</v>
      </c>
      <c r="AK27" s="435">
        <v>249.4242646395287</v>
      </c>
      <c r="AL27" s="435">
        <v>-314.67636034489396</v>
      </c>
      <c r="AM27" s="435">
        <v>-185.68728185644773</v>
      </c>
      <c r="AN27" s="435">
        <v>-211.48099011577278</v>
      </c>
      <c r="AO27" s="435">
        <v>-68.650685476452736</v>
      </c>
      <c r="AP27" s="435">
        <v>-1408.1773502320279</v>
      </c>
      <c r="AQ27" s="435">
        <v>-743.93342698315178</v>
      </c>
      <c r="AR27" s="435">
        <v>-733.48402950103809</v>
      </c>
      <c r="AS27" s="435">
        <v>-500.61852900878102</v>
      </c>
      <c r="AT27" s="435">
        <v>-505.65944140265492</v>
      </c>
      <c r="AU27" s="435">
        <v>-156.10856532938988</v>
      </c>
      <c r="AV27" s="435">
        <v>-653.84357676942591</v>
      </c>
      <c r="AW27" s="435">
        <v>-388.78774731034196</v>
      </c>
      <c r="AX27" s="435">
        <v>-466.01016106846419</v>
      </c>
      <c r="AY27" s="435">
        <v>-223.55383469146204</v>
      </c>
      <c r="BA27" s="360"/>
      <c r="BB27" s="360"/>
    </row>
    <row r="28" spans="2:54">
      <c r="B28" s="271">
        <v>10078</v>
      </c>
      <c r="C28" s="271" t="s">
        <v>31</v>
      </c>
      <c r="D28" s="435">
        <v>136.47519361814261</v>
      </c>
      <c r="E28" s="435">
        <v>-59.977223831389551</v>
      </c>
      <c r="F28" s="435">
        <v>133.32952808027721</v>
      </c>
      <c r="G28" s="435">
        <v>-13.974465160856425</v>
      </c>
      <c r="H28" s="435">
        <v>321.0508902782824</v>
      </c>
      <c r="I28" s="435">
        <v>224.66138349066227</v>
      </c>
      <c r="J28" s="435">
        <v>706.6289998865816</v>
      </c>
      <c r="K28" s="435">
        <v>301.93859678460615</v>
      </c>
      <c r="L28" s="435">
        <v>596.62393421299521</v>
      </c>
      <c r="M28" s="435">
        <v>233.83951552346014</v>
      </c>
      <c r="N28" s="435">
        <v>368.26836480441716</v>
      </c>
      <c r="O28" s="435">
        <v>10.260279049722044</v>
      </c>
      <c r="P28" s="435">
        <v>351.45748131980349</v>
      </c>
      <c r="Q28" s="435">
        <v>90.8609973232127</v>
      </c>
      <c r="R28" s="435">
        <v>-725.36961879245769</v>
      </c>
      <c r="S28" s="435">
        <v>-511.21744186955812</v>
      </c>
      <c r="T28" s="435">
        <v>-334.52300672247702</v>
      </c>
      <c r="U28" s="435">
        <v>-390.06217441609249</v>
      </c>
      <c r="V28" s="435">
        <v>-340.03596694489875</v>
      </c>
      <c r="W28" s="435">
        <v>-223.76470484303331</v>
      </c>
      <c r="X28" s="435">
        <v>-336.11183304524434</v>
      </c>
      <c r="Y28" s="435">
        <v>-314.67126166338846</v>
      </c>
      <c r="Z28" s="435">
        <v>29.576957096529441</v>
      </c>
      <c r="AA28" s="435">
        <v>-150.5568807674573</v>
      </c>
      <c r="AB28" s="435">
        <v>132.531829021676</v>
      </c>
      <c r="AC28" s="435">
        <v>-62.223795921288115</v>
      </c>
      <c r="AD28" s="435">
        <v>128.67963700758401</v>
      </c>
      <c r="AE28" s="435">
        <v>-16.786370479218249</v>
      </c>
      <c r="AF28" s="435">
        <v>316.56363405277102</v>
      </c>
      <c r="AG28" s="435">
        <v>221.88142409790839</v>
      </c>
      <c r="AH28" s="435">
        <v>702.74398800039421</v>
      </c>
      <c r="AI28" s="435">
        <v>299.5175337414604</v>
      </c>
      <c r="AJ28" s="435">
        <v>649.60695275922694</v>
      </c>
      <c r="AK28" s="435">
        <v>259.97999273029643</v>
      </c>
      <c r="AL28" s="435">
        <v>364.15498598953172</v>
      </c>
      <c r="AM28" s="435">
        <v>7.7562474783366042</v>
      </c>
      <c r="AN28" s="435">
        <v>348.03740609340844</v>
      </c>
      <c r="AO28" s="435">
        <v>88.772184717270079</v>
      </c>
      <c r="AP28" s="435">
        <v>-730.96737454608342</v>
      </c>
      <c r="AQ28" s="435">
        <v>-514.32619162080687</v>
      </c>
      <c r="AR28" s="435">
        <v>-339.03759410112025</v>
      </c>
      <c r="AS28" s="435">
        <v>-392.61751183039689</v>
      </c>
      <c r="AT28" s="435">
        <v>-344.23511622585806</v>
      </c>
      <c r="AU28" s="435">
        <v>-226.01166961382557</v>
      </c>
      <c r="AV28" s="435">
        <v>-340.60341502416418</v>
      </c>
      <c r="AW28" s="435">
        <v>-316.95456245610319</v>
      </c>
      <c r="AX28" s="435">
        <v>26.069923705534165</v>
      </c>
      <c r="AY28" s="435">
        <v>-152.74649456499628</v>
      </c>
      <c r="BA28" s="360"/>
      <c r="BB28" s="360"/>
    </row>
    <row r="29" spans="2:54">
      <c r="B29" s="271">
        <v>10079</v>
      </c>
      <c r="C29" s="271" t="s">
        <v>32</v>
      </c>
      <c r="D29" s="435">
        <v>-2532.9923747226931</v>
      </c>
      <c r="E29" s="435">
        <v>-842.06786654608368</v>
      </c>
      <c r="F29" s="435">
        <v>-4209.8988085946839</v>
      </c>
      <c r="G29" s="435">
        <v>-4648.2317552780878</v>
      </c>
      <c r="H29" s="435">
        <v>-3821.6417654166071</v>
      </c>
      <c r="I29" s="435">
        <v>-3290.6171837481379</v>
      </c>
      <c r="J29" s="435">
        <v>6569.5869021033941</v>
      </c>
      <c r="K29" s="435">
        <v>1011.9637660738335</v>
      </c>
      <c r="L29" s="435">
        <v>4459.5851873734864</v>
      </c>
      <c r="M29" s="435">
        <v>1269.1506604763272</v>
      </c>
      <c r="N29" s="435">
        <v>752.91324839023582</v>
      </c>
      <c r="O29" s="435">
        <v>-2736.6285960904606</v>
      </c>
      <c r="P29" s="435">
        <v>5176.6108108539702</v>
      </c>
      <c r="Q29" s="435">
        <v>2633.4539329019717</v>
      </c>
      <c r="R29" s="435">
        <v>-16788.512611142338</v>
      </c>
      <c r="S29" s="435">
        <v>-9419.5371842815548</v>
      </c>
      <c r="T29" s="435">
        <v>-7198.9006154104572</v>
      </c>
      <c r="U29" s="435">
        <v>-5935.4457661127235</v>
      </c>
      <c r="V29" s="435">
        <v>-5011.5348761339192</v>
      </c>
      <c r="W29" s="435">
        <v>-959.89791303141465</v>
      </c>
      <c r="X29" s="435">
        <v>-4790.5025237011505</v>
      </c>
      <c r="Y29" s="435">
        <v>-2365.058132510585</v>
      </c>
      <c r="Z29" s="435">
        <v>913.4826710111447</v>
      </c>
      <c r="AA29" s="435">
        <v>-417.81895937488298</v>
      </c>
      <c r="AB29" s="435">
        <v>-3120.1123747226957</v>
      </c>
      <c r="AC29" s="435">
        <v>-1464.6918665460835</v>
      </c>
      <c r="AD29" s="435">
        <v>-4949.5948085946875</v>
      </c>
      <c r="AE29" s="435">
        <v>-5080.8817552780893</v>
      </c>
      <c r="AF29" s="435">
        <v>-4498.0577654166045</v>
      </c>
      <c r="AG29" s="435">
        <v>-3823.9451837481392</v>
      </c>
      <c r="AH29" s="435">
        <v>5919.1869021033926</v>
      </c>
      <c r="AI29" s="435">
        <v>452.61976607383622</v>
      </c>
      <c r="AJ29" s="435">
        <v>5321.5834506854881</v>
      </c>
      <c r="AK29" s="435">
        <v>1544.0537921323303</v>
      </c>
      <c r="AL29" s="435">
        <v>50.481248390235123</v>
      </c>
      <c r="AM29" s="435">
        <v>-3242.3145960904621</v>
      </c>
      <c r="AN29" s="435">
        <v>4615.5068108539708</v>
      </c>
      <c r="AO29" s="435">
        <v>2023.8379329019699</v>
      </c>
      <c r="AP29" s="435">
        <v>-17554.224611142337</v>
      </c>
      <c r="AQ29" s="435">
        <v>-9863.569184281554</v>
      </c>
      <c r="AR29" s="435">
        <v>-7875.3166154104547</v>
      </c>
      <c r="AS29" s="435">
        <v>-6429.7497661127236</v>
      </c>
      <c r="AT29" s="435">
        <v>-5661.9348761339206</v>
      </c>
      <c r="AU29" s="435">
        <v>-1519.241913031412</v>
      </c>
      <c r="AV29" s="435">
        <v>-5492.9345237011512</v>
      </c>
      <c r="AW29" s="435">
        <v>-2872.3701325105831</v>
      </c>
      <c r="AX29" s="435">
        <v>263.08267101114325</v>
      </c>
      <c r="AY29" s="435">
        <v>-938.13895937488269</v>
      </c>
      <c r="BA29" s="360"/>
      <c r="BB29" s="360"/>
    </row>
    <row r="30" spans="2:54">
      <c r="B30" s="271">
        <v>10080</v>
      </c>
      <c r="C30" s="271" t="s">
        <v>33</v>
      </c>
      <c r="D30" s="435">
        <v>-369.60435921091266</v>
      </c>
      <c r="E30" s="435">
        <v>-49.53959138312257</v>
      </c>
      <c r="F30" s="435">
        <v>-345.5380278117027</v>
      </c>
      <c r="G30" s="435">
        <v>-9.4308140097527939</v>
      </c>
      <c r="H30" s="435">
        <v>9.3868539985119241</v>
      </c>
      <c r="I30" s="435">
        <v>328.36624641621074</v>
      </c>
      <c r="J30" s="435">
        <v>726.37366616561076</v>
      </c>
      <c r="K30" s="435">
        <v>588.62840077132955</v>
      </c>
      <c r="L30" s="435">
        <v>509.05605789937226</v>
      </c>
      <c r="M30" s="435">
        <v>397.57801826364607</v>
      </c>
      <c r="N30" s="435">
        <v>-105.76104638221523</v>
      </c>
      <c r="O30" s="435">
        <v>-58.876840019944893</v>
      </c>
      <c r="P30" s="435">
        <v>68.265825974113795</v>
      </c>
      <c r="Q30" s="435">
        <v>178.90962079502333</v>
      </c>
      <c r="R30" s="435">
        <v>-1942.2821093832149</v>
      </c>
      <c r="S30" s="435">
        <v>-853.68531745532709</v>
      </c>
      <c r="T30" s="435">
        <v>-1178.7659159842556</v>
      </c>
      <c r="U30" s="435">
        <v>-596.95677183393354</v>
      </c>
      <c r="V30" s="435">
        <v>-956.25508982447673</v>
      </c>
      <c r="W30" s="435">
        <v>-133.90711600035388</v>
      </c>
      <c r="X30" s="435">
        <v>-1029.6369975162643</v>
      </c>
      <c r="Y30" s="435">
        <v>-338.10321993669413</v>
      </c>
      <c r="Z30" s="435">
        <v>-478.80662369593847</v>
      </c>
      <c r="AA30" s="435">
        <v>-132.41065346530081</v>
      </c>
      <c r="AB30" s="435">
        <v>-369.60435921091266</v>
      </c>
      <c r="AC30" s="435">
        <v>-49.53959138312257</v>
      </c>
      <c r="AD30" s="435">
        <v>-345.5380278117027</v>
      </c>
      <c r="AE30" s="435">
        <v>-9.4308140097527939</v>
      </c>
      <c r="AF30" s="435">
        <v>9.3868539985119241</v>
      </c>
      <c r="AG30" s="435">
        <v>328.36624641621074</v>
      </c>
      <c r="AH30" s="435">
        <v>726.37366616561076</v>
      </c>
      <c r="AI30" s="435">
        <v>588.62840077132955</v>
      </c>
      <c r="AJ30" s="435">
        <v>626.87466801937262</v>
      </c>
      <c r="AK30" s="435">
        <v>456.48732332364625</v>
      </c>
      <c r="AL30" s="435">
        <v>-105.76104638221523</v>
      </c>
      <c r="AM30" s="435">
        <v>-58.876840019944893</v>
      </c>
      <c r="AN30" s="435">
        <v>68.265825974113795</v>
      </c>
      <c r="AO30" s="435">
        <v>178.90962079502333</v>
      </c>
      <c r="AP30" s="435">
        <v>-1942.2821093832149</v>
      </c>
      <c r="AQ30" s="435">
        <v>-853.68531745532709</v>
      </c>
      <c r="AR30" s="435">
        <v>-1178.7659159842556</v>
      </c>
      <c r="AS30" s="435">
        <v>-596.95677183393354</v>
      </c>
      <c r="AT30" s="435">
        <v>-956.25508982447673</v>
      </c>
      <c r="AU30" s="435">
        <v>-133.90711600035388</v>
      </c>
      <c r="AV30" s="435">
        <v>-1029.6369975162643</v>
      </c>
      <c r="AW30" s="435">
        <v>-338.10321993669413</v>
      </c>
      <c r="AX30" s="435">
        <v>-478.80662369593847</v>
      </c>
      <c r="AY30" s="435">
        <v>-132.41065346530081</v>
      </c>
      <c r="BA30" s="360"/>
      <c r="BB30" s="360"/>
    </row>
    <row r="31" spans="2:54">
      <c r="B31" s="271">
        <v>10081</v>
      </c>
      <c r="C31" s="271" t="s">
        <v>34</v>
      </c>
      <c r="D31" s="435">
        <v>-952.27189739289952</v>
      </c>
      <c r="E31" s="435">
        <v>-616.49662520126731</v>
      </c>
      <c r="F31" s="435">
        <v>-353.94604067062755</v>
      </c>
      <c r="G31" s="435">
        <v>-109.72202319723283</v>
      </c>
      <c r="H31" s="435">
        <v>1014.8806066206562</v>
      </c>
      <c r="I31" s="435">
        <v>1155.7643079647551</v>
      </c>
      <c r="J31" s="435">
        <v>1727.1088316928699</v>
      </c>
      <c r="K31" s="435">
        <v>1249.4012033740264</v>
      </c>
      <c r="L31" s="435">
        <v>902.34454112277581</v>
      </c>
      <c r="M31" s="435">
        <v>592.01016045184815</v>
      </c>
      <c r="N31" s="435">
        <v>-374.49838854475547</v>
      </c>
      <c r="O31" s="435">
        <v>-387.34795285385462</v>
      </c>
      <c r="P31" s="435">
        <v>140.27870980706848</v>
      </c>
      <c r="Q31" s="435">
        <v>98.732874385620107</v>
      </c>
      <c r="R31" s="435">
        <v>-2692.3229536235822</v>
      </c>
      <c r="S31" s="435">
        <v>-1570.3358430212538</v>
      </c>
      <c r="T31" s="435">
        <v>-1981.5889036623885</v>
      </c>
      <c r="U31" s="435">
        <v>-1555.6699042469613</v>
      </c>
      <c r="V31" s="435">
        <v>-411.22945116752999</v>
      </c>
      <c r="W31" s="435">
        <v>-121.16558057364</v>
      </c>
      <c r="X31" s="435">
        <v>-439.49076061133201</v>
      </c>
      <c r="Y31" s="435">
        <v>-545.79272950013274</v>
      </c>
      <c r="Z31" s="435">
        <v>-417.61379134072877</v>
      </c>
      <c r="AA31" s="435">
        <v>-397.06267647464074</v>
      </c>
      <c r="AB31" s="435">
        <v>-971.3820488988531</v>
      </c>
      <c r="AC31" s="435">
        <v>-627.38385917539108</v>
      </c>
      <c r="AD31" s="435">
        <v>-376.48012817675681</v>
      </c>
      <c r="AE31" s="435">
        <v>-123.34894897083268</v>
      </c>
      <c r="AF31" s="435">
        <v>993.13467260471589</v>
      </c>
      <c r="AG31" s="435">
        <v>1142.2921970614098</v>
      </c>
      <c r="AH31" s="435">
        <v>1708.281466398269</v>
      </c>
      <c r="AI31" s="435">
        <v>1237.6683593957046</v>
      </c>
      <c r="AJ31" s="435">
        <v>1044.8161406043605</v>
      </c>
      <c r="AK31" s="435">
        <v>661.54480479451649</v>
      </c>
      <c r="AL31" s="435">
        <v>-394.43245510920042</v>
      </c>
      <c r="AM31" s="435">
        <v>-399.48287508441445</v>
      </c>
      <c r="AN31" s="435">
        <v>123.70449909453828</v>
      </c>
      <c r="AO31" s="435">
        <v>88.610167141437159</v>
      </c>
      <c r="AP31" s="435">
        <v>-2719.4505391988441</v>
      </c>
      <c r="AQ31" s="435">
        <v>-1585.4013225849981</v>
      </c>
      <c r="AR31" s="435">
        <v>-2003.467288651198</v>
      </c>
      <c r="AS31" s="435">
        <v>-1568.0534624855136</v>
      </c>
      <c r="AT31" s="435">
        <v>-431.57917460602584</v>
      </c>
      <c r="AU31" s="435">
        <v>-132.05471753978736</v>
      </c>
      <c r="AV31" s="435">
        <v>-461.25765789379057</v>
      </c>
      <c r="AW31" s="435">
        <v>-556.85795641867344</v>
      </c>
      <c r="AX31" s="435">
        <v>-434.60941469709087</v>
      </c>
      <c r="AY31" s="435">
        <v>-407.67388180117587</v>
      </c>
      <c r="BA31" s="360"/>
      <c r="BB31" s="360"/>
    </row>
    <row r="32" spans="2:54">
      <c r="B32" s="271">
        <v>10082</v>
      </c>
      <c r="C32" s="271" t="s">
        <v>35</v>
      </c>
      <c r="D32" s="435">
        <v>-18.378725324929224</v>
      </c>
      <c r="E32" s="435">
        <v>-4.6135577425745815</v>
      </c>
      <c r="F32" s="435">
        <v>-10.781480373002132</v>
      </c>
      <c r="G32" s="435">
        <v>1.2850333159232221</v>
      </c>
      <c r="H32" s="435">
        <v>3.4367104032012818</v>
      </c>
      <c r="I32" s="435">
        <v>13.642586075471065</v>
      </c>
      <c r="J32" s="435">
        <v>14.181927888572275</v>
      </c>
      <c r="K32" s="435">
        <v>16.740594151325439</v>
      </c>
      <c r="L32" s="435">
        <v>7.0988215682880806</v>
      </c>
      <c r="M32" s="435">
        <v>10.27200872233043</v>
      </c>
      <c r="N32" s="435">
        <v>-3.8114420635657638</v>
      </c>
      <c r="O32" s="435">
        <v>1.1862964510904668</v>
      </c>
      <c r="P32" s="435">
        <v>-7.7734816848003234</v>
      </c>
      <c r="Q32" s="435">
        <v>1.3115034793351192</v>
      </c>
      <c r="R32" s="435">
        <v>-41.03924521853618</v>
      </c>
      <c r="S32" s="435">
        <v>-17.279939188735728</v>
      </c>
      <c r="T32" s="435">
        <v>-30.342980209144958</v>
      </c>
      <c r="U32" s="435">
        <v>-14.981999887048943</v>
      </c>
      <c r="V32" s="435">
        <v>-26.877871753569433</v>
      </c>
      <c r="W32" s="435">
        <v>-8.3904813568570553</v>
      </c>
      <c r="X32" s="435">
        <v>-29.668527889535419</v>
      </c>
      <c r="Y32" s="435">
        <v>-11.811079170192613</v>
      </c>
      <c r="Z32" s="435">
        <v>-22.025803287097009</v>
      </c>
      <c r="AA32" s="435">
        <v>-9.6333883845276418</v>
      </c>
      <c r="AB32" s="435">
        <v>-19.288732539498472</v>
      </c>
      <c r="AC32" s="435">
        <v>-5.1319974556281025</v>
      </c>
      <c r="AD32" s="435">
        <v>-11.854532159008308</v>
      </c>
      <c r="AE32" s="435">
        <v>0.63613208860892456</v>
      </c>
      <c r="AF32" s="435">
        <v>2.4011897357755316</v>
      </c>
      <c r="AG32" s="435">
        <v>13.001056984835564</v>
      </c>
      <c r="AH32" s="435">
        <v>13.285386684067468</v>
      </c>
      <c r="AI32" s="435">
        <v>16.181887295214864</v>
      </c>
      <c r="AJ32" s="435">
        <v>8.1312495866492114</v>
      </c>
      <c r="AK32" s="435">
        <v>10.707215331600317</v>
      </c>
      <c r="AL32" s="435">
        <v>-4.7606833285393719</v>
      </c>
      <c r="AM32" s="435">
        <v>0.60844301153998614</v>
      </c>
      <c r="AN32" s="435">
        <v>-8.5627298139684243</v>
      </c>
      <c r="AO32" s="435">
        <v>0.82946980104066981</v>
      </c>
      <c r="AP32" s="435">
        <v>-42.331035007834387</v>
      </c>
      <c r="AQ32" s="435">
        <v>-17.997342977485463</v>
      </c>
      <c r="AR32" s="435">
        <v>-31.384808065754985</v>
      </c>
      <c r="AS32" s="435">
        <v>-15.571693136503832</v>
      </c>
      <c r="AT32" s="435">
        <v>-27.846906203021629</v>
      </c>
      <c r="AU32" s="435">
        <v>-8.909011688578353</v>
      </c>
      <c r="AV32" s="435">
        <v>-30.705046807747728</v>
      </c>
      <c r="AW32" s="435">
        <v>-12.337994737742171</v>
      </c>
      <c r="AX32" s="435">
        <v>-22.835118685019037</v>
      </c>
      <c r="AY32" s="435">
        <v>-10.138683876267415</v>
      </c>
      <c r="BA32" s="360"/>
      <c r="BB32" s="360"/>
    </row>
    <row r="33" spans="2:54">
      <c r="B33" s="271">
        <v>10083</v>
      </c>
      <c r="C33" s="271" t="s">
        <v>36</v>
      </c>
      <c r="D33" s="435">
        <v>-47.983854930433154</v>
      </c>
      <c r="E33" s="435">
        <v>58.729001061751205</v>
      </c>
      <c r="F33" s="435">
        <v>145.65460598892423</v>
      </c>
      <c r="G33" s="435">
        <v>266.09814801748053</v>
      </c>
      <c r="H33" s="435">
        <v>641.41762811022818</v>
      </c>
      <c r="I33" s="435">
        <v>799.46766168764952</v>
      </c>
      <c r="J33" s="435">
        <v>1355.9967715243388</v>
      </c>
      <c r="K33" s="435">
        <v>915.32456217619438</v>
      </c>
      <c r="L33" s="435">
        <v>1196.4536061343351</v>
      </c>
      <c r="M33" s="435">
        <v>768.26954875361275</v>
      </c>
      <c r="N33" s="435">
        <v>334.4248658043557</v>
      </c>
      <c r="O33" s="435">
        <v>76.542735643760352</v>
      </c>
      <c r="P33" s="435">
        <v>504.93206268876156</v>
      </c>
      <c r="Q33" s="435">
        <v>413.41919180929176</v>
      </c>
      <c r="R33" s="435">
        <v>-1773.2596336922643</v>
      </c>
      <c r="S33" s="435">
        <v>-825.37631152396148</v>
      </c>
      <c r="T33" s="435">
        <v>-971.10979313165126</v>
      </c>
      <c r="U33" s="435">
        <v>-597.81597951165941</v>
      </c>
      <c r="V33" s="435">
        <v>-673.61319016768994</v>
      </c>
      <c r="W33" s="435">
        <v>-25.519244738188263</v>
      </c>
      <c r="X33" s="435">
        <v>-749.51278999932583</v>
      </c>
      <c r="Y33" s="435">
        <v>-309.91287704591673</v>
      </c>
      <c r="Z33" s="435">
        <v>-247.49653978509514</v>
      </c>
      <c r="AA33" s="435">
        <v>-68.702510677901046</v>
      </c>
      <c r="AB33" s="435">
        <v>-47.983854930433154</v>
      </c>
      <c r="AC33" s="435">
        <v>58.729001061751205</v>
      </c>
      <c r="AD33" s="435">
        <v>145.65460598892423</v>
      </c>
      <c r="AE33" s="435">
        <v>266.09814801748053</v>
      </c>
      <c r="AF33" s="435">
        <v>641.41762811022818</v>
      </c>
      <c r="AG33" s="435">
        <v>799.46766168764952</v>
      </c>
      <c r="AH33" s="435">
        <v>1355.9967715243388</v>
      </c>
      <c r="AI33" s="435">
        <v>915.32456217619438</v>
      </c>
      <c r="AJ33" s="435">
        <v>1328.9646270943358</v>
      </c>
      <c r="AK33" s="435">
        <v>834.52505923361309</v>
      </c>
      <c r="AL33" s="435">
        <v>334.4248658043557</v>
      </c>
      <c r="AM33" s="435">
        <v>76.542735643760352</v>
      </c>
      <c r="AN33" s="435">
        <v>504.93206268876156</v>
      </c>
      <c r="AO33" s="435">
        <v>413.41919180929176</v>
      </c>
      <c r="AP33" s="435">
        <v>-1773.2596336922643</v>
      </c>
      <c r="AQ33" s="435">
        <v>-825.37631152396148</v>
      </c>
      <c r="AR33" s="435">
        <v>-971.10979313165126</v>
      </c>
      <c r="AS33" s="435">
        <v>-597.81597951165941</v>
      </c>
      <c r="AT33" s="435">
        <v>-673.61319016768994</v>
      </c>
      <c r="AU33" s="435">
        <v>-25.519244738188263</v>
      </c>
      <c r="AV33" s="435">
        <v>-749.51278999932583</v>
      </c>
      <c r="AW33" s="435">
        <v>-309.91287704591673</v>
      </c>
      <c r="AX33" s="435">
        <v>-247.49653978509514</v>
      </c>
      <c r="AY33" s="435">
        <v>-68.702510677901046</v>
      </c>
      <c r="BA33" s="360"/>
      <c r="BB33" s="360"/>
    </row>
    <row r="34" spans="2:54">
      <c r="B34" s="271">
        <v>10086</v>
      </c>
      <c r="C34" s="271" t="s">
        <v>37</v>
      </c>
      <c r="D34" s="435">
        <v>-68.395455171650383</v>
      </c>
      <c r="E34" s="435">
        <v>71.853935155185241</v>
      </c>
      <c r="F34" s="435">
        <v>-125.69958090151499</v>
      </c>
      <c r="G34" s="435">
        <v>62.49521105883673</v>
      </c>
      <c r="H34" s="435">
        <v>187.96995525098851</v>
      </c>
      <c r="I34" s="435">
        <v>360.51324596478889</v>
      </c>
      <c r="J34" s="435">
        <v>461.93965359853905</v>
      </c>
      <c r="K34" s="435">
        <v>404.84071335377803</v>
      </c>
      <c r="L34" s="435">
        <v>341.92599800350808</v>
      </c>
      <c r="M34" s="435">
        <v>295.50669816833602</v>
      </c>
      <c r="N34" s="435">
        <v>173.4360408242303</v>
      </c>
      <c r="O34" s="435">
        <v>116.65033523835086</v>
      </c>
      <c r="P34" s="435">
        <v>117.78723910148574</v>
      </c>
      <c r="Q34" s="435">
        <v>175.22118998085875</v>
      </c>
      <c r="R34" s="435">
        <v>-905.82595704116466</v>
      </c>
      <c r="S34" s="435">
        <v>-372.41406601826009</v>
      </c>
      <c r="T34" s="435">
        <v>-505.54095257770564</v>
      </c>
      <c r="U34" s="435">
        <v>-289.82891023336708</v>
      </c>
      <c r="V34" s="435">
        <v>-438.60524822834941</v>
      </c>
      <c r="W34" s="435">
        <v>-73.277068660216173</v>
      </c>
      <c r="X34" s="435">
        <v>-432.64678246595508</v>
      </c>
      <c r="Y34" s="435">
        <v>-166.77453347992446</v>
      </c>
      <c r="Z34" s="435">
        <v>-143.71521712458753</v>
      </c>
      <c r="AA34" s="435">
        <v>-27.508092094675817</v>
      </c>
      <c r="AB34" s="435">
        <v>-68.395455171650383</v>
      </c>
      <c r="AC34" s="435">
        <v>71.853935155185241</v>
      </c>
      <c r="AD34" s="435">
        <v>-125.69958090151499</v>
      </c>
      <c r="AE34" s="435">
        <v>62.49521105883673</v>
      </c>
      <c r="AF34" s="435">
        <v>187.96995525098851</v>
      </c>
      <c r="AG34" s="435">
        <v>360.51324596478889</v>
      </c>
      <c r="AH34" s="435">
        <v>461.93965359853905</v>
      </c>
      <c r="AI34" s="435">
        <v>404.84071335377803</v>
      </c>
      <c r="AJ34" s="435">
        <v>404.43857492350821</v>
      </c>
      <c r="AK34" s="435">
        <v>326.76298662833608</v>
      </c>
      <c r="AL34" s="435">
        <v>173.4360408242303</v>
      </c>
      <c r="AM34" s="435">
        <v>116.65033523835086</v>
      </c>
      <c r="AN34" s="435">
        <v>117.78723910148574</v>
      </c>
      <c r="AO34" s="435">
        <v>175.22118998085875</v>
      </c>
      <c r="AP34" s="435">
        <v>-905.82595704116466</v>
      </c>
      <c r="AQ34" s="435">
        <v>-372.41406601826009</v>
      </c>
      <c r="AR34" s="435">
        <v>-505.54095257770564</v>
      </c>
      <c r="AS34" s="435">
        <v>-289.82891023336708</v>
      </c>
      <c r="AT34" s="435">
        <v>-438.60524822834941</v>
      </c>
      <c r="AU34" s="435">
        <v>-73.277068660216173</v>
      </c>
      <c r="AV34" s="435">
        <v>-432.64678246595508</v>
      </c>
      <c r="AW34" s="435">
        <v>-166.77453347992446</v>
      </c>
      <c r="AX34" s="435">
        <v>-143.71521712458753</v>
      </c>
      <c r="AY34" s="435">
        <v>-27.508092094675817</v>
      </c>
      <c r="BA34" s="360"/>
      <c r="BB34" s="360"/>
    </row>
    <row r="35" spans="2:54">
      <c r="B35" s="271">
        <v>10087</v>
      </c>
      <c r="C35" s="271" t="s">
        <v>38</v>
      </c>
      <c r="D35" s="435">
        <v>-24213.026984482174</v>
      </c>
      <c r="E35" s="435">
        <v>-11356.397759118749</v>
      </c>
      <c r="F35" s="435">
        <v>-27535.585693767222</v>
      </c>
      <c r="G35" s="435">
        <v>-12339.820077382758</v>
      </c>
      <c r="H35" s="435">
        <v>-22907.859406674423</v>
      </c>
      <c r="I35" s="435">
        <v>-11829.127191528652</v>
      </c>
      <c r="J35" s="435">
        <v>-18820.82562233568</v>
      </c>
      <c r="K35" s="435">
        <v>-7525.6373089849403</v>
      </c>
      <c r="L35" s="435">
        <v>-18572.290324848778</v>
      </c>
      <c r="M35" s="435">
        <v>-8340.7433614005804</v>
      </c>
      <c r="N35" s="435">
        <v>-24195.903963818753</v>
      </c>
      <c r="O35" s="435">
        <v>-12310.942612284769</v>
      </c>
      <c r="P35" s="435">
        <v>-18968.798661410023</v>
      </c>
      <c r="Q35" s="435">
        <v>-9627.1575601835339</v>
      </c>
      <c r="R35" s="435">
        <v>-41318.288762204851</v>
      </c>
      <c r="S35" s="435">
        <v>-19922.132752362038</v>
      </c>
      <c r="T35" s="435">
        <v>-31805.139113542235</v>
      </c>
      <c r="U35" s="435">
        <v>-16186.874095124451</v>
      </c>
      <c r="V35" s="435">
        <v>-29713.162937950641</v>
      </c>
      <c r="W35" s="435">
        <v>-13521.073617356689</v>
      </c>
      <c r="X35" s="435">
        <v>-32212.966411499106</v>
      </c>
      <c r="Y35" s="435">
        <v>-13873.574839138604</v>
      </c>
      <c r="Z35" s="435">
        <v>-23065.192950445569</v>
      </c>
      <c r="AA35" s="435">
        <v>-12705.947526705864</v>
      </c>
      <c r="AB35" s="435">
        <v>-24267.020745879949</v>
      </c>
      <c r="AC35" s="435">
        <v>-11387.15851542659</v>
      </c>
      <c r="AD35" s="435">
        <v>-27599.253433070255</v>
      </c>
      <c r="AE35" s="435">
        <v>-12378.321550203405</v>
      </c>
      <c r="AF35" s="435">
        <v>-22969.300299608349</v>
      </c>
      <c r="AG35" s="435">
        <v>-11867.191250906359</v>
      </c>
      <c r="AH35" s="435">
        <v>-18874.020400469635</v>
      </c>
      <c r="AI35" s="435">
        <v>-7558.7872491141679</v>
      </c>
      <c r="AJ35" s="435">
        <v>-17284.21476179668</v>
      </c>
      <c r="AK35" s="435">
        <v>-7701.5120189358986</v>
      </c>
      <c r="AL35" s="435">
        <v>-24252.225612207185</v>
      </c>
      <c r="AM35" s="435">
        <v>-12345.228583031432</v>
      </c>
      <c r="AN35" s="435">
        <v>-19015.627383740662</v>
      </c>
      <c r="AO35" s="435">
        <v>-9655.7582250956712</v>
      </c>
      <c r="AP35" s="435">
        <v>-41394.934956369878</v>
      </c>
      <c r="AQ35" s="435">
        <v>-19964.698710494526</v>
      </c>
      <c r="AR35" s="435">
        <v>-31866.95423303443</v>
      </c>
      <c r="AS35" s="435">
        <v>-16221.862561258775</v>
      </c>
      <c r="AT35" s="435">
        <v>-29770.65898195147</v>
      </c>
      <c r="AU35" s="435">
        <v>-13551.839750372152</v>
      </c>
      <c r="AV35" s="435">
        <v>-32274.466533979703</v>
      </c>
      <c r="AW35" s="435">
        <v>-13904.838496146545</v>
      </c>
      <c r="AX35" s="435">
        <v>-23113.212330722279</v>
      </c>
      <c r="AY35" s="435">
        <v>-12735.928392549091</v>
      </c>
      <c r="BA35" s="360"/>
      <c r="BB35" s="360"/>
    </row>
    <row r="36" spans="2:54">
      <c r="B36" s="271">
        <v>10089</v>
      </c>
      <c r="C36" s="271" t="s">
        <v>39</v>
      </c>
      <c r="D36" s="435">
        <v>-1986.4798029974409</v>
      </c>
      <c r="E36" s="435">
        <v>1963.6117386939914</v>
      </c>
      <c r="F36" s="435">
        <v>-5266.3661375015508</v>
      </c>
      <c r="G36" s="435">
        <v>674.41002582891088</v>
      </c>
      <c r="H36" s="435">
        <v>7154.0285444005131</v>
      </c>
      <c r="I36" s="435">
        <v>12070.246914603667</v>
      </c>
      <c r="J36" s="435">
        <v>15493.878968966979</v>
      </c>
      <c r="K36" s="435">
        <v>13045.459042718288</v>
      </c>
      <c r="L36" s="435">
        <v>9177.1200954118103</v>
      </c>
      <c r="M36" s="435">
        <v>8564.9318393445828</v>
      </c>
      <c r="N36" s="435">
        <v>-331.89502417293261</v>
      </c>
      <c r="O36" s="435">
        <v>309.14145869618369</v>
      </c>
      <c r="P36" s="435">
        <v>3384.021656189354</v>
      </c>
      <c r="Q36" s="435">
        <v>4281.0601927362368</v>
      </c>
      <c r="R36" s="435">
        <v>-17428.902009972444</v>
      </c>
      <c r="S36" s="435">
        <v>-6487.5435171258978</v>
      </c>
      <c r="T36" s="435">
        <v>-1789.4476493955444</v>
      </c>
      <c r="U36" s="435">
        <v>-885.40160990139702</v>
      </c>
      <c r="V36" s="435">
        <v>7537.1877796969566</v>
      </c>
      <c r="W36" s="435">
        <v>10510.44016634993</v>
      </c>
      <c r="X36" s="435">
        <v>7111.2234976499967</v>
      </c>
      <c r="Y36" s="435">
        <v>5691.7714381067854</v>
      </c>
      <c r="Z36" s="435">
        <v>3693.4566743117393</v>
      </c>
      <c r="AA36" s="435">
        <v>4665.1737021521913</v>
      </c>
      <c r="AB36" s="435">
        <v>-2597.8558029974374</v>
      </c>
      <c r="AC36" s="435">
        <v>1375.6597386939902</v>
      </c>
      <c r="AD36" s="435">
        <v>-5970.3821375015468</v>
      </c>
      <c r="AE36" s="435">
        <v>216.17402582891373</v>
      </c>
      <c r="AF36" s="435">
        <v>6483.4365444005161</v>
      </c>
      <c r="AG36" s="435">
        <v>11541.51091460367</v>
      </c>
      <c r="AH36" s="435">
        <v>14849.078968966984</v>
      </c>
      <c r="AI36" s="435">
        <v>12490.93104271829</v>
      </c>
      <c r="AJ36" s="435">
        <v>10257.995536459814</v>
      </c>
      <c r="AK36" s="435">
        <v>8950.6175598685841</v>
      </c>
      <c r="AL36" s="435">
        <v>-1028.2790241729308</v>
      </c>
      <c r="AM36" s="435">
        <v>-192.19054130381846</v>
      </c>
      <c r="AN36" s="435">
        <v>2798.4376561893587</v>
      </c>
      <c r="AO36" s="435">
        <v>3706.0041927362363</v>
      </c>
      <c r="AP36" s="435">
        <v>-18158.710009972441</v>
      </c>
      <c r="AQ36" s="435">
        <v>-6957.0635171258982</v>
      </c>
      <c r="AR36" s="435">
        <v>-2460.0396493955413</v>
      </c>
      <c r="AS36" s="435">
        <v>-1375.4496099013959</v>
      </c>
      <c r="AT36" s="435">
        <v>6892.3877796969609</v>
      </c>
      <c r="AU36" s="435">
        <v>9955.9121663499318</v>
      </c>
      <c r="AV36" s="435">
        <v>6414.8394976499985</v>
      </c>
      <c r="AW36" s="435">
        <v>5188.8274381067858</v>
      </c>
      <c r="AX36" s="435">
        <v>3048.6566743117437</v>
      </c>
      <c r="AY36" s="435">
        <v>4149.3337021521911</v>
      </c>
      <c r="BA36" s="360"/>
      <c r="BB36" s="360"/>
    </row>
    <row r="37" spans="2:54">
      <c r="B37" s="271">
        <v>10091</v>
      </c>
      <c r="C37" s="271" t="s">
        <v>40</v>
      </c>
      <c r="D37" s="435">
        <v>-458.36779795324719</v>
      </c>
      <c r="E37" s="435">
        <v>-106.31766870269348</v>
      </c>
      <c r="F37" s="435">
        <v>-593.97597094283174</v>
      </c>
      <c r="G37" s="435">
        <v>106.07223395122764</v>
      </c>
      <c r="H37" s="435">
        <v>790.78212084154711</v>
      </c>
      <c r="I37" s="435">
        <v>989.19027333968688</v>
      </c>
      <c r="J37" s="435">
        <v>1439.6013222037682</v>
      </c>
      <c r="K37" s="435">
        <v>1412.9918985022036</v>
      </c>
      <c r="L37" s="435">
        <v>954.02283419568676</v>
      </c>
      <c r="M37" s="435">
        <v>941.42396036231185</v>
      </c>
      <c r="N37" s="435">
        <v>142.74181956256234</v>
      </c>
      <c r="O37" s="435">
        <v>295.77539805533615</v>
      </c>
      <c r="P37" s="435">
        <v>293.08391539498689</v>
      </c>
      <c r="Q37" s="435">
        <v>255.99467476930386</v>
      </c>
      <c r="R37" s="435">
        <v>-2226.570124937803</v>
      </c>
      <c r="S37" s="435">
        <v>-900.66734049508023</v>
      </c>
      <c r="T37" s="435">
        <v>-1022.4209973888696</v>
      </c>
      <c r="U37" s="435">
        <v>-509.02916865558836</v>
      </c>
      <c r="V37" s="435">
        <v>-404.89542637694012</v>
      </c>
      <c r="W37" s="435">
        <v>159.49074595725642</v>
      </c>
      <c r="X37" s="435">
        <v>-796.4877554115501</v>
      </c>
      <c r="Y37" s="435">
        <v>-170.55929934321193</v>
      </c>
      <c r="Z37" s="435">
        <v>-202.78901054541757</v>
      </c>
      <c r="AA37" s="435">
        <v>-79.621688378367253</v>
      </c>
      <c r="AB37" s="435">
        <v>-458.36779795324719</v>
      </c>
      <c r="AC37" s="435">
        <v>-106.31766870269348</v>
      </c>
      <c r="AD37" s="435">
        <v>-593.97597094283174</v>
      </c>
      <c r="AE37" s="435">
        <v>106.07223395122764</v>
      </c>
      <c r="AF37" s="435">
        <v>790.78212084154711</v>
      </c>
      <c r="AG37" s="435">
        <v>989.19027333968688</v>
      </c>
      <c r="AH37" s="435">
        <v>1439.6013222037682</v>
      </c>
      <c r="AI37" s="435">
        <v>1412.9918985022036</v>
      </c>
      <c r="AJ37" s="435">
        <v>1103.304432091687</v>
      </c>
      <c r="AK37" s="435">
        <v>1016.0647593103122</v>
      </c>
      <c r="AL37" s="435">
        <v>142.74181956256234</v>
      </c>
      <c r="AM37" s="435">
        <v>295.77539805533615</v>
      </c>
      <c r="AN37" s="435">
        <v>293.08391539498689</v>
      </c>
      <c r="AO37" s="435">
        <v>255.99467476930386</v>
      </c>
      <c r="AP37" s="435">
        <v>-2226.570124937803</v>
      </c>
      <c r="AQ37" s="435">
        <v>-900.66734049508023</v>
      </c>
      <c r="AR37" s="435">
        <v>-1022.4209973888696</v>
      </c>
      <c r="AS37" s="435">
        <v>-509.02916865558836</v>
      </c>
      <c r="AT37" s="435">
        <v>-404.89542637694012</v>
      </c>
      <c r="AU37" s="435">
        <v>159.49074595725642</v>
      </c>
      <c r="AV37" s="435">
        <v>-796.4877554115501</v>
      </c>
      <c r="AW37" s="435">
        <v>-170.55929934321193</v>
      </c>
      <c r="AX37" s="435">
        <v>-202.78901054541757</v>
      </c>
      <c r="AY37" s="435">
        <v>-79.621688378367253</v>
      </c>
      <c r="BA37" s="360"/>
      <c r="BB37" s="360"/>
    </row>
    <row r="38" spans="2:54">
      <c r="B38" s="271">
        <v>10094</v>
      </c>
      <c r="C38" s="271" t="s">
        <v>41</v>
      </c>
      <c r="D38" s="435">
        <v>58.662870744773727</v>
      </c>
      <c r="E38" s="435">
        <v>55.132642872858128</v>
      </c>
      <c r="F38" s="435">
        <v>-65.753707552668629</v>
      </c>
      <c r="G38" s="435">
        <v>34.17967685072756</v>
      </c>
      <c r="H38" s="435">
        <v>261.81498293425625</v>
      </c>
      <c r="I38" s="435">
        <v>216.31315674775533</v>
      </c>
      <c r="J38" s="435">
        <v>432.52514887525422</v>
      </c>
      <c r="K38" s="435">
        <v>329.942574020753</v>
      </c>
      <c r="L38" s="435">
        <v>343.51078187502685</v>
      </c>
      <c r="M38" s="435">
        <v>241.64450146291881</v>
      </c>
      <c r="N38" s="435">
        <v>178.84526397706122</v>
      </c>
      <c r="O38" s="435">
        <v>110.57677087112313</v>
      </c>
      <c r="P38" s="435">
        <v>267.89262664798184</v>
      </c>
      <c r="Q38" s="435">
        <v>154.91471567459837</v>
      </c>
      <c r="R38" s="435">
        <v>-545.00086417468924</v>
      </c>
      <c r="S38" s="435">
        <v>-194.52491940463119</v>
      </c>
      <c r="T38" s="435">
        <v>-275.17431068048199</v>
      </c>
      <c r="U38" s="435">
        <v>-160.26632223466345</v>
      </c>
      <c r="V38" s="435">
        <v>-118.53036703088628</v>
      </c>
      <c r="W38" s="435">
        <v>14.864414263301001</v>
      </c>
      <c r="X38" s="435">
        <v>-127.23956117008106</v>
      </c>
      <c r="Y38" s="435">
        <v>-11.921456839578468</v>
      </c>
      <c r="Z38" s="435">
        <v>85.156181317468736</v>
      </c>
      <c r="AA38" s="435">
        <v>39.89912959735932</v>
      </c>
      <c r="AB38" s="435">
        <v>65.33625698494825</v>
      </c>
      <c r="AC38" s="435">
        <v>58.934534101917279</v>
      </c>
      <c r="AD38" s="435">
        <v>-57.884661121956697</v>
      </c>
      <c r="AE38" s="435">
        <v>38.938285851032447</v>
      </c>
      <c r="AF38" s="435">
        <v>269.40880116204494</v>
      </c>
      <c r="AG38" s="435">
        <v>221.0177034124157</v>
      </c>
      <c r="AH38" s="435">
        <v>439.09978437495602</v>
      </c>
      <c r="AI38" s="435">
        <v>334.03975763223048</v>
      </c>
      <c r="AJ38" s="435">
        <v>396.35543233771205</v>
      </c>
      <c r="AK38" s="435">
        <v>268.66088096027306</v>
      </c>
      <c r="AL38" s="435">
        <v>185.80636658686763</v>
      </c>
      <c r="AM38" s="435">
        <v>114.81436276115994</v>
      </c>
      <c r="AN38" s="435">
        <v>273.68044626188134</v>
      </c>
      <c r="AO38" s="435">
        <v>158.44962931542432</v>
      </c>
      <c r="AP38" s="435">
        <v>-535.52773905316917</v>
      </c>
      <c r="AQ38" s="435">
        <v>-189.26395828713305</v>
      </c>
      <c r="AR38" s="435">
        <v>-267.53423973200847</v>
      </c>
      <c r="AS38" s="435">
        <v>-155.94190507199426</v>
      </c>
      <c r="AT38" s="435">
        <v>-111.42411440157002</v>
      </c>
      <c r="AU38" s="435">
        <v>18.666970029257186</v>
      </c>
      <c r="AV38" s="435">
        <v>-119.63842243652402</v>
      </c>
      <c r="AW38" s="435">
        <v>-8.0574093442149888</v>
      </c>
      <c r="AX38" s="435">
        <v>91.091160902230286</v>
      </c>
      <c r="AY38" s="435">
        <v>43.604629870117606</v>
      </c>
      <c r="BA38" s="360"/>
      <c r="BB38" s="360"/>
    </row>
    <row r="39" spans="2:54">
      <c r="B39" s="271">
        <v>10095</v>
      </c>
      <c r="C39" s="271" t="s">
        <v>42</v>
      </c>
      <c r="D39" s="435">
        <v>132.44491224994204</v>
      </c>
      <c r="E39" s="435">
        <v>72.897627359523085</v>
      </c>
      <c r="F39" s="435">
        <v>-165.13949157396337</v>
      </c>
      <c r="G39" s="435">
        <v>-119.55061302611409</v>
      </c>
      <c r="H39" s="435">
        <v>-54.67541575132168</v>
      </c>
      <c r="I39" s="435">
        <v>-11.680251044122542</v>
      </c>
      <c r="J39" s="435">
        <v>275.56189291089436</v>
      </c>
      <c r="K39" s="435">
        <v>108.00102939629357</v>
      </c>
      <c r="L39" s="435">
        <v>328.6140392650791</v>
      </c>
      <c r="M39" s="435">
        <v>127.74977945298554</v>
      </c>
      <c r="N39" s="435">
        <v>207.88195547044666</v>
      </c>
      <c r="O39" s="435">
        <v>-6.287005092746881</v>
      </c>
      <c r="P39" s="435">
        <v>263.93780428224727</v>
      </c>
      <c r="Q39" s="435">
        <v>124.8956838697294</v>
      </c>
      <c r="R39" s="435">
        <v>-582.76542057508823</v>
      </c>
      <c r="S39" s="435">
        <v>-298.07418963079772</v>
      </c>
      <c r="T39" s="435">
        <v>-140.84429313026817</v>
      </c>
      <c r="U39" s="435">
        <v>-121.33121114483322</v>
      </c>
      <c r="V39" s="435">
        <v>-69.824310473534524</v>
      </c>
      <c r="W39" s="435">
        <v>95.516612219836134</v>
      </c>
      <c r="X39" s="435">
        <v>-84.451070855524222</v>
      </c>
      <c r="Y39" s="435">
        <v>-5.9969687978211823</v>
      </c>
      <c r="Z39" s="435">
        <v>129.05865657757022</v>
      </c>
      <c r="AA39" s="435">
        <v>72.893595054691559</v>
      </c>
      <c r="AB39" s="435">
        <v>132.44491224994204</v>
      </c>
      <c r="AC39" s="435">
        <v>72.897627359523085</v>
      </c>
      <c r="AD39" s="435">
        <v>-165.13949157396337</v>
      </c>
      <c r="AE39" s="435">
        <v>-119.55061302611409</v>
      </c>
      <c r="AF39" s="435">
        <v>-54.67541575132168</v>
      </c>
      <c r="AG39" s="435">
        <v>-11.680251044122542</v>
      </c>
      <c r="AH39" s="435">
        <v>275.56189291089436</v>
      </c>
      <c r="AI39" s="435">
        <v>108.00102939629357</v>
      </c>
      <c r="AJ39" s="435">
        <v>386.32225370507945</v>
      </c>
      <c r="AK39" s="435">
        <v>156.60388667298571</v>
      </c>
      <c r="AL39" s="435">
        <v>207.88195547044666</v>
      </c>
      <c r="AM39" s="435">
        <v>-6.287005092746881</v>
      </c>
      <c r="AN39" s="435">
        <v>263.93780428224727</v>
      </c>
      <c r="AO39" s="435">
        <v>124.8956838697294</v>
      </c>
      <c r="AP39" s="435">
        <v>-582.76542057508823</v>
      </c>
      <c r="AQ39" s="435">
        <v>-298.07418963079772</v>
      </c>
      <c r="AR39" s="435">
        <v>-140.84429313026817</v>
      </c>
      <c r="AS39" s="435">
        <v>-121.33121114483322</v>
      </c>
      <c r="AT39" s="435">
        <v>-69.824310473534524</v>
      </c>
      <c r="AU39" s="435">
        <v>95.516612219836134</v>
      </c>
      <c r="AV39" s="435">
        <v>-84.451070855524222</v>
      </c>
      <c r="AW39" s="435">
        <v>-5.9969687978211823</v>
      </c>
      <c r="AX39" s="435">
        <v>129.05865657757022</v>
      </c>
      <c r="AY39" s="435">
        <v>72.893595054691559</v>
      </c>
      <c r="BA39" s="360"/>
      <c r="BB39" s="360"/>
    </row>
    <row r="40" spans="2:54">
      <c r="B40" s="271">
        <v>10097</v>
      </c>
      <c r="C40" s="271" t="s">
        <v>43</v>
      </c>
      <c r="D40" s="435">
        <v>-34.905283368376899</v>
      </c>
      <c r="E40" s="435">
        <v>18.346743091775863</v>
      </c>
      <c r="F40" s="435">
        <v>-19.560553852614476</v>
      </c>
      <c r="G40" s="435">
        <v>99.167817687227625</v>
      </c>
      <c r="H40" s="435">
        <v>210.45342371320066</v>
      </c>
      <c r="I40" s="435">
        <v>235.18564268779994</v>
      </c>
      <c r="J40" s="435">
        <v>355.15797299370479</v>
      </c>
      <c r="K40" s="435">
        <v>342.71706194681303</v>
      </c>
      <c r="L40" s="435">
        <v>341.92588547455557</v>
      </c>
      <c r="M40" s="435">
        <v>296.40331415665611</v>
      </c>
      <c r="N40" s="435">
        <v>154.1402480754291</v>
      </c>
      <c r="O40" s="435">
        <v>152.6995198997023</v>
      </c>
      <c r="P40" s="435">
        <v>99.3089689013932</v>
      </c>
      <c r="Q40" s="435">
        <v>105.76188990968404</v>
      </c>
      <c r="R40" s="435">
        <v>-547.12716369061059</v>
      </c>
      <c r="S40" s="435">
        <v>-222.44698316224691</v>
      </c>
      <c r="T40" s="435">
        <v>-385.01350186766206</v>
      </c>
      <c r="U40" s="435">
        <v>-191.32016364154265</v>
      </c>
      <c r="V40" s="435">
        <v>-305.70518630561742</v>
      </c>
      <c r="W40" s="435">
        <v>-107.32955289151471</v>
      </c>
      <c r="X40" s="435">
        <v>-348.40122454452364</v>
      </c>
      <c r="Y40" s="435">
        <v>-150.03233007274019</v>
      </c>
      <c r="Z40" s="435">
        <v>-168.32049999822289</v>
      </c>
      <c r="AA40" s="435">
        <v>-85.137990375980849</v>
      </c>
      <c r="AB40" s="435">
        <v>-34.905283368376899</v>
      </c>
      <c r="AC40" s="435">
        <v>18.346743091775863</v>
      </c>
      <c r="AD40" s="435">
        <v>-19.560553852614476</v>
      </c>
      <c r="AE40" s="435">
        <v>99.167817687227625</v>
      </c>
      <c r="AF40" s="435">
        <v>210.45342371320066</v>
      </c>
      <c r="AG40" s="435">
        <v>235.18564268779994</v>
      </c>
      <c r="AH40" s="435">
        <v>355.15797299370479</v>
      </c>
      <c r="AI40" s="435">
        <v>342.71706194681303</v>
      </c>
      <c r="AJ40" s="435">
        <v>374.21567051455565</v>
      </c>
      <c r="AK40" s="435">
        <v>312.54820667665615</v>
      </c>
      <c r="AL40" s="435">
        <v>154.1402480754291</v>
      </c>
      <c r="AM40" s="435">
        <v>152.6995198997023</v>
      </c>
      <c r="AN40" s="435">
        <v>99.3089689013932</v>
      </c>
      <c r="AO40" s="435">
        <v>105.76188990968404</v>
      </c>
      <c r="AP40" s="435">
        <v>-547.12716369061059</v>
      </c>
      <c r="AQ40" s="435">
        <v>-222.44698316224691</v>
      </c>
      <c r="AR40" s="435">
        <v>-385.01350186766206</v>
      </c>
      <c r="AS40" s="435">
        <v>-191.32016364154265</v>
      </c>
      <c r="AT40" s="435">
        <v>-305.70518630561742</v>
      </c>
      <c r="AU40" s="435">
        <v>-107.32955289151471</v>
      </c>
      <c r="AV40" s="435">
        <v>-348.40122454452364</v>
      </c>
      <c r="AW40" s="435">
        <v>-150.03233007274019</v>
      </c>
      <c r="AX40" s="435">
        <v>-168.32049999822289</v>
      </c>
      <c r="AY40" s="435">
        <v>-85.137990375980849</v>
      </c>
      <c r="BA40" s="360"/>
      <c r="BB40" s="360"/>
    </row>
    <row r="41" spans="2:54">
      <c r="B41" s="271">
        <v>10101</v>
      </c>
      <c r="C41" s="271" t="s">
        <v>44</v>
      </c>
      <c r="D41" s="435">
        <v>-1143.2996057133023</v>
      </c>
      <c r="E41" s="435">
        <v>-351.28478124202957</v>
      </c>
      <c r="F41" s="435">
        <v>688.39628236745193</v>
      </c>
      <c r="G41" s="435">
        <v>1827.5642935970172</v>
      </c>
      <c r="H41" s="435">
        <v>7493.2526011652517</v>
      </c>
      <c r="I41" s="435">
        <v>5656.7432268017583</v>
      </c>
      <c r="J41" s="435">
        <v>11831.263886642664</v>
      </c>
      <c r="K41" s="435">
        <v>8948.3824763355733</v>
      </c>
      <c r="L41" s="435">
        <v>10753.282631412731</v>
      </c>
      <c r="M41" s="435">
        <v>7130.3453826496225</v>
      </c>
      <c r="N41" s="435">
        <v>2438.4482468886345</v>
      </c>
      <c r="O41" s="435">
        <v>1295.8523250611433</v>
      </c>
      <c r="P41" s="435">
        <v>3052.0628993761202</v>
      </c>
      <c r="Q41" s="435">
        <v>1971.7590252397458</v>
      </c>
      <c r="R41" s="435">
        <v>-21004.359254606261</v>
      </c>
      <c r="S41" s="435">
        <v>-9052.1780908955589</v>
      </c>
      <c r="T41" s="435">
        <v>-12210.928958946846</v>
      </c>
      <c r="U41" s="435">
        <v>-6657.308870076813</v>
      </c>
      <c r="V41" s="435">
        <v>-11337.438021446789</v>
      </c>
      <c r="W41" s="435">
        <v>-3828.1393745121059</v>
      </c>
      <c r="X41" s="435">
        <v>-12591.67787010179</v>
      </c>
      <c r="Y41" s="435">
        <v>-5178.6643895509569</v>
      </c>
      <c r="Z41" s="435">
        <v>-3856.0282269233248</v>
      </c>
      <c r="AA41" s="435">
        <v>-2752.6045184827854</v>
      </c>
      <c r="AB41" s="435">
        <v>-1411.4116057133033</v>
      </c>
      <c r="AC41" s="435">
        <v>-649.35678124202968</v>
      </c>
      <c r="AD41" s="435">
        <v>335.53228236745053</v>
      </c>
      <c r="AE41" s="435">
        <v>1631.7472935970181</v>
      </c>
      <c r="AF41" s="435">
        <v>7176.6766011652508</v>
      </c>
      <c r="AG41" s="435">
        <v>5407.1352268017581</v>
      </c>
      <c r="AH41" s="435">
        <v>11526.863886642663</v>
      </c>
      <c r="AI41" s="435">
        <v>8686.5984763355737</v>
      </c>
      <c r="AJ41" s="435">
        <v>11714.099207444731</v>
      </c>
      <c r="AK41" s="435">
        <v>7537.6976706656242</v>
      </c>
      <c r="AL41" s="435">
        <v>2109.6962468886341</v>
      </c>
      <c r="AM41" s="435">
        <v>1059.1813250611449</v>
      </c>
      <c r="AN41" s="435">
        <v>2796.1268993761187</v>
      </c>
      <c r="AO41" s="435">
        <v>1679.7750252397454</v>
      </c>
      <c r="AP41" s="435">
        <v>-21369.399254606262</v>
      </c>
      <c r="AQ41" s="435">
        <v>-9253.3220908955591</v>
      </c>
      <c r="AR41" s="435">
        <v>-12527.504958946847</v>
      </c>
      <c r="AS41" s="435">
        <v>-6888.6528700768122</v>
      </c>
      <c r="AT41" s="435">
        <v>-11641.838021446791</v>
      </c>
      <c r="AU41" s="435">
        <v>-4089.9233745121055</v>
      </c>
      <c r="AV41" s="435">
        <v>-12920.429870101791</v>
      </c>
      <c r="AW41" s="435">
        <v>-5416.0963895509558</v>
      </c>
      <c r="AX41" s="435">
        <v>-4160.4282269233263</v>
      </c>
      <c r="AY41" s="435">
        <v>-2996.124518482784</v>
      </c>
      <c r="BA41" s="360"/>
      <c r="BB41" s="360"/>
    </row>
    <row r="42" spans="2:54">
      <c r="B42" s="271">
        <v>10103</v>
      </c>
      <c r="C42" s="271" t="s">
        <v>45</v>
      </c>
      <c r="D42" s="435">
        <v>-10851.777978982958</v>
      </c>
      <c r="E42" s="435">
        <v>1742.010781464669</v>
      </c>
      <c r="F42" s="435">
        <v>-10295.267137825293</v>
      </c>
      <c r="G42" s="435">
        <v>11175.403447937337</v>
      </c>
      <c r="H42" s="435">
        <v>11681.959824201869</v>
      </c>
      <c r="I42" s="435">
        <v>21285.424501958762</v>
      </c>
      <c r="J42" s="435">
        <v>19431.515118844283</v>
      </c>
      <c r="K42" s="435">
        <v>31365.756014646329</v>
      </c>
      <c r="L42" s="435">
        <v>6261.8853325854943</v>
      </c>
      <c r="M42" s="435">
        <v>12663.790186986334</v>
      </c>
      <c r="N42" s="435">
        <v>-6161.8777663915971</v>
      </c>
      <c r="O42" s="435">
        <v>2846.6939426978061</v>
      </c>
      <c r="P42" s="435">
        <v>-5686.1281434662378</v>
      </c>
      <c r="Q42" s="435">
        <v>2382.8317772037844</v>
      </c>
      <c r="R42" s="435">
        <v>-25467.05883027082</v>
      </c>
      <c r="S42" s="435">
        <v>5260.9318586521331</v>
      </c>
      <c r="T42" s="435">
        <v>-24576.084784335224</v>
      </c>
      <c r="U42" s="435">
        <v>-6112.3384962813507</v>
      </c>
      <c r="V42" s="435">
        <v>-18774.751339519462</v>
      </c>
      <c r="W42" s="435">
        <v>5584.5516542230762</v>
      </c>
      <c r="X42" s="435">
        <v>-18852.055548608594</v>
      </c>
      <c r="Y42" s="435">
        <v>1685.5221363243108</v>
      </c>
      <c r="Z42" s="435">
        <v>-14549.258304523311</v>
      </c>
      <c r="AA42" s="435">
        <v>-1827.458158181711</v>
      </c>
      <c r="AB42" s="435">
        <v>-12589.199872499594</v>
      </c>
      <c r="AC42" s="435">
        <v>4309.9042621989356</v>
      </c>
      <c r="AD42" s="435">
        <v>-7053.3784215517662</v>
      </c>
      <c r="AE42" s="435">
        <v>9516.5673496676609</v>
      </c>
      <c r="AF42" s="435">
        <v>13181.107613437562</v>
      </c>
      <c r="AG42" s="435">
        <v>22903.393180996754</v>
      </c>
      <c r="AH42" s="435">
        <v>21186.576900510991</v>
      </c>
      <c r="AI42" s="435">
        <v>33404.207047650474</v>
      </c>
      <c r="AJ42" s="435">
        <v>9323.7268944870448</v>
      </c>
      <c r="AK42" s="435">
        <v>15301.487460371442</v>
      </c>
      <c r="AL42" s="435">
        <v>-5615.3151679240837</v>
      </c>
      <c r="AM42" s="435">
        <v>3503.1052532202157</v>
      </c>
      <c r="AN42" s="435">
        <v>-7227.8769056905148</v>
      </c>
      <c r="AO42" s="435">
        <v>4899.3745733608303</v>
      </c>
      <c r="AP42" s="435">
        <v>-22888.501884839396</v>
      </c>
      <c r="AQ42" s="435">
        <v>3487.7907857426326</v>
      </c>
      <c r="AR42" s="435">
        <v>-24850.137440208484</v>
      </c>
      <c r="AS42" s="435">
        <v>-5884.8746549544885</v>
      </c>
      <c r="AT42" s="435">
        <v>-18829.283396772837</v>
      </c>
      <c r="AU42" s="435">
        <v>6322.2336076456922</v>
      </c>
      <c r="AV42" s="435">
        <v>-18850.031576580026</v>
      </c>
      <c r="AW42" s="435">
        <v>2239.4140148117949</v>
      </c>
      <c r="AX42" s="435">
        <v>-14539.315480211044</v>
      </c>
      <c r="AY42" s="435">
        <v>-1465.2490868500536</v>
      </c>
      <c r="BA42" s="360"/>
      <c r="BB42" s="360"/>
    </row>
    <row r="43" spans="2:54">
      <c r="B43" s="271">
        <v>10105</v>
      </c>
      <c r="C43" s="271" t="s">
        <v>46</v>
      </c>
      <c r="D43" s="435">
        <v>-527.8178085852669</v>
      </c>
      <c r="E43" s="435">
        <v>1842.686407109446</v>
      </c>
      <c r="F43" s="435">
        <v>-4303.4208190483951</v>
      </c>
      <c r="G43" s="435">
        <v>915.24573571450492</v>
      </c>
      <c r="H43" s="435">
        <v>-1592.0472681432948</v>
      </c>
      <c r="I43" s="435">
        <v>1547.8982342709969</v>
      </c>
      <c r="J43" s="435">
        <v>-255.60184972586467</v>
      </c>
      <c r="K43" s="435">
        <v>3182.3045585070777</v>
      </c>
      <c r="L43" s="435">
        <v>734.31450411600963</v>
      </c>
      <c r="M43" s="435">
        <v>2407.5804394283987</v>
      </c>
      <c r="N43" s="435">
        <v>218.83341689444205</v>
      </c>
      <c r="O43" s="435">
        <v>1848.2349804349196</v>
      </c>
      <c r="P43" s="435">
        <v>1843.2452980675844</v>
      </c>
      <c r="Q43" s="435">
        <v>2864.8218825104032</v>
      </c>
      <c r="R43" s="435">
        <v>-10194.892733775956</v>
      </c>
      <c r="S43" s="435">
        <v>-2461.7271984552845</v>
      </c>
      <c r="T43" s="435">
        <v>-2540.9823458041774</v>
      </c>
      <c r="U43" s="435">
        <v>893.47036202412164</v>
      </c>
      <c r="V43" s="435">
        <v>-2985.0178383691309</v>
      </c>
      <c r="W43" s="435">
        <v>2477.7645725678449</v>
      </c>
      <c r="X43" s="435">
        <v>-2893.6457907343429</v>
      </c>
      <c r="Y43" s="435">
        <v>1462.2940301704657</v>
      </c>
      <c r="Z43" s="435">
        <v>-7.6507573945800686</v>
      </c>
      <c r="AA43" s="435">
        <v>2271.7529978794519</v>
      </c>
      <c r="AB43" s="435">
        <v>-755.65873413751069</v>
      </c>
      <c r="AC43" s="435">
        <v>2497.3456323498931</v>
      </c>
      <c r="AD43" s="435">
        <v>-3393.3412399739609</v>
      </c>
      <c r="AE43" s="435">
        <v>574.43274325356651</v>
      </c>
      <c r="AF43" s="435">
        <v>-1254.6149841959686</v>
      </c>
      <c r="AG43" s="435">
        <v>1729.0468219188751</v>
      </c>
      <c r="AH43" s="435">
        <v>24.182554291588531</v>
      </c>
      <c r="AI43" s="435">
        <v>3319.873861916838</v>
      </c>
      <c r="AJ43" s="435">
        <v>1422.4736072942305</v>
      </c>
      <c r="AK43" s="435">
        <v>2872.1413083098842</v>
      </c>
      <c r="AL43" s="435">
        <v>509.67561824149016</v>
      </c>
      <c r="AM43" s="435">
        <v>2006.4057611959106</v>
      </c>
      <c r="AN43" s="435">
        <v>1515.6092663218787</v>
      </c>
      <c r="AO43" s="435">
        <v>3533.3678528046194</v>
      </c>
      <c r="AP43" s="435">
        <v>-9268.0367402336815</v>
      </c>
      <c r="AQ43" s="435">
        <v>-2628.5444406971073</v>
      </c>
      <c r="AR43" s="435">
        <v>-2191.1549493450821</v>
      </c>
      <c r="AS43" s="435">
        <v>1065.8096366942882</v>
      </c>
      <c r="AT43" s="435">
        <v>-2652.7903875554821</v>
      </c>
      <c r="AU43" s="435">
        <v>2610.6781758542948</v>
      </c>
      <c r="AV43" s="435">
        <v>-2541.5761023682535</v>
      </c>
      <c r="AW43" s="435">
        <v>1608.9771960351627</v>
      </c>
      <c r="AX43" s="435">
        <v>242.45713812129907</v>
      </c>
      <c r="AY43" s="435">
        <v>2402.8458677833287</v>
      </c>
      <c r="BA43" s="360"/>
      <c r="BB43" s="360"/>
    </row>
    <row r="44" spans="2:54">
      <c r="B44" s="271">
        <v>10106</v>
      </c>
      <c r="C44" s="271" t="s">
        <v>47</v>
      </c>
      <c r="D44" s="435">
        <v>0</v>
      </c>
      <c r="E44" s="435">
        <v>0</v>
      </c>
      <c r="F44" s="435">
        <v>0</v>
      </c>
      <c r="G44" s="435">
        <v>0</v>
      </c>
      <c r="H44" s="435">
        <v>0</v>
      </c>
      <c r="I44" s="435">
        <v>0</v>
      </c>
      <c r="J44" s="435">
        <v>0</v>
      </c>
      <c r="K44" s="435">
        <v>0</v>
      </c>
      <c r="L44" s="435">
        <v>0</v>
      </c>
      <c r="M44" s="435">
        <v>0</v>
      </c>
      <c r="N44" s="435">
        <v>0</v>
      </c>
      <c r="O44" s="435">
        <v>0</v>
      </c>
      <c r="P44" s="435">
        <v>0</v>
      </c>
      <c r="Q44" s="435">
        <v>0</v>
      </c>
      <c r="R44" s="435">
        <v>0</v>
      </c>
      <c r="S44" s="435">
        <v>0</v>
      </c>
      <c r="T44" s="435">
        <v>0</v>
      </c>
      <c r="U44" s="435">
        <v>0</v>
      </c>
      <c r="V44" s="435">
        <v>0</v>
      </c>
      <c r="W44" s="435">
        <v>0</v>
      </c>
      <c r="X44" s="435">
        <v>0</v>
      </c>
      <c r="Y44" s="435">
        <v>0</v>
      </c>
      <c r="Z44" s="435">
        <v>0</v>
      </c>
      <c r="AA44" s="435">
        <v>0</v>
      </c>
      <c r="AB44" s="435">
        <v>0</v>
      </c>
      <c r="AC44" s="435">
        <v>0</v>
      </c>
      <c r="AD44" s="435">
        <v>0</v>
      </c>
      <c r="AE44" s="435">
        <v>0</v>
      </c>
      <c r="AF44" s="435">
        <v>0</v>
      </c>
      <c r="AG44" s="435">
        <v>0</v>
      </c>
      <c r="AH44" s="435">
        <v>0</v>
      </c>
      <c r="AI44" s="435">
        <v>0</v>
      </c>
      <c r="AJ44" s="435">
        <v>0</v>
      </c>
      <c r="AK44" s="435">
        <v>0</v>
      </c>
      <c r="AL44" s="435">
        <v>0</v>
      </c>
      <c r="AM44" s="435">
        <v>0</v>
      </c>
      <c r="AN44" s="435">
        <v>0</v>
      </c>
      <c r="AO44" s="435">
        <v>0</v>
      </c>
      <c r="AP44" s="435">
        <v>0</v>
      </c>
      <c r="AQ44" s="435">
        <v>0</v>
      </c>
      <c r="AR44" s="435">
        <v>0</v>
      </c>
      <c r="AS44" s="435">
        <v>0</v>
      </c>
      <c r="AT44" s="435">
        <v>0</v>
      </c>
      <c r="AU44" s="435">
        <v>0</v>
      </c>
      <c r="AV44" s="435">
        <v>0</v>
      </c>
      <c r="AW44" s="435">
        <v>0</v>
      </c>
      <c r="AX44" s="435">
        <v>0</v>
      </c>
      <c r="AY44" s="435">
        <v>0</v>
      </c>
      <c r="BA44" s="360"/>
      <c r="BB44" s="360"/>
    </row>
    <row r="45" spans="2:54">
      <c r="B45" s="271">
        <v>10109</v>
      </c>
      <c r="C45" s="271" t="s">
        <v>48</v>
      </c>
      <c r="D45" s="435">
        <v>-512.3493250526617</v>
      </c>
      <c r="E45" s="435">
        <v>285.92532362943757</v>
      </c>
      <c r="F45" s="435">
        <v>-1798.9466302433657</v>
      </c>
      <c r="G45" s="435">
        <v>-641.61023005629113</v>
      </c>
      <c r="H45" s="435">
        <v>-650.67938301465711</v>
      </c>
      <c r="I45" s="435">
        <v>306.14936883984547</v>
      </c>
      <c r="J45" s="435">
        <v>-142.19301940352216</v>
      </c>
      <c r="K45" s="435">
        <v>304.2721281986278</v>
      </c>
      <c r="L45" s="435">
        <v>-404.18316055544619</v>
      </c>
      <c r="M45" s="435">
        <v>61.24953303390248</v>
      </c>
      <c r="N45" s="435">
        <v>-742.83796576879831</v>
      </c>
      <c r="O45" s="435">
        <v>-321.44050174516178</v>
      </c>
      <c r="P45" s="435">
        <v>1226.0657161251002</v>
      </c>
      <c r="Q45" s="435">
        <v>1355.7320907294152</v>
      </c>
      <c r="R45" s="435">
        <v>-744.42591310015723</v>
      </c>
      <c r="S45" s="435">
        <v>601.33509804150435</v>
      </c>
      <c r="T45" s="435">
        <v>982.88903733774896</v>
      </c>
      <c r="U45" s="435">
        <v>1112.3680671223988</v>
      </c>
      <c r="V45" s="435">
        <v>1018.3636735378095</v>
      </c>
      <c r="W45" s="435">
        <v>1903.8752599004192</v>
      </c>
      <c r="X45" s="435">
        <v>1110.9696364798983</v>
      </c>
      <c r="Y45" s="435">
        <v>1357.8776290761361</v>
      </c>
      <c r="Z45" s="435">
        <v>810.0584007026082</v>
      </c>
      <c r="AA45" s="435">
        <v>1349.7604233145826</v>
      </c>
      <c r="AB45" s="435">
        <v>-512.3493250526617</v>
      </c>
      <c r="AC45" s="435">
        <v>285.92532362943757</v>
      </c>
      <c r="AD45" s="435">
        <v>-1798.9466302433657</v>
      </c>
      <c r="AE45" s="435">
        <v>-641.61023005629113</v>
      </c>
      <c r="AF45" s="435">
        <v>-650.67938301465711</v>
      </c>
      <c r="AG45" s="435">
        <v>306.14936883984547</v>
      </c>
      <c r="AH45" s="435">
        <v>-142.19301940352216</v>
      </c>
      <c r="AI45" s="435">
        <v>304.2721281986278</v>
      </c>
      <c r="AJ45" s="435">
        <v>-212.18742833144552</v>
      </c>
      <c r="AK45" s="435">
        <v>157.24739914590282</v>
      </c>
      <c r="AL45" s="435">
        <v>-742.83796576879831</v>
      </c>
      <c r="AM45" s="435">
        <v>-321.44050174516178</v>
      </c>
      <c r="AN45" s="435">
        <v>1226.0657161251002</v>
      </c>
      <c r="AO45" s="435">
        <v>1355.7320907294152</v>
      </c>
      <c r="AP45" s="435">
        <v>-744.42591310015723</v>
      </c>
      <c r="AQ45" s="435">
        <v>601.33509804150435</v>
      </c>
      <c r="AR45" s="435">
        <v>982.88903733774896</v>
      </c>
      <c r="AS45" s="435">
        <v>1112.3680671223988</v>
      </c>
      <c r="AT45" s="435">
        <v>1018.3636735378095</v>
      </c>
      <c r="AU45" s="435">
        <v>1903.8752599004192</v>
      </c>
      <c r="AV45" s="435">
        <v>1110.9696364798983</v>
      </c>
      <c r="AW45" s="435">
        <v>1357.8776290761361</v>
      </c>
      <c r="AX45" s="435">
        <v>810.0584007026082</v>
      </c>
      <c r="AY45" s="435">
        <v>1349.7604233145826</v>
      </c>
      <c r="BA45" s="360"/>
      <c r="BB45" s="360"/>
    </row>
    <row r="46" spans="2:54">
      <c r="B46" s="271">
        <v>10111</v>
      </c>
      <c r="C46" s="271" t="s">
        <v>49</v>
      </c>
      <c r="D46" s="435">
        <v>-335.94267086935929</v>
      </c>
      <c r="E46" s="435">
        <v>-83.60506876754755</v>
      </c>
      <c r="F46" s="435">
        <v>-288.8171432618949</v>
      </c>
      <c r="G46" s="435">
        <v>-10.478701875824527</v>
      </c>
      <c r="H46" s="435">
        <v>61.617007836302491</v>
      </c>
      <c r="I46" s="435">
        <v>311.50499431877085</v>
      </c>
      <c r="J46" s="435">
        <v>188.13819642000431</v>
      </c>
      <c r="K46" s="435">
        <v>305.16182619333642</v>
      </c>
      <c r="L46" s="435">
        <v>46.494624074100557</v>
      </c>
      <c r="M46" s="435">
        <v>157.64105082757419</v>
      </c>
      <c r="N46" s="435">
        <v>-203.99422076339624</v>
      </c>
      <c r="O46" s="435">
        <v>-54.114102843335218</v>
      </c>
      <c r="P46" s="435">
        <v>-29.194072446437531</v>
      </c>
      <c r="Q46" s="435">
        <v>113.96696609836863</v>
      </c>
      <c r="R46" s="435">
        <v>-525.94184116018687</v>
      </c>
      <c r="S46" s="435">
        <v>-107.34292039963577</v>
      </c>
      <c r="T46" s="435">
        <v>-169.95596116590809</v>
      </c>
      <c r="U46" s="435">
        <v>-13.639972577445405</v>
      </c>
      <c r="V46" s="435">
        <v>287.66823009295194</v>
      </c>
      <c r="W46" s="435">
        <v>505.55227334647009</v>
      </c>
      <c r="X46" s="435">
        <v>277.9247667455993</v>
      </c>
      <c r="Y46" s="435">
        <v>333.34174633128055</v>
      </c>
      <c r="Z46" s="435">
        <v>95.250314881450777</v>
      </c>
      <c r="AA46" s="435">
        <v>235.9635847875154</v>
      </c>
      <c r="AB46" s="435">
        <v>-344.13273580048258</v>
      </c>
      <c r="AC46" s="435">
        <v>-88.271026185029314</v>
      </c>
      <c r="AD46" s="435">
        <v>-298.47460933595062</v>
      </c>
      <c r="AE46" s="435">
        <v>-16.318812921653262</v>
      </c>
      <c r="AF46" s="435">
        <v>52.297321829470775</v>
      </c>
      <c r="AG46" s="435">
        <v>305.73123250305139</v>
      </c>
      <c r="AH46" s="435">
        <v>180.06932557946084</v>
      </c>
      <c r="AI46" s="435">
        <v>300.13346448834113</v>
      </c>
      <c r="AJ46" s="435">
        <v>85.875192887350977</v>
      </c>
      <c r="AK46" s="435">
        <v>176.60226863500316</v>
      </c>
      <c r="AL46" s="435">
        <v>-212.53739214815869</v>
      </c>
      <c r="AM46" s="435">
        <v>-59.314783799289557</v>
      </c>
      <c r="AN46" s="435">
        <v>-36.297305608950637</v>
      </c>
      <c r="AO46" s="435">
        <v>109.62866299371865</v>
      </c>
      <c r="AP46" s="435">
        <v>-537.56794926387101</v>
      </c>
      <c r="AQ46" s="435">
        <v>-113.79955449838337</v>
      </c>
      <c r="AR46" s="435">
        <v>-179.33241187539829</v>
      </c>
      <c r="AS46" s="435">
        <v>-18.94721182253943</v>
      </c>
      <c r="AT46" s="435">
        <v>278.94692004788226</v>
      </c>
      <c r="AU46" s="435">
        <v>500.88550036097843</v>
      </c>
      <c r="AV46" s="435">
        <v>268.59609648168839</v>
      </c>
      <c r="AW46" s="435">
        <v>328.59950622333452</v>
      </c>
      <c r="AX46" s="435">
        <v>87.966476300152408</v>
      </c>
      <c r="AY46" s="435">
        <v>231.41592536185749</v>
      </c>
      <c r="BA46" s="360"/>
      <c r="BB46" s="360"/>
    </row>
    <row r="47" spans="2:54">
      <c r="B47" s="271">
        <v>10112</v>
      </c>
      <c r="C47" s="271" t="s">
        <v>50</v>
      </c>
      <c r="D47" s="435">
        <v>147.34863459353437</v>
      </c>
      <c r="E47" s="435">
        <v>910.01507757816762</v>
      </c>
      <c r="F47" s="435">
        <v>-2324.2675202962455</v>
      </c>
      <c r="G47" s="435">
        <v>280.53751884424491</v>
      </c>
      <c r="H47" s="435">
        <v>2240.6491466142033</v>
      </c>
      <c r="I47" s="435">
        <v>2809.7118321559574</v>
      </c>
      <c r="J47" s="435">
        <v>5379.5032747448313</v>
      </c>
      <c r="K47" s="435">
        <v>4728.134108905253</v>
      </c>
      <c r="L47" s="435">
        <v>3997.3784505850017</v>
      </c>
      <c r="M47" s="435">
        <v>2929.5315761448765</v>
      </c>
      <c r="N47" s="435">
        <v>898.5592263100516</v>
      </c>
      <c r="O47" s="435">
        <v>645.14924741980576</v>
      </c>
      <c r="P47" s="435">
        <v>3087.7995526296618</v>
      </c>
      <c r="Q47" s="435">
        <v>2015.2001306481216</v>
      </c>
      <c r="R47" s="435">
        <v>-11532.846675558802</v>
      </c>
      <c r="S47" s="435">
        <v>-4132.3750629092337</v>
      </c>
      <c r="T47" s="435">
        <v>-5778.3197741016957</v>
      </c>
      <c r="U47" s="435">
        <v>-2513.2511285235869</v>
      </c>
      <c r="V47" s="435">
        <v>-2994.515133385059</v>
      </c>
      <c r="W47" s="435">
        <v>990.29568316810219</v>
      </c>
      <c r="X47" s="435">
        <v>-3618.5957991446849</v>
      </c>
      <c r="Y47" s="435">
        <v>52.381829273839685</v>
      </c>
      <c r="Z47" s="435">
        <v>402.86549330186608</v>
      </c>
      <c r="AA47" s="435">
        <v>717.52584746125467</v>
      </c>
      <c r="AB47" s="435">
        <v>-29.192765032898023</v>
      </c>
      <c r="AC47" s="435">
        <v>809.43777324578514</v>
      </c>
      <c r="AD47" s="435">
        <v>-2532.4395667814424</v>
      </c>
      <c r="AE47" s="435">
        <v>154.65068074527153</v>
      </c>
      <c r="AF47" s="435">
        <v>2039.7581371336128</v>
      </c>
      <c r="AG47" s="435">
        <v>2685.2551885726716</v>
      </c>
      <c r="AH47" s="435">
        <v>5205.5742810709016</v>
      </c>
      <c r="AI47" s="435">
        <v>4619.7449788198028</v>
      </c>
      <c r="AJ47" s="435">
        <v>4739.6350926990672</v>
      </c>
      <c r="AK47" s="435">
        <v>3284.9444616192359</v>
      </c>
      <c r="AL47" s="435">
        <v>714.40642090517576</v>
      </c>
      <c r="AM47" s="435">
        <v>533.04568014701363</v>
      </c>
      <c r="AN47" s="435">
        <v>2934.6854155710498</v>
      </c>
      <c r="AO47" s="435">
        <v>1921.6855970589986</v>
      </c>
      <c r="AP47" s="435">
        <v>-11783.453894682658</v>
      </c>
      <c r="AQ47" s="435">
        <v>-4271.5513979266816</v>
      </c>
      <c r="AR47" s="435">
        <v>-5980.4343782840369</v>
      </c>
      <c r="AS47" s="435">
        <v>-2627.6516189178346</v>
      </c>
      <c r="AT47" s="435">
        <v>-3182.5078165787854</v>
      </c>
      <c r="AU47" s="435">
        <v>889.70079881417223</v>
      </c>
      <c r="AV47" s="435">
        <v>-3819.6804692778715</v>
      </c>
      <c r="AW47" s="435">
        <v>-49.839790830774291</v>
      </c>
      <c r="AX47" s="435">
        <v>245.85830610499397</v>
      </c>
      <c r="AY47" s="435">
        <v>619.49852206373907</v>
      </c>
      <c r="BA47" s="360"/>
      <c r="BB47" s="360"/>
    </row>
    <row r="48" spans="2:54">
      <c r="B48" s="271">
        <v>10113</v>
      </c>
      <c r="C48" s="271" t="s">
        <v>51</v>
      </c>
      <c r="D48" s="435">
        <v>-2049.9295419803202</v>
      </c>
      <c r="E48" s="435">
        <v>47.491632525434397</v>
      </c>
      <c r="F48" s="435">
        <v>-9162.0246712720073</v>
      </c>
      <c r="G48" s="435">
        <v>-4710.6741670588226</v>
      </c>
      <c r="H48" s="435">
        <v>-8448.3657315244709</v>
      </c>
      <c r="I48" s="435">
        <v>-3926.3608078527368</v>
      </c>
      <c r="J48" s="435">
        <v>-5933.8376406621082</v>
      </c>
      <c r="K48" s="435">
        <v>-3188.8330553221122</v>
      </c>
      <c r="L48" s="435">
        <v>-6038.687315051744</v>
      </c>
      <c r="M48" s="435">
        <v>-3223.9885017344559</v>
      </c>
      <c r="N48" s="435">
        <v>-5891.0056180346874</v>
      </c>
      <c r="O48" s="435">
        <v>-3634.1837324709413</v>
      </c>
      <c r="P48" s="435">
        <v>1120.565082611889</v>
      </c>
      <c r="Q48" s="435">
        <v>1245.1949538278604</v>
      </c>
      <c r="R48" s="435">
        <v>-559.17667592623911</v>
      </c>
      <c r="S48" s="435">
        <v>2192.2396958459285</v>
      </c>
      <c r="T48" s="435">
        <v>9120.4760787790983</v>
      </c>
      <c r="U48" s="435">
        <v>7109.7273744622489</v>
      </c>
      <c r="V48" s="435">
        <v>14696.536214110187</v>
      </c>
      <c r="W48" s="435">
        <v>15336.125079721676</v>
      </c>
      <c r="X48" s="435">
        <v>12290.2034342113</v>
      </c>
      <c r="Y48" s="435">
        <v>9912.789332969538</v>
      </c>
      <c r="Z48" s="435">
        <v>4151.8155552231765</v>
      </c>
      <c r="AA48" s="435">
        <v>4177.6522236724722</v>
      </c>
      <c r="AB48" s="435">
        <v>-2229.5455419803202</v>
      </c>
      <c r="AC48" s="435">
        <v>-155.30836747456488</v>
      </c>
      <c r="AD48" s="435">
        <v>-9401.8326712720063</v>
      </c>
      <c r="AE48" s="435">
        <v>-4841.4601670588227</v>
      </c>
      <c r="AF48" s="435">
        <v>-8662.1897315244714</v>
      </c>
      <c r="AG48" s="435">
        <v>-4094.9528078527364</v>
      </c>
      <c r="AH48" s="435">
        <v>-6139.4376406621068</v>
      </c>
      <c r="AI48" s="435">
        <v>-3365.649055322112</v>
      </c>
      <c r="AJ48" s="435">
        <v>-5604.6507129157417</v>
      </c>
      <c r="AK48" s="435">
        <v>-3056.3142006664539</v>
      </c>
      <c r="AL48" s="435">
        <v>-6113.053618034688</v>
      </c>
      <c r="AM48" s="435">
        <v>-3794.0377324709416</v>
      </c>
      <c r="AN48" s="435">
        <v>949.17308261188919</v>
      </c>
      <c r="AO48" s="435">
        <v>1046.5069538278603</v>
      </c>
      <c r="AP48" s="435">
        <v>-807.20867592623836</v>
      </c>
      <c r="AQ48" s="435">
        <v>2057.8556958459285</v>
      </c>
      <c r="AR48" s="435">
        <v>8906.6520787790978</v>
      </c>
      <c r="AS48" s="435">
        <v>6953.4713744622513</v>
      </c>
      <c r="AT48" s="435">
        <v>14490.936214110188</v>
      </c>
      <c r="AU48" s="435">
        <v>15159.309079721677</v>
      </c>
      <c r="AV48" s="435">
        <v>12068.155434211301</v>
      </c>
      <c r="AW48" s="435">
        <v>9752.4213329695394</v>
      </c>
      <c r="AX48" s="435">
        <v>3946.2155552231779</v>
      </c>
      <c r="AY48" s="435">
        <v>4013.1722236724727</v>
      </c>
      <c r="BA48" s="360"/>
      <c r="BB48" s="360"/>
    </row>
    <row r="49" spans="2:54">
      <c r="B49" s="271">
        <v>10116</v>
      </c>
      <c r="C49" s="271" t="s">
        <v>52</v>
      </c>
      <c r="D49" s="435">
        <v>11.500650354111045</v>
      </c>
      <c r="E49" s="435">
        <v>24.422040497600122</v>
      </c>
      <c r="F49" s="435">
        <v>0.19276425808217823</v>
      </c>
      <c r="G49" s="435">
        <v>20.752683814246595</v>
      </c>
      <c r="H49" s="435">
        <v>11.281710150362969</v>
      </c>
      <c r="I49" s="435">
        <v>25.658579419839157</v>
      </c>
      <c r="J49" s="435">
        <v>26.57343264021182</v>
      </c>
      <c r="K49" s="435">
        <v>31.746084288198922</v>
      </c>
      <c r="L49" s="435">
        <v>22.203554143520336</v>
      </c>
      <c r="M49" s="435">
        <v>26.484076546882463</v>
      </c>
      <c r="N49" s="435">
        <v>16.612493582498914</v>
      </c>
      <c r="O49" s="435">
        <v>23.210541055887695</v>
      </c>
      <c r="P49" s="435">
        <v>31.916510438752823</v>
      </c>
      <c r="Q49" s="435">
        <v>32.35947845479248</v>
      </c>
      <c r="R49" s="435">
        <v>-41.350433386897379</v>
      </c>
      <c r="S49" s="435">
        <v>-1.5542253349751292</v>
      </c>
      <c r="T49" s="435">
        <v>-10.130370425749504</v>
      </c>
      <c r="U49" s="435">
        <v>8.194705718270562</v>
      </c>
      <c r="V49" s="435">
        <v>-11.454261214808085</v>
      </c>
      <c r="W49" s="435">
        <v>7.6434619303840208</v>
      </c>
      <c r="X49" s="435">
        <v>-27.916790924098521</v>
      </c>
      <c r="Y49" s="435">
        <v>-2.0340394691430674E-2</v>
      </c>
      <c r="Z49" s="435">
        <v>4.7778089967144268</v>
      </c>
      <c r="AA49" s="435">
        <v>12.564360115301533</v>
      </c>
      <c r="AB49" s="435">
        <v>11.500650354111045</v>
      </c>
      <c r="AC49" s="435">
        <v>24.422040497600122</v>
      </c>
      <c r="AD49" s="435">
        <v>0.19276425808217823</v>
      </c>
      <c r="AE49" s="435">
        <v>20.752683814246595</v>
      </c>
      <c r="AF49" s="435">
        <v>11.281710150362969</v>
      </c>
      <c r="AG49" s="435">
        <v>25.658579419839157</v>
      </c>
      <c r="AH49" s="435">
        <v>26.57343264021182</v>
      </c>
      <c r="AI49" s="435">
        <v>31.746084288198922</v>
      </c>
      <c r="AJ49" s="435">
        <v>25.376667967520348</v>
      </c>
      <c r="AK49" s="435">
        <v>28.070633458882469</v>
      </c>
      <c r="AL49" s="435">
        <v>16.612493582498914</v>
      </c>
      <c r="AM49" s="435">
        <v>23.210541055887695</v>
      </c>
      <c r="AN49" s="435">
        <v>31.916510438752823</v>
      </c>
      <c r="AO49" s="435">
        <v>32.35947845479248</v>
      </c>
      <c r="AP49" s="435">
        <v>-41.350433386897379</v>
      </c>
      <c r="AQ49" s="435">
        <v>-1.5542253349751292</v>
      </c>
      <c r="AR49" s="435">
        <v>-10.130370425749504</v>
      </c>
      <c r="AS49" s="435">
        <v>8.194705718270562</v>
      </c>
      <c r="AT49" s="435">
        <v>-11.454261214808085</v>
      </c>
      <c r="AU49" s="435">
        <v>7.6434619303840208</v>
      </c>
      <c r="AV49" s="435">
        <v>-27.916790924098521</v>
      </c>
      <c r="AW49" s="435">
        <v>-2.0340394691430674E-2</v>
      </c>
      <c r="AX49" s="435">
        <v>4.7778089967144268</v>
      </c>
      <c r="AY49" s="435">
        <v>12.564360115301533</v>
      </c>
      <c r="BA49" s="360"/>
      <c r="BB49" s="360"/>
    </row>
    <row r="50" spans="2:54">
      <c r="B50" s="271">
        <v>10118</v>
      </c>
      <c r="C50" s="271" t="s">
        <v>53</v>
      </c>
      <c r="D50" s="435">
        <v>0</v>
      </c>
      <c r="E50" s="435">
        <v>0</v>
      </c>
      <c r="F50" s="435">
        <v>0</v>
      </c>
      <c r="G50" s="435">
        <v>0</v>
      </c>
      <c r="H50" s="435">
        <v>0</v>
      </c>
      <c r="I50" s="435">
        <v>0</v>
      </c>
      <c r="J50" s="435">
        <v>0</v>
      </c>
      <c r="K50" s="435">
        <v>0</v>
      </c>
      <c r="L50" s="435">
        <v>0</v>
      </c>
      <c r="M50" s="435">
        <v>0</v>
      </c>
      <c r="N50" s="435">
        <v>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5">
        <v>0</v>
      </c>
      <c r="Y50" s="435">
        <v>0</v>
      </c>
      <c r="Z50" s="435">
        <v>0</v>
      </c>
      <c r="AA50" s="435">
        <v>0</v>
      </c>
      <c r="AB50" s="435">
        <v>0</v>
      </c>
      <c r="AC50" s="435">
        <v>0</v>
      </c>
      <c r="AD50" s="435">
        <v>0</v>
      </c>
      <c r="AE50" s="435">
        <v>0</v>
      </c>
      <c r="AF50" s="435">
        <v>0</v>
      </c>
      <c r="AG50" s="435">
        <v>0</v>
      </c>
      <c r="AH50" s="435">
        <v>0</v>
      </c>
      <c r="AI50" s="435">
        <v>0</v>
      </c>
      <c r="AJ50" s="435">
        <v>0</v>
      </c>
      <c r="AK50" s="435">
        <v>0</v>
      </c>
      <c r="AL50" s="435">
        <v>0</v>
      </c>
      <c r="AM50" s="435">
        <v>0</v>
      </c>
      <c r="AN50" s="435">
        <v>0</v>
      </c>
      <c r="AO50" s="435">
        <v>0</v>
      </c>
      <c r="AP50" s="435">
        <v>0</v>
      </c>
      <c r="AQ50" s="435">
        <v>0</v>
      </c>
      <c r="AR50" s="435">
        <v>0</v>
      </c>
      <c r="AS50" s="435">
        <v>0</v>
      </c>
      <c r="AT50" s="435">
        <v>0</v>
      </c>
      <c r="AU50" s="435">
        <v>0</v>
      </c>
      <c r="AV50" s="435">
        <v>0</v>
      </c>
      <c r="AW50" s="435">
        <v>0</v>
      </c>
      <c r="AX50" s="435">
        <v>0</v>
      </c>
      <c r="AY50" s="435">
        <v>0</v>
      </c>
      <c r="BA50" s="360"/>
      <c r="BB50" s="360"/>
    </row>
    <row r="51" spans="2:54">
      <c r="B51" s="271">
        <v>10121</v>
      </c>
      <c r="C51" s="271" t="s">
        <v>54</v>
      </c>
      <c r="D51" s="435">
        <v>0</v>
      </c>
      <c r="E51" s="435">
        <v>0</v>
      </c>
      <c r="F51" s="435">
        <v>0</v>
      </c>
      <c r="G51" s="435">
        <v>0</v>
      </c>
      <c r="H51" s="435">
        <v>0</v>
      </c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5">
        <v>0</v>
      </c>
      <c r="Y51" s="435">
        <v>0</v>
      </c>
      <c r="Z51" s="435">
        <v>0</v>
      </c>
      <c r="AA51" s="435">
        <v>0</v>
      </c>
      <c r="AB51" s="435">
        <v>0</v>
      </c>
      <c r="AC51" s="435">
        <v>0</v>
      </c>
      <c r="AD51" s="435">
        <v>0</v>
      </c>
      <c r="AE51" s="435">
        <v>0</v>
      </c>
      <c r="AF51" s="435">
        <v>0</v>
      </c>
      <c r="AG51" s="435">
        <v>0</v>
      </c>
      <c r="AH51" s="435">
        <v>0</v>
      </c>
      <c r="AI51" s="435">
        <v>0</v>
      </c>
      <c r="AJ51" s="435">
        <v>0</v>
      </c>
      <c r="AK51" s="435">
        <v>0</v>
      </c>
      <c r="AL51" s="435">
        <v>0</v>
      </c>
      <c r="AM51" s="435">
        <v>0</v>
      </c>
      <c r="AN51" s="435">
        <v>0</v>
      </c>
      <c r="AO51" s="435">
        <v>0</v>
      </c>
      <c r="AP51" s="435">
        <v>0</v>
      </c>
      <c r="AQ51" s="435">
        <v>0</v>
      </c>
      <c r="AR51" s="435">
        <v>0</v>
      </c>
      <c r="AS51" s="435">
        <v>0</v>
      </c>
      <c r="AT51" s="435">
        <v>0</v>
      </c>
      <c r="AU51" s="435">
        <v>0</v>
      </c>
      <c r="AV51" s="435">
        <v>0</v>
      </c>
      <c r="AW51" s="435">
        <v>0</v>
      </c>
      <c r="AX51" s="435">
        <v>0</v>
      </c>
      <c r="AY51" s="435">
        <v>0</v>
      </c>
      <c r="BA51" s="360"/>
      <c r="BB51" s="360"/>
    </row>
    <row r="52" spans="2:54">
      <c r="B52" s="271">
        <v>10123</v>
      </c>
      <c r="C52" s="271" t="s">
        <v>55</v>
      </c>
      <c r="D52" s="435">
        <v>-3790.4954294066556</v>
      </c>
      <c r="E52" s="435">
        <v>14814.671564097545</v>
      </c>
      <c r="F52" s="435">
        <v>-29931.006182958037</v>
      </c>
      <c r="G52" s="435">
        <v>10764.058462520567</v>
      </c>
      <c r="H52" s="435">
        <v>-12164.737171008965</v>
      </c>
      <c r="I52" s="435">
        <v>12532.83255694792</v>
      </c>
      <c r="J52" s="435">
        <v>-398.90200791710231</v>
      </c>
      <c r="K52" s="435">
        <v>26508.521191588778</v>
      </c>
      <c r="L52" s="435">
        <v>858.28027240044321</v>
      </c>
      <c r="M52" s="435">
        <v>15348.408522003854</v>
      </c>
      <c r="N52" s="435">
        <v>-7259.8392169780273</v>
      </c>
      <c r="O52" s="435">
        <v>8117.562628671134</v>
      </c>
      <c r="P52" s="435">
        <v>9597.7909411104192</v>
      </c>
      <c r="Q52" s="435">
        <v>18993.428789626319</v>
      </c>
      <c r="R52" s="435">
        <v>-62801.28451431384</v>
      </c>
      <c r="S52" s="435">
        <v>-4239.3347366840462</v>
      </c>
      <c r="T52" s="435">
        <v>-27682.75043803567</v>
      </c>
      <c r="U52" s="435">
        <v>1477.6376383612223</v>
      </c>
      <c r="V52" s="435">
        <v>-20741.359336033318</v>
      </c>
      <c r="W52" s="435">
        <v>21979.631853169849</v>
      </c>
      <c r="X52" s="435">
        <v>-21131.142631708208</v>
      </c>
      <c r="Y52" s="435">
        <v>12774.300059061003</v>
      </c>
      <c r="Z52" s="435">
        <v>285.77309491546475</v>
      </c>
      <c r="AA52" s="435">
        <v>18206.955407718378</v>
      </c>
      <c r="AB52" s="435">
        <v>-6547.9115603596874</v>
      </c>
      <c r="AC52" s="435">
        <v>20012.765704163932</v>
      </c>
      <c r="AD52" s="435">
        <v>-24120.676926563159</v>
      </c>
      <c r="AE52" s="435">
        <v>7482.6244926769141</v>
      </c>
      <c r="AF52" s="435">
        <v>-10652.079625264902</v>
      </c>
      <c r="AG52" s="435">
        <v>13725.504852630736</v>
      </c>
      <c r="AH52" s="435">
        <v>1039.7668535242556</v>
      </c>
      <c r="AI52" s="435">
        <v>27745.776412428371</v>
      </c>
      <c r="AJ52" s="435">
        <v>5825.6618673979829</v>
      </c>
      <c r="AK52" s="435">
        <v>19062.683574155933</v>
      </c>
      <c r="AL52" s="435">
        <v>-5823.666689537873</v>
      </c>
      <c r="AM52" s="435">
        <v>9151.4738694903208</v>
      </c>
      <c r="AN52" s="435">
        <v>6729.2063884809468</v>
      </c>
      <c r="AO52" s="435">
        <v>24273.285592223248</v>
      </c>
      <c r="AP52" s="435">
        <v>-57446.719510655312</v>
      </c>
      <c r="AQ52" s="435">
        <v>-7212.0332495210605</v>
      </c>
      <c r="AR52" s="435">
        <v>-26357.530892525101</v>
      </c>
      <c r="AS52" s="435">
        <v>2446.0673062343267</v>
      </c>
      <c r="AT52" s="435">
        <v>-19444.976405943307</v>
      </c>
      <c r="AU52" s="435">
        <v>23094.521173047266</v>
      </c>
      <c r="AV52" s="435">
        <v>-19731.049067210974</v>
      </c>
      <c r="AW52" s="435">
        <v>13785.47874453121</v>
      </c>
      <c r="AX52" s="435">
        <v>1592.6957236240996</v>
      </c>
      <c r="AY52" s="435">
        <v>19252.493510685286</v>
      </c>
      <c r="BA52" s="360"/>
      <c r="BB52" s="360"/>
    </row>
    <row r="53" spans="2:54">
      <c r="B53" s="271">
        <v>10136</v>
      </c>
      <c r="C53" s="271" t="s">
        <v>56</v>
      </c>
      <c r="D53" s="435">
        <v>0</v>
      </c>
      <c r="E53" s="435">
        <v>0</v>
      </c>
      <c r="F53" s="435">
        <v>0</v>
      </c>
      <c r="G53" s="435">
        <v>0</v>
      </c>
      <c r="H53" s="435">
        <v>0</v>
      </c>
      <c r="I53" s="435">
        <v>0</v>
      </c>
      <c r="J53" s="435">
        <v>0</v>
      </c>
      <c r="K53" s="435">
        <v>0</v>
      </c>
      <c r="L53" s="435">
        <v>0</v>
      </c>
      <c r="M53" s="435">
        <v>0</v>
      </c>
      <c r="N53" s="435">
        <v>0</v>
      </c>
      <c r="O53" s="435">
        <v>0</v>
      </c>
      <c r="P53" s="435">
        <v>0</v>
      </c>
      <c r="Q53" s="435">
        <v>0</v>
      </c>
      <c r="R53" s="435">
        <v>0</v>
      </c>
      <c r="S53" s="435">
        <v>0</v>
      </c>
      <c r="T53" s="435">
        <v>0</v>
      </c>
      <c r="U53" s="435">
        <v>0</v>
      </c>
      <c r="V53" s="435">
        <v>0</v>
      </c>
      <c r="W53" s="435">
        <v>0</v>
      </c>
      <c r="X53" s="435">
        <v>0</v>
      </c>
      <c r="Y53" s="435">
        <v>0</v>
      </c>
      <c r="Z53" s="435">
        <v>0</v>
      </c>
      <c r="AA53" s="435">
        <v>0</v>
      </c>
      <c r="AB53" s="435">
        <v>0</v>
      </c>
      <c r="AC53" s="435">
        <v>0</v>
      </c>
      <c r="AD53" s="435">
        <v>0</v>
      </c>
      <c r="AE53" s="435">
        <v>0</v>
      </c>
      <c r="AF53" s="435">
        <v>0</v>
      </c>
      <c r="AG53" s="435">
        <v>0</v>
      </c>
      <c r="AH53" s="435">
        <v>0</v>
      </c>
      <c r="AI53" s="435">
        <v>0</v>
      </c>
      <c r="AJ53" s="435">
        <v>0</v>
      </c>
      <c r="AK53" s="435">
        <v>0</v>
      </c>
      <c r="AL53" s="435">
        <v>0</v>
      </c>
      <c r="AM53" s="435">
        <v>0</v>
      </c>
      <c r="AN53" s="435">
        <v>0</v>
      </c>
      <c r="AO53" s="435">
        <v>0</v>
      </c>
      <c r="AP53" s="435">
        <v>0</v>
      </c>
      <c r="AQ53" s="435">
        <v>0</v>
      </c>
      <c r="AR53" s="435">
        <v>0</v>
      </c>
      <c r="AS53" s="435">
        <v>0</v>
      </c>
      <c r="AT53" s="435">
        <v>0</v>
      </c>
      <c r="AU53" s="435">
        <v>0</v>
      </c>
      <c r="AV53" s="435">
        <v>0</v>
      </c>
      <c r="AW53" s="435">
        <v>0</v>
      </c>
      <c r="AX53" s="435">
        <v>0</v>
      </c>
      <c r="AY53" s="435">
        <v>0</v>
      </c>
      <c r="BA53" s="360"/>
      <c r="BB53" s="360"/>
    </row>
    <row r="54" spans="2:54">
      <c r="B54" s="271">
        <v>10142</v>
      </c>
      <c r="C54" s="271" t="s">
        <v>57</v>
      </c>
      <c r="D54" s="435">
        <v>-269.53849824113661</v>
      </c>
      <c r="E54" s="435">
        <v>-52.814248815654764</v>
      </c>
      <c r="F54" s="435">
        <v>-408.54245215650997</v>
      </c>
      <c r="G54" s="435">
        <v>-107.56385909826145</v>
      </c>
      <c r="H54" s="435">
        <v>-140.82142118650268</v>
      </c>
      <c r="I54" s="435">
        <v>101.44421186270074</v>
      </c>
      <c r="J54" s="435">
        <v>65.480823210729568</v>
      </c>
      <c r="K54" s="435">
        <v>173.59205712086646</v>
      </c>
      <c r="L54" s="435">
        <v>-51.953877320577476</v>
      </c>
      <c r="M54" s="435">
        <v>62.783160986510893</v>
      </c>
      <c r="N54" s="435">
        <v>-331.73282027146718</v>
      </c>
      <c r="O54" s="435">
        <v>-158.11948604229576</v>
      </c>
      <c r="P54" s="435">
        <v>-110.54220675321483</v>
      </c>
      <c r="Q54" s="435">
        <v>-7.0624493267108619</v>
      </c>
      <c r="R54" s="435">
        <v>-251.13562900516172</v>
      </c>
      <c r="S54" s="435">
        <v>-34.279946308416356</v>
      </c>
      <c r="T54" s="435">
        <v>465.83234615305855</v>
      </c>
      <c r="U54" s="435">
        <v>279.61700877580654</v>
      </c>
      <c r="V54" s="435">
        <v>708.64923771255758</v>
      </c>
      <c r="W54" s="435">
        <v>680.94463527004757</v>
      </c>
      <c r="X54" s="435">
        <v>483.80146756429781</v>
      </c>
      <c r="Y54" s="435">
        <v>313.16659068954561</v>
      </c>
      <c r="Z54" s="435">
        <v>149.52567283971348</v>
      </c>
      <c r="AA54" s="435">
        <v>158.37929365990897</v>
      </c>
      <c r="AB54" s="435">
        <v>-269.53849824113661</v>
      </c>
      <c r="AC54" s="435">
        <v>-52.814248815654764</v>
      </c>
      <c r="AD54" s="435">
        <v>-408.54245215650997</v>
      </c>
      <c r="AE54" s="435">
        <v>-107.56385909826145</v>
      </c>
      <c r="AF54" s="435">
        <v>-140.82142118650268</v>
      </c>
      <c r="AG54" s="435">
        <v>101.44421186270074</v>
      </c>
      <c r="AH54" s="435">
        <v>65.480823210729568</v>
      </c>
      <c r="AI54" s="435">
        <v>173.59205712086646</v>
      </c>
      <c r="AJ54" s="435">
        <v>-9.3738182245773487</v>
      </c>
      <c r="AK54" s="435">
        <v>84.0731905345109</v>
      </c>
      <c r="AL54" s="435">
        <v>-331.73282027146718</v>
      </c>
      <c r="AM54" s="435">
        <v>-158.11948604229576</v>
      </c>
      <c r="AN54" s="435">
        <v>-110.54220675321483</v>
      </c>
      <c r="AO54" s="435">
        <v>-7.0624493267108619</v>
      </c>
      <c r="AP54" s="435">
        <v>-251.13562900516172</v>
      </c>
      <c r="AQ54" s="435">
        <v>-34.279946308416356</v>
      </c>
      <c r="AR54" s="435">
        <v>465.83234615305855</v>
      </c>
      <c r="AS54" s="435">
        <v>279.61700877580654</v>
      </c>
      <c r="AT54" s="435">
        <v>708.64923771255758</v>
      </c>
      <c r="AU54" s="435">
        <v>680.94463527004757</v>
      </c>
      <c r="AV54" s="435">
        <v>483.80146756429781</v>
      </c>
      <c r="AW54" s="435">
        <v>313.16659068954561</v>
      </c>
      <c r="AX54" s="435">
        <v>149.52567283971348</v>
      </c>
      <c r="AY54" s="435">
        <v>158.37929365990897</v>
      </c>
      <c r="BA54" s="360"/>
      <c r="BB54" s="360"/>
    </row>
    <row r="55" spans="2:54">
      <c r="B55" s="271">
        <v>10144</v>
      </c>
      <c r="C55" s="271" t="s">
        <v>58</v>
      </c>
      <c r="D55" s="435">
        <v>-103.5977564013117</v>
      </c>
      <c r="E55" s="435">
        <v>2.4011209985934556</v>
      </c>
      <c r="F55" s="435">
        <v>124.23133882355751</v>
      </c>
      <c r="G55" s="435">
        <v>185.61205675236374</v>
      </c>
      <c r="H55" s="435">
        <v>245.23960990923979</v>
      </c>
      <c r="I55" s="435">
        <v>343.10560649378863</v>
      </c>
      <c r="J55" s="435">
        <v>627.02442620072588</v>
      </c>
      <c r="K55" s="435">
        <v>483.22981115825655</v>
      </c>
      <c r="L55" s="435">
        <v>504.77368373845616</v>
      </c>
      <c r="M55" s="435">
        <v>362.63712534398474</v>
      </c>
      <c r="N55" s="435">
        <v>151.220663791795</v>
      </c>
      <c r="O55" s="435">
        <v>84.219387378403212</v>
      </c>
      <c r="P55" s="435">
        <v>149.50912881716863</v>
      </c>
      <c r="Q55" s="435">
        <v>155.18100936712767</v>
      </c>
      <c r="R55" s="435">
        <v>-874.67983305550206</v>
      </c>
      <c r="S55" s="435">
        <v>-407.62233218708411</v>
      </c>
      <c r="T55" s="435">
        <v>-542.19777296588063</v>
      </c>
      <c r="U55" s="435">
        <v>-315.96897830357352</v>
      </c>
      <c r="V55" s="435">
        <v>-511.01454496598035</v>
      </c>
      <c r="W55" s="435">
        <v>-130.76135855871792</v>
      </c>
      <c r="X55" s="435">
        <v>-553.17295383615487</v>
      </c>
      <c r="Y55" s="435">
        <v>-233.69598195346578</v>
      </c>
      <c r="Z55" s="435">
        <v>-202.27404670988199</v>
      </c>
      <c r="AA55" s="435">
        <v>-96.357195254639919</v>
      </c>
      <c r="AB55" s="435">
        <v>-111.48448559424514</v>
      </c>
      <c r="AC55" s="435">
        <v>-2.0920231812037855</v>
      </c>
      <c r="AD55" s="435">
        <v>114.93155667817064</v>
      </c>
      <c r="AE55" s="435">
        <v>179.98824611563987</v>
      </c>
      <c r="AF55" s="435">
        <v>236.26509745821659</v>
      </c>
      <c r="AG55" s="435">
        <v>337.54568770828087</v>
      </c>
      <c r="AH55" s="435">
        <v>619.25440242835066</v>
      </c>
      <c r="AI55" s="435">
        <v>478.38768507196482</v>
      </c>
      <c r="AJ55" s="435">
        <v>551.00920497491938</v>
      </c>
      <c r="AK55" s="435">
        <v>385.0528218296572</v>
      </c>
      <c r="AL55" s="435">
        <v>142.99390616202368</v>
      </c>
      <c r="AM55" s="435">
        <v>79.211324235632333</v>
      </c>
      <c r="AN55" s="435">
        <v>142.66897836437829</v>
      </c>
      <c r="AO55" s="435">
        <v>151.00338415524243</v>
      </c>
      <c r="AP55" s="435">
        <v>-885.87534456275307</v>
      </c>
      <c r="AQ55" s="435">
        <v>-413.83983168958184</v>
      </c>
      <c r="AR55" s="435">
        <v>-551.22694772316754</v>
      </c>
      <c r="AS55" s="435">
        <v>-321.07965313218256</v>
      </c>
      <c r="AT55" s="435">
        <v>-519.41284352789944</v>
      </c>
      <c r="AU55" s="435">
        <v>-135.25528810030255</v>
      </c>
      <c r="AV55" s="435">
        <v>-562.15611779399501</v>
      </c>
      <c r="AW55" s="435">
        <v>-238.26258353889534</v>
      </c>
      <c r="AX55" s="435">
        <v>-209.28811349187299</v>
      </c>
      <c r="AY55" s="435">
        <v>-100.736422849718</v>
      </c>
      <c r="BA55" s="360"/>
      <c r="BB55" s="360"/>
    </row>
    <row r="56" spans="2:54">
      <c r="B56" s="271">
        <v>10156</v>
      </c>
      <c r="C56" s="271" t="s">
        <v>59</v>
      </c>
      <c r="D56" s="435">
        <v>-686.37057487776292</v>
      </c>
      <c r="E56" s="435">
        <v>346.58463814313927</v>
      </c>
      <c r="F56" s="435">
        <v>452.88947413822643</v>
      </c>
      <c r="G56" s="435">
        <v>2311.2261595504624</v>
      </c>
      <c r="H56" s="435">
        <v>2920.787103137809</v>
      </c>
      <c r="I56" s="435">
        <v>3555.8041714279971</v>
      </c>
      <c r="J56" s="435">
        <v>5601.2771859810236</v>
      </c>
      <c r="K56" s="435">
        <v>4987.7572693925904</v>
      </c>
      <c r="L56" s="435">
        <v>4333.8011161808463</v>
      </c>
      <c r="M56" s="435">
        <v>3817.4101682470146</v>
      </c>
      <c r="N56" s="435">
        <v>771.21866758091528</v>
      </c>
      <c r="O56" s="435">
        <v>1277.8799601072751</v>
      </c>
      <c r="P56" s="435">
        <v>1542.0954141948332</v>
      </c>
      <c r="Q56" s="435">
        <v>1612.4664940639577</v>
      </c>
      <c r="R56" s="435">
        <v>-8412.9443198612407</v>
      </c>
      <c r="S56" s="435">
        <v>-2957.0727435310127</v>
      </c>
      <c r="T56" s="435">
        <v>-5569.1484861931349</v>
      </c>
      <c r="U56" s="435">
        <v>-2532.6870727208488</v>
      </c>
      <c r="V56" s="435">
        <v>-4781.3532182799863</v>
      </c>
      <c r="W56" s="435">
        <v>-1167.1266781830373</v>
      </c>
      <c r="X56" s="435">
        <v>-5437.0103298085414</v>
      </c>
      <c r="Y56" s="435">
        <v>-1543.4746399426767</v>
      </c>
      <c r="Z56" s="435">
        <v>-2072.6372636398046</v>
      </c>
      <c r="AA56" s="435">
        <v>-838.36192854366618</v>
      </c>
      <c r="AB56" s="435">
        <v>-732.47760708260466</v>
      </c>
      <c r="AC56" s="435">
        <v>320.3170260150946</v>
      </c>
      <c r="AD56" s="435">
        <v>398.52151698057969</v>
      </c>
      <c r="AE56" s="435">
        <v>2278.3484973665381</v>
      </c>
      <c r="AF56" s="435">
        <v>2868.3207226549057</v>
      </c>
      <c r="AG56" s="435">
        <v>3523.3000308357987</v>
      </c>
      <c r="AH56" s="435">
        <v>5555.8524316194471</v>
      </c>
      <c r="AI56" s="435">
        <v>4959.4494553496552</v>
      </c>
      <c r="AJ56" s="435">
        <v>4802.9209042364782</v>
      </c>
      <c r="AK56" s="435">
        <v>4047.8656873460232</v>
      </c>
      <c r="AL56" s="435">
        <v>723.12377682225269</v>
      </c>
      <c r="AM56" s="435">
        <v>1248.6020525033855</v>
      </c>
      <c r="AN56" s="435">
        <v>1502.1068423169836</v>
      </c>
      <c r="AO56" s="435">
        <v>1588.0434543637057</v>
      </c>
      <c r="AP56" s="435">
        <v>-8478.3950025190188</v>
      </c>
      <c r="AQ56" s="435">
        <v>-2993.4212021609983</v>
      </c>
      <c r="AR56" s="435">
        <v>-5621.9344309280441</v>
      </c>
      <c r="AS56" s="435">
        <v>-2562.5648640265617</v>
      </c>
      <c r="AT56" s="435">
        <v>-4830.4509637188967</v>
      </c>
      <c r="AU56" s="435">
        <v>-1193.3988816569163</v>
      </c>
      <c r="AV56" s="435">
        <v>-5489.5272883312973</v>
      </c>
      <c r="AW56" s="435">
        <v>-1570.1716953651876</v>
      </c>
      <c r="AX56" s="435">
        <v>-2113.6425771345203</v>
      </c>
      <c r="AY56" s="435">
        <v>-863.96356679181463</v>
      </c>
      <c r="BA56" s="360"/>
      <c r="BB56" s="360"/>
    </row>
    <row r="57" spans="2:54">
      <c r="B57" s="271">
        <v>10157</v>
      </c>
      <c r="C57" s="271" t="s">
        <v>60</v>
      </c>
      <c r="D57" s="435">
        <v>-1098.6014433552282</v>
      </c>
      <c r="E57" s="435">
        <v>659.30294882172529</v>
      </c>
      <c r="F57" s="435">
        <v>-1773.6603291702322</v>
      </c>
      <c r="G57" s="435">
        <v>1508.4047210636791</v>
      </c>
      <c r="H57" s="435">
        <v>1332.8284776801411</v>
      </c>
      <c r="I57" s="435">
        <v>2882.0301569116336</v>
      </c>
      <c r="J57" s="435">
        <v>1395.4347474990227</v>
      </c>
      <c r="K57" s="435">
        <v>3422.4832300942335</v>
      </c>
      <c r="L57" s="435">
        <v>1379.7592359780701</v>
      </c>
      <c r="M57" s="435">
        <v>2238.7876883781109</v>
      </c>
      <c r="N57" s="435">
        <v>-276.63346522515349</v>
      </c>
      <c r="O57" s="435">
        <v>905.2827560176047</v>
      </c>
      <c r="P57" s="435">
        <v>454.80271438035561</v>
      </c>
      <c r="Q57" s="435">
        <v>1323.8694781977283</v>
      </c>
      <c r="R57" s="435">
        <v>-6232.3756818432184</v>
      </c>
      <c r="S57" s="435">
        <v>-1240.5765616094177</v>
      </c>
      <c r="T57" s="435">
        <v>-3623.3326954423846</v>
      </c>
      <c r="U57" s="435">
        <v>-851.18086964183931</v>
      </c>
      <c r="V57" s="435">
        <v>-2340.662698270331</v>
      </c>
      <c r="W57" s="435">
        <v>1282.5579246702127</v>
      </c>
      <c r="X57" s="435">
        <v>-2533.7198713139442</v>
      </c>
      <c r="Y57" s="435">
        <v>490.50461454541437</v>
      </c>
      <c r="Z57" s="435">
        <v>-1363.5303264012246</v>
      </c>
      <c r="AA57" s="435">
        <v>397.1786284876016</v>
      </c>
      <c r="AB57" s="435">
        <v>-1396.6911650378825</v>
      </c>
      <c r="AC57" s="435">
        <v>1142.3689881805276</v>
      </c>
      <c r="AD57" s="435">
        <v>-1336.9748288903374</v>
      </c>
      <c r="AE57" s="435">
        <v>1318.9704865730764</v>
      </c>
      <c r="AF57" s="435">
        <v>1618.5369529511627</v>
      </c>
      <c r="AG57" s="435">
        <v>3247.8347336310717</v>
      </c>
      <c r="AH57" s="435">
        <v>1664.9700456765404</v>
      </c>
      <c r="AI57" s="435">
        <v>3824.8461789369594</v>
      </c>
      <c r="AJ57" s="435">
        <v>1951.6138673213572</v>
      </c>
      <c r="AK57" s="435">
        <v>2773.1673072635031</v>
      </c>
      <c r="AL57" s="435">
        <v>-152.30768607129357</v>
      </c>
      <c r="AM57" s="435">
        <v>1079.5474161072043</v>
      </c>
      <c r="AN57" s="435">
        <v>255.03435333582638</v>
      </c>
      <c r="AO57" s="435">
        <v>1887.4686374199109</v>
      </c>
      <c r="AP57" s="435">
        <v>-6282.510094386218</v>
      </c>
      <c r="AQ57" s="435">
        <v>-1559.6631416309383</v>
      </c>
      <c r="AR57" s="435">
        <v>-3791.6823543463579</v>
      </c>
      <c r="AS57" s="435">
        <v>-836.31948520846163</v>
      </c>
      <c r="AT57" s="435">
        <v>-2402.7250234522489</v>
      </c>
      <c r="AU57" s="435">
        <v>1482.1052251758638</v>
      </c>
      <c r="AV57" s="435">
        <v>-2602.8634467587199</v>
      </c>
      <c r="AW57" s="435">
        <v>618.65166908144238</v>
      </c>
      <c r="AX57" s="435">
        <v>-1361.0693362793063</v>
      </c>
      <c r="AY57" s="435">
        <v>513.34673795207891</v>
      </c>
      <c r="BA57" s="360"/>
      <c r="BB57" s="360"/>
    </row>
    <row r="58" spans="2:54">
      <c r="B58" s="271">
        <v>10158</v>
      </c>
      <c r="C58" s="271" t="s">
        <v>61</v>
      </c>
      <c r="D58" s="435">
        <v>-377.66943665657834</v>
      </c>
      <c r="E58" s="435">
        <v>-64.791144674004045</v>
      </c>
      <c r="F58" s="435">
        <v>-354.549736096076</v>
      </c>
      <c r="G58" s="435">
        <v>5.6881946729000674</v>
      </c>
      <c r="H58" s="435">
        <v>10.886967007127623</v>
      </c>
      <c r="I58" s="435">
        <v>341.6479494487636</v>
      </c>
      <c r="J58" s="435">
        <v>235.47510450771551</v>
      </c>
      <c r="K58" s="435">
        <v>378.64343220736816</v>
      </c>
      <c r="L58" s="435">
        <v>68.998600208358312</v>
      </c>
      <c r="M58" s="435">
        <v>253.96762102100979</v>
      </c>
      <c r="N58" s="435">
        <v>-238.56257458547282</v>
      </c>
      <c r="O58" s="435">
        <v>3.0877010679693058</v>
      </c>
      <c r="P58" s="435">
        <v>-176.51655295188004</v>
      </c>
      <c r="Q58" s="435">
        <v>56.923948790865097</v>
      </c>
      <c r="R58" s="435">
        <v>-826.08504440206093</v>
      </c>
      <c r="S58" s="435">
        <v>-300.69215568465643</v>
      </c>
      <c r="T58" s="435">
        <v>-490.68183644591909</v>
      </c>
      <c r="U58" s="435">
        <v>-207.88377028699426</v>
      </c>
      <c r="V58" s="435">
        <v>-375.98505988347529</v>
      </c>
      <c r="W58" s="435">
        <v>-23.696673891454566</v>
      </c>
      <c r="X58" s="435">
        <v>-393.81574502169929</v>
      </c>
      <c r="Y58" s="435">
        <v>-100.15156235482107</v>
      </c>
      <c r="Z58" s="435">
        <v>-285.42654048201632</v>
      </c>
      <c r="AA58" s="435">
        <v>-63.060503195622573</v>
      </c>
      <c r="AB58" s="435">
        <v>-376.75942944200904</v>
      </c>
      <c r="AC58" s="435">
        <v>-64.272704960950591</v>
      </c>
      <c r="AD58" s="435">
        <v>-353.47668431006969</v>
      </c>
      <c r="AE58" s="435">
        <v>6.3370959002144218</v>
      </c>
      <c r="AF58" s="435">
        <v>11.922487674553395</v>
      </c>
      <c r="AG58" s="435">
        <v>342.28947853939906</v>
      </c>
      <c r="AH58" s="435">
        <v>236.37164571222024</v>
      </c>
      <c r="AI58" s="435">
        <v>379.20213906347874</v>
      </c>
      <c r="AJ58" s="435">
        <v>113.62996162199738</v>
      </c>
      <c r="AK58" s="435">
        <v>276.36430912774006</v>
      </c>
      <c r="AL58" s="435">
        <v>-237.61333332049924</v>
      </c>
      <c r="AM58" s="435">
        <v>3.6655545075198006</v>
      </c>
      <c r="AN58" s="435">
        <v>-175.72730482271197</v>
      </c>
      <c r="AO58" s="435">
        <v>57.40598246915954</v>
      </c>
      <c r="AP58" s="435">
        <v>-824.79325461276267</v>
      </c>
      <c r="AQ58" s="435">
        <v>-299.97475189590671</v>
      </c>
      <c r="AR58" s="435">
        <v>-489.64000858930899</v>
      </c>
      <c r="AS58" s="435">
        <v>-207.29407703753941</v>
      </c>
      <c r="AT58" s="435">
        <v>-375.01602543402305</v>
      </c>
      <c r="AU58" s="435">
        <v>-23.178143559733257</v>
      </c>
      <c r="AV58" s="435">
        <v>-392.77922610348696</v>
      </c>
      <c r="AW58" s="435">
        <v>-99.624646787271445</v>
      </c>
      <c r="AX58" s="435">
        <v>-284.61722508409423</v>
      </c>
      <c r="AY58" s="435">
        <v>-62.555207703882729</v>
      </c>
      <c r="BA58" s="360"/>
      <c r="BB58" s="360"/>
    </row>
    <row r="59" spans="2:54">
      <c r="B59" s="271">
        <v>10170</v>
      </c>
      <c r="C59" s="271" t="s">
        <v>62</v>
      </c>
      <c r="D59" s="435">
        <v>-2661.8960943720012</v>
      </c>
      <c r="E59" s="435">
        <v>5195.2476917477579</v>
      </c>
      <c r="F59" s="435">
        <v>-16658.903056417141</v>
      </c>
      <c r="G59" s="435">
        <v>397.01715839073586</v>
      </c>
      <c r="H59" s="435">
        <v>-1311.460816681436</v>
      </c>
      <c r="I59" s="435">
        <v>7937.7167617998348</v>
      </c>
      <c r="J59" s="435">
        <v>6842.3464898112215</v>
      </c>
      <c r="K59" s="435">
        <v>16773.176344411691</v>
      </c>
      <c r="L59" s="435">
        <v>7840.6594375687564</v>
      </c>
      <c r="M59" s="435">
        <v>11768.566724943932</v>
      </c>
      <c r="N59" s="435">
        <v>1369.6302574168876</v>
      </c>
      <c r="O59" s="435">
        <v>6397.2093001625763</v>
      </c>
      <c r="P59" s="435">
        <v>3313.9110132414717</v>
      </c>
      <c r="Q59" s="435">
        <v>7279.6537715511367</v>
      </c>
      <c r="R59" s="435">
        <v>-33047.377413230715</v>
      </c>
      <c r="S59" s="435">
        <v>-8238.2800454321223</v>
      </c>
      <c r="T59" s="435">
        <v>-17748.992404474673</v>
      </c>
      <c r="U59" s="435">
        <v>-4167.73232853843</v>
      </c>
      <c r="V59" s="435">
        <v>-8948.9466431078763</v>
      </c>
      <c r="W59" s="435">
        <v>8450.439121134732</v>
      </c>
      <c r="X59" s="435">
        <v>-8063.4358797849854</v>
      </c>
      <c r="Y59" s="435">
        <v>5545.3395031949622</v>
      </c>
      <c r="Z59" s="435">
        <v>-1998.640228256314</v>
      </c>
      <c r="AA59" s="435">
        <v>5691.6006694657917</v>
      </c>
      <c r="AB59" s="435">
        <v>-3858.0529610569356</v>
      </c>
      <c r="AC59" s="435">
        <v>7616.3977240902859</v>
      </c>
      <c r="AD59" s="435">
        <v>-15135.468677979363</v>
      </c>
      <c r="AE59" s="435">
        <v>-783.44953999423888</v>
      </c>
      <c r="AF59" s="435">
        <v>-608.19686371024</v>
      </c>
      <c r="AG59" s="435">
        <v>8886.9926387581581</v>
      </c>
      <c r="AH59" s="435">
        <v>7919.4756262734372</v>
      </c>
      <c r="AI59" s="435">
        <v>18178.639663435621</v>
      </c>
      <c r="AJ59" s="435">
        <v>10412.530108940744</v>
      </c>
      <c r="AK59" s="435">
        <v>14030.014985299851</v>
      </c>
      <c r="AL59" s="435">
        <v>2165.2498225258969</v>
      </c>
      <c r="AM59" s="435">
        <v>7208.0879860913956</v>
      </c>
      <c r="AN59" s="435">
        <v>2319.9919801443175</v>
      </c>
      <c r="AO59" s="435">
        <v>9853.2352581341256</v>
      </c>
      <c r="AP59" s="435">
        <v>-32607.70794331302</v>
      </c>
      <c r="AQ59" s="435">
        <v>-9587.3082782861966</v>
      </c>
      <c r="AR59" s="435">
        <v>-18005.767118676769</v>
      </c>
      <c r="AS59" s="435">
        <v>-3968.0354988310137</v>
      </c>
      <c r="AT59" s="435">
        <v>-8744.0560333252652</v>
      </c>
      <c r="AU59" s="435">
        <v>9337.1323874969166</v>
      </c>
      <c r="AV59" s="435">
        <v>-7755.7228637616281</v>
      </c>
      <c r="AW59" s="435">
        <v>6267.8377727354637</v>
      </c>
      <c r="AX59" s="435">
        <v>-1506.1499621266921</v>
      </c>
      <c r="AY59" s="435">
        <v>6406.3934543919604</v>
      </c>
      <c r="BA59" s="360"/>
      <c r="BB59" s="360"/>
    </row>
    <row r="60" spans="2:54">
      <c r="B60" s="271">
        <v>10172</v>
      </c>
      <c r="C60" s="271" t="s">
        <v>63</v>
      </c>
      <c r="D60" s="435">
        <v>-68.842529838958399</v>
      </c>
      <c r="E60" s="435">
        <v>-6.104303235878433</v>
      </c>
      <c r="F60" s="435">
        <v>-635.41418471871339</v>
      </c>
      <c r="G60" s="435">
        <v>-167.87862233980081</v>
      </c>
      <c r="H60" s="435">
        <v>-137.79844672148693</v>
      </c>
      <c r="I60" s="435">
        <v>95.904751649696436</v>
      </c>
      <c r="J60" s="435">
        <v>285.15095940549372</v>
      </c>
      <c r="K60" s="435">
        <v>300.09654050867425</v>
      </c>
      <c r="L60" s="435">
        <v>166.6467788715795</v>
      </c>
      <c r="M60" s="435">
        <v>204.98885787757922</v>
      </c>
      <c r="N60" s="435">
        <v>-174.24010428354313</v>
      </c>
      <c r="O60" s="435">
        <v>-26.562260863155188</v>
      </c>
      <c r="P60" s="435">
        <v>199.75631434194247</v>
      </c>
      <c r="Q60" s="435">
        <v>138.50083285693563</v>
      </c>
      <c r="R60" s="435">
        <v>-1213.7569596302592</v>
      </c>
      <c r="S60" s="435">
        <v>-463.88905614553892</v>
      </c>
      <c r="T60" s="435">
        <v>-533.35700784335086</v>
      </c>
      <c r="U60" s="435">
        <v>-210.56362627438307</v>
      </c>
      <c r="V60" s="435">
        <v>-23.240254667100089</v>
      </c>
      <c r="W60" s="435">
        <v>206.19239203045299</v>
      </c>
      <c r="X60" s="435">
        <v>-192.07171160071857</v>
      </c>
      <c r="Y60" s="435">
        <v>93.450558643348359</v>
      </c>
      <c r="Z60" s="435">
        <v>13.341217825062813</v>
      </c>
      <c r="AA60" s="435">
        <v>79.665103860435693</v>
      </c>
      <c r="AB60" s="435">
        <v>-94.019396108707497</v>
      </c>
      <c r="AC60" s="435">
        <v>-20.447801963692655</v>
      </c>
      <c r="AD60" s="435">
        <v>-665.10195079821779</v>
      </c>
      <c r="AE60" s="435">
        <v>-185.83155629549651</v>
      </c>
      <c r="AF60" s="435">
        <v>-166.44785185359933</v>
      </c>
      <c r="AG60" s="435">
        <v>78.155780142114054</v>
      </c>
      <c r="AH60" s="435">
        <v>260.34665274752751</v>
      </c>
      <c r="AI60" s="435">
        <v>284.63898415628159</v>
      </c>
      <c r="AJ60" s="435">
        <v>235.55981692090427</v>
      </c>
      <c r="AK60" s="435">
        <v>237.20417217137947</v>
      </c>
      <c r="AL60" s="435">
        <v>-200.50244594781316</v>
      </c>
      <c r="AM60" s="435">
        <v>-42.549539357385356</v>
      </c>
      <c r="AN60" s="435">
        <v>177.9204494349583</v>
      </c>
      <c r="AO60" s="435">
        <v>125.16456775745587</v>
      </c>
      <c r="AP60" s="435">
        <v>-1249.4964771341765</v>
      </c>
      <c r="AQ60" s="435">
        <v>-483.73722763428168</v>
      </c>
      <c r="AR60" s="435">
        <v>-562.18091187622849</v>
      </c>
      <c r="AS60" s="435">
        <v>-226.87847284263512</v>
      </c>
      <c r="AT60" s="435">
        <v>-50.050207768611017</v>
      </c>
      <c r="AU60" s="435">
        <v>191.84638618616373</v>
      </c>
      <c r="AV60" s="435">
        <v>-220.74873500459262</v>
      </c>
      <c r="AW60" s="435">
        <v>78.872561274477221</v>
      </c>
      <c r="AX60" s="435">
        <v>-9.049841517447021</v>
      </c>
      <c r="AY60" s="435">
        <v>65.685261922302061</v>
      </c>
      <c r="BA60" s="360"/>
      <c r="BB60" s="360"/>
    </row>
    <row r="61" spans="2:54">
      <c r="B61" s="271">
        <v>10173</v>
      </c>
      <c r="C61" s="271" t="s">
        <v>64</v>
      </c>
      <c r="D61" s="435">
        <v>0</v>
      </c>
      <c r="E61" s="435">
        <v>0</v>
      </c>
      <c r="F61" s="435">
        <v>0</v>
      </c>
      <c r="G61" s="435">
        <v>0</v>
      </c>
      <c r="H61" s="435">
        <v>0</v>
      </c>
      <c r="I61" s="435">
        <v>0</v>
      </c>
      <c r="J61" s="435">
        <v>0</v>
      </c>
      <c r="K61" s="435">
        <v>0</v>
      </c>
      <c r="L61" s="435">
        <v>0</v>
      </c>
      <c r="M61" s="435">
        <v>0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5">
        <v>0</v>
      </c>
      <c r="Y61" s="435">
        <v>0</v>
      </c>
      <c r="Z61" s="435">
        <v>0</v>
      </c>
      <c r="AA61" s="435">
        <v>0</v>
      </c>
      <c r="AB61" s="435">
        <v>0</v>
      </c>
      <c r="AC61" s="435">
        <v>0</v>
      </c>
      <c r="AD61" s="435">
        <v>0</v>
      </c>
      <c r="AE61" s="435">
        <v>0</v>
      </c>
      <c r="AF61" s="435">
        <v>0</v>
      </c>
      <c r="AG61" s="435">
        <v>0</v>
      </c>
      <c r="AH61" s="435">
        <v>0</v>
      </c>
      <c r="AI61" s="435">
        <v>0</v>
      </c>
      <c r="AJ61" s="435">
        <v>0</v>
      </c>
      <c r="AK61" s="435">
        <v>0</v>
      </c>
      <c r="AL61" s="435">
        <v>0</v>
      </c>
      <c r="AM61" s="435">
        <v>0</v>
      </c>
      <c r="AN61" s="435">
        <v>0</v>
      </c>
      <c r="AO61" s="435">
        <v>0</v>
      </c>
      <c r="AP61" s="435">
        <v>0</v>
      </c>
      <c r="AQ61" s="435">
        <v>0</v>
      </c>
      <c r="AR61" s="435">
        <v>0</v>
      </c>
      <c r="AS61" s="435">
        <v>0</v>
      </c>
      <c r="AT61" s="435">
        <v>0</v>
      </c>
      <c r="AU61" s="435">
        <v>0</v>
      </c>
      <c r="AV61" s="435">
        <v>0</v>
      </c>
      <c r="AW61" s="435">
        <v>0</v>
      </c>
      <c r="AX61" s="435">
        <v>0</v>
      </c>
      <c r="AY61" s="435">
        <v>0</v>
      </c>
      <c r="BA61" s="360"/>
      <c r="BB61" s="360"/>
    </row>
    <row r="62" spans="2:54">
      <c r="B62" s="271">
        <v>10174</v>
      </c>
      <c r="C62" s="271" t="s">
        <v>65</v>
      </c>
      <c r="D62" s="435">
        <v>-53.545395758430146</v>
      </c>
      <c r="E62" s="435">
        <v>-2.3237178951602715</v>
      </c>
      <c r="F62" s="435">
        <v>-40.92974471281309</v>
      </c>
      <c r="G62" s="435">
        <v>13.669005853673582</v>
      </c>
      <c r="H62" s="435">
        <v>33.271213373630189</v>
      </c>
      <c r="I62" s="435">
        <v>82.62186127769138</v>
      </c>
      <c r="J62" s="435">
        <v>80.24095798701515</v>
      </c>
      <c r="K62" s="435">
        <v>97.242590152165576</v>
      </c>
      <c r="L62" s="435">
        <v>44.107047285884221</v>
      </c>
      <c r="M62" s="435">
        <v>64.09675013101581</v>
      </c>
      <c r="N62" s="435">
        <v>-17.61348983867353</v>
      </c>
      <c r="O62" s="435">
        <v>12.330792321067776</v>
      </c>
      <c r="P62" s="435">
        <v>-15.14546829062229</v>
      </c>
      <c r="Q62" s="435">
        <v>21.693595102097859</v>
      </c>
      <c r="R62" s="435">
        <v>-133.9969528351381</v>
      </c>
      <c r="S62" s="435">
        <v>-45.179774703687045</v>
      </c>
      <c r="T62" s="435">
        <v>-56.189409634203827</v>
      </c>
      <c r="U62" s="435">
        <v>-20.059815452688284</v>
      </c>
      <c r="V62" s="435">
        <v>-36.005256385376811</v>
      </c>
      <c r="W62" s="435">
        <v>16.29656383079616</v>
      </c>
      <c r="X62" s="435">
        <v>-54.392034064883234</v>
      </c>
      <c r="Y62" s="435">
        <v>-12.230097689377232</v>
      </c>
      <c r="Z62" s="435">
        <v>-42.467923701980055</v>
      </c>
      <c r="AA62" s="435">
        <v>-4.760486186965494</v>
      </c>
      <c r="AB62" s="435">
        <v>-53.545395758430146</v>
      </c>
      <c r="AC62" s="435">
        <v>-2.3237178951602715</v>
      </c>
      <c r="AD62" s="435">
        <v>-40.92974471281309</v>
      </c>
      <c r="AE62" s="435">
        <v>13.669005853673582</v>
      </c>
      <c r="AF62" s="435">
        <v>33.271213373630189</v>
      </c>
      <c r="AG62" s="435">
        <v>82.62186127769138</v>
      </c>
      <c r="AH62" s="435">
        <v>80.24095798701515</v>
      </c>
      <c r="AI62" s="435">
        <v>97.242590152165576</v>
      </c>
      <c r="AJ62" s="435">
        <v>52.140388269884255</v>
      </c>
      <c r="AK62" s="435">
        <v>68.113420623015827</v>
      </c>
      <c r="AL62" s="435">
        <v>-17.61348983867353</v>
      </c>
      <c r="AM62" s="435">
        <v>12.330792321067776</v>
      </c>
      <c r="AN62" s="435">
        <v>-15.14546829062229</v>
      </c>
      <c r="AO62" s="435">
        <v>21.693595102097859</v>
      </c>
      <c r="AP62" s="435">
        <v>-133.9969528351381</v>
      </c>
      <c r="AQ62" s="435">
        <v>-45.179774703687045</v>
      </c>
      <c r="AR62" s="435">
        <v>-56.189409634203827</v>
      </c>
      <c r="AS62" s="435">
        <v>-20.059815452688284</v>
      </c>
      <c r="AT62" s="435">
        <v>-36.005256385376811</v>
      </c>
      <c r="AU62" s="435">
        <v>16.29656383079616</v>
      </c>
      <c r="AV62" s="435">
        <v>-54.392034064883234</v>
      </c>
      <c r="AW62" s="435">
        <v>-12.230097689377232</v>
      </c>
      <c r="AX62" s="435">
        <v>-42.467923701980055</v>
      </c>
      <c r="AY62" s="435">
        <v>-4.760486186965494</v>
      </c>
      <c r="BA62" s="360"/>
      <c r="BB62" s="360"/>
    </row>
    <row r="63" spans="2:54">
      <c r="B63" s="271">
        <v>10177</v>
      </c>
      <c r="C63" s="271" t="s">
        <v>66</v>
      </c>
      <c r="D63" s="435">
        <v>-569.83344539665177</v>
      </c>
      <c r="E63" s="435">
        <v>-24.520764539423908</v>
      </c>
      <c r="F63" s="435">
        <v>-920.59586410937573</v>
      </c>
      <c r="G63" s="435">
        <v>246.41093299807335</v>
      </c>
      <c r="H63" s="435">
        <v>239.59021337025933</v>
      </c>
      <c r="I63" s="435">
        <v>779.1104372660543</v>
      </c>
      <c r="J63" s="435">
        <v>433.2216454286754</v>
      </c>
      <c r="K63" s="435">
        <v>882.68363102499416</v>
      </c>
      <c r="L63" s="435">
        <v>87.973715098484718</v>
      </c>
      <c r="M63" s="435">
        <v>589.03205690839013</v>
      </c>
      <c r="N63" s="435">
        <v>-901.22292130945607</v>
      </c>
      <c r="O63" s="435">
        <v>-88.306247868174978</v>
      </c>
      <c r="P63" s="435">
        <v>-507.29210152320275</v>
      </c>
      <c r="Q63" s="435">
        <v>-10.630024222808515</v>
      </c>
      <c r="R63" s="435">
        <v>-3765.661301593907</v>
      </c>
      <c r="S63" s="435">
        <v>-1507.3183565698018</v>
      </c>
      <c r="T63" s="435">
        <v>-2597.5495253955014</v>
      </c>
      <c r="U63" s="435">
        <v>-1121.84901307777</v>
      </c>
      <c r="V63" s="435">
        <v>-2006.2969427962694</v>
      </c>
      <c r="W63" s="435">
        <v>-596.51540566731683</v>
      </c>
      <c r="X63" s="435">
        <v>-2362.0818087165972</v>
      </c>
      <c r="Y63" s="435">
        <v>-698.86580094574219</v>
      </c>
      <c r="Z63" s="435">
        <v>-1427.9483323427698</v>
      </c>
      <c r="AA63" s="435">
        <v>-564.10390962252586</v>
      </c>
      <c r="AB63" s="435">
        <v>-569.83344539665177</v>
      </c>
      <c r="AC63" s="435">
        <v>-24.520764539423908</v>
      </c>
      <c r="AD63" s="435">
        <v>-920.59586410937573</v>
      </c>
      <c r="AE63" s="435">
        <v>246.41093299807335</v>
      </c>
      <c r="AF63" s="435">
        <v>239.59021337025933</v>
      </c>
      <c r="AG63" s="435">
        <v>779.1104372660543</v>
      </c>
      <c r="AH63" s="435">
        <v>433.2216454286754</v>
      </c>
      <c r="AI63" s="435">
        <v>882.68363102499416</v>
      </c>
      <c r="AJ63" s="435">
        <v>272.78524947448568</v>
      </c>
      <c r="AK63" s="435">
        <v>681.43782409639061</v>
      </c>
      <c r="AL63" s="435">
        <v>-901.22292130945607</v>
      </c>
      <c r="AM63" s="435">
        <v>-88.306247868174978</v>
      </c>
      <c r="AN63" s="435">
        <v>-507.29210152320275</v>
      </c>
      <c r="AO63" s="435">
        <v>-10.630024222808515</v>
      </c>
      <c r="AP63" s="435">
        <v>-3765.661301593907</v>
      </c>
      <c r="AQ63" s="435">
        <v>-1507.3183565698018</v>
      </c>
      <c r="AR63" s="435">
        <v>-2597.5495253955014</v>
      </c>
      <c r="AS63" s="435">
        <v>-1121.84901307777</v>
      </c>
      <c r="AT63" s="435">
        <v>-2006.2969427962694</v>
      </c>
      <c r="AU63" s="435">
        <v>-596.51540566731683</v>
      </c>
      <c r="AV63" s="435">
        <v>-2362.0818087165972</v>
      </c>
      <c r="AW63" s="435">
        <v>-698.86580094574219</v>
      </c>
      <c r="AX63" s="435">
        <v>-1427.9483323427698</v>
      </c>
      <c r="AY63" s="435">
        <v>-564.10390962252586</v>
      </c>
      <c r="BA63" s="360"/>
      <c r="BB63" s="360"/>
    </row>
    <row r="64" spans="2:54">
      <c r="B64" s="271">
        <v>10179</v>
      </c>
      <c r="C64" s="271" t="s">
        <v>67</v>
      </c>
      <c r="D64" s="435">
        <v>-1249.6599048581702</v>
      </c>
      <c r="E64" s="435">
        <v>162.04242716468434</v>
      </c>
      <c r="F64" s="435">
        <v>-6189.6945855168888</v>
      </c>
      <c r="G64" s="435">
        <v>4516.6427201311453</v>
      </c>
      <c r="H64" s="435">
        <v>10791.359770143012</v>
      </c>
      <c r="I64" s="435">
        <v>12624.0045579375</v>
      </c>
      <c r="J64" s="435">
        <v>23594.015318773629</v>
      </c>
      <c r="K64" s="435">
        <v>19986.553861400622</v>
      </c>
      <c r="L64" s="435">
        <v>19888.769253386934</v>
      </c>
      <c r="M64" s="435">
        <v>16873.497106736795</v>
      </c>
      <c r="N64" s="435">
        <v>5352.7340505065222</v>
      </c>
      <c r="O64" s="435">
        <v>7045.8100242467262</v>
      </c>
      <c r="P64" s="435">
        <v>9271.1887744491542</v>
      </c>
      <c r="Q64" s="435">
        <v>7096.098298091485</v>
      </c>
      <c r="R64" s="435">
        <v>-38722.514835110487</v>
      </c>
      <c r="S64" s="435">
        <v>-15031.735761860538</v>
      </c>
      <c r="T64" s="435">
        <v>-22128.126632983913</v>
      </c>
      <c r="U64" s="435">
        <v>-10583.850185765237</v>
      </c>
      <c r="V64" s="435">
        <v>-4466.2915115530777</v>
      </c>
      <c r="W64" s="435">
        <v>2439.6106921172395</v>
      </c>
      <c r="X64" s="435">
        <v>-10175.279295631582</v>
      </c>
      <c r="Y64" s="435">
        <v>-673.74707912034501</v>
      </c>
      <c r="Z64" s="435">
        <v>-2937.2667031417368</v>
      </c>
      <c r="AA64" s="435">
        <v>4.4998860234045424E-2</v>
      </c>
      <c r="AB64" s="435">
        <v>-2276.2839048581664</v>
      </c>
      <c r="AC64" s="435">
        <v>-701.09357283531426</v>
      </c>
      <c r="AD64" s="435">
        <v>-7235.7105855168775</v>
      </c>
      <c r="AE64" s="435">
        <v>3731.3187201311448</v>
      </c>
      <c r="AF64" s="435">
        <v>9734.7197701430123</v>
      </c>
      <c r="AG64" s="435">
        <v>11790.884557937497</v>
      </c>
      <c r="AH64" s="435">
        <v>22578.015318773629</v>
      </c>
      <c r="AI64" s="435">
        <v>19112.79386140062</v>
      </c>
      <c r="AJ64" s="435">
        <v>21586.550858226925</v>
      </c>
      <c r="AK64" s="435">
        <v>17478.547909156798</v>
      </c>
      <c r="AL64" s="435">
        <v>4255.4540505065233</v>
      </c>
      <c r="AM64" s="435">
        <v>6255.8700242467239</v>
      </c>
      <c r="AN64" s="435">
        <v>8285.2047744491574</v>
      </c>
      <c r="AO64" s="435">
        <v>6253.2822980914789</v>
      </c>
      <c r="AP64" s="435">
        <v>-39809.17083511049</v>
      </c>
      <c r="AQ64" s="435">
        <v>-15834.839761860538</v>
      </c>
      <c r="AR64" s="435">
        <v>-23184.766632983912</v>
      </c>
      <c r="AS64" s="435">
        <v>-11356.010185765241</v>
      </c>
      <c r="AT64" s="435">
        <v>-5482.2915115530777</v>
      </c>
      <c r="AU64" s="435">
        <v>1565.8506921172375</v>
      </c>
      <c r="AV64" s="435">
        <v>-11272.559295631581</v>
      </c>
      <c r="AW64" s="435">
        <v>-1466.2270791203482</v>
      </c>
      <c r="AX64" s="435">
        <v>-3953.2667031417368</v>
      </c>
      <c r="AY64" s="435">
        <v>-812.75500113976886</v>
      </c>
      <c r="BA64" s="360"/>
      <c r="BB64" s="360"/>
    </row>
    <row r="65" spans="2:54">
      <c r="B65" s="271">
        <v>10183</v>
      </c>
      <c r="C65" s="271" t="s">
        <v>68</v>
      </c>
      <c r="D65" s="435">
        <v>-3353.6457046112664</v>
      </c>
      <c r="E65" s="435">
        <v>1667.904120815123</v>
      </c>
      <c r="F65" s="435">
        <v>-11248.0413349384</v>
      </c>
      <c r="G65" s="435">
        <v>-1242.3095676609482</v>
      </c>
      <c r="H65" s="435">
        <v>-5511.3734542585553</v>
      </c>
      <c r="I65" s="435">
        <v>809.8334806922976</v>
      </c>
      <c r="J65" s="435">
        <v>-639.41282339972167</v>
      </c>
      <c r="K65" s="435">
        <v>5706.9919717884331</v>
      </c>
      <c r="L65" s="435">
        <v>-2556.3570866690388</v>
      </c>
      <c r="M65" s="435">
        <v>1536.7475614414234</v>
      </c>
      <c r="N65" s="435">
        <v>-6357.8865793841796</v>
      </c>
      <c r="O65" s="435">
        <v>-1467.7101905327454</v>
      </c>
      <c r="P65" s="435">
        <v>-1778.6491158077079</v>
      </c>
      <c r="Q65" s="435">
        <v>1491.6878803628551</v>
      </c>
      <c r="R65" s="435">
        <v>-15183.873295645408</v>
      </c>
      <c r="S65" s="435">
        <v>-1460.9042677314319</v>
      </c>
      <c r="T65" s="435">
        <v>-2373.3201393862873</v>
      </c>
      <c r="U65" s="435">
        <v>3323.8404757485914</v>
      </c>
      <c r="V65" s="435">
        <v>3886.7803849437369</v>
      </c>
      <c r="W65" s="435">
        <v>12620.735256168229</v>
      </c>
      <c r="X65" s="435">
        <v>2929.3004313979545</v>
      </c>
      <c r="Y65" s="435">
        <v>8648.4097902780795</v>
      </c>
      <c r="Z65" s="435">
        <v>1593.1195920221871</v>
      </c>
      <c r="AA65" s="435">
        <v>5463.7625822387181</v>
      </c>
      <c r="AB65" s="435">
        <v>-3991.8868778602773</v>
      </c>
      <c r="AC65" s="435">
        <v>2718.8923140339884</v>
      </c>
      <c r="AD65" s="435">
        <v>-10182.348074010442</v>
      </c>
      <c r="AE65" s="435">
        <v>-1917.2689830174386</v>
      </c>
      <c r="AF65" s="435">
        <v>-5255.9732910772073</v>
      </c>
      <c r="AG65" s="435">
        <v>1011.2066862775937</v>
      </c>
      <c r="AH65" s="435">
        <v>-376.0831834189521</v>
      </c>
      <c r="AI65" s="435">
        <v>5933.4554621718962</v>
      </c>
      <c r="AJ65" s="435">
        <v>-1472.3093733497408</v>
      </c>
      <c r="AK65" s="435">
        <v>2319.5957889259971</v>
      </c>
      <c r="AL65" s="435">
        <v>-6137.1030321206272</v>
      </c>
      <c r="AM65" s="435">
        <v>-1308.76647942403</v>
      </c>
      <c r="AN65" s="435">
        <v>-2393.8421080291446</v>
      </c>
      <c r="AO65" s="435">
        <v>2486.6081309565634</v>
      </c>
      <c r="AP65" s="435">
        <v>-14025.409149991956</v>
      </c>
      <c r="AQ65" s="435">
        <v>-2184.6082190166271</v>
      </c>
      <c r="AR65" s="435">
        <v>-2083.9691914607502</v>
      </c>
      <c r="AS65" s="435">
        <v>3535.2892453864843</v>
      </c>
      <c r="AT65" s="435">
        <v>4218.1615049195352</v>
      </c>
      <c r="AU65" s="435">
        <v>12905.723019347419</v>
      </c>
      <c r="AV65" s="435">
        <v>3271.2147369729864</v>
      </c>
      <c r="AW65" s="435">
        <v>8895.3478998600458</v>
      </c>
      <c r="AX65" s="435">
        <v>1852.9973453365383</v>
      </c>
      <c r="AY65" s="435">
        <v>5671.6647848901976</v>
      </c>
      <c r="BA65" s="360"/>
      <c r="BB65" s="360"/>
    </row>
    <row r="66" spans="2:54">
      <c r="B66" s="271">
        <v>10186</v>
      </c>
      <c r="C66" s="271" t="s">
        <v>69</v>
      </c>
      <c r="D66" s="435">
        <v>-1700.7140297379465</v>
      </c>
      <c r="E66" s="435">
        <v>-413.3913619649511</v>
      </c>
      <c r="F66" s="435">
        <v>-2676.2424797268795</v>
      </c>
      <c r="G66" s="435">
        <v>-509.65906682795685</v>
      </c>
      <c r="H66" s="435">
        <v>-1243.8664185375983</v>
      </c>
      <c r="I66" s="435">
        <v>225.66503972647206</v>
      </c>
      <c r="J66" s="435">
        <v>135.24997634141982</v>
      </c>
      <c r="K66" s="435">
        <v>1290.8944822111453</v>
      </c>
      <c r="L66" s="435">
        <v>332.53209931153651</v>
      </c>
      <c r="M66" s="435">
        <v>1059.8399856891192</v>
      </c>
      <c r="N66" s="435">
        <v>-582.70139962901521</v>
      </c>
      <c r="O66" s="435">
        <v>361.46012527615858</v>
      </c>
      <c r="P66" s="435">
        <v>-452.8552322075393</v>
      </c>
      <c r="Q66" s="435">
        <v>159.52797961240049</v>
      </c>
      <c r="R66" s="435">
        <v>-5998.359513565214</v>
      </c>
      <c r="S66" s="435">
        <v>-2131.4967100386029</v>
      </c>
      <c r="T66" s="435">
        <v>-3544.9627591548633</v>
      </c>
      <c r="U66" s="435">
        <v>-1468.0727459239415</v>
      </c>
      <c r="V66" s="435">
        <v>-2062.8121241634981</v>
      </c>
      <c r="W66" s="435">
        <v>-156.53846586768123</v>
      </c>
      <c r="X66" s="435">
        <v>-3034.0261262132899</v>
      </c>
      <c r="Y66" s="435">
        <v>-849.64589715185593</v>
      </c>
      <c r="Z66" s="435">
        <v>-1276.6527212616884</v>
      </c>
      <c r="AA66" s="435">
        <v>-346.10380660052851</v>
      </c>
      <c r="AB66" s="435">
        <v>-1700.7140297379465</v>
      </c>
      <c r="AC66" s="435">
        <v>-413.3913619649511</v>
      </c>
      <c r="AD66" s="435">
        <v>-2676.2424797268795</v>
      </c>
      <c r="AE66" s="435">
        <v>-509.65906682795685</v>
      </c>
      <c r="AF66" s="435">
        <v>-1243.8664185375983</v>
      </c>
      <c r="AG66" s="435">
        <v>225.66503972647206</v>
      </c>
      <c r="AH66" s="435">
        <v>135.24997634141982</v>
      </c>
      <c r="AI66" s="435">
        <v>1290.8944822111453</v>
      </c>
      <c r="AJ66" s="435">
        <v>670.27878165553739</v>
      </c>
      <c r="AK66" s="435">
        <v>1228.7133268611205</v>
      </c>
      <c r="AL66" s="435">
        <v>-582.70139962901521</v>
      </c>
      <c r="AM66" s="435">
        <v>361.46012527615858</v>
      </c>
      <c r="AN66" s="435">
        <v>-452.8552322075393</v>
      </c>
      <c r="AO66" s="435">
        <v>159.52797961240049</v>
      </c>
      <c r="AP66" s="435">
        <v>-5998.359513565214</v>
      </c>
      <c r="AQ66" s="435">
        <v>-2131.4967100386029</v>
      </c>
      <c r="AR66" s="435">
        <v>-3544.9627591548633</v>
      </c>
      <c r="AS66" s="435">
        <v>-1468.0727459239415</v>
      </c>
      <c r="AT66" s="435">
        <v>-2062.8121241634981</v>
      </c>
      <c r="AU66" s="435">
        <v>-156.53846586768123</v>
      </c>
      <c r="AV66" s="435">
        <v>-3034.0261262132899</v>
      </c>
      <c r="AW66" s="435">
        <v>-849.64589715185593</v>
      </c>
      <c r="AX66" s="435">
        <v>-1276.6527212616884</v>
      </c>
      <c r="AY66" s="435">
        <v>-346.10380660052851</v>
      </c>
      <c r="BA66" s="360"/>
      <c r="BB66" s="360"/>
    </row>
    <row r="67" spans="2:54">
      <c r="B67" s="271">
        <v>10190</v>
      </c>
      <c r="C67" s="271" t="s">
        <v>70</v>
      </c>
      <c r="D67" s="435">
        <v>-428.94770455293838</v>
      </c>
      <c r="E67" s="435">
        <v>-109.9660558333378</v>
      </c>
      <c r="F67" s="435">
        <v>272.15791714084844</v>
      </c>
      <c r="G67" s="435">
        <v>507.38138817071604</v>
      </c>
      <c r="H67" s="435">
        <v>1376.2122821372259</v>
      </c>
      <c r="I67" s="435">
        <v>1234.6816115804786</v>
      </c>
      <c r="J67" s="435">
        <v>1552.560884145209</v>
      </c>
      <c r="K67" s="435">
        <v>1333.5363751046496</v>
      </c>
      <c r="L67" s="435">
        <v>769.67545635421357</v>
      </c>
      <c r="M67" s="435">
        <v>731.07006879629807</v>
      </c>
      <c r="N67" s="435">
        <v>10.531935754777805</v>
      </c>
      <c r="O67" s="435">
        <v>176.02465934311681</v>
      </c>
      <c r="P67" s="435">
        <v>-22.814908978527455</v>
      </c>
      <c r="Q67" s="435">
        <v>103.59635346543041</v>
      </c>
      <c r="R67" s="435">
        <v>-1457.8901429378118</v>
      </c>
      <c r="S67" s="435">
        <v>-599.27889759185541</v>
      </c>
      <c r="T67" s="435">
        <v>-780.11856012101316</v>
      </c>
      <c r="U67" s="435">
        <v>-438.05623416229639</v>
      </c>
      <c r="V67" s="435">
        <v>-222.84053895569423</v>
      </c>
      <c r="W67" s="435">
        <v>30.916565955940769</v>
      </c>
      <c r="X67" s="435">
        <v>-397.31242529300471</v>
      </c>
      <c r="Y67" s="435">
        <v>-116.6968027666137</v>
      </c>
      <c r="Z67" s="435">
        <v>-371.19598650066359</v>
      </c>
      <c r="AA67" s="435">
        <v>-192.82213672940179</v>
      </c>
      <c r="AB67" s="435">
        <v>-428.94770455293838</v>
      </c>
      <c r="AC67" s="435">
        <v>-109.9660558333378</v>
      </c>
      <c r="AD67" s="435">
        <v>272.15791714084844</v>
      </c>
      <c r="AE67" s="435">
        <v>507.38138817071604</v>
      </c>
      <c r="AF67" s="435">
        <v>1376.2122821372259</v>
      </c>
      <c r="AG67" s="435">
        <v>1234.6816115804786</v>
      </c>
      <c r="AH67" s="435">
        <v>1552.560884145209</v>
      </c>
      <c r="AI67" s="435">
        <v>1333.5363751046496</v>
      </c>
      <c r="AJ67" s="435">
        <v>851.93061118621381</v>
      </c>
      <c r="AK67" s="435">
        <v>772.1976462122982</v>
      </c>
      <c r="AL67" s="435">
        <v>10.531935754777805</v>
      </c>
      <c r="AM67" s="435">
        <v>176.02465934311681</v>
      </c>
      <c r="AN67" s="435">
        <v>-22.814908978527455</v>
      </c>
      <c r="AO67" s="435">
        <v>103.59635346543041</v>
      </c>
      <c r="AP67" s="435">
        <v>-1457.8901429378118</v>
      </c>
      <c r="AQ67" s="435">
        <v>-599.27889759185541</v>
      </c>
      <c r="AR67" s="435">
        <v>-780.11856012101316</v>
      </c>
      <c r="AS67" s="435">
        <v>-438.05623416229639</v>
      </c>
      <c r="AT67" s="435">
        <v>-222.84053895569423</v>
      </c>
      <c r="AU67" s="435">
        <v>30.916565955940769</v>
      </c>
      <c r="AV67" s="435">
        <v>-397.31242529300471</v>
      </c>
      <c r="AW67" s="435">
        <v>-116.6968027666137</v>
      </c>
      <c r="AX67" s="435">
        <v>-371.19598650066359</v>
      </c>
      <c r="AY67" s="435">
        <v>-192.82213672940179</v>
      </c>
      <c r="BA67" s="360"/>
      <c r="BB67" s="360"/>
    </row>
    <row r="68" spans="2:54">
      <c r="B68" s="271">
        <v>10191</v>
      </c>
      <c r="C68" s="271" t="s">
        <v>71</v>
      </c>
      <c r="D68" s="435">
        <v>-2385.0640676207404</v>
      </c>
      <c r="E68" s="435">
        <v>2243.3590816823598</v>
      </c>
      <c r="F68" s="435">
        <v>-4832.5154566369201</v>
      </c>
      <c r="G68" s="435">
        <v>4126.2074134206159</v>
      </c>
      <c r="H68" s="435">
        <v>1609.656821598157</v>
      </c>
      <c r="I68" s="435">
        <v>6268.0963870724008</v>
      </c>
      <c r="J68" s="435">
        <v>4381.0411061729828</v>
      </c>
      <c r="K68" s="435">
        <v>9834.7695409123335</v>
      </c>
      <c r="L68" s="435">
        <v>3776.7038791131963</v>
      </c>
      <c r="M68" s="435">
        <v>6119.2050326654298</v>
      </c>
      <c r="N68" s="435">
        <v>164.13410384219605</v>
      </c>
      <c r="O68" s="435">
        <v>3133.2127441886551</v>
      </c>
      <c r="P68" s="435">
        <v>1852.956898226581</v>
      </c>
      <c r="Q68" s="435">
        <v>4060.8700481658616</v>
      </c>
      <c r="R68" s="435">
        <v>-15885.283027685862</v>
      </c>
      <c r="S68" s="435">
        <v>-2415.937311747999</v>
      </c>
      <c r="T68" s="435">
        <v>-8678.9860682869949</v>
      </c>
      <c r="U68" s="435">
        <v>-1437.5945523730243</v>
      </c>
      <c r="V68" s="435">
        <v>-8064.3109930132014</v>
      </c>
      <c r="W68" s="435">
        <v>2061.3303415672708</v>
      </c>
      <c r="X68" s="435">
        <v>-8725.4122572236884</v>
      </c>
      <c r="Y68" s="435">
        <v>32.934095470447573</v>
      </c>
      <c r="Z68" s="435">
        <v>-3135.7998153543085</v>
      </c>
      <c r="AA68" s="435">
        <v>1553.5388533590431</v>
      </c>
      <c r="AB68" s="435">
        <v>-2960.4927586624035</v>
      </c>
      <c r="AC68" s="435">
        <v>3384.5326649523831</v>
      </c>
      <c r="AD68" s="435">
        <v>-3401.5946757566708</v>
      </c>
      <c r="AE68" s="435">
        <v>3366.9577603994221</v>
      </c>
      <c r="AF68" s="435">
        <v>2052.7778002788946</v>
      </c>
      <c r="AG68" s="435">
        <v>6644.1876091754566</v>
      </c>
      <c r="AH68" s="435">
        <v>4822.2561366837181</v>
      </c>
      <c r="AI68" s="435">
        <v>10246.62843699547</v>
      </c>
      <c r="AJ68" s="435">
        <v>4980.7957586658194</v>
      </c>
      <c r="AK68" s="435">
        <v>7073.2945018717146</v>
      </c>
      <c r="AL68" s="435">
        <v>545.06409118724696</v>
      </c>
      <c r="AM68" s="435">
        <v>3423.5552869028033</v>
      </c>
      <c r="AN68" s="435">
        <v>1245.9777700876912</v>
      </c>
      <c r="AO68" s="435">
        <v>5287.734909820354</v>
      </c>
      <c r="AP68" s="435">
        <v>-14819.965430917688</v>
      </c>
      <c r="AQ68" s="435">
        <v>-3034.3176378621611</v>
      </c>
      <c r="AR68" s="435">
        <v>-8431.6126868219508</v>
      </c>
      <c r="AS68" s="435">
        <v>-1230.6176095881619</v>
      </c>
      <c r="AT68" s="435">
        <v>-7834.0625033128163</v>
      </c>
      <c r="AU68" s="435">
        <v>2307.4095083835618</v>
      </c>
      <c r="AV68" s="435">
        <v>-8481.0462732006126</v>
      </c>
      <c r="AW68" s="435">
        <v>243.26400430484864</v>
      </c>
      <c r="AX68" s="435">
        <v>-2874.1440636868174</v>
      </c>
      <c r="AY68" s="435">
        <v>1784.5660635536406</v>
      </c>
      <c r="BA68" s="360"/>
      <c r="BB68" s="360"/>
    </row>
    <row r="69" spans="2:54">
      <c r="B69" s="271">
        <v>10197</v>
      </c>
      <c r="C69" s="271" t="s">
        <v>72</v>
      </c>
      <c r="D69" s="435">
        <v>-4087.8945926922788</v>
      </c>
      <c r="E69" s="435">
        <v>-1355.0331138906067</v>
      </c>
      <c r="F69" s="435">
        <v>-7789.9399584964049</v>
      </c>
      <c r="G69" s="435">
        <v>-4029.4596997652607</v>
      </c>
      <c r="H69" s="435">
        <v>-6759.3227781638716</v>
      </c>
      <c r="I69" s="435">
        <v>-3195.791369784823</v>
      </c>
      <c r="J69" s="435">
        <v>-5393.1966544491761</v>
      </c>
      <c r="K69" s="435">
        <v>-2611.499237469232</v>
      </c>
      <c r="L69" s="435">
        <v>-5380.8364914060439</v>
      </c>
      <c r="M69" s="435">
        <v>-2684.9608317423854</v>
      </c>
      <c r="N69" s="435">
        <v>-6126.3648047911011</v>
      </c>
      <c r="O69" s="435">
        <v>-3346.8427423654362</v>
      </c>
      <c r="P69" s="435">
        <v>2091.4223707970395</v>
      </c>
      <c r="Q69" s="435">
        <v>2407.7357899432363</v>
      </c>
      <c r="R69" s="435">
        <v>5644.4468160977322</v>
      </c>
      <c r="S69" s="435">
        <v>6334.439251996575</v>
      </c>
      <c r="T69" s="435">
        <v>9543.1334021591265</v>
      </c>
      <c r="U69" s="435">
        <v>8159.3851021126738</v>
      </c>
      <c r="V69" s="435">
        <v>11739.655496141608</v>
      </c>
      <c r="W69" s="435">
        <v>13044.302282337467</v>
      </c>
      <c r="X69" s="435">
        <v>12170.397034626623</v>
      </c>
      <c r="Y69" s="435">
        <v>10573.10107100451</v>
      </c>
      <c r="Z69" s="435">
        <v>4916.5658953485581</v>
      </c>
      <c r="AA69" s="435">
        <v>6284.8799863387467</v>
      </c>
      <c r="AB69" s="435">
        <v>-4087.8945926922788</v>
      </c>
      <c r="AC69" s="435">
        <v>-1355.0331138906067</v>
      </c>
      <c r="AD69" s="435">
        <v>-7789.9399584964049</v>
      </c>
      <c r="AE69" s="435">
        <v>-4029.4596997652607</v>
      </c>
      <c r="AF69" s="435">
        <v>-6759.3227781638716</v>
      </c>
      <c r="AG69" s="435">
        <v>-3195.791369784823</v>
      </c>
      <c r="AH69" s="435">
        <v>-5393.1966544491761</v>
      </c>
      <c r="AI69" s="435">
        <v>-2611.499237469232</v>
      </c>
      <c r="AJ69" s="435">
        <v>-5020.3417113660435</v>
      </c>
      <c r="AK69" s="435">
        <v>-2504.7134417223842</v>
      </c>
      <c r="AL69" s="435">
        <v>-6126.3648047911011</v>
      </c>
      <c r="AM69" s="435">
        <v>-3346.8427423654362</v>
      </c>
      <c r="AN69" s="435">
        <v>2091.4223707970395</v>
      </c>
      <c r="AO69" s="435">
        <v>2407.7357899432363</v>
      </c>
      <c r="AP69" s="435">
        <v>5644.4468160977322</v>
      </c>
      <c r="AQ69" s="435">
        <v>6334.439251996575</v>
      </c>
      <c r="AR69" s="435">
        <v>9543.1334021591265</v>
      </c>
      <c r="AS69" s="435">
        <v>8159.3851021126738</v>
      </c>
      <c r="AT69" s="435">
        <v>11739.655496141608</v>
      </c>
      <c r="AU69" s="435">
        <v>13044.302282337467</v>
      </c>
      <c r="AV69" s="435">
        <v>12170.397034626623</v>
      </c>
      <c r="AW69" s="435">
        <v>10573.10107100451</v>
      </c>
      <c r="AX69" s="435">
        <v>4916.5658953485581</v>
      </c>
      <c r="AY69" s="435">
        <v>6284.8799863387467</v>
      </c>
      <c r="BA69" s="360"/>
      <c r="BB69" s="360"/>
    </row>
    <row r="70" spans="2:54">
      <c r="B70" s="271">
        <v>10202</v>
      </c>
      <c r="C70" s="271" t="s">
        <v>73</v>
      </c>
      <c r="D70" s="435">
        <v>1640.9206631253965</v>
      </c>
      <c r="E70" s="435">
        <v>1236.1081100102888</v>
      </c>
      <c r="F70" s="435">
        <v>831.75302497843768</v>
      </c>
      <c r="G70" s="435">
        <v>749.97490087898041</v>
      </c>
      <c r="H70" s="435">
        <v>1655.6242008556055</v>
      </c>
      <c r="I70" s="435">
        <v>1714.8667138151845</v>
      </c>
      <c r="J70" s="435">
        <v>2320.5827087744174</v>
      </c>
      <c r="K70" s="435">
        <v>1593.1933825820247</v>
      </c>
      <c r="L70" s="435">
        <v>1786.3903106193311</v>
      </c>
      <c r="M70" s="435">
        <v>1118.6103375293724</v>
      </c>
      <c r="N70" s="435">
        <v>665.96750103844079</v>
      </c>
      <c r="O70" s="435">
        <v>189.01812011659786</v>
      </c>
      <c r="P70" s="435">
        <v>683.90066690082222</v>
      </c>
      <c r="Q70" s="435">
        <v>543.401141893557</v>
      </c>
      <c r="R70" s="435">
        <v>-2894.7167787380949</v>
      </c>
      <c r="S70" s="435">
        <v>-1454.1941253421232</v>
      </c>
      <c r="T70" s="435">
        <v>-1457.5658121771021</v>
      </c>
      <c r="U70" s="435">
        <v>-1041.9380362081847</v>
      </c>
      <c r="V70" s="435">
        <v>-879.54829952485943</v>
      </c>
      <c r="W70" s="435">
        <v>-37.667970574354968</v>
      </c>
      <c r="X70" s="435">
        <v>-28.671635264541692</v>
      </c>
      <c r="Y70" s="435">
        <v>112.79144425565755</v>
      </c>
      <c r="Z70" s="435">
        <v>1730.4558278660925</v>
      </c>
      <c r="AA70" s="435">
        <v>1363.7297469779078</v>
      </c>
      <c r="AB70" s="435">
        <v>1640.9206631253965</v>
      </c>
      <c r="AC70" s="435">
        <v>1236.1081100102888</v>
      </c>
      <c r="AD70" s="435">
        <v>831.75302497843768</v>
      </c>
      <c r="AE70" s="435">
        <v>749.97490087898041</v>
      </c>
      <c r="AF70" s="435">
        <v>1655.6242008556055</v>
      </c>
      <c r="AG70" s="435">
        <v>1714.8667138151845</v>
      </c>
      <c r="AH70" s="435">
        <v>2320.5827087744174</v>
      </c>
      <c r="AI70" s="435">
        <v>1593.1933825820247</v>
      </c>
      <c r="AJ70" s="435">
        <v>1993.9275968193324</v>
      </c>
      <c r="AK70" s="435">
        <v>1222.3789806293726</v>
      </c>
      <c r="AL70" s="435">
        <v>665.96750103844079</v>
      </c>
      <c r="AM70" s="435">
        <v>189.01812011659786</v>
      </c>
      <c r="AN70" s="435">
        <v>683.90066690082222</v>
      </c>
      <c r="AO70" s="435">
        <v>543.401141893557</v>
      </c>
      <c r="AP70" s="435">
        <v>-2894.7167787380949</v>
      </c>
      <c r="AQ70" s="435">
        <v>-1454.1941253421232</v>
      </c>
      <c r="AR70" s="435">
        <v>-1457.5658121771021</v>
      </c>
      <c r="AS70" s="435">
        <v>-1041.9380362081847</v>
      </c>
      <c r="AT70" s="435">
        <v>-879.54829952485943</v>
      </c>
      <c r="AU70" s="435">
        <v>-37.667970574354968</v>
      </c>
      <c r="AV70" s="435">
        <v>-28.671635264541692</v>
      </c>
      <c r="AW70" s="435">
        <v>112.79144425565755</v>
      </c>
      <c r="AX70" s="435">
        <v>1730.4558278660925</v>
      </c>
      <c r="AY70" s="435">
        <v>1363.7297469779078</v>
      </c>
      <c r="BA70" s="360"/>
      <c r="BB70" s="360"/>
    </row>
    <row r="71" spans="2:54">
      <c r="B71" s="271">
        <v>10203</v>
      </c>
      <c r="C71" s="271" t="s">
        <v>74</v>
      </c>
      <c r="D71" s="435">
        <v>-77.777189189885576</v>
      </c>
      <c r="E71" s="435">
        <v>-60.540437238188133</v>
      </c>
      <c r="F71" s="435">
        <v>-2.8890955001334078</v>
      </c>
      <c r="G71" s="435">
        <v>318.20509537791077</v>
      </c>
      <c r="H71" s="435">
        <v>835.3857997705918</v>
      </c>
      <c r="I71" s="435">
        <v>796.00606080353123</v>
      </c>
      <c r="J71" s="435">
        <v>1104.9644823693884</v>
      </c>
      <c r="K71" s="435">
        <v>958.26496360324177</v>
      </c>
      <c r="L71" s="435">
        <v>798.28752661463977</v>
      </c>
      <c r="M71" s="435">
        <v>646.96102976965267</v>
      </c>
      <c r="N71" s="435">
        <v>229.30440477252796</v>
      </c>
      <c r="O71" s="435">
        <v>263.27344804023392</v>
      </c>
      <c r="P71" s="435">
        <v>258.22624463327838</v>
      </c>
      <c r="Q71" s="435">
        <v>182.30808684921294</v>
      </c>
      <c r="R71" s="435">
        <v>-1544.5056111688477</v>
      </c>
      <c r="S71" s="435">
        <v>-649.42992755797832</v>
      </c>
      <c r="T71" s="435">
        <v>-798.0494148636576</v>
      </c>
      <c r="U71" s="435">
        <v>-421.95607364900775</v>
      </c>
      <c r="V71" s="435">
        <v>-170.58817804110595</v>
      </c>
      <c r="W71" s="435">
        <v>22.227415734555052</v>
      </c>
      <c r="X71" s="435">
        <v>-416.3780627895494</v>
      </c>
      <c r="Y71" s="435">
        <v>-139.50602189304982</v>
      </c>
      <c r="Z71" s="435">
        <v>-278.77332369700434</v>
      </c>
      <c r="AA71" s="435">
        <v>-136.68685923971202</v>
      </c>
      <c r="AB71" s="435">
        <v>-77.777189189885576</v>
      </c>
      <c r="AC71" s="435">
        <v>-60.540437238188133</v>
      </c>
      <c r="AD71" s="435">
        <v>-2.8890955001334078</v>
      </c>
      <c r="AE71" s="435">
        <v>318.20509537791077</v>
      </c>
      <c r="AF71" s="435">
        <v>835.3857997705918</v>
      </c>
      <c r="AG71" s="435">
        <v>796.00606080353123</v>
      </c>
      <c r="AH71" s="435">
        <v>1104.9644823693884</v>
      </c>
      <c r="AI71" s="435">
        <v>958.26496360324177</v>
      </c>
      <c r="AJ71" s="435">
        <v>896.73226571063969</v>
      </c>
      <c r="AK71" s="435">
        <v>696.18339931765286</v>
      </c>
      <c r="AL71" s="435">
        <v>229.30440477252796</v>
      </c>
      <c r="AM71" s="435">
        <v>263.27344804023392</v>
      </c>
      <c r="AN71" s="435">
        <v>258.22624463327838</v>
      </c>
      <c r="AO71" s="435">
        <v>182.30808684921294</v>
      </c>
      <c r="AP71" s="435">
        <v>-1544.5056111688477</v>
      </c>
      <c r="AQ71" s="435">
        <v>-649.42992755797832</v>
      </c>
      <c r="AR71" s="435">
        <v>-798.0494148636576</v>
      </c>
      <c r="AS71" s="435">
        <v>-421.95607364900775</v>
      </c>
      <c r="AT71" s="435">
        <v>-170.58817804110595</v>
      </c>
      <c r="AU71" s="435">
        <v>22.227415734555052</v>
      </c>
      <c r="AV71" s="435">
        <v>-416.3780627895494</v>
      </c>
      <c r="AW71" s="435">
        <v>-139.50602189304982</v>
      </c>
      <c r="AX71" s="435">
        <v>-278.77332369700434</v>
      </c>
      <c r="AY71" s="435">
        <v>-136.68685923971202</v>
      </c>
      <c r="BA71" s="360"/>
      <c r="BB71" s="360"/>
    </row>
    <row r="72" spans="2:54">
      <c r="B72" s="271">
        <v>10204</v>
      </c>
      <c r="C72" s="271" t="s">
        <v>75</v>
      </c>
      <c r="D72" s="435">
        <v>-2304.6221224456003</v>
      </c>
      <c r="E72" s="435">
        <v>893.03826266298893</v>
      </c>
      <c r="F72" s="435">
        <v>-4533.9273718561053</v>
      </c>
      <c r="G72" s="435">
        <v>1416.7782527151667</v>
      </c>
      <c r="H72" s="435">
        <v>681.76350896979784</v>
      </c>
      <c r="I72" s="435">
        <v>3761.2059282211467</v>
      </c>
      <c r="J72" s="435">
        <v>3025.6014534138849</v>
      </c>
      <c r="K72" s="435">
        <v>6514.4824920989358</v>
      </c>
      <c r="L72" s="435">
        <v>2066.1975758744029</v>
      </c>
      <c r="M72" s="435">
        <v>3672.8156414456807</v>
      </c>
      <c r="N72" s="435">
        <v>-1246.5839737265542</v>
      </c>
      <c r="O72" s="435">
        <v>1046.8867331543715</v>
      </c>
      <c r="P72" s="435">
        <v>-539.78204674013432</v>
      </c>
      <c r="Q72" s="435">
        <v>1351.0651141314338</v>
      </c>
      <c r="R72" s="435">
        <v>-9506.3638125549933</v>
      </c>
      <c r="S72" s="435">
        <v>-923.66433084961318</v>
      </c>
      <c r="T72" s="435">
        <v>-4805.1540911063603</v>
      </c>
      <c r="U72" s="435">
        <v>-348.54534622254687</v>
      </c>
      <c r="V72" s="435">
        <v>-2834.9004291402525</v>
      </c>
      <c r="W72" s="435">
        <v>3363.634262790536</v>
      </c>
      <c r="X72" s="435">
        <v>-3267.6429007316783</v>
      </c>
      <c r="Y72" s="435">
        <v>1725.0332676386661</v>
      </c>
      <c r="Z72" s="435">
        <v>-2383.2752381271239</v>
      </c>
      <c r="AA72" s="435">
        <v>712.95103882578769</v>
      </c>
      <c r="AB72" s="435">
        <v>-1872.9201006747426</v>
      </c>
      <c r="AC72" s="435">
        <v>1132.1668537082096</v>
      </c>
      <c r="AD72" s="435">
        <v>-2605.2514500084399</v>
      </c>
      <c r="AE72" s="435">
        <v>690.60739292943254</v>
      </c>
      <c r="AF72" s="435">
        <v>693.67302737974023</v>
      </c>
      <c r="AG72" s="435">
        <v>2839.6283997254541</v>
      </c>
      <c r="AH72" s="435">
        <v>2358.3348197239684</v>
      </c>
      <c r="AI72" s="435">
        <v>4810.7444784838735</v>
      </c>
      <c r="AJ72" s="435">
        <v>2019.6756302521972</v>
      </c>
      <c r="AK72" s="435">
        <v>3037.4089527723663</v>
      </c>
      <c r="AL72" s="435">
        <v>-714.95239244784534</v>
      </c>
      <c r="AM72" s="435">
        <v>868.11053883381373</v>
      </c>
      <c r="AN72" s="435">
        <v>-624.70612115036238</v>
      </c>
      <c r="AO72" s="435">
        <v>1457.7607117794287</v>
      </c>
      <c r="AP72" s="435">
        <v>-6197.1561346378166</v>
      </c>
      <c r="AQ72" s="435">
        <v>-939.80453345717797</v>
      </c>
      <c r="AR72" s="435">
        <v>-3265.4064577894751</v>
      </c>
      <c r="AS72" s="435">
        <v>-136.76928044704891</v>
      </c>
      <c r="AT72" s="435">
        <v>-1857.5025301822752</v>
      </c>
      <c r="AU72" s="435">
        <v>2528.7266753599797</v>
      </c>
      <c r="AV72" s="435">
        <v>-2156.7063866788667</v>
      </c>
      <c r="AW72" s="435">
        <v>1347.6616345720449</v>
      </c>
      <c r="AX72" s="435">
        <v>-1562.625832531483</v>
      </c>
      <c r="AY72" s="435">
        <v>612.959317757397</v>
      </c>
      <c r="BA72" s="360"/>
      <c r="BB72" s="360"/>
    </row>
    <row r="73" spans="2:54">
      <c r="B73" s="271">
        <v>10209</v>
      </c>
      <c r="C73" s="271" t="s">
        <v>76</v>
      </c>
      <c r="D73" s="435">
        <v>-5902.5550878445501</v>
      </c>
      <c r="E73" s="435">
        <v>-1420.5638931519788</v>
      </c>
      <c r="F73" s="435">
        <v>-9067.3276737937704</v>
      </c>
      <c r="G73" s="435">
        <v>1113.785595746609</v>
      </c>
      <c r="H73" s="435">
        <v>4222.6956228975469</v>
      </c>
      <c r="I73" s="435">
        <v>8001.0693151453779</v>
      </c>
      <c r="J73" s="435">
        <v>11755.45738404747</v>
      </c>
      <c r="K73" s="435">
        <v>12508.701467619354</v>
      </c>
      <c r="L73" s="435">
        <v>6270.3859672868566</v>
      </c>
      <c r="M73" s="435">
        <v>8262.3496234589547</v>
      </c>
      <c r="N73" s="435">
        <v>-4488.2117288206646</v>
      </c>
      <c r="O73" s="435">
        <v>1198.2366483862279</v>
      </c>
      <c r="P73" s="435">
        <v>-969.95263956348208</v>
      </c>
      <c r="Q73" s="435">
        <v>2137.5455097132326</v>
      </c>
      <c r="R73" s="435">
        <v>-26682.411792782892</v>
      </c>
      <c r="S73" s="435">
        <v>-9142.4740188503674</v>
      </c>
      <c r="T73" s="435">
        <v>-12473.436805483405</v>
      </c>
      <c r="U73" s="435">
        <v>-3553.9362438220778</v>
      </c>
      <c r="V73" s="435">
        <v>-3640.0404302183961</v>
      </c>
      <c r="W73" s="435">
        <v>3049.8881095417673</v>
      </c>
      <c r="X73" s="435">
        <v>-7354.6059604103648</v>
      </c>
      <c r="Y73" s="435">
        <v>797.81561435866024</v>
      </c>
      <c r="Z73" s="435">
        <v>-4424.104813573882</v>
      </c>
      <c r="AA73" s="435">
        <v>443.46662850744542</v>
      </c>
      <c r="AB73" s="435">
        <v>-6346.9070878445491</v>
      </c>
      <c r="AC73" s="435">
        <v>-1848.9238931519794</v>
      </c>
      <c r="AD73" s="435">
        <v>-9580.1436737937693</v>
      </c>
      <c r="AE73" s="435">
        <v>780.86859574660775</v>
      </c>
      <c r="AF73" s="435">
        <v>3734.7276228975534</v>
      </c>
      <c r="AG73" s="435">
        <v>7616.3253151453719</v>
      </c>
      <c r="AH73" s="435">
        <v>11286.257384047472</v>
      </c>
      <c r="AI73" s="435">
        <v>12105.189467619351</v>
      </c>
      <c r="AJ73" s="435">
        <v>7570.6046481748563</v>
      </c>
      <c r="AK73" s="435">
        <v>8799.8509639029617</v>
      </c>
      <c r="AL73" s="435">
        <v>-4994.947728820669</v>
      </c>
      <c r="AM73" s="435">
        <v>833.43364838622801</v>
      </c>
      <c r="AN73" s="435">
        <v>-1395.5366395634774</v>
      </c>
      <c r="AO73" s="435">
        <v>1718.5695097132339</v>
      </c>
      <c r="AP73" s="435">
        <v>-27213.995792782887</v>
      </c>
      <c r="AQ73" s="435">
        <v>-9483.602018850368</v>
      </c>
      <c r="AR73" s="435">
        <v>-12961.404805483398</v>
      </c>
      <c r="AS73" s="435">
        <v>-3910.5282438220747</v>
      </c>
      <c r="AT73" s="435">
        <v>-4109.2404302183932</v>
      </c>
      <c r="AU73" s="435">
        <v>2646.3761095417649</v>
      </c>
      <c r="AV73" s="435">
        <v>-7861.3419604103692</v>
      </c>
      <c r="AW73" s="435">
        <v>431.83961435865785</v>
      </c>
      <c r="AX73" s="435">
        <v>-4893.3048135738791</v>
      </c>
      <c r="AY73" s="435">
        <v>68.106628507444839</v>
      </c>
      <c r="BA73" s="360"/>
      <c r="BB73" s="360"/>
    </row>
    <row r="74" spans="2:54">
      <c r="B74" s="271">
        <v>10230</v>
      </c>
      <c r="C74" s="271" t="s">
        <v>77</v>
      </c>
      <c r="D74" s="435">
        <v>-4.2754217527681249</v>
      </c>
      <c r="E74" s="435">
        <v>-22.770337301126801</v>
      </c>
      <c r="F74" s="435">
        <v>44.180825447016105</v>
      </c>
      <c r="G74" s="435">
        <v>548.88467112753096</v>
      </c>
      <c r="H74" s="435">
        <v>1522.8780456297327</v>
      </c>
      <c r="I74" s="435">
        <v>1350.2157473153766</v>
      </c>
      <c r="J74" s="435">
        <v>2066.1741890727972</v>
      </c>
      <c r="K74" s="435">
        <v>1846.9141222582002</v>
      </c>
      <c r="L74" s="435">
        <v>1361.1837727489301</v>
      </c>
      <c r="M74" s="435">
        <v>1150.9554479174503</v>
      </c>
      <c r="N74" s="435">
        <v>679.48914507606514</v>
      </c>
      <c r="O74" s="435">
        <v>601.49250840830518</v>
      </c>
      <c r="P74" s="435">
        <v>603.14599692535194</v>
      </c>
      <c r="Q74" s="435">
        <v>398.99887344890749</v>
      </c>
      <c r="R74" s="435">
        <v>-1797.6085703180315</v>
      </c>
      <c r="S74" s="435">
        <v>-570.23690980254514</v>
      </c>
      <c r="T74" s="435">
        <v>-926.83082636580002</v>
      </c>
      <c r="U74" s="435">
        <v>-497.60380641660367</v>
      </c>
      <c r="V74" s="435">
        <v>9.4580033290685606</v>
      </c>
      <c r="W74" s="435">
        <v>292.91505528223161</v>
      </c>
      <c r="X74" s="435">
        <v>-183.24426522771682</v>
      </c>
      <c r="Y74" s="435">
        <v>121.4105686952139</v>
      </c>
      <c r="Z74" s="435">
        <v>52.58381333025909</v>
      </c>
      <c r="AA74" s="435">
        <v>-45.161556949176884</v>
      </c>
      <c r="AB74" s="435">
        <v>-4.2754217527681249</v>
      </c>
      <c r="AC74" s="435">
        <v>-22.770337301126801</v>
      </c>
      <c r="AD74" s="435">
        <v>44.180825447016105</v>
      </c>
      <c r="AE74" s="435">
        <v>548.88467112753096</v>
      </c>
      <c r="AF74" s="435">
        <v>1522.8780456297327</v>
      </c>
      <c r="AG74" s="435">
        <v>1350.2157473153766</v>
      </c>
      <c r="AH74" s="435">
        <v>2066.1741890727972</v>
      </c>
      <c r="AI74" s="435">
        <v>1846.9141222582002</v>
      </c>
      <c r="AJ74" s="435">
        <v>1514.9121991729303</v>
      </c>
      <c r="AK74" s="435">
        <v>1227.8196611294507</v>
      </c>
      <c r="AL74" s="435">
        <v>679.48914507606514</v>
      </c>
      <c r="AM74" s="435">
        <v>601.49250840830518</v>
      </c>
      <c r="AN74" s="435">
        <v>603.14599692535194</v>
      </c>
      <c r="AO74" s="435">
        <v>398.99887344890749</v>
      </c>
      <c r="AP74" s="435">
        <v>-1797.6085703180315</v>
      </c>
      <c r="AQ74" s="435">
        <v>-570.23690980254514</v>
      </c>
      <c r="AR74" s="435">
        <v>-926.83082636580002</v>
      </c>
      <c r="AS74" s="435">
        <v>-497.60380641660367</v>
      </c>
      <c r="AT74" s="435">
        <v>9.4580033290685606</v>
      </c>
      <c r="AU74" s="435">
        <v>292.91505528223161</v>
      </c>
      <c r="AV74" s="435">
        <v>-183.24426522771682</v>
      </c>
      <c r="AW74" s="435">
        <v>121.4105686952139</v>
      </c>
      <c r="AX74" s="435">
        <v>52.58381333025909</v>
      </c>
      <c r="AY74" s="435">
        <v>-45.161556949176884</v>
      </c>
      <c r="BA74" s="360"/>
      <c r="BB74" s="360"/>
    </row>
    <row r="75" spans="2:54">
      <c r="B75" s="271">
        <v>10231</v>
      </c>
      <c r="C75" s="271" t="s">
        <v>78</v>
      </c>
      <c r="D75" s="435">
        <v>1313.6459859440456</v>
      </c>
      <c r="E75" s="435">
        <v>1730.5496522086069</v>
      </c>
      <c r="F75" s="435">
        <v>-361.51134791498407</v>
      </c>
      <c r="G75" s="435">
        <v>734.46953309786841</v>
      </c>
      <c r="H75" s="435">
        <v>3374.1228748467183</v>
      </c>
      <c r="I75" s="435">
        <v>4472.6359174680274</v>
      </c>
      <c r="J75" s="435">
        <v>4932.8360083407424</v>
      </c>
      <c r="K75" s="435">
        <v>4003.4715973159618</v>
      </c>
      <c r="L75" s="435">
        <v>3434.9952908336672</v>
      </c>
      <c r="M75" s="435">
        <v>2621.146419764571</v>
      </c>
      <c r="N75" s="435">
        <v>-839.57863946259386</v>
      </c>
      <c r="O75" s="435">
        <v>-708.44640053075454</v>
      </c>
      <c r="P75" s="435">
        <v>1289.0454177750926</v>
      </c>
      <c r="Q75" s="435">
        <v>1395.5314225138445</v>
      </c>
      <c r="R75" s="435">
        <v>-7053.4804689594093</v>
      </c>
      <c r="S75" s="435">
        <v>-3019.405851455449</v>
      </c>
      <c r="T75" s="435">
        <v>-2635.3690993385972</v>
      </c>
      <c r="U75" s="435">
        <v>-1610.1806265543091</v>
      </c>
      <c r="V75" s="435">
        <v>3316.4370598923124</v>
      </c>
      <c r="W75" s="435">
        <v>4028.4944119333904</v>
      </c>
      <c r="X75" s="435">
        <v>3859.9531852171203</v>
      </c>
      <c r="Y75" s="435">
        <v>3142.5020455012709</v>
      </c>
      <c r="Z75" s="435">
        <v>3017.4037848070529</v>
      </c>
      <c r="AA75" s="435">
        <v>2929.2077191332228</v>
      </c>
      <c r="AB75" s="435">
        <v>1101.9339859440461</v>
      </c>
      <c r="AC75" s="435">
        <v>1466.8456522086053</v>
      </c>
      <c r="AD75" s="435">
        <v>-671.22334791498724</v>
      </c>
      <c r="AE75" s="435">
        <v>583.4625330978688</v>
      </c>
      <c r="AF75" s="435">
        <v>3108.2988748467178</v>
      </c>
      <c r="AG75" s="435">
        <v>4263.0439174680268</v>
      </c>
      <c r="AH75" s="435">
        <v>4677.2360083407402</v>
      </c>
      <c r="AI75" s="435">
        <v>3783.6555973159611</v>
      </c>
      <c r="AJ75" s="435">
        <v>3824.5451958576687</v>
      </c>
      <c r="AK75" s="435">
        <v>2754.5773722765716</v>
      </c>
      <c r="AL75" s="435">
        <v>-1115.6266394625927</v>
      </c>
      <c r="AM75" s="435">
        <v>-907.17540053075572</v>
      </c>
      <c r="AN75" s="435">
        <v>1087.5574177750914</v>
      </c>
      <c r="AO75" s="435">
        <v>1136.9394225138458</v>
      </c>
      <c r="AP75" s="435">
        <v>-7373.4164689594108</v>
      </c>
      <c r="AQ75" s="435">
        <v>-3174.8858514554486</v>
      </c>
      <c r="AR75" s="435">
        <v>-2901.1930993385977</v>
      </c>
      <c r="AS75" s="435">
        <v>-1804.4366265543085</v>
      </c>
      <c r="AT75" s="435">
        <v>3060.8370598923102</v>
      </c>
      <c r="AU75" s="435">
        <v>3808.6784119333897</v>
      </c>
      <c r="AV75" s="435">
        <v>3583.9051852171215</v>
      </c>
      <c r="AW75" s="435">
        <v>2943.1340455012705</v>
      </c>
      <c r="AX75" s="435">
        <v>2761.8037848070508</v>
      </c>
      <c r="AY75" s="435">
        <v>2724.7277191332232</v>
      </c>
      <c r="BA75" s="360"/>
      <c r="BB75" s="360"/>
    </row>
    <row r="76" spans="2:54">
      <c r="B76" s="271">
        <v>10234</v>
      </c>
      <c r="C76" s="271" t="s">
        <v>79</v>
      </c>
      <c r="D76" s="435">
        <v>-1397.4475858827063</v>
      </c>
      <c r="E76" s="435">
        <v>-2.2983493435203854</v>
      </c>
      <c r="F76" s="435">
        <v>-416.16472132217314</v>
      </c>
      <c r="G76" s="435">
        <v>1324.5924135433561</v>
      </c>
      <c r="H76" s="435">
        <v>5675.7244439234128</v>
      </c>
      <c r="I76" s="435">
        <v>5492.1650550801696</v>
      </c>
      <c r="J76" s="435">
        <v>6310.7300300708375</v>
      </c>
      <c r="K76" s="435">
        <v>6791.4540553610768</v>
      </c>
      <c r="L76" s="435">
        <v>4739.0056185189787</v>
      </c>
      <c r="M76" s="435">
        <v>4033.3194220793648</v>
      </c>
      <c r="N76" s="435">
        <v>1517.4512390363416</v>
      </c>
      <c r="O76" s="435">
        <v>839.06875056971148</v>
      </c>
      <c r="P76" s="435">
        <v>1650.9654328542383</v>
      </c>
      <c r="Q76" s="435">
        <v>1298.5887952485646</v>
      </c>
      <c r="R76" s="435">
        <v>-12703.880854015555</v>
      </c>
      <c r="S76" s="435">
        <v>-4698.5960007936683</v>
      </c>
      <c r="T76" s="435">
        <v>-5128.8878633457862</v>
      </c>
      <c r="U76" s="435">
        <v>-2971.2606001925124</v>
      </c>
      <c r="V76" s="435">
        <v>-1100.3874614609886</v>
      </c>
      <c r="W76" s="435">
        <v>1521.2741366386363</v>
      </c>
      <c r="X76" s="435">
        <v>-2049.0880550380462</v>
      </c>
      <c r="Y76" s="435">
        <v>-78.593948394660401</v>
      </c>
      <c r="Z76" s="435">
        <v>-222.18952590708795</v>
      </c>
      <c r="AA76" s="435">
        <v>207.05401245988287</v>
      </c>
      <c r="AB76" s="435">
        <v>-1573.879585882707</v>
      </c>
      <c r="AC76" s="435">
        <v>-180.75434934352052</v>
      </c>
      <c r="AD76" s="435">
        <v>-628.96472132217241</v>
      </c>
      <c r="AE76" s="435">
        <v>1193.4754135433577</v>
      </c>
      <c r="AF76" s="435">
        <v>5477.2924439234121</v>
      </c>
      <c r="AG76" s="435">
        <v>5335.7090550801713</v>
      </c>
      <c r="AH76" s="435">
        <v>6119.9300300708383</v>
      </c>
      <c r="AI76" s="435">
        <v>6627.3660553610771</v>
      </c>
      <c r="AJ76" s="435">
        <v>5385.8643500389808</v>
      </c>
      <c r="AK76" s="435">
        <v>4310.9567878393664</v>
      </c>
      <c r="AL76" s="435">
        <v>1311.3872390363431</v>
      </c>
      <c r="AM76" s="435">
        <v>690.72175056971173</v>
      </c>
      <c r="AN76" s="435">
        <v>1482.165432854239</v>
      </c>
      <c r="AO76" s="435">
        <v>1123.9487952485651</v>
      </c>
      <c r="AP76" s="435">
        <v>-12924.312854015556</v>
      </c>
      <c r="AQ76" s="435">
        <v>-4833.0520007936684</v>
      </c>
      <c r="AR76" s="435">
        <v>-5327.3198633457869</v>
      </c>
      <c r="AS76" s="435">
        <v>-3116.2686001925122</v>
      </c>
      <c r="AT76" s="435">
        <v>-1291.1874614609878</v>
      </c>
      <c r="AU76" s="435">
        <v>1357.1861366386365</v>
      </c>
      <c r="AV76" s="435">
        <v>-2255.1520550380446</v>
      </c>
      <c r="AW76" s="435">
        <v>-227.41794839466093</v>
      </c>
      <c r="AX76" s="435">
        <v>-412.98952590708723</v>
      </c>
      <c r="AY76" s="435">
        <v>54.414012459883452</v>
      </c>
      <c r="BA76" s="360"/>
      <c r="BB76" s="360"/>
    </row>
    <row r="77" spans="2:54">
      <c r="B77" s="271">
        <v>10235</v>
      </c>
      <c r="C77" s="271" t="s">
        <v>80</v>
      </c>
      <c r="D77" s="435">
        <v>-425.47665089145812</v>
      </c>
      <c r="E77" s="435">
        <v>318.89265457538204</v>
      </c>
      <c r="F77" s="435">
        <v>-388.58234549421832</v>
      </c>
      <c r="G77" s="435">
        <v>477.10530332467351</v>
      </c>
      <c r="H77" s="435">
        <v>822.56267360932725</v>
      </c>
      <c r="I77" s="435">
        <v>1744.6653756606647</v>
      </c>
      <c r="J77" s="435">
        <v>4230.0238222750304</v>
      </c>
      <c r="K77" s="435">
        <v>2905.2094805938686</v>
      </c>
      <c r="L77" s="435">
        <v>3281.3990799366329</v>
      </c>
      <c r="M77" s="435">
        <v>2201.1514140550571</v>
      </c>
      <c r="N77" s="435">
        <v>1096.1479393649752</v>
      </c>
      <c r="O77" s="435">
        <v>204.53706611791131</v>
      </c>
      <c r="P77" s="435">
        <v>1406.465264135164</v>
      </c>
      <c r="Q77" s="435">
        <v>1349.7700285897945</v>
      </c>
      <c r="R77" s="435">
        <v>-7277.2554840429366</v>
      </c>
      <c r="S77" s="435">
        <v>-3318.9433417322698</v>
      </c>
      <c r="T77" s="435">
        <v>-3827.1619593073756</v>
      </c>
      <c r="U77" s="435">
        <v>-2248.0176801569551</v>
      </c>
      <c r="V77" s="435">
        <v>-3054.726989582854</v>
      </c>
      <c r="W77" s="435">
        <v>-270.57042968497717</v>
      </c>
      <c r="X77" s="435">
        <v>-3092.9351550589654</v>
      </c>
      <c r="Y77" s="435">
        <v>-1151.9353180334092</v>
      </c>
      <c r="Z77" s="435">
        <v>-1145.7596811139174</v>
      </c>
      <c r="AA77" s="435">
        <v>-259.92472267161338</v>
      </c>
      <c r="AB77" s="435">
        <v>-494.63719919872165</v>
      </c>
      <c r="AC77" s="435">
        <v>279.49123638331457</v>
      </c>
      <c r="AD77" s="435">
        <v>-470.13428123068843</v>
      </c>
      <c r="AE77" s="435">
        <v>427.78881004878713</v>
      </c>
      <c r="AF77" s="435">
        <v>743.86310288497043</v>
      </c>
      <c r="AG77" s="435">
        <v>1695.9091647723653</v>
      </c>
      <c r="AH77" s="435">
        <v>4161.8866907326665</v>
      </c>
      <c r="AI77" s="435">
        <v>2862.747759529464</v>
      </c>
      <c r="AJ77" s="435">
        <v>3729.3414299160813</v>
      </c>
      <c r="AK77" s="435">
        <v>2418.9660266515684</v>
      </c>
      <c r="AL77" s="435">
        <v>1024.0056032269822</v>
      </c>
      <c r="AM77" s="435">
        <v>160.62020471207506</v>
      </c>
      <c r="AN77" s="435">
        <v>1346.4824063183878</v>
      </c>
      <c r="AO77" s="435">
        <v>1313.1354690394173</v>
      </c>
      <c r="AP77" s="435">
        <v>-7375.4315080296001</v>
      </c>
      <c r="AQ77" s="435">
        <v>-3373.4660296772499</v>
      </c>
      <c r="AR77" s="435">
        <v>-3906.3408764097385</v>
      </c>
      <c r="AS77" s="435">
        <v>-2292.8343671155262</v>
      </c>
      <c r="AT77" s="435">
        <v>-3128.3736077412213</v>
      </c>
      <c r="AU77" s="435">
        <v>-309.97873489579524</v>
      </c>
      <c r="AV77" s="435">
        <v>-3171.7105928430992</v>
      </c>
      <c r="AW77" s="435">
        <v>-1191.980901167175</v>
      </c>
      <c r="AX77" s="435">
        <v>-1207.2676513559909</v>
      </c>
      <c r="AY77" s="435">
        <v>-298.32718004383605</v>
      </c>
      <c r="BA77" s="360"/>
      <c r="BB77" s="360"/>
    </row>
    <row r="78" spans="2:54">
      <c r="B78" s="271">
        <v>10236</v>
      </c>
      <c r="C78" s="271" t="s">
        <v>81</v>
      </c>
      <c r="D78" s="435">
        <v>0</v>
      </c>
      <c r="E78" s="435">
        <v>0</v>
      </c>
      <c r="F78" s="435">
        <v>0</v>
      </c>
      <c r="G78" s="435">
        <v>0</v>
      </c>
      <c r="H78" s="435">
        <v>0</v>
      </c>
      <c r="I78" s="435">
        <v>0</v>
      </c>
      <c r="J78" s="435">
        <v>0</v>
      </c>
      <c r="K78" s="435">
        <v>0</v>
      </c>
      <c r="L78" s="435">
        <v>0</v>
      </c>
      <c r="M78" s="435">
        <v>0</v>
      </c>
      <c r="N78" s="435">
        <v>0</v>
      </c>
      <c r="O78" s="435">
        <v>0</v>
      </c>
      <c r="P78" s="435">
        <v>0</v>
      </c>
      <c r="Q78" s="435">
        <v>0</v>
      </c>
      <c r="R78" s="435">
        <v>0</v>
      </c>
      <c r="S78" s="435">
        <v>0</v>
      </c>
      <c r="T78" s="435">
        <v>0</v>
      </c>
      <c r="U78" s="435">
        <v>0</v>
      </c>
      <c r="V78" s="435">
        <v>0</v>
      </c>
      <c r="W78" s="435">
        <v>0</v>
      </c>
      <c r="X78" s="435">
        <v>0</v>
      </c>
      <c r="Y78" s="435">
        <v>0</v>
      </c>
      <c r="Z78" s="435">
        <v>0</v>
      </c>
      <c r="AA78" s="435">
        <v>0</v>
      </c>
      <c r="AB78" s="435">
        <v>0</v>
      </c>
      <c r="AC78" s="435">
        <v>0</v>
      </c>
      <c r="AD78" s="435">
        <v>0</v>
      </c>
      <c r="AE78" s="435">
        <v>0</v>
      </c>
      <c r="AF78" s="435">
        <v>0</v>
      </c>
      <c r="AG78" s="435">
        <v>0</v>
      </c>
      <c r="AH78" s="435">
        <v>0</v>
      </c>
      <c r="AI78" s="435">
        <v>0</v>
      </c>
      <c r="AJ78" s="435">
        <v>0</v>
      </c>
      <c r="AK78" s="435">
        <v>0</v>
      </c>
      <c r="AL78" s="435">
        <v>0</v>
      </c>
      <c r="AM78" s="435">
        <v>0</v>
      </c>
      <c r="AN78" s="435">
        <v>0</v>
      </c>
      <c r="AO78" s="435">
        <v>0</v>
      </c>
      <c r="AP78" s="435">
        <v>0</v>
      </c>
      <c r="AQ78" s="435">
        <v>0</v>
      </c>
      <c r="AR78" s="435">
        <v>0</v>
      </c>
      <c r="AS78" s="435">
        <v>0</v>
      </c>
      <c r="AT78" s="435">
        <v>0</v>
      </c>
      <c r="AU78" s="435">
        <v>0</v>
      </c>
      <c r="AV78" s="435">
        <v>0</v>
      </c>
      <c r="AW78" s="435">
        <v>0</v>
      </c>
      <c r="AX78" s="435">
        <v>0</v>
      </c>
      <c r="AY78" s="435">
        <v>0</v>
      </c>
      <c r="BA78" s="360"/>
      <c r="BB78" s="360"/>
    </row>
    <row r="79" spans="2:54">
      <c r="B79" s="271">
        <v>10237</v>
      </c>
      <c r="C79" s="271" t="s">
        <v>82</v>
      </c>
      <c r="D79" s="435">
        <v>-1282.6598229212032</v>
      </c>
      <c r="E79" s="435">
        <v>1795.215492900752</v>
      </c>
      <c r="F79" s="435">
        <v>-3002.0918065194019</v>
      </c>
      <c r="G79" s="435">
        <v>3107.3266785200831</v>
      </c>
      <c r="H79" s="435">
        <v>2620.2720029019474</v>
      </c>
      <c r="I79" s="435">
        <v>5496.4816799019372</v>
      </c>
      <c r="J79" s="435">
        <v>1780.1224728331399</v>
      </c>
      <c r="K79" s="435">
        <v>5694.4019029399406</v>
      </c>
      <c r="L79" s="435">
        <v>2112.6547380973407</v>
      </c>
      <c r="M79" s="435">
        <v>3844.7461828532014</v>
      </c>
      <c r="N79" s="435">
        <v>-163.97132713863539</v>
      </c>
      <c r="O79" s="435">
        <v>1951.0183989903726</v>
      </c>
      <c r="P79" s="435">
        <v>1827.6210245461516</v>
      </c>
      <c r="Q79" s="435">
        <v>3193.0864519862262</v>
      </c>
      <c r="R79" s="435">
        <v>-10954.589464038387</v>
      </c>
      <c r="S79" s="435">
        <v>-1703.848334333421</v>
      </c>
      <c r="T79" s="435">
        <v>-6421.4810954090462</v>
      </c>
      <c r="U79" s="435">
        <v>-1326.7687482220608</v>
      </c>
      <c r="V79" s="435">
        <v>-6159.00912357167</v>
      </c>
      <c r="W79" s="435">
        <v>877.14577847369583</v>
      </c>
      <c r="X79" s="435">
        <v>-6247.8539086502424</v>
      </c>
      <c r="Y79" s="435">
        <v>-165.24000637809877</v>
      </c>
      <c r="Z79" s="435">
        <v>-2202.6917075187539</v>
      </c>
      <c r="AA79" s="435">
        <v>1025.4946179600101</v>
      </c>
      <c r="AB79" s="435">
        <v>-1579.7235638147722</v>
      </c>
      <c r="AC79" s="435">
        <v>2713.207425127217</v>
      </c>
      <c r="AD79" s="435">
        <v>-1877.9078072110278</v>
      </c>
      <c r="AE79" s="435">
        <v>2713.383682984675</v>
      </c>
      <c r="AF79" s="435">
        <v>3150.545114302</v>
      </c>
      <c r="AG79" s="435">
        <v>5963.0397715527579</v>
      </c>
      <c r="AH79" s="435">
        <v>2221.8168966767444</v>
      </c>
      <c r="AI79" s="435">
        <v>6133.0713540399465</v>
      </c>
      <c r="AJ79" s="435">
        <v>3093.5199181963144</v>
      </c>
      <c r="AK79" s="435">
        <v>4630.627311711427</v>
      </c>
      <c r="AL79" s="435">
        <v>230.66865421426701</v>
      </c>
      <c r="AM79" s="435">
        <v>2264.349573675705</v>
      </c>
      <c r="AN79" s="435">
        <v>1536.4623990931505</v>
      </c>
      <c r="AO79" s="435">
        <v>4199.5384065707331</v>
      </c>
      <c r="AP79" s="435">
        <v>-10204.436777628011</v>
      </c>
      <c r="AQ79" s="435">
        <v>-2057.4776509714484</v>
      </c>
      <c r="AR79" s="435">
        <v>-6210.7999320170184</v>
      </c>
      <c r="AS79" s="435">
        <v>-1125.2644662523271</v>
      </c>
      <c r="AT79" s="435">
        <v>-5969.6847887241274</v>
      </c>
      <c r="AU79" s="435">
        <v>1127.1751911042884</v>
      </c>
      <c r="AV79" s="435">
        <v>-6033.2244150804891</v>
      </c>
      <c r="AW79" s="435">
        <v>51.175939237858984</v>
      </c>
      <c r="AX79" s="435">
        <v>-1939.747410731874</v>
      </c>
      <c r="AY79" s="435">
        <v>1275.2274963571144</v>
      </c>
      <c r="BA79" s="360"/>
      <c r="BB79" s="360"/>
    </row>
    <row r="80" spans="2:54">
      <c r="B80" s="271">
        <v>10239</v>
      </c>
      <c r="C80" s="271" t="s">
        <v>83</v>
      </c>
      <c r="D80" s="435">
        <v>0</v>
      </c>
      <c r="E80" s="435">
        <v>0</v>
      </c>
      <c r="F80" s="435">
        <v>0</v>
      </c>
      <c r="G80" s="435">
        <v>0</v>
      </c>
      <c r="H80" s="435">
        <v>0</v>
      </c>
      <c r="I80" s="435">
        <v>0</v>
      </c>
      <c r="J80" s="435">
        <v>0</v>
      </c>
      <c r="K80" s="435">
        <v>0</v>
      </c>
      <c r="L80" s="435">
        <v>0</v>
      </c>
      <c r="M80" s="435">
        <v>0</v>
      </c>
      <c r="N80" s="435">
        <v>0</v>
      </c>
      <c r="O80" s="435">
        <v>0</v>
      </c>
      <c r="P80" s="435">
        <v>0</v>
      </c>
      <c r="Q80" s="435">
        <v>0</v>
      </c>
      <c r="R80" s="435">
        <v>0</v>
      </c>
      <c r="S80" s="435">
        <v>0</v>
      </c>
      <c r="T80" s="435">
        <v>0</v>
      </c>
      <c r="U80" s="435">
        <v>0</v>
      </c>
      <c r="V80" s="435">
        <v>0</v>
      </c>
      <c r="W80" s="435">
        <v>0</v>
      </c>
      <c r="X80" s="435">
        <v>0</v>
      </c>
      <c r="Y80" s="435">
        <v>0</v>
      </c>
      <c r="Z80" s="435">
        <v>0</v>
      </c>
      <c r="AA80" s="435">
        <v>0</v>
      </c>
      <c r="AB80" s="435">
        <v>0</v>
      </c>
      <c r="AC80" s="435">
        <v>0</v>
      </c>
      <c r="AD80" s="435">
        <v>0</v>
      </c>
      <c r="AE80" s="435">
        <v>0</v>
      </c>
      <c r="AF80" s="435">
        <v>0</v>
      </c>
      <c r="AG80" s="435">
        <v>0</v>
      </c>
      <c r="AH80" s="435">
        <v>0</v>
      </c>
      <c r="AI80" s="435">
        <v>0</v>
      </c>
      <c r="AJ80" s="435">
        <v>0</v>
      </c>
      <c r="AK80" s="435">
        <v>0</v>
      </c>
      <c r="AL80" s="435">
        <v>0</v>
      </c>
      <c r="AM80" s="435">
        <v>0</v>
      </c>
      <c r="AN80" s="435">
        <v>0</v>
      </c>
      <c r="AO80" s="435">
        <v>0</v>
      </c>
      <c r="AP80" s="435">
        <v>0</v>
      </c>
      <c r="AQ80" s="435">
        <v>0</v>
      </c>
      <c r="AR80" s="435">
        <v>0</v>
      </c>
      <c r="AS80" s="435">
        <v>0</v>
      </c>
      <c r="AT80" s="435">
        <v>0</v>
      </c>
      <c r="AU80" s="435">
        <v>0</v>
      </c>
      <c r="AV80" s="435">
        <v>0</v>
      </c>
      <c r="AW80" s="435">
        <v>0</v>
      </c>
      <c r="AX80" s="435">
        <v>0</v>
      </c>
      <c r="AY80" s="435">
        <v>0</v>
      </c>
      <c r="BA80" s="360"/>
      <c r="BB80" s="360"/>
    </row>
    <row r="81" spans="2:54">
      <c r="B81" s="271">
        <v>10242</v>
      </c>
      <c r="C81" s="271" t="s">
        <v>84</v>
      </c>
      <c r="D81" s="435">
        <v>-1916.7231514671412</v>
      </c>
      <c r="E81" s="435">
        <v>-887.36221464231608</v>
      </c>
      <c r="F81" s="435">
        <v>-2712.3205084571341</v>
      </c>
      <c r="G81" s="435">
        <v>-1261.8389261871732</v>
      </c>
      <c r="H81" s="435">
        <v>-1953.2663918623143</v>
      </c>
      <c r="I81" s="435">
        <v>-763.85665210145316</v>
      </c>
      <c r="J81" s="435">
        <v>-1322.131196816968</v>
      </c>
      <c r="K81" s="435">
        <v>-360.70473744721494</v>
      </c>
      <c r="L81" s="435">
        <v>-1388.8798543286175</v>
      </c>
      <c r="M81" s="435">
        <v>-451.41824649546379</v>
      </c>
      <c r="N81" s="435">
        <v>-2188.6260024211442</v>
      </c>
      <c r="O81" s="435">
        <v>-1047.4244204826375</v>
      </c>
      <c r="P81" s="435">
        <v>-1604.7412429342503</v>
      </c>
      <c r="Q81" s="435">
        <v>-810.76397546712428</v>
      </c>
      <c r="R81" s="435">
        <v>-987.16282461341507</v>
      </c>
      <c r="S81" s="435">
        <v>570.72487385618251</v>
      </c>
      <c r="T81" s="435">
        <v>2615.9314376372386</v>
      </c>
      <c r="U81" s="435">
        <v>2520.5748621211214</v>
      </c>
      <c r="V81" s="435">
        <v>4233.8078855999029</v>
      </c>
      <c r="W81" s="435">
        <v>4359.1897597029129</v>
      </c>
      <c r="X81" s="435">
        <v>2734.8718175960457</v>
      </c>
      <c r="Y81" s="435">
        <v>2921.7448378468603</v>
      </c>
      <c r="Z81" s="435">
        <v>948.43653495640274</v>
      </c>
      <c r="AA81" s="435">
        <v>1239.7788325263841</v>
      </c>
      <c r="AB81" s="435">
        <v>-1916.7231514671412</v>
      </c>
      <c r="AC81" s="435">
        <v>-887.36221464231608</v>
      </c>
      <c r="AD81" s="435">
        <v>-2712.3205084571341</v>
      </c>
      <c r="AE81" s="435">
        <v>-1261.8389261871732</v>
      </c>
      <c r="AF81" s="435">
        <v>-1953.2663918623143</v>
      </c>
      <c r="AG81" s="435">
        <v>-763.85665210145316</v>
      </c>
      <c r="AH81" s="435">
        <v>-1322.131196816968</v>
      </c>
      <c r="AI81" s="435">
        <v>-360.70473744721494</v>
      </c>
      <c r="AJ81" s="435">
        <v>-1237.9558348406172</v>
      </c>
      <c r="AK81" s="435">
        <v>-375.95623675146362</v>
      </c>
      <c r="AL81" s="435">
        <v>-2188.6260024211442</v>
      </c>
      <c r="AM81" s="435">
        <v>-1047.4244204826375</v>
      </c>
      <c r="AN81" s="435">
        <v>-1604.7412429342503</v>
      </c>
      <c r="AO81" s="435">
        <v>-810.76397546712428</v>
      </c>
      <c r="AP81" s="435">
        <v>-987.16282461341507</v>
      </c>
      <c r="AQ81" s="435">
        <v>570.72487385618251</v>
      </c>
      <c r="AR81" s="435">
        <v>2615.9314376372386</v>
      </c>
      <c r="AS81" s="435">
        <v>2520.5748621211214</v>
      </c>
      <c r="AT81" s="435">
        <v>4233.8078855999029</v>
      </c>
      <c r="AU81" s="435">
        <v>4359.1897597029129</v>
      </c>
      <c r="AV81" s="435">
        <v>2734.8718175960457</v>
      </c>
      <c r="AW81" s="435">
        <v>2921.7448378468603</v>
      </c>
      <c r="AX81" s="435">
        <v>948.43653495640274</v>
      </c>
      <c r="AY81" s="435">
        <v>1239.7788325263841</v>
      </c>
      <c r="BA81" s="360"/>
      <c r="BB81" s="360"/>
    </row>
    <row r="82" spans="2:54">
      <c r="B82" s="271">
        <v>10244</v>
      </c>
      <c r="C82" s="271" t="s">
        <v>85</v>
      </c>
      <c r="D82" s="435">
        <v>-4949.1860735786213</v>
      </c>
      <c r="E82" s="435">
        <v>-187.00087693591922</v>
      </c>
      <c r="F82" s="435">
        <v>-3222.4434011564372</v>
      </c>
      <c r="G82" s="435">
        <v>4227.387286763973</v>
      </c>
      <c r="H82" s="435">
        <v>13879.110150018249</v>
      </c>
      <c r="I82" s="435">
        <v>16129.207255974987</v>
      </c>
      <c r="J82" s="435">
        <v>15444.827601062258</v>
      </c>
      <c r="K82" s="435">
        <v>16068.509104457738</v>
      </c>
      <c r="L82" s="435">
        <v>16246.973897304015</v>
      </c>
      <c r="M82" s="435">
        <v>16480.911504151201</v>
      </c>
      <c r="N82" s="435">
        <v>4767.475408543527</v>
      </c>
      <c r="O82" s="435">
        <v>6942.7540847346245</v>
      </c>
      <c r="P82" s="435">
        <v>366.93991757209369</v>
      </c>
      <c r="Q82" s="435">
        <v>3084.3570153359506</v>
      </c>
      <c r="R82" s="435">
        <v>-24035.450344372548</v>
      </c>
      <c r="S82" s="435">
        <v>-9017.9175500668207</v>
      </c>
      <c r="T82" s="435">
        <v>-15910.869824521102</v>
      </c>
      <c r="U82" s="435">
        <v>-8553.7181976643769</v>
      </c>
      <c r="V82" s="435">
        <v>-11143.885013288302</v>
      </c>
      <c r="W82" s="435">
        <v>-3145.6532173294618</v>
      </c>
      <c r="X82" s="435">
        <v>-12310.404378470299</v>
      </c>
      <c r="Y82" s="435">
        <v>-4579.5365781504297</v>
      </c>
      <c r="Z82" s="435">
        <v>-2974.3031462917643</v>
      </c>
      <c r="AA82" s="435">
        <v>-695.84692173423173</v>
      </c>
      <c r="AB82" s="435">
        <v>-5317.2020735786209</v>
      </c>
      <c r="AC82" s="435">
        <v>-594.23287693591919</v>
      </c>
      <c r="AD82" s="435">
        <v>-3704.6994011564311</v>
      </c>
      <c r="AE82" s="435">
        <v>3958.3612867639749</v>
      </c>
      <c r="AF82" s="435">
        <v>13445.638150018247</v>
      </c>
      <c r="AG82" s="435">
        <v>15787.431255974981</v>
      </c>
      <c r="AH82" s="435">
        <v>15028.027601062262</v>
      </c>
      <c r="AI82" s="435">
        <v>15710.061104457734</v>
      </c>
      <c r="AJ82" s="435">
        <v>17275.467126920023</v>
      </c>
      <c r="AK82" s="435">
        <v>16895.126118959211</v>
      </c>
      <c r="AL82" s="435">
        <v>4317.3314085435268</v>
      </c>
      <c r="AM82" s="435">
        <v>6618.6920847346228</v>
      </c>
      <c r="AN82" s="435">
        <v>15.595917572092731</v>
      </c>
      <c r="AO82" s="435">
        <v>2685.4610153359499</v>
      </c>
      <c r="AP82" s="435">
        <v>-24534.378344372548</v>
      </c>
      <c r="AQ82" s="435">
        <v>-9294.2375500668204</v>
      </c>
      <c r="AR82" s="435">
        <v>-16344.341824521103</v>
      </c>
      <c r="AS82" s="435">
        <v>-8870.486197664377</v>
      </c>
      <c r="AT82" s="435">
        <v>-11560.685013288301</v>
      </c>
      <c r="AU82" s="435">
        <v>-3504.1012173294621</v>
      </c>
      <c r="AV82" s="435">
        <v>-12760.548378470296</v>
      </c>
      <c r="AW82" s="435">
        <v>-4904.6405781504291</v>
      </c>
      <c r="AX82" s="435">
        <v>-3391.1031462917636</v>
      </c>
      <c r="AY82" s="435">
        <v>-1029.2869217342341</v>
      </c>
      <c r="BA82" s="360"/>
      <c r="BB82" s="360"/>
    </row>
    <row r="83" spans="2:54">
      <c r="B83" s="271">
        <v>10246</v>
      </c>
      <c r="C83" s="271" t="s">
        <v>86</v>
      </c>
      <c r="D83" s="435">
        <v>-254.71064749017205</v>
      </c>
      <c r="E83" s="435">
        <v>184.99209894864725</v>
      </c>
      <c r="F83" s="435">
        <v>12.344013045772044</v>
      </c>
      <c r="G83" s="435">
        <v>409.97358636886793</v>
      </c>
      <c r="H83" s="435">
        <v>776.99020477544218</v>
      </c>
      <c r="I83" s="435">
        <v>1090.4394229803884</v>
      </c>
      <c r="J83" s="435">
        <v>1248.3559632635897</v>
      </c>
      <c r="K83" s="435">
        <v>1079.8572752422783</v>
      </c>
      <c r="L83" s="435">
        <v>1047.7072887500813</v>
      </c>
      <c r="M83" s="435">
        <v>868.84620955447235</v>
      </c>
      <c r="N83" s="435">
        <v>157.37710639213401</v>
      </c>
      <c r="O83" s="435">
        <v>170.74058878955202</v>
      </c>
      <c r="P83" s="435">
        <v>149.10794729389363</v>
      </c>
      <c r="Q83" s="435">
        <v>422.46693460519509</v>
      </c>
      <c r="R83" s="435">
        <v>-2577.147024938803</v>
      </c>
      <c r="S83" s="435">
        <v>-1035.2382946088842</v>
      </c>
      <c r="T83" s="435">
        <v>-1529.3167348794072</v>
      </c>
      <c r="U83" s="435">
        <v>-730.46292368436616</v>
      </c>
      <c r="V83" s="435">
        <v>-1242.9103412729373</v>
      </c>
      <c r="W83" s="435">
        <v>-121.1618491520635</v>
      </c>
      <c r="X83" s="435">
        <v>-1289.3403645658859</v>
      </c>
      <c r="Y83" s="435">
        <v>-390.98333095051953</v>
      </c>
      <c r="Z83" s="435">
        <v>-537.90781037278703</v>
      </c>
      <c r="AA83" s="435">
        <v>-0.57524891055390981</v>
      </c>
      <c r="AB83" s="435">
        <v>-254.71064749017205</v>
      </c>
      <c r="AC83" s="435">
        <v>184.99209894864725</v>
      </c>
      <c r="AD83" s="435">
        <v>12.344013045772044</v>
      </c>
      <c r="AE83" s="435">
        <v>409.97358636886793</v>
      </c>
      <c r="AF83" s="435">
        <v>776.99020477544218</v>
      </c>
      <c r="AG83" s="435">
        <v>1090.4394229803884</v>
      </c>
      <c r="AH83" s="435">
        <v>1248.3559632635897</v>
      </c>
      <c r="AI83" s="435">
        <v>1079.8572752422783</v>
      </c>
      <c r="AJ83" s="435">
        <v>1190.0951851340819</v>
      </c>
      <c r="AK83" s="435">
        <v>940.04015774647246</v>
      </c>
      <c r="AL83" s="435">
        <v>157.37710639213401</v>
      </c>
      <c r="AM83" s="435">
        <v>170.74058878955202</v>
      </c>
      <c r="AN83" s="435">
        <v>149.10794729389363</v>
      </c>
      <c r="AO83" s="435">
        <v>422.46693460519509</v>
      </c>
      <c r="AP83" s="435">
        <v>-2577.147024938803</v>
      </c>
      <c r="AQ83" s="435">
        <v>-1035.2382946088842</v>
      </c>
      <c r="AR83" s="435">
        <v>-1529.3167348794072</v>
      </c>
      <c r="AS83" s="435">
        <v>-730.46292368436616</v>
      </c>
      <c r="AT83" s="435">
        <v>-1242.9103412729373</v>
      </c>
      <c r="AU83" s="435">
        <v>-121.1618491520635</v>
      </c>
      <c r="AV83" s="435">
        <v>-1289.3403645658859</v>
      </c>
      <c r="AW83" s="435">
        <v>-390.98333095051953</v>
      </c>
      <c r="AX83" s="435">
        <v>-537.90781037278703</v>
      </c>
      <c r="AY83" s="435">
        <v>-0.57524891055390981</v>
      </c>
      <c r="BA83" s="360"/>
      <c r="BB83" s="360"/>
    </row>
    <row r="84" spans="2:54">
      <c r="B84" s="271">
        <v>10247</v>
      </c>
      <c r="C84" s="271" t="s">
        <v>87</v>
      </c>
      <c r="D84" s="435">
        <v>-201.54390937900462</v>
      </c>
      <c r="E84" s="435">
        <v>1760.4293878872813</v>
      </c>
      <c r="F84" s="435">
        <v>1329.2587889720671</v>
      </c>
      <c r="G84" s="435">
        <v>2917.1974304294563</v>
      </c>
      <c r="H84" s="435">
        <v>6913.1404904321826</v>
      </c>
      <c r="I84" s="435">
        <v>8336.2805836698972</v>
      </c>
      <c r="J84" s="435">
        <v>14825.739905535804</v>
      </c>
      <c r="K84" s="435">
        <v>10669.458033667674</v>
      </c>
      <c r="L84" s="435">
        <v>11940.998495926651</v>
      </c>
      <c r="M84" s="435">
        <v>8337.6231694712915</v>
      </c>
      <c r="N84" s="435">
        <v>5188.9623542773115</v>
      </c>
      <c r="O84" s="435">
        <v>2659.19458253005</v>
      </c>
      <c r="P84" s="435">
        <v>5466.6733491901323</v>
      </c>
      <c r="Q84" s="435">
        <v>5199.7399224647852</v>
      </c>
      <c r="R84" s="435">
        <v>-19574.901626072173</v>
      </c>
      <c r="S84" s="435">
        <v>-8683.2056773500772</v>
      </c>
      <c r="T84" s="435">
        <v>-11531.290526535744</v>
      </c>
      <c r="U84" s="435">
        <v>-6411.5982220716269</v>
      </c>
      <c r="V84" s="435">
        <v>-9980.3395462366461</v>
      </c>
      <c r="W84" s="435">
        <v>-1736.9123062061735</v>
      </c>
      <c r="X84" s="435">
        <v>-10211.650755285289</v>
      </c>
      <c r="Y84" s="435">
        <v>-4252.5926961123405</v>
      </c>
      <c r="Z84" s="435">
        <v>-2091.8958206915522</v>
      </c>
      <c r="AA84" s="435">
        <v>126.92059474907364</v>
      </c>
      <c r="AB84" s="435">
        <v>-687.01590937900619</v>
      </c>
      <c r="AC84" s="435">
        <v>1377.6533878872797</v>
      </c>
      <c r="AD84" s="435">
        <v>862.45878897206421</v>
      </c>
      <c r="AE84" s="435">
        <v>2542.5904304294563</v>
      </c>
      <c r="AF84" s="435">
        <v>6427.668490432181</v>
      </c>
      <c r="AG84" s="435">
        <v>7953.5045836698955</v>
      </c>
      <c r="AH84" s="435">
        <v>14358.939905535801</v>
      </c>
      <c r="AI84" s="435">
        <v>10268.010033667673</v>
      </c>
      <c r="AJ84" s="435">
        <v>12759.255753910656</v>
      </c>
      <c r="AK84" s="435">
        <v>8634.7197984632912</v>
      </c>
      <c r="AL84" s="435">
        <v>4684.8183542773113</v>
      </c>
      <c r="AM84" s="435">
        <v>2296.2575825300482</v>
      </c>
      <c r="AN84" s="435">
        <v>4999.8733491901294</v>
      </c>
      <c r="AO84" s="435">
        <v>4826.2999224647865</v>
      </c>
      <c r="AP84" s="435">
        <v>-20060.373626072174</v>
      </c>
      <c r="AQ84" s="435">
        <v>-9065.9816773500788</v>
      </c>
      <c r="AR84" s="435">
        <v>-12016.762526535746</v>
      </c>
      <c r="AS84" s="435">
        <v>-6766.3662220716269</v>
      </c>
      <c r="AT84" s="435">
        <v>-10447.139546236645</v>
      </c>
      <c r="AU84" s="435">
        <v>-2138.3603062061738</v>
      </c>
      <c r="AV84" s="435">
        <v>-10715.794755285289</v>
      </c>
      <c r="AW84" s="435">
        <v>-4616.6966961123399</v>
      </c>
      <c r="AX84" s="435">
        <v>-2558.6958206915515</v>
      </c>
      <c r="AY84" s="435">
        <v>-246.51940525092505</v>
      </c>
      <c r="BA84" s="360"/>
      <c r="BB84" s="360"/>
    </row>
    <row r="85" spans="2:54">
      <c r="B85" s="271">
        <v>10256</v>
      </c>
      <c r="C85" s="271" t="s">
        <v>88</v>
      </c>
      <c r="D85" s="435">
        <v>-3348.7751266251253</v>
      </c>
      <c r="E85" s="435">
        <v>-1070.4832437540026</v>
      </c>
      <c r="F85" s="435">
        <v>-3724.5613991872306</v>
      </c>
      <c r="G85" s="435">
        <v>708.13738364395431</v>
      </c>
      <c r="H85" s="435">
        <v>2774.2794590937119</v>
      </c>
      <c r="I85" s="435">
        <v>4194.0954544180859</v>
      </c>
      <c r="J85" s="435">
        <v>3135.4547449724669</v>
      </c>
      <c r="K85" s="435">
        <v>4840.0576471486675</v>
      </c>
      <c r="L85" s="435">
        <v>1712.0736640050454</v>
      </c>
      <c r="M85" s="435">
        <v>2488.3973526062437</v>
      </c>
      <c r="N85" s="435">
        <v>-1340.5118997275385</v>
      </c>
      <c r="O85" s="435">
        <v>523.91507428187651</v>
      </c>
      <c r="P85" s="435">
        <v>53.742905441049516</v>
      </c>
      <c r="Q85" s="435">
        <v>729.39329672112217</v>
      </c>
      <c r="R85" s="435">
        <v>-9114.770563913884</v>
      </c>
      <c r="S85" s="435">
        <v>-2564.9448320193023</v>
      </c>
      <c r="T85" s="435">
        <v>-3397.3824503495125</v>
      </c>
      <c r="U85" s="435">
        <v>-964.87093651168107</v>
      </c>
      <c r="V85" s="435">
        <v>-926.56409378667013</v>
      </c>
      <c r="W85" s="435">
        <v>2518.2445394041715</v>
      </c>
      <c r="X85" s="435">
        <v>-3010.3372729642579</v>
      </c>
      <c r="Y85" s="435">
        <v>742.65572507526849</v>
      </c>
      <c r="Z85" s="435">
        <v>-2028.1122629357724</v>
      </c>
      <c r="AA85" s="435">
        <v>-344.41689752986713</v>
      </c>
      <c r="AB85" s="435">
        <v>-3437.9558336529117</v>
      </c>
      <c r="AC85" s="435">
        <v>-1121.2903356332481</v>
      </c>
      <c r="AD85" s="435">
        <v>-3829.7204742158392</v>
      </c>
      <c r="AE85" s="435">
        <v>644.54506336715349</v>
      </c>
      <c r="AF85" s="435">
        <v>2672.7984336859881</v>
      </c>
      <c r="AG85" s="435">
        <v>4131.2256035358041</v>
      </c>
      <c r="AH85" s="435">
        <v>3047.5937069309948</v>
      </c>
      <c r="AI85" s="435">
        <v>4785.3043752498306</v>
      </c>
      <c r="AJ85" s="435">
        <v>2361.6863463004374</v>
      </c>
      <c r="AK85" s="435">
        <v>2805.264968562693</v>
      </c>
      <c r="AL85" s="435">
        <v>-1433.5375436949544</v>
      </c>
      <c r="AM85" s="435">
        <v>467.28543720592825</v>
      </c>
      <c r="AN85" s="435">
        <v>-23.603411217427492</v>
      </c>
      <c r="AO85" s="435">
        <v>682.15399624826568</v>
      </c>
      <c r="AP85" s="435">
        <v>-9241.3659632651106</v>
      </c>
      <c r="AQ85" s="435">
        <v>-2635.2504033167788</v>
      </c>
      <c r="AR85" s="435">
        <v>-3499.4815802972989</v>
      </c>
      <c r="AS85" s="435">
        <v>-1022.660874958261</v>
      </c>
      <c r="AT85" s="435">
        <v>-1021.529469832989</v>
      </c>
      <c r="AU85" s="435">
        <v>2467.4285668954835</v>
      </c>
      <c r="AV85" s="435">
        <v>-3111.9161269490651</v>
      </c>
      <c r="AW85" s="435">
        <v>691.01799945540915</v>
      </c>
      <c r="AX85" s="435">
        <v>-2107.4251719321346</v>
      </c>
      <c r="AY85" s="435">
        <v>-393.93585572036682</v>
      </c>
      <c r="BA85" s="360"/>
      <c r="BB85" s="360"/>
    </row>
    <row r="86" spans="2:54">
      <c r="B86" s="271">
        <v>10258</v>
      </c>
      <c r="C86" s="271" t="s">
        <v>89</v>
      </c>
      <c r="D86" s="435">
        <v>-2493.1405358086267</v>
      </c>
      <c r="E86" s="435">
        <v>-1711.1393940842936</v>
      </c>
      <c r="F86" s="435">
        <v>312.33027699647573</v>
      </c>
      <c r="G86" s="435">
        <v>2913.1971608125314</v>
      </c>
      <c r="H86" s="435">
        <v>5780.8429390609126</v>
      </c>
      <c r="I86" s="435">
        <v>5831.9867599752561</v>
      </c>
      <c r="J86" s="435">
        <v>8486.7481763076194</v>
      </c>
      <c r="K86" s="435">
        <v>7675.024184295753</v>
      </c>
      <c r="L86" s="435">
        <v>6053.0775523498742</v>
      </c>
      <c r="M86" s="435">
        <v>5577.9178058831039</v>
      </c>
      <c r="N86" s="435">
        <v>1514.6738434954132</v>
      </c>
      <c r="O86" s="435">
        <v>2614.648389472266</v>
      </c>
      <c r="P86" s="435">
        <v>-410.81884807256574</v>
      </c>
      <c r="Q86" s="435">
        <v>104.73354009786271</v>
      </c>
      <c r="R86" s="435">
        <v>-10290.138371713205</v>
      </c>
      <c r="S86" s="435">
        <v>-4307.6883340428685</v>
      </c>
      <c r="T86" s="435">
        <v>-5126.2792158436387</v>
      </c>
      <c r="U86" s="435">
        <v>-2436.8582455556243</v>
      </c>
      <c r="V86" s="435">
        <v>134.91961022514442</v>
      </c>
      <c r="W86" s="435">
        <v>1125.1808779779312</v>
      </c>
      <c r="X86" s="435">
        <v>-2042.3805533072773</v>
      </c>
      <c r="Y86" s="435">
        <v>212.63499001124001</v>
      </c>
      <c r="Z86" s="435">
        <v>-2108.1235525626289</v>
      </c>
      <c r="AA86" s="435">
        <v>-1000.6422466945096</v>
      </c>
      <c r="AB86" s="435">
        <v>-2717.6089820690431</v>
      </c>
      <c r="AC86" s="435">
        <v>-1839.0211899708283</v>
      </c>
      <c r="AD86" s="435">
        <v>47.644169781618984</v>
      </c>
      <c r="AE86" s="435">
        <v>2753.1348580750036</v>
      </c>
      <c r="AF86" s="435">
        <v>5525.4145077625617</v>
      </c>
      <c r="AG86" s="435">
        <v>5673.7429176184978</v>
      </c>
      <c r="AH86" s="435">
        <v>8265.6013458631005</v>
      </c>
      <c r="AI86" s="435">
        <v>7537.2098264551441</v>
      </c>
      <c r="AJ86" s="435">
        <v>6449.4978935562867</v>
      </c>
      <c r="AK86" s="435">
        <v>5756.1461511750076</v>
      </c>
      <c r="AL86" s="435">
        <v>1280.5276648019208</v>
      </c>
      <c r="AM86" s="435">
        <v>2472.1112077164798</v>
      </c>
      <c r="AN86" s="435">
        <v>-605.50005326736573</v>
      </c>
      <c r="AO86" s="435">
        <v>-14.168100548100483</v>
      </c>
      <c r="AP86" s="435">
        <v>-10608.779853073429</v>
      </c>
      <c r="AQ86" s="435">
        <v>-4484.6479352678034</v>
      </c>
      <c r="AR86" s="435">
        <v>-5383.2634204741153</v>
      </c>
      <c r="AS86" s="435">
        <v>-2582.3159137544972</v>
      </c>
      <c r="AT86" s="435">
        <v>-104.10888730639635</v>
      </c>
      <c r="AU86" s="435">
        <v>997.27672948667896</v>
      </c>
      <c r="AV86" s="435">
        <v>-2298.0552197996476</v>
      </c>
      <c r="AW86" s="435">
        <v>82.662483349015019</v>
      </c>
      <c r="AX86" s="435">
        <v>-2307.7546840500654</v>
      </c>
      <c r="AY86" s="435">
        <v>-1125.2818013236538</v>
      </c>
      <c r="BA86" s="360"/>
      <c r="BB86" s="360"/>
    </row>
    <row r="87" spans="2:54">
      <c r="B87" s="271">
        <v>10259</v>
      </c>
      <c r="C87" s="271" t="s">
        <v>90</v>
      </c>
      <c r="D87" s="435">
        <v>-839.24992469481367</v>
      </c>
      <c r="E87" s="435">
        <v>-366.34897045211983</v>
      </c>
      <c r="F87" s="435">
        <v>-1365.52610727705</v>
      </c>
      <c r="G87" s="435">
        <v>517.59161883590059</v>
      </c>
      <c r="H87" s="435">
        <v>1582.00795347438</v>
      </c>
      <c r="I87" s="435">
        <v>2089.5283513520917</v>
      </c>
      <c r="J87" s="435">
        <v>2949.6745617433353</v>
      </c>
      <c r="K87" s="435">
        <v>2860.8262260575493</v>
      </c>
      <c r="L87" s="435">
        <v>2087.4104616553359</v>
      </c>
      <c r="M87" s="435">
        <v>2026.1137864949478</v>
      </c>
      <c r="N87" s="435">
        <v>-87.288272594882073</v>
      </c>
      <c r="O87" s="435">
        <v>596.50796709344559</v>
      </c>
      <c r="P87" s="435">
        <v>352.62691750119666</v>
      </c>
      <c r="Q87" s="435">
        <v>457.49477615924752</v>
      </c>
      <c r="R87" s="435">
        <v>-6275.4959717372312</v>
      </c>
      <c r="S87" s="435">
        <v>-2341.5492327741658</v>
      </c>
      <c r="T87" s="435">
        <v>-2239.5159156165337</v>
      </c>
      <c r="U87" s="435">
        <v>-759.89036624629443</v>
      </c>
      <c r="V87" s="435">
        <v>131.41265272119381</v>
      </c>
      <c r="W87" s="435">
        <v>1141.6135953542462</v>
      </c>
      <c r="X87" s="435">
        <v>-1162.547173011324</v>
      </c>
      <c r="Y87" s="435">
        <v>311.23823143585287</v>
      </c>
      <c r="Z87" s="435">
        <v>-863.67574841948954</v>
      </c>
      <c r="AA87" s="435">
        <v>-112.37969946699286</v>
      </c>
      <c r="AB87" s="435">
        <v>-894.15369330715839</v>
      </c>
      <c r="AC87" s="435">
        <v>-397.62816647301588</v>
      </c>
      <c r="AD87" s="435">
        <v>-1430.2668983660897</v>
      </c>
      <c r="AE87" s="435">
        <v>478.44124478793674</v>
      </c>
      <c r="AF87" s="435">
        <v>1519.5315398730254</v>
      </c>
      <c r="AG87" s="435">
        <v>2050.8227628837494</v>
      </c>
      <c r="AH87" s="435">
        <v>2895.5832424048785</v>
      </c>
      <c r="AI87" s="435">
        <v>2827.1175790722118</v>
      </c>
      <c r="AJ87" s="435">
        <v>2465.3543489897911</v>
      </c>
      <c r="AK87" s="435">
        <v>2210.1982837008982</v>
      </c>
      <c r="AL87" s="435">
        <v>-144.55916224828979</v>
      </c>
      <c r="AM87" s="435">
        <v>561.64414290723289</v>
      </c>
      <c r="AN87" s="435">
        <v>305.00894704138773</v>
      </c>
      <c r="AO87" s="435">
        <v>428.41207756881613</v>
      </c>
      <c r="AP87" s="435">
        <v>-6353.4339556915565</v>
      </c>
      <c r="AQ87" s="435">
        <v>-2384.8325946954001</v>
      </c>
      <c r="AR87" s="435">
        <v>-2302.3728629653397</v>
      </c>
      <c r="AS87" s="435">
        <v>-795.46852563007269</v>
      </c>
      <c r="AT87" s="435">
        <v>72.947574270910991</v>
      </c>
      <c r="AU87" s="435">
        <v>1110.3289320070608</v>
      </c>
      <c r="AV87" s="435">
        <v>-1225.0838144101344</v>
      </c>
      <c r="AW87" s="435">
        <v>279.44765886036294</v>
      </c>
      <c r="AX87" s="435">
        <v>-912.5044440941183</v>
      </c>
      <c r="AY87" s="435">
        <v>-142.86586080195866</v>
      </c>
      <c r="BA87" s="360"/>
      <c r="BB87" s="360"/>
    </row>
    <row r="88" spans="2:54">
      <c r="B88" s="271">
        <v>10260</v>
      </c>
      <c r="C88" s="271" t="s">
        <v>91</v>
      </c>
      <c r="D88" s="435">
        <v>1534.4629716940217</v>
      </c>
      <c r="E88" s="435">
        <v>769.64820775817225</v>
      </c>
      <c r="F88" s="435">
        <v>-751.13159107495449</v>
      </c>
      <c r="G88" s="435">
        <v>596.40506826359979</v>
      </c>
      <c r="H88" s="435">
        <v>1788.8910389253015</v>
      </c>
      <c r="I88" s="435">
        <v>1908.5715409265849</v>
      </c>
      <c r="J88" s="435">
        <v>4003.4181742933197</v>
      </c>
      <c r="K88" s="435">
        <v>3113.9816619763824</v>
      </c>
      <c r="L88" s="435">
        <v>2913.4265207583358</v>
      </c>
      <c r="M88" s="435">
        <v>2196.2276287397963</v>
      </c>
      <c r="N88" s="435">
        <v>1069.9254003582992</v>
      </c>
      <c r="O88" s="435">
        <v>956.98969019887772</v>
      </c>
      <c r="P88" s="435">
        <v>1631.9369966587838</v>
      </c>
      <c r="Q88" s="435">
        <v>933.71118614239367</v>
      </c>
      <c r="R88" s="435">
        <v>-5060.1927427280643</v>
      </c>
      <c r="S88" s="435">
        <v>-2087.4064700105337</v>
      </c>
      <c r="T88" s="435">
        <v>-1079.1473118074427</v>
      </c>
      <c r="U88" s="435">
        <v>-432.03035490698949</v>
      </c>
      <c r="V88" s="435">
        <v>1801.7030745926277</v>
      </c>
      <c r="W88" s="435">
        <v>1674.851340521479</v>
      </c>
      <c r="X88" s="435">
        <v>632.53779604171905</v>
      </c>
      <c r="Y88" s="435">
        <v>955.18576717553788</v>
      </c>
      <c r="Z88" s="435">
        <v>693.96677805027321</v>
      </c>
      <c r="AA88" s="435">
        <v>574.5172490018449</v>
      </c>
      <c r="AB88" s="435">
        <v>1437.6988712114908</v>
      </c>
      <c r="AC88" s="435">
        <v>714.52078493681438</v>
      </c>
      <c r="AD88" s="435">
        <v>-865.23276432027706</v>
      </c>
      <c r="AE88" s="435">
        <v>527.40523775917973</v>
      </c>
      <c r="AF88" s="435">
        <v>1678.780674622365</v>
      </c>
      <c r="AG88" s="435">
        <v>1840.3556142890102</v>
      </c>
      <c r="AH88" s="435">
        <v>3908.0859595476413</v>
      </c>
      <c r="AI88" s="435">
        <v>3054.572499609958</v>
      </c>
      <c r="AJ88" s="435">
        <v>3240.0821697614047</v>
      </c>
      <c r="AK88" s="435">
        <v>2350.9416663841612</v>
      </c>
      <c r="AL88" s="435">
        <v>968.98941251610631</v>
      </c>
      <c r="AM88" s="435">
        <v>895.54460779334295</v>
      </c>
      <c r="AN88" s="435">
        <v>1548.0136122572421</v>
      </c>
      <c r="AO88" s="435">
        <v>882.45493835041725</v>
      </c>
      <c r="AP88" s="435">
        <v>-5197.5530569901093</v>
      </c>
      <c r="AQ88" s="435">
        <v>-2163.6904062142548</v>
      </c>
      <c r="AR88" s="435">
        <v>-1189.9283405603092</v>
      </c>
      <c r="AS88" s="435">
        <v>-494.73440376569306</v>
      </c>
      <c r="AT88" s="435">
        <v>1698.6624114675433</v>
      </c>
      <c r="AU88" s="435">
        <v>1619.714281915114</v>
      </c>
      <c r="AV88" s="435">
        <v>522.32128440514316</v>
      </c>
      <c r="AW88" s="435">
        <v>899.15707849276805</v>
      </c>
      <c r="AX88" s="435">
        <v>607.90957407123096</v>
      </c>
      <c r="AY88" s="435">
        <v>520.78749504684947</v>
      </c>
      <c r="BA88" s="360"/>
      <c r="BB88" s="360"/>
    </row>
    <row r="89" spans="2:54">
      <c r="B89" s="271">
        <v>10273</v>
      </c>
      <c r="C89" s="271" t="s">
        <v>92</v>
      </c>
      <c r="D89" s="435">
        <v>11.489943497486365</v>
      </c>
      <c r="E89" s="435">
        <v>117.21259771121458</v>
      </c>
      <c r="F89" s="435">
        <v>-1054.3249650971645</v>
      </c>
      <c r="G89" s="435">
        <v>-298.19941193374439</v>
      </c>
      <c r="H89" s="435">
        <v>-651.94045544356641</v>
      </c>
      <c r="I89" s="435">
        <v>-115.64587196669527</v>
      </c>
      <c r="J89" s="435">
        <v>-241.36854852335773</v>
      </c>
      <c r="K89" s="435">
        <v>56.163940012602325</v>
      </c>
      <c r="L89" s="435">
        <v>-597.73761423605788</v>
      </c>
      <c r="M89" s="435">
        <v>-142.11287886971945</v>
      </c>
      <c r="N89" s="435">
        <v>-1109.0597166266166</v>
      </c>
      <c r="O89" s="435">
        <v>-410.03456195034028</v>
      </c>
      <c r="P89" s="435">
        <v>61.970200912670407</v>
      </c>
      <c r="Q89" s="435">
        <v>147.08637434144089</v>
      </c>
      <c r="R89" s="435">
        <v>-386.18361424902878</v>
      </c>
      <c r="S89" s="435">
        <v>126.45246727573021</v>
      </c>
      <c r="T89" s="435">
        <v>970.0805586241172</v>
      </c>
      <c r="U89" s="435">
        <v>1011.0867665154096</v>
      </c>
      <c r="V89" s="435">
        <v>1994.3712305228896</v>
      </c>
      <c r="W89" s="435">
        <v>1822.1766778147983</v>
      </c>
      <c r="X89" s="435">
        <v>1699.7994073697828</v>
      </c>
      <c r="Y89" s="435">
        <v>1452.5157222122305</v>
      </c>
      <c r="Z89" s="435">
        <v>1124.2111937767545</v>
      </c>
      <c r="AA89" s="435">
        <v>1158.9305329634324</v>
      </c>
      <c r="AB89" s="435">
        <v>-0.86205650251395127</v>
      </c>
      <c r="AC89" s="435">
        <v>77.484597711214747</v>
      </c>
      <c r="AD89" s="435">
        <v>-1099.0929650971646</v>
      </c>
      <c r="AE89" s="435">
        <v>-303.90141193374461</v>
      </c>
      <c r="AF89" s="435">
        <v>-681.06045544356675</v>
      </c>
      <c r="AG89" s="435">
        <v>-138.60587196669508</v>
      </c>
      <c r="AH89" s="435">
        <v>-269.36854852335773</v>
      </c>
      <c r="AI89" s="435">
        <v>32.08394001260217</v>
      </c>
      <c r="AJ89" s="435">
        <v>-514.66732799605779</v>
      </c>
      <c r="AK89" s="435">
        <v>-107.29773574971932</v>
      </c>
      <c r="AL89" s="435">
        <v>-1139.2997166266168</v>
      </c>
      <c r="AM89" s="435">
        <v>-431.80456195034049</v>
      </c>
      <c r="AN89" s="435">
        <v>50.738200912670436</v>
      </c>
      <c r="AO89" s="435">
        <v>107.91837434144099</v>
      </c>
      <c r="AP89" s="435">
        <v>-432.07161424902915</v>
      </c>
      <c r="AQ89" s="435">
        <v>120.26046727573021</v>
      </c>
      <c r="AR89" s="435">
        <v>940.96055862411686</v>
      </c>
      <c r="AS89" s="435">
        <v>989.80676651540989</v>
      </c>
      <c r="AT89" s="435">
        <v>1966.3712305228896</v>
      </c>
      <c r="AU89" s="435">
        <v>1798.0966778147983</v>
      </c>
      <c r="AV89" s="435">
        <v>1669.559407369783</v>
      </c>
      <c r="AW89" s="435">
        <v>1430.6757222122308</v>
      </c>
      <c r="AX89" s="435">
        <v>1096.2111937767545</v>
      </c>
      <c r="AY89" s="435">
        <v>1136.5305329634323</v>
      </c>
      <c r="BA89" s="360"/>
      <c r="BB89" s="360"/>
    </row>
    <row r="90" spans="2:54">
      <c r="B90" s="271">
        <v>10278</v>
      </c>
      <c r="C90" s="271" t="s">
        <v>93</v>
      </c>
      <c r="D90" s="435">
        <v>0</v>
      </c>
      <c r="E90" s="435">
        <v>0</v>
      </c>
      <c r="F90" s="435">
        <v>0</v>
      </c>
      <c r="G90" s="435">
        <v>0</v>
      </c>
      <c r="H90" s="435">
        <v>0</v>
      </c>
      <c r="I90" s="435">
        <v>0</v>
      </c>
      <c r="J90" s="435">
        <v>0</v>
      </c>
      <c r="K90" s="435">
        <v>0</v>
      </c>
      <c r="L90" s="435">
        <v>0</v>
      </c>
      <c r="M90" s="435">
        <v>0</v>
      </c>
      <c r="N90" s="435">
        <v>0</v>
      </c>
      <c r="O90" s="435">
        <v>0</v>
      </c>
      <c r="P90" s="435">
        <v>0</v>
      </c>
      <c r="Q90" s="435">
        <v>0</v>
      </c>
      <c r="R90" s="435">
        <v>0</v>
      </c>
      <c r="S90" s="435">
        <v>0</v>
      </c>
      <c r="T90" s="435">
        <v>0</v>
      </c>
      <c r="U90" s="435">
        <v>0</v>
      </c>
      <c r="V90" s="435">
        <v>0</v>
      </c>
      <c r="W90" s="435">
        <v>0</v>
      </c>
      <c r="X90" s="435">
        <v>0</v>
      </c>
      <c r="Y90" s="435">
        <v>0</v>
      </c>
      <c r="Z90" s="435">
        <v>0</v>
      </c>
      <c r="AA90" s="435">
        <v>0</v>
      </c>
      <c r="AB90" s="435">
        <v>0</v>
      </c>
      <c r="AC90" s="435">
        <v>0</v>
      </c>
      <c r="AD90" s="435">
        <v>0</v>
      </c>
      <c r="AE90" s="435">
        <v>0</v>
      </c>
      <c r="AF90" s="435">
        <v>0</v>
      </c>
      <c r="AG90" s="435">
        <v>0</v>
      </c>
      <c r="AH90" s="435">
        <v>0</v>
      </c>
      <c r="AI90" s="435">
        <v>0</v>
      </c>
      <c r="AJ90" s="435">
        <v>0</v>
      </c>
      <c r="AK90" s="435">
        <v>0</v>
      </c>
      <c r="AL90" s="435">
        <v>0</v>
      </c>
      <c r="AM90" s="435">
        <v>0</v>
      </c>
      <c r="AN90" s="435">
        <v>0</v>
      </c>
      <c r="AO90" s="435">
        <v>0</v>
      </c>
      <c r="AP90" s="435">
        <v>0</v>
      </c>
      <c r="AQ90" s="435">
        <v>0</v>
      </c>
      <c r="AR90" s="435">
        <v>0</v>
      </c>
      <c r="AS90" s="435">
        <v>0</v>
      </c>
      <c r="AT90" s="435">
        <v>0</v>
      </c>
      <c r="AU90" s="435">
        <v>0</v>
      </c>
      <c r="AV90" s="435">
        <v>0</v>
      </c>
      <c r="AW90" s="435">
        <v>0</v>
      </c>
      <c r="AX90" s="435">
        <v>0</v>
      </c>
      <c r="AY90" s="435">
        <v>0</v>
      </c>
      <c r="BA90" s="360"/>
      <c r="BB90" s="360"/>
    </row>
    <row r="91" spans="2:54">
      <c r="B91" s="271">
        <v>10279</v>
      </c>
      <c r="C91" s="271" t="s">
        <v>94</v>
      </c>
      <c r="D91" s="435">
        <v>-1702.6055310848133</v>
      </c>
      <c r="E91" s="435">
        <v>2644.3734378172248</v>
      </c>
      <c r="F91" s="435">
        <v>-3745.0376928643454</v>
      </c>
      <c r="G91" s="435">
        <v>892.00912740922649</v>
      </c>
      <c r="H91" s="435">
        <v>1656.2174609841022</v>
      </c>
      <c r="I91" s="435">
        <v>5828.5992623149541</v>
      </c>
      <c r="J91" s="435">
        <v>2864.948412358066</v>
      </c>
      <c r="K91" s="435">
        <v>4296.1025426495689</v>
      </c>
      <c r="L91" s="435">
        <v>635.08383836285429</v>
      </c>
      <c r="M91" s="435">
        <v>2299.7493807825067</v>
      </c>
      <c r="N91" s="435">
        <v>-2878.7336721468964</v>
      </c>
      <c r="O91" s="435">
        <v>-832.29258058527557</v>
      </c>
      <c r="P91" s="435">
        <v>-373.56814364262027</v>
      </c>
      <c r="Q91" s="435">
        <v>2305.3126505866021</v>
      </c>
      <c r="R91" s="435">
        <v>-15213.593012979029</v>
      </c>
      <c r="S91" s="435">
        <v>-5474.0814541882064</v>
      </c>
      <c r="T91" s="435">
        <v>-6923.1037263072503</v>
      </c>
      <c r="U91" s="435">
        <v>-2482.4125743954755</v>
      </c>
      <c r="V91" s="435">
        <v>-2940.8616240464471</v>
      </c>
      <c r="W91" s="435">
        <v>3762.7652681281652</v>
      </c>
      <c r="X91" s="435">
        <v>-2904.3836558455405</v>
      </c>
      <c r="Y91" s="435">
        <v>764.71645356036606</v>
      </c>
      <c r="Z91" s="435">
        <v>-1447.4148201857461</v>
      </c>
      <c r="AA91" s="435">
        <v>2376.6012477091808</v>
      </c>
      <c r="AB91" s="435">
        <v>-4381.7575310848151</v>
      </c>
      <c r="AC91" s="435">
        <v>97.669437817223297</v>
      </c>
      <c r="AD91" s="435">
        <v>-6797.4696928643461</v>
      </c>
      <c r="AE91" s="435">
        <v>-1119.8628725907729</v>
      </c>
      <c r="AF91" s="435">
        <v>-1265.7665390159018</v>
      </c>
      <c r="AG91" s="435">
        <v>3524.7272623149547</v>
      </c>
      <c r="AH91" s="435">
        <v>55.348412358067435</v>
      </c>
      <c r="AI91" s="435">
        <v>1879.8465426495677</v>
      </c>
      <c r="AJ91" s="435">
        <v>-793.1665464611433</v>
      </c>
      <c r="AK91" s="435">
        <v>911.32018837050964</v>
      </c>
      <c r="AL91" s="435">
        <v>-5913.1016721468986</v>
      </c>
      <c r="AM91" s="435">
        <v>-3016.7565805852792</v>
      </c>
      <c r="AN91" s="435">
        <v>-2940.3361436426239</v>
      </c>
      <c r="AO91" s="435">
        <v>-185.1993494133967</v>
      </c>
      <c r="AP91" s="435">
        <v>-18378.409012979031</v>
      </c>
      <c r="AQ91" s="435">
        <v>-7535.1214541882091</v>
      </c>
      <c r="AR91" s="435">
        <v>-9845.0877263072543</v>
      </c>
      <c r="AS91" s="435">
        <v>-4617.708574395474</v>
      </c>
      <c r="AT91" s="435">
        <v>-5750.4616240464456</v>
      </c>
      <c r="AU91" s="435">
        <v>1346.509268128164</v>
      </c>
      <c r="AV91" s="435">
        <v>-5938.7516558455427</v>
      </c>
      <c r="AW91" s="435">
        <v>-1426.7715464396333</v>
      </c>
      <c r="AX91" s="435">
        <v>-4257.0148201857519</v>
      </c>
      <c r="AY91" s="435">
        <v>128.92124770918235</v>
      </c>
      <c r="BA91" s="360"/>
      <c r="BB91" s="360"/>
    </row>
    <row r="92" spans="2:54">
      <c r="B92" s="271">
        <v>10284</v>
      </c>
      <c r="C92" s="271" t="s">
        <v>95</v>
      </c>
      <c r="D92" s="435">
        <v>-310.80897727460069</v>
      </c>
      <c r="E92" s="435">
        <v>263.42880479375162</v>
      </c>
      <c r="F92" s="435">
        <v>302.65783792454022</v>
      </c>
      <c r="G92" s="435">
        <v>699.27527662433022</v>
      </c>
      <c r="H92" s="435">
        <v>900.31195423794998</v>
      </c>
      <c r="I92" s="435">
        <v>1310.2610073364431</v>
      </c>
      <c r="J92" s="435">
        <v>1920.0525163259263</v>
      </c>
      <c r="K92" s="435">
        <v>1638.8176943376861</v>
      </c>
      <c r="L92" s="435">
        <v>1526.3962622107369</v>
      </c>
      <c r="M92" s="435">
        <v>1296.652122855231</v>
      </c>
      <c r="N92" s="435">
        <v>456.50556767309718</v>
      </c>
      <c r="O92" s="435">
        <v>452.09579356291806</v>
      </c>
      <c r="P92" s="435">
        <v>304.04889097940759</v>
      </c>
      <c r="Q92" s="435">
        <v>652.35928022023472</v>
      </c>
      <c r="R92" s="435">
        <v>-2774.5203840939948</v>
      </c>
      <c r="S92" s="435">
        <v>-1084.0660015362751</v>
      </c>
      <c r="T92" s="435">
        <v>-1771.965571324773</v>
      </c>
      <c r="U92" s="435">
        <v>-828.79818662463049</v>
      </c>
      <c r="V92" s="435">
        <v>-1569.2086492787507</v>
      </c>
      <c r="W92" s="435">
        <v>-299.21278026030814</v>
      </c>
      <c r="X92" s="435">
        <v>-1672.6282219300647</v>
      </c>
      <c r="Y92" s="435">
        <v>-599.81393000610274</v>
      </c>
      <c r="Z92" s="435">
        <v>-808.33047230973716</v>
      </c>
      <c r="AA92" s="435">
        <v>-161.66330981313968</v>
      </c>
      <c r="AB92" s="435">
        <v>-335.3791720679701</v>
      </c>
      <c r="AC92" s="435">
        <v>249.43093254130645</v>
      </c>
      <c r="AD92" s="435">
        <v>273.68543970237351</v>
      </c>
      <c r="AE92" s="435">
        <v>681.75494348684424</v>
      </c>
      <c r="AF92" s="435">
        <v>872.35289621745414</v>
      </c>
      <c r="AG92" s="435">
        <v>1292.9397218892846</v>
      </c>
      <c r="AH92" s="435">
        <v>1895.8459038042965</v>
      </c>
      <c r="AI92" s="435">
        <v>1623.7326092227004</v>
      </c>
      <c r="AJ92" s="435">
        <v>1661.4091020104879</v>
      </c>
      <c r="AK92" s="435">
        <v>1361.9713429575181</v>
      </c>
      <c r="AL92" s="435">
        <v>430.87605351881029</v>
      </c>
      <c r="AM92" s="435">
        <v>436.49375069505504</v>
      </c>
      <c r="AN92" s="435">
        <v>282.73919149186895</v>
      </c>
      <c r="AO92" s="435">
        <v>639.34437090628489</v>
      </c>
      <c r="AP92" s="435">
        <v>-2809.3987084050468</v>
      </c>
      <c r="AQ92" s="435">
        <v>-1103.4359038325183</v>
      </c>
      <c r="AR92" s="435">
        <v>-1800.0949234532436</v>
      </c>
      <c r="AS92" s="435">
        <v>-844.71990435991256</v>
      </c>
      <c r="AT92" s="435">
        <v>-1595.3725794139596</v>
      </c>
      <c r="AU92" s="435">
        <v>-313.21309921678312</v>
      </c>
      <c r="AV92" s="435">
        <v>-1700.6142327217967</v>
      </c>
      <c r="AW92" s="435">
        <v>-614.04065032994072</v>
      </c>
      <c r="AX92" s="435">
        <v>-830.18198805363181</v>
      </c>
      <c r="AY92" s="435">
        <v>-175.30628809011341</v>
      </c>
      <c r="BA92" s="360"/>
      <c r="BB92" s="360"/>
    </row>
    <row r="93" spans="2:54">
      <c r="B93" s="271">
        <v>10285</v>
      </c>
      <c r="C93" s="271" t="s">
        <v>96</v>
      </c>
      <c r="D93" s="435">
        <v>0</v>
      </c>
      <c r="E93" s="435">
        <v>0</v>
      </c>
      <c r="F93" s="435">
        <v>0</v>
      </c>
      <c r="G93" s="435">
        <v>0</v>
      </c>
      <c r="H93" s="435">
        <v>0</v>
      </c>
      <c r="I93" s="435">
        <v>0</v>
      </c>
      <c r="J93" s="435">
        <v>0</v>
      </c>
      <c r="K93" s="435">
        <v>0</v>
      </c>
      <c r="L93" s="435">
        <v>0</v>
      </c>
      <c r="M93" s="435">
        <v>0</v>
      </c>
      <c r="N93" s="435">
        <v>0</v>
      </c>
      <c r="O93" s="435">
        <v>0</v>
      </c>
      <c r="P93" s="435">
        <v>0</v>
      </c>
      <c r="Q93" s="435">
        <v>0</v>
      </c>
      <c r="R93" s="435">
        <v>0</v>
      </c>
      <c r="S93" s="435">
        <v>0</v>
      </c>
      <c r="T93" s="435">
        <v>0</v>
      </c>
      <c r="U93" s="435">
        <v>0</v>
      </c>
      <c r="V93" s="435">
        <v>0</v>
      </c>
      <c r="W93" s="435">
        <v>0</v>
      </c>
      <c r="X93" s="435">
        <v>0</v>
      </c>
      <c r="Y93" s="435">
        <v>0</v>
      </c>
      <c r="Z93" s="435">
        <v>0</v>
      </c>
      <c r="AA93" s="435">
        <v>0</v>
      </c>
      <c r="AB93" s="435">
        <v>0</v>
      </c>
      <c r="AC93" s="435">
        <v>0</v>
      </c>
      <c r="AD93" s="435">
        <v>0</v>
      </c>
      <c r="AE93" s="435">
        <v>0</v>
      </c>
      <c r="AF93" s="435">
        <v>0</v>
      </c>
      <c r="AG93" s="435">
        <v>0</v>
      </c>
      <c r="AH93" s="435">
        <v>0</v>
      </c>
      <c r="AI93" s="435">
        <v>0</v>
      </c>
      <c r="AJ93" s="435">
        <v>0</v>
      </c>
      <c r="AK93" s="435">
        <v>0</v>
      </c>
      <c r="AL93" s="435">
        <v>0</v>
      </c>
      <c r="AM93" s="435">
        <v>0</v>
      </c>
      <c r="AN93" s="435">
        <v>0</v>
      </c>
      <c r="AO93" s="435">
        <v>0</v>
      </c>
      <c r="AP93" s="435">
        <v>0</v>
      </c>
      <c r="AQ93" s="435">
        <v>0</v>
      </c>
      <c r="AR93" s="435">
        <v>0</v>
      </c>
      <c r="AS93" s="435">
        <v>0</v>
      </c>
      <c r="AT93" s="435">
        <v>0</v>
      </c>
      <c r="AU93" s="435">
        <v>0</v>
      </c>
      <c r="AV93" s="435">
        <v>0</v>
      </c>
      <c r="AW93" s="435">
        <v>0</v>
      </c>
      <c r="AX93" s="435">
        <v>0</v>
      </c>
      <c r="AY93" s="435">
        <v>0</v>
      </c>
      <c r="BA93" s="360"/>
      <c r="BB93" s="360"/>
    </row>
    <row r="94" spans="2:54">
      <c r="B94" s="271">
        <v>10286</v>
      </c>
      <c r="C94" s="271" t="s">
        <v>97</v>
      </c>
      <c r="D94" s="435">
        <v>-914.54072688901579</v>
      </c>
      <c r="E94" s="435">
        <v>679.07743437042245</v>
      </c>
      <c r="F94" s="435">
        <v>-2295.8144526416881</v>
      </c>
      <c r="G94" s="435">
        <v>811.419486891833</v>
      </c>
      <c r="H94" s="435">
        <v>1715.6973375183534</v>
      </c>
      <c r="I94" s="435">
        <v>3041.2738248779988</v>
      </c>
      <c r="J94" s="435">
        <v>3742.1976534927926</v>
      </c>
      <c r="K94" s="435">
        <v>5267.5889138816592</v>
      </c>
      <c r="L94" s="435">
        <v>2987.4221636762013</v>
      </c>
      <c r="M94" s="435">
        <v>3333.6026635657963</v>
      </c>
      <c r="N94" s="435">
        <v>1787.2743772046451</v>
      </c>
      <c r="O94" s="435">
        <v>2305.0775407017727</v>
      </c>
      <c r="P94" s="435">
        <v>-397.96166941258707</v>
      </c>
      <c r="Q94" s="435">
        <v>623.46340606512967</v>
      </c>
      <c r="R94" s="435">
        <v>-7264.0898954244767</v>
      </c>
      <c r="S94" s="435">
        <v>-2448.7133392540609</v>
      </c>
      <c r="T94" s="435">
        <v>-6191.5713679706823</v>
      </c>
      <c r="U94" s="435">
        <v>-2867.9165138709991</v>
      </c>
      <c r="V94" s="435">
        <v>-1783.2802866480852</v>
      </c>
      <c r="W94" s="435">
        <v>1505.2078269655531</v>
      </c>
      <c r="X94" s="435">
        <v>-3770.7171778561597</v>
      </c>
      <c r="Y94" s="435">
        <v>-583.6265874617975</v>
      </c>
      <c r="Z94" s="435">
        <v>-1260.446330815178</v>
      </c>
      <c r="AA94" s="435">
        <v>363.74062567032524</v>
      </c>
      <c r="AB94" s="435">
        <v>-1087.5102232720201</v>
      </c>
      <c r="AC94" s="435">
        <v>1063.9248104106073</v>
      </c>
      <c r="AD94" s="435">
        <v>-1828.641832734409</v>
      </c>
      <c r="AE94" s="435">
        <v>580.88969361465115</v>
      </c>
      <c r="AF94" s="435">
        <v>1898.7863361663967</v>
      </c>
      <c r="AG94" s="435">
        <v>3185.6324584274171</v>
      </c>
      <c r="AH94" s="435">
        <v>3935.997417737246</v>
      </c>
      <c r="AI94" s="435">
        <v>5434.2567111318886</v>
      </c>
      <c r="AJ94" s="435">
        <v>3418.3392633144549</v>
      </c>
      <c r="AK94" s="435">
        <v>3685.1502298265523</v>
      </c>
      <c r="AL94" s="435">
        <v>1958.4624897926697</v>
      </c>
      <c r="AM94" s="435">
        <v>2428.3171310139842</v>
      </c>
      <c r="AN94" s="435">
        <v>-567.11091090296122</v>
      </c>
      <c r="AO94" s="435">
        <v>987.9805625640729</v>
      </c>
      <c r="AP94" s="435">
        <v>-6971.2983236275022</v>
      </c>
      <c r="AQ94" s="435">
        <v>-2590.1635684387638</v>
      </c>
      <c r="AR94" s="435">
        <v>-6131.1571269602082</v>
      </c>
      <c r="AS94" s="435">
        <v>-2823.7676454402676</v>
      </c>
      <c r="AT94" s="435">
        <v>-1664.9292855827698</v>
      </c>
      <c r="AU94" s="435">
        <v>1606.9896878817235</v>
      </c>
      <c r="AV94" s="435">
        <v>-3673.2551284788724</v>
      </c>
      <c r="AW94" s="435">
        <v>-513.23732957820084</v>
      </c>
      <c r="AX94" s="435">
        <v>-1158.0234019765703</v>
      </c>
      <c r="AY94" s="435">
        <v>445.67896874121197</v>
      </c>
      <c r="BA94" s="360"/>
      <c r="BB94" s="360"/>
    </row>
    <row r="95" spans="2:54">
      <c r="B95" s="271">
        <v>10288</v>
      </c>
      <c r="C95" s="271" t="s">
        <v>98</v>
      </c>
      <c r="D95" s="435">
        <v>0</v>
      </c>
      <c r="E95" s="435">
        <v>0</v>
      </c>
      <c r="F95" s="435">
        <v>0</v>
      </c>
      <c r="G95" s="435">
        <v>0</v>
      </c>
      <c r="H95" s="435">
        <v>0</v>
      </c>
      <c r="I95" s="435">
        <v>0</v>
      </c>
      <c r="J95" s="435">
        <v>0</v>
      </c>
      <c r="K95" s="435">
        <v>0</v>
      </c>
      <c r="L95" s="435">
        <v>0</v>
      </c>
      <c r="M95" s="435">
        <v>0</v>
      </c>
      <c r="N95" s="435">
        <v>0</v>
      </c>
      <c r="O95" s="435">
        <v>0</v>
      </c>
      <c r="P95" s="435">
        <v>0</v>
      </c>
      <c r="Q95" s="435">
        <v>0</v>
      </c>
      <c r="R95" s="435">
        <v>0</v>
      </c>
      <c r="S95" s="435">
        <v>0</v>
      </c>
      <c r="T95" s="435">
        <v>0</v>
      </c>
      <c r="U95" s="435">
        <v>0</v>
      </c>
      <c r="V95" s="435">
        <v>0</v>
      </c>
      <c r="W95" s="435">
        <v>0</v>
      </c>
      <c r="X95" s="435">
        <v>0</v>
      </c>
      <c r="Y95" s="435">
        <v>0</v>
      </c>
      <c r="Z95" s="435">
        <v>0</v>
      </c>
      <c r="AA95" s="435">
        <v>0</v>
      </c>
      <c r="AB95" s="435">
        <v>0</v>
      </c>
      <c r="AC95" s="435">
        <v>0</v>
      </c>
      <c r="AD95" s="435">
        <v>0</v>
      </c>
      <c r="AE95" s="435">
        <v>0</v>
      </c>
      <c r="AF95" s="435">
        <v>0</v>
      </c>
      <c r="AG95" s="435">
        <v>0</v>
      </c>
      <c r="AH95" s="435">
        <v>0</v>
      </c>
      <c r="AI95" s="435">
        <v>0</v>
      </c>
      <c r="AJ95" s="435">
        <v>0</v>
      </c>
      <c r="AK95" s="435">
        <v>0</v>
      </c>
      <c r="AL95" s="435">
        <v>0</v>
      </c>
      <c r="AM95" s="435">
        <v>0</v>
      </c>
      <c r="AN95" s="435">
        <v>0</v>
      </c>
      <c r="AO95" s="435">
        <v>0</v>
      </c>
      <c r="AP95" s="435">
        <v>0</v>
      </c>
      <c r="AQ95" s="435">
        <v>0</v>
      </c>
      <c r="AR95" s="435">
        <v>0</v>
      </c>
      <c r="AS95" s="435">
        <v>0</v>
      </c>
      <c r="AT95" s="435">
        <v>0</v>
      </c>
      <c r="AU95" s="435">
        <v>0</v>
      </c>
      <c r="AV95" s="435">
        <v>0</v>
      </c>
      <c r="AW95" s="435">
        <v>0</v>
      </c>
      <c r="AX95" s="435">
        <v>0</v>
      </c>
      <c r="AY95" s="435">
        <v>0</v>
      </c>
      <c r="BA95" s="360"/>
      <c r="BB95" s="360"/>
    </row>
    <row r="96" spans="2:54">
      <c r="B96" s="271">
        <v>10291</v>
      </c>
      <c r="C96" s="271" t="s">
        <v>99</v>
      </c>
      <c r="D96" s="435">
        <v>-2192.1238120251073</v>
      </c>
      <c r="E96" s="435">
        <v>72.104411740285286</v>
      </c>
      <c r="F96" s="435">
        <v>-5605.0173483351973</v>
      </c>
      <c r="G96" s="435">
        <v>-1966.809459134005</v>
      </c>
      <c r="H96" s="435">
        <v>-945.42169551101688</v>
      </c>
      <c r="I96" s="435">
        <v>2755.9486265195374</v>
      </c>
      <c r="J96" s="435">
        <v>8527.8689475771389</v>
      </c>
      <c r="K96" s="435">
        <v>6562.8757943193559</v>
      </c>
      <c r="L96" s="435">
        <v>5937.9299650875182</v>
      </c>
      <c r="M96" s="435">
        <v>3985.877290459408</v>
      </c>
      <c r="N96" s="435">
        <v>-61.831997085122566</v>
      </c>
      <c r="O96" s="435">
        <v>-1088.8255295534509</v>
      </c>
      <c r="P96" s="435">
        <v>1883.4351971508077</v>
      </c>
      <c r="Q96" s="435">
        <v>2013.6528280318817</v>
      </c>
      <c r="R96" s="435">
        <v>-14298.278768538919</v>
      </c>
      <c r="S96" s="435">
        <v>-5718.9860421789999</v>
      </c>
      <c r="T96" s="435">
        <v>-3631.6798652209181</v>
      </c>
      <c r="U96" s="435">
        <v>-2135.622113014917</v>
      </c>
      <c r="V96" s="435">
        <v>1576.43320188496</v>
      </c>
      <c r="W96" s="435">
        <v>5628.8285561737866</v>
      </c>
      <c r="X96" s="435">
        <v>581.4442370409015</v>
      </c>
      <c r="Y96" s="435">
        <v>1642.0552169928815</v>
      </c>
      <c r="Z96" s="435">
        <v>113.70811373629476</v>
      </c>
      <c r="AA96" s="435">
        <v>1486.2270511279021</v>
      </c>
      <c r="AB96" s="435">
        <v>-2471.4960268978684</v>
      </c>
      <c r="AC96" s="435">
        <v>-87.056580167143693</v>
      </c>
      <c r="AD96" s="435">
        <v>-5934.4442466390901</v>
      </c>
      <c r="AE96" s="435">
        <v>-2166.0221359194911</v>
      </c>
      <c r="AF96" s="435">
        <v>-1263.3265404107224</v>
      </c>
      <c r="AG96" s="435">
        <v>2558.9991956944395</v>
      </c>
      <c r="AH96" s="435">
        <v>8252.6307977941688</v>
      </c>
      <c r="AI96" s="435">
        <v>6391.3527894934086</v>
      </c>
      <c r="AJ96" s="435">
        <v>6940.0321481163919</v>
      </c>
      <c r="AK96" s="435">
        <v>4462.0591102012622</v>
      </c>
      <c r="AL96" s="435">
        <v>-353.24906543201359</v>
      </c>
      <c r="AM96" s="435">
        <v>-1266.226535495447</v>
      </c>
      <c r="AN96" s="435">
        <v>1641.1360214962042</v>
      </c>
      <c r="AO96" s="435">
        <v>1865.6684887954871</v>
      </c>
      <c r="AP96" s="435">
        <v>-14694.858233853469</v>
      </c>
      <c r="AQ96" s="435">
        <v>-5939.2290053251709</v>
      </c>
      <c r="AR96" s="435">
        <v>-3951.5210172001971</v>
      </c>
      <c r="AS96" s="435">
        <v>-2316.6579405975644</v>
      </c>
      <c r="AT96" s="435">
        <v>1278.9396259031346</v>
      </c>
      <c r="AU96" s="435">
        <v>5469.639744335349</v>
      </c>
      <c r="AV96" s="435">
        <v>263.2329291497299</v>
      </c>
      <c r="AW96" s="435">
        <v>1480.2921377551684</v>
      </c>
      <c r="AX96" s="435">
        <v>-134.75171342576505</v>
      </c>
      <c r="AY96" s="435">
        <v>1331.1013351637921</v>
      </c>
      <c r="BA96" s="360"/>
      <c r="BB96" s="360"/>
    </row>
    <row r="97" spans="2:54">
      <c r="B97" s="271">
        <v>10294</v>
      </c>
      <c r="C97" s="271" t="s">
        <v>100</v>
      </c>
      <c r="D97" s="435">
        <v>-733.91742424587574</v>
      </c>
      <c r="E97" s="435">
        <v>430.96096064681888</v>
      </c>
      <c r="F97" s="435">
        <v>-845.40183774366869</v>
      </c>
      <c r="G97" s="435">
        <v>1285.6100417961843</v>
      </c>
      <c r="H97" s="435">
        <v>1012.411484131866</v>
      </c>
      <c r="I97" s="435">
        <v>2009.5843510381192</v>
      </c>
      <c r="J97" s="435">
        <v>1727.8597484676866</v>
      </c>
      <c r="K97" s="435">
        <v>2956.1240028250013</v>
      </c>
      <c r="L97" s="435">
        <v>1121.7514140074763</v>
      </c>
      <c r="M97" s="435">
        <v>1635.670534615927</v>
      </c>
      <c r="N97" s="435">
        <v>322.24588860827953</v>
      </c>
      <c r="O97" s="435">
        <v>962.59008188648886</v>
      </c>
      <c r="P97" s="435">
        <v>366.3335497176613</v>
      </c>
      <c r="Q97" s="435">
        <v>923.60978347954733</v>
      </c>
      <c r="R97" s="435">
        <v>-4129.0352123773737</v>
      </c>
      <c r="S97" s="435">
        <v>-825.99978652433674</v>
      </c>
      <c r="T97" s="435">
        <v>-2621.7746955750226</v>
      </c>
      <c r="U97" s="435">
        <v>-727.40244935922783</v>
      </c>
      <c r="V97" s="435">
        <v>-2436.7891342063349</v>
      </c>
      <c r="W97" s="435">
        <v>84.413568261940327</v>
      </c>
      <c r="X97" s="435">
        <v>-2488.9701884966844</v>
      </c>
      <c r="Y97" s="435">
        <v>-262.59347281074588</v>
      </c>
      <c r="Z97" s="435">
        <v>-1118.3152187134965</v>
      </c>
      <c r="AA97" s="435">
        <v>89.689078001596499</v>
      </c>
      <c r="AB97" s="435">
        <v>-860.57143292267028</v>
      </c>
      <c r="AC97" s="435">
        <v>719.64557962313575</v>
      </c>
      <c r="AD97" s="435">
        <v>-460.20573380154383</v>
      </c>
      <c r="AE97" s="435">
        <v>1121.2673223131524</v>
      </c>
      <c r="AF97" s="435">
        <v>1168.9249154380668</v>
      </c>
      <c r="AG97" s="435">
        <v>2150.3664585815977</v>
      </c>
      <c r="AH97" s="435">
        <v>1890.3524987089741</v>
      </c>
      <c r="AI97" s="435">
        <v>3116.9580802890237</v>
      </c>
      <c r="AJ97" s="435">
        <v>1451.353679900325</v>
      </c>
      <c r="AK97" s="435">
        <v>1904.5440805393159</v>
      </c>
      <c r="AL97" s="435">
        <v>446.51563997701487</v>
      </c>
      <c r="AM97" s="435">
        <v>1062.5336926799168</v>
      </c>
      <c r="AN97" s="435">
        <v>241.38493533174551</v>
      </c>
      <c r="AO97" s="435">
        <v>1242.1966910716073</v>
      </c>
      <c r="AP97" s="435">
        <v>-3905.9676023865504</v>
      </c>
      <c r="AQ97" s="435">
        <v>-964.71922137125239</v>
      </c>
      <c r="AR97" s="435">
        <v>-2579.6998058315412</v>
      </c>
      <c r="AS97" s="435">
        <v>-679.60559368322856</v>
      </c>
      <c r="AT97" s="435">
        <v>-2397.5969995784817</v>
      </c>
      <c r="AU97" s="435">
        <v>149.39284065944867</v>
      </c>
      <c r="AV97" s="435">
        <v>-2443.3235541714876</v>
      </c>
      <c r="AW97" s="435">
        <v>-207.60610385701693</v>
      </c>
      <c r="AX97" s="435">
        <v>-1056.5210136860078</v>
      </c>
      <c r="AY97" s="435">
        <v>153.24535346564016</v>
      </c>
      <c r="BA97" s="360"/>
      <c r="BB97" s="360"/>
    </row>
    <row r="98" spans="2:54">
      <c r="B98" s="271">
        <v>10304</v>
      </c>
      <c r="C98" s="271" t="s">
        <v>101</v>
      </c>
      <c r="D98" s="435">
        <v>-223.17110340119143</v>
      </c>
      <c r="E98" s="435">
        <v>140.41684663495971</v>
      </c>
      <c r="F98" s="435">
        <v>135.32544092445187</v>
      </c>
      <c r="G98" s="435">
        <v>647.12367354293747</v>
      </c>
      <c r="H98" s="435">
        <v>1146.758487418344</v>
      </c>
      <c r="I98" s="435">
        <v>1346.6120478721305</v>
      </c>
      <c r="J98" s="435">
        <v>2080.7768379055187</v>
      </c>
      <c r="K98" s="435">
        <v>1783.2106700731806</v>
      </c>
      <c r="L98" s="435">
        <v>1521.9292799538307</v>
      </c>
      <c r="M98" s="435">
        <v>1322.4511427016664</v>
      </c>
      <c r="N98" s="435">
        <v>409.15017085478212</v>
      </c>
      <c r="O98" s="435">
        <v>387.74275892307423</v>
      </c>
      <c r="P98" s="435">
        <v>679.37105406825958</v>
      </c>
      <c r="Q98" s="435">
        <v>581.76933811971003</v>
      </c>
      <c r="R98" s="435">
        <v>-3521.9547915398934</v>
      </c>
      <c r="S98" s="435">
        <v>-1386.3686199082608</v>
      </c>
      <c r="T98" s="435">
        <v>-2304.638514567212</v>
      </c>
      <c r="U98" s="435">
        <v>-1110.0635690573022</v>
      </c>
      <c r="V98" s="435">
        <v>-1975.3391013061546</v>
      </c>
      <c r="W98" s="435">
        <v>-432.99916977060548</v>
      </c>
      <c r="X98" s="435">
        <v>-2214.8522637897649</v>
      </c>
      <c r="Y98" s="435">
        <v>-677.25861126813606</v>
      </c>
      <c r="Z98" s="435">
        <v>-728.2920214410733</v>
      </c>
      <c r="AA98" s="435">
        <v>-332.98188263961447</v>
      </c>
      <c r="AB98" s="435">
        <v>-249.25797688550847</v>
      </c>
      <c r="AC98" s="435">
        <v>125.55490819409306</v>
      </c>
      <c r="AD98" s="435">
        <v>104.56462305894274</v>
      </c>
      <c r="AE98" s="435">
        <v>628.52183835992855</v>
      </c>
      <c r="AF98" s="435">
        <v>1117.0735616188067</v>
      </c>
      <c r="AG98" s="435">
        <v>1328.2215472739135</v>
      </c>
      <c r="AH98" s="435">
        <v>2055.0759900430485</v>
      </c>
      <c r="AI98" s="435">
        <v>1767.1944068646781</v>
      </c>
      <c r="AJ98" s="435">
        <v>1721.2573449015172</v>
      </c>
      <c r="AK98" s="435">
        <v>1419.792963044737</v>
      </c>
      <c r="AL98" s="435">
        <v>381.93858792553965</v>
      </c>
      <c r="AM98" s="435">
        <v>371.17762698929437</v>
      </c>
      <c r="AN98" s="435">
        <v>656.74594103210802</v>
      </c>
      <c r="AO98" s="435">
        <v>567.95103934193639</v>
      </c>
      <c r="AP98" s="435">
        <v>-3558.9860988331066</v>
      </c>
      <c r="AQ98" s="435">
        <v>-1406.9341951857527</v>
      </c>
      <c r="AR98" s="435">
        <v>-2334.5042464566986</v>
      </c>
      <c r="AS98" s="435">
        <v>-1126.9681088750081</v>
      </c>
      <c r="AT98" s="435">
        <v>-2003.1180888571162</v>
      </c>
      <c r="AU98" s="435">
        <v>-447.86370594661548</v>
      </c>
      <c r="AV98" s="435">
        <v>-2244.5658061118502</v>
      </c>
      <c r="AW98" s="435">
        <v>-692.36352420455614</v>
      </c>
      <c r="AX98" s="435">
        <v>-751.49239618150386</v>
      </c>
      <c r="AY98" s="435">
        <v>-347.46702006948726</v>
      </c>
      <c r="BA98" s="360"/>
      <c r="BB98" s="360"/>
    </row>
    <row r="99" spans="2:54">
      <c r="B99" s="271">
        <v>10306</v>
      </c>
      <c r="C99" s="271" t="s">
        <v>102</v>
      </c>
      <c r="D99" s="435">
        <v>0</v>
      </c>
      <c r="E99" s="435">
        <v>0</v>
      </c>
      <c r="F99" s="435">
        <v>0</v>
      </c>
      <c r="G99" s="435">
        <v>0</v>
      </c>
      <c r="H99" s="435">
        <v>0</v>
      </c>
      <c r="I99" s="435">
        <v>0</v>
      </c>
      <c r="J99" s="435">
        <v>0</v>
      </c>
      <c r="K99" s="435">
        <v>0</v>
      </c>
      <c r="L99" s="435">
        <v>0</v>
      </c>
      <c r="M99" s="435">
        <v>0</v>
      </c>
      <c r="N99" s="435">
        <v>0</v>
      </c>
      <c r="O99" s="435">
        <v>0</v>
      </c>
      <c r="P99" s="435">
        <v>0</v>
      </c>
      <c r="Q99" s="435">
        <v>0</v>
      </c>
      <c r="R99" s="435">
        <v>0</v>
      </c>
      <c r="S99" s="435">
        <v>0</v>
      </c>
      <c r="T99" s="435">
        <v>0</v>
      </c>
      <c r="U99" s="435">
        <v>0</v>
      </c>
      <c r="V99" s="435">
        <v>0</v>
      </c>
      <c r="W99" s="435">
        <v>0</v>
      </c>
      <c r="X99" s="435">
        <v>0</v>
      </c>
      <c r="Y99" s="435">
        <v>0</v>
      </c>
      <c r="Z99" s="435">
        <v>0</v>
      </c>
      <c r="AA99" s="435">
        <v>0</v>
      </c>
      <c r="AB99" s="435">
        <v>0</v>
      </c>
      <c r="AC99" s="435">
        <v>0</v>
      </c>
      <c r="AD99" s="435">
        <v>0</v>
      </c>
      <c r="AE99" s="435">
        <v>0</v>
      </c>
      <c r="AF99" s="435">
        <v>0</v>
      </c>
      <c r="AG99" s="435">
        <v>0</v>
      </c>
      <c r="AH99" s="435">
        <v>0</v>
      </c>
      <c r="AI99" s="435">
        <v>0</v>
      </c>
      <c r="AJ99" s="435">
        <v>0</v>
      </c>
      <c r="AK99" s="435">
        <v>0</v>
      </c>
      <c r="AL99" s="435">
        <v>0</v>
      </c>
      <c r="AM99" s="435">
        <v>0</v>
      </c>
      <c r="AN99" s="435">
        <v>0</v>
      </c>
      <c r="AO99" s="435">
        <v>0</v>
      </c>
      <c r="AP99" s="435">
        <v>0</v>
      </c>
      <c r="AQ99" s="435">
        <v>0</v>
      </c>
      <c r="AR99" s="435">
        <v>0</v>
      </c>
      <c r="AS99" s="435">
        <v>0</v>
      </c>
      <c r="AT99" s="435">
        <v>0</v>
      </c>
      <c r="AU99" s="435">
        <v>0</v>
      </c>
      <c r="AV99" s="435">
        <v>0</v>
      </c>
      <c r="AW99" s="435">
        <v>0</v>
      </c>
      <c r="AX99" s="435">
        <v>0</v>
      </c>
      <c r="AY99" s="435">
        <v>0</v>
      </c>
      <c r="BA99" s="360"/>
      <c r="BB99" s="360"/>
    </row>
    <row r="100" spans="2:54">
      <c r="B100" s="271">
        <v>10307</v>
      </c>
      <c r="C100" s="271" t="s">
        <v>103</v>
      </c>
      <c r="D100" s="435">
        <v>-2598.5981544096649</v>
      </c>
      <c r="E100" s="435">
        <v>-290.46030283443542</v>
      </c>
      <c r="F100" s="435">
        <v>152.52056149658165</v>
      </c>
      <c r="G100" s="435">
        <v>1310.3962385855339</v>
      </c>
      <c r="H100" s="435">
        <v>3431.1764230600384</v>
      </c>
      <c r="I100" s="435">
        <v>4844.9254759759897</v>
      </c>
      <c r="J100" s="435">
        <v>10017.964281383178</v>
      </c>
      <c r="K100" s="435">
        <v>6631.7570427441788</v>
      </c>
      <c r="L100" s="435">
        <v>7784.6163907413938</v>
      </c>
      <c r="M100" s="435">
        <v>4867.6364010766265</v>
      </c>
      <c r="N100" s="435">
        <v>1703.2398904982001</v>
      </c>
      <c r="O100" s="435">
        <v>259.63763022892454</v>
      </c>
      <c r="P100" s="435">
        <v>1680.2499915066437</v>
      </c>
      <c r="Q100" s="435">
        <v>2280.1667065676629</v>
      </c>
      <c r="R100" s="435">
        <v>-18597.574563853825</v>
      </c>
      <c r="S100" s="435">
        <v>-8433.4515851910619</v>
      </c>
      <c r="T100" s="435">
        <v>-11858.561200917287</v>
      </c>
      <c r="U100" s="435">
        <v>-6468.5586347850094</v>
      </c>
      <c r="V100" s="435">
        <v>-10432.739200026794</v>
      </c>
      <c r="W100" s="435">
        <v>-2052.0377540366171</v>
      </c>
      <c r="X100" s="435">
        <v>-10639.646723704147</v>
      </c>
      <c r="Y100" s="435">
        <v>-4048.6673784862724</v>
      </c>
      <c r="Z100" s="435">
        <v>-5054.6872732936354</v>
      </c>
      <c r="AA100" s="435">
        <v>-1858.0052655986619</v>
      </c>
      <c r="AB100" s="435">
        <v>-3015.9101544096629</v>
      </c>
      <c r="AC100" s="435">
        <v>-620.86830283443487</v>
      </c>
      <c r="AD100" s="435">
        <v>-250.24743850341474</v>
      </c>
      <c r="AE100" s="435">
        <v>988.55923858553433</v>
      </c>
      <c r="AF100" s="435">
        <v>3013.0964230600366</v>
      </c>
      <c r="AG100" s="435">
        <v>4515.2854759759903</v>
      </c>
      <c r="AH100" s="435">
        <v>9615.9642813831779</v>
      </c>
      <c r="AI100" s="435">
        <v>6286.0370427441776</v>
      </c>
      <c r="AJ100" s="435">
        <v>8539.9976976213948</v>
      </c>
      <c r="AK100" s="435">
        <v>5148.8470545166292</v>
      </c>
      <c r="AL100" s="435">
        <v>1269.0798904981966</v>
      </c>
      <c r="AM100" s="435">
        <v>-52.917369771075755</v>
      </c>
      <c r="AN100" s="435">
        <v>1279.0179915066437</v>
      </c>
      <c r="AO100" s="435">
        <v>1957.7987065676643</v>
      </c>
      <c r="AP100" s="435">
        <v>-19016.422563853823</v>
      </c>
      <c r="AQ100" s="435">
        <v>-8762.3235851910613</v>
      </c>
      <c r="AR100" s="435">
        <v>-12276.641200917285</v>
      </c>
      <c r="AS100" s="435">
        <v>-6774.078634785008</v>
      </c>
      <c r="AT100" s="435">
        <v>-10834.739200026794</v>
      </c>
      <c r="AU100" s="435">
        <v>-2397.7577540366165</v>
      </c>
      <c r="AV100" s="435">
        <v>-11073.806723704147</v>
      </c>
      <c r="AW100" s="435">
        <v>-4362.2273784862718</v>
      </c>
      <c r="AX100" s="435">
        <v>-5456.6872732936354</v>
      </c>
      <c r="AY100" s="435">
        <v>-2179.6052655986605</v>
      </c>
      <c r="BA100" s="360"/>
      <c r="BB100" s="360"/>
    </row>
    <row r="101" spans="2:54">
      <c r="B101" s="271">
        <v>10326</v>
      </c>
      <c r="C101" s="271" t="s">
        <v>104</v>
      </c>
      <c r="D101" s="435">
        <v>647.64764764542633</v>
      </c>
      <c r="E101" s="435">
        <v>2202.0469783785866</v>
      </c>
      <c r="F101" s="435">
        <v>-2094.6856968497887</v>
      </c>
      <c r="G101" s="435">
        <v>343.79241197684314</v>
      </c>
      <c r="H101" s="435">
        <v>1070.9969638390667</v>
      </c>
      <c r="I101" s="435">
        <v>3288.9054122271828</v>
      </c>
      <c r="J101" s="435">
        <v>1764.1487106469449</v>
      </c>
      <c r="K101" s="435">
        <v>2446.569150882151</v>
      </c>
      <c r="L101" s="435">
        <v>-19.2452400228849</v>
      </c>
      <c r="M101" s="435">
        <v>928.73615907700332</v>
      </c>
      <c r="N101" s="435">
        <v>-646.50484981892441</v>
      </c>
      <c r="O101" s="435">
        <v>194.69041820213806</v>
      </c>
      <c r="P101" s="435">
        <v>47.239923819228352</v>
      </c>
      <c r="Q101" s="435">
        <v>1288.8459925030429</v>
      </c>
      <c r="R101" s="435">
        <v>-6911.5379312138048</v>
      </c>
      <c r="S101" s="435">
        <v>-2139.7422917114072</v>
      </c>
      <c r="T101" s="435">
        <v>-3068.3559746163955</v>
      </c>
      <c r="U101" s="435">
        <v>-824.98839487693476</v>
      </c>
      <c r="V101" s="435">
        <v>-1193.2802225734667</v>
      </c>
      <c r="W101" s="435">
        <v>2078.0154358283053</v>
      </c>
      <c r="X101" s="435">
        <v>-1404.5017759200946</v>
      </c>
      <c r="Y101" s="435">
        <v>993.46059001212234</v>
      </c>
      <c r="Z101" s="435">
        <v>687.84044362384884</v>
      </c>
      <c r="AA101" s="435">
        <v>2311.1994003222326</v>
      </c>
      <c r="AB101" s="435">
        <v>647.95098338361458</v>
      </c>
      <c r="AC101" s="435">
        <v>2202.2197916162704</v>
      </c>
      <c r="AD101" s="435">
        <v>-2094.3280129211216</v>
      </c>
      <c r="AE101" s="435">
        <v>344.00871238594664</v>
      </c>
      <c r="AF101" s="435">
        <v>1071.3421373948731</v>
      </c>
      <c r="AG101" s="435">
        <v>3289.1192552573921</v>
      </c>
      <c r="AH101" s="435">
        <v>1764.4475577151115</v>
      </c>
      <c r="AI101" s="435">
        <v>2446.7553865008531</v>
      </c>
      <c r="AJ101" s="435">
        <v>439.51028185632822</v>
      </c>
      <c r="AK101" s="435">
        <v>1158.140922483246</v>
      </c>
      <c r="AL101" s="435">
        <v>-646.18843606393602</v>
      </c>
      <c r="AM101" s="435">
        <v>194.88303601532061</v>
      </c>
      <c r="AN101" s="435">
        <v>47.50300652894839</v>
      </c>
      <c r="AO101" s="435">
        <v>1289.0066703958064</v>
      </c>
      <c r="AP101" s="435">
        <v>-6911.1073346173744</v>
      </c>
      <c r="AQ101" s="435">
        <v>-2139.5031571151576</v>
      </c>
      <c r="AR101" s="435">
        <v>-3068.0086986641945</v>
      </c>
      <c r="AS101" s="435">
        <v>-824.79183046045091</v>
      </c>
      <c r="AT101" s="435">
        <v>-1192.9572110903191</v>
      </c>
      <c r="AU101" s="435">
        <v>2078.1882792722108</v>
      </c>
      <c r="AV101" s="435">
        <v>-1404.1562696140263</v>
      </c>
      <c r="AW101" s="435">
        <v>993.63622853463767</v>
      </c>
      <c r="AX101" s="435">
        <v>688.11021542315393</v>
      </c>
      <c r="AY101" s="435">
        <v>2311.3678321528114</v>
      </c>
      <c r="BA101" s="360"/>
      <c r="BB101" s="360"/>
    </row>
    <row r="102" spans="2:54">
      <c r="B102" s="271">
        <v>10331</v>
      </c>
      <c r="C102" s="271" t="s">
        <v>105</v>
      </c>
      <c r="D102" s="435">
        <v>0</v>
      </c>
      <c r="E102" s="435">
        <v>0</v>
      </c>
      <c r="F102" s="435">
        <v>0</v>
      </c>
      <c r="G102" s="435">
        <v>0</v>
      </c>
      <c r="H102" s="435">
        <v>0</v>
      </c>
      <c r="I102" s="435">
        <v>0</v>
      </c>
      <c r="J102" s="435">
        <v>0</v>
      </c>
      <c r="K102" s="435">
        <v>0</v>
      </c>
      <c r="L102" s="435">
        <v>0</v>
      </c>
      <c r="M102" s="435">
        <v>0</v>
      </c>
      <c r="N102" s="435">
        <v>0</v>
      </c>
      <c r="O102" s="435">
        <v>0</v>
      </c>
      <c r="P102" s="435">
        <v>0</v>
      </c>
      <c r="Q102" s="435">
        <v>0</v>
      </c>
      <c r="R102" s="435">
        <v>0</v>
      </c>
      <c r="S102" s="435">
        <v>0</v>
      </c>
      <c r="T102" s="435">
        <v>0</v>
      </c>
      <c r="U102" s="435">
        <v>0</v>
      </c>
      <c r="V102" s="435">
        <v>0</v>
      </c>
      <c r="W102" s="435">
        <v>0</v>
      </c>
      <c r="X102" s="435">
        <v>0</v>
      </c>
      <c r="Y102" s="435">
        <v>0</v>
      </c>
      <c r="Z102" s="435">
        <v>0</v>
      </c>
      <c r="AA102" s="435">
        <v>0</v>
      </c>
      <c r="AB102" s="435">
        <v>0</v>
      </c>
      <c r="AC102" s="435">
        <v>0</v>
      </c>
      <c r="AD102" s="435">
        <v>0</v>
      </c>
      <c r="AE102" s="435">
        <v>0</v>
      </c>
      <c r="AF102" s="435">
        <v>0</v>
      </c>
      <c r="AG102" s="435">
        <v>0</v>
      </c>
      <c r="AH102" s="435">
        <v>0</v>
      </c>
      <c r="AI102" s="435">
        <v>0</v>
      </c>
      <c r="AJ102" s="435">
        <v>0</v>
      </c>
      <c r="AK102" s="435">
        <v>0</v>
      </c>
      <c r="AL102" s="435">
        <v>0</v>
      </c>
      <c r="AM102" s="435">
        <v>0</v>
      </c>
      <c r="AN102" s="435">
        <v>0</v>
      </c>
      <c r="AO102" s="435">
        <v>0</v>
      </c>
      <c r="AP102" s="435">
        <v>0</v>
      </c>
      <c r="AQ102" s="435">
        <v>0</v>
      </c>
      <c r="AR102" s="435">
        <v>0</v>
      </c>
      <c r="AS102" s="435">
        <v>0</v>
      </c>
      <c r="AT102" s="435">
        <v>0</v>
      </c>
      <c r="AU102" s="435">
        <v>0</v>
      </c>
      <c r="AV102" s="435">
        <v>0</v>
      </c>
      <c r="AW102" s="435">
        <v>0</v>
      </c>
      <c r="AX102" s="435">
        <v>0</v>
      </c>
      <c r="AY102" s="435">
        <v>0</v>
      </c>
      <c r="BA102" s="360"/>
      <c r="BB102" s="360"/>
    </row>
    <row r="103" spans="2:54">
      <c r="B103" s="271">
        <v>10333</v>
      </c>
      <c r="C103" s="271" t="s">
        <v>106</v>
      </c>
      <c r="D103" s="435">
        <v>-1280.5008061718818</v>
      </c>
      <c r="E103" s="435">
        <v>-644.01955540672134</v>
      </c>
      <c r="F103" s="435">
        <v>-670.3315471973674</v>
      </c>
      <c r="G103" s="435">
        <v>694.28875895438159</v>
      </c>
      <c r="H103" s="435">
        <v>1415.1872922457023</v>
      </c>
      <c r="I103" s="435">
        <v>1820.3842417882997</v>
      </c>
      <c r="J103" s="435">
        <v>2011.8852252421175</v>
      </c>
      <c r="K103" s="435">
        <v>2140.1268309389534</v>
      </c>
      <c r="L103" s="435">
        <v>756.77315506382547</v>
      </c>
      <c r="M103" s="435">
        <v>1055.374815980279</v>
      </c>
      <c r="N103" s="435">
        <v>-727.99413729398202</v>
      </c>
      <c r="O103" s="435">
        <v>97.07631486736409</v>
      </c>
      <c r="P103" s="435">
        <v>102.53445623047628</v>
      </c>
      <c r="Q103" s="435">
        <v>350.56892545977735</v>
      </c>
      <c r="R103" s="435">
        <v>-4045.6586393415155</v>
      </c>
      <c r="S103" s="435">
        <v>-1244.7738245414512</v>
      </c>
      <c r="T103" s="435">
        <v>-1051.219125098778</v>
      </c>
      <c r="U103" s="435">
        <v>-52.573754812699008</v>
      </c>
      <c r="V103" s="435">
        <v>-70.949490122486168</v>
      </c>
      <c r="W103" s="435">
        <v>914.64138021912822</v>
      </c>
      <c r="X103" s="435">
        <v>-952.22906588805108</v>
      </c>
      <c r="Y103" s="435">
        <v>277.76959132879074</v>
      </c>
      <c r="Z103" s="435">
        <v>-1076.8875908143063</v>
      </c>
      <c r="AA103" s="435">
        <v>-279.25971187590949</v>
      </c>
      <c r="AB103" s="435">
        <v>-1280.5008061718818</v>
      </c>
      <c r="AC103" s="435">
        <v>-644.01955540672134</v>
      </c>
      <c r="AD103" s="435">
        <v>-670.3315471973674</v>
      </c>
      <c r="AE103" s="435">
        <v>694.28875895438159</v>
      </c>
      <c r="AF103" s="435">
        <v>1415.1872922457023</v>
      </c>
      <c r="AG103" s="435">
        <v>1820.3842417882997</v>
      </c>
      <c r="AH103" s="435">
        <v>2011.8852252421175</v>
      </c>
      <c r="AI103" s="435">
        <v>2140.1268309389534</v>
      </c>
      <c r="AJ103" s="435">
        <v>1050.1185897438263</v>
      </c>
      <c r="AK103" s="435">
        <v>1202.0475333202794</v>
      </c>
      <c r="AL103" s="435">
        <v>-727.99413729398202</v>
      </c>
      <c r="AM103" s="435">
        <v>97.07631486736409</v>
      </c>
      <c r="AN103" s="435">
        <v>102.53445623047628</v>
      </c>
      <c r="AO103" s="435">
        <v>350.56892545977735</v>
      </c>
      <c r="AP103" s="435">
        <v>-4045.6586393415155</v>
      </c>
      <c r="AQ103" s="435">
        <v>-1244.7738245414512</v>
      </c>
      <c r="AR103" s="435">
        <v>-1051.219125098778</v>
      </c>
      <c r="AS103" s="435">
        <v>-52.573754812699008</v>
      </c>
      <c r="AT103" s="435">
        <v>-70.949490122486168</v>
      </c>
      <c r="AU103" s="435">
        <v>914.64138021912822</v>
      </c>
      <c r="AV103" s="435">
        <v>-952.22906588805108</v>
      </c>
      <c r="AW103" s="435">
        <v>277.76959132879074</v>
      </c>
      <c r="AX103" s="435">
        <v>-1076.8875908143063</v>
      </c>
      <c r="AY103" s="435">
        <v>-279.25971187590949</v>
      </c>
      <c r="BA103" s="360"/>
      <c r="BB103" s="360"/>
    </row>
    <row r="104" spans="2:54">
      <c r="B104" s="271">
        <v>10338</v>
      </c>
      <c r="C104" s="271" t="s">
        <v>107</v>
      </c>
      <c r="D104" s="435">
        <v>-366.72442327031843</v>
      </c>
      <c r="E104" s="435">
        <v>-117.26273157068033</v>
      </c>
      <c r="F104" s="435">
        <v>-410.88273604159008</v>
      </c>
      <c r="G104" s="435">
        <v>-110.53057622843119</v>
      </c>
      <c r="H104" s="435">
        <v>-80.295841740066862</v>
      </c>
      <c r="I104" s="435">
        <v>176.25104636739059</v>
      </c>
      <c r="J104" s="435">
        <v>121.93446268194566</v>
      </c>
      <c r="K104" s="435">
        <v>250.14237868134217</v>
      </c>
      <c r="L104" s="435">
        <v>-15.007253032385847</v>
      </c>
      <c r="M104" s="435">
        <v>122.2800757172979</v>
      </c>
      <c r="N104" s="435">
        <v>-274.41487179040018</v>
      </c>
      <c r="O104" s="435">
        <v>-92.064323549273922</v>
      </c>
      <c r="P104" s="435">
        <v>-61.015235507167404</v>
      </c>
      <c r="Q104" s="435">
        <v>74.956568739161526</v>
      </c>
      <c r="R104" s="435">
        <v>-293.20795039972813</v>
      </c>
      <c r="S104" s="435">
        <v>-11.533781784705525</v>
      </c>
      <c r="T104" s="435">
        <v>214.19169678795333</v>
      </c>
      <c r="U104" s="435">
        <v>180.82030294458502</v>
      </c>
      <c r="V104" s="435">
        <v>340.47837068093509</v>
      </c>
      <c r="W104" s="435">
        <v>456.79265469652069</v>
      </c>
      <c r="X104" s="435">
        <v>160.95578637793164</v>
      </c>
      <c r="Y104" s="435">
        <v>185.74501025442964</v>
      </c>
      <c r="Z104" s="435">
        <v>-105.79333286990379</v>
      </c>
      <c r="AA104" s="435">
        <v>38.764321929135122</v>
      </c>
      <c r="AB104" s="435">
        <v>-366.72442327031843</v>
      </c>
      <c r="AC104" s="435">
        <v>-117.26273157068033</v>
      </c>
      <c r="AD104" s="435">
        <v>-410.88273604159008</v>
      </c>
      <c r="AE104" s="435">
        <v>-110.53057622843119</v>
      </c>
      <c r="AF104" s="435">
        <v>-80.295841740066862</v>
      </c>
      <c r="AG104" s="435">
        <v>176.25104636739059</v>
      </c>
      <c r="AH104" s="435">
        <v>121.93446268194566</v>
      </c>
      <c r="AI104" s="435">
        <v>250.14237868134217</v>
      </c>
      <c r="AJ104" s="435">
        <v>22.578503671614158</v>
      </c>
      <c r="AK104" s="435">
        <v>141.07295406929791</v>
      </c>
      <c r="AL104" s="435">
        <v>-274.41487179040018</v>
      </c>
      <c r="AM104" s="435">
        <v>-92.064323549273922</v>
      </c>
      <c r="AN104" s="435">
        <v>-61.015235507167404</v>
      </c>
      <c r="AO104" s="435">
        <v>74.956568739161526</v>
      </c>
      <c r="AP104" s="435">
        <v>-293.20795039972813</v>
      </c>
      <c r="AQ104" s="435">
        <v>-11.533781784705525</v>
      </c>
      <c r="AR104" s="435">
        <v>214.19169678795333</v>
      </c>
      <c r="AS104" s="435">
        <v>180.82030294458502</v>
      </c>
      <c r="AT104" s="435">
        <v>340.47837068093509</v>
      </c>
      <c r="AU104" s="435">
        <v>456.79265469652069</v>
      </c>
      <c r="AV104" s="435">
        <v>160.95578637793164</v>
      </c>
      <c r="AW104" s="435">
        <v>185.74501025442964</v>
      </c>
      <c r="AX104" s="435">
        <v>-105.79333286990379</v>
      </c>
      <c r="AY104" s="435">
        <v>38.764321929135122</v>
      </c>
      <c r="BA104" s="360"/>
      <c r="BB104" s="360"/>
    </row>
    <row r="105" spans="2:54">
      <c r="B105" s="271">
        <v>10342</v>
      </c>
      <c r="C105" s="271" t="s">
        <v>108</v>
      </c>
      <c r="D105" s="435">
        <v>-345.64177671453945</v>
      </c>
      <c r="E105" s="435">
        <v>-147.82302472950141</v>
      </c>
      <c r="F105" s="435">
        <v>-312.37563019658774</v>
      </c>
      <c r="G105" s="435">
        <v>-155.82185028552885</v>
      </c>
      <c r="H105" s="435">
        <v>2370.2193842636807</v>
      </c>
      <c r="I105" s="435">
        <v>2341.8727563859466</v>
      </c>
      <c r="J105" s="435">
        <v>4713.4220891327932</v>
      </c>
      <c r="K105" s="435">
        <v>2483.836605044733</v>
      </c>
      <c r="L105" s="435">
        <v>3803.4225028359888</v>
      </c>
      <c r="M105" s="435">
        <v>1732.0455083415218</v>
      </c>
      <c r="N105" s="435">
        <v>790.05434591995072</v>
      </c>
      <c r="O105" s="435">
        <v>-659.60440213041875</v>
      </c>
      <c r="P105" s="435">
        <v>1736.3364737105203</v>
      </c>
      <c r="Q105" s="435">
        <v>1016.5317474312178</v>
      </c>
      <c r="R105" s="435">
        <v>-7913.460215472498</v>
      </c>
      <c r="S105" s="435">
        <v>-3924.1657857078244</v>
      </c>
      <c r="T105" s="435">
        <v>-3479.3316071805675</v>
      </c>
      <c r="U105" s="435">
        <v>-2419.0644844618664</v>
      </c>
      <c r="V105" s="435">
        <v>-1187.3273150806344</v>
      </c>
      <c r="W105" s="435">
        <v>870.24866092186676</v>
      </c>
      <c r="X105" s="435">
        <v>-1067.2108072397968</v>
      </c>
      <c r="Y105" s="435">
        <v>-447.5424876072866</v>
      </c>
      <c r="Z105" s="435">
        <v>-2.4488010052227764</v>
      </c>
      <c r="AA105" s="435">
        <v>127.99592872624999</v>
      </c>
      <c r="AB105" s="435">
        <v>-390.23213022843083</v>
      </c>
      <c r="AC105" s="435">
        <v>-173.22657066912143</v>
      </c>
      <c r="AD105" s="435">
        <v>-364.95516771089024</v>
      </c>
      <c r="AE105" s="435">
        <v>-187.61801042392835</v>
      </c>
      <c r="AF105" s="435">
        <v>2319.4788715598188</v>
      </c>
      <c r="AG105" s="435">
        <v>2310.4378309448093</v>
      </c>
      <c r="AH105" s="435">
        <v>4669.491570112059</v>
      </c>
      <c r="AI105" s="435">
        <v>2456.4599690953164</v>
      </c>
      <c r="AJ105" s="435">
        <v>4361.5197476636877</v>
      </c>
      <c r="AK105" s="435">
        <v>2007.1247681597488</v>
      </c>
      <c r="AL105" s="435">
        <v>743.54152393624827</v>
      </c>
      <c r="AM105" s="435">
        <v>-687.91922066839106</v>
      </c>
      <c r="AN105" s="435">
        <v>1697.6633153812836</v>
      </c>
      <c r="AO105" s="435">
        <v>992.91209719479048</v>
      </c>
      <c r="AP105" s="435">
        <v>-7976.7579151481095</v>
      </c>
      <c r="AQ105" s="435">
        <v>-3959.3185713565599</v>
      </c>
      <c r="AR105" s="435">
        <v>-3530.3811721544553</v>
      </c>
      <c r="AS105" s="435">
        <v>-2447.9594536851555</v>
      </c>
      <c r="AT105" s="435">
        <v>-1234.8100031037902</v>
      </c>
      <c r="AU105" s="435">
        <v>844.84067466752458</v>
      </c>
      <c r="AV105" s="435">
        <v>-1118.0002342322005</v>
      </c>
      <c r="AW105" s="435">
        <v>-473.36135041721354</v>
      </c>
      <c r="AX105" s="435">
        <v>-42.105255503400258</v>
      </c>
      <c r="AY105" s="435">
        <v>103.23644963100196</v>
      </c>
      <c r="BA105" s="360"/>
      <c r="BB105" s="360"/>
    </row>
    <row r="106" spans="2:54">
      <c r="B106" s="271">
        <v>10343</v>
      </c>
      <c r="C106" s="271" t="s">
        <v>109</v>
      </c>
      <c r="D106" s="435">
        <v>-1546.8861258698475</v>
      </c>
      <c r="E106" s="435">
        <v>-565.04548451950313</v>
      </c>
      <c r="F106" s="435">
        <v>-1623.3913784900506</v>
      </c>
      <c r="G106" s="435">
        <v>-568.72426628817766</v>
      </c>
      <c r="H106" s="435">
        <v>-208.26417709891575</v>
      </c>
      <c r="I106" s="435">
        <v>110.73463977930487</v>
      </c>
      <c r="J106" s="435">
        <v>863.44390689644479</v>
      </c>
      <c r="K106" s="435">
        <v>1070.3846671703541</v>
      </c>
      <c r="L106" s="435">
        <v>134.34083074663977</v>
      </c>
      <c r="M106" s="435">
        <v>922.82220729485971</v>
      </c>
      <c r="N106" s="435">
        <v>-828.14474618086751</v>
      </c>
      <c r="O106" s="435">
        <v>131.54476646473449</v>
      </c>
      <c r="P106" s="435">
        <v>-5.1418262125589536</v>
      </c>
      <c r="Q106" s="435">
        <v>268.47035243873188</v>
      </c>
      <c r="R106" s="435">
        <v>-2759.9765797122582</v>
      </c>
      <c r="S106" s="435">
        <v>-532.49572250971596</v>
      </c>
      <c r="T106" s="435">
        <v>-607.43185474596339</v>
      </c>
      <c r="U106" s="435">
        <v>-211.08988356709415</v>
      </c>
      <c r="V106" s="435">
        <v>-703.46615035138439</v>
      </c>
      <c r="W106" s="435">
        <v>874.05939307935523</v>
      </c>
      <c r="X106" s="435">
        <v>-1167.9799634416677</v>
      </c>
      <c r="Y106" s="435">
        <v>254.26000107813479</v>
      </c>
      <c r="Z106" s="435">
        <v>-653.08560846673709</v>
      </c>
      <c r="AA106" s="435">
        <v>-540.81137626853206</v>
      </c>
      <c r="AB106" s="435">
        <v>-1544.1561042261405</v>
      </c>
      <c r="AC106" s="435">
        <v>-563.49016538034266</v>
      </c>
      <c r="AD106" s="435">
        <v>-1620.1722231320327</v>
      </c>
      <c r="AE106" s="435">
        <v>-566.77756260623482</v>
      </c>
      <c r="AF106" s="435">
        <v>-205.15761509663935</v>
      </c>
      <c r="AG106" s="435">
        <v>112.65922705121102</v>
      </c>
      <c r="AH106" s="435">
        <v>866.1335305099592</v>
      </c>
      <c r="AI106" s="435">
        <v>1072.0607877386856</v>
      </c>
      <c r="AJ106" s="435">
        <v>332.42343230755705</v>
      </c>
      <c r="AK106" s="435">
        <v>1022.1065302750503</v>
      </c>
      <c r="AL106" s="435">
        <v>-825.29702238594746</v>
      </c>
      <c r="AM106" s="435">
        <v>133.27832678338609</v>
      </c>
      <c r="AN106" s="435">
        <v>-2.7740818250558732</v>
      </c>
      <c r="AO106" s="435">
        <v>269.91645347361509</v>
      </c>
      <c r="AP106" s="435">
        <v>-2756.1012103443645</v>
      </c>
      <c r="AQ106" s="435">
        <v>-530.34351114346737</v>
      </c>
      <c r="AR106" s="435">
        <v>-604.30637117613423</v>
      </c>
      <c r="AS106" s="435">
        <v>-209.32080381872993</v>
      </c>
      <c r="AT106" s="435">
        <v>-700.55904700302835</v>
      </c>
      <c r="AU106" s="435">
        <v>875.61498407451882</v>
      </c>
      <c r="AV106" s="435">
        <v>-1164.8704066870314</v>
      </c>
      <c r="AW106" s="435">
        <v>255.8407477807832</v>
      </c>
      <c r="AX106" s="435">
        <v>-650.65766227297217</v>
      </c>
      <c r="AY106" s="435">
        <v>-539.29548979331275</v>
      </c>
      <c r="BA106" s="360"/>
      <c r="BB106" s="360"/>
    </row>
    <row r="107" spans="2:54">
      <c r="B107" s="271">
        <v>10349</v>
      </c>
      <c r="C107" s="271" t="s">
        <v>110</v>
      </c>
      <c r="D107" s="435">
        <v>-6485.9821878269722</v>
      </c>
      <c r="E107" s="435">
        <v>17093.919495110298</v>
      </c>
      <c r="F107" s="435">
        <v>79904.194882145326</v>
      </c>
      <c r="G107" s="435">
        <v>69403.97182636385</v>
      </c>
      <c r="H107" s="435">
        <v>94375.089521070535</v>
      </c>
      <c r="I107" s="435">
        <v>74767.105668594479</v>
      </c>
      <c r="J107" s="435">
        <v>157593.80973127668</v>
      </c>
      <c r="K107" s="435">
        <v>114526.54614658246</v>
      </c>
      <c r="L107" s="435">
        <v>119336.73586659494</v>
      </c>
      <c r="M107" s="435">
        <v>93161.105770579568</v>
      </c>
      <c r="N107" s="435">
        <v>107278.52075671786</v>
      </c>
      <c r="O107" s="435">
        <v>84863.749538878736</v>
      </c>
      <c r="P107" s="435">
        <v>-28095.671659040585</v>
      </c>
      <c r="Q107" s="435">
        <v>-8017.6441352635011</v>
      </c>
      <c r="R107" s="435">
        <v>-259973.14691298374</v>
      </c>
      <c r="S107" s="435">
        <v>-138411.1285838437</v>
      </c>
      <c r="T107" s="435">
        <v>-252899.5448806583</v>
      </c>
      <c r="U107" s="435">
        <v>-143145.67753217637</v>
      </c>
      <c r="V107" s="435">
        <v>-106580.45899472327</v>
      </c>
      <c r="W107" s="435">
        <v>-40105.312256017583</v>
      </c>
      <c r="X107" s="435">
        <v>-98840.398072364944</v>
      </c>
      <c r="Y107" s="435">
        <v>-26059.697528384815</v>
      </c>
      <c r="Z107" s="435">
        <v>52798.930768018734</v>
      </c>
      <c r="AA107" s="435">
        <v>43512.878130137193</v>
      </c>
      <c r="AB107" s="435">
        <v>-7163.9078029131342</v>
      </c>
      <c r="AC107" s="435">
        <v>16920.66381481188</v>
      </c>
      <c r="AD107" s="435">
        <v>80001.700070080406</v>
      </c>
      <c r="AE107" s="435">
        <v>69678.921213687019</v>
      </c>
      <c r="AF107" s="435">
        <v>94646.055098228419</v>
      </c>
      <c r="AG107" s="435">
        <v>75101.949242307135</v>
      </c>
      <c r="AH107" s="435">
        <v>158605.78163331418</v>
      </c>
      <c r="AI107" s="435">
        <v>115324.34190374785</v>
      </c>
      <c r="AJ107" s="435">
        <v>128249.13048923694</v>
      </c>
      <c r="AK107" s="435">
        <v>97905.972660049389</v>
      </c>
      <c r="AL107" s="435">
        <v>107739.64606242118</v>
      </c>
      <c r="AM107" s="435">
        <v>85344.811173151917</v>
      </c>
      <c r="AN107" s="435">
        <v>-28913.824488372949</v>
      </c>
      <c r="AO107" s="435">
        <v>-8423.6818951028981</v>
      </c>
      <c r="AP107" s="435">
        <v>-263504.35930078034</v>
      </c>
      <c r="AQ107" s="435">
        <v>-140311.08737790791</v>
      </c>
      <c r="AR107" s="435">
        <v>-256190.33180373721</v>
      </c>
      <c r="AS107" s="435">
        <v>-145008.32194278788</v>
      </c>
      <c r="AT107" s="435">
        <v>-108323.42550505965</v>
      </c>
      <c r="AU107" s="435">
        <v>-40864.583194481267</v>
      </c>
      <c r="AV107" s="435">
        <v>-100549.42109269157</v>
      </c>
      <c r="AW107" s="435">
        <v>-26680.718343751359</v>
      </c>
      <c r="AX107" s="435">
        <v>52795.985661782324</v>
      </c>
      <c r="AY107" s="435">
        <v>43619.093079561833</v>
      </c>
      <c r="BA107" s="360"/>
      <c r="BB107" s="360"/>
    </row>
    <row r="108" spans="2:54">
      <c r="B108" s="271">
        <v>10352</v>
      </c>
      <c r="C108" s="271" t="s">
        <v>111</v>
      </c>
      <c r="D108" s="435">
        <v>-277.93496215286086</v>
      </c>
      <c r="E108" s="435">
        <v>-117.41193352588971</v>
      </c>
      <c r="F108" s="435">
        <v>-255.4171610713247</v>
      </c>
      <c r="G108" s="435">
        <v>-10.194909714250571</v>
      </c>
      <c r="H108" s="435">
        <v>1631.837780427617</v>
      </c>
      <c r="I108" s="435">
        <v>1736.5139456447814</v>
      </c>
      <c r="J108" s="435">
        <v>2741.5000177302281</v>
      </c>
      <c r="K108" s="435">
        <v>1794.4029692922704</v>
      </c>
      <c r="L108" s="435">
        <v>1875.5772355730578</v>
      </c>
      <c r="M108" s="435">
        <v>1102.8412950422276</v>
      </c>
      <c r="N108" s="435">
        <v>619.46087382878068</v>
      </c>
      <c r="O108" s="435">
        <v>66.967900259910493</v>
      </c>
      <c r="P108" s="435">
        <v>734.94448377694789</v>
      </c>
      <c r="Q108" s="435">
        <v>520.92376764047458</v>
      </c>
      <c r="R108" s="435">
        <v>-3373.4898432381733</v>
      </c>
      <c r="S108" s="435">
        <v>-1720.779213211822</v>
      </c>
      <c r="T108" s="435">
        <v>-1994.2672953742285</v>
      </c>
      <c r="U108" s="435">
        <v>-1378.4291442483363</v>
      </c>
      <c r="V108" s="435">
        <v>-1624.4808934285857</v>
      </c>
      <c r="W108" s="435">
        <v>-395.00116516603021</v>
      </c>
      <c r="X108" s="435">
        <v>-1514.1403785965549</v>
      </c>
      <c r="Y108" s="435">
        <v>-785.44618138129999</v>
      </c>
      <c r="Z108" s="435">
        <v>-544.49633614562754</v>
      </c>
      <c r="AA108" s="435">
        <v>-351.69120486167003</v>
      </c>
      <c r="AB108" s="435">
        <v>-313.12190778287186</v>
      </c>
      <c r="AC108" s="435">
        <v>-137.45826909729249</v>
      </c>
      <c r="AD108" s="435">
        <v>-296.90849679689745</v>
      </c>
      <c r="AE108" s="435">
        <v>-35.285757170404395</v>
      </c>
      <c r="AF108" s="435">
        <v>1591.797647953822</v>
      </c>
      <c r="AG108" s="435">
        <v>1711.7081541402085</v>
      </c>
      <c r="AH108" s="435">
        <v>2706.8337578227092</v>
      </c>
      <c r="AI108" s="435">
        <v>1772.7996375226612</v>
      </c>
      <c r="AJ108" s="435">
        <v>2091.1400638483556</v>
      </c>
      <c r="AK108" s="435">
        <v>1207.4904230499965</v>
      </c>
      <c r="AL108" s="435">
        <v>582.75687824980105</v>
      </c>
      <c r="AM108" s="435">
        <v>44.624233930625451</v>
      </c>
      <c r="AN108" s="435">
        <v>704.42688944911424</v>
      </c>
      <c r="AO108" s="435">
        <v>502.28513207975584</v>
      </c>
      <c r="AP108" s="435">
        <v>-3423.4390484243695</v>
      </c>
      <c r="AQ108" s="435">
        <v>-1748.5188263768114</v>
      </c>
      <c r="AR108" s="435">
        <v>-2034.5513058298175</v>
      </c>
      <c r="AS108" s="435">
        <v>-1401.2306165605924</v>
      </c>
      <c r="AT108" s="435">
        <v>-1661.950225474071</v>
      </c>
      <c r="AU108" s="435">
        <v>-415.05100465925398</v>
      </c>
      <c r="AV108" s="435">
        <v>-1554.2191101007647</v>
      </c>
      <c r="AW108" s="435">
        <v>-805.82024999321629</v>
      </c>
      <c r="AX108" s="435">
        <v>-575.78986486527992</v>
      </c>
      <c r="AY108" s="435">
        <v>-371.22929720894172</v>
      </c>
      <c r="BA108" s="360"/>
      <c r="BB108" s="360"/>
    </row>
    <row r="109" spans="2:54">
      <c r="B109" s="271">
        <v>10354</v>
      </c>
      <c r="C109" s="271" t="s">
        <v>112</v>
      </c>
      <c r="D109" s="435">
        <v>-7489.9954172952566</v>
      </c>
      <c r="E109" s="435">
        <v>20547.147090191531</v>
      </c>
      <c r="F109" s="435">
        <v>-33247.939169535501</v>
      </c>
      <c r="G109" s="435">
        <v>25584.522813052215</v>
      </c>
      <c r="H109" s="435">
        <v>10777.320052745694</v>
      </c>
      <c r="I109" s="435">
        <v>41215.259494798971</v>
      </c>
      <c r="J109" s="435">
        <v>25232.120283099095</v>
      </c>
      <c r="K109" s="435">
        <v>61408.222732304857</v>
      </c>
      <c r="L109" s="435">
        <v>19038.290027143375</v>
      </c>
      <c r="M109" s="435">
        <v>35846.601779241595</v>
      </c>
      <c r="N109" s="435">
        <v>-700.7457270330051</v>
      </c>
      <c r="O109" s="435">
        <v>19228.839870079697</v>
      </c>
      <c r="P109" s="435">
        <v>6393.8077957542846</v>
      </c>
      <c r="Q109" s="435">
        <v>22388.134398899318</v>
      </c>
      <c r="R109" s="435">
        <v>-105642.07980108398</v>
      </c>
      <c r="S109" s="435">
        <v>-17251.749538350239</v>
      </c>
      <c r="T109" s="435">
        <v>-54665.261106846388</v>
      </c>
      <c r="U109" s="435">
        <v>-7846.4826152931491</v>
      </c>
      <c r="V109" s="435">
        <v>-50790.808240188897</v>
      </c>
      <c r="W109" s="435">
        <v>15202.304239101577</v>
      </c>
      <c r="X109" s="435">
        <v>-52976.675620942755</v>
      </c>
      <c r="Y109" s="435">
        <v>3198.7412788212823</v>
      </c>
      <c r="Z109" s="435">
        <v>-14673.06798202853</v>
      </c>
      <c r="AA109" s="435">
        <v>14848.236566405001</v>
      </c>
      <c r="AB109" s="435">
        <v>-12092.164383840718</v>
      </c>
      <c r="AC109" s="435">
        <v>28798.866655853824</v>
      </c>
      <c r="AD109" s="435">
        <v>-25018.855840666802</v>
      </c>
      <c r="AE109" s="435">
        <v>20788.986889897613</v>
      </c>
      <c r="AF109" s="435">
        <v>13477.120732089534</v>
      </c>
      <c r="AG109" s="435">
        <v>44313.286199732742</v>
      </c>
      <c r="AH109" s="435">
        <v>28225.835623887106</v>
      </c>
      <c r="AI109" s="435">
        <v>65159.275175852381</v>
      </c>
      <c r="AJ109" s="435">
        <v>27040.877359692007</v>
      </c>
      <c r="AK109" s="435">
        <v>42653.348138691974</v>
      </c>
      <c r="AL109" s="435">
        <v>1337.4564355013717</v>
      </c>
      <c r="AM109" s="435">
        <v>21280.800794065726</v>
      </c>
      <c r="AN109" s="435">
        <v>2208.7952044662088</v>
      </c>
      <c r="AO109" s="435">
        <v>30529.423909132791</v>
      </c>
      <c r="AP109" s="435">
        <v>-101526.39585044057</v>
      </c>
      <c r="AQ109" s="435">
        <v>-22064.051301841144</v>
      </c>
      <c r="AR109" s="435">
        <v>-54652.607716613129</v>
      </c>
      <c r="AS109" s="435">
        <v>-6886.1648593503924</v>
      </c>
      <c r="AT109" s="435">
        <v>-50776.771353161719</v>
      </c>
      <c r="AU109" s="435">
        <v>16958.900494473812</v>
      </c>
      <c r="AV109" s="435">
        <v>-52905.893633599975</v>
      </c>
      <c r="AW109" s="435">
        <v>4478.1984007537685</v>
      </c>
      <c r="AX109" s="435">
        <v>-13516.228492121998</v>
      </c>
      <c r="AY109" s="435">
        <v>16561.399134508916</v>
      </c>
      <c r="BA109" s="360"/>
      <c r="BB109" s="360"/>
    </row>
    <row r="110" spans="2:54">
      <c r="B110" s="271">
        <v>10360</v>
      </c>
      <c r="C110" s="271" t="s">
        <v>113</v>
      </c>
      <c r="D110" s="435">
        <v>-1241.8577364542703</v>
      </c>
      <c r="E110" s="435">
        <v>-439.57038910747201</v>
      </c>
      <c r="F110" s="435">
        <v>-1796.3779277190765</v>
      </c>
      <c r="G110" s="435">
        <v>-785.18882454201548</v>
      </c>
      <c r="H110" s="435">
        <v>-1203.3819208717186</v>
      </c>
      <c r="I110" s="435">
        <v>-312.34618882212294</v>
      </c>
      <c r="J110" s="435">
        <v>-676.18792493819728</v>
      </c>
      <c r="K110" s="435">
        <v>-63.262290222914544</v>
      </c>
      <c r="L110" s="435">
        <v>-827.25429260989222</v>
      </c>
      <c r="M110" s="435">
        <v>-239.11630875266383</v>
      </c>
      <c r="N110" s="435">
        <v>-1445.0391516305915</v>
      </c>
      <c r="O110" s="435">
        <v>-717.75168186925839</v>
      </c>
      <c r="P110" s="435">
        <v>-371.26043436987402</v>
      </c>
      <c r="Q110" s="435">
        <v>94.195974707127561</v>
      </c>
      <c r="R110" s="435">
        <v>-466.20914957924833</v>
      </c>
      <c r="S110" s="435">
        <v>351.51081817458999</v>
      </c>
      <c r="T110" s="435">
        <v>2364.1427905133278</v>
      </c>
      <c r="U110" s="435">
        <v>2016.7255526597514</v>
      </c>
      <c r="V110" s="435">
        <v>2248.0028421350212</v>
      </c>
      <c r="W110" s="435">
        <v>2685.256842599204</v>
      </c>
      <c r="X110" s="435">
        <v>1961.4680058631088</v>
      </c>
      <c r="Y110" s="435">
        <v>1819.069653499032</v>
      </c>
      <c r="Z110" s="435">
        <v>172.11712924465292</v>
      </c>
      <c r="AA110" s="435">
        <v>663.76444924678731</v>
      </c>
      <c r="AB110" s="435">
        <v>-1241.8577364542703</v>
      </c>
      <c r="AC110" s="435">
        <v>-439.57038910747201</v>
      </c>
      <c r="AD110" s="435">
        <v>-1796.3779277190765</v>
      </c>
      <c r="AE110" s="435">
        <v>-785.18882454201548</v>
      </c>
      <c r="AF110" s="435">
        <v>-1203.3819208717186</v>
      </c>
      <c r="AG110" s="435">
        <v>-312.34618882212294</v>
      </c>
      <c r="AH110" s="435">
        <v>-676.18792493819728</v>
      </c>
      <c r="AI110" s="435">
        <v>-63.262290222914544</v>
      </c>
      <c r="AJ110" s="435">
        <v>-720.07231756189185</v>
      </c>
      <c r="AK110" s="435">
        <v>-185.52532122866364</v>
      </c>
      <c r="AL110" s="435">
        <v>-1445.0391516305915</v>
      </c>
      <c r="AM110" s="435">
        <v>-717.75168186925839</v>
      </c>
      <c r="AN110" s="435">
        <v>-371.26043436987402</v>
      </c>
      <c r="AO110" s="435">
        <v>94.195974707127561</v>
      </c>
      <c r="AP110" s="435">
        <v>-466.20914957924833</v>
      </c>
      <c r="AQ110" s="435">
        <v>351.51081817458999</v>
      </c>
      <c r="AR110" s="435">
        <v>2364.1427905133278</v>
      </c>
      <c r="AS110" s="435">
        <v>2016.7255526597514</v>
      </c>
      <c r="AT110" s="435">
        <v>2248.0028421350212</v>
      </c>
      <c r="AU110" s="435">
        <v>2685.256842599204</v>
      </c>
      <c r="AV110" s="435">
        <v>1961.4680058631088</v>
      </c>
      <c r="AW110" s="435">
        <v>1819.069653499032</v>
      </c>
      <c r="AX110" s="435">
        <v>172.11712924465292</v>
      </c>
      <c r="AY110" s="435">
        <v>663.76444924678731</v>
      </c>
      <c r="BA110" s="360"/>
      <c r="BB110" s="360"/>
    </row>
    <row r="111" spans="2:54">
      <c r="B111" s="271">
        <v>10363</v>
      </c>
      <c r="C111" s="271" t="s">
        <v>114</v>
      </c>
      <c r="D111" s="435">
        <v>-792.34024499280349</v>
      </c>
      <c r="E111" s="435">
        <v>881.06541852783266</v>
      </c>
      <c r="F111" s="435">
        <v>619.7313569290709</v>
      </c>
      <c r="G111" s="435">
        <v>2247.3172418711838</v>
      </c>
      <c r="H111" s="435">
        <v>6973.3062889368957</v>
      </c>
      <c r="I111" s="435">
        <v>8276.6203991894472</v>
      </c>
      <c r="J111" s="435">
        <v>13446.635755384224</v>
      </c>
      <c r="K111" s="435">
        <v>9119.796468391698</v>
      </c>
      <c r="L111" s="435">
        <v>11212.443019323749</v>
      </c>
      <c r="M111" s="435">
        <v>7222.1066917523895</v>
      </c>
      <c r="N111" s="435">
        <v>4313.9142215447719</v>
      </c>
      <c r="O111" s="435">
        <v>1213.5217334996487</v>
      </c>
      <c r="P111" s="435">
        <v>5807.8952378248869</v>
      </c>
      <c r="Q111" s="435">
        <v>4546.6630745288312</v>
      </c>
      <c r="R111" s="435">
        <v>-18317.452852462207</v>
      </c>
      <c r="S111" s="435">
        <v>-8336.4648265723117</v>
      </c>
      <c r="T111" s="435">
        <v>-8773.3139503630664</v>
      </c>
      <c r="U111" s="435">
        <v>-5594.9618665065791</v>
      </c>
      <c r="V111" s="435">
        <v>-4184.5225147893871</v>
      </c>
      <c r="W111" s="435">
        <v>1721.6203412155301</v>
      </c>
      <c r="X111" s="435">
        <v>-4011.9045205735165</v>
      </c>
      <c r="Y111" s="435">
        <v>-1113.6403757560656</v>
      </c>
      <c r="Z111" s="435">
        <v>-1174.3347872898885</v>
      </c>
      <c r="AA111" s="435">
        <v>3.5652662907268677</v>
      </c>
      <c r="AB111" s="435">
        <v>-872.72421561308875</v>
      </c>
      <c r="AC111" s="435">
        <v>835.26991054143582</v>
      </c>
      <c r="AD111" s="435">
        <v>524.94511583185522</v>
      </c>
      <c r="AE111" s="435">
        <v>2189.9976334584208</v>
      </c>
      <c r="AF111" s="435">
        <v>6881.8352966476232</v>
      </c>
      <c r="AG111" s="435">
        <v>8219.9519961833103</v>
      </c>
      <c r="AH111" s="435">
        <v>13367.441282319625</v>
      </c>
      <c r="AI111" s="435">
        <v>9070.4440294352607</v>
      </c>
      <c r="AJ111" s="435">
        <v>12602.747890828316</v>
      </c>
      <c r="AK111" s="435">
        <v>7910.1034738458984</v>
      </c>
      <c r="AL111" s="435">
        <v>4230.0645764721048</v>
      </c>
      <c r="AM111" s="435">
        <v>1162.4780130060208</v>
      </c>
      <c r="AN111" s="435">
        <v>5738.1783197483746</v>
      </c>
      <c r="AO111" s="435">
        <v>4504.0834329461541</v>
      </c>
      <c r="AP111" s="435">
        <v>-18431.560950516883</v>
      </c>
      <c r="AQ111" s="435">
        <v>-8399.8354945785395</v>
      </c>
      <c r="AR111" s="435">
        <v>-8865.3420776969579</v>
      </c>
      <c r="AS111" s="435">
        <v>-5647.0514368750955</v>
      </c>
      <c r="AT111" s="435">
        <v>-4270.1205578243389</v>
      </c>
      <c r="AU111" s="435">
        <v>1675.8168285801476</v>
      </c>
      <c r="AV111" s="435">
        <v>-4103.463691682271</v>
      </c>
      <c r="AW111" s="435">
        <v>-1160.184584222945</v>
      </c>
      <c r="AX111" s="435">
        <v>-1245.8243141063358</v>
      </c>
      <c r="AY111" s="435">
        <v>-41.06916881295183</v>
      </c>
      <c r="BA111" s="360"/>
      <c r="BB111" s="360"/>
    </row>
    <row r="112" spans="2:54">
      <c r="B112" s="271">
        <v>10369</v>
      </c>
      <c r="C112" s="271" t="s">
        <v>115</v>
      </c>
      <c r="D112" s="435">
        <v>-1774.1256964746062</v>
      </c>
      <c r="E112" s="435">
        <v>-450.98458477317399</v>
      </c>
      <c r="F112" s="435">
        <v>-3727.4007879676637</v>
      </c>
      <c r="G112" s="435">
        <v>-1729.9464748663695</v>
      </c>
      <c r="H112" s="435">
        <v>-2566.7295525267391</v>
      </c>
      <c r="I112" s="435">
        <v>-765.69457970607436</v>
      </c>
      <c r="J112" s="435">
        <v>-1243.2770987770928</v>
      </c>
      <c r="K112" s="435">
        <v>-225.26892917363739</v>
      </c>
      <c r="L112" s="435">
        <v>-1740.9346409720747</v>
      </c>
      <c r="M112" s="435">
        <v>-645.49744779648609</v>
      </c>
      <c r="N112" s="435">
        <v>-2605.3865655962154</v>
      </c>
      <c r="O112" s="435">
        <v>-1366.4545533297219</v>
      </c>
      <c r="P112" s="435">
        <v>-218.67655717776324</v>
      </c>
      <c r="Q112" s="435">
        <v>430.29100356688014</v>
      </c>
      <c r="R112" s="435">
        <v>-466.31917338219318</v>
      </c>
      <c r="S112" s="435">
        <v>1222.7747508520279</v>
      </c>
      <c r="T112" s="435">
        <v>3804.9609469705692</v>
      </c>
      <c r="U112" s="435">
        <v>3208.5461142082604</v>
      </c>
      <c r="V112" s="435">
        <v>5370.4350502290299</v>
      </c>
      <c r="W112" s="435">
        <v>6128.4848391115993</v>
      </c>
      <c r="X112" s="435">
        <v>5444.7219514009794</v>
      </c>
      <c r="Y112" s="435">
        <v>4788.5128185174171</v>
      </c>
      <c r="Z112" s="435">
        <v>2259.7971280419224</v>
      </c>
      <c r="AA112" s="435">
        <v>2836.0978037689561</v>
      </c>
      <c r="AB112" s="435">
        <v>-1817.1993712975509</v>
      </c>
      <c r="AC112" s="435">
        <v>-475.52406452437435</v>
      </c>
      <c r="AD112" s="435">
        <v>-3778.1919058386238</v>
      </c>
      <c r="AE112" s="435">
        <v>-1760.661132959247</v>
      </c>
      <c r="AF112" s="435">
        <v>-2615.7441974515586</v>
      </c>
      <c r="AG112" s="435">
        <v>-796.06028999615501</v>
      </c>
      <c r="AH112" s="435">
        <v>-1285.7133824569873</v>
      </c>
      <c r="AI112" s="435">
        <v>-251.7143870295381</v>
      </c>
      <c r="AJ112" s="435">
        <v>-1519.5041092283145</v>
      </c>
      <c r="AK112" s="435">
        <v>-538.61653218704487</v>
      </c>
      <c r="AL112" s="435">
        <v>-2650.3173188049668</v>
      </c>
      <c r="AM112" s="435">
        <v>-1393.8062828017787</v>
      </c>
      <c r="AN112" s="435">
        <v>-256.034301958387</v>
      </c>
      <c r="AO112" s="435">
        <v>407.4747427942757</v>
      </c>
      <c r="AP112" s="435">
        <v>-527.46389007564358</v>
      </c>
      <c r="AQ112" s="435">
        <v>1188.8176381845396</v>
      </c>
      <c r="AR112" s="435">
        <v>3755.6477617576929</v>
      </c>
      <c r="AS112" s="435">
        <v>3180.6339670673951</v>
      </c>
      <c r="AT112" s="435">
        <v>5324.567419621625</v>
      </c>
      <c r="AU112" s="435">
        <v>6103.9410700767912</v>
      </c>
      <c r="AV112" s="435">
        <v>5395.660055938929</v>
      </c>
      <c r="AW112" s="435">
        <v>4763.5721483200705</v>
      </c>
      <c r="AX112" s="435">
        <v>2221.4895325402786</v>
      </c>
      <c r="AY112" s="435">
        <v>2812.1804838266066</v>
      </c>
      <c r="BA112" s="360"/>
      <c r="BB112" s="360"/>
    </row>
    <row r="113" spans="2:54">
      <c r="B113" s="271">
        <v>10370</v>
      </c>
      <c r="C113" s="271" t="s">
        <v>116</v>
      </c>
      <c r="D113" s="435">
        <v>-15165.046664504021</v>
      </c>
      <c r="E113" s="435">
        <v>124.90067013688531</v>
      </c>
      <c r="F113" s="435">
        <v>-17430.795647787396</v>
      </c>
      <c r="G113" s="435">
        <v>8073.7651150273305</v>
      </c>
      <c r="H113" s="435">
        <v>6054.9492949243286</v>
      </c>
      <c r="I113" s="435">
        <v>18736.97775674177</v>
      </c>
      <c r="J113" s="435">
        <v>9040.8487112204893</v>
      </c>
      <c r="K113" s="435">
        <v>24721.478881197778</v>
      </c>
      <c r="L113" s="435">
        <v>7979.4531562800403</v>
      </c>
      <c r="M113" s="435">
        <v>15190.521734727379</v>
      </c>
      <c r="N113" s="435">
        <v>9707.1208425091463</v>
      </c>
      <c r="O113" s="435">
        <v>15409.769032343895</v>
      </c>
      <c r="P113" s="435">
        <v>8485.627283547612</v>
      </c>
      <c r="Q113" s="435">
        <v>13761.540022368928</v>
      </c>
      <c r="R113" s="435">
        <v>-43634.043023495709</v>
      </c>
      <c r="S113" s="435">
        <v>-6114.9842940736125</v>
      </c>
      <c r="T113" s="435">
        <v>-25970.190624418508</v>
      </c>
      <c r="U113" s="435">
        <v>-5278.4563050943834</v>
      </c>
      <c r="V113" s="435">
        <v>-20220.650674612232</v>
      </c>
      <c r="W113" s="435">
        <v>7739.3486277648626</v>
      </c>
      <c r="X113" s="435">
        <v>-24417.548134295568</v>
      </c>
      <c r="Y113" s="435">
        <v>58.755163465692021</v>
      </c>
      <c r="Z113" s="435">
        <v>-6377.0493041596637</v>
      </c>
      <c r="AA113" s="435">
        <v>6244.7024427975703</v>
      </c>
      <c r="AB113" s="435">
        <v>-17707.090759032981</v>
      </c>
      <c r="AC113" s="435">
        <v>3118.8987960232043</v>
      </c>
      <c r="AD113" s="435">
        <v>-14548.277698638412</v>
      </c>
      <c r="AE113" s="435">
        <v>6534.1504885000686</v>
      </c>
      <c r="AF113" s="435">
        <v>7925.1815896057233</v>
      </c>
      <c r="AG113" s="435">
        <v>21258.827921808901</v>
      </c>
      <c r="AH113" s="435">
        <v>11005.611720118468</v>
      </c>
      <c r="AI113" s="435">
        <v>27682.184860174631</v>
      </c>
      <c r="AJ113" s="435">
        <v>12170.130313476955</v>
      </c>
      <c r="AK113" s="435">
        <v>19096.308978000125</v>
      </c>
      <c r="AL113" s="435">
        <v>11799.641224057777</v>
      </c>
      <c r="AM113" s="435">
        <v>17547.822223790026</v>
      </c>
      <c r="AN113" s="435">
        <v>7263.8565495065995</v>
      </c>
      <c r="AO113" s="435">
        <v>18626.885957690582</v>
      </c>
      <c r="AP113" s="435">
        <v>-43362.052381170026</v>
      </c>
      <c r="AQ113" s="435">
        <v>-8352.3741144587839</v>
      </c>
      <c r="AR113" s="435">
        <v>-27005.120545234757</v>
      </c>
      <c r="AS113" s="435">
        <v>-5007.2420764682756</v>
      </c>
      <c r="AT113" s="435">
        <v>-20825.319745684872</v>
      </c>
      <c r="AU113" s="435">
        <v>9104.0661917922553</v>
      </c>
      <c r="AV113" s="435">
        <v>-25318.004920389925</v>
      </c>
      <c r="AW113" s="435">
        <v>735.48418982471776</v>
      </c>
      <c r="AX113" s="435">
        <v>-5925.9319366948621</v>
      </c>
      <c r="AY113" s="435">
        <v>7456.5944863930126</v>
      </c>
      <c r="BA113" s="360"/>
      <c r="BB113" s="360"/>
    </row>
    <row r="114" spans="2:54">
      <c r="B114" s="271">
        <v>10371</v>
      </c>
      <c r="C114" s="271" t="s">
        <v>117</v>
      </c>
      <c r="D114" s="435">
        <v>-203.7416239786362</v>
      </c>
      <c r="E114" s="435">
        <v>-62.513103574106026</v>
      </c>
      <c r="F114" s="435">
        <v>-382.49606402219797</v>
      </c>
      <c r="G114" s="435">
        <v>27.517099555943787</v>
      </c>
      <c r="H114" s="435">
        <v>381.87371937474836</v>
      </c>
      <c r="I114" s="435">
        <v>346.62879233585818</v>
      </c>
      <c r="J114" s="435">
        <v>932.20561850744434</v>
      </c>
      <c r="K114" s="435">
        <v>828.40374538335254</v>
      </c>
      <c r="L114" s="435">
        <v>783.5091499132941</v>
      </c>
      <c r="M114" s="435">
        <v>604.69298442245145</v>
      </c>
      <c r="N114" s="435">
        <v>115.3158031626599</v>
      </c>
      <c r="O114" s="435">
        <v>58.972312744235751</v>
      </c>
      <c r="P114" s="435">
        <v>410.03100638833712</v>
      </c>
      <c r="Q114" s="435">
        <v>246.1573676944663</v>
      </c>
      <c r="R114" s="435">
        <v>-2671.3067511901736</v>
      </c>
      <c r="S114" s="435">
        <v>-1022.7357583298799</v>
      </c>
      <c r="T114" s="435">
        <v>-1454.1872722213056</v>
      </c>
      <c r="U114" s="435">
        <v>-671.50429590724343</v>
      </c>
      <c r="V114" s="435">
        <v>-1056.4046538932125</v>
      </c>
      <c r="W114" s="435">
        <v>-136.61167992655646</v>
      </c>
      <c r="X114" s="435">
        <v>-1263.4291584771881</v>
      </c>
      <c r="Y114" s="435">
        <v>-298.80468477094155</v>
      </c>
      <c r="Z114" s="435">
        <v>-240.09580016338987</v>
      </c>
      <c r="AA114" s="435">
        <v>-58.410989422913644</v>
      </c>
      <c r="AB114" s="435">
        <v>-287.1816239786358</v>
      </c>
      <c r="AC114" s="435">
        <v>-156.14510357410609</v>
      </c>
      <c r="AD114" s="435">
        <v>-493.264064022198</v>
      </c>
      <c r="AE114" s="435">
        <v>-33.312900444056595</v>
      </c>
      <c r="AF114" s="435">
        <v>282.86571937474855</v>
      </c>
      <c r="AG114" s="435">
        <v>268.56479233585787</v>
      </c>
      <c r="AH114" s="435">
        <v>837.00561850744452</v>
      </c>
      <c r="AI114" s="435">
        <v>746.5317453833527</v>
      </c>
      <c r="AJ114" s="435">
        <v>882.48573363329433</v>
      </c>
      <c r="AK114" s="435">
        <v>631.33327628245161</v>
      </c>
      <c r="AL114" s="435">
        <v>12.4998031626601</v>
      </c>
      <c r="AM114" s="435">
        <v>-15.045687255764278</v>
      </c>
      <c r="AN114" s="435">
        <v>330.39900638833751</v>
      </c>
      <c r="AO114" s="435">
        <v>154.42936769446624</v>
      </c>
      <c r="AP114" s="435">
        <v>-2785.8827511901736</v>
      </c>
      <c r="AQ114" s="435">
        <v>-1085.23175832988</v>
      </c>
      <c r="AR114" s="435">
        <v>-1553.1952722213055</v>
      </c>
      <c r="AS114" s="435">
        <v>-743.85629590724329</v>
      </c>
      <c r="AT114" s="435">
        <v>-1151.6046538932128</v>
      </c>
      <c r="AU114" s="435">
        <v>-218.48367992655631</v>
      </c>
      <c r="AV114" s="435">
        <v>-1366.2451584771879</v>
      </c>
      <c r="AW114" s="435">
        <v>-373.06068477094141</v>
      </c>
      <c r="AX114" s="435">
        <v>-335.29580016339014</v>
      </c>
      <c r="AY114" s="435">
        <v>-134.5709894229135</v>
      </c>
      <c r="BA114" s="360"/>
      <c r="BB114" s="360"/>
    </row>
    <row r="115" spans="2:54">
      <c r="B115" s="271">
        <v>10376</v>
      </c>
      <c r="C115" s="271" t="s">
        <v>118</v>
      </c>
      <c r="D115" s="435">
        <v>-835.12149839735139</v>
      </c>
      <c r="E115" s="435">
        <v>816.32176377485303</v>
      </c>
      <c r="F115" s="435">
        <v>-967.80476299693692</v>
      </c>
      <c r="G115" s="435">
        <v>1000.0295766847012</v>
      </c>
      <c r="H115" s="435">
        <v>2116.3032243543967</v>
      </c>
      <c r="I115" s="435">
        <v>4046.9524247365844</v>
      </c>
      <c r="J115" s="435">
        <v>7462.2293603594044</v>
      </c>
      <c r="K115" s="435">
        <v>5873.1179837805194</v>
      </c>
      <c r="L115" s="435">
        <v>4587.1291862794351</v>
      </c>
      <c r="M115" s="435">
        <v>3178.1514103442169</v>
      </c>
      <c r="N115" s="435">
        <v>3387.4715443359019</v>
      </c>
      <c r="O115" s="435">
        <v>1500.3256910188611</v>
      </c>
      <c r="P115" s="435">
        <v>2506.3065498637661</v>
      </c>
      <c r="Q115" s="435">
        <v>2394.4111822139421</v>
      </c>
      <c r="R115" s="435">
        <v>-13071.838348494963</v>
      </c>
      <c r="S115" s="435">
        <v>-5703.3156321393762</v>
      </c>
      <c r="T115" s="435">
        <v>-6864.0140429587227</v>
      </c>
      <c r="U115" s="435">
        <v>-3737.9525468157699</v>
      </c>
      <c r="V115" s="435">
        <v>-5954.6786684786821</v>
      </c>
      <c r="W115" s="435">
        <v>-275.73205902928385</v>
      </c>
      <c r="X115" s="435">
        <v>-5533.4906589828897</v>
      </c>
      <c r="Y115" s="435">
        <v>-1719.2334265195987</v>
      </c>
      <c r="Z115" s="435">
        <v>-1468.3294534119304</v>
      </c>
      <c r="AA115" s="435">
        <v>523.61923103377194</v>
      </c>
      <c r="AB115" s="435">
        <v>-903.3720394900447</v>
      </c>
      <c r="AC115" s="435">
        <v>777.4387852958389</v>
      </c>
      <c r="AD115" s="435">
        <v>-1048.2836469474023</v>
      </c>
      <c r="AE115" s="435">
        <v>951.36198463612891</v>
      </c>
      <c r="AF115" s="435">
        <v>2038.6391742974665</v>
      </c>
      <c r="AG115" s="435">
        <v>3998.837742938922</v>
      </c>
      <c r="AH115" s="435">
        <v>7394.988770021544</v>
      </c>
      <c r="AI115" s="435">
        <v>5831.2149695722255</v>
      </c>
      <c r="AJ115" s="435">
        <v>5405.2822527125209</v>
      </c>
      <c r="AK115" s="435">
        <v>3581.1523885674596</v>
      </c>
      <c r="AL115" s="435">
        <v>3316.2784494628831</v>
      </c>
      <c r="AM115" s="435">
        <v>1456.9866830525752</v>
      </c>
      <c r="AN115" s="435">
        <v>2447.1129401761573</v>
      </c>
      <c r="AO115" s="435">
        <v>2358.258656341859</v>
      </c>
      <c r="AP115" s="435">
        <v>-13168.722582692328</v>
      </c>
      <c r="AQ115" s="435">
        <v>-5757.1209162956075</v>
      </c>
      <c r="AR115" s="435">
        <v>-6942.1511322044753</v>
      </c>
      <c r="AS115" s="435">
        <v>-3782.1795405248849</v>
      </c>
      <c r="AT115" s="435">
        <v>-6027.3562521875974</v>
      </c>
      <c r="AU115" s="435">
        <v>-314.62183390838072</v>
      </c>
      <c r="AV115" s="435">
        <v>-5611.2295778488151</v>
      </c>
      <c r="AW115" s="435">
        <v>-1758.7520940858158</v>
      </c>
      <c r="AX115" s="435">
        <v>-1529.0281082560832</v>
      </c>
      <c r="AY115" s="435">
        <v>485.72206915328934</v>
      </c>
      <c r="BA115" s="360"/>
      <c r="BB115" s="360"/>
    </row>
    <row r="116" spans="2:54">
      <c r="B116" s="271">
        <v>10378</v>
      </c>
      <c r="C116" s="271" t="s">
        <v>119</v>
      </c>
      <c r="D116" s="435">
        <v>-221.95388991363336</v>
      </c>
      <c r="E116" s="435">
        <v>-116.22392596611155</v>
      </c>
      <c r="F116" s="435">
        <v>-83.058455635896394</v>
      </c>
      <c r="G116" s="435">
        <v>68.790327914846671</v>
      </c>
      <c r="H116" s="435">
        <v>242.19976260841509</v>
      </c>
      <c r="I116" s="435">
        <v>289.23871844309565</v>
      </c>
      <c r="J116" s="435">
        <v>385.74514969791142</v>
      </c>
      <c r="K116" s="435">
        <v>375.33095241440094</v>
      </c>
      <c r="L116" s="435">
        <v>334.82021345487931</v>
      </c>
      <c r="M116" s="435">
        <v>325.15353981274029</v>
      </c>
      <c r="N116" s="435">
        <v>43.434591950208983</v>
      </c>
      <c r="O116" s="435">
        <v>108.5529652292895</v>
      </c>
      <c r="P116" s="435">
        <v>-95.885963355539502</v>
      </c>
      <c r="Q116" s="435">
        <v>-16.022162771195667</v>
      </c>
      <c r="R116" s="435">
        <v>-632.70424877979224</v>
      </c>
      <c r="S116" s="435">
        <v>-305.59261825599924</v>
      </c>
      <c r="T116" s="435">
        <v>-427.15460306257853</v>
      </c>
      <c r="U116" s="435">
        <v>-213.78505322941857</v>
      </c>
      <c r="V116" s="435">
        <v>-240.82489922684931</v>
      </c>
      <c r="W116" s="435">
        <v>-67.97646679383729</v>
      </c>
      <c r="X116" s="435">
        <v>-307.16656689275453</v>
      </c>
      <c r="Y116" s="435">
        <v>-112.36936700982733</v>
      </c>
      <c r="Z116" s="435">
        <v>-261.85720501553953</v>
      </c>
      <c r="AA116" s="435">
        <v>-150.09219461148285</v>
      </c>
      <c r="AB116" s="435">
        <v>-221.95388991363336</v>
      </c>
      <c r="AC116" s="435">
        <v>-116.22392596611155</v>
      </c>
      <c r="AD116" s="435">
        <v>-83.058455635896394</v>
      </c>
      <c r="AE116" s="435">
        <v>68.790327914846671</v>
      </c>
      <c r="AF116" s="435">
        <v>242.19976260841509</v>
      </c>
      <c r="AG116" s="435">
        <v>289.23871844309565</v>
      </c>
      <c r="AH116" s="435">
        <v>385.74514969791142</v>
      </c>
      <c r="AI116" s="435">
        <v>375.33095241440094</v>
      </c>
      <c r="AJ116" s="435">
        <v>366.83067509487944</v>
      </c>
      <c r="AK116" s="435">
        <v>341.15877063274036</v>
      </c>
      <c r="AL116" s="435">
        <v>43.434591950208983</v>
      </c>
      <c r="AM116" s="435">
        <v>108.5529652292895</v>
      </c>
      <c r="AN116" s="435">
        <v>-95.885963355539502</v>
      </c>
      <c r="AO116" s="435">
        <v>-16.022162771195667</v>
      </c>
      <c r="AP116" s="435">
        <v>-632.70424877979224</v>
      </c>
      <c r="AQ116" s="435">
        <v>-305.59261825599924</v>
      </c>
      <c r="AR116" s="435">
        <v>-427.15460306257853</v>
      </c>
      <c r="AS116" s="435">
        <v>-213.78505322941857</v>
      </c>
      <c r="AT116" s="435">
        <v>-240.82489922684931</v>
      </c>
      <c r="AU116" s="435">
        <v>-67.97646679383729</v>
      </c>
      <c r="AV116" s="435">
        <v>-307.16656689275453</v>
      </c>
      <c r="AW116" s="435">
        <v>-112.36936700982733</v>
      </c>
      <c r="AX116" s="435">
        <v>-261.85720501553953</v>
      </c>
      <c r="AY116" s="435">
        <v>-150.09219461148285</v>
      </c>
      <c r="BA116" s="360"/>
      <c r="BB116" s="360"/>
    </row>
    <row r="117" spans="2:54">
      <c r="B117" s="271">
        <v>10379</v>
      </c>
      <c r="C117" s="271" t="s">
        <v>120</v>
      </c>
      <c r="D117" s="435">
        <v>-68.929062977714239</v>
      </c>
      <c r="E117" s="435">
        <v>17.641345467033716</v>
      </c>
      <c r="F117" s="435">
        <v>43.216974336634848</v>
      </c>
      <c r="G117" s="435">
        <v>233.50981072370882</v>
      </c>
      <c r="H117" s="435">
        <v>414.5096964970935</v>
      </c>
      <c r="I117" s="435">
        <v>345.95322001571617</v>
      </c>
      <c r="J117" s="435">
        <v>778.61068922874711</v>
      </c>
      <c r="K117" s="435">
        <v>667.52455167936705</v>
      </c>
      <c r="L117" s="435">
        <v>608.84411320606182</v>
      </c>
      <c r="M117" s="435">
        <v>468.69973907269241</v>
      </c>
      <c r="N117" s="435">
        <v>143.19701846999124</v>
      </c>
      <c r="O117" s="435">
        <v>127.03274971493761</v>
      </c>
      <c r="P117" s="435">
        <v>254.53108511062192</v>
      </c>
      <c r="Q117" s="435">
        <v>198.11812712948972</v>
      </c>
      <c r="R117" s="435">
        <v>-1219.9835944784027</v>
      </c>
      <c r="S117" s="435">
        <v>-445.64567723190316</v>
      </c>
      <c r="T117" s="435">
        <v>-767.83344212239467</v>
      </c>
      <c r="U117" s="435">
        <v>-361.58719159447662</v>
      </c>
      <c r="V117" s="435">
        <v>-668.66229212169537</v>
      </c>
      <c r="W117" s="435">
        <v>-119.44960055859769</v>
      </c>
      <c r="X117" s="435">
        <v>-748.78999479050594</v>
      </c>
      <c r="Y117" s="435">
        <v>-195.33044651762725</v>
      </c>
      <c r="Z117" s="435">
        <v>-236.70012767746857</v>
      </c>
      <c r="AA117" s="435">
        <v>-111.21722089392301</v>
      </c>
      <c r="AB117" s="435">
        <v>-68.929062977714239</v>
      </c>
      <c r="AC117" s="435">
        <v>17.641345467033716</v>
      </c>
      <c r="AD117" s="435">
        <v>43.216974336634848</v>
      </c>
      <c r="AE117" s="435">
        <v>233.50981072370882</v>
      </c>
      <c r="AF117" s="435">
        <v>414.5096964970935</v>
      </c>
      <c r="AG117" s="435">
        <v>345.95322001571617</v>
      </c>
      <c r="AH117" s="435">
        <v>778.61068922874711</v>
      </c>
      <c r="AI117" s="435">
        <v>667.52455167936705</v>
      </c>
      <c r="AJ117" s="435">
        <v>685.02119085406207</v>
      </c>
      <c r="AK117" s="435">
        <v>506.78827789669253</v>
      </c>
      <c r="AL117" s="435">
        <v>143.19701846999124</v>
      </c>
      <c r="AM117" s="435">
        <v>127.03274971493761</v>
      </c>
      <c r="AN117" s="435">
        <v>254.53108511062192</v>
      </c>
      <c r="AO117" s="435">
        <v>198.11812712948972</v>
      </c>
      <c r="AP117" s="435">
        <v>-1219.9835944784027</v>
      </c>
      <c r="AQ117" s="435">
        <v>-445.64567723190316</v>
      </c>
      <c r="AR117" s="435">
        <v>-767.83344212239467</v>
      </c>
      <c r="AS117" s="435">
        <v>-361.58719159447662</v>
      </c>
      <c r="AT117" s="435">
        <v>-668.66229212169537</v>
      </c>
      <c r="AU117" s="435">
        <v>-119.44960055859769</v>
      </c>
      <c r="AV117" s="435">
        <v>-748.78999479050594</v>
      </c>
      <c r="AW117" s="435">
        <v>-195.33044651762725</v>
      </c>
      <c r="AX117" s="435">
        <v>-236.70012767746857</v>
      </c>
      <c r="AY117" s="435">
        <v>-111.21722089392301</v>
      </c>
      <c r="BA117" s="360"/>
      <c r="BB117" s="360"/>
    </row>
    <row r="118" spans="2:54">
      <c r="B118" s="271">
        <v>10388</v>
      </c>
      <c r="C118" s="271" t="s">
        <v>121</v>
      </c>
      <c r="D118" s="435">
        <v>0</v>
      </c>
      <c r="E118" s="435">
        <v>0</v>
      </c>
      <c r="F118" s="435">
        <v>0</v>
      </c>
      <c r="G118" s="435">
        <v>0</v>
      </c>
      <c r="H118" s="435">
        <v>0</v>
      </c>
      <c r="I118" s="435">
        <v>0</v>
      </c>
      <c r="J118" s="435">
        <v>0</v>
      </c>
      <c r="K118" s="435">
        <v>0</v>
      </c>
      <c r="L118" s="435">
        <v>0</v>
      </c>
      <c r="M118" s="435">
        <v>0</v>
      </c>
      <c r="N118" s="435">
        <v>0</v>
      </c>
      <c r="O118" s="435">
        <v>0</v>
      </c>
      <c r="P118" s="435">
        <v>0</v>
      </c>
      <c r="Q118" s="435">
        <v>0</v>
      </c>
      <c r="R118" s="435">
        <v>0</v>
      </c>
      <c r="S118" s="435">
        <v>0</v>
      </c>
      <c r="T118" s="435">
        <v>0</v>
      </c>
      <c r="U118" s="435">
        <v>0</v>
      </c>
      <c r="V118" s="435">
        <v>0</v>
      </c>
      <c r="W118" s="435">
        <v>0</v>
      </c>
      <c r="X118" s="435">
        <v>0</v>
      </c>
      <c r="Y118" s="435">
        <v>0</v>
      </c>
      <c r="Z118" s="435">
        <v>0</v>
      </c>
      <c r="AA118" s="435">
        <v>0</v>
      </c>
      <c r="AB118" s="435">
        <v>0</v>
      </c>
      <c r="AC118" s="435">
        <v>0</v>
      </c>
      <c r="AD118" s="435">
        <v>0</v>
      </c>
      <c r="AE118" s="435">
        <v>0</v>
      </c>
      <c r="AF118" s="435">
        <v>0</v>
      </c>
      <c r="AG118" s="435">
        <v>0</v>
      </c>
      <c r="AH118" s="435">
        <v>0</v>
      </c>
      <c r="AI118" s="435">
        <v>0</v>
      </c>
      <c r="AJ118" s="435">
        <v>0</v>
      </c>
      <c r="AK118" s="435">
        <v>0</v>
      </c>
      <c r="AL118" s="435">
        <v>0</v>
      </c>
      <c r="AM118" s="435">
        <v>0</v>
      </c>
      <c r="AN118" s="435">
        <v>0</v>
      </c>
      <c r="AO118" s="435">
        <v>0</v>
      </c>
      <c r="AP118" s="435">
        <v>0</v>
      </c>
      <c r="AQ118" s="435">
        <v>0</v>
      </c>
      <c r="AR118" s="435">
        <v>0</v>
      </c>
      <c r="AS118" s="435">
        <v>0</v>
      </c>
      <c r="AT118" s="435">
        <v>0</v>
      </c>
      <c r="AU118" s="435">
        <v>0</v>
      </c>
      <c r="AV118" s="435">
        <v>0</v>
      </c>
      <c r="AW118" s="435">
        <v>0</v>
      </c>
      <c r="AX118" s="435">
        <v>0</v>
      </c>
      <c r="AY118" s="435">
        <v>0</v>
      </c>
      <c r="BA118" s="360"/>
      <c r="BB118" s="360"/>
    </row>
    <row r="119" spans="2:54">
      <c r="B119" s="271">
        <v>10391</v>
      </c>
      <c r="C119" s="271" t="s">
        <v>122</v>
      </c>
      <c r="D119" s="435">
        <v>-1971.8885589698857</v>
      </c>
      <c r="E119" s="435">
        <v>-481.40010749300836</v>
      </c>
      <c r="F119" s="435">
        <v>-4247.7954398501497</v>
      </c>
      <c r="G119" s="435">
        <v>-1192.1867902253716</v>
      </c>
      <c r="H119" s="435">
        <v>-1551.4895103111648</v>
      </c>
      <c r="I119" s="435">
        <v>555.94347175536313</v>
      </c>
      <c r="J119" s="435">
        <v>657.55982630325343</v>
      </c>
      <c r="K119" s="435">
        <v>1839.4523201505626</v>
      </c>
      <c r="L119" s="435">
        <v>-198.49531150435723</v>
      </c>
      <c r="M119" s="435">
        <v>989.67499244675946</v>
      </c>
      <c r="N119" s="435">
        <v>-2356.5958971659729</v>
      </c>
      <c r="O119" s="435">
        <v>-713.66400280396465</v>
      </c>
      <c r="P119" s="435">
        <v>1177.6891751074108</v>
      </c>
      <c r="Q119" s="435">
        <v>1053.3501343532353</v>
      </c>
      <c r="R119" s="435">
        <v>-3503.6721211627955</v>
      </c>
      <c r="S119" s="435">
        <v>100.14958260872118</v>
      </c>
      <c r="T119" s="435">
        <v>4367.2668237402813</v>
      </c>
      <c r="U119" s="435">
        <v>3954.9537840571993</v>
      </c>
      <c r="V119" s="435">
        <v>4882.1978742286556</v>
      </c>
      <c r="W119" s="435">
        <v>5892.5758863970568</v>
      </c>
      <c r="X119" s="435">
        <v>1688.8369415437355</v>
      </c>
      <c r="Y119" s="435">
        <v>2648.7576848678054</v>
      </c>
      <c r="Z119" s="435">
        <v>1146.1993550434399</v>
      </c>
      <c r="AA119" s="435">
        <v>1463.4697457085813</v>
      </c>
      <c r="AB119" s="435">
        <v>-2100.6085589698869</v>
      </c>
      <c r="AC119" s="435">
        <v>-681.52810749300806</v>
      </c>
      <c r="AD119" s="435">
        <v>-4479.7474398501508</v>
      </c>
      <c r="AE119" s="435">
        <v>-1278.9167902253712</v>
      </c>
      <c r="AF119" s="435">
        <v>-1735.3615103111661</v>
      </c>
      <c r="AG119" s="435">
        <v>410.96747175536257</v>
      </c>
      <c r="AH119" s="435">
        <v>480.75982630325234</v>
      </c>
      <c r="AI119" s="435">
        <v>1687.4043201505619</v>
      </c>
      <c r="AJ119" s="435">
        <v>161.86785198364305</v>
      </c>
      <c r="AK119" s="435">
        <v>1127.4245741907598</v>
      </c>
      <c r="AL119" s="435">
        <v>-2547.5398971659743</v>
      </c>
      <c r="AM119" s="435">
        <v>-851.12600280396509</v>
      </c>
      <c r="AN119" s="435">
        <v>1056.0411751074098</v>
      </c>
      <c r="AO119" s="435">
        <v>856.75813435323562</v>
      </c>
      <c r="AP119" s="435">
        <v>-3742.6961211627968</v>
      </c>
      <c r="AQ119" s="435">
        <v>10.325582608720651</v>
      </c>
      <c r="AR119" s="435">
        <v>4183.3948237402819</v>
      </c>
      <c r="AS119" s="435">
        <v>3820.5857840572007</v>
      </c>
      <c r="AT119" s="435">
        <v>4705.3978742286563</v>
      </c>
      <c r="AU119" s="435">
        <v>5740.5278863970561</v>
      </c>
      <c r="AV119" s="435">
        <v>1497.8929415437342</v>
      </c>
      <c r="AW119" s="435">
        <v>2510.853684867805</v>
      </c>
      <c r="AX119" s="435">
        <v>969.39935504343885</v>
      </c>
      <c r="AY119" s="435">
        <v>1322.0297457085826</v>
      </c>
      <c r="BA119" s="360"/>
      <c r="BB119" s="360"/>
    </row>
    <row r="120" spans="2:54">
      <c r="B120" s="271">
        <v>10406</v>
      </c>
      <c r="C120" s="271" t="s">
        <v>123</v>
      </c>
      <c r="D120" s="435">
        <v>-1.7522298233373874</v>
      </c>
      <c r="E120" s="435">
        <v>31.599395505070689</v>
      </c>
      <c r="F120" s="435">
        <v>44.429446365328914</v>
      </c>
      <c r="G120" s="435">
        <v>82.287734081902414</v>
      </c>
      <c r="H120" s="435">
        <v>116.56518872442228</v>
      </c>
      <c r="I120" s="435">
        <v>149.90103036230795</v>
      </c>
      <c r="J120" s="435">
        <v>150.42340569062563</v>
      </c>
      <c r="K120" s="435">
        <v>148.23584784270878</v>
      </c>
      <c r="L120" s="435">
        <v>132.68447251157826</v>
      </c>
      <c r="M120" s="435">
        <v>128.65913294180848</v>
      </c>
      <c r="N120" s="435">
        <v>72.069059255719338</v>
      </c>
      <c r="O120" s="435">
        <v>78.481421430728872</v>
      </c>
      <c r="P120" s="435">
        <v>63.672238680244106</v>
      </c>
      <c r="Q120" s="435">
        <v>85.773369702870113</v>
      </c>
      <c r="R120" s="435">
        <v>-92.966787681279186</v>
      </c>
      <c r="S120" s="435">
        <v>-11.810487562443058</v>
      </c>
      <c r="T120" s="435">
        <v>-60.143368932173104</v>
      </c>
      <c r="U120" s="435">
        <v>-13.813870715225832</v>
      </c>
      <c r="V120" s="435">
        <v>-60.871464047976218</v>
      </c>
      <c r="W120" s="435">
        <v>1.8837614603859691</v>
      </c>
      <c r="X120" s="435">
        <v>-60.640098946000109</v>
      </c>
      <c r="Y120" s="435">
        <v>-11.007039635737414</v>
      </c>
      <c r="Z120" s="435">
        <v>-24.36066954977332</v>
      </c>
      <c r="AA120" s="435">
        <v>7.4483101230492963</v>
      </c>
      <c r="AB120" s="435">
        <v>-1.7522298233373874</v>
      </c>
      <c r="AC120" s="435">
        <v>31.599395505070689</v>
      </c>
      <c r="AD120" s="435">
        <v>44.429446365328914</v>
      </c>
      <c r="AE120" s="435">
        <v>82.287734081902414</v>
      </c>
      <c r="AF120" s="435">
        <v>116.56518872442228</v>
      </c>
      <c r="AG120" s="435">
        <v>149.90103036230795</v>
      </c>
      <c r="AH120" s="435">
        <v>150.42340569062563</v>
      </c>
      <c r="AI120" s="435">
        <v>148.23584784270878</v>
      </c>
      <c r="AJ120" s="435">
        <v>139.94688091157829</v>
      </c>
      <c r="AK120" s="435">
        <v>132.29033714180846</v>
      </c>
      <c r="AL120" s="435">
        <v>72.069059255719338</v>
      </c>
      <c r="AM120" s="435">
        <v>78.481421430728872</v>
      </c>
      <c r="AN120" s="435">
        <v>63.672238680244106</v>
      </c>
      <c r="AO120" s="435">
        <v>85.773369702870113</v>
      </c>
      <c r="AP120" s="435">
        <v>-92.966787681279186</v>
      </c>
      <c r="AQ120" s="435">
        <v>-11.810487562443058</v>
      </c>
      <c r="AR120" s="435">
        <v>-60.143368932173104</v>
      </c>
      <c r="AS120" s="435">
        <v>-13.813870715225832</v>
      </c>
      <c r="AT120" s="435">
        <v>-60.871464047976218</v>
      </c>
      <c r="AU120" s="435">
        <v>1.8837614603859691</v>
      </c>
      <c r="AV120" s="435">
        <v>-60.640098946000109</v>
      </c>
      <c r="AW120" s="435">
        <v>-11.007039635737414</v>
      </c>
      <c r="AX120" s="435">
        <v>-24.36066954977332</v>
      </c>
      <c r="AY120" s="435">
        <v>7.4483101230492963</v>
      </c>
      <c r="BA120" s="360"/>
      <c r="BB120" s="360"/>
    </row>
    <row r="121" spans="2:54">
      <c r="B121" s="271">
        <v>10408</v>
      </c>
      <c r="C121" s="271" t="s">
        <v>124</v>
      </c>
      <c r="D121" s="435">
        <v>-18.224100700459417</v>
      </c>
      <c r="E121" s="435">
        <v>112.70212287116135</v>
      </c>
      <c r="F121" s="435">
        <v>-148.81461270636521</v>
      </c>
      <c r="G121" s="435">
        <v>64.223832288792266</v>
      </c>
      <c r="H121" s="435">
        <v>-64.261111870000605</v>
      </c>
      <c r="I121" s="435">
        <v>107.78693292070011</v>
      </c>
      <c r="J121" s="435">
        <v>36.337368415103015</v>
      </c>
      <c r="K121" s="435">
        <v>173.0322527298236</v>
      </c>
      <c r="L121" s="435">
        <v>38.803494149319022</v>
      </c>
      <c r="M121" s="435">
        <v>138.08801533780883</v>
      </c>
      <c r="N121" s="435">
        <v>-14.890574336337409</v>
      </c>
      <c r="O121" s="435">
        <v>110.68561823780908</v>
      </c>
      <c r="P121" s="435">
        <v>64.883572678150358</v>
      </c>
      <c r="Q121" s="435">
        <v>150.4491894458269</v>
      </c>
      <c r="R121" s="435">
        <v>-356.78738103383569</v>
      </c>
      <c r="S121" s="435">
        <v>-23.372478646064337</v>
      </c>
      <c r="T121" s="435">
        <v>-221.16629462329115</v>
      </c>
      <c r="U121" s="435">
        <v>-8.0781273646062459</v>
      </c>
      <c r="V121" s="435">
        <v>-263.30035576270404</v>
      </c>
      <c r="W121" s="435">
        <v>13.302055473044049</v>
      </c>
      <c r="X121" s="435">
        <v>-584.57387517610198</v>
      </c>
      <c r="Y121" s="435">
        <v>-252.75530625753703</v>
      </c>
      <c r="Z121" s="435">
        <v>-87.621986330875814</v>
      </c>
      <c r="AA121" s="435">
        <v>65.302087339980801</v>
      </c>
      <c r="AB121" s="435">
        <v>-17.617429224079956</v>
      </c>
      <c r="AC121" s="435">
        <v>113.0477493465304</v>
      </c>
      <c r="AD121" s="435">
        <v>-148.09924484902774</v>
      </c>
      <c r="AE121" s="435">
        <v>64.656433107001817</v>
      </c>
      <c r="AF121" s="435">
        <v>-63.570764758383461</v>
      </c>
      <c r="AG121" s="435">
        <v>108.21461898112381</v>
      </c>
      <c r="AH121" s="435">
        <v>36.935062551439614</v>
      </c>
      <c r="AI121" s="435">
        <v>173.40472396723067</v>
      </c>
      <c r="AJ121" s="435">
        <v>63.027131771745076</v>
      </c>
      <c r="AK121" s="435">
        <v>150.2538390822956</v>
      </c>
      <c r="AL121" s="435">
        <v>-14.25774682635506</v>
      </c>
      <c r="AM121" s="435">
        <v>111.07085386417606</v>
      </c>
      <c r="AN121" s="435">
        <v>65.409738097595778</v>
      </c>
      <c r="AO121" s="435">
        <v>150.77054523135655</v>
      </c>
      <c r="AP121" s="435">
        <v>-355.92618784097021</v>
      </c>
      <c r="AQ121" s="435">
        <v>-22.894209453564486</v>
      </c>
      <c r="AR121" s="435">
        <v>-220.47174271888446</v>
      </c>
      <c r="AS121" s="435">
        <v>-7.6849985316362677</v>
      </c>
      <c r="AT121" s="435">
        <v>-262.65433279640263</v>
      </c>
      <c r="AU121" s="435">
        <v>13.647742360858274</v>
      </c>
      <c r="AV121" s="435">
        <v>-583.88286256396043</v>
      </c>
      <c r="AW121" s="435">
        <v>-252.40402921250399</v>
      </c>
      <c r="AX121" s="435">
        <v>-87.082442732261086</v>
      </c>
      <c r="AY121" s="435">
        <v>65.63895100114064</v>
      </c>
      <c r="BA121" s="360"/>
      <c r="BB121" s="360"/>
    </row>
    <row r="122" spans="2:54">
      <c r="B122" s="271">
        <v>10409</v>
      </c>
      <c r="C122" s="271" t="s">
        <v>125</v>
      </c>
      <c r="D122" s="435">
        <v>-731.04764223696475</v>
      </c>
      <c r="E122" s="435">
        <v>819.07944989437237</v>
      </c>
      <c r="F122" s="435">
        <v>-1437.6068903176001</v>
      </c>
      <c r="G122" s="435">
        <v>407.50545273509579</v>
      </c>
      <c r="H122" s="435">
        <v>1.3179973392998363</v>
      </c>
      <c r="I122" s="435">
        <v>1836.2906880955006</v>
      </c>
      <c r="J122" s="435">
        <v>1123.7427529151209</v>
      </c>
      <c r="K122" s="435">
        <v>1786.0487179646216</v>
      </c>
      <c r="L122" s="435">
        <v>629.43736071199055</v>
      </c>
      <c r="M122" s="435">
        <v>1252.5142490182016</v>
      </c>
      <c r="N122" s="435">
        <v>-358.74193079019096</v>
      </c>
      <c r="O122" s="435">
        <v>347.59674801919573</v>
      </c>
      <c r="P122" s="435">
        <v>-28.540190859708673</v>
      </c>
      <c r="Q122" s="435">
        <v>1014.3569034237162</v>
      </c>
      <c r="R122" s="435">
        <v>-4834.5738360956366</v>
      </c>
      <c r="S122" s="435">
        <v>-1317.8317728012144</v>
      </c>
      <c r="T122" s="435">
        <v>-2584.3722998566191</v>
      </c>
      <c r="U122" s="435">
        <v>-690.60093698803939</v>
      </c>
      <c r="V122" s="435">
        <v>-2245.6265405620688</v>
      </c>
      <c r="W122" s="435">
        <v>529.84370789433433</v>
      </c>
      <c r="X122" s="435">
        <v>-2219.048117503412</v>
      </c>
      <c r="Y122" s="435">
        <v>-4.5649735558763496</v>
      </c>
      <c r="Z122" s="435">
        <v>-723.67853614136311</v>
      </c>
      <c r="AA122" s="435">
        <v>738.88961823597492</v>
      </c>
      <c r="AB122" s="435">
        <v>-731.04764223696475</v>
      </c>
      <c r="AC122" s="435">
        <v>819.07944989437237</v>
      </c>
      <c r="AD122" s="435">
        <v>-1437.6068903176001</v>
      </c>
      <c r="AE122" s="435">
        <v>407.50545273509579</v>
      </c>
      <c r="AF122" s="435">
        <v>1.3179973392998363</v>
      </c>
      <c r="AG122" s="435">
        <v>1836.2906880955006</v>
      </c>
      <c r="AH122" s="435">
        <v>1123.7427529151209</v>
      </c>
      <c r="AI122" s="435">
        <v>1786.0487179646216</v>
      </c>
      <c r="AJ122" s="435">
        <v>952.99441433599077</v>
      </c>
      <c r="AK122" s="435">
        <v>1414.2927758302021</v>
      </c>
      <c r="AL122" s="435">
        <v>-358.74193079019096</v>
      </c>
      <c r="AM122" s="435">
        <v>347.59674801919573</v>
      </c>
      <c r="AN122" s="435">
        <v>-28.540190859708673</v>
      </c>
      <c r="AO122" s="435">
        <v>1014.3569034237162</v>
      </c>
      <c r="AP122" s="435">
        <v>-4834.5738360956366</v>
      </c>
      <c r="AQ122" s="435">
        <v>-1317.8317728012144</v>
      </c>
      <c r="AR122" s="435">
        <v>-2584.3722998566191</v>
      </c>
      <c r="AS122" s="435">
        <v>-690.60093698803939</v>
      </c>
      <c r="AT122" s="435">
        <v>-2245.6265405620688</v>
      </c>
      <c r="AU122" s="435">
        <v>529.84370789433433</v>
      </c>
      <c r="AV122" s="435">
        <v>-2219.048117503412</v>
      </c>
      <c r="AW122" s="435">
        <v>-4.5649735558763496</v>
      </c>
      <c r="AX122" s="435">
        <v>-723.67853614136311</v>
      </c>
      <c r="AY122" s="435">
        <v>738.88961823597492</v>
      </c>
      <c r="BA122" s="360"/>
      <c r="BB122" s="360"/>
    </row>
    <row r="123" spans="2:54">
      <c r="B123" s="271">
        <v>10426</v>
      </c>
      <c r="C123" s="271" t="s">
        <v>126</v>
      </c>
      <c r="D123" s="435">
        <v>-5176.3385549695349</v>
      </c>
      <c r="E123" s="435">
        <v>-1917.7558912947352</v>
      </c>
      <c r="F123" s="435">
        <v>-5338.0193714534043</v>
      </c>
      <c r="G123" s="435">
        <v>-1270.7007213303441</v>
      </c>
      <c r="H123" s="435">
        <v>-2213.5459697967763</v>
      </c>
      <c r="I123" s="435">
        <v>756.35891731019183</v>
      </c>
      <c r="J123" s="435">
        <v>-548.02933363553166</v>
      </c>
      <c r="K123" s="435">
        <v>1984.1410614803108</v>
      </c>
      <c r="L123" s="435">
        <v>-1629.4258723493022</v>
      </c>
      <c r="M123" s="435">
        <v>730.83089199249844</v>
      </c>
      <c r="N123" s="435">
        <v>-4361.6442119847743</v>
      </c>
      <c r="O123" s="435">
        <v>-1215.3806108883082</v>
      </c>
      <c r="P123" s="435">
        <v>-3376.7711167704883</v>
      </c>
      <c r="Q123" s="435">
        <v>-1019.2512723731006</v>
      </c>
      <c r="R123" s="435">
        <v>-10094.681397346834</v>
      </c>
      <c r="S123" s="435">
        <v>-4155.3769465892638</v>
      </c>
      <c r="T123" s="435">
        <v>-6750.3837453399747</v>
      </c>
      <c r="U123" s="435">
        <v>-3004.3969621171973</v>
      </c>
      <c r="V123" s="435">
        <v>-4948.640440217383</v>
      </c>
      <c r="W123" s="435">
        <v>-1385.9513736941753</v>
      </c>
      <c r="X123" s="435">
        <v>-5600.1510849877805</v>
      </c>
      <c r="Y123" s="435">
        <v>-1711.2870692555798</v>
      </c>
      <c r="Z123" s="435">
        <v>-4068.888245998035</v>
      </c>
      <c r="AA123" s="435">
        <v>-1747.6733218951576</v>
      </c>
      <c r="AB123" s="435">
        <v>-5273.4059911902541</v>
      </c>
      <c r="AC123" s="435">
        <v>-1973.0561273537769</v>
      </c>
      <c r="AD123" s="435">
        <v>-5452.4782286273958</v>
      </c>
      <c r="AE123" s="435">
        <v>-1339.9168522438695</v>
      </c>
      <c r="AF123" s="435">
        <v>-2324.0015076555228</v>
      </c>
      <c r="AG123" s="435">
        <v>687.92914764240504</v>
      </c>
      <c r="AH123" s="435">
        <v>-643.66039544937667</v>
      </c>
      <c r="AI123" s="435">
        <v>1924.5456634951825</v>
      </c>
      <c r="AJ123" s="435">
        <v>-1300.5862705454474</v>
      </c>
      <c r="AK123" s="435">
        <v>886.60990357062019</v>
      </c>
      <c r="AL123" s="435">
        <v>-4462.8966135819574</v>
      </c>
      <c r="AM123" s="435">
        <v>-1277.0183111070255</v>
      </c>
      <c r="AN123" s="435">
        <v>-3460.9575838817518</v>
      </c>
      <c r="AO123" s="435">
        <v>-1070.6681980578405</v>
      </c>
      <c r="AP123" s="435">
        <v>-10232.47230820531</v>
      </c>
      <c r="AQ123" s="435">
        <v>-4231.9000173892364</v>
      </c>
      <c r="AR123" s="435">
        <v>-6861.5120500450457</v>
      </c>
      <c r="AS123" s="435">
        <v>-3067.2975753923856</v>
      </c>
      <c r="AT123" s="435">
        <v>-5052.0041148256169</v>
      </c>
      <c r="AU123" s="435">
        <v>-1441.2612757444467</v>
      </c>
      <c r="AV123" s="435">
        <v>-5710.7131029304264</v>
      </c>
      <c r="AW123" s="435">
        <v>-1767.4913964608659</v>
      </c>
      <c r="AX123" s="435">
        <v>-4155.2152217763842</v>
      </c>
      <c r="AY123" s="435">
        <v>-1801.5715076807337</v>
      </c>
      <c r="BA123" s="360"/>
      <c r="BB123" s="360"/>
    </row>
    <row r="124" spans="2:54">
      <c r="B124" s="271">
        <v>10434</v>
      </c>
      <c r="C124" s="271" t="s">
        <v>127</v>
      </c>
      <c r="D124" s="435">
        <v>-13.344277687265276</v>
      </c>
      <c r="E124" s="435">
        <v>128.87421676965005</v>
      </c>
      <c r="F124" s="435">
        <v>-316.66309303258822</v>
      </c>
      <c r="G124" s="435">
        <v>639.40024537548015</v>
      </c>
      <c r="H124" s="435">
        <v>2378.7723658115428</v>
      </c>
      <c r="I124" s="435">
        <v>2155.3829065422742</v>
      </c>
      <c r="J124" s="435">
        <v>4060.0524048399893</v>
      </c>
      <c r="K124" s="435">
        <v>3399.2663237272563</v>
      </c>
      <c r="L124" s="435">
        <v>3937.900979109043</v>
      </c>
      <c r="M124" s="435">
        <v>2695.7719993677592</v>
      </c>
      <c r="N124" s="435">
        <v>1773.8902952888493</v>
      </c>
      <c r="O124" s="435">
        <v>1077.7980143036448</v>
      </c>
      <c r="P124" s="435">
        <v>1587.4278485787709</v>
      </c>
      <c r="Q124" s="435">
        <v>843.91534962696642</v>
      </c>
      <c r="R124" s="435">
        <v>-5768.9229286247119</v>
      </c>
      <c r="S124" s="435">
        <v>-2292.5133015841284</v>
      </c>
      <c r="T124" s="435">
        <v>-2417.4629193507499</v>
      </c>
      <c r="U124" s="435">
        <v>-1214.867678835918</v>
      </c>
      <c r="V124" s="435">
        <v>1260.6537838652839</v>
      </c>
      <c r="W124" s="435">
        <v>1457.886975137636</v>
      </c>
      <c r="X124" s="435">
        <v>574.19415321467022</v>
      </c>
      <c r="Y124" s="435">
        <v>783.2054978888491</v>
      </c>
      <c r="Z124" s="435">
        <v>517.32800867419792</v>
      </c>
      <c r="AA124" s="435">
        <v>414.72020436711955</v>
      </c>
      <c r="AB124" s="435">
        <v>-13.344277687265276</v>
      </c>
      <c r="AC124" s="435">
        <v>128.87421676965005</v>
      </c>
      <c r="AD124" s="435">
        <v>-316.66309303258822</v>
      </c>
      <c r="AE124" s="435">
        <v>639.40024537548015</v>
      </c>
      <c r="AF124" s="435">
        <v>2378.7723658115428</v>
      </c>
      <c r="AG124" s="435">
        <v>2155.3829065422742</v>
      </c>
      <c r="AH124" s="435">
        <v>4060.0524048399893</v>
      </c>
      <c r="AI124" s="435">
        <v>3399.2663237272563</v>
      </c>
      <c r="AJ124" s="435">
        <v>4368.1707444690437</v>
      </c>
      <c r="AK124" s="435">
        <v>2910.9068820477596</v>
      </c>
      <c r="AL124" s="435">
        <v>1773.8902952888493</v>
      </c>
      <c r="AM124" s="435">
        <v>1077.7980143036448</v>
      </c>
      <c r="AN124" s="435">
        <v>1587.4278485787709</v>
      </c>
      <c r="AO124" s="435">
        <v>843.91534962696642</v>
      </c>
      <c r="AP124" s="435">
        <v>-5768.9229286247119</v>
      </c>
      <c r="AQ124" s="435">
        <v>-2292.5133015841284</v>
      </c>
      <c r="AR124" s="435">
        <v>-2417.4629193507499</v>
      </c>
      <c r="AS124" s="435">
        <v>-1214.867678835918</v>
      </c>
      <c r="AT124" s="435">
        <v>1260.6537838652839</v>
      </c>
      <c r="AU124" s="435">
        <v>1457.886975137636</v>
      </c>
      <c r="AV124" s="435">
        <v>574.19415321467022</v>
      </c>
      <c r="AW124" s="435">
        <v>783.2054978888491</v>
      </c>
      <c r="AX124" s="435">
        <v>517.32800867419792</v>
      </c>
      <c r="AY124" s="435">
        <v>414.72020436711955</v>
      </c>
      <c r="BA124" s="360"/>
      <c r="BB124" s="360"/>
    </row>
    <row r="125" spans="2:54">
      <c r="B125" s="271">
        <v>10436</v>
      </c>
      <c r="C125" s="271" t="s">
        <v>128</v>
      </c>
      <c r="D125" s="435">
        <v>-1950.0039777572265</v>
      </c>
      <c r="E125" s="435">
        <v>-612.32990903583141</v>
      </c>
      <c r="F125" s="435">
        <v>-2671.9261347852262</v>
      </c>
      <c r="G125" s="435">
        <v>-315.72751046722169</v>
      </c>
      <c r="H125" s="435">
        <v>-876.88842864944672</v>
      </c>
      <c r="I125" s="435">
        <v>704.25498550701377</v>
      </c>
      <c r="J125" s="435">
        <v>58.057322686170664</v>
      </c>
      <c r="K125" s="435">
        <v>1220.2040672496696</v>
      </c>
      <c r="L125" s="435">
        <v>-125.96293158547451</v>
      </c>
      <c r="M125" s="435">
        <v>904.7565452825138</v>
      </c>
      <c r="N125" s="435">
        <v>-1739.2847580510379</v>
      </c>
      <c r="O125" s="435">
        <v>-163.70257043733091</v>
      </c>
      <c r="P125" s="435">
        <v>-667.07523064912311</v>
      </c>
      <c r="Q125" s="435">
        <v>215.40778829314786</v>
      </c>
      <c r="R125" s="435">
        <v>-1612.6183659202798</v>
      </c>
      <c r="S125" s="435">
        <v>995.00563504487764</v>
      </c>
      <c r="T125" s="435">
        <v>3608.1576900616019</v>
      </c>
      <c r="U125" s="435">
        <v>3861.0575771013782</v>
      </c>
      <c r="V125" s="435">
        <v>5748.5781405924026</v>
      </c>
      <c r="W125" s="435">
        <v>6054.6807503710197</v>
      </c>
      <c r="X125" s="435">
        <v>2370.1087397300435</v>
      </c>
      <c r="Y125" s="435">
        <v>3261.7430054963743</v>
      </c>
      <c r="Z125" s="435">
        <v>1033.6604744111619</v>
      </c>
      <c r="AA125" s="435">
        <v>1798.9743451104187</v>
      </c>
      <c r="AB125" s="435">
        <v>-2460.0199777572261</v>
      </c>
      <c r="AC125" s="435">
        <v>-1014.4579090358316</v>
      </c>
      <c r="AD125" s="435">
        <v>-3162.3261347852258</v>
      </c>
      <c r="AE125" s="435">
        <v>-709.27351046722197</v>
      </c>
      <c r="AF125" s="435">
        <v>-1386.9044286494463</v>
      </c>
      <c r="AG125" s="435">
        <v>302.12698550701407</v>
      </c>
      <c r="AH125" s="435">
        <v>-432.34267731382897</v>
      </c>
      <c r="AI125" s="435">
        <v>798.46006724966992</v>
      </c>
      <c r="AJ125" s="435">
        <v>-293.31233569747383</v>
      </c>
      <c r="AK125" s="435">
        <v>703.38584322651423</v>
      </c>
      <c r="AL125" s="435">
        <v>-2268.9167580510375</v>
      </c>
      <c r="AM125" s="435">
        <v>-544.98857043733096</v>
      </c>
      <c r="AN125" s="435">
        <v>-1157.4752306491228</v>
      </c>
      <c r="AO125" s="435">
        <v>-176.91221170685185</v>
      </c>
      <c r="AP125" s="435">
        <v>-2122.6343659202794</v>
      </c>
      <c r="AQ125" s="435">
        <v>592.87763504487793</v>
      </c>
      <c r="AR125" s="435">
        <v>3098.1416900616023</v>
      </c>
      <c r="AS125" s="435">
        <v>3488.3535771013785</v>
      </c>
      <c r="AT125" s="435">
        <v>5258.178140592403</v>
      </c>
      <c r="AU125" s="435">
        <v>5632.9367503710191</v>
      </c>
      <c r="AV125" s="435">
        <v>1840.4767397300438</v>
      </c>
      <c r="AW125" s="435">
        <v>2879.2310054963746</v>
      </c>
      <c r="AX125" s="435">
        <v>543.26047441116225</v>
      </c>
      <c r="AY125" s="435">
        <v>1406.6543451104189</v>
      </c>
      <c r="BA125" s="360"/>
      <c r="BB125" s="360"/>
    </row>
    <row r="126" spans="2:54">
      <c r="B126" s="271">
        <v>10440</v>
      </c>
      <c r="C126" s="271" t="s">
        <v>129</v>
      </c>
      <c r="D126" s="435">
        <v>-190.27673393265445</v>
      </c>
      <c r="E126" s="435">
        <v>17.025452153056449</v>
      </c>
      <c r="F126" s="435">
        <v>145.00815823806079</v>
      </c>
      <c r="G126" s="435">
        <v>294.45699658347894</v>
      </c>
      <c r="H126" s="435">
        <v>609.6542744264998</v>
      </c>
      <c r="I126" s="435">
        <v>727.13001458661438</v>
      </c>
      <c r="J126" s="435">
        <v>922.10835720980003</v>
      </c>
      <c r="K126" s="435">
        <v>740.91681406108341</v>
      </c>
      <c r="L126" s="435">
        <v>653.1361329456472</v>
      </c>
      <c r="M126" s="435">
        <v>495.9430607507918</v>
      </c>
      <c r="N126" s="435">
        <v>306.69358082744657</v>
      </c>
      <c r="O126" s="435">
        <v>177.85237983674301</v>
      </c>
      <c r="P126" s="435">
        <v>235.57700909798859</v>
      </c>
      <c r="Q126" s="435">
        <v>280.58199504810636</v>
      </c>
      <c r="R126" s="435">
        <v>-1334.138044883136</v>
      </c>
      <c r="S126" s="435">
        <v>-574.90722958562856</v>
      </c>
      <c r="T126" s="435">
        <v>-848.96843278712731</v>
      </c>
      <c r="U126" s="435">
        <v>-444.25266379378115</v>
      </c>
      <c r="V126" s="435">
        <v>-812.6404959207498</v>
      </c>
      <c r="W126" s="435">
        <v>-212.15692140867816</v>
      </c>
      <c r="X126" s="435">
        <v>-849.69125418425051</v>
      </c>
      <c r="Y126" s="435">
        <v>-357.17759429973603</v>
      </c>
      <c r="Z126" s="435">
        <v>-319.86745968421747</v>
      </c>
      <c r="AA126" s="435">
        <v>-87.000701625722058</v>
      </c>
      <c r="AB126" s="435">
        <v>-190.27673393265445</v>
      </c>
      <c r="AC126" s="435">
        <v>17.025452153056449</v>
      </c>
      <c r="AD126" s="435">
        <v>145.00815823806079</v>
      </c>
      <c r="AE126" s="435">
        <v>294.45699658347894</v>
      </c>
      <c r="AF126" s="435">
        <v>609.6542744264998</v>
      </c>
      <c r="AG126" s="435">
        <v>727.13001458661438</v>
      </c>
      <c r="AH126" s="435">
        <v>922.10835720980003</v>
      </c>
      <c r="AI126" s="435">
        <v>740.91681406108341</v>
      </c>
      <c r="AJ126" s="435">
        <v>732.43045973764742</v>
      </c>
      <c r="AK126" s="435">
        <v>535.59022414679202</v>
      </c>
      <c r="AL126" s="435">
        <v>306.69358082744657</v>
      </c>
      <c r="AM126" s="435">
        <v>177.85237983674301</v>
      </c>
      <c r="AN126" s="435">
        <v>235.57700909798859</v>
      </c>
      <c r="AO126" s="435">
        <v>280.58199504810636</v>
      </c>
      <c r="AP126" s="435">
        <v>-1334.138044883136</v>
      </c>
      <c r="AQ126" s="435">
        <v>-574.90722958562856</v>
      </c>
      <c r="AR126" s="435">
        <v>-848.96843278712731</v>
      </c>
      <c r="AS126" s="435">
        <v>-444.25266379378115</v>
      </c>
      <c r="AT126" s="435">
        <v>-812.6404959207498</v>
      </c>
      <c r="AU126" s="435">
        <v>-212.15692140867816</v>
      </c>
      <c r="AV126" s="435">
        <v>-849.69125418425051</v>
      </c>
      <c r="AW126" s="435">
        <v>-357.17759429973603</v>
      </c>
      <c r="AX126" s="435">
        <v>-319.86745968421747</v>
      </c>
      <c r="AY126" s="435">
        <v>-87.000701625722058</v>
      </c>
      <c r="BA126" s="360"/>
      <c r="BB126" s="360"/>
    </row>
    <row r="127" spans="2:54">
      <c r="B127" s="271">
        <v>10442</v>
      </c>
      <c r="C127" s="271" t="s">
        <v>130</v>
      </c>
      <c r="D127" s="435">
        <v>-1270.1832041872312</v>
      </c>
      <c r="E127" s="435">
        <v>-132.02085504030811</v>
      </c>
      <c r="F127" s="435">
        <v>-1274.6958446185927</v>
      </c>
      <c r="G127" s="435">
        <v>-6.5806064326752676</v>
      </c>
      <c r="H127" s="435">
        <v>731.5729456414474</v>
      </c>
      <c r="I127" s="435">
        <v>1658.9647810449578</v>
      </c>
      <c r="J127" s="435">
        <v>1098.2696778816717</v>
      </c>
      <c r="K127" s="435">
        <v>1456.1563589913844</v>
      </c>
      <c r="L127" s="435">
        <v>319.26516976863422</v>
      </c>
      <c r="M127" s="435">
        <v>821.34642889000042</v>
      </c>
      <c r="N127" s="435">
        <v>-1243.243620360704</v>
      </c>
      <c r="O127" s="435">
        <v>-442.51188987397609</v>
      </c>
      <c r="P127" s="435">
        <v>-521.06037681978614</v>
      </c>
      <c r="Q127" s="435">
        <v>190.62442938578488</v>
      </c>
      <c r="R127" s="435">
        <v>-3000.9277818182754</v>
      </c>
      <c r="S127" s="435">
        <v>-911.22973050841483</v>
      </c>
      <c r="T127" s="435">
        <v>-1086.7238386893277</v>
      </c>
      <c r="U127" s="435">
        <v>-299.9841960437675</v>
      </c>
      <c r="V127" s="435">
        <v>173.61510903913495</v>
      </c>
      <c r="W127" s="435">
        <v>1155.4082915058884</v>
      </c>
      <c r="X127" s="435">
        <v>-294.72016510521007</v>
      </c>
      <c r="Y127" s="435">
        <v>353.42918836093804</v>
      </c>
      <c r="Z127" s="435">
        <v>-579.55765466014873</v>
      </c>
      <c r="AA127" s="435">
        <v>241.88813918105234</v>
      </c>
      <c r="AB127" s="435">
        <v>-1329.9403446106116</v>
      </c>
      <c r="AC127" s="435">
        <v>-166.06506286415606</v>
      </c>
      <c r="AD127" s="435">
        <v>-1345.1595785663312</v>
      </c>
      <c r="AE127" s="435">
        <v>-49.191787026314159</v>
      </c>
      <c r="AF127" s="435">
        <v>663.57375514715659</v>
      </c>
      <c r="AG127" s="435">
        <v>1616.8377040932264</v>
      </c>
      <c r="AH127" s="435">
        <v>1039.3968054525221</v>
      </c>
      <c r="AI127" s="435">
        <v>1419.4679421067899</v>
      </c>
      <c r="AJ127" s="435">
        <v>469.7447270196817</v>
      </c>
      <c r="AK127" s="435">
        <v>891.2667215880565</v>
      </c>
      <c r="AL127" s="435">
        <v>-1305.5771300939705</v>
      </c>
      <c r="AM127" s="435">
        <v>-480.4575990711246</v>
      </c>
      <c r="AN127" s="435">
        <v>-572.88767063515843</v>
      </c>
      <c r="AO127" s="435">
        <v>158.97088451111631</v>
      </c>
      <c r="AP127" s="435">
        <v>-3085.7553113155254</v>
      </c>
      <c r="AQ127" s="435">
        <v>-958.33924596964789</v>
      </c>
      <c r="AR127" s="435">
        <v>-1155.1372012733864</v>
      </c>
      <c r="AS127" s="435">
        <v>-338.70738609130512</v>
      </c>
      <c r="AT127" s="435">
        <v>109.9818468584408</v>
      </c>
      <c r="AU127" s="435">
        <v>1121.3581330561897</v>
      </c>
      <c r="AV127" s="435">
        <v>-362.78490740115194</v>
      </c>
      <c r="AW127" s="435">
        <v>318.82839942518331</v>
      </c>
      <c r="AX127" s="435">
        <v>-632.70269912369622</v>
      </c>
      <c r="AY127" s="435">
        <v>208.70706855680737</v>
      </c>
      <c r="BA127" s="360"/>
      <c r="BB127" s="360"/>
    </row>
    <row r="128" spans="2:54">
      <c r="B128" s="271">
        <v>10446</v>
      </c>
      <c r="C128" s="271" t="s">
        <v>131</v>
      </c>
      <c r="D128" s="435">
        <v>-5421.3526035499235</v>
      </c>
      <c r="E128" s="435">
        <v>5115.6421900671521</v>
      </c>
      <c r="F128" s="435">
        <v>-12644.031352499507</v>
      </c>
      <c r="G128" s="435">
        <v>-45.184560518206126</v>
      </c>
      <c r="H128" s="435">
        <v>-8946.8336143633933</v>
      </c>
      <c r="I128" s="435">
        <v>4233.0190669308286</v>
      </c>
      <c r="J128" s="435">
        <v>-768.48932793250424</v>
      </c>
      <c r="K128" s="435">
        <v>6716.867623874281</v>
      </c>
      <c r="L128" s="435">
        <v>-1746.5145203116335</v>
      </c>
      <c r="M128" s="435">
        <v>5014.516745887704</v>
      </c>
      <c r="N128" s="435">
        <v>-4508.8340653550113</v>
      </c>
      <c r="O128" s="435">
        <v>2156.1557915496742</v>
      </c>
      <c r="P128" s="435">
        <v>-3195.977807440071</v>
      </c>
      <c r="Q128" s="435">
        <v>4702.9573836104501</v>
      </c>
      <c r="R128" s="435">
        <v>-28877.566761530044</v>
      </c>
      <c r="S128" s="435">
        <v>-8540.0905167006058</v>
      </c>
      <c r="T128" s="435">
        <v>-9783.5590687360454</v>
      </c>
      <c r="U128" s="435">
        <v>674.97359717719883</v>
      </c>
      <c r="V128" s="435">
        <v>-6854.5625267010037</v>
      </c>
      <c r="W128" s="435">
        <v>8158.7728829769549</v>
      </c>
      <c r="X128" s="435">
        <v>-7227.0104274711994</v>
      </c>
      <c r="Y128" s="435">
        <v>4641.5592570315384</v>
      </c>
      <c r="Z128" s="435">
        <v>-2689.4920639303309</v>
      </c>
      <c r="AA128" s="435">
        <v>7044.114088940496</v>
      </c>
      <c r="AB128" s="435">
        <v>-6113.7046035499225</v>
      </c>
      <c r="AC128" s="435">
        <v>4427.1301900671533</v>
      </c>
      <c r="AD128" s="435">
        <v>-13466.175352499507</v>
      </c>
      <c r="AE128" s="435">
        <v>-561.21656051820537</v>
      </c>
      <c r="AF128" s="435">
        <v>-9718.9296143633983</v>
      </c>
      <c r="AG128" s="435">
        <v>3624.2510669308285</v>
      </c>
      <c r="AH128" s="435">
        <v>-1510.8893279325057</v>
      </c>
      <c r="AI128" s="435">
        <v>6078.403623874281</v>
      </c>
      <c r="AJ128" s="435">
        <v>-862.07808215162368</v>
      </c>
      <c r="AK128" s="435">
        <v>5278.5589649677022</v>
      </c>
      <c r="AL128" s="435">
        <v>-5310.6260653550053</v>
      </c>
      <c r="AM128" s="435">
        <v>1578.9397915496738</v>
      </c>
      <c r="AN128" s="435">
        <v>-3858.6338074400701</v>
      </c>
      <c r="AO128" s="435">
        <v>4029.2933836104494</v>
      </c>
      <c r="AP128" s="435">
        <v>-29729.406761530045</v>
      </c>
      <c r="AQ128" s="435">
        <v>-9069.1145167006071</v>
      </c>
      <c r="AR128" s="435">
        <v>-10555.65506873605</v>
      </c>
      <c r="AS128" s="435">
        <v>110.74959717719685</v>
      </c>
      <c r="AT128" s="435">
        <v>-7596.9625267010051</v>
      </c>
      <c r="AU128" s="435">
        <v>7520.3088829769549</v>
      </c>
      <c r="AV128" s="435">
        <v>-8028.8024274711934</v>
      </c>
      <c r="AW128" s="435">
        <v>4062.487257031542</v>
      </c>
      <c r="AX128" s="435">
        <v>-3431.8920639303324</v>
      </c>
      <c r="AY128" s="435">
        <v>6450.1940889404977</v>
      </c>
      <c r="BA128" s="360"/>
      <c r="BB128" s="360"/>
    </row>
    <row r="129" spans="2:54">
      <c r="B129" s="271">
        <v>10448</v>
      </c>
      <c r="C129" s="271" t="s">
        <v>132</v>
      </c>
      <c r="D129" s="435">
        <v>0</v>
      </c>
      <c r="E129" s="435">
        <v>0</v>
      </c>
      <c r="F129" s="435">
        <v>0</v>
      </c>
      <c r="G129" s="435">
        <v>0</v>
      </c>
      <c r="H129" s="435">
        <v>0</v>
      </c>
      <c r="I129" s="435">
        <v>0</v>
      </c>
      <c r="J129" s="435">
        <v>0</v>
      </c>
      <c r="K129" s="435">
        <v>0</v>
      </c>
      <c r="L129" s="435">
        <v>0</v>
      </c>
      <c r="M129" s="435">
        <v>0</v>
      </c>
      <c r="N129" s="435">
        <v>0</v>
      </c>
      <c r="O129" s="435">
        <v>0</v>
      </c>
      <c r="P129" s="435">
        <v>0</v>
      </c>
      <c r="Q129" s="435">
        <v>0</v>
      </c>
      <c r="R129" s="435">
        <v>0</v>
      </c>
      <c r="S129" s="435">
        <v>0</v>
      </c>
      <c r="T129" s="435">
        <v>0</v>
      </c>
      <c r="U129" s="435">
        <v>0</v>
      </c>
      <c r="V129" s="435">
        <v>0</v>
      </c>
      <c r="W129" s="435">
        <v>0</v>
      </c>
      <c r="X129" s="435">
        <v>0</v>
      </c>
      <c r="Y129" s="435">
        <v>0</v>
      </c>
      <c r="Z129" s="435">
        <v>0</v>
      </c>
      <c r="AA129" s="435">
        <v>0</v>
      </c>
      <c r="AB129" s="435">
        <v>0</v>
      </c>
      <c r="AC129" s="435">
        <v>0</v>
      </c>
      <c r="AD129" s="435">
        <v>0</v>
      </c>
      <c r="AE129" s="435">
        <v>0</v>
      </c>
      <c r="AF129" s="435">
        <v>0</v>
      </c>
      <c r="AG129" s="435">
        <v>0</v>
      </c>
      <c r="AH129" s="435">
        <v>0</v>
      </c>
      <c r="AI129" s="435">
        <v>0</v>
      </c>
      <c r="AJ129" s="435">
        <v>0</v>
      </c>
      <c r="AK129" s="435">
        <v>0</v>
      </c>
      <c r="AL129" s="435">
        <v>0</v>
      </c>
      <c r="AM129" s="435">
        <v>0</v>
      </c>
      <c r="AN129" s="435">
        <v>0</v>
      </c>
      <c r="AO129" s="435">
        <v>0</v>
      </c>
      <c r="AP129" s="435">
        <v>0</v>
      </c>
      <c r="AQ129" s="435">
        <v>0</v>
      </c>
      <c r="AR129" s="435">
        <v>0</v>
      </c>
      <c r="AS129" s="435">
        <v>0</v>
      </c>
      <c r="AT129" s="435">
        <v>0</v>
      </c>
      <c r="AU129" s="435">
        <v>0</v>
      </c>
      <c r="AV129" s="435">
        <v>0</v>
      </c>
      <c r="AW129" s="435">
        <v>0</v>
      </c>
      <c r="AX129" s="435">
        <v>0</v>
      </c>
      <c r="AY129" s="435">
        <v>0</v>
      </c>
      <c r="BA129" s="360"/>
      <c r="BB129" s="360"/>
    </row>
    <row r="130" spans="2:54">
      <c r="B130" s="271">
        <v>10451</v>
      </c>
      <c r="C130" s="271" t="s">
        <v>133</v>
      </c>
      <c r="D130" s="435">
        <v>-203.03217542248967</v>
      </c>
      <c r="E130" s="435">
        <v>2245.6752933826619</v>
      </c>
      <c r="F130" s="435">
        <v>-2696.5188250499341</v>
      </c>
      <c r="G130" s="435">
        <v>425.50477312062685</v>
      </c>
      <c r="H130" s="435">
        <v>-2129.7097471953912</v>
      </c>
      <c r="I130" s="435">
        <v>1181.7434155155397</v>
      </c>
      <c r="J130" s="435">
        <v>-58.332877222945172</v>
      </c>
      <c r="K130" s="435">
        <v>1717.6232718548017</v>
      </c>
      <c r="L130" s="435">
        <v>118.99110289375494</v>
      </c>
      <c r="M130" s="435">
        <v>1618.5482432217086</v>
      </c>
      <c r="N130" s="435">
        <v>-481.63296077250197</v>
      </c>
      <c r="O130" s="435">
        <v>936.60899331035125</v>
      </c>
      <c r="P130" s="435">
        <v>581.33654412105534</v>
      </c>
      <c r="Q130" s="435">
        <v>2284.4978312935773</v>
      </c>
      <c r="R130" s="435">
        <v>-5303.4923192264814</v>
      </c>
      <c r="S130" s="435">
        <v>-481.32067242174162</v>
      </c>
      <c r="T130" s="435">
        <v>-2049.9859410084373</v>
      </c>
      <c r="U130" s="435">
        <v>565.0504184296824</v>
      </c>
      <c r="V130" s="435">
        <v>-1510.6124028702707</v>
      </c>
      <c r="W130" s="435">
        <v>2504.9840177777933</v>
      </c>
      <c r="X130" s="435">
        <v>-1549.948711954039</v>
      </c>
      <c r="Y130" s="435">
        <v>1490.1011919351586</v>
      </c>
      <c r="Z130" s="435">
        <v>57.08362978067089</v>
      </c>
      <c r="AA130" s="435">
        <v>2473.4462658152206</v>
      </c>
      <c r="AB130" s="435">
        <v>-236.39910662336297</v>
      </c>
      <c r="AC130" s="435">
        <v>2226.6658372373658</v>
      </c>
      <c r="AD130" s="435">
        <v>-2735.8640572034947</v>
      </c>
      <c r="AE130" s="435">
        <v>401.71172811910219</v>
      </c>
      <c r="AF130" s="435">
        <v>-2167.6788383343355</v>
      </c>
      <c r="AG130" s="435">
        <v>1158.2206821922373</v>
      </c>
      <c r="AH130" s="435">
        <v>-91.206054721455075</v>
      </c>
      <c r="AI130" s="435">
        <v>1697.1373537974141</v>
      </c>
      <c r="AJ130" s="435">
        <v>505.92656066033123</v>
      </c>
      <c r="AK130" s="435">
        <v>1809.0457007749383</v>
      </c>
      <c r="AL130" s="435">
        <v>-516.43847382153581</v>
      </c>
      <c r="AM130" s="435">
        <v>915.42103386016697</v>
      </c>
      <c r="AN130" s="435">
        <v>552.39744605155647</v>
      </c>
      <c r="AO130" s="435">
        <v>2266.8232630894472</v>
      </c>
      <c r="AP130" s="435">
        <v>-5350.8579448340824</v>
      </c>
      <c r="AQ130" s="435">
        <v>-507.6254780092313</v>
      </c>
      <c r="AR130" s="435">
        <v>-2088.1862957508056</v>
      </c>
      <c r="AS130" s="435">
        <v>543.42833261633677</v>
      </c>
      <c r="AT130" s="435">
        <v>-1546.1436660168529</v>
      </c>
      <c r="AU130" s="435">
        <v>2485.9712389480128</v>
      </c>
      <c r="AV130" s="435">
        <v>-1587.9544056218238</v>
      </c>
      <c r="AW130" s="435">
        <v>1470.7809544583415</v>
      </c>
      <c r="AX130" s="435">
        <v>27.408731856863596</v>
      </c>
      <c r="AY130" s="435">
        <v>2454.9187644514295</v>
      </c>
      <c r="BA130" s="360"/>
      <c r="BB130" s="360"/>
    </row>
    <row r="131" spans="2:54">
      <c r="B131" s="271">
        <v>10482</v>
      </c>
      <c r="C131" s="271" t="s">
        <v>134</v>
      </c>
      <c r="D131" s="435">
        <v>-131.84711147952271</v>
      </c>
      <c r="E131" s="435">
        <v>173.63337557479599</v>
      </c>
      <c r="F131" s="435">
        <v>-318.75285396703498</v>
      </c>
      <c r="G131" s="435">
        <v>8.1565365800232712</v>
      </c>
      <c r="H131" s="435">
        <v>-232.50067791769106</v>
      </c>
      <c r="I131" s="435">
        <v>106.54923915868301</v>
      </c>
      <c r="J131" s="435">
        <v>-25.860179172178732</v>
      </c>
      <c r="K131" s="435">
        <v>156.28197435146751</v>
      </c>
      <c r="L131" s="435">
        <v>-14.940622719881503</v>
      </c>
      <c r="M131" s="435">
        <v>140.19565929445105</v>
      </c>
      <c r="N131" s="435">
        <v>-111.22332779422345</v>
      </c>
      <c r="O131" s="435">
        <v>45.992971595913218</v>
      </c>
      <c r="P131" s="435">
        <v>-9.9822977325038664</v>
      </c>
      <c r="Q131" s="435">
        <v>189.53568801826123</v>
      </c>
      <c r="R131" s="435">
        <v>-671.64876109550983</v>
      </c>
      <c r="S131" s="435">
        <v>-126.53026835214405</v>
      </c>
      <c r="T131" s="435">
        <v>-322.17202165879371</v>
      </c>
      <c r="U131" s="435">
        <v>-36.549917427858873</v>
      </c>
      <c r="V131" s="435">
        <v>-217.35069049087929</v>
      </c>
      <c r="W131" s="435">
        <v>164.78055707373744</v>
      </c>
      <c r="X131" s="435">
        <v>-208.4286404837485</v>
      </c>
      <c r="Y131" s="435">
        <v>69.289767447833356</v>
      </c>
      <c r="Z131" s="435">
        <v>-82.875135983658993</v>
      </c>
      <c r="AA131" s="435">
        <v>151.88017686202829</v>
      </c>
      <c r="AB131" s="435">
        <v>-139.12716919607692</v>
      </c>
      <c r="AC131" s="435">
        <v>169.48585787036779</v>
      </c>
      <c r="AD131" s="435">
        <v>-327.33726825508438</v>
      </c>
      <c r="AE131" s="435">
        <v>2.9653267615088907</v>
      </c>
      <c r="AF131" s="435">
        <v>-240.78484325709701</v>
      </c>
      <c r="AG131" s="435">
        <v>101.417006433599</v>
      </c>
      <c r="AH131" s="435">
        <v>-33.032508808217244</v>
      </c>
      <c r="AI131" s="435">
        <v>151.81231950258291</v>
      </c>
      <c r="AJ131" s="435">
        <v>24.178450659007467</v>
      </c>
      <c r="AK131" s="435">
        <v>159.10713678461025</v>
      </c>
      <c r="AL131" s="435">
        <v>-118.81725791401232</v>
      </c>
      <c r="AM131" s="435">
        <v>41.370144079509259</v>
      </c>
      <c r="AN131" s="435">
        <v>-16.296282765848673</v>
      </c>
      <c r="AO131" s="435">
        <v>185.67941859190569</v>
      </c>
      <c r="AP131" s="435">
        <v>-681.98307940989548</v>
      </c>
      <c r="AQ131" s="435">
        <v>-132.26949866214193</v>
      </c>
      <c r="AR131" s="435">
        <v>-330.50664451167404</v>
      </c>
      <c r="AS131" s="435">
        <v>-41.267463423498043</v>
      </c>
      <c r="AT131" s="435">
        <v>-225.10296608649696</v>
      </c>
      <c r="AU131" s="435">
        <v>160.63231441996709</v>
      </c>
      <c r="AV131" s="435">
        <v>-216.72079182944708</v>
      </c>
      <c r="AW131" s="435">
        <v>65.074442907436833</v>
      </c>
      <c r="AX131" s="435">
        <v>-89.34965916703527</v>
      </c>
      <c r="AY131" s="435">
        <v>147.83781292811011</v>
      </c>
      <c r="BA131" s="360"/>
      <c r="BB131" s="360"/>
    </row>
    <row r="132" spans="2:54">
      <c r="B132" s="271">
        <v>10502</v>
      </c>
      <c r="C132" s="271" t="s">
        <v>135</v>
      </c>
      <c r="D132" s="435">
        <v>2262.5593270836971</v>
      </c>
      <c r="E132" s="435">
        <v>1370.6150179186943</v>
      </c>
      <c r="F132" s="435">
        <v>-754.35777124795186</v>
      </c>
      <c r="G132" s="435">
        <v>-353.7708490013174</v>
      </c>
      <c r="H132" s="435">
        <v>-338.08215017416296</v>
      </c>
      <c r="I132" s="435">
        <v>-204.19046940462476</v>
      </c>
      <c r="J132" s="435">
        <v>876.21691642807764</v>
      </c>
      <c r="K132" s="435">
        <v>688.25699824794901</v>
      </c>
      <c r="L132" s="435">
        <v>894.53481234385526</v>
      </c>
      <c r="M132" s="435">
        <v>423.36921406309875</v>
      </c>
      <c r="N132" s="435">
        <v>-230.93971608984339</v>
      </c>
      <c r="O132" s="435">
        <v>-374.37006408810157</v>
      </c>
      <c r="P132" s="435">
        <v>1523.3095377045956</v>
      </c>
      <c r="Q132" s="435">
        <v>487.55980305884304</v>
      </c>
      <c r="R132" s="435">
        <v>722.83294864913387</v>
      </c>
      <c r="S132" s="435">
        <v>1138.374565665194</v>
      </c>
      <c r="T132" s="435">
        <v>3696.1636165014452</v>
      </c>
      <c r="U132" s="435">
        <v>2319.6658212475681</v>
      </c>
      <c r="V132" s="435">
        <v>5424.1155624623616</v>
      </c>
      <c r="W132" s="435">
        <v>4167.9397058645955</v>
      </c>
      <c r="X132" s="435">
        <v>6525.3654687505177</v>
      </c>
      <c r="Y132" s="435">
        <v>3948.5742940449836</v>
      </c>
      <c r="Z132" s="435">
        <v>6232.4796268267528</v>
      </c>
      <c r="AA132" s="435">
        <v>3824.4100909229905</v>
      </c>
      <c r="AB132" s="435">
        <v>2262.5593270836971</v>
      </c>
      <c r="AC132" s="435">
        <v>1370.6150179186943</v>
      </c>
      <c r="AD132" s="435">
        <v>-754.35777124795186</v>
      </c>
      <c r="AE132" s="435">
        <v>-353.7708490013174</v>
      </c>
      <c r="AF132" s="435">
        <v>-338.08215017416296</v>
      </c>
      <c r="AG132" s="435">
        <v>-204.19046940462476</v>
      </c>
      <c r="AH132" s="435">
        <v>876.21691642807764</v>
      </c>
      <c r="AI132" s="435">
        <v>688.25699824794901</v>
      </c>
      <c r="AJ132" s="435">
        <v>1078.8547375358557</v>
      </c>
      <c r="AK132" s="435">
        <v>515.52917665909899</v>
      </c>
      <c r="AL132" s="435">
        <v>-230.93971608984339</v>
      </c>
      <c r="AM132" s="435">
        <v>-374.37006408810157</v>
      </c>
      <c r="AN132" s="435">
        <v>1523.3095377045956</v>
      </c>
      <c r="AO132" s="435">
        <v>487.55980305884304</v>
      </c>
      <c r="AP132" s="435">
        <v>722.83294864913387</v>
      </c>
      <c r="AQ132" s="435">
        <v>1138.374565665194</v>
      </c>
      <c r="AR132" s="435">
        <v>3696.1636165014452</v>
      </c>
      <c r="AS132" s="435">
        <v>2319.6658212475681</v>
      </c>
      <c r="AT132" s="435">
        <v>5424.1155624623616</v>
      </c>
      <c r="AU132" s="435">
        <v>4167.9397058645955</v>
      </c>
      <c r="AV132" s="435">
        <v>6525.3654687505177</v>
      </c>
      <c r="AW132" s="435">
        <v>3948.5742940449836</v>
      </c>
      <c r="AX132" s="435">
        <v>6232.4796268267528</v>
      </c>
      <c r="AY132" s="435">
        <v>3824.4100909229905</v>
      </c>
      <c r="BA132" s="360"/>
      <c r="BB132" s="360"/>
    </row>
    <row r="133" spans="2:54">
      <c r="B133" s="364">
        <v>13927</v>
      </c>
      <c r="C133" s="271" t="s">
        <v>320</v>
      </c>
      <c r="D133" s="435">
        <v>0</v>
      </c>
      <c r="E133" s="435">
        <v>0</v>
      </c>
      <c r="F133" s="435">
        <v>0</v>
      </c>
      <c r="G133" s="435">
        <v>0</v>
      </c>
      <c r="H133" s="435">
        <v>0</v>
      </c>
      <c r="I133" s="435">
        <v>0</v>
      </c>
      <c r="J133" s="435">
        <v>0</v>
      </c>
      <c r="K133" s="435">
        <v>0</v>
      </c>
      <c r="L133" s="435">
        <v>0</v>
      </c>
      <c r="M133" s="435">
        <v>0</v>
      </c>
      <c r="N133" s="435">
        <v>0</v>
      </c>
      <c r="O133" s="435">
        <v>0</v>
      </c>
      <c r="P133" s="435">
        <v>0</v>
      </c>
      <c r="Q133" s="435">
        <v>0</v>
      </c>
      <c r="R133" s="435">
        <v>0</v>
      </c>
      <c r="S133" s="435">
        <v>0</v>
      </c>
      <c r="T133" s="435">
        <v>0</v>
      </c>
      <c r="U133" s="435">
        <v>0</v>
      </c>
      <c r="V133" s="435">
        <v>0</v>
      </c>
      <c r="W133" s="435">
        <v>0</v>
      </c>
      <c r="X133" s="435">
        <v>0</v>
      </c>
      <c r="Y133" s="435">
        <v>0</v>
      </c>
      <c r="Z133" s="435">
        <v>0</v>
      </c>
      <c r="AA133" s="435">
        <v>0</v>
      </c>
      <c r="AB133" s="435">
        <v>0</v>
      </c>
      <c r="AC133" s="435">
        <v>0</v>
      </c>
      <c r="AD133" s="435">
        <v>0</v>
      </c>
      <c r="AE133" s="435">
        <v>0</v>
      </c>
      <c r="AF133" s="435">
        <v>0</v>
      </c>
      <c r="AG133" s="435">
        <v>0</v>
      </c>
      <c r="AH133" s="435">
        <v>0</v>
      </c>
      <c r="AI133" s="435">
        <v>0</v>
      </c>
      <c r="AJ133" s="435">
        <v>0</v>
      </c>
      <c r="AK133" s="435">
        <v>0</v>
      </c>
      <c r="AL133" s="435">
        <v>0</v>
      </c>
      <c r="AM133" s="435">
        <v>0</v>
      </c>
      <c r="AN133" s="435">
        <v>0</v>
      </c>
      <c r="AO133" s="435">
        <v>0</v>
      </c>
      <c r="AP133" s="435">
        <v>0</v>
      </c>
      <c r="AQ133" s="435">
        <v>0</v>
      </c>
      <c r="AR133" s="435">
        <v>0</v>
      </c>
      <c r="AS133" s="435">
        <v>0</v>
      </c>
      <c r="AT133" s="435">
        <v>0</v>
      </c>
      <c r="AU133" s="435">
        <v>0</v>
      </c>
      <c r="AV133" s="435">
        <v>0</v>
      </c>
      <c r="AW133" s="435">
        <v>0</v>
      </c>
      <c r="AX133" s="435">
        <v>0</v>
      </c>
      <c r="AY133" s="435">
        <v>0</v>
      </c>
      <c r="BA133" s="360"/>
      <c r="BB133" s="360"/>
    </row>
    <row r="134" spans="2:54">
      <c r="B134" s="271">
        <v>10597</v>
      </c>
      <c r="C134" s="271" t="s">
        <v>136</v>
      </c>
      <c r="D134" s="435">
        <v>-262.96304212014275</v>
      </c>
      <c r="E134" s="435">
        <v>-219.05332807729974</v>
      </c>
      <c r="F134" s="435">
        <v>-924.46495531283563</v>
      </c>
      <c r="G134" s="435">
        <v>-270.88372215709387</v>
      </c>
      <c r="H134" s="435">
        <v>-72.203301861985892</v>
      </c>
      <c r="I134" s="435">
        <v>621.66544526859616</v>
      </c>
      <c r="J134" s="435">
        <v>931.43317392433528</v>
      </c>
      <c r="K134" s="435">
        <v>978.30189644431039</v>
      </c>
      <c r="L134" s="435">
        <v>381.85035232650353</v>
      </c>
      <c r="M134" s="435">
        <v>413.57352829613501</v>
      </c>
      <c r="N134" s="435">
        <v>-688.0673868325166</v>
      </c>
      <c r="O134" s="435">
        <v>-276.97062035817635</v>
      </c>
      <c r="P134" s="435">
        <v>-104.69333861690848</v>
      </c>
      <c r="Q134" s="435">
        <v>-171.57692470466282</v>
      </c>
      <c r="R134" s="435">
        <v>-2774.3288829531321</v>
      </c>
      <c r="S134" s="435">
        <v>-1383.1640036809331</v>
      </c>
      <c r="T134" s="435">
        <v>-694.06799253543886</v>
      </c>
      <c r="U134" s="435">
        <v>-281.01892624786524</v>
      </c>
      <c r="V134" s="435">
        <v>1081.8394745681862</v>
      </c>
      <c r="W134" s="435">
        <v>878.97704095075051</v>
      </c>
      <c r="X134" s="435">
        <v>589.17713394536804</v>
      </c>
      <c r="Y134" s="435">
        <v>422.04972399934104</v>
      </c>
      <c r="Z134" s="435">
        <v>313.20733599716368</v>
      </c>
      <c r="AA134" s="435">
        <v>232.45409628051675</v>
      </c>
      <c r="AB134" s="435">
        <v>-262.05303490557344</v>
      </c>
      <c r="AC134" s="435">
        <v>-218.5348883642464</v>
      </c>
      <c r="AD134" s="435">
        <v>-923.39190352682908</v>
      </c>
      <c r="AE134" s="435">
        <v>-270.23482092977974</v>
      </c>
      <c r="AF134" s="435">
        <v>-71.167781194560121</v>
      </c>
      <c r="AG134" s="435">
        <v>622.30697435923139</v>
      </c>
      <c r="AH134" s="435">
        <v>932.32971512883978</v>
      </c>
      <c r="AI134" s="435">
        <v>978.86060330042073</v>
      </c>
      <c r="AJ134" s="435">
        <v>582.61232140414268</v>
      </c>
      <c r="AK134" s="435">
        <v>514.03552023486509</v>
      </c>
      <c r="AL134" s="435">
        <v>-687.11814556754325</v>
      </c>
      <c r="AM134" s="435">
        <v>-276.39276691862597</v>
      </c>
      <c r="AN134" s="435">
        <v>-103.90409048774109</v>
      </c>
      <c r="AO134" s="435">
        <v>-171.09489102636871</v>
      </c>
      <c r="AP134" s="435">
        <v>-2773.0370931638345</v>
      </c>
      <c r="AQ134" s="435">
        <v>-1382.4465998921833</v>
      </c>
      <c r="AR134" s="435">
        <v>-693.02616467882854</v>
      </c>
      <c r="AS134" s="435">
        <v>-280.4292329984105</v>
      </c>
      <c r="AT134" s="435">
        <v>1082.8085090176382</v>
      </c>
      <c r="AU134" s="435">
        <v>879.4955712824717</v>
      </c>
      <c r="AV134" s="435">
        <v>590.21365286358105</v>
      </c>
      <c r="AW134" s="435">
        <v>422.57663956689066</v>
      </c>
      <c r="AX134" s="435">
        <v>314.01665139508532</v>
      </c>
      <c r="AY134" s="435">
        <v>232.95939177225637</v>
      </c>
      <c r="BA134" s="360"/>
      <c r="BB134" s="360"/>
    </row>
    <row r="135" spans="2:54">
      <c r="B135" s="271">
        <v>10706</v>
      </c>
      <c r="C135" s="271" t="s">
        <v>137</v>
      </c>
      <c r="D135" s="435">
        <v>-138.25920097301514</v>
      </c>
      <c r="E135" s="435">
        <v>929.82436847447161</v>
      </c>
      <c r="F135" s="435">
        <v>-2013.4688612293348</v>
      </c>
      <c r="G135" s="435">
        <v>9.3612258996090532</v>
      </c>
      <c r="H135" s="435">
        <v>-1384.8480742055181</v>
      </c>
      <c r="I135" s="435">
        <v>162.94286458076294</v>
      </c>
      <c r="J135" s="435">
        <v>1079.3153790249607</v>
      </c>
      <c r="K135" s="435">
        <v>1952.3073245177457</v>
      </c>
      <c r="L135" s="435">
        <v>993.89400997121538</v>
      </c>
      <c r="M135" s="435">
        <v>1580.2556764229917</v>
      </c>
      <c r="N135" s="435">
        <v>667.69593572306894</v>
      </c>
      <c r="O135" s="435">
        <v>1386.8045716499164</v>
      </c>
      <c r="P135" s="435">
        <v>1753.897163187281</v>
      </c>
      <c r="Q135" s="435">
        <v>1856.7478697904144</v>
      </c>
      <c r="R135" s="435">
        <v>-2180.7737158449381</v>
      </c>
      <c r="S135" s="435">
        <v>650.03120247832067</v>
      </c>
      <c r="T135" s="435">
        <v>3.228558247541514</v>
      </c>
      <c r="U135" s="435">
        <v>1274.2772433800837</v>
      </c>
      <c r="V135" s="435">
        <v>977.81245793462404</v>
      </c>
      <c r="W135" s="435">
        <v>2489.2710819288413</v>
      </c>
      <c r="X135" s="435">
        <v>788.3873803445158</v>
      </c>
      <c r="Y135" s="435">
        <v>2288.6558580518722</v>
      </c>
      <c r="Z135" s="435">
        <v>1740.7022617792463</v>
      </c>
      <c r="AA135" s="435">
        <v>2318.6245022765329</v>
      </c>
      <c r="AB135" s="435">
        <v>-397.61125712525154</v>
      </c>
      <c r="AC135" s="435">
        <v>782.06905025421838</v>
      </c>
      <c r="AD135" s="435">
        <v>-2319.2886202410946</v>
      </c>
      <c r="AE135" s="435">
        <v>-175.57562388496535</v>
      </c>
      <c r="AF135" s="435">
        <v>-1679.9714644218548</v>
      </c>
      <c r="AG135" s="435">
        <v>-19.892926250355231</v>
      </c>
      <c r="AH135" s="435">
        <v>823.80113574109146</v>
      </c>
      <c r="AI135" s="435">
        <v>1793.0758705262315</v>
      </c>
      <c r="AJ135" s="435">
        <v>1033.3036709161379</v>
      </c>
      <c r="AK135" s="435">
        <v>1576.8733979209092</v>
      </c>
      <c r="AL135" s="435">
        <v>397.16217520559167</v>
      </c>
      <c r="AM135" s="435">
        <v>1222.1163413780287</v>
      </c>
      <c r="AN135" s="435">
        <v>1528.961446374371</v>
      </c>
      <c r="AO135" s="435">
        <v>1719.3682714764973</v>
      </c>
      <c r="AP135" s="435">
        <v>-2548.933805794928</v>
      </c>
      <c r="AQ135" s="435">
        <v>445.57112268464516</v>
      </c>
      <c r="AR135" s="435">
        <v>-293.69238088631755</v>
      </c>
      <c r="AS135" s="435">
        <v>1106.2146672854396</v>
      </c>
      <c r="AT135" s="435">
        <v>701.6376398407474</v>
      </c>
      <c r="AU135" s="435">
        <v>2341.4899373882718</v>
      </c>
      <c r="AV135" s="435">
        <v>492.97948865400758</v>
      </c>
      <c r="AW135" s="435">
        <v>2138.4849213002481</v>
      </c>
      <c r="AX135" s="435">
        <v>1510.0473733714671</v>
      </c>
      <c r="AY135" s="435">
        <v>2174.6152871306977</v>
      </c>
      <c r="BA135" s="360"/>
      <c r="BB135" s="360"/>
    </row>
    <row r="136" spans="2:54">
      <c r="B136" s="271">
        <v>11680</v>
      </c>
      <c r="C136" s="271" t="s">
        <v>138</v>
      </c>
      <c r="D136" s="435">
        <v>-82.918250253004771</v>
      </c>
      <c r="E136" s="435">
        <v>7.5571917815530014</v>
      </c>
      <c r="F136" s="435">
        <v>-189.62625980180428</v>
      </c>
      <c r="G136" s="435">
        <v>-38.980171715270444</v>
      </c>
      <c r="H136" s="435">
        <v>405.83933661798437</v>
      </c>
      <c r="I136" s="435">
        <v>497.27680384879022</v>
      </c>
      <c r="J136" s="435">
        <v>782.52556318979214</v>
      </c>
      <c r="K136" s="435">
        <v>508.53332213586395</v>
      </c>
      <c r="L136" s="435">
        <v>528.3232550637149</v>
      </c>
      <c r="M136" s="435">
        <v>318.66098946573993</v>
      </c>
      <c r="N136" s="435">
        <v>45.561548953970942</v>
      </c>
      <c r="O136" s="435">
        <v>-131.11487332185902</v>
      </c>
      <c r="P136" s="435">
        <v>138.35668023875542</v>
      </c>
      <c r="Q136" s="435">
        <v>73.315912435783503</v>
      </c>
      <c r="R136" s="435">
        <v>-1320.6784529838169</v>
      </c>
      <c r="S136" s="435">
        <v>-711.36500134296421</v>
      </c>
      <c r="T136" s="435">
        <v>-420.47567102500579</v>
      </c>
      <c r="U136" s="435">
        <v>-393.4476379525413</v>
      </c>
      <c r="V136" s="435">
        <v>350.08493872217377</v>
      </c>
      <c r="W136" s="435">
        <v>394.25809093379098</v>
      </c>
      <c r="X136" s="435">
        <v>273.33290301484431</v>
      </c>
      <c r="Y136" s="435">
        <v>73.920260414241056</v>
      </c>
      <c r="Z136" s="435">
        <v>115.17310121659148</v>
      </c>
      <c r="AA136" s="435">
        <v>55.47232054518031</v>
      </c>
      <c r="AB136" s="435">
        <v>-82.918250253004771</v>
      </c>
      <c r="AC136" s="435">
        <v>7.5571917815530014</v>
      </c>
      <c r="AD136" s="435">
        <v>-189.62625980180428</v>
      </c>
      <c r="AE136" s="435">
        <v>-38.980171715270444</v>
      </c>
      <c r="AF136" s="435">
        <v>405.83933661798437</v>
      </c>
      <c r="AG136" s="435">
        <v>497.27680384879022</v>
      </c>
      <c r="AH136" s="435">
        <v>782.52556318979214</v>
      </c>
      <c r="AI136" s="435">
        <v>508.53332213586395</v>
      </c>
      <c r="AJ136" s="435">
        <v>628.60035566371516</v>
      </c>
      <c r="AK136" s="435">
        <v>368.79953976574006</v>
      </c>
      <c r="AL136" s="435">
        <v>45.561548953970942</v>
      </c>
      <c r="AM136" s="435">
        <v>-131.11487332185902</v>
      </c>
      <c r="AN136" s="435">
        <v>138.35668023875542</v>
      </c>
      <c r="AO136" s="435">
        <v>73.315912435783503</v>
      </c>
      <c r="AP136" s="435">
        <v>-1320.6784529838169</v>
      </c>
      <c r="AQ136" s="435">
        <v>-711.36500134296421</v>
      </c>
      <c r="AR136" s="435">
        <v>-420.47567102500579</v>
      </c>
      <c r="AS136" s="435">
        <v>-393.4476379525413</v>
      </c>
      <c r="AT136" s="435">
        <v>350.08493872217377</v>
      </c>
      <c r="AU136" s="435">
        <v>394.25809093379098</v>
      </c>
      <c r="AV136" s="435">
        <v>273.33290301484431</v>
      </c>
      <c r="AW136" s="435">
        <v>73.920260414241056</v>
      </c>
      <c r="AX136" s="435">
        <v>115.17310121659148</v>
      </c>
      <c r="AY136" s="435">
        <v>55.47232054518031</v>
      </c>
      <c r="BA136" s="360"/>
      <c r="BB136" s="360"/>
    </row>
    <row r="137" spans="2:54">
      <c r="B137" s="271">
        <v>12026</v>
      </c>
      <c r="C137" s="271" t="s">
        <v>139</v>
      </c>
      <c r="D137" s="435">
        <v>-735.84201618847874</v>
      </c>
      <c r="E137" s="435">
        <v>897.26191434841712</v>
      </c>
      <c r="F137" s="435">
        <v>590.49535126227784</v>
      </c>
      <c r="G137" s="435">
        <v>1692.5472737079726</v>
      </c>
      <c r="H137" s="435">
        <v>4559.1032869293558</v>
      </c>
      <c r="I137" s="435">
        <v>4988.9312539967559</v>
      </c>
      <c r="J137" s="435">
        <v>7187.6191999098664</v>
      </c>
      <c r="K137" s="435">
        <v>5494.7802055589545</v>
      </c>
      <c r="L137" s="435">
        <v>5321.0638747689045</v>
      </c>
      <c r="M137" s="435">
        <v>4020.7698538506193</v>
      </c>
      <c r="N137" s="435">
        <v>3564.8996483318115</v>
      </c>
      <c r="O137" s="435">
        <v>2349.8963711896195</v>
      </c>
      <c r="P137" s="435">
        <v>2486.1540243599284</v>
      </c>
      <c r="Q137" s="435">
        <v>2860.4191612945669</v>
      </c>
      <c r="R137" s="435">
        <v>-9385.2742883946376</v>
      </c>
      <c r="S137" s="435">
        <v>-3575.9259973447079</v>
      </c>
      <c r="T137" s="435">
        <v>-5984.3315511700694</v>
      </c>
      <c r="U137" s="435">
        <v>-3128.1423323511553</v>
      </c>
      <c r="V137" s="435">
        <v>-5016.2370416302856</v>
      </c>
      <c r="W137" s="435">
        <v>-833.4867497450341</v>
      </c>
      <c r="X137" s="435">
        <v>-5418.5961389173026</v>
      </c>
      <c r="Y137" s="435">
        <v>-2033.3873008984156</v>
      </c>
      <c r="Z137" s="435">
        <v>-2001.4925501358466</v>
      </c>
      <c r="AA137" s="435">
        <v>-223.85084025061769</v>
      </c>
      <c r="AB137" s="435">
        <v>-908.44005121844748</v>
      </c>
      <c r="AC137" s="435">
        <v>798.93118210593275</v>
      </c>
      <c r="AD137" s="435">
        <v>386.97319584977231</v>
      </c>
      <c r="AE137" s="435">
        <v>1569.4723409273593</v>
      </c>
      <c r="AF137" s="435">
        <v>4362.699533674273</v>
      </c>
      <c r="AG137" s="435">
        <v>4867.2545698062204</v>
      </c>
      <c r="AH137" s="435">
        <v>7017.5752181221214</v>
      </c>
      <c r="AI137" s="435">
        <v>5388.8121385166469</v>
      </c>
      <c r="AJ137" s="435">
        <v>5846.7545423607335</v>
      </c>
      <c r="AK137" s="435">
        <v>4268.2507841301413</v>
      </c>
      <c r="AL137" s="435">
        <v>3384.8602217418156</v>
      </c>
      <c r="AM137" s="435">
        <v>2240.2968354882123</v>
      </c>
      <c r="AN137" s="435">
        <v>2336.4599625277115</v>
      </c>
      <c r="AO137" s="435">
        <v>2768.9934403113875</v>
      </c>
      <c r="AP137" s="435">
        <v>-9630.2837517648695</v>
      </c>
      <c r="AQ137" s="435">
        <v>-3711.9935826109086</v>
      </c>
      <c r="AR137" s="435">
        <v>-6181.931567973772</v>
      </c>
      <c r="AS137" s="435">
        <v>-3239.9874853310994</v>
      </c>
      <c r="AT137" s="435">
        <v>-5200.0305755430545</v>
      </c>
      <c r="AU137" s="435">
        <v>-931.83466932817282</v>
      </c>
      <c r="AV137" s="435">
        <v>-5615.1892270715725</v>
      </c>
      <c r="AW137" s="435">
        <v>-2133.3256202103148</v>
      </c>
      <c r="AX137" s="435">
        <v>-2154.9927039417271</v>
      </c>
      <c r="AY137" s="435">
        <v>-319.6885518505951</v>
      </c>
      <c r="BA137" s="360"/>
      <c r="BB137" s="360"/>
    </row>
    <row r="138" spans="2:54">
      <c r="B138" s="271">
        <v>10298</v>
      </c>
      <c r="C138" s="271" t="s">
        <v>140</v>
      </c>
      <c r="D138" s="435">
        <v>-6516.1756261865376</v>
      </c>
      <c r="E138" s="435">
        <v>11691.437445291318</v>
      </c>
      <c r="F138" s="435">
        <v>-18494.483976070886</v>
      </c>
      <c r="G138" s="435">
        <v>5038.2075588567823</v>
      </c>
      <c r="H138" s="435">
        <v>26725.072277682222</v>
      </c>
      <c r="I138" s="435">
        <v>41502.378781893611</v>
      </c>
      <c r="J138" s="435">
        <v>58962.801930960239</v>
      </c>
      <c r="K138" s="435">
        <v>49917.207608018012</v>
      </c>
      <c r="L138" s="435">
        <v>38965.373963419086</v>
      </c>
      <c r="M138" s="435">
        <v>34242.884486961586</v>
      </c>
      <c r="N138" s="435">
        <v>5975.8767783464282</v>
      </c>
      <c r="O138" s="435">
        <v>5986.8254488248785</v>
      </c>
      <c r="P138" s="435">
        <v>35131.045511806849</v>
      </c>
      <c r="Q138" s="435">
        <v>28194.894629440038</v>
      </c>
      <c r="R138" s="435">
        <v>-80948.811059082713</v>
      </c>
      <c r="S138" s="435">
        <v>-19651.69631885225</v>
      </c>
      <c r="T138" s="435">
        <v>5254.4244232963538</v>
      </c>
      <c r="U138" s="435">
        <v>13653.623571561795</v>
      </c>
      <c r="V138" s="435">
        <v>39522.95542209674</v>
      </c>
      <c r="W138" s="435">
        <v>57576.990520176783</v>
      </c>
      <c r="X138" s="435">
        <v>22537.396081814717</v>
      </c>
      <c r="Y138" s="435">
        <v>33768.732054995911</v>
      </c>
      <c r="Z138" s="435">
        <v>35083.003920527379</v>
      </c>
      <c r="AA138" s="435">
        <v>20601.370898014109</v>
      </c>
      <c r="AB138" s="435">
        <v>-7274.2667727816734</v>
      </c>
      <c r="AC138" s="435">
        <v>9824.2882640772004</v>
      </c>
      <c r="AD138" s="435">
        <v>-20720.337658287142</v>
      </c>
      <c r="AE138" s="435">
        <v>4635.1110503917735</v>
      </c>
      <c r="AF138" s="435">
        <v>25197.675416602549</v>
      </c>
      <c r="AG138" s="435">
        <v>40342.053137113864</v>
      </c>
      <c r="AH138" s="435">
        <v>57519.071241561353</v>
      </c>
      <c r="AI138" s="435">
        <v>48728.96195151555</v>
      </c>
      <c r="AJ138" s="435">
        <v>46660.652022188558</v>
      </c>
      <c r="AK138" s="435">
        <v>37777.747656502106</v>
      </c>
      <c r="AL138" s="435">
        <v>4421.4288070830808</v>
      </c>
      <c r="AM138" s="435">
        <v>4894.2856176845089</v>
      </c>
      <c r="AN138" s="435">
        <v>34452.041148675955</v>
      </c>
      <c r="AO138" s="435">
        <v>26361.263498295346</v>
      </c>
      <c r="AP138" s="435">
        <v>-83278.376892793021</v>
      </c>
      <c r="AQ138" s="435">
        <v>-20093.331804424699</v>
      </c>
      <c r="AR138" s="435">
        <v>3725.4423553350207</v>
      </c>
      <c r="AS138" s="435">
        <v>12579.430001532135</v>
      </c>
      <c r="AT138" s="435">
        <v>38061.004763801058</v>
      </c>
      <c r="AU138" s="435">
        <v>56398.84256347084</v>
      </c>
      <c r="AV138" s="435">
        <v>20961.012327037373</v>
      </c>
      <c r="AW138" s="435">
        <v>32685.948609018466</v>
      </c>
      <c r="AX138" s="435">
        <v>33661.195983849611</v>
      </c>
      <c r="AY138" s="435">
        <v>19499.653297756842</v>
      </c>
      <c r="BA138" s="360"/>
      <c r="BB138" s="360"/>
    </row>
    <row r="139" spans="2:54">
      <c r="B139" s="296" t="s">
        <v>141</v>
      </c>
      <c r="C139" s="297" t="s">
        <v>141</v>
      </c>
      <c r="D139" s="298" t="s">
        <v>141</v>
      </c>
      <c r="E139" s="299" t="s">
        <v>141</v>
      </c>
      <c r="F139" s="298" t="s">
        <v>141</v>
      </c>
      <c r="G139" s="299" t="s">
        <v>141</v>
      </c>
      <c r="H139" s="298" t="s">
        <v>141</v>
      </c>
      <c r="I139" s="299" t="s">
        <v>141</v>
      </c>
      <c r="J139" s="298" t="s">
        <v>141</v>
      </c>
      <c r="K139" s="299" t="s">
        <v>141</v>
      </c>
      <c r="L139" s="298" t="s">
        <v>141</v>
      </c>
      <c r="M139" s="299" t="s">
        <v>141</v>
      </c>
      <c r="N139" s="298" t="s">
        <v>141</v>
      </c>
      <c r="O139" s="299" t="s">
        <v>141</v>
      </c>
      <c r="P139" s="298" t="s">
        <v>141</v>
      </c>
      <c r="Q139" s="299" t="s">
        <v>141</v>
      </c>
      <c r="R139" s="298" t="s">
        <v>141</v>
      </c>
      <c r="S139" s="299" t="s">
        <v>141</v>
      </c>
      <c r="T139" s="298" t="s">
        <v>141</v>
      </c>
      <c r="U139" s="299" t="s">
        <v>141</v>
      </c>
      <c r="V139" s="298" t="s">
        <v>141</v>
      </c>
      <c r="W139" s="299" t="s">
        <v>141</v>
      </c>
      <c r="X139" s="298" t="s">
        <v>141</v>
      </c>
      <c r="Y139" s="299" t="s">
        <v>141</v>
      </c>
      <c r="Z139" s="298" t="s">
        <v>141</v>
      </c>
      <c r="AA139" s="299" t="s">
        <v>141</v>
      </c>
      <c r="AB139" s="298" t="s">
        <v>141</v>
      </c>
      <c r="AC139" s="299" t="s">
        <v>141</v>
      </c>
      <c r="AD139" s="298" t="s">
        <v>141</v>
      </c>
      <c r="AE139" s="299" t="s">
        <v>141</v>
      </c>
      <c r="AF139" s="298" t="s">
        <v>141</v>
      </c>
      <c r="AG139" s="299" t="s">
        <v>141</v>
      </c>
      <c r="AH139" s="298" t="s">
        <v>141</v>
      </c>
      <c r="AI139" s="299" t="s">
        <v>141</v>
      </c>
      <c r="AJ139" s="298" t="s">
        <v>141</v>
      </c>
      <c r="AK139" s="299" t="s">
        <v>141</v>
      </c>
      <c r="AL139" s="298" t="s">
        <v>141</v>
      </c>
      <c r="AM139" s="299" t="s">
        <v>141</v>
      </c>
      <c r="AN139" s="298" t="s">
        <v>141</v>
      </c>
      <c r="AO139" s="299" t="s">
        <v>141</v>
      </c>
      <c r="AP139" s="298" t="s">
        <v>141</v>
      </c>
      <c r="AQ139" s="299" t="s">
        <v>141</v>
      </c>
      <c r="AR139" s="298" t="s">
        <v>141</v>
      </c>
      <c r="AS139" s="299" t="s">
        <v>141</v>
      </c>
      <c r="AT139" s="298" t="s">
        <v>141</v>
      </c>
      <c r="AU139" s="299" t="s">
        <v>141</v>
      </c>
      <c r="AV139" s="298" t="s">
        <v>141</v>
      </c>
      <c r="AW139" s="299" t="s">
        <v>141</v>
      </c>
      <c r="AX139" s="298" t="s">
        <v>141</v>
      </c>
      <c r="AY139" s="299" t="s">
        <v>141</v>
      </c>
      <c r="BA139" s="360"/>
      <c r="BB139" s="360"/>
    </row>
    <row r="140" spans="2:54">
      <c r="B140" s="296" t="s">
        <v>141</v>
      </c>
      <c r="C140" s="297" t="s">
        <v>141</v>
      </c>
      <c r="D140" s="298"/>
      <c r="E140" s="299"/>
      <c r="F140" s="298"/>
      <c r="G140" s="299"/>
      <c r="H140" s="298"/>
      <c r="I140" s="299" t="s">
        <v>141</v>
      </c>
      <c r="J140" s="298" t="s">
        <v>141</v>
      </c>
      <c r="K140" s="299" t="s">
        <v>141</v>
      </c>
      <c r="L140" s="298" t="s">
        <v>141</v>
      </c>
      <c r="M140" s="299" t="s">
        <v>141</v>
      </c>
      <c r="N140" s="298" t="s">
        <v>141</v>
      </c>
      <c r="O140" s="299" t="s">
        <v>141</v>
      </c>
      <c r="P140" s="298" t="s">
        <v>141</v>
      </c>
      <c r="Q140" s="299" t="s">
        <v>141</v>
      </c>
      <c r="R140" s="298" t="s">
        <v>141</v>
      </c>
      <c r="S140" s="299" t="s">
        <v>141</v>
      </c>
      <c r="T140" s="298" t="s">
        <v>141</v>
      </c>
      <c r="U140" s="299" t="s">
        <v>141</v>
      </c>
      <c r="V140" s="298" t="s">
        <v>141</v>
      </c>
      <c r="W140" s="299" t="s">
        <v>141</v>
      </c>
      <c r="X140" s="298" t="s">
        <v>141</v>
      </c>
      <c r="Y140" s="299" t="s">
        <v>141</v>
      </c>
      <c r="Z140" s="298" t="s">
        <v>141</v>
      </c>
      <c r="AA140" s="299" t="s">
        <v>141</v>
      </c>
      <c r="AB140" s="298" t="s">
        <v>141</v>
      </c>
      <c r="AC140" s="299" t="s">
        <v>141</v>
      </c>
      <c r="AD140" s="298" t="s">
        <v>141</v>
      </c>
      <c r="AE140" s="299" t="s">
        <v>141</v>
      </c>
      <c r="AF140" s="298" t="s">
        <v>141</v>
      </c>
      <c r="AG140" s="299" t="s">
        <v>141</v>
      </c>
      <c r="AH140" s="298" t="s">
        <v>141</v>
      </c>
      <c r="AI140" s="299" t="s">
        <v>141</v>
      </c>
      <c r="AJ140" s="298" t="s">
        <v>141</v>
      </c>
      <c r="AK140" s="299" t="s">
        <v>141</v>
      </c>
      <c r="AL140" s="298" t="s">
        <v>141</v>
      </c>
      <c r="AM140" s="299" t="s">
        <v>141</v>
      </c>
      <c r="AN140" s="298" t="s">
        <v>141</v>
      </c>
      <c r="AO140" s="299" t="s">
        <v>141</v>
      </c>
      <c r="AP140" s="298" t="s">
        <v>141</v>
      </c>
      <c r="AQ140" s="299" t="s">
        <v>141</v>
      </c>
      <c r="AR140" s="298" t="s">
        <v>141</v>
      </c>
      <c r="AS140" s="299" t="s">
        <v>141</v>
      </c>
      <c r="AT140" s="298" t="s">
        <v>141</v>
      </c>
      <c r="AU140" s="299" t="s">
        <v>141</v>
      </c>
      <c r="AV140" s="298" t="s">
        <v>141</v>
      </c>
      <c r="AW140" s="299" t="s">
        <v>141</v>
      </c>
      <c r="AX140" s="298" t="s">
        <v>141</v>
      </c>
      <c r="AY140" s="299" t="s">
        <v>141</v>
      </c>
    </row>
    <row r="141" spans="2:54">
      <c r="B141" s="296" t="s">
        <v>141</v>
      </c>
      <c r="C141" s="297" t="s">
        <v>141</v>
      </c>
      <c r="D141" s="298" t="s">
        <v>141</v>
      </c>
      <c r="E141" s="299" t="s">
        <v>141</v>
      </c>
      <c r="F141" s="298" t="s">
        <v>141</v>
      </c>
      <c r="G141" s="299" t="s">
        <v>141</v>
      </c>
      <c r="H141" s="298" t="s">
        <v>141</v>
      </c>
      <c r="I141" s="299" t="s">
        <v>141</v>
      </c>
      <c r="J141" s="298" t="s">
        <v>141</v>
      </c>
      <c r="K141" s="299" t="s">
        <v>141</v>
      </c>
      <c r="L141" s="298" t="s">
        <v>141</v>
      </c>
      <c r="M141" s="299" t="s">
        <v>141</v>
      </c>
      <c r="N141" s="298" t="s">
        <v>141</v>
      </c>
      <c r="O141" s="299" t="s">
        <v>141</v>
      </c>
      <c r="P141" s="298" t="s">
        <v>141</v>
      </c>
      <c r="Q141" s="299" t="s">
        <v>141</v>
      </c>
      <c r="R141" s="298" t="s">
        <v>141</v>
      </c>
      <c r="S141" s="299" t="s">
        <v>141</v>
      </c>
      <c r="T141" s="298" t="s">
        <v>141</v>
      </c>
      <c r="U141" s="299" t="s">
        <v>141</v>
      </c>
      <c r="V141" s="298" t="s">
        <v>141</v>
      </c>
      <c r="W141" s="299" t="s">
        <v>141</v>
      </c>
      <c r="X141" s="298" t="s">
        <v>141</v>
      </c>
      <c r="Y141" s="299" t="s">
        <v>141</v>
      </c>
      <c r="Z141" s="298" t="s">
        <v>141</v>
      </c>
      <c r="AA141" s="299" t="s">
        <v>141</v>
      </c>
      <c r="AB141" s="298" t="s">
        <v>141</v>
      </c>
      <c r="AC141" s="299" t="s">
        <v>141</v>
      </c>
      <c r="AD141" s="298" t="s">
        <v>141</v>
      </c>
      <c r="AE141" s="299" t="s">
        <v>141</v>
      </c>
      <c r="AF141" s="298" t="s">
        <v>141</v>
      </c>
      <c r="AG141" s="299" t="s">
        <v>141</v>
      </c>
      <c r="AH141" s="298" t="s">
        <v>141</v>
      </c>
      <c r="AI141" s="299" t="s">
        <v>141</v>
      </c>
      <c r="AJ141" s="298" t="s">
        <v>141</v>
      </c>
      <c r="AK141" s="299" t="s">
        <v>141</v>
      </c>
      <c r="AL141" s="298" t="s">
        <v>141</v>
      </c>
      <c r="AM141" s="299" t="s">
        <v>141</v>
      </c>
      <c r="AN141" s="298" t="s">
        <v>141</v>
      </c>
      <c r="AO141" s="299" t="s">
        <v>141</v>
      </c>
      <c r="AP141" s="298" t="s">
        <v>141</v>
      </c>
      <c r="AQ141" s="299" t="s">
        <v>141</v>
      </c>
      <c r="AR141" s="298" t="s">
        <v>141</v>
      </c>
      <c r="AS141" s="299" t="s">
        <v>141</v>
      </c>
      <c r="AT141" s="298" t="s">
        <v>141</v>
      </c>
      <c r="AU141" s="299" t="s">
        <v>141</v>
      </c>
      <c r="AV141" s="298" t="s">
        <v>141</v>
      </c>
      <c r="AW141" s="299" t="s">
        <v>141</v>
      </c>
      <c r="AX141" s="298" t="s">
        <v>141</v>
      </c>
      <c r="AY141" s="299" t="s">
        <v>141</v>
      </c>
    </row>
    <row r="142" spans="2:54">
      <c r="B142" s="296"/>
      <c r="C142" s="297"/>
      <c r="D142" s="298"/>
      <c r="E142" s="299"/>
      <c r="F142" s="298" t="s">
        <v>141</v>
      </c>
      <c r="G142" s="299" t="s">
        <v>141</v>
      </c>
      <c r="H142" s="298" t="s">
        <v>141</v>
      </c>
      <c r="I142" s="299" t="s">
        <v>141</v>
      </c>
      <c r="J142" s="298" t="s">
        <v>141</v>
      </c>
      <c r="K142" s="299" t="s">
        <v>141</v>
      </c>
      <c r="L142" s="298" t="s">
        <v>141</v>
      </c>
      <c r="M142" s="299" t="s">
        <v>141</v>
      </c>
      <c r="N142" s="298" t="s">
        <v>141</v>
      </c>
      <c r="O142" s="299" t="s">
        <v>141</v>
      </c>
      <c r="P142" s="298" t="s">
        <v>141</v>
      </c>
      <c r="Q142" s="299" t="s">
        <v>141</v>
      </c>
      <c r="R142" s="298" t="s">
        <v>141</v>
      </c>
      <c r="S142" s="299" t="s">
        <v>141</v>
      </c>
      <c r="T142" s="298" t="s">
        <v>141</v>
      </c>
      <c r="U142" s="299" t="s">
        <v>141</v>
      </c>
      <c r="V142" s="298" t="s">
        <v>141</v>
      </c>
      <c r="W142" s="299" t="s">
        <v>141</v>
      </c>
      <c r="X142" s="298" t="s">
        <v>141</v>
      </c>
      <c r="Y142" s="299" t="s">
        <v>141</v>
      </c>
      <c r="Z142" s="298" t="s">
        <v>141</v>
      </c>
      <c r="AA142" s="299" t="s">
        <v>141</v>
      </c>
      <c r="AB142" s="298" t="s">
        <v>141</v>
      </c>
      <c r="AC142" s="299" t="s">
        <v>141</v>
      </c>
      <c r="AD142" s="298" t="s">
        <v>141</v>
      </c>
      <c r="AE142" s="299" t="s">
        <v>141</v>
      </c>
      <c r="AF142" s="298" t="s">
        <v>141</v>
      </c>
      <c r="AG142" s="299" t="s">
        <v>141</v>
      </c>
      <c r="AH142" s="298" t="s">
        <v>141</v>
      </c>
      <c r="AI142" s="299" t="s">
        <v>141</v>
      </c>
      <c r="AJ142" s="298" t="s">
        <v>141</v>
      </c>
      <c r="AK142" s="299" t="s">
        <v>141</v>
      </c>
      <c r="AL142" s="298" t="s">
        <v>141</v>
      </c>
      <c r="AM142" s="299" t="s">
        <v>141</v>
      </c>
      <c r="AN142" s="298" t="s">
        <v>141</v>
      </c>
      <c r="AO142" s="299" t="s">
        <v>141</v>
      </c>
      <c r="AP142" s="298" t="s">
        <v>141</v>
      </c>
      <c r="AQ142" s="299" t="s">
        <v>141</v>
      </c>
      <c r="AR142" s="298" t="s">
        <v>141</v>
      </c>
      <c r="AS142" s="299" t="s">
        <v>141</v>
      </c>
      <c r="AT142" s="298" t="s">
        <v>141</v>
      </c>
      <c r="AU142" s="299" t="s">
        <v>141</v>
      </c>
      <c r="AV142" s="298" t="s">
        <v>141</v>
      </c>
      <c r="AW142" s="299" t="s">
        <v>141</v>
      </c>
      <c r="AX142" s="298" t="s">
        <v>141</v>
      </c>
      <c r="AY142" s="299" t="s">
        <v>141</v>
      </c>
    </row>
    <row r="143" spans="2:54">
      <c r="B143" s="296" t="s">
        <v>141</v>
      </c>
      <c r="C143" s="297" t="s">
        <v>141</v>
      </c>
      <c r="D143" s="298" t="s">
        <v>141</v>
      </c>
      <c r="E143" s="299" t="s">
        <v>141</v>
      </c>
      <c r="F143" s="298" t="s">
        <v>141</v>
      </c>
      <c r="G143" s="299" t="s">
        <v>141</v>
      </c>
      <c r="H143" s="298" t="s">
        <v>141</v>
      </c>
      <c r="I143" s="299" t="s">
        <v>141</v>
      </c>
      <c r="J143" s="298" t="s">
        <v>141</v>
      </c>
      <c r="K143" s="299" t="s">
        <v>141</v>
      </c>
      <c r="L143" s="298" t="s">
        <v>141</v>
      </c>
      <c r="M143" s="299" t="s">
        <v>141</v>
      </c>
      <c r="N143" s="298" t="s">
        <v>141</v>
      </c>
      <c r="O143" s="299" t="s">
        <v>141</v>
      </c>
      <c r="P143" s="298" t="s">
        <v>141</v>
      </c>
      <c r="Q143" s="299" t="s">
        <v>141</v>
      </c>
      <c r="R143" s="298" t="s">
        <v>141</v>
      </c>
      <c r="S143" s="299" t="s">
        <v>141</v>
      </c>
      <c r="T143" s="298" t="s">
        <v>141</v>
      </c>
      <c r="U143" s="299" t="s">
        <v>141</v>
      </c>
      <c r="V143" s="298" t="s">
        <v>141</v>
      </c>
      <c r="W143" s="299" t="s">
        <v>141</v>
      </c>
      <c r="X143" s="298" t="s">
        <v>141</v>
      </c>
      <c r="Y143" s="299" t="s">
        <v>141</v>
      </c>
      <c r="Z143" s="298" t="s">
        <v>141</v>
      </c>
      <c r="AA143" s="299" t="s">
        <v>141</v>
      </c>
      <c r="AB143" s="298" t="s">
        <v>141</v>
      </c>
      <c r="AC143" s="299" t="s">
        <v>141</v>
      </c>
      <c r="AD143" s="298" t="s">
        <v>141</v>
      </c>
      <c r="AE143" s="299" t="s">
        <v>141</v>
      </c>
      <c r="AF143" s="298" t="s">
        <v>141</v>
      </c>
      <c r="AG143" s="299" t="s">
        <v>141</v>
      </c>
      <c r="AH143" s="298" t="s">
        <v>141</v>
      </c>
      <c r="AI143" s="299" t="s">
        <v>141</v>
      </c>
      <c r="AJ143" s="298" t="s">
        <v>141</v>
      </c>
      <c r="AK143" s="299" t="s">
        <v>141</v>
      </c>
      <c r="AL143" s="298" t="s">
        <v>141</v>
      </c>
      <c r="AM143" s="299" t="s">
        <v>141</v>
      </c>
      <c r="AN143" s="298" t="s">
        <v>141</v>
      </c>
      <c r="AO143" s="299" t="s">
        <v>141</v>
      </c>
      <c r="AP143" s="298" t="s">
        <v>141</v>
      </c>
      <c r="AQ143" s="299" t="s">
        <v>141</v>
      </c>
      <c r="AR143" s="298" t="s">
        <v>141</v>
      </c>
      <c r="AS143" s="299" t="s">
        <v>141</v>
      </c>
      <c r="AT143" s="298" t="s">
        <v>141</v>
      </c>
      <c r="AU143" s="299" t="s">
        <v>141</v>
      </c>
      <c r="AV143" s="298" t="s">
        <v>141</v>
      </c>
      <c r="AW143" s="299" t="s">
        <v>141</v>
      </c>
      <c r="AX143" s="298" t="s">
        <v>141</v>
      </c>
      <c r="AY143" s="299" t="s">
        <v>141</v>
      </c>
    </row>
    <row r="144" spans="2:54">
      <c r="B144" s="296" t="s">
        <v>141</v>
      </c>
      <c r="C144" s="297" t="s">
        <v>141</v>
      </c>
      <c r="D144" s="298" t="s">
        <v>141</v>
      </c>
      <c r="E144" s="299" t="s">
        <v>141</v>
      </c>
      <c r="F144" s="298" t="s">
        <v>141</v>
      </c>
      <c r="G144" s="299" t="s">
        <v>141</v>
      </c>
      <c r="H144" s="298" t="s">
        <v>141</v>
      </c>
      <c r="I144" s="299" t="s">
        <v>141</v>
      </c>
      <c r="J144" s="298" t="s">
        <v>141</v>
      </c>
      <c r="K144" s="299" t="s">
        <v>141</v>
      </c>
      <c r="L144" s="298" t="s">
        <v>141</v>
      </c>
      <c r="M144" s="299" t="s">
        <v>141</v>
      </c>
      <c r="N144" s="298" t="s">
        <v>141</v>
      </c>
      <c r="O144" s="299" t="s">
        <v>141</v>
      </c>
      <c r="P144" s="298" t="s">
        <v>141</v>
      </c>
      <c r="Q144" s="299" t="s">
        <v>141</v>
      </c>
      <c r="R144" s="298" t="s">
        <v>141</v>
      </c>
      <c r="S144" s="299" t="s">
        <v>141</v>
      </c>
      <c r="T144" s="298" t="s">
        <v>141</v>
      </c>
      <c r="U144" s="299" t="s">
        <v>141</v>
      </c>
      <c r="V144" s="298" t="s">
        <v>141</v>
      </c>
      <c r="W144" s="299" t="s">
        <v>141</v>
      </c>
      <c r="X144" s="298" t="s">
        <v>141</v>
      </c>
      <c r="Y144" s="299" t="s">
        <v>141</v>
      </c>
      <c r="Z144" s="298" t="s">
        <v>141</v>
      </c>
      <c r="AA144" s="299" t="s">
        <v>141</v>
      </c>
      <c r="AB144" s="298" t="s">
        <v>141</v>
      </c>
      <c r="AC144" s="299" t="s">
        <v>141</v>
      </c>
      <c r="AD144" s="298" t="s">
        <v>141</v>
      </c>
      <c r="AE144" s="299" t="s">
        <v>141</v>
      </c>
      <c r="AF144" s="298" t="s">
        <v>141</v>
      </c>
      <c r="AG144" s="299" t="s">
        <v>141</v>
      </c>
      <c r="AH144" s="298" t="s">
        <v>141</v>
      </c>
      <c r="AI144" s="299" t="s">
        <v>141</v>
      </c>
      <c r="AJ144" s="298" t="s">
        <v>141</v>
      </c>
      <c r="AK144" s="299" t="s">
        <v>141</v>
      </c>
      <c r="AL144" s="298" t="s">
        <v>141</v>
      </c>
      <c r="AM144" s="299" t="s">
        <v>141</v>
      </c>
      <c r="AN144" s="298" t="s">
        <v>141</v>
      </c>
      <c r="AO144" s="299" t="s">
        <v>141</v>
      </c>
      <c r="AP144" s="298" t="s">
        <v>141</v>
      </c>
      <c r="AQ144" s="299" t="s">
        <v>141</v>
      </c>
      <c r="AR144" s="298" t="s">
        <v>141</v>
      </c>
      <c r="AS144" s="299" t="s">
        <v>141</v>
      </c>
      <c r="AT144" s="298" t="s">
        <v>141</v>
      </c>
      <c r="AU144" s="299" t="s">
        <v>141</v>
      </c>
      <c r="AV144" s="298" t="s">
        <v>141</v>
      </c>
      <c r="AW144" s="299" t="s">
        <v>141</v>
      </c>
      <c r="AX144" s="298" t="s">
        <v>141</v>
      </c>
      <c r="AY144" s="299" t="s">
        <v>141</v>
      </c>
    </row>
    <row r="145" spans="2:51">
      <c r="B145" s="296" t="s">
        <v>141</v>
      </c>
      <c r="C145" s="297" t="s">
        <v>141</v>
      </c>
      <c r="D145" s="298" t="s">
        <v>141</v>
      </c>
      <c r="E145" s="299" t="s">
        <v>141</v>
      </c>
      <c r="F145" s="298" t="s">
        <v>141</v>
      </c>
      <c r="G145" s="299" t="s">
        <v>141</v>
      </c>
      <c r="H145" s="298" t="s">
        <v>141</v>
      </c>
      <c r="I145" s="299" t="s">
        <v>141</v>
      </c>
      <c r="J145" s="298" t="s">
        <v>141</v>
      </c>
      <c r="K145" s="299" t="s">
        <v>141</v>
      </c>
      <c r="L145" s="298" t="s">
        <v>141</v>
      </c>
      <c r="M145" s="299" t="s">
        <v>141</v>
      </c>
      <c r="N145" s="298" t="s">
        <v>141</v>
      </c>
      <c r="O145" s="299" t="s">
        <v>141</v>
      </c>
      <c r="P145" s="298" t="s">
        <v>141</v>
      </c>
      <c r="Q145" s="299" t="s">
        <v>141</v>
      </c>
      <c r="R145" s="298" t="s">
        <v>141</v>
      </c>
      <c r="S145" s="299" t="s">
        <v>141</v>
      </c>
      <c r="T145" s="298" t="s">
        <v>141</v>
      </c>
      <c r="U145" s="299" t="s">
        <v>141</v>
      </c>
      <c r="V145" s="298" t="s">
        <v>141</v>
      </c>
      <c r="W145" s="299" t="s">
        <v>141</v>
      </c>
      <c r="X145" s="298" t="s">
        <v>141</v>
      </c>
      <c r="Y145" s="299" t="s">
        <v>141</v>
      </c>
      <c r="Z145" s="298" t="s">
        <v>141</v>
      </c>
      <c r="AA145" s="299" t="s">
        <v>141</v>
      </c>
      <c r="AB145" s="298" t="s">
        <v>141</v>
      </c>
      <c r="AC145" s="299" t="s">
        <v>141</v>
      </c>
      <c r="AD145" s="298" t="s">
        <v>141</v>
      </c>
      <c r="AE145" s="299" t="s">
        <v>141</v>
      </c>
      <c r="AF145" s="298" t="s">
        <v>141</v>
      </c>
      <c r="AG145" s="299" t="s">
        <v>141</v>
      </c>
      <c r="AH145" s="298" t="s">
        <v>141</v>
      </c>
      <c r="AI145" s="299" t="s">
        <v>141</v>
      </c>
      <c r="AJ145" s="298" t="s">
        <v>141</v>
      </c>
      <c r="AK145" s="299" t="s">
        <v>141</v>
      </c>
      <c r="AL145" s="298" t="s">
        <v>141</v>
      </c>
      <c r="AM145" s="299" t="s">
        <v>141</v>
      </c>
      <c r="AN145" s="298" t="s">
        <v>141</v>
      </c>
      <c r="AO145" s="299" t="s">
        <v>141</v>
      </c>
      <c r="AP145" s="298" t="s">
        <v>141</v>
      </c>
      <c r="AQ145" s="299" t="s">
        <v>141</v>
      </c>
      <c r="AR145" s="298" t="s">
        <v>141</v>
      </c>
      <c r="AS145" s="299" t="s">
        <v>141</v>
      </c>
      <c r="AT145" s="298" t="s">
        <v>141</v>
      </c>
      <c r="AU145" s="299" t="s">
        <v>141</v>
      </c>
      <c r="AV145" s="298" t="s">
        <v>141</v>
      </c>
      <c r="AW145" s="299" t="s">
        <v>141</v>
      </c>
      <c r="AX145" s="298" t="s">
        <v>141</v>
      </c>
      <c r="AY145" s="299" t="s">
        <v>141</v>
      </c>
    </row>
    <row r="146" spans="2:51">
      <c r="B146" s="296" t="s">
        <v>141</v>
      </c>
      <c r="C146" s="297" t="s">
        <v>141</v>
      </c>
      <c r="D146" s="298" t="s">
        <v>141</v>
      </c>
      <c r="E146" s="299" t="s">
        <v>141</v>
      </c>
      <c r="F146" s="298" t="s">
        <v>141</v>
      </c>
      <c r="G146" s="299" t="s">
        <v>141</v>
      </c>
      <c r="H146" s="298" t="s">
        <v>141</v>
      </c>
      <c r="I146" s="299" t="s">
        <v>141</v>
      </c>
      <c r="J146" s="298" t="s">
        <v>141</v>
      </c>
      <c r="K146" s="299" t="s">
        <v>141</v>
      </c>
      <c r="L146" s="298" t="s">
        <v>141</v>
      </c>
      <c r="M146" s="299" t="s">
        <v>141</v>
      </c>
      <c r="N146" s="298" t="s">
        <v>141</v>
      </c>
      <c r="O146" s="299" t="s">
        <v>141</v>
      </c>
      <c r="P146" s="298" t="s">
        <v>141</v>
      </c>
      <c r="Q146" s="299" t="s">
        <v>141</v>
      </c>
      <c r="R146" s="298" t="s">
        <v>141</v>
      </c>
      <c r="S146" s="299" t="s">
        <v>141</v>
      </c>
      <c r="T146" s="298" t="s">
        <v>141</v>
      </c>
      <c r="U146" s="299" t="s">
        <v>141</v>
      </c>
      <c r="V146" s="298" t="s">
        <v>141</v>
      </c>
      <c r="W146" s="299" t="s">
        <v>141</v>
      </c>
      <c r="X146" s="298" t="s">
        <v>141</v>
      </c>
      <c r="Y146" s="299" t="s">
        <v>141</v>
      </c>
      <c r="Z146" s="298" t="s">
        <v>141</v>
      </c>
      <c r="AA146" s="299" t="s">
        <v>141</v>
      </c>
      <c r="AB146" s="298" t="s">
        <v>141</v>
      </c>
      <c r="AC146" s="299" t="s">
        <v>141</v>
      </c>
      <c r="AD146" s="298" t="s">
        <v>141</v>
      </c>
      <c r="AE146" s="299" t="s">
        <v>141</v>
      </c>
      <c r="AF146" s="298" t="s">
        <v>141</v>
      </c>
      <c r="AG146" s="299" t="s">
        <v>141</v>
      </c>
      <c r="AH146" s="298" t="s">
        <v>141</v>
      </c>
      <c r="AI146" s="299" t="s">
        <v>141</v>
      </c>
      <c r="AJ146" s="298" t="s">
        <v>141</v>
      </c>
      <c r="AK146" s="299" t="s">
        <v>141</v>
      </c>
      <c r="AL146" s="298" t="s">
        <v>141</v>
      </c>
      <c r="AM146" s="299" t="s">
        <v>141</v>
      </c>
      <c r="AN146" s="298" t="s">
        <v>141</v>
      </c>
      <c r="AO146" s="299" t="s">
        <v>141</v>
      </c>
      <c r="AP146" s="298" t="s">
        <v>141</v>
      </c>
      <c r="AQ146" s="299" t="s">
        <v>141</v>
      </c>
      <c r="AR146" s="298" t="s">
        <v>141</v>
      </c>
      <c r="AS146" s="299" t="s">
        <v>141</v>
      </c>
      <c r="AT146" s="298" t="s">
        <v>141</v>
      </c>
      <c r="AU146" s="299" t="s">
        <v>141</v>
      </c>
      <c r="AV146" s="298" t="s">
        <v>141</v>
      </c>
      <c r="AW146" s="299" t="s">
        <v>141</v>
      </c>
      <c r="AX146" s="298" t="s">
        <v>141</v>
      </c>
      <c r="AY146" s="299" t="s">
        <v>141</v>
      </c>
    </row>
    <row r="147" spans="2:51">
      <c r="B147" s="296" t="s">
        <v>141</v>
      </c>
      <c r="C147" s="297" t="s">
        <v>141</v>
      </c>
      <c r="D147" s="298" t="s">
        <v>141</v>
      </c>
      <c r="E147" s="299" t="s">
        <v>141</v>
      </c>
      <c r="F147" s="298" t="s">
        <v>141</v>
      </c>
      <c r="G147" s="299" t="s">
        <v>141</v>
      </c>
      <c r="H147" s="298" t="s">
        <v>141</v>
      </c>
      <c r="I147" s="299" t="s">
        <v>141</v>
      </c>
      <c r="J147" s="298" t="s">
        <v>141</v>
      </c>
      <c r="K147" s="299" t="s">
        <v>141</v>
      </c>
      <c r="L147" s="298" t="s">
        <v>141</v>
      </c>
      <c r="M147" s="299" t="s">
        <v>141</v>
      </c>
      <c r="N147" s="298" t="s">
        <v>141</v>
      </c>
      <c r="O147" s="299" t="s">
        <v>141</v>
      </c>
      <c r="P147" s="298" t="s">
        <v>141</v>
      </c>
      <c r="Q147" s="299" t="s">
        <v>141</v>
      </c>
      <c r="R147" s="298" t="s">
        <v>141</v>
      </c>
      <c r="S147" s="299" t="s">
        <v>141</v>
      </c>
      <c r="T147" s="298" t="s">
        <v>141</v>
      </c>
      <c r="U147" s="299" t="s">
        <v>141</v>
      </c>
      <c r="V147" s="298" t="s">
        <v>141</v>
      </c>
      <c r="W147" s="299" t="s">
        <v>141</v>
      </c>
      <c r="X147" s="298" t="s">
        <v>141</v>
      </c>
      <c r="Y147" s="299" t="s">
        <v>141</v>
      </c>
      <c r="Z147" s="298" t="s">
        <v>141</v>
      </c>
      <c r="AA147" s="299" t="s">
        <v>141</v>
      </c>
      <c r="AB147" s="298" t="s">
        <v>141</v>
      </c>
      <c r="AC147" s="299" t="s">
        <v>141</v>
      </c>
      <c r="AD147" s="298" t="s">
        <v>141</v>
      </c>
      <c r="AE147" s="299" t="s">
        <v>141</v>
      </c>
      <c r="AF147" s="298" t="s">
        <v>141</v>
      </c>
      <c r="AG147" s="299" t="s">
        <v>141</v>
      </c>
      <c r="AH147" s="298" t="s">
        <v>141</v>
      </c>
      <c r="AI147" s="299" t="s">
        <v>141</v>
      </c>
      <c r="AJ147" s="298" t="s">
        <v>141</v>
      </c>
      <c r="AK147" s="299" t="s">
        <v>141</v>
      </c>
      <c r="AL147" s="298" t="s">
        <v>141</v>
      </c>
      <c r="AM147" s="299" t="s">
        <v>141</v>
      </c>
      <c r="AN147" s="298" t="s">
        <v>141</v>
      </c>
      <c r="AO147" s="299" t="s">
        <v>141</v>
      </c>
      <c r="AP147" s="298" t="s">
        <v>141</v>
      </c>
      <c r="AQ147" s="299" t="s">
        <v>141</v>
      </c>
      <c r="AR147" s="298" t="s">
        <v>141</v>
      </c>
      <c r="AS147" s="299" t="s">
        <v>141</v>
      </c>
      <c r="AT147" s="298" t="s">
        <v>141</v>
      </c>
      <c r="AU147" s="299" t="s">
        <v>141</v>
      </c>
      <c r="AV147" s="298" t="s">
        <v>141</v>
      </c>
      <c r="AW147" s="299" t="s">
        <v>141</v>
      </c>
      <c r="AX147" s="298" t="s">
        <v>141</v>
      </c>
      <c r="AY147" s="299" t="s">
        <v>141</v>
      </c>
    </row>
    <row r="148" spans="2:51">
      <c r="B148" s="296" t="s">
        <v>141</v>
      </c>
      <c r="C148" s="297" t="s">
        <v>141</v>
      </c>
      <c r="D148" s="298" t="s">
        <v>141</v>
      </c>
      <c r="E148" s="299" t="s">
        <v>141</v>
      </c>
      <c r="F148" s="298" t="s">
        <v>141</v>
      </c>
      <c r="G148" s="299" t="s">
        <v>141</v>
      </c>
      <c r="H148" s="298" t="s">
        <v>141</v>
      </c>
      <c r="I148" s="299" t="s">
        <v>141</v>
      </c>
      <c r="J148" s="298" t="s">
        <v>141</v>
      </c>
      <c r="K148" s="299" t="s">
        <v>141</v>
      </c>
      <c r="L148" s="298" t="s">
        <v>141</v>
      </c>
      <c r="M148" s="299" t="s">
        <v>141</v>
      </c>
      <c r="N148" s="298" t="s">
        <v>141</v>
      </c>
      <c r="O148" s="299" t="s">
        <v>141</v>
      </c>
      <c r="P148" s="298" t="s">
        <v>141</v>
      </c>
      <c r="Q148" s="299" t="s">
        <v>141</v>
      </c>
      <c r="R148" s="298" t="s">
        <v>141</v>
      </c>
      <c r="S148" s="299" t="s">
        <v>141</v>
      </c>
      <c r="T148" s="298" t="s">
        <v>141</v>
      </c>
      <c r="U148" s="299" t="s">
        <v>141</v>
      </c>
      <c r="V148" s="298" t="s">
        <v>141</v>
      </c>
      <c r="W148" s="299" t="s">
        <v>141</v>
      </c>
      <c r="X148" s="298" t="s">
        <v>141</v>
      </c>
      <c r="Y148" s="299" t="s">
        <v>141</v>
      </c>
      <c r="Z148" s="298" t="s">
        <v>141</v>
      </c>
      <c r="AA148" s="299" t="s">
        <v>141</v>
      </c>
      <c r="AB148" s="298" t="s">
        <v>141</v>
      </c>
      <c r="AC148" s="299" t="s">
        <v>141</v>
      </c>
      <c r="AD148" s="298" t="s">
        <v>141</v>
      </c>
      <c r="AE148" s="299" t="s">
        <v>141</v>
      </c>
      <c r="AF148" s="298" t="s">
        <v>141</v>
      </c>
      <c r="AG148" s="299" t="s">
        <v>141</v>
      </c>
      <c r="AH148" s="298" t="s">
        <v>141</v>
      </c>
      <c r="AI148" s="299" t="s">
        <v>141</v>
      </c>
      <c r="AJ148" s="298" t="s">
        <v>141</v>
      </c>
      <c r="AK148" s="299" t="s">
        <v>141</v>
      </c>
      <c r="AL148" s="298" t="s">
        <v>141</v>
      </c>
      <c r="AM148" s="299" t="s">
        <v>141</v>
      </c>
      <c r="AN148" s="298" t="s">
        <v>141</v>
      </c>
      <c r="AO148" s="299" t="s">
        <v>141</v>
      </c>
      <c r="AP148" s="298" t="s">
        <v>141</v>
      </c>
      <c r="AQ148" s="299" t="s">
        <v>141</v>
      </c>
      <c r="AR148" s="298" t="s">
        <v>141</v>
      </c>
      <c r="AS148" s="299" t="s">
        <v>141</v>
      </c>
      <c r="AT148" s="298" t="s">
        <v>141</v>
      </c>
      <c r="AU148" s="299" t="s">
        <v>141</v>
      </c>
      <c r="AV148" s="298" t="s">
        <v>141</v>
      </c>
      <c r="AW148" s="299" t="s">
        <v>141</v>
      </c>
      <c r="AX148" s="298" t="s">
        <v>141</v>
      </c>
      <c r="AY148" s="299" t="s">
        <v>141</v>
      </c>
    </row>
    <row r="149" spans="2:51">
      <c r="B149" s="296">
        <v>1</v>
      </c>
      <c r="C149" s="297">
        <v>2</v>
      </c>
      <c r="D149" s="298">
        <v>3</v>
      </c>
      <c r="E149" s="299">
        <v>4</v>
      </c>
      <c r="F149" s="298">
        <v>5</v>
      </c>
      <c r="G149" s="299">
        <v>6</v>
      </c>
      <c r="H149" s="298">
        <v>7</v>
      </c>
      <c r="I149" s="299">
        <v>8</v>
      </c>
      <c r="J149" s="298">
        <v>9</v>
      </c>
      <c r="K149" s="299">
        <v>10</v>
      </c>
      <c r="L149" s="298">
        <v>11</v>
      </c>
      <c r="M149" s="299">
        <v>12</v>
      </c>
      <c r="N149" s="298">
        <v>13</v>
      </c>
      <c r="O149" s="299">
        <v>14</v>
      </c>
      <c r="P149" s="298">
        <v>15</v>
      </c>
      <c r="Q149" s="299">
        <v>16</v>
      </c>
      <c r="R149" s="298">
        <v>17</v>
      </c>
      <c r="S149" s="299">
        <v>18</v>
      </c>
      <c r="T149" s="298">
        <v>19</v>
      </c>
      <c r="U149" s="299">
        <v>20</v>
      </c>
      <c r="V149" s="298">
        <v>21</v>
      </c>
      <c r="W149" s="299">
        <v>22</v>
      </c>
      <c r="X149" s="298">
        <v>23</v>
      </c>
      <c r="Y149" s="299">
        <v>24</v>
      </c>
      <c r="Z149" s="298">
        <v>25</v>
      </c>
      <c r="AA149" s="299">
        <v>26</v>
      </c>
      <c r="AB149" s="298">
        <v>27</v>
      </c>
      <c r="AC149" s="299">
        <v>28</v>
      </c>
      <c r="AD149" s="298">
        <v>29</v>
      </c>
      <c r="AE149" s="299">
        <v>30</v>
      </c>
      <c r="AF149" s="298">
        <v>31</v>
      </c>
      <c r="AG149" s="299">
        <v>32</v>
      </c>
      <c r="AH149" s="298">
        <v>33</v>
      </c>
      <c r="AI149" s="299">
        <v>34</v>
      </c>
      <c r="AJ149" s="298">
        <v>35</v>
      </c>
      <c r="AK149" s="299">
        <v>36</v>
      </c>
      <c r="AL149" s="298">
        <v>37</v>
      </c>
      <c r="AM149" s="299">
        <v>38</v>
      </c>
      <c r="AN149" s="298">
        <v>39</v>
      </c>
      <c r="AO149" s="299">
        <v>40</v>
      </c>
      <c r="AP149" s="298">
        <v>41</v>
      </c>
      <c r="AQ149" s="299">
        <v>42</v>
      </c>
      <c r="AR149" s="298">
        <v>43</v>
      </c>
      <c r="AS149" s="299">
        <v>44</v>
      </c>
      <c r="AT149" s="298">
        <v>45</v>
      </c>
      <c r="AU149" s="299">
        <v>46</v>
      </c>
      <c r="AV149" s="298">
        <v>47</v>
      </c>
      <c r="AW149" s="299">
        <v>48</v>
      </c>
      <c r="AX149" s="298">
        <v>49</v>
      </c>
      <c r="AY149" s="299">
        <v>50</v>
      </c>
    </row>
    <row r="150" spans="2:51">
      <c r="B150" s="296" t="s">
        <v>141</v>
      </c>
      <c r="C150" s="297" t="s">
        <v>141</v>
      </c>
      <c r="D150" s="298" t="s">
        <v>141</v>
      </c>
      <c r="E150" s="299" t="s">
        <v>141</v>
      </c>
      <c r="F150" s="298" t="s">
        <v>141</v>
      </c>
      <c r="G150" s="299" t="s">
        <v>141</v>
      </c>
      <c r="H150" s="298" t="s">
        <v>141</v>
      </c>
      <c r="I150" s="299" t="s">
        <v>141</v>
      </c>
      <c r="J150" s="298" t="s">
        <v>141</v>
      </c>
      <c r="K150" s="299" t="s">
        <v>141</v>
      </c>
      <c r="L150" s="298" t="s">
        <v>141</v>
      </c>
      <c r="M150" s="299" t="s">
        <v>141</v>
      </c>
      <c r="N150" s="298" t="s">
        <v>141</v>
      </c>
      <c r="O150" s="299" t="s">
        <v>141</v>
      </c>
      <c r="P150" s="298" t="s">
        <v>141</v>
      </c>
      <c r="Q150" s="299" t="s">
        <v>141</v>
      </c>
      <c r="R150" s="298" t="s">
        <v>141</v>
      </c>
      <c r="S150" s="299" t="s">
        <v>141</v>
      </c>
      <c r="T150" s="298" t="s">
        <v>141</v>
      </c>
      <c r="U150" s="299" t="s">
        <v>141</v>
      </c>
      <c r="V150" s="298" t="s">
        <v>141</v>
      </c>
      <c r="W150" s="299" t="s">
        <v>141</v>
      </c>
      <c r="X150" s="298" t="s">
        <v>141</v>
      </c>
      <c r="Y150" s="299" t="s">
        <v>141</v>
      </c>
      <c r="Z150" s="298" t="s">
        <v>141</v>
      </c>
      <c r="AA150" s="299" t="s">
        <v>141</v>
      </c>
      <c r="AB150" s="298" t="s">
        <v>141</v>
      </c>
      <c r="AC150" s="299" t="s">
        <v>141</v>
      </c>
      <c r="AD150" s="298" t="s">
        <v>141</v>
      </c>
      <c r="AE150" s="299" t="s">
        <v>141</v>
      </c>
      <c r="AF150" s="298" t="s">
        <v>141</v>
      </c>
      <c r="AG150" s="299" t="s">
        <v>141</v>
      </c>
      <c r="AH150" s="298" t="s">
        <v>141</v>
      </c>
      <c r="AI150" s="299" t="s">
        <v>141</v>
      </c>
      <c r="AJ150" s="298" t="s">
        <v>141</v>
      </c>
      <c r="AK150" s="299" t="s">
        <v>141</v>
      </c>
      <c r="AL150" s="298" t="s">
        <v>141</v>
      </c>
      <c r="AM150" s="299" t="s">
        <v>141</v>
      </c>
      <c r="AN150" s="298" t="s">
        <v>141</v>
      </c>
      <c r="AO150" s="299" t="s">
        <v>141</v>
      </c>
      <c r="AP150" s="298" t="s">
        <v>141</v>
      </c>
      <c r="AQ150" s="299" t="s">
        <v>141</v>
      </c>
      <c r="AR150" s="298" t="s">
        <v>141</v>
      </c>
      <c r="AS150" s="299" t="s">
        <v>141</v>
      </c>
      <c r="AT150" s="298" t="s">
        <v>141</v>
      </c>
      <c r="AU150" s="299" t="s">
        <v>141</v>
      </c>
      <c r="AV150" s="298" t="s">
        <v>141</v>
      </c>
      <c r="AW150" s="299" t="s">
        <v>141</v>
      </c>
      <c r="AX150" s="298" t="s">
        <v>141</v>
      </c>
      <c r="AY150" s="299" t="s">
        <v>141</v>
      </c>
    </row>
    <row r="151" spans="2:51">
      <c r="B151" s="296" t="s">
        <v>141</v>
      </c>
      <c r="C151" s="297" t="s">
        <v>141</v>
      </c>
      <c r="D151" s="298" t="s">
        <v>141</v>
      </c>
      <c r="E151" s="299" t="s">
        <v>141</v>
      </c>
      <c r="F151" s="298" t="s">
        <v>141</v>
      </c>
      <c r="G151" s="299" t="s">
        <v>141</v>
      </c>
      <c r="H151" s="298" t="s">
        <v>141</v>
      </c>
      <c r="I151" s="299" t="s">
        <v>141</v>
      </c>
      <c r="J151" s="298" t="s">
        <v>141</v>
      </c>
      <c r="K151" s="299" t="s">
        <v>141</v>
      </c>
      <c r="L151" s="298" t="s">
        <v>141</v>
      </c>
      <c r="M151" s="299" t="s">
        <v>141</v>
      </c>
      <c r="N151" s="298" t="s">
        <v>141</v>
      </c>
      <c r="O151" s="299" t="s">
        <v>141</v>
      </c>
      <c r="P151" s="298" t="s">
        <v>141</v>
      </c>
      <c r="Q151" s="299" t="s">
        <v>141</v>
      </c>
      <c r="R151" s="298" t="s">
        <v>141</v>
      </c>
      <c r="S151" s="299" t="s">
        <v>141</v>
      </c>
      <c r="T151" s="298" t="s">
        <v>141</v>
      </c>
      <c r="U151" s="299" t="s">
        <v>141</v>
      </c>
      <c r="V151" s="298" t="s">
        <v>141</v>
      </c>
      <c r="W151" s="299" t="s">
        <v>141</v>
      </c>
      <c r="X151" s="298" t="s">
        <v>141</v>
      </c>
      <c r="Y151" s="299" t="s">
        <v>141</v>
      </c>
      <c r="Z151" s="298" t="s">
        <v>141</v>
      </c>
      <c r="AA151" s="299" t="s">
        <v>141</v>
      </c>
      <c r="AB151" s="298" t="s">
        <v>141</v>
      </c>
      <c r="AC151" s="299" t="s">
        <v>141</v>
      </c>
      <c r="AD151" s="298" t="s">
        <v>141</v>
      </c>
      <c r="AE151" s="299" t="s">
        <v>141</v>
      </c>
      <c r="AF151" s="298" t="s">
        <v>141</v>
      </c>
      <c r="AG151" s="299" t="s">
        <v>141</v>
      </c>
      <c r="AH151" s="298" t="s">
        <v>141</v>
      </c>
      <c r="AI151" s="299" t="s">
        <v>141</v>
      </c>
      <c r="AJ151" s="298" t="s">
        <v>141</v>
      </c>
      <c r="AK151" s="299" t="s">
        <v>141</v>
      </c>
      <c r="AL151" s="298" t="s">
        <v>141</v>
      </c>
      <c r="AM151" s="299" t="s">
        <v>141</v>
      </c>
      <c r="AN151" s="298" t="s">
        <v>141</v>
      </c>
      <c r="AO151" s="299" t="s">
        <v>141</v>
      </c>
      <c r="AP151" s="298" t="s">
        <v>141</v>
      </c>
      <c r="AQ151" s="299" t="s">
        <v>141</v>
      </c>
      <c r="AR151" s="298" t="s">
        <v>141</v>
      </c>
      <c r="AS151" s="299" t="s">
        <v>141</v>
      </c>
      <c r="AT151" s="298" t="s">
        <v>141</v>
      </c>
      <c r="AU151" s="299" t="s">
        <v>141</v>
      </c>
      <c r="AV151" s="298" t="s">
        <v>141</v>
      </c>
      <c r="AW151" s="299" t="s">
        <v>141</v>
      </c>
      <c r="AX151" s="298" t="s">
        <v>141</v>
      </c>
      <c r="AY151" s="299" t="s">
        <v>141</v>
      </c>
    </row>
    <row r="152" spans="2:51">
      <c r="B152" s="296" t="s">
        <v>141</v>
      </c>
      <c r="C152" s="297" t="s">
        <v>141</v>
      </c>
      <c r="D152" s="298" t="s">
        <v>141</v>
      </c>
      <c r="E152" s="299" t="s">
        <v>141</v>
      </c>
      <c r="F152" s="298" t="s">
        <v>141</v>
      </c>
      <c r="G152" s="299" t="s">
        <v>141</v>
      </c>
      <c r="H152" s="298" t="s">
        <v>141</v>
      </c>
      <c r="I152" s="299" t="s">
        <v>141</v>
      </c>
      <c r="J152" s="298" t="s">
        <v>141</v>
      </c>
      <c r="K152" s="299" t="s">
        <v>141</v>
      </c>
      <c r="L152" s="298" t="s">
        <v>141</v>
      </c>
      <c r="M152" s="299" t="s">
        <v>141</v>
      </c>
      <c r="N152" s="298" t="s">
        <v>141</v>
      </c>
      <c r="O152" s="299" t="s">
        <v>141</v>
      </c>
      <c r="P152" s="298" t="s">
        <v>141</v>
      </c>
      <c r="Q152" s="299" t="s">
        <v>141</v>
      </c>
      <c r="R152" s="298" t="s">
        <v>141</v>
      </c>
      <c r="S152" s="299" t="s">
        <v>141</v>
      </c>
      <c r="T152" s="298" t="s">
        <v>141</v>
      </c>
      <c r="U152" s="299" t="s">
        <v>141</v>
      </c>
      <c r="V152" s="298" t="s">
        <v>141</v>
      </c>
      <c r="W152" s="299" t="s">
        <v>141</v>
      </c>
      <c r="X152" s="298" t="s">
        <v>141</v>
      </c>
      <c r="Y152" s="299" t="s">
        <v>141</v>
      </c>
      <c r="Z152" s="298" t="s">
        <v>141</v>
      </c>
      <c r="AA152" s="299" t="s">
        <v>141</v>
      </c>
      <c r="AB152" s="298" t="s">
        <v>141</v>
      </c>
      <c r="AC152" s="299" t="s">
        <v>141</v>
      </c>
      <c r="AD152" s="298" t="s">
        <v>141</v>
      </c>
      <c r="AE152" s="299" t="s">
        <v>141</v>
      </c>
      <c r="AF152" s="298" t="s">
        <v>141</v>
      </c>
      <c r="AG152" s="299" t="s">
        <v>141</v>
      </c>
      <c r="AH152" s="298" t="s">
        <v>141</v>
      </c>
      <c r="AI152" s="299" t="s">
        <v>141</v>
      </c>
      <c r="AJ152" s="298" t="s">
        <v>141</v>
      </c>
      <c r="AK152" s="299" t="s">
        <v>141</v>
      </c>
      <c r="AL152" s="298" t="s">
        <v>141</v>
      </c>
      <c r="AM152" s="299" t="s">
        <v>141</v>
      </c>
      <c r="AN152" s="298" t="s">
        <v>141</v>
      </c>
      <c r="AO152" s="299" t="s">
        <v>141</v>
      </c>
      <c r="AP152" s="298" t="s">
        <v>141</v>
      </c>
      <c r="AQ152" s="299" t="s">
        <v>141</v>
      </c>
      <c r="AR152" s="298" t="s">
        <v>141</v>
      </c>
      <c r="AS152" s="299" t="s">
        <v>141</v>
      </c>
      <c r="AT152" s="298" t="s">
        <v>141</v>
      </c>
      <c r="AU152" s="299" t="s">
        <v>141</v>
      </c>
      <c r="AV152" s="298" t="s">
        <v>141</v>
      </c>
      <c r="AW152" s="299" t="s">
        <v>141</v>
      </c>
      <c r="AX152" s="298" t="s">
        <v>141</v>
      </c>
      <c r="AY152" s="299" t="s">
        <v>141</v>
      </c>
    </row>
    <row r="153" spans="2:51">
      <c r="B153" s="296" t="s">
        <v>141</v>
      </c>
      <c r="C153" s="297" t="s">
        <v>141</v>
      </c>
      <c r="D153" s="298" t="s">
        <v>141</v>
      </c>
      <c r="E153" s="299" t="s">
        <v>141</v>
      </c>
      <c r="F153" s="298" t="s">
        <v>141</v>
      </c>
      <c r="G153" s="299" t="s">
        <v>141</v>
      </c>
      <c r="H153" s="298" t="s">
        <v>141</v>
      </c>
      <c r="I153" s="299" t="s">
        <v>141</v>
      </c>
      <c r="J153" s="298" t="s">
        <v>141</v>
      </c>
      <c r="K153" s="299" t="s">
        <v>141</v>
      </c>
      <c r="L153" s="298" t="s">
        <v>141</v>
      </c>
      <c r="M153" s="299" t="s">
        <v>141</v>
      </c>
      <c r="N153" s="298" t="s">
        <v>141</v>
      </c>
      <c r="O153" s="299" t="s">
        <v>141</v>
      </c>
      <c r="P153" s="298" t="s">
        <v>141</v>
      </c>
      <c r="Q153" s="299" t="s">
        <v>141</v>
      </c>
      <c r="R153" s="298" t="s">
        <v>141</v>
      </c>
      <c r="S153" s="299" t="s">
        <v>141</v>
      </c>
      <c r="T153" s="298" t="s">
        <v>141</v>
      </c>
      <c r="U153" s="299" t="s">
        <v>141</v>
      </c>
      <c r="V153" s="298" t="s">
        <v>141</v>
      </c>
      <c r="W153" s="299" t="s">
        <v>141</v>
      </c>
      <c r="X153" s="298" t="s">
        <v>141</v>
      </c>
      <c r="Y153" s="299" t="s">
        <v>141</v>
      </c>
      <c r="Z153" s="298" t="s">
        <v>141</v>
      </c>
      <c r="AA153" s="299" t="s">
        <v>141</v>
      </c>
      <c r="AB153" s="298" t="s">
        <v>141</v>
      </c>
      <c r="AC153" s="299" t="s">
        <v>141</v>
      </c>
      <c r="AD153" s="298" t="s">
        <v>141</v>
      </c>
      <c r="AE153" s="299" t="s">
        <v>141</v>
      </c>
      <c r="AF153" s="298" t="s">
        <v>141</v>
      </c>
      <c r="AG153" s="299" t="s">
        <v>141</v>
      </c>
      <c r="AH153" s="298" t="s">
        <v>141</v>
      </c>
      <c r="AI153" s="299" t="s">
        <v>141</v>
      </c>
      <c r="AJ153" s="298" t="s">
        <v>141</v>
      </c>
      <c r="AK153" s="299" t="s">
        <v>141</v>
      </c>
      <c r="AL153" s="298" t="s">
        <v>141</v>
      </c>
      <c r="AM153" s="299" t="s">
        <v>141</v>
      </c>
      <c r="AN153" s="298" t="s">
        <v>141</v>
      </c>
      <c r="AO153" s="299" t="s">
        <v>141</v>
      </c>
      <c r="AP153" s="298" t="s">
        <v>141</v>
      </c>
      <c r="AQ153" s="299" t="s">
        <v>141</v>
      </c>
      <c r="AR153" s="298" t="s">
        <v>141</v>
      </c>
      <c r="AS153" s="299" t="s">
        <v>141</v>
      </c>
      <c r="AT153" s="298" t="s">
        <v>141</v>
      </c>
      <c r="AU153" s="299" t="s">
        <v>141</v>
      </c>
      <c r="AV153" s="298" t="s">
        <v>141</v>
      </c>
      <c r="AW153" s="299" t="s">
        <v>141</v>
      </c>
      <c r="AX153" s="298" t="s">
        <v>141</v>
      </c>
      <c r="AY153" s="299" t="s">
        <v>141</v>
      </c>
    </row>
    <row r="154" spans="2:51">
      <c r="B154" s="296" t="s">
        <v>141</v>
      </c>
      <c r="C154" s="297" t="s">
        <v>141</v>
      </c>
      <c r="D154" s="298" t="s">
        <v>141</v>
      </c>
      <c r="E154" s="299" t="s">
        <v>141</v>
      </c>
      <c r="F154" s="298" t="s">
        <v>141</v>
      </c>
      <c r="G154" s="299" t="s">
        <v>141</v>
      </c>
      <c r="H154" s="298" t="s">
        <v>141</v>
      </c>
      <c r="I154" s="299" t="s">
        <v>141</v>
      </c>
      <c r="J154" s="298" t="s">
        <v>141</v>
      </c>
      <c r="K154" s="299" t="s">
        <v>141</v>
      </c>
      <c r="L154" s="298" t="s">
        <v>141</v>
      </c>
      <c r="M154" s="299" t="s">
        <v>141</v>
      </c>
      <c r="N154" s="298" t="s">
        <v>141</v>
      </c>
      <c r="O154" s="299" t="s">
        <v>141</v>
      </c>
      <c r="P154" s="298" t="s">
        <v>141</v>
      </c>
      <c r="Q154" s="299" t="s">
        <v>141</v>
      </c>
      <c r="R154" s="298" t="s">
        <v>141</v>
      </c>
      <c r="S154" s="299" t="s">
        <v>141</v>
      </c>
      <c r="T154" s="298" t="s">
        <v>141</v>
      </c>
      <c r="U154" s="299" t="s">
        <v>141</v>
      </c>
      <c r="V154" s="298" t="s">
        <v>141</v>
      </c>
      <c r="W154" s="299" t="s">
        <v>141</v>
      </c>
      <c r="X154" s="298" t="s">
        <v>141</v>
      </c>
      <c r="Y154" s="299" t="s">
        <v>141</v>
      </c>
      <c r="Z154" s="298" t="s">
        <v>141</v>
      </c>
      <c r="AA154" s="299" t="s">
        <v>141</v>
      </c>
      <c r="AB154" s="298" t="s">
        <v>141</v>
      </c>
      <c r="AC154" s="299" t="s">
        <v>141</v>
      </c>
      <c r="AD154" s="298" t="s">
        <v>141</v>
      </c>
      <c r="AE154" s="299" t="s">
        <v>141</v>
      </c>
      <c r="AF154" s="298" t="s">
        <v>141</v>
      </c>
      <c r="AG154" s="299" t="s">
        <v>141</v>
      </c>
      <c r="AH154" s="298" t="s">
        <v>141</v>
      </c>
      <c r="AI154" s="299" t="s">
        <v>141</v>
      </c>
      <c r="AJ154" s="298" t="s">
        <v>141</v>
      </c>
      <c r="AK154" s="299" t="s">
        <v>141</v>
      </c>
      <c r="AL154" s="298" t="s">
        <v>141</v>
      </c>
      <c r="AM154" s="299" t="s">
        <v>141</v>
      </c>
      <c r="AN154" s="298" t="s">
        <v>141</v>
      </c>
      <c r="AO154" s="299" t="s">
        <v>141</v>
      </c>
      <c r="AP154" s="298" t="s">
        <v>141</v>
      </c>
      <c r="AQ154" s="299" t="s">
        <v>141</v>
      </c>
      <c r="AR154" s="298" t="s">
        <v>141</v>
      </c>
      <c r="AS154" s="299" t="s">
        <v>141</v>
      </c>
      <c r="AT154" s="298" t="s">
        <v>141</v>
      </c>
      <c r="AU154" s="299" t="s">
        <v>141</v>
      </c>
      <c r="AV154" s="298" t="s">
        <v>141</v>
      </c>
      <c r="AW154" s="299" t="s">
        <v>141</v>
      </c>
      <c r="AX154" s="298" t="s">
        <v>141</v>
      </c>
      <c r="AY154" s="299" t="s">
        <v>141</v>
      </c>
    </row>
    <row r="155" spans="2:51">
      <c r="B155" s="296" t="s">
        <v>141</v>
      </c>
      <c r="C155" s="297" t="s">
        <v>141</v>
      </c>
      <c r="D155" s="298" t="s">
        <v>141</v>
      </c>
      <c r="E155" s="299" t="s">
        <v>141</v>
      </c>
      <c r="F155" s="298" t="s">
        <v>141</v>
      </c>
      <c r="G155" s="299" t="s">
        <v>141</v>
      </c>
      <c r="H155" s="298" t="s">
        <v>141</v>
      </c>
      <c r="I155" s="299" t="s">
        <v>141</v>
      </c>
      <c r="J155" s="298" t="s">
        <v>141</v>
      </c>
      <c r="K155" s="299" t="s">
        <v>141</v>
      </c>
      <c r="L155" s="298" t="s">
        <v>141</v>
      </c>
      <c r="M155" s="299" t="s">
        <v>141</v>
      </c>
      <c r="N155" s="298" t="s">
        <v>141</v>
      </c>
      <c r="O155" s="299" t="s">
        <v>141</v>
      </c>
      <c r="P155" s="298" t="s">
        <v>141</v>
      </c>
      <c r="Q155" s="299" t="s">
        <v>141</v>
      </c>
      <c r="R155" s="298" t="s">
        <v>141</v>
      </c>
      <c r="S155" s="299" t="s">
        <v>141</v>
      </c>
      <c r="T155" s="298" t="s">
        <v>141</v>
      </c>
      <c r="U155" s="299" t="s">
        <v>141</v>
      </c>
      <c r="V155" s="298" t="s">
        <v>141</v>
      </c>
      <c r="W155" s="299" t="s">
        <v>141</v>
      </c>
      <c r="X155" s="298" t="s">
        <v>141</v>
      </c>
      <c r="Y155" s="299" t="s">
        <v>141</v>
      </c>
      <c r="Z155" s="298" t="s">
        <v>141</v>
      </c>
      <c r="AA155" s="299" t="s">
        <v>141</v>
      </c>
      <c r="AB155" s="298" t="s">
        <v>141</v>
      </c>
      <c r="AC155" s="299" t="s">
        <v>141</v>
      </c>
      <c r="AD155" s="298" t="s">
        <v>141</v>
      </c>
      <c r="AE155" s="299" t="s">
        <v>141</v>
      </c>
      <c r="AF155" s="298" t="s">
        <v>141</v>
      </c>
      <c r="AG155" s="299" t="s">
        <v>141</v>
      </c>
      <c r="AH155" s="298" t="s">
        <v>141</v>
      </c>
      <c r="AI155" s="299" t="s">
        <v>141</v>
      </c>
      <c r="AJ155" s="298" t="s">
        <v>141</v>
      </c>
      <c r="AK155" s="299" t="s">
        <v>141</v>
      </c>
      <c r="AL155" s="298" t="s">
        <v>141</v>
      </c>
      <c r="AM155" s="299" t="s">
        <v>141</v>
      </c>
      <c r="AN155" s="298" t="s">
        <v>141</v>
      </c>
      <c r="AO155" s="299" t="s">
        <v>141</v>
      </c>
      <c r="AP155" s="298" t="s">
        <v>141</v>
      </c>
      <c r="AQ155" s="299" t="s">
        <v>141</v>
      </c>
      <c r="AR155" s="298" t="s">
        <v>141</v>
      </c>
      <c r="AS155" s="299" t="s">
        <v>141</v>
      </c>
      <c r="AT155" s="298" t="s">
        <v>141</v>
      </c>
      <c r="AU155" s="299" t="s">
        <v>141</v>
      </c>
      <c r="AV155" s="298" t="s">
        <v>141</v>
      </c>
      <c r="AW155" s="299" t="s">
        <v>141</v>
      </c>
      <c r="AX155" s="298" t="s">
        <v>141</v>
      </c>
      <c r="AY155" s="299" t="s">
        <v>141</v>
      </c>
    </row>
    <row r="156" spans="2:51">
      <c r="B156" s="296" t="s">
        <v>141</v>
      </c>
      <c r="C156" s="297" t="s">
        <v>141</v>
      </c>
      <c r="D156" s="298" t="s">
        <v>141</v>
      </c>
      <c r="E156" s="299" t="s">
        <v>141</v>
      </c>
      <c r="F156" s="298" t="s">
        <v>141</v>
      </c>
      <c r="G156" s="299" t="s">
        <v>141</v>
      </c>
      <c r="H156" s="298" t="s">
        <v>141</v>
      </c>
      <c r="I156" s="299" t="s">
        <v>141</v>
      </c>
      <c r="J156" s="298" t="s">
        <v>141</v>
      </c>
      <c r="K156" s="299" t="s">
        <v>141</v>
      </c>
      <c r="L156" s="298" t="s">
        <v>141</v>
      </c>
      <c r="M156" s="299" t="s">
        <v>141</v>
      </c>
      <c r="N156" s="298" t="s">
        <v>141</v>
      </c>
      <c r="O156" s="299" t="s">
        <v>141</v>
      </c>
      <c r="P156" s="298" t="s">
        <v>141</v>
      </c>
      <c r="Q156" s="299" t="s">
        <v>141</v>
      </c>
      <c r="R156" s="298" t="s">
        <v>141</v>
      </c>
      <c r="S156" s="299" t="s">
        <v>141</v>
      </c>
      <c r="T156" s="298" t="s">
        <v>141</v>
      </c>
      <c r="U156" s="299" t="s">
        <v>141</v>
      </c>
      <c r="V156" s="298" t="s">
        <v>141</v>
      </c>
      <c r="W156" s="299" t="s">
        <v>141</v>
      </c>
      <c r="X156" s="298" t="s">
        <v>141</v>
      </c>
      <c r="Y156" s="299" t="s">
        <v>141</v>
      </c>
      <c r="Z156" s="298" t="s">
        <v>141</v>
      </c>
      <c r="AA156" s="299" t="s">
        <v>141</v>
      </c>
      <c r="AB156" s="298" t="s">
        <v>141</v>
      </c>
      <c r="AC156" s="299" t="s">
        <v>141</v>
      </c>
      <c r="AD156" s="298" t="s">
        <v>141</v>
      </c>
      <c r="AE156" s="299" t="s">
        <v>141</v>
      </c>
      <c r="AF156" s="298" t="s">
        <v>141</v>
      </c>
      <c r="AG156" s="299" t="s">
        <v>141</v>
      </c>
      <c r="AH156" s="298" t="s">
        <v>141</v>
      </c>
      <c r="AI156" s="299" t="s">
        <v>141</v>
      </c>
      <c r="AJ156" s="298" t="s">
        <v>141</v>
      </c>
      <c r="AK156" s="299" t="s">
        <v>141</v>
      </c>
      <c r="AL156" s="298" t="s">
        <v>141</v>
      </c>
      <c r="AM156" s="299" t="s">
        <v>141</v>
      </c>
      <c r="AN156" s="298" t="s">
        <v>141</v>
      </c>
      <c r="AO156" s="299" t="s">
        <v>141</v>
      </c>
      <c r="AP156" s="298" t="s">
        <v>141</v>
      </c>
      <c r="AQ156" s="299" t="s">
        <v>141</v>
      </c>
      <c r="AR156" s="298" t="s">
        <v>141</v>
      </c>
      <c r="AS156" s="299" t="s">
        <v>141</v>
      </c>
      <c r="AT156" s="298" t="s">
        <v>141</v>
      </c>
      <c r="AU156" s="299" t="s">
        <v>141</v>
      </c>
      <c r="AV156" s="298" t="s">
        <v>141</v>
      </c>
      <c r="AW156" s="299" t="s">
        <v>141</v>
      </c>
      <c r="AX156" s="298" t="s">
        <v>141</v>
      </c>
      <c r="AY156" s="299" t="s">
        <v>141</v>
      </c>
    </row>
    <row r="157" spans="2:51">
      <c r="B157" s="296" t="s">
        <v>141</v>
      </c>
      <c r="C157" s="297" t="s">
        <v>141</v>
      </c>
      <c r="D157" s="298" t="s">
        <v>141</v>
      </c>
      <c r="E157" s="299" t="s">
        <v>141</v>
      </c>
      <c r="F157" s="298" t="s">
        <v>141</v>
      </c>
      <c r="G157" s="299" t="s">
        <v>141</v>
      </c>
      <c r="H157" s="298" t="s">
        <v>141</v>
      </c>
      <c r="I157" s="299" t="s">
        <v>141</v>
      </c>
      <c r="J157" s="298" t="s">
        <v>141</v>
      </c>
      <c r="K157" s="299" t="s">
        <v>141</v>
      </c>
      <c r="L157" s="298" t="s">
        <v>141</v>
      </c>
      <c r="M157" s="299" t="s">
        <v>141</v>
      </c>
      <c r="N157" s="298" t="s">
        <v>141</v>
      </c>
      <c r="O157" s="299" t="s">
        <v>141</v>
      </c>
      <c r="P157" s="298" t="s">
        <v>141</v>
      </c>
      <c r="Q157" s="299" t="s">
        <v>141</v>
      </c>
      <c r="R157" s="298" t="s">
        <v>141</v>
      </c>
      <c r="S157" s="299" t="s">
        <v>141</v>
      </c>
      <c r="T157" s="298" t="s">
        <v>141</v>
      </c>
      <c r="U157" s="299" t="s">
        <v>141</v>
      </c>
      <c r="V157" s="298" t="s">
        <v>141</v>
      </c>
      <c r="W157" s="299" t="s">
        <v>141</v>
      </c>
      <c r="X157" s="298" t="s">
        <v>141</v>
      </c>
      <c r="Y157" s="299" t="s">
        <v>141</v>
      </c>
      <c r="Z157" s="298" t="s">
        <v>141</v>
      </c>
      <c r="AA157" s="299" t="s">
        <v>141</v>
      </c>
      <c r="AB157" s="298" t="s">
        <v>141</v>
      </c>
      <c r="AC157" s="299" t="s">
        <v>141</v>
      </c>
      <c r="AD157" s="298" t="s">
        <v>141</v>
      </c>
      <c r="AE157" s="299" t="s">
        <v>141</v>
      </c>
      <c r="AF157" s="298" t="s">
        <v>141</v>
      </c>
      <c r="AG157" s="299" t="s">
        <v>141</v>
      </c>
      <c r="AH157" s="298" t="s">
        <v>141</v>
      </c>
      <c r="AI157" s="299" t="s">
        <v>141</v>
      </c>
      <c r="AJ157" s="298" t="s">
        <v>141</v>
      </c>
      <c r="AK157" s="299" t="s">
        <v>141</v>
      </c>
      <c r="AL157" s="298" t="s">
        <v>141</v>
      </c>
      <c r="AM157" s="299" t="s">
        <v>141</v>
      </c>
      <c r="AN157" s="298" t="s">
        <v>141</v>
      </c>
      <c r="AO157" s="299" t="s">
        <v>141</v>
      </c>
      <c r="AP157" s="298" t="s">
        <v>141</v>
      </c>
      <c r="AQ157" s="299" t="s">
        <v>141</v>
      </c>
      <c r="AR157" s="298" t="s">
        <v>141</v>
      </c>
      <c r="AS157" s="299" t="s">
        <v>141</v>
      </c>
      <c r="AT157" s="298" t="s">
        <v>141</v>
      </c>
      <c r="AU157" s="299" t="s">
        <v>141</v>
      </c>
      <c r="AV157" s="298" t="s">
        <v>141</v>
      </c>
      <c r="AW157" s="299" t="s">
        <v>141</v>
      </c>
      <c r="AX157" s="298" t="s">
        <v>141</v>
      </c>
      <c r="AY157" s="299" t="s">
        <v>141</v>
      </c>
    </row>
    <row r="158" spans="2:51">
      <c r="B158" s="296" t="s">
        <v>141</v>
      </c>
      <c r="C158" s="297" t="s">
        <v>141</v>
      </c>
      <c r="D158" s="298" t="s">
        <v>141</v>
      </c>
      <c r="E158" s="299" t="s">
        <v>141</v>
      </c>
      <c r="F158" s="298" t="s">
        <v>141</v>
      </c>
      <c r="G158" s="299" t="s">
        <v>141</v>
      </c>
      <c r="H158" s="298" t="s">
        <v>141</v>
      </c>
      <c r="I158" s="299" t="s">
        <v>141</v>
      </c>
      <c r="J158" s="298" t="s">
        <v>141</v>
      </c>
      <c r="K158" s="299" t="s">
        <v>141</v>
      </c>
      <c r="L158" s="298" t="s">
        <v>141</v>
      </c>
      <c r="M158" s="299" t="s">
        <v>141</v>
      </c>
      <c r="N158" s="298" t="s">
        <v>141</v>
      </c>
      <c r="O158" s="299" t="s">
        <v>141</v>
      </c>
      <c r="P158" s="298" t="s">
        <v>141</v>
      </c>
      <c r="Q158" s="299" t="s">
        <v>141</v>
      </c>
      <c r="R158" s="298" t="s">
        <v>141</v>
      </c>
      <c r="S158" s="299" t="s">
        <v>141</v>
      </c>
      <c r="T158" s="298" t="s">
        <v>141</v>
      </c>
      <c r="U158" s="299" t="s">
        <v>141</v>
      </c>
      <c r="V158" s="298" t="s">
        <v>141</v>
      </c>
      <c r="W158" s="299" t="s">
        <v>141</v>
      </c>
      <c r="X158" s="298" t="s">
        <v>141</v>
      </c>
      <c r="Y158" s="299" t="s">
        <v>141</v>
      </c>
      <c r="Z158" s="298" t="s">
        <v>141</v>
      </c>
      <c r="AA158" s="299" t="s">
        <v>141</v>
      </c>
      <c r="AB158" s="298" t="s">
        <v>141</v>
      </c>
      <c r="AC158" s="299" t="s">
        <v>141</v>
      </c>
      <c r="AD158" s="298" t="s">
        <v>141</v>
      </c>
      <c r="AE158" s="299" t="s">
        <v>141</v>
      </c>
      <c r="AF158" s="298" t="s">
        <v>141</v>
      </c>
      <c r="AG158" s="299" t="s">
        <v>141</v>
      </c>
      <c r="AH158" s="298" t="s">
        <v>141</v>
      </c>
      <c r="AI158" s="299" t="s">
        <v>141</v>
      </c>
      <c r="AJ158" s="298" t="s">
        <v>141</v>
      </c>
      <c r="AK158" s="299" t="s">
        <v>141</v>
      </c>
      <c r="AL158" s="298" t="s">
        <v>141</v>
      </c>
      <c r="AM158" s="299" t="s">
        <v>141</v>
      </c>
      <c r="AN158" s="298" t="s">
        <v>141</v>
      </c>
      <c r="AO158" s="299" t="s">
        <v>141</v>
      </c>
      <c r="AP158" s="298" t="s">
        <v>141</v>
      </c>
      <c r="AQ158" s="299" t="s">
        <v>141</v>
      </c>
      <c r="AR158" s="298" t="s">
        <v>141</v>
      </c>
      <c r="AS158" s="299" t="s">
        <v>141</v>
      </c>
      <c r="AT158" s="298" t="s">
        <v>141</v>
      </c>
      <c r="AU158" s="299" t="s">
        <v>141</v>
      </c>
      <c r="AV158" s="298" t="s">
        <v>141</v>
      </c>
      <c r="AW158" s="299" t="s">
        <v>141</v>
      </c>
      <c r="AX158" s="298" t="s">
        <v>141</v>
      </c>
      <c r="AY158" s="299" t="s">
        <v>141</v>
      </c>
    </row>
    <row r="159" spans="2:51">
      <c r="B159" s="296" t="s">
        <v>141</v>
      </c>
      <c r="C159" s="297" t="s">
        <v>141</v>
      </c>
      <c r="D159" s="298" t="s">
        <v>141</v>
      </c>
      <c r="E159" s="299" t="s">
        <v>141</v>
      </c>
      <c r="F159" s="298" t="s">
        <v>141</v>
      </c>
      <c r="G159" s="299" t="s">
        <v>141</v>
      </c>
      <c r="H159" s="298" t="s">
        <v>141</v>
      </c>
      <c r="I159" s="299" t="s">
        <v>141</v>
      </c>
      <c r="J159" s="298" t="s">
        <v>141</v>
      </c>
      <c r="K159" s="299" t="s">
        <v>141</v>
      </c>
      <c r="L159" s="298" t="s">
        <v>141</v>
      </c>
      <c r="M159" s="299" t="s">
        <v>141</v>
      </c>
      <c r="N159" s="298" t="s">
        <v>141</v>
      </c>
      <c r="O159" s="299" t="s">
        <v>141</v>
      </c>
      <c r="P159" s="298" t="s">
        <v>141</v>
      </c>
      <c r="Q159" s="299" t="s">
        <v>141</v>
      </c>
      <c r="R159" s="298" t="s">
        <v>141</v>
      </c>
      <c r="S159" s="299" t="s">
        <v>141</v>
      </c>
      <c r="T159" s="298" t="s">
        <v>141</v>
      </c>
      <c r="U159" s="299" t="s">
        <v>141</v>
      </c>
      <c r="V159" s="298" t="s">
        <v>141</v>
      </c>
      <c r="W159" s="299" t="s">
        <v>141</v>
      </c>
      <c r="X159" s="298" t="s">
        <v>141</v>
      </c>
      <c r="Y159" s="299" t="s">
        <v>141</v>
      </c>
      <c r="Z159" s="298" t="s">
        <v>141</v>
      </c>
      <c r="AA159" s="299" t="s">
        <v>141</v>
      </c>
      <c r="AB159" s="298" t="s">
        <v>141</v>
      </c>
      <c r="AC159" s="299" t="s">
        <v>141</v>
      </c>
      <c r="AD159" s="298" t="s">
        <v>141</v>
      </c>
      <c r="AE159" s="299" t="s">
        <v>141</v>
      </c>
      <c r="AF159" s="298" t="s">
        <v>141</v>
      </c>
      <c r="AG159" s="299" t="s">
        <v>141</v>
      </c>
      <c r="AH159" s="298" t="s">
        <v>141</v>
      </c>
      <c r="AI159" s="299" t="s">
        <v>141</v>
      </c>
      <c r="AJ159" s="298" t="s">
        <v>141</v>
      </c>
      <c r="AK159" s="299" t="s">
        <v>141</v>
      </c>
      <c r="AL159" s="298" t="s">
        <v>141</v>
      </c>
      <c r="AM159" s="299" t="s">
        <v>141</v>
      </c>
      <c r="AN159" s="298" t="s">
        <v>141</v>
      </c>
      <c r="AO159" s="299" t="s">
        <v>141</v>
      </c>
      <c r="AP159" s="298" t="s">
        <v>141</v>
      </c>
      <c r="AQ159" s="299" t="s">
        <v>141</v>
      </c>
      <c r="AR159" s="298" t="s">
        <v>141</v>
      </c>
      <c r="AS159" s="299" t="s">
        <v>141</v>
      </c>
      <c r="AT159" s="298" t="s">
        <v>141</v>
      </c>
      <c r="AU159" s="299" t="s">
        <v>141</v>
      </c>
      <c r="AV159" s="298" t="s">
        <v>141</v>
      </c>
      <c r="AW159" s="299" t="s">
        <v>141</v>
      </c>
      <c r="AX159" s="298" t="s">
        <v>141</v>
      </c>
      <c r="AY159" s="299" t="s">
        <v>141</v>
      </c>
    </row>
    <row r="160" spans="2:51">
      <c r="B160" s="296" t="s">
        <v>141</v>
      </c>
      <c r="C160" s="297" t="s">
        <v>141</v>
      </c>
      <c r="D160" s="298" t="s">
        <v>141</v>
      </c>
      <c r="E160" s="299" t="s">
        <v>141</v>
      </c>
      <c r="F160" s="298" t="s">
        <v>141</v>
      </c>
      <c r="G160" s="299" t="s">
        <v>141</v>
      </c>
      <c r="H160" s="298" t="s">
        <v>141</v>
      </c>
      <c r="I160" s="299" t="s">
        <v>141</v>
      </c>
      <c r="J160" s="298" t="s">
        <v>141</v>
      </c>
      <c r="K160" s="299" t="s">
        <v>141</v>
      </c>
      <c r="L160" s="298" t="s">
        <v>141</v>
      </c>
      <c r="M160" s="299" t="s">
        <v>141</v>
      </c>
      <c r="N160" s="298" t="s">
        <v>141</v>
      </c>
      <c r="O160" s="299" t="s">
        <v>141</v>
      </c>
      <c r="P160" s="298" t="s">
        <v>141</v>
      </c>
      <c r="Q160" s="299" t="s">
        <v>141</v>
      </c>
      <c r="R160" s="298" t="s">
        <v>141</v>
      </c>
      <c r="S160" s="299" t="s">
        <v>141</v>
      </c>
      <c r="T160" s="298" t="s">
        <v>141</v>
      </c>
      <c r="U160" s="299" t="s">
        <v>141</v>
      </c>
      <c r="V160" s="298" t="s">
        <v>141</v>
      </c>
      <c r="W160" s="299" t="s">
        <v>141</v>
      </c>
      <c r="X160" s="298" t="s">
        <v>141</v>
      </c>
      <c r="Y160" s="299" t="s">
        <v>141</v>
      </c>
      <c r="Z160" s="298" t="s">
        <v>141</v>
      </c>
      <c r="AA160" s="299" t="s">
        <v>141</v>
      </c>
      <c r="AB160" s="298" t="s">
        <v>141</v>
      </c>
      <c r="AC160" s="299" t="s">
        <v>141</v>
      </c>
      <c r="AD160" s="298" t="s">
        <v>141</v>
      </c>
      <c r="AE160" s="299" t="s">
        <v>141</v>
      </c>
      <c r="AF160" s="298" t="s">
        <v>141</v>
      </c>
      <c r="AG160" s="299" t="s">
        <v>141</v>
      </c>
      <c r="AH160" s="298" t="s">
        <v>141</v>
      </c>
      <c r="AI160" s="299" t="s">
        <v>141</v>
      </c>
      <c r="AJ160" s="298" t="s">
        <v>141</v>
      </c>
      <c r="AK160" s="299" t="s">
        <v>141</v>
      </c>
      <c r="AL160" s="298" t="s">
        <v>141</v>
      </c>
      <c r="AM160" s="299" t="s">
        <v>141</v>
      </c>
      <c r="AN160" s="298" t="s">
        <v>141</v>
      </c>
      <c r="AO160" s="299" t="s">
        <v>141</v>
      </c>
      <c r="AP160" s="298" t="s">
        <v>141</v>
      </c>
      <c r="AQ160" s="299" t="s">
        <v>141</v>
      </c>
      <c r="AR160" s="298" t="s">
        <v>141</v>
      </c>
      <c r="AS160" s="299" t="s">
        <v>141</v>
      </c>
      <c r="AT160" s="298" t="s">
        <v>141</v>
      </c>
      <c r="AU160" s="299" t="s">
        <v>141</v>
      </c>
      <c r="AV160" s="298" t="s">
        <v>141</v>
      </c>
      <c r="AW160" s="299" t="s">
        <v>141</v>
      </c>
      <c r="AX160" s="298" t="s">
        <v>141</v>
      </c>
      <c r="AY160" s="299" t="s">
        <v>141</v>
      </c>
    </row>
    <row r="161" spans="2:51">
      <c r="B161" s="296" t="s">
        <v>141</v>
      </c>
      <c r="C161" s="297" t="s">
        <v>141</v>
      </c>
      <c r="D161" s="298" t="s">
        <v>141</v>
      </c>
      <c r="E161" s="299" t="s">
        <v>141</v>
      </c>
      <c r="F161" s="298" t="s">
        <v>141</v>
      </c>
      <c r="G161" s="299" t="s">
        <v>141</v>
      </c>
      <c r="H161" s="298" t="s">
        <v>141</v>
      </c>
      <c r="I161" s="299" t="s">
        <v>141</v>
      </c>
      <c r="J161" s="298" t="s">
        <v>141</v>
      </c>
      <c r="K161" s="299" t="s">
        <v>141</v>
      </c>
      <c r="L161" s="298" t="s">
        <v>141</v>
      </c>
      <c r="M161" s="299" t="s">
        <v>141</v>
      </c>
      <c r="N161" s="298" t="s">
        <v>141</v>
      </c>
      <c r="O161" s="299" t="s">
        <v>141</v>
      </c>
      <c r="P161" s="298" t="s">
        <v>141</v>
      </c>
      <c r="Q161" s="299" t="s">
        <v>141</v>
      </c>
      <c r="R161" s="298" t="s">
        <v>141</v>
      </c>
      <c r="S161" s="299" t="s">
        <v>141</v>
      </c>
      <c r="T161" s="298" t="s">
        <v>141</v>
      </c>
      <c r="U161" s="299" t="s">
        <v>141</v>
      </c>
      <c r="V161" s="298" t="s">
        <v>141</v>
      </c>
      <c r="W161" s="299" t="s">
        <v>141</v>
      </c>
      <c r="X161" s="298" t="s">
        <v>141</v>
      </c>
      <c r="Y161" s="299" t="s">
        <v>141</v>
      </c>
      <c r="Z161" s="298" t="s">
        <v>141</v>
      </c>
      <c r="AA161" s="299" t="s">
        <v>141</v>
      </c>
      <c r="AB161" s="298" t="s">
        <v>141</v>
      </c>
      <c r="AC161" s="299" t="s">
        <v>141</v>
      </c>
      <c r="AD161" s="298" t="s">
        <v>141</v>
      </c>
      <c r="AE161" s="299" t="s">
        <v>141</v>
      </c>
      <c r="AF161" s="298" t="s">
        <v>141</v>
      </c>
      <c r="AG161" s="299" t="s">
        <v>141</v>
      </c>
      <c r="AH161" s="298" t="s">
        <v>141</v>
      </c>
      <c r="AI161" s="299" t="s">
        <v>141</v>
      </c>
      <c r="AJ161" s="298" t="s">
        <v>141</v>
      </c>
      <c r="AK161" s="299" t="s">
        <v>141</v>
      </c>
      <c r="AL161" s="298" t="s">
        <v>141</v>
      </c>
      <c r="AM161" s="299" t="s">
        <v>141</v>
      </c>
      <c r="AN161" s="298" t="s">
        <v>141</v>
      </c>
      <c r="AO161" s="299" t="s">
        <v>141</v>
      </c>
      <c r="AP161" s="298" t="s">
        <v>141</v>
      </c>
      <c r="AQ161" s="299" t="s">
        <v>141</v>
      </c>
      <c r="AR161" s="298" t="s">
        <v>141</v>
      </c>
      <c r="AS161" s="299" t="s">
        <v>141</v>
      </c>
      <c r="AT161" s="298" t="s">
        <v>141</v>
      </c>
      <c r="AU161" s="299" t="s">
        <v>141</v>
      </c>
      <c r="AV161" s="298" t="s">
        <v>141</v>
      </c>
      <c r="AW161" s="299" t="s">
        <v>141</v>
      </c>
      <c r="AX161" s="298" t="s">
        <v>141</v>
      </c>
      <c r="AY161" s="299" t="s">
        <v>141</v>
      </c>
    </row>
    <row r="162" spans="2:51">
      <c r="B162" s="296" t="s">
        <v>141</v>
      </c>
      <c r="C162" s="297" t="s">
        <v>141</v>
      </c>
      <c r="D162" s="298" t="s">
        <v>141</v>
      </c>
      <c r="E162" s="299" t="s">
        <v>141</v>
      </c>
      <c r="F162" s="298" t="s">
        <v>141</v>
      </c>
      <c r="G162" s="299" t="s">
        <v>141</v>
      </c>
      <c r="H162" s="298" t="s">
        <v>141</v>
      </c>
      <c r="I162" s="299" t="s">
        <v>141</v>
      </c>
      <c r="J162" s="298" t="s">
        <v>141</v>
      </c>
      <c r="K162" s="299" t="s">
        <v>141</v>
      </c>
      <c r="L162" s="298" t="s">
        <v>141</v>
      </c>
      <c r="M162" s="299" t="s">
        <v>141</v>
      </c>
      <c r="N162" s="298" t="s">
        <v>141</v>
      </c>
      <c r="O162" s="299" t="s">
        <v>141</v>
      </c>
      <c r="P162" s="298" t="s">
        <v>141</v>
      </c>
      <c r="Q162" s="299" t="s">
        <v>141</v>
      </c>
      <c r="R162" s="298" t="s">
        <v>141</v>
      </c>
      <c r="S162" s="299" t="s">
        <v>141</v>
      </c>
      <c r="T162" s="298" t="s">
        <v>141</v>
      </c>
      <c r="U162" s="299" t="s">
        <v>141</v>
      </c>
      <c r="V162" s="298" t="s">
        <v>141</v>
      </c>
      <c r="W162" s="299" t="s">
        <v>141</v>
      </c>
      <c r="X162" s="298" t="s">
        <v>141</v>
      </c>
      <c r="Y162" s="299" t="s">
        <v>141</v>
      </c>
      <c r="Z162" s="298" t="s">
        <v>141</v>
      </c>
      <c r="AA162" s="299" t="s">
        <v>141</v>
      </c>
      <c r="AB162" s="298" t="s">
        <v>141</v>
      </c>
      <c r="AC162" s="299" t="s">
        <v>141</v>
      </c>
      <c r="AD162" s="298" t="s">
        <v>141</v>
      </c>
      <c r="AE162" s="299" t="s">
        <v>141</v>
      </c>
      <c r="AF162" s="298" t="s">
        <v>141</v>
      </c>
      <c r="AG162" s="299" t="s">
        <v>141</v>
      </c>
      <c r="AH162" s="298" t="s">
        <v>141</v>
      </c>
      <c r="AI162" s="299" t="s">
        <v>141</v>
      </c>
      <c r="AJ162" s="298" t="s">
        <v>141</v>
      </c>
      <c r="AK162" s="299" t="s">
        <v>141</v>
      </c>
      <c r="AL162" s="298" t="s">
        <v>141</v>
      </c>
      <c r="AM162" s="299" t="s">
        <v>141</v>
      </c>
      <c r="AN162" s="298" t="s">
        <v>141</v>
      </c>
      <c r="AO162" s="299" t="s">
        <v>141</v>
      </c>
      <c r="AP162" s="298" t="s">
        <v>141</v>
      </c>
      <c r="AQ162" s="299" t="s">
        <v>141</v>
      </c>
      <c r="AR162" s="298" t="s">
        <v>141</v>
      </c>
      <c r="AS162" s="299" t="s">
        <v>141</v>
      </c>
      <c r="AT162" s="298" t="s">
        <v>141</v>
      </c>
      <c r="AU162" s="299" t="s">
        <v>141</v>
      </c>
      <c r="AV162" s="298" t="s">
        <v>141</v>
      </c>
      <c r="AW162" s="299" t="s">
        <v>141</v>
      </c>
      <c r="AX162" s="298" t="s">
        <v>141</v>
      </c>
      <c r="AY162" s="299" t="s">
        <v>141</v>
      </c>
    </row>
    <row r="163" spans="2:51">
      <c r="B163" s="296" t="s">
        <v>141</v>
      </c>
      <c r="C163" s="297" t="s">
        <v>141</v>
      </c>
      <c r="D163" s="298" t="s">
        <v>141</v>
      </c>
      <c r="E163" s="299" t="s">
        <v>141</v>
      </c>
      <c r="F163" s="298" t="s">
        <v>141</v>
      </c>
      <c r="G163" s="299" t="s">
        <v>141</v>
      </c>
      <c r="H163" s="298" t="s">
        <v>141</v>
      </c>
      <c r="I163" s="299" t="s">
        <v>141</v>
      </c>
      <c r="J163" s="298" t="s">
        <v>141</v>
      </c>
      <c r="K163" s="299" t="s">
        <v>141</v>
      </c>
      <c r="L163" s="298" t="s">
        <v>141</v>
      </c>
      <c r="M163" s="299" t="s">
        <v>141</v>
      </c>
      <c r="N163" s="298" t="s">
        <v>141</v>
      </c>
      <c r="O163" s="299" t="s">
        <v>141</v>
      </c>
      <c r="P163" s="298" t="s">
        <v>141</v>
      </c>
      <c r="Q163" s="299" t="s">
        <v>141</v>
      </c>
      <c r="R163" s="298" t="s">
        <v>141</v>
      </c>
      <c r="S163" s="299" t="s">
        <v>141</v>
      </c>
      <c r="T163" s="298" t="s">
        <v>141</v>
      </c>
      <c r="U163" s="299" t="s">
        <v>141</v>
      </c>
      <c r="V163" s="298" t="s">
        <v>141</v>
      </c>
      <c r="W163" s="299" t="s">
        <v>141</v>
      </c>
      <c r="X163" s="298" t="s">
        <v>141</v>
      </c>
      <c r="Y163" s="299" t="s">
        <v>141</v>
      </c>
      <c r="Z163" s="298" t="s">
        <v>141</v>
      </c>
      <c r="AA163" s="299" t="s">
        <v>141</v>
      </c>
      <c r="AB163" s="298" t="s">
        <v>141</v>
      </c>
      <c r="AC163" s="299" t="s">
        <v>141</v>
      </c>
      <c r="AD163" s="298" t="s">
        <v>141</v>
      </c>
      <c r="AE163" s="299" t="s">
        <v>141</v>
      </c>
      <c r="AF163" s="298" t="s">
        <v>141</v>
      </c>
      <c r="AG163" s="299" t="s">
        <v>141</v>
      </c>
      <c r="AH163" s="298" t="s">
        <v>141</v>
      </c>
      <c r="AI163" s="299" t="s">
        <v>141</v>
      </c>
      <c r="AJ163" s="298" t="s">
        <v>141</v>
      </c>
      <c r="AK163" s="299" t="s">
        <v>141</v>
      </c>
      <c r="AL163" s="298" t="s">
        <v>141</v>
      </c>
      <c r="AM163" s="299" t="s">
        <v>141</v>
      </c>
      <c r="AN163" s="298" t="s">
        <v>141</v>
      </c>
      <c r="AO163" s="299" t="s">
        <v>141</v>
      </c>
      <c r="AP163" s="298" t="s">
        <v>141</v>
      </c>
      <c r="AQ163" s="299" t="s">
        <v>141</v>
      </c>
      <c r="AR163" s="298" t="s">
        <v>141</v>
      </c>
      <c r="AS163" s="299" t="s">
        <v>141</v>
      </c>
      <c r="AT163" s="298" t="s">
        <v>141</v>
      </c>
      <c r="AU163" s="299" t="s">
        <v>141</v>
      </c>
      <c r="AV163" s="298" t="s">
        <v>141</v>
      </c>
      <c r="AW163" s="299" t="s">
        <v>141</v>
      </c>
      <c r="AX163" s="298" t="s">
        <v>141</v>
      </c>
      <c r="AY163" s="299" t="s">
        <v>141</v>
      </c>
    </row>
    <row r="164" spans="2:51">
      <c r="B164" s="296" t="s">
        <v>141</v>
      </c>
      <c r="C164" s="297" t="s">
        <v>141</v>
      </c>
      <c r="D164" s="298" t="s">
        <v>141</v>
      </c>
      <c r="E164" s="299" t="s">
        <v>141</v>
      </c>
      <c r="F164" s="298" t="s">
        <v>141</v>
      </c>
      <c r="G164" s="299" t="s">
        <v>141</v>
      </c>
      <c r="H164" s="298" t="s">
        <v>141</v>
      </c>
      <c r="I164" s="299" t="s">
        <v>141</v>
      </c>
      <c r="J164" s="298" t="s">
        <v>141</v>
      </c>
      <c r="K164" s="299" t="s">
        <v>141</v>
      </c>
      <c r="L164" s="298" t="s">
        <v>141</v>
      </c>
      <c r="M164" s="299" t="s">
        <v>141</v>
      </c>
      <c r="N164" s="298" t="s">
        <v>141</v>
      </c>
      <c r="O164" s="299" t="s">
        <v>141</v>
      </c>
      <c r="P164" s="298" t="s">
        <v>141</v>
      </c>
      <c r="Q164" s="299" t="s">
        <v>141</v>
      </c>
      <c r="R164" s="298" t="s">
        <v>141</v>
      </c>
      <c r="S164" s="299" t="s">
        <v>141</v>
      </c>
      <c r="T164" s="298" t="s">
        <v>141</v>
      </c>
      <c r="U164" s="299" t="s">
        <v>141</v>
      </c>
      <c r="V164" s="298" t="s">
        <v>141</v>
      </c>
      <c r="W164" s="299" t="s">
        <v>141</v>
      </c>
      <c r="X164" s="298" t="s">
        <v>141</v>
      </c>
      <c r="Y164" s="299" t="s">
        <v>141</v>
      </c>
      <c r="Z164" s="298" t="s">
        <v>141</v>
      </c>
      <c r="AA164" s="299" t="s">
        <v>141</v>
      </c>
      <c r="AB164" s="298" t="s">
        <v>141</v>
      </c>
      <c r="AC164" s="299" t="s">
        <v>141</v>
      </c>
      <c r="AD164" s="298" t="s">
        <v>141</v>
      </c>
      <c r="AE164" s="299" t="s">
        <v>141</v>
      </c>
      <c r="AF164" s="298" t="s">
        <v>141</v>
      </c>
      <c r="AG164" s="299" t="s">
        <v>141</v>
      </c>
      <c r="AH164" s="298" t="s">
        <v>141</v>
      </c>
      <c r="AI164" s="299" t="s">
        <v>141</v>
      </c>
      <c r="AJ164" s="298" t="s">
        <v>141</v>
      </c>
      <c r="AK164" s="299" t="s">
        <v>141</v>
      </c>
      <c r="AL164" s="298" t="s">
        <v>141</v>
      </c>
      <c r="AM164" s="299" t="s">
        <v>141</v>
      </c>
      <c r="AN164" s="298" t="s">
        <v>141</v>
      </c>
      <c r="AO164" s="299" t="s">
        <v>141</v>
      </c>
      <c r="AP164" s="298" t="s">
        <v>141</v>
      </c>
      <c r="AQ164" s="299" t="s">
        <v>141</v>
      </c>
      <c r="AR164" s="298" t="s">
        <v>141</v>
      </c>
      <c r="AS164" s="299" t="s">
        <v>141</v>
      </c>
      <c r="AT164" s="298" t="s">
        <v>141</v>
      </c>
      <c r="AU164" s="299" t="s">
        <v>141</v>
      </c>
      <c r="AV164" s="298" t="s">
        <v>141</v>
      </c>
      <c r="AW164" s="299" t="s">
        <v>141</v>
      </c>
      <c r="AX164" s="298" t="s">
        <v>141</v>
      </c>
      <c r="AY164" s="299" t="s">
        <v>141</v>
      </c>
    </row>
    <row r="165" spans="2:51">
      <c r="B165" s="296" t="s">
        <v>141</v>
      </c>
      <c r="C165" s="297" t="s">
        <v>141</v>
      </c>
      <c r="D165" s="298" t="s">
        <v>141</v>
      </c>
      <c r="E165" s="299" t="s">
        <v>141</v>
      </c>
      <c r="F165" s="298" t="s">
        <v>141</v>
      </c>
      <c r="G165" s="299" t="s">
        <v>141</v>
      </c>
      <c r="H165" s="298" t="s">
        <v>141</v>
      </c>
      <c r="I165" s="299" t="s">
        <v>141</v>
      </c>
      <c r="J165" s="298" t="s">
        <v>141</v>
      </c>
      <c r="K165" s="299" t="s">
        <v>141</v>
      </c>
      <c r="L165" s="298" t="s">
        <v>141</v>
      </c>
      <c r="M165" s="299" t="s">
        <v>141</v>
      </c>
      <c r="N165" s="298" t="s">
        <v>141</v>
      </c>
      <c r="O165" s="299" t="s">
        <v>141</v>
      </c>
      <c r="P165" s="298" t="s">
        <v>141</v>
      </c>
      <c r="Q165" s="299" t="s">
        <v>141</v>
      </c>
      <c r="R165" s="298" t="s">
        <v>141</v>
      </c>
      <c r="S165" s="299" t="s">
        <v>141</v>
      </c>
      <c r="T165" s="298" t="s">
        <v>141</v>
      </c>
      <c r="U165" s="299" t="s">
        <v>141</v>
      </c>
      <c r="V165" s="298" t="s">
        <v>141</v>
      </c>
      <c r="W165" s="299" t="s">
        <v>141</v>
      </c>
      <c r="X165" s="298" t="s">
        <v>141</v>
      </c>
      <c r="Y165" s="299" t="s">
        <v>141</v>
      </c>
      <c r="Z165" s="298" t="s">
        <v>141</v>
      </c>
      <c r="AA165" s="299" t="s">
        <v>141</v>
      </c>
      <c r="AB165" s="298" t="s">
        <v>141</v>
      </c>
      <c r="AC165" s="299" t="s">
        <v>141</v>
      </c>
      <c r="AD165" s="298" t="s">
        <v>141</v>
      </c>
      <c r="AE165" s="299" t="s">
        <v>141</v>
      </c>
      <c r="AF165" s="298" t="s">
        <v>141</v>
      </c>
      <c r="AG165" s="299" t="s">
        <v>141</v>
      </c>
      <c r="AH165" s="298" t="s">
        <v>141</v>
      </c>
      <c r="AI165" s="299" t="s">
        <v>141</v>
      </c>
      <c r="AJ165" s="298" t="s">
        <v>141</v>
      </c>
      <c r="AK165" s="299" t="s">
        <v>141</v>
      </c>
      <c r="AL165" s="298" t="s">
        <v>141</v>
      </c>
      <c r="AM165" s="299" t="s">
        <v>141</v>
      </c>
      <c r="AN165" s="298" t="s">
        <v>141</v>
      </c>
      <c r="AO165" s="299" t="s">
        <v>141</v>
      </c>
      <c r="AP165" s="298" t="s">
        <v>141</v>
      </c>
      <c r="AQ165" s="299" t="s">
        <v>141</v>
      </c>
      <c r="AR165" s="298" t="s">
        <v>141</v>
      </c>
      <c r="AS165" s="299" t="s">
        <v>141</v>
      </c>
      <c r="AT165" s="298" t="s">
        <v>141</v>
      </c>
      <c r="AU165" s="299" t="s">
        <v>141</v>
      </c>
      <c r="AV165" s="298" t="s">
        <v>141</v>
      </c>
      <c r="AW165" s="299" t="s">
        <v>141</v>
      </c>
      <c r="AX165" s="298" t="s">
        <v>141</v>
      </c>
      <c r="AY165" s="299" t="s">
        <v>141</v>
      </c>
    </row>
    <row r="166" spans="2:51">
      <c r="B166" s="296" t="s">
        <v>141</v>
      </c>
      <c r="C166" s="297" t="s">
        <v>141</v>
      </c>
      <c r="D166" s="298" t="s">
        <v>141</v>
      </c>
      <c r="E166" s="299" t="s">
        <v>141</v>
      </c>
      <c r="F166" s="298" t="s">
        <v>141</v>
      </c>
      <c r="G166" s="299" t="s">
        <v>141</v>
      </c>
      <c r="H166" s="298" t="s">
        <v>141</v>
      </c>
      <c r="I166" s="299" t="s">
        <v>141</v>
      </c>
      <c r="J166" s="298" t="s">
        <v>141</v>
      </c>
      <c r="K166" s="299" t="s">
        <v>141</v>
      </c>
      <c r="L166" s="298" t="s">
        <v>141</v>
      </c>
      <c r="M166" s="299" t="s">
        <v>141</v>
      </c>
      <c r="N166" s="298" t="s">
        <v>141</v>
      </c>
      <c r="O166" s="299" t="s">
        <v>141</v>
      </c>
      <c r="P166" s="298" t="s">
        <v>141</v>
      </c>
      <c r="Q166" s="299" t="s">
        <v>141</v>
      </c>
      <c r="R166" s="298" t="s">
        <v>141</v>
      </c>
      <c r="S166" s="299" t="s">
        <v>141</v>
      </c>
      <c r="T166" s="298" t="s">
        <v>141</v>
      </c>
      <c r="U166" s="299" t="s">
        <v>141</v>
      </c>
      <c r="V166" s="298" t="s">
        <v>141</v>
      </c>
      <c r="W166" s="299" t="s">
        <v>141</v>
      </c>
      <c r="X166" s="298" t="s">
        <v>141</v>
      </c>
      <c r="Y166" s="299" t="s">
        <v>141</v>
      </c>
      <c r="Z166" s="298" t="s">
        <v>141</v>
      </c>
      <c r="AA166" s="299" t="s">
        <v>141</v>
      </c>
      <c r="AB166" s="298" t="s">
        <v>141</v>
      </c>
      <c r="AC166" s="299" t="s">
        <v>141</v>
      </c>
      <c r="AD166" s="298" t="s">
        <v>141</v>
      </c>
      <c r="AE166" s="299" t="s">
        <v>141</v>
      </c>
      <c r="AF166" s="298" t="s">
        <v>141</v>
      </c>
      <c r="AG166" s="299" t="s">
        <v>141</v>
      </c>
      <c r="AH166" s="298" t="s">
        <v>141</v>
      </c>
      <c r="AI166" s="299" t="s">
        <v>141</v>
      </c>
      <c r="AJ166" s="298" t="s">
        <v>141</v>
      </c>
      <c r="AK166" s="299" t="s">
        <v>141</v>
      </c>
      <c r="AL166" s="298" t="s">
        <v>141</v>
      </c>
      <c r="AM166" s="299" t="s">
        <v>141</v>
      </c>
      <c r="AN166" s="298" t="s">
        <v>141</v>
      </c>
      <c r="AO166" s="299" t="s">
        <v>141</v>
      </c>
      <c r="AP166" s="298" t="s">
        <v>141</v>
      </c>
      <c r="AQ166" s="299" t="s">
        <v>141</v>
      </c>
      <c r="AR166" s="298" t="s">
        <v>141</v>
      </c>
      <c r="AS166" s="299" t="s">
        <v>141</v>
      </c>
      <c r="AT166" s="298" t="s">
        <v>141</v>
      </c>
      <c r="AU166" s="299" t="s">
        <v>141</v>
      </c>
      <c r="AV166" s="298" t="s">
        <v>141</v>
      </c>
      <c r="AW166" s="299" t="s">
        <v>141</v>
      </c>
      <c r="AX166" s="298" t="s">
        <v>141</v>
      </c>
      <c r="AY166" s="299" t="s">
        <v>141</v>
      </c>
    </row>
    <row r="167" spans="2:51">
      <c r="B167" s="296" t="s">
        <v>141</v>
      </c>
      <c r="C167" s="297" t="s">
        <v>141</v>
      </c>
      <c r="D167" s="298" t="s">
        <v>141</v>
      </c>
      <c r="E167" s="299" t="s">
        <v>141</v>
      </c>
      <c r="F167" s="298" t="s">
        <v>141</v>
      </c>
      <c r="G167" s="299" t="s">
        <v>141</v>
      </c>
      <c r="H167" s="298" t="s">
        <v>141</v>
      </c>
      <c r="I167" s="299" t="s">
        <v>141</v>
      </c>
      <c r="J167" s="298" t="s">
        <v>141</v>
      </c>
      <c r="K167" s="299" t="s">
        <v>141</v>
      </c>
      <c r="L167" s="298" t="s">
        <v>141</v>
      </c>
      <c r="M167" s="299" t="s">
        <v>141</v>
      </c>
      <c r="N167" s="298" t="s">
        <v>141</v>
      </c>
      <c r="O167" s="299" t="s">
        <v>141</v>
      </c>
      <c r="P167" s="298" t="s">
        <v>141</v>
      </c>
      <c r="Q167" s="299" t="s">
        <v>141</v>
      </c>
      <c r="R167" s="298" t="s">
        <v>141</v>
      </c>
      <c r="S167" s="299" t="s">
        <v>141</v>
      </c>
      <c r="T167" s="298" t="s">
        <v>141</v>
      </c>
      <c r="U167" s="299" t="s">
        <v>141</v>
      </c>
      <c r="V167" s="298" t="s">
        <v>141</v>
      </c>
      <c r="W167" s="299" t="s">
        <v>141</v>
      </c>
      <c r="X167" s="298" t="s">
        <v>141</v>
      </c>
      <c r="Y167" s="299" t="s">
        <v>141</v>
      </c>
      <c r="Z167" s="298" t="s">
        <v>141</v>
      </c>
      <c r="AA167" s="299" t="s">
        <v>141</v>
      </c>
      <c r="AB167" s="298" t="s">
        <v>141</v>
      </c>
      <c r="AC167" s="299" t="s">
        <v>141</v>
      </c>
      <c r="AD167" s="298" t="s">
        <v>141</v>
      </c>
      <c r="AE167" s="299" t="s">
        <v>141</v>
      </c>
      <c r="AF167" s="298" t="s">
        <v>141</v>
      </c>
      <c r="AG167" s="299" t="s">
        <v>141</v>
      </c>
      <c r="AH167" s="298" t="s">
        <v>141</v>
      </c>
      <c r="AI167" s="299" t="s">
        <v>141</v>
      </c>
      <c r="AJ167" s="298" t="s">
        <v>141</v>
      </c>
      <c r="AK167" s="299" t="s">
        <v>141</v>
      </c>
      <c r="AL167" s="298" t="s">
        <v>141</v>
      </c>
      <c r="AM167" s="299" t="s">
        <v>141</v>
      </c>
      <c r="AN167" s="298" t="s">
        <v>141</v>
      </c>
      <c r="AO167" s="299" t="s">
        <v>141</v>
      </c>
      <c r="AP167" s="298" t="s">
        <v>141</v>
      </c>
      <c r="AQ167" s="299" t="s">
        <v>141</v>
      </c>
      <c r="AR167" s="298" t="s">
        <v>141</v>
      </c>
      <c r="AS167" s="299" t="s">
        <v>141</v>
      </c>
      <c r="AT167" s="298" t="s">
        <v>141</v>
      </c>
      <c r="AU167" s="299" t="s">
        <v>141</v>
      </c>
      <c r="AV167" s="298" t="s">
        <v>141</v>
      </c>
      <c r="AW167" s="299" t="s">
        <v>141</v>
      </c>
      <c r="AX167" s="298" t="s">
        <v>141</v>
      </c>
      <c r="AY167" s="299" t="s">
        <v>141</v>
      </c>
    </row>
  </sheetData>
  <conditionalFormatting sqref="B2:M2">
    <cfRule type="expression" dxfId="8" priority="1" stopIfTrue="1">
      <formula>A1 &gt; 30</formula>
    </cfRule>
  </conditionalFormatting>
  <hyperlinks>
    <hyperlink ref="A2" location="TOC!A1" display="TOC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BB167"/>
  <sheetViews>
    <sheetView workbookViewId="0">
      <selection activeCell="H9" sqref="H9"/>
    </sheetView>
  </sheetViews>
  <sheetFormatPr defaultRowHeight="15"/>
  <cols>
    <col min="3" max="3" width="30.140625" bestFit="1" customWidth="1"/>
    <col min="259" max="259" width="30.140625" bestFit="1" customWidth="1"/>
    <col min="515" max="515" width="30.140625" bestFit="1" customWidth="1"/>
    <col min="771" max="771" width="30.140625" bestFit="1" customWidth="1"/>
    <col min="1027" max="1027" width="30.140625" bestFit="1" customWidth="1"/>
    <col min="1283" max="1283" width="30.140625" bestFit="1" customWidth="1"/>
    <col min="1539" max="1539" width="30.140625" bestFit="1" customWidth="1"/>
    <col min="1795" max="1795" width="30.140625" bestFit="1" customWidth="1"/>
    <col min="2051" max="2051" width="30.140625" bestFit="1" customWidth="1"/>
    <col min="2307" max="2307" width="30.140625" bestFit="1" customWidth="1"/>
    <col min="2563" max="2563" width="30.140625" bestFit="1" customWidth="1"/>
    <col min="2819" max="2819" width="30.140625" bestFit="1" customWidth="1"/>
    <col min="3075" max="3075" width="30.140625" bestFit="1" customWidth="1"/>
    <col min="3331" max="3331" width="30.140625" bestFit="1" customWidth="1"/>
    <col min="3587" max="3587" width="30.140625" bestFit="1" customWidth="1"/>
    <col min="3843" max="3843" width="30.140625" bestFit="1" customWidth="1"/>
    <col min="4099" max="4099" width="30.140625" bestFit="1" customWidth="1"/>
    <col min="4355" max="4355" width="30.140625" bestFit="1" customWidth="1"/>
    <col min="4611" max="4611" width="30.140625" bestFit="1" customWidth="1"/>
    <col min="4867" max="4867" width="30.140625" bestFit="1" customWidth="1"/>
    <col min="5123" max="5123" width="30.140625" bestFit="1" customWidth="1"/>
    <col min="5379" max="5379" width="30.140625" bestFit="1" customWidth="1"/>
    <col min="5635" max="5635" width="30.140625" bestFit="1" customWidth="1"/>
    <col min="5891" max="5891" width="30.140625" bestFit="1" customWidth="1"/>
    <col min="6147" max="6147" width="30.140625" bestFit="1" customWidth="1"/>
    <col min="6403" max="6403" width="30.140625" bestFit="1" customWidth="1"/>
    <col min="6659" max="6659" width="30.140625" bestFit="1" customWidth="1"/>
    <col min="6915" max="6915" width="30.140625" bestFit="1" customWidth="1"/>
    <col min="7171" max="7171" width="30.140625" bestFit="1" customWidth="1"/>
    <col min="7427" max="7427" width="30.140625" bestFit="1" customWidth="1"/>
    <col min="7683" max="7683" width="30.140625" bestFit="1" customWidth="1"/>
    <col min="7939" max="7939" width="30.140625" bestFit="1" customWidth="1"/>
    <col min="8195" max="8195" width="30.140625" bestFit="1" customWidth="1"/>
    <col min="8451" max="8451" width="30.140625" bestFit="1" customWidth="1"/>
    <col min="8707" max="8707" width="30.140625" bestFit="1" customWidth="1"/>
    <col min="8963" max="8963" width="30.140625" bestFit="1" customWidth="1"/>
    <col min="9219" max="9219" width="30.140625" bestFit="1" customWidth="1"/>
    <col min="9475" max="9475" width="30.140625" bestFit="1" customWidth="1"/>
    <col min="9731" max="9731" width="30.140625" bestFit="1" customWidth="1"/>
    <col min="9987" max="9987" width="30.140625" bestFit="1" customWidth="1"/>
    <col min="10243" max="10243" width="30.140625" bestFit="1" customWidth="1"/>
    <col min="10499" max="10499" width="30.140625" bestFit="1" customWidth="1"/>
    <col min="10755" max="10755" width="30.140625" bestFit="1" customWidth="1"/>
    <col min="11011" max="11011" width="30.140625" bestFit="1" customWidth="1"/>
    <col min="11267" max="11267" width="30.140625" bestFit="1" customWidth="1"/>
    <col min="11523" max="11523" width="30.140625" bestFit="1" customWidth="1"/>
    <col min="11779" max="11779" width="30.140625" bestFit="1" customWidth="1"/>
    <col min="12035" max="12035" width="30.140625" bestFit="1" customWidth="1"/>
    <col min="12291" max="12291" width="30.140625" bestFit="1" customWidth="1"/>
    <col min="12547" max="12547" width="30.140625" bestFit="1" customWidth="1"/>
    <col min="12803" max="12803" width="30.140625" bestFit="1" customWidth="1"/>
    <col min="13059" max="13059" width="30.140625" bestFit="1" customWidth="1"/>
    <col min="13315" max="13315" width="30.140625" bestFit="1" customWidth="1"/>
    <col min="13571" max="13571" width="30.140625" bestFit="1" customWidth="1"/>
    <col min="13827" max="13827" width="30.140625" bestFit="1" customWidth="1"/>
    <col min="14083" max="14083" width="30.140625" bestFit="1" customWidth="1"/>
    <col min="14339" max="14339" width="30.140625" bestFit="1" customWidth="1"/>
    <col min="14595" max="14595" width="30.140625" bestFit="1" customWidth="1"/>
    <col min="14851" max="14851" width="30.140625" bestFit="1" customWidth="1"/>
    <col min="15107" max="15107" width="30.140625" bestFit="1" customWidth="1"/>
    <col min="15363" max="15363" width="30.140625" bestFit="1" customWidth="1"/>
    <col min="15619" max="15619" width="30.140625" bestFit="1" customWidth="1"/>
    <col min="15875" max="15875" width="30.140625" bestFit="1" customWidth="1"/>
    <col min="16131" max="16131" width="30.140625" bestFit="1" customWidth="1"/>
  </cols>
  <sheetData>
    <row r="1" spans="1:54" s="25" customFormat="1">
      <c r="A1" s="187"/>
      <c r="B1" s="194" t="s">
        <v>384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</row>
    <row r="2" spans="1:54" s="25" customFormat="1">
      <c r="A2" s="195"/>
      <c r="B2" s="187"/>
      <c r="C2" s="187"/>
      <c r="D2" s="190">
        <v>43009</v>
      </c>
      <c r="E2" s="191">
        <v>43009</v>
      </c>
      <c r="F2" s="190">
        <v>43040</v>
      </c>
      <c r="G2" s="191">
        <v>43040</v>
      </c>
      <c r="H2" s="190">
        <v>43070</v>
      </c>
      <c r="I2" s="191">
        <v>43070</v>
      </c>
      <c r="J2" s="190">
        <v>43101</v>
      </c>
      <c r="K2" s="191">
        <v>43101</v>
      </c>
      <c r="L2" s="190">
        <v>43132</v>
      </c>
      <c r="M2" s="191">
        <v>43132</v>
      </c>
      <c r="N2" s="190">
        <v>43160</v>
      </c>
      <c r="O2" s="191">
        <v>43160</v>
      </c>
      <c r="P2" s="190">
        <v>43191</v>
      </c>
      <c r="Q2" s="191">
        <v>43191</v>
      </c>
      <c r="R2" s="190">
        <v>43221</v>
      </c>
      <c r="S2" s="191">
        <v>43221</v>
      </c>
      <c r="T2" s="190">
        <v>43252</v>
      </c>
      <c r="U2" s="191">
        <v>43252</v>
      </c>
      <c r="V2" s="190">
        <v>43282</v>
      </c>
      <c r="W2" s="191">
        <v>43282</v>
      </c>
      <c r="X2" s="190">
        <v>43313</v>
      </c>
      <c r="Y2" s="191">
        <v>43313</v>
      </c>
      <c r="Z2" s="190">
        <v>43344</v>
      </c>
      <c r="AA2" s="191">
        <v>43344</v>
      </c>
      <c r="AB2" s="190">
        <v>43374</v>
      </c>
      <c r="AC2" s="191">
        <v>43374</v>
      </c>
      <c r="AD2" s="190">
        <v>43405</v>
      </c>
      <c r="AE2" s="191">
        <v>43405</v>
      </c>
      <c r="AF2" s="190">
        <v>43435</v>
      </c>
      <c r="AG2" s="191">
        <v>43435</v>
      </c>
      <c r="AH2" s="190">
        <v>43466</v>
      </c>
      <c r="AI2" s="191">
        <v>43466</v>
      </c>
      <c r="AJ2" s="190">
        <v>43497</v>
      </c>
      <c r="AK2" s="191">
        <v>43497</v>
      </c>
      <c r="AL2" s="190">
        <v>43525</v>
      </c>
      <c r="AM2" s="191">
        <v>43525</v>
      </c>
      <c r="AN2" s="190">
        <v>43556</v>
      </c>
      <c r="AO2" s="191">
        <v>43556</v>
      </c>
      <c r="AP2" s="190">
        <v>43586</v>
      </c>
      <c r="AQ2" s="191">
        <v>43586</v>
      </c>
      <c r="AR2" s="190">
        <v>43617</v>
      </c>
      <c r="AS2" s="191">
        <v>43617</v>
      </c>
      <c r="AT2" s="190">
        <v>43647</v>
      </c>
      <c r="AU2" s="191">
        <v>43647</v>
      </c>
      <c r="AV2" s="190">
        <v>43678</v>
      </c>
      <c r="AW2" s="191">
        <v>43678</v>
      </c>
      <c r="AX2" s="190">
        <v>43709</v>
      </c>
      <c r="AY2" s="191">
        <v>43709</v>
      </c>
      <c r="BA2" s="167"/>
    </row>
    <row r="3" spans="1:54" s="25" customFormat="1">
      <c r="A3" s="187"/>
      <c r="B3" s="188" t="s">
        <v>2</v>
      </c>
      <c r="C3" s="188" t="s">
        <v>147</v>
      </c>
      <c r="D3" s="192" t="s">
        <v>143</v>
      </c>
      <c r="E3" s="193" t="s">
        <v>144</v>
      </c>
      <c r="F3" s="192" t="s">
        <v>143</v>
      </c>
      <c r="G3" s="193" t="s">
        <v>144</v>
      </c>
      <c r="H3" s="192" t="s">
        <v>143</v>
      </c>
      <c r="I3" s="193" t="s">
        <v>144</v>
      </c>
      <c r="J3" s="192" t="s">
        <v>143</v>
      </c>
      <c r="K3" s="193" t="s">
        <v>144</v>
      </c>
      <c r="L3" s="192" t="s">
        <v>143</v>
      </c>
      <c r="M3" s="193" t="s">
        <v>144</v>
      </c>
      <c r="N3" s="192" t="s">
        <v>143</v>
      </c>
      <c r="O3" s="193" t="s">
        <v>144</v>
      </c>
      <c r="P3" s="192" t="s">
        <v>143</v>
      </c>
      <c r="Q3" s="193" t="s">
        <v>144</v>
      </c>
      <c r="R3" s="192" t="s">
        <v>143</v>
      </c>
      <c r="S3" s="193" t="s">
        <v>144</v>
      </c>
      <c r="T3" s="192" t="s">
        <v>143</v>
      </c>
      <c r="U3" s="193" t="s">
        <v>144</v>
      </c>
      <c r="V3" s="192" t="s">
        <v>143</v>
      </c>
      <c r="W3" s="193" t="s">
        <v>144</v>
      </c>
      <c r="X3" s="192" t="s">
        <v>143</v>
      </c>
      <c r="Y3" s="193" t="s">
        <v>144</v>
      </c>
      <c r="Z3" s="192" t="s">
        <v>143</v>
      </c>
      <c r="AA3" s="193" t="s">
        <v>144</v>
      </c>
      <c r="AB3" s="192" t="s">
        <v>143</v>
      </c>
      <c r="AC3" s="193" t="s">
        <v>144</v>
      </c>
      <c r="AD3" s="192" t="s">
        <v>143</v>
      </c>
      <c r="AE3" s="193" t="s">
        <v>144</v>
      </c>
      <c r="AF3" s="192" t="s">
        <v>143</v>
      </c>
      <c r="AG3" s="193" t="s">
        <v>144</v>
      </c>
      <c r="AH3" s="192" t="s">
        <v>143</v>
      </c>
      <c r="AI3" s="193" t="s">
        <v>144</v>
      </c>
      <c r="AJ3" s="192" t="s">
        <v>143</v>
      </c>
      <c r="AK3" s="193" t="s">
        <v>144</v>
      </c>
      <c r="AL3" s="192" t="s">
        <v>143</v>
      </c>
      <c r="AM3" s="193" t="s">
        <v>144</v>
      </c>
      <c r="AN3" s="192" t="s">
        <v>143</v>
      </c>
      <c r="AO3" s="193" t="s">
        <v>144</v>
      </c>
      <c r="AP3" s="192" t="s">
        <v>143</v>
      </c>
      <c r="AQ3" s="193" t="s">
        <v>144</v>
      </c>
      <c r="AR3" s="192" t="s">
        <v>143</v>
      </c>
      <c r="AS3" s="193" t="s">
        <v>144</v>
      </c>
      <c r="AT3" s="192" t="s">
        <v>143</v>
      </c>
      <c r="AU3" s="193" t="s">
        <v>144</v>
      </c>
      <c r="AV3" s="192" t="s">
        <v>143</v>
      </c>
      <c r="AW3" s="193" t="s">
        <v>144</v>
      </c>
      <c r="AX3" s="192" t="s">
        <v>143</v>
      </c>
      <c r="AY3" s="193" t="s">
        <v>144</v>
      </c>
      <c r="BA3" s="164"/>
      <c r="BB3" s="168"/>
    </row>
    <row r="4" spans="1:54" s="25" customFormat="1">
      <c r="A4" s="187"/>
      <c r="B4" s="187">
        <v>10005</v>
      </c>
      <c r="C4" s="187" t="s">
        <v>7</v>
      </c>
      <c r="D4" s="189">
        <v>-17.57379701770725</v>
      </c>
      <c r="E4" s="189">
        <v>23.187708194910485</v>
      </c>
      <c r="F4" s="189">
        <v>11.381228535006528</v>
      </c>
      <c r="G4" s="189">
        <v>42.537668027544754</v>
      </c>
      <c r="H4" s="189">
        <v>36.16736936074949</v>
      </c>
      <c r="I4" s="189">
        <v>70.585283416434265</v>
      </c>
      <c r="J4" s="189">
        <v>90.685337973628009</v>
      </c>
      <c r="K4" s="189">
        <v>84.117676866631996</v>
      </c>
      <c r="L4" s="189">
        <v>87.626826748668265</v>
      </c>
      <c r="M4" s="189">
        <v>75.509634658237502</v>
      </c>
      <c r="N4" s="189">
        <v>40.885634873929746</v>
      </c>
      <c r="O4" s="189">
        <v>42.491959207373725</v>
      </c>
      <c r="P4" s="189">
        <v>1.3786220377744769</v>
      </c>
      <c r="Q4" s="189">
        <v>41.82220049748949</v>
      </c>
      <c r="R4" s="189">
        <v>-137.03545577138857</v>
      </c>
      <c r="S4" s="189">
        <v>-50.752232525904475</v>
      </c>
      <c r="T4" s="189">
        <v>-86.070317563849528</v>
      </c>
      <c r="U4" s="189">
        <v>-26.786908045461502</v>
      </c>
      <c r="V4" s="189">
        <v>-70.613885367338753</v>
      </c>
      <c r="W4" s="189">
        <v>-4.115205226097018</v>
      </c>
      <c r="X4" s="189">
        <v>-87.761628254241543</v>
      </c>
      <c r="Y4" s="189">
        <v>-25.705471177417991</v>
      </c>
      <c r="Z4" s="189">
        <v>-60.473514240049241</v>
      </c>
      <c r="AA4" s="189">
        <v>-2.047765750812502</v>
      </c>
      <c r="AB4" s="189">
        <v>-9.6086388282805046</v>
      </c>
      <c r="AC4" s="189">
        <v>14.478131124289007</v>
      </c>
      <c r="AD4" s="189">
        <v>10.473465322817049</v>
      </c>
      <c r="AE4" s="189">
        <v>42.117907687855535</v>
      </c>
      <c r="AF4" s="189">
        <v>35.31403190559098</v>
      </c>
      <c r="AG4" s="189">
        <v>70.215893111966551</v>
      </c>
      <c r="AH4" s="189">
        <v>90.136202927704005</v>
      </c>
      <c r="AI4" s="189">
        <v>83.860883904975992</v>
      </c>
      <c r="AJ4" s="189">
        <v>87.246191629378501</v>
      </c>
      <c r="AK4" s="189">
        <v>75.365083250775001</v>
      </c>
      <c r="AL4" s="189">
        <v>29.905344905785455</v>
      </c>
      <c r="AM4" s="189">
        <v>52.748181162977488</v>
      </c>
      <c r="AN4" s="189">
        <v>10.328168587040977</v>
      </c>
      <c r="AO4" s="189">
        <v>32.18082925891099</v>
      </c>
      <c r="AP4" s="189">
        <v>-138.21258293329302</v>
      </c>
      <c r="AQ4" s="189">
        <v>-51.283521627380964</v>
      </c>
      <c r="AR4" s="189">
        <v>-93.885574541391037</v>
      </c>
      <c r="AS4" s="189">
        <v>-20.013463000006993</v>
      </c>
      <c r="AT4" s="189">
        <v>-64.594479389347498</v>
      </c>
      <c r="AU4" s="189">
        <v>-10.794343822346008</v>
      </c>
      <c r="AV4" s="189">
        <v>-88.428436282047045</v>
      </c>
      <c r="AW4" s="189">
        <v>-25.927859877924007</v>
      </c>
      <c r="AX4" s="189">
        <v>-61.028399954036502</v>
      </c>
      <c r="AY4" s="189">
        <v>-2.1804701021249997</v>
      </c>
      <c r="BA4" s="165"/>
      <c r="BB4" s="165"/>
    </row>
    <row r="5" spans="1:54">
      <c r="A5" s="187"/>
      <c r="B5" s="187">
        <v>10015</v>
      </c>
      <c r="C5" s="187" t="s">
        <v>8</v>
      </c>
      <c r="D5" s="189">
        <v>-63.9763100370958</v>
      </c>
      <c r="E5" s="189">
        <v>16.774683731068393</v>
      </c>
      <c r="F5" s="189">
        <v>-204.70994565957477</v>
      </c>
      <c r="G5" s="189">
        <v>-104.50087916553417</v>
      </c>
      <c r="H5" s="189">
        <v>-195.90900271774041</v>
      </c>
      <c r="I5" s="189">
        <v>-100.17298544556255</v>
      </c>
      <c r="J5" s="189">
        <v>-131.29233145805756</v>
      </c>
      <c r="K5" s="189">
        <v>-86.580376972934388</v>
      </c>
      <c r="L5" s="189">
        <v>-107.49354337265538</v>
      </c>
      <c r="M5" s="189">
        <v>-66.352748571909984</v>
      </c>
      <c r="N5" s="189">
        <v>-126.09649082662619</v>
      </c>
      <c r="O5" s="189">
        <v>-74.816154409950997</v>
      </c>
      <c r="P5" s="189">
        <v>-44.786440399120409</v>
      </c>
      <c r="Q5" s="189">
        <v>-15.886889145148373</v>
      </c>
      <c r="R5" s="189">
        <v>-13.052251093290863</v>
      </c>
      <c r="S5" s="189">
        <v>104.45844992021642</v>
      </c>
      <c r="T5" s="189">
        <v>138.81306684726047</v>
      </c>
      <c r="U5" s="189">
        <v>227.08267538181082</v>
      </c>
      <c r="V5" s="189">
        <v>347.04913082577906</v>
      </c>
      <c r="W5" s="189">
        <v>377.70529196916243</v>
      </c>
      <c r="X5" s="189">
        <v>267.32357628438677</v>
      </c>
      <c r="Y5" s="189">
        <v>321.34687503782561</v>
      </c>
      <c r="Z5" s="189">
        <v>71.00436004847063</v>
      </c>
      <c r="AA5" s="189">
        <v>202.62101334684999</v>
      </c>
      <c r="AB5" s="189">
        <v>-60.853310037095781</v>
      </c>
      <c r="AC5" s="189">
        <v>19.3236837310684</v>
      </c>
      <c r="AD5" s="189">
        <v>-203.13794565957477</v>
      </c>
      <c r="AE5" s="189">
        <v>-103.30887916553417</v>
      </c>
      <c r="AF5" s="189">
        <v>-194.3010027177404</v>
      </c>
      <c r="AG5" s="189">
        <v>-98.883985445562544</v>
      </c>
      <c r="AH5" s="189">
        <v>-129.37133145805757</v>
      </c>
      <c r="AI5" s="189">
        <v>-85.482376972934389</v>
      </c>
      <c r="AJ5" s="189">
        <v>-105.81554337265538</v>
      </c>
      <c r="AK5" s="189">
        <v>-65.436748571909988</v>
      </c>
      <c r="AL5" s="189">
        <v>-124.09149082662618</v>
      </c>
      <c r="AM5" s="189">
        <v>-73.677154409951001</v>
      </c>
      <c r="AN5" s="189">
        <v>-41.518440399120408</v>
      </c>
      <c r="AO5" s="189">
        <v>-13.921889145148384</v>
      </c>
      <c r="AP5" s="189">
        <v>-7.3862510932908094</v>
      </c>
      <c r="AQ5" s="189">
        <v>109.58244992021645</v>
      </c>
      <c r="AR5" s="189">
        <v>145.95306684726046</v>
      </c>
      <c r="AS5" s="189">
        <v>233.4726753818108</v>
      </c>
      <c r="AT5" s="189">
        <v>357.12513082577897</v>
      </c>
      <c r="AU5" s="189">
        <v>386.33429196916245</v>
      </c>
      <c r="AV5" s="189">
        <v>276.61357628438685</v>
      </c>
      <c r="AW5" s="189">
        <v>329.15787503782565</v>
      </c>
      <c r="AX5" s="189">
        <v>76.259360048470626</v>
      </c>
      <c r="AY5" s="189">
        <v>208.31901334685003</v>
      </c>
      <c r="BA5" s="166"/>
      <c r="BB5" s="166"/>
    </row>
    <row r="6" spans="1:54">
      <c r="A6" s="187"/>
      <c r="B6" s="187">
        <v>10024</v>
      </c>
      <c r="C6" s="187" t="s">
        <v>9</v>
      </c>
      <c r="D6" s="189">
        <v>-12781.552816861622</v>
      </c>
      <c r="E6" s="189">
        <v>1273.8688466391941</v>
      </c>
      <c r="F6" s="189">
        <v>-20155.423247322498</v>
      </c>
      <c r="G6" s="189">
        <v>-4505.3408437945873</v>
      </c>
      <c r="H6" s="189">
        <v>-14096.998927420384</v>
      </c>
      <c r="I6" s="189">
        <v>1351.340666938504</v>
      </c>
      <c r="J6" s="189">
        <v>-726.98550518849515</v>
      </c>
      <c r="K6" s="189">
        <v>7040.3581299520629</v>
      </c>
      <c r="L6" s="189">
        <v>-3778.6775813487038</v>
      </c>
      <c r="M6" s="189">
        <v>3437.2358621288186</v>
      </c>
      <c r="N6" s="189">
        <v>-10834.962777101107</v>
      </c>
      <c r="O6" s="189">
        <v>-1630.1677972726866</v>
      </c>
      <c r="P6" s="189">
        <v>-8727.3107649669255</v>
      </c>
      <c r="Q6" s="189">
        <v>3684.2831955322545</v>
      </c>
      <c r="R6" s="189">
        <v>-19206.053050978895</v>
      </c>
      <c r="S6" s="189">
        <v>-1250.0004701756334</v>
      </c>
      <c r="T6" s="189">
        <v>1984.7871835595433</v>
      </c>
      <c r="U6" s="189">
        <v>11814.315649262291</v>
      </c>
      <c r="V6" s="189">
        <v>15015.09143798086</v>
      </c>
      <c r="W6" s="189">
        <v>27777.463585781414</v>
      </c>
      <c r="X6" s="189">
        <v>5177.06004083882</v>
      </c>
      <c r="Y6" s="189">
        <v>15335.940443331136</v>
      </c>
      <c r="Z6" s="189">
        <v>-9957.3684711469978</v>
      </c>
      <c r="AA6" s="189">
        <v>4996.8574722388912</v>
      </c>
      <c r="AB6" s="189">
        <v>-10669.552816861622</v>
      </c>
      <c r="AC6" s="189">
        <v>649.86884663919409</v>
      </c>
      <c r="AD6" s="189">
        <v>-19355.423247322498</v>
      </c>
      <c r="AE6" s="189">
        <v>-3863.3408437945873</v>
      </c>
      <c r="AF6" s="189">
        <v>-13296.998927420384</v>
      </c>
      <c r="AG6" s="189">
        <v>2039.340666938504</v>
      </c>
      <c r="AH6" s="189">
        <v>105.01449481150485</v>
      </c>
      <c r="AI6" s="189">
        <v>7696.3581299520629</v>
      </c>
      <c r="AJ6" s="189">
        <v>-3010.6775813487038</v>
      </c>
      <c r="AK6" s="189">
        <v>4013.2358621288186</v>
      </c>
      <c r="AL6" s="189">
        <v>-11250.962777101107</v>
      </c>
      <c r="AM6" s="189">
        <v>271.83220272731342</v>
      </c>
      <c r="AN6" s="189">
        <v>-6503.3107649669255</v>
      </c>
      <c r="AO6" s="189">
        <v>2900.2831955322545</v>
      </c>
      <c r="AP6" s="189">
        <v>-18374.053050978895</v>
      </c>
      <c r="AQ6" s="189">
        <v>-594.00047017563338</v>
      </c>
      <c r="AR6" s="189">
        <v>736.78718355954334</v>
      </c>
      <c r="AS6" s="189">
        <v>14502.315649262291</v>
      </c>
      <c r="AT6" s="189">
        <v>18663.09143798086</v>
      </c>
      <c r="AU6" s="189">
        <v>26361.463585781414</v>
      </c>
      <c r="AV6" s="189">
        <v>6041.06004083882</v>
      </c>
      <c r="AW6" s="189">
        <v>15959.940443331136</v>
      </c>
      <c r="AX6" s="189">
        <v>-9189.3684711469978</v>
      </c>
      <c r="AY6" s="189">
        <v>5668.8574722388912</v>
      </c>
      <c r="BA6" s="166"/>
      <c r="BB6" s="166"/>
    </row>
    <row r="7" spans="1:54">
      <c r="A7" s="187"/>
      <c r="B7" s="187">
        <v>10025</v>
      </c>
      <c r="C7" s="187" t="s">
        <v>10</v>
      </c>
      <c r="D7" s="189">
        <v>-1640.5557761029086</v>
      </c>
      <c r="E7" s="189">
        <v>1021.9967057294198</v>
      </c>
      <c r="F7" s="189">
        <v>-10575.62525470593</v>
      </c>
      <c r="G7" s="189">
        <v>-2993.1368945147078</v>
      </c>
      <c r="H7" s="189">
        <v>-5383.3563469454712</v>
      </c>
      <c r="I7" s="189">
        <v>1755.6710249117968</v>
      </c>
      <c r="J7" s="189">
        <v>-879.11117835440382</v>
      </c>
      <c r="K7" s="189">
        <v>2032.3410246129915</v>
      </c>
      <c r="L7" s="189">
        <v>-1945.201018617081</v>
      </c>
      <c r="M7" s="189">
        <v>741.07874656494459</v>
      </c>
      <c r="N7" s="189">
        <v>-7798.7001694721766</v>
      </c>
      <c r="O7" s="189">
        <v>-1928.2133961274831</v>
      </c>
      <c r="P7" s="189">
        <v>-1693.4560753399601</v>
      </c>
      <c r="Q7" s="189">
        <v>1060.922337582746</v>
      </c>
      <c r="R7" s="189">
        <v>-9895.5714974279581</v>
      </c>
      <c r="S7" s="189">
        <v>-2788.7961182805229</v>
      </c>
      <c r="T7" s="189">
        <v>-2010.1108567345655</v>
      </c>
      <c r="U7" s="189">
        <v>3693.9297824174173</v>
      </c>
      <c r="V7" s="189">
        <v>10463.566739137681</v>
      </c>
      <c r="W7" s="189">
        <v>10219.562402691405</v>
      </c>
      <c r="X7" s="189">
        <v>4665.5985283424598</v>
      </c>
      <c r="Y7" s="189">
        <v>7024.694940205969</v>
      </c>
      <c r="Z7" s="189">
        <v>-3231.9665720972553</v>
      </c>
      <c r="AA7" s="189">
        <v>2278.6740001919279</v>
      </c>
      <c r="AB7" s="189">
        <v>-1797.2487761029079</v>
      </c>
      <c r="AC7" s="189">
        <v>1085.0747057294193</v>
      </c>
      <c r="AD7" s="189">
        <v>-10630.799254705929</v>
      </c>
      <c r="AE7" s="189">
        <v>-3056.1068945147072</v>
      </c>
      <c r="AF7" s="189">
        <v>-5372.3373469454709</v>
      </c>
      <c r="AG7" s="189">
        <v>1745.0360249117984</v>
      </c>
      <c r="AH7" s="189">
        <v>-880.27217835440388</v>
      </c>
      <c r="AI7" s="189">
        <v>2004.8860246129898</v>
      </c>
      <c r="AJ7" s="189">
        <v>-1995.9440186170832</v>
      </c>
      <c r="AK7" s="189">
        <v>680.81474656494356</v>
      </c>
      <c r="AL7" s="189">
        <v>-7794.2821694721788</v>
      </c>
      <c r="AM7" s="189">
        <v>-2160.1833961274842</v>
      </c>
      <c r="AN7" s="189">
        <v>-1848.6910753399643</v>
      </c>
      <c r="AO7" s="189">
        <v>1128.077337582743</v>
      </c>
      <c r="AP7" s="189">
        <v>-9870.9694974279555</v>
      </c>
      <c r="AQ7" s="189">
        <v>-2818.0151182805275</v>
      </c>
      <c r="AR7" s="189">
        <v>-1804.6458567345653</v>
      </c>
      <c r="AS7" s="189">
        <v>3592.385782417412</v>
      </c>
      <c r="AT7" s="189">
        <v>10557.104739137681</v>
      </c>
      <c r="AU7" s="189">
        <v>10435.408402691406</v>
      </c>
      <c r="AV7" s="189">
        <v>4844.0865283424646</v>
      </c>
      <c r="AW7" s="189">
        <v>7102.5899402059695</v>
      </c>
      <c r="AX7" s="189">
        <v>-3208.2395720972563</v>
      </c>
      <c r="AY7" s="189">
        <v>2255.8670001919272</v>
      </c>
      <c r="BA7" s="166"/>
      <c r="BB7" s="166"/>
    </row>
    <row r="8" spans="1:54">
      <c r="A8" s="187"/>
      <c r="B8" s="187">
        <v>10027</v>
      </c>
      <c r="C8" s="187" t="s">
        <v>11</v>
      </c>
      <c r="D8" s="189">
        <v>-5086.095995340158</v>
      </c>
      <c r="E8" s="189">
        <v>98.52259542318825</v>
      </c>
      <c r="F8" s="189">
        <v>-18448.280099365926</v>
      </c>
      <c r="G8" s="189">
        <v>-8815.3982902115913</v>
      </c>
      <c r="H8" s="189">
        <v>-15192.280472448392</v>
      </c>
      <c r="I8" s="189">
        <v>-7152.9438794707839</v>
      </c>
      <c r="J8" s="189">
        <v>-12076.932696322163</v>
      </c>
      <c r="K8" s="189">
        <v>-5885.0949551150406</v>
      </c>
      <c r="L8" s="189">
        <v>-9170.0919684842684</v>
      </c>
      <c r="M8" s="189">
        <v>-3970.2404053997507</v>
      </c>
      <c r="N8" s="189">
        <v>-12927.307047621298</v>
      </c>
      <c r="O8" s="189">
        <v>-6555.9382898309777</v>
      </c>
      <c r="P8" s="189">
        <v>-2504.135835718891</v>
      </c>
      <c r="Q8" s="189">
        <v>1335.5307230488106</v>
      </c>
      <c r="R8" s="189">
        <v>-1508.984987424039</v>
      </c>
      <c r="S8" s="189">
        <v>5326.4569803974919</v>
      </c>
      <c r="T8" s="189">
        <v>11145.648009430392</v>
      </c>
      <c r="U8" s="189">
        <v>12287.166088181031</v>
      </c>
      <c r="V8" s="189">
        <v>18496.343658368274</v>
      </c>
      <c r="W8" s="189">
        <v>19897.163741042335</v>
      </c>
      <c r="X8" s="189">
        <v>12382.387797852625</v>
      </c>
      <c r="Y8" s="189">
        <v>14338.434933225963</v>
      </c>
      <c r="Z8" s="189">
        <v>5442.9767194610868</v>
      </c>
      <c r="AA8" s="189">
        <v>8548.1185482412511</v>
      </c>
      <c r="AB8" s="189">
        <v>-5140.4639953401565</v>
      </c>
      <c r="AC8" s="189">
        <v>142.75159542318943</v>
      </c>
      <c r="AD8" s="189">
        <v>-18435.471099365928</v>
      </c>
      <c r="AE8" s="189">
        <v>-8822.0162902115917</v>
      </c>
      <c r="AF8" s="189">
        <v>-15179.441472448392</v>
      </c>
      <c r="AG8" s="189">
        <v>-7175.9238794707835</v>
      </c>
      <c r="AH8" s="189">
        <v>-12073.902696322162</v>
      </c>
      <c r="AI8" s="189">
        <v>-5898.2749551150409</v>
      </c>
      <c r="AJ8" s="189">
        <v>-9137.3149684842665</v>
      </c>
      <c r="AK8" s="189">
        <v>-3962.0384053997514</v>
      </c>
      <c r="AL8" s="189">
        <v>-12854.352047621298</v>
      </c>
      <c r="AM8" s="189">
        <v>-6638.3242898309782</v>
      </c>
      <c r="AN8" s="189">
        <v>-2547.6758357188919</v>
      </c>
      <c r="AO8" s="189">
        <v>1385.9687230488107</v>
      </c>
      <c r="AP8" s="189">
        <v>-1507.5869874240379</v>
      </c>
      <c r="AQ8" s="189">
        <v>5314.9209803974918</v>
      </c>
      <c r="AR8" s="189">
        <v>11225.533009430386</v>
      </c>
      <c r="AS8" s="189">
        <v>12214.174088181029</v>
      </c>
      <c r="AT8" s="189">
        <v>18439.093658368274</v>
      </c>
      <c r="AU8" s="189">
        <v>19944.274741042333</v>
      </c>
      <c r="AV8" s="189">
        <v>12382.261797852629</v>
      </c>
      <c r="AW8" s="189">
        <v>14328.43793322596</v>
      </c>
      <c r="AX8" s="189">
        <v>5467.3207194610914</v>
      </c>
      <c r="AY8" s="189">
        <v>8530.6755482412518</v>
      </c>
      <c r="BA8" s="166"/>
      <c r="BB8" s="166"/>
    </row>
    <row r="9" spans="1:54">
      <c r="A9" s="187"/>
      <c r="B9" s="187">
        <v>10029</v>
      </c>
      <c r="C9" s="187" t="s">
        <v>12</v>
      </c>
      <c r="D9" s="189">
        <v>0</v>
      </c>
      <c r="E9" s="189">
        <v>0</v>
      </c>
      <c r="F9" s="189">
        <v>0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  <c r="N9" s="189">
        <v>0</v>
      </c>
      <c r="O9" s="189">
        <v>0</v>
      </c>
      <c r="P9" s="189">
        <v>0</v>
      </c>
      <c r="Q9" s="189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0</v>
      </c>
      <c r="Y9" s="189">
        <v>0</v>
      </c>
      <c r="Z9" s="189">
        <v>0</v>
      </c>
      <c r="AA9" s="189">
        <v>0</v>
      </c>
      <c r="AB9" s="189">
        <v>0</v>
      </c>
      <c r="AC9" s="189">
        <v>0</v>
      </c>
      <c r="AD9" s="189">
        <v>0</v>
      </c>
      <c r="AE9" s="189">
        <v>0</v>
      </c>
      <c r="AF9" s="189">
        <v>0</v>
      </c>
      <c r="AG9" s="189">
        <v>0</v>
      </c>
      <c r="AH9" s="189">
        <v>0</v>
      </c>
      <c r="AI9" s="189">
        <v>0</v>
      </c>
      <c r="AJ9" s="189">
        <v>0</v>
      </c>
      <c r="AK9" s="189">
        <v>0</v>
      </c>
      <c r="AL9" s="189">
        <v>0</v>
      </c>
      <c r="AM9" s="189">
        <v>0</v>
      </c>
      <c r="AN9" s="189">
        <v>0</v>
      </c>
      <c r="AO9" s="189">
        <v>0</v>
      </c>
      <c r="AP9" s="189">
        <v>0</v>
      </c>
      <c r="AQ9" s="189">
        <v>0</v>
      </c>
      <c r="AR9" s="189">
        <v>0</v>
      </c>
      <c r="AS9" s="189">
        <v>0</v>
      </c>
      <c r="AT9" s="189">
        <v>0</v>
      </c>
      <c r="AU9" s="189">
        <v>0</v>
      </c>
      <c r="AV9" s="189">
        <v>0</v>
      </c>
      <c r="AW9" s="189">
        <v>0</v>
      </c>
      <c r="AX9" s="189">
        <v>0</v>
      </c>
      <c r="AY9" s="189">
        <v>0</v>
      </c>
      <c r="BA9" s="166"/>
      <c r="BB9" s="166"/>
    </row>
    <row r="10" spans="1:54">
      <c r="A10" s="187"/>
      <c r="B10" s="187">
        <v>10044</v>
      </c>
      <c r="C10" s="187" t="s">
        <v>13</v>
      </c>
      <c r="D10" s="189">
        <v>-18.306651486940609</v>
      </c>
      <c r="E10" s="189">
        <v>254.86987398739166</v>
      </c>
      <c r="F10" s="189">
        <v>-297.28613350813248</v>
      </c>
      <c r="G10" s="189">
        <v>-124.16540284369512</v>
      </c>
      <c r="H10" s="189">
        <v>1011.5566130538646</v>
      </c>
      <c r="I10" s="189">
        <v>1052.0316758489935</v>
      </c>
      <c r="J10" s="189">
        <v>2521.762037716564</v>
      </c>
      <c r="K10" s="189">
        <v>1200.9964642620507</v>
      </c>
      <c r="L10" s="189">
        <v>2541.4662155113474</v>
      </c>
      <c r="M10" s="189">
        <v>1196.5463603348044</v>
      </c>
      <c r="N10" s="189">
        <v>1078.2084913234703</v>
      </c>
      <c r="O10" s="189">
        <v>90.818910108459932</v>
      </c>
      <c r="P10" s="189">
        <v>278.18688171885333</v>
      </c>
      <c r="Q10" s="189">
        <v>406.22739622844801</v>
      </c>
      <c r="R10" s="189">
        <v>-3669.8029913280188</v>
      </c>
      <c r="S10" s="189">
        <v>-2205.9589211769608</v>
      </c>
      <c r="T10" s="189">
        <v>-1226.6222543558251</v>
      </c>
      <c r="U10" s="189">
        <v>-724.16805241844304</v>
      </c>
      <c r="V10" s="189">
        <v>569.07072214404434</v>
      </c>
      <c r="W10" s="189">
        <v>1025.3050063062547</v>
      </c>
      <c r="X10" s="189">
        <v>74.08356158490642</v>
      </c>
      <c r="Y10" s="189">
        <v>172.13610632807195</v>
      </c>
      <c r="Z10" s="189">
        <v>-351.10370685382622</v>
      </c>
      <c r="AA10" s="189">
        <v>181.63639906682511</v>
      </c>
      <c r="AB10" s="189">
        <v>331.89334851306012</v>
      </c>
      <c r="AC10" s="189">
        <v>-3.8921260126089692</v>
      </c>
      <c r="AD10" s="189">
        <v>-243.67313350813311</v>
      </c>
      <c r="AE10" s="189">
        <v>-92.391402843694777</v>
      </c>
      <c r="AF10" s="189">
        <v>1060.3956130538645</v>
      </c>
      <c r="AG10" s="189">
        <v>1083.3136758489927</v>
      </c>
      <c r="AH10" s="189">
        <v>2568.9310377165639</v>
      </c>
      <c r="AI10" s="189">
        <v>1228.9244642620506</v>
      </c>
      <c r="AJ10" s="189">
        <v>2589.2472155113464</v>
      </c>
      <c r="AK10" s="189">
        <v>1222.9953603348049</v>
      </c>
      <c r="AL10" s="189">
        <v>811.74949132346956</v>
      </c>
      <c r="AM10" s="189">
        <v>431.13891010845964</v>
      </c>
      <c r="AN10" s="189">
        <v>628.07488171885416</v>
      </c>
      <c r="AO10" s="189">
        <v>130.50939622844817</v>
      </c>
      <c r="AP10" s="189">
        <v>-3622.3319913280193</v>
      </c>
      <c r="AQ10" s="189">
        <v>-2179.4699211769612</v>
      </c>
      <c r="AR10" s="189">
        <v>-1468.9962543558249</v>
      </c>
      <c r="AS10" s="189">
        <v>-408.54005241844334</v>
      </c>
      <c r="AT10" s="189">
        <v>931.39072214404405</v>
      </c>
      <c r="AU10" s="189">
        <v>736.2120063062539</v>
      </c>
      <c r="AV10" s="189">
        <v>122.54256158490716</v>
      </c>
      <c r="AW10" s="189">
        <v>196.7981063280713</v>
      </c>
      <c r="AX10" s="189">
        <v>-305.75570685382627</v>
      </c>
      <c r="AY10" s="189">
        <v>209.24639906682569</v>
      </c>
      <c r="BA10" s="166"/>
      <c r="BB10" s="166"/>
    </row>
    <row r="11" spans="1:54">
      <c r="A11" s="187"/>
      <c r="B11" s="187">
        <v>10046</v>
      </c>
      <c r="C11" s="187" t="s">
        <v>14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189">
        <v>0</v>
      </c>
      <c r="AA11" s="189">
        <v>0</v>
      </c>
      <c r="AB11" s="189">
        <v>0</v>
      </c>
      <c r="AC11" s="189">
        <v>0</v>
      </c>
      <c r="AD11" s="189">
        <v>0</v>
      </c>
      <c r="AE11" s="189">
        <v>0</v>
      </c>
      <c r="AF11" s="189">
        <v>0</v>
      </c>
      <c r="AG11" s="189">
        <v>0</v>
      </c>
      <c r="AH11" s="189">
        <v>0</v>
      </c>
      <c r="AI11" s="189">
        <v>0</v>
      </c>
      <c r="AJ11" s="189">
        <v>0</v>
      </c>
      <c r="AK11" s="189">
        <v>0</v>
      </c>
      <c r="AL11" s="189">
        <v>0</v>
      </c>
      <c r="AM11" s="189">
        <v>0</v>
      </c>
      <c r="AN11" s="189">
        <v>0</v>
      </c>
      <c r="AO11" s="189">
        <v>0</v>
      </c>
      <c r="AP11" s="189">
        <v>0</v>
      </c>
      <c r="AQ11" s="189">
        <v>0</v>
      </c>
      <c r="AR11" s="189">
        <v>0</v>
      </c>
      <c r="AS11" s="189">
        <v>0</v>
      </c>
      <c r="AT11" s="189">
        <v>0</v>
      </c>
      <c r="AU11" s="189">
        <v>0</v>
      </c>
      <c r="AV11" s="189">
        <v>0</v>
      </c>
      <c r="AW11" s="189">
        <v>0</v>
      </c>
      <c r="AX11" s="189">
        <v>0</v>
      </c>
      <c r="AY11" s="189">
        <v>0</v>
      </c>
      <c r="BA11" s="166"/>
      <c r="BB11" s="166"/>
    </row>
    <row r="12" spans="1:54">
      <c r="A12" s="187"/>
      <c r="B12" s="187">
        <v>10047</v>
      </c>
      <c r="C12" s="187" t="s">
        <v>15</v>
      </c>
      <c r="D12" s="189">
        <v>-1221.1411534177314</v>
      </c>
      <c r="E12" s="189">
        <v>10021.422281686202</v>
      </c>
      <c r="F12" s="189">
        <v>-8285.1132796485908</v>
      </c>
      <c r="G12" s="189">
        <v>4566.392974131908</v>
      </c>
      <c r="H12" s="189">
        <v>-2614.8911184785102</v>
      </c>
      <c r="I12" s="189">
        <v>9830.3251386598276</v>
      </c>
      <c r="J12" s="189">
        <v>13206.518781324499</v>
      </c>
      <c r="K12" s="189">
        <v>14594.595283387236</v>
      </c>
      <c r="L12" s="189">
        <v>11597.169451602771</v>
      </c>
      <c r="M12" s="189">
        <v>12275.123230404337</v>
      </c>
      <c r="N12" s="189">
        <v>6608.4127643601969</v>
      </c>
      <c r="O12" s="189">
        <v>7840.4253739794076</v>
      </c>
      <c r="P12" s="189">
        <v>-4256.3382988802841</v>
      </c>
      <c r="Q12" s="189">
        <v>7584.6994610495603</v>
      </c>
      <c r="R12" s="189">
        <v>-34553.413746792292</v>
      </c>
      <c r="S12" s="189">
        <v>-11416.142683018763</v>
      </c>
      <c r="T12" s="189">
        <v>-16843.596316727409</v>
      </c>
      <c r="U12" s="189">
        <v>-1306.4289199929117</v>
      </c>
      <c r="V12" s="189">
        <v>-10358.989355673599</v>
      </c>
      <c r="W12" s="189">
        <v>8638.2560882072721</v>
      </c>
      <c r="X12" s="189">
        <v>-13995.980761659281</v>
      </c>
      <c r="Y12" s="189">
        <v>2367.5385485847655</v>
      </c>
      <c r="Z12" s="189">
        <v>-7973.2444782895036</v>
      </c>
      <c r="AA12" s="189">
        <v>8508.648105650871</v>
      </c>
      <c r="AB12" s="189">
        <v>1304.8169310403609</v>
      </c>
      <c r="AC12" s="189">
        <v>7515.6579580590769</v>
      </c>
      <c r="AD12" s="189">
        <v>-8306.1627065650682</v>
      </c>
      <c r="AE12" s="189">
        <v>4577.0838574454683</v>
      </c>
      <c r="AF12" s="189">
        <v>-2621.9445636356395</v>
      </c>
      <c r="AG12" s="189">
        <v>9853.9539857773052</v>
      </c>
      <c r="AH12" s="189">
        <v>13238.230196364704</v>
      </c>
      <c r="AI12" s="189">
        <v>14629.922643528385</v>
      </c>
      <c r="AJ12" s="189">
        <v>11624.646858719476</v>
      </c>
      <c r="AK12" s="189">
        <v>12304.594678398382</v>
      </c>
      <c r="AL12" s="189">
        <v>3933.2184478006238</v>
      </c>
      <c r="AM12" s="189">
        <v>10549.497345184602</v>
      </c>
      <c r="AN12" s="189">
        <v>-1845.7992715595101</v>
      </c>
      <c r="AO12" s="189">
        <v>5180.4623672830785</v>
      </c>
      <c r="AP12" s="189">
        <v>-34639.317480277983</v>
      </c>
      <c r="AQ12" s="189">
        <v>-11444.957905978234</v>
      </c>
      <c r="AR12" s="189">
        <v>-19176.740070301901</v>
      </c>
      <c r="AS12" s="189">
        <v>980.23914491617325</v>
      </c>
      <c r="AT12" s="189">
        <v>-8117.9725100505457</v>
      </c>
      <c r="AU12" s="189">
        <v>6390.9661198123795</v>
      </c>
      <c r="AV12" s="189">
        <v>-14031.588028662285</v>
      </c>
      <c r="AW12" s="189">
        <v>2372.5285689301163</v>
      </c>
      <c r="AX12" s="189">
        <v>-7993.9911354001306</v>
      </c>
      <c r="AY12" s="189">
        <v>8528.5890357091193</v>
      </c>
      <c r="BA12" s="166"/>
      <c r="BB12" s="166"/>
    </row>
    <row r="13" spans="1:54">
      <c r="A13" s="187"/>
      <c r="B13" s="187">
        <v>10055</v>
      </c>
      <c r="C13" s="187" t="s">
        <v>16</v>
      </c>
      <c r="D13" s="189">
        <v>-39.500187870547961</v>
      </c>
      <c r="E13" s="189">
        <v>0.15162184801910428</v>
      </c>
      <c r="F13" s="189">
        <v>-33.009937692537676</v>
      </c>
      <c r="G13" s="189">
        <v>11.401785750990456</v>
      </c>
      <c r="H13" s="189">
        <v>36.758202549152912</v>
      </c>
      <c r="I13" s="189">
        <v>72.728651716931381</v>
      </c>
      <c r="J13" s="189">
        <v>66.853193828957615</v>
      </c>
      <c r="K13" s="189">
        <v>77.903312517534403</v>
      </c>
      <c r="L13" s="189">
        <v>53.228885567974146</v>
      </c>
      <c r="M13" s="189">
        <v>60.026111519722505</v>
      </c>
      <c r="N13" s="189">
        <v>1.5757495869574427</v>
      </c>
      <c r="O13" s="189">
        <v>19.642192200982251</v>
      </c>
      <c r="P13" s="189">
        <v>-27.005258552592124</v>
      </c>
      <c r="Q13" s="189">
        <v>12.558798536060905</v>
      </c>
      <c r="R13" s="189">
        <v>-117.22971843044674</v>
      </c>
      <c r="S13" s="189">
        <v>-51.153952826253871</v>
      </c>
      <c r="T13" s="189">
        <v>-73.324735671172888</v>
      </c>
      <c r="U13" s="189">
        <v>-34.19828788182329</v>
      </c>
      <c r="V13" s="189">
        <v>-37.946486878185254</v>
      </c>
      <c r="W13" s="189">
        <v>-4.6684059376374023</v>
      </c>
      <c r="X13" s="189">
        <v>-60.83778393089932</v>
      </c>
      <c r="Y13" s="189">
        <v>-25.809767676975596</v>
      </c>
      <c r="Z13" s="189">
        <v>-57.430931394964333</v>
      </c>
      <c r="AA13" s="189">
        <v>-17.18470995778749</v>
      </c>
      <c r="AB13" s="189">
        <v>-34.221156232662594</v>
      </c>
      <c r="AC13" s="189">
        <v>-4.7552935661052089</v>
      </c>
      <c r="AD13" s="189">
        <v>-32.899090334975597</v>
      </c>
      <c r="AE13" s="189">
        <v>11.552433683052612</v>
      </c>
      <c r="AF13" s="189">
        <v>36.864535058121191</v>
      </c>
      <c r="AG13" s="189">
        <v>72.891773656037813</v>
      </c>
      <c r="AH13" s="189">
        <v>67.025966819772805</v>
      </c>
      <c r="AI13" s="189">
        <v>78.082353925203179</v>
      </c>
      <c r="AJ13" s="189">
        <v>53.460558544116196</v>
      </c>
      <c r="AK13" s="189">
        <v>60.233401238229987</v>
      </c>
      <c r="AL13" s="189">
        <v>-4.7665084066714201</v>
      </c>
      <c r="AM13" s="189">
        <v>26.350636592102987</v>
      </c>
      <c r="AN13" s="189">
        <v>-21.14474924273884</v>
      </c>
      <c r="AO13" s="189">
        <v>7.0829242883451968</v>
      </c>
      <c r="AP13" s="189">
        <v>-117.16054386282765</v>
      </c>
      <c r="AQ13" s="189">
        <v>-51.051810646549185</v>
      </c>
      <c r="AR13" s="189">
        <v>-77.583387066681212</v>
      </c>
      <c r="AS13" s="189">
        <v>-29.627998872732391</v>
      </c>
      <c r="AT13" s="189">
        <v>-32.786805682587016</v>
      </c>
      <c r="AU13" s="189">
        <v>-9.4510336568872049</v>
      </c>
      <c r="AV13" s="189">
        <v>-60.630545536460431</v>
      </c>
      <c r="AW13" s="189">
        <v>-25.68984541707681</v>
      </c>
      <c r="AX13" s="189">
        <v>-57.235508537761788</v>
      </c>
      <c r="AY13" s="189">
        <v>-17.005650828050008</v>
      </c>
      <c r="BA13" s="166"/>
      <c r="BB13" s="166"/>
    </row>
    <row r="14" spans="1:54">
      <c r="A14" s="187"/>
      <c r="B14" s="187">
        <v>10057</v>
      </c>
      <c r="C14" s="187" t="s">
        <v>17</v>
      </c>
      <c r="D14" s="189">
        <v>-532.28657748441765</v>
      </c>
      <c r="E14" s="189">
        <v>48.709972975520031</v>
      </c>
      <c r="F14" s="189">
        <v>-820.98652941375258</v>
      </c>
      <c r="G14" s="189">
        <v>-282.59258001275975</v>
      </c>
      <c r="H14" s="189">
        <v>19.300725212724501</v>
      </c>
      <c r="I14" s="189">
        <v>646.52500426664028</v>
      </c>
      <c r="J14" s="189">
        <v>2304.3825488245348</v>
      </c>
      <c r="K14" s="189">
        <v>1239.8950603213489</v>
      </c>
      <c r="L14" s="189">
        <v>2040.9220108163336</v>
      </c>
      <c r="M14" s="189">
        <v>1089.8633871673819</v>
      </c>
      <c r="N14" s="189">
        <v>537.04463218519777</v>
      </c>
      <c r="O14" s="189">
        <v>-44.888480654492014</v>
      </c>
      <c r="P14" s="189">
        <v>-271.03559156914162</v>
      </c>
      <c r="Q14" s="189">
        <v>230.63283143863919</v>
      </c>
      <c r="R14" s="189">
        <v>-4697.5919820022491</v>
      </c>
      <c r="S14" s="189">
        <v>-2642.5717936349993</v>
      </c>
      <c r="T14" s="189">
        <v>-2410.6138073182638</v>
      </c>
      <c r="U14" s="189">
        <v>-1362.7647896275439</v>
      </c>
      <c r="V14" s="189">
        <v>433.54936980335879</v>
      </c>
      <c r="W14" s="189">
        <v>855.83395267421929</v>
      </c>
      <c r="X14" s="189">
        <v>-515.37568760439717</v>
      </c>
      <c r="Y14" s="189">
        <v>-270.67161976092029</v>
      </c>
      <c r="Z14" s="189">
        <v>-1655.4692896466795</v>
      </c>
      <c r="AA14" s="189">
        <v>-484.8139182058876</v>
      </c>
      <c r="AB14" s="189">
        <v>-211.22057748441875</v>
      </c>
      <c r="AC14" s="189">
        <v>-272.35502702447957</v>
      </c>
      <c r="AD14" s="189">
        <v>-820.98652941375258</v>
      </c>
      <c r="AE14" s="189">
        <v>-282.59258001275975</v>
      </c>
      <c r="AF14" s="189">
        <v>19.300725212724501</v>
      </c>
      <c r="AG14" s="189">
        <v>646.52500426664028</v>
      </c>
      <c r="AH14" s="189">
        <v>2304.3825488245348</v>
      </c>
      <c r="AI14" s="189">
        <v>1239.8950603213489</v>
      </c>
      <c r="AJ14" s="189">
        <v>2040.9220108163336</v>
      </c>
      <c r="AK14" s="189">
        <v>1089.8633871673819</v>
      </c>
      <c r="AL14" s="189">
        <v>187.80363218519778</v>
      </c>
      <c r="AM14" s="189">
        <v>304.35251934550797</v>
      </c>
      <c r="AN14" s="189">
        <v>63.224408430858603</v>
      </c>
      <c r="AO14" s="189">
        <v>-103.62716856136012</v>
      </c>
      <c r="AP14" s="189">
        <v>-4697.5919820022491</v>
      </c>
      <c r="AQ14" s="189">
        <v>-2642.5717936349993</v>
      </c>
      <c r="AR14" s="189">
        <v>-2705.3978073182643</v>
      </c>
      <c r="AS14" s="189">
        <v>-1066.9807896275443</v>
      </c>
      <c r="AT14" s="189">
        <v>792.76836980335975</v>
      </c>
      <c r="AU14" s="189">
        <v>495.61595267421944</v>
      </c>
      <c r="AV14" s="189">
        <v>-515.37568760439717</v>
      </c>
      <c r="AW14" s="189">
        <v>-270.67161976092029</v>
      </c>
      <c r="AX14" s="189">
        <v>-1655.4692896466795</v>
      </c>
      <c r="AY14" s="189">
        <v>-484.8139182058876</v>
      </c>
      <c r="BA14" s="166"/>
      <c r="BB14" s="166"/>
    </row>
    <row r="15" spans="1:54">
      <c r="A15" s="187"/>
      <c r="B15" s="187">
        <v>10059</v>
      </c>
      <c r="C15" s="187" t="s">
        <v>18</v>
      </c>
      <c r="D15" s="189">
        <v>-126.07489273248757</v>
      </c>
      <c r="E15" s="189">
        <v>106.51029816377513</v>
      </c>
      <c r="F15" s="189">
        <v>-89.261906207424545</v>
      </c>
      <c r="G15" s="189">
        <v>96.306269668112691</v>
      </c>
      <c r="H15" s="189">
        <v>157.49847140922475</v>
      </c>
      <c r="I15" s="189">
        <v>427.11184539433771</v>
      </c>
      <c r="J15" s="189">
        <v>1150.0026512634004</v>
      </c>
      <c r="K15" s="189">
        <v>812.21913243959989</v>
      </c>
      <c r="L15" s="189">
        <v>989.43149352703767</v>
      </c>
      <c r="M15" s="189">
        <v>616.13247395562485</v>
      </c>
      <c r="N15" s="189">
        <v>595.72356848986192</v>
      </c>
      <c r="O15" s="189">
        <v>323.34720454806256</v>
      </c>
      <c r="P15" s="189">
        <v>139.87508092297503</v>
      </c>
      <c r="Q15" s="189">
        <v>402.89383705622504</v>
      </c>
      <c r="R15" s="189">
        <v>-1712.4853980946755</v>
      </c>
      <c r="S15" s="189">
        <v>-826.45056817447471</v>
      </c>
      <c r="T15" s="189">
        <v>-885.47550171422517</v>
      </c>
      <c r="U15" s="189">
        <v>-385.29515227282513</v>
      </c>
      <c r="V15" s="189">
        <v>-622.73714731881273</v>
      </c>
      <c r="W15" s="189">
        <v>14.679018064649881</v>
      </c>
      <c r="X15" s="189">
        <v>-805.75425978182557</v>
      </c>
      <c r="Y15" s="189">
        <v>-280.78770608790001</v>
      </c>
      <c r="Z15" s="189">
        <v>-466.58728507258684</v>
      </c>
      <c r="AA15" s="189">
        <v>-1.8813553218749348</v>
      </c>
      <c r="AB15" s="189">
        <v>-12.193070147468006</v>
      </c>
      <c r="AC15" s="189">
        <v>-7.0105026034566436</v>
      </c>
      <c r="AD15" s="189">
        <v>-89.165874910809634</v>
      </c>
      <c r="AE15" s="189">
        <v>96.735115901728477</v>
      </c>
      <c r="AF15" s="189">
        <v>158.20411664240055</v>
      </c>
      <c r="AG15" s="189">
        <v>428.36901581110578</v>
      </c>
      <c r="AH15" s="189">
        <v>1153.1417490245949</v>
      </c>
      <c r="AI15" s="189">
        <v>814.4142090389887</v>
      </c>
      <c r="AJ15" s="189">
        <v>992.12699090673095</v>
      </c>
      <c r="AK15" s="189">
        <v>617.80200663681967</v>
      </c>
      <c r="AL15" s="189">
        <v>460.61586065551228</v>
      </c>
      <c r="AM15" s="189">
        <v>461.16875871720185</v>
      </c>
      <c r="AN15" s="189">
        <v>268.24032297916119</v>
      </c>
      <c r="AO15" s="189">
        <v>276.28510661561677</v>
      </c>
      <c r="AP15" s="189">
        <v>-1716.3938593365783</v>
      </c>
      <c r="AQ15" s="189">
        <v>-828.30387150215211</v>
      </c>
      <c r="AR15" s="189">
        <v>-990.77043799744069</v>
      </c>
      <c r="AS15" s="189">
        <v>-282.71463803646134</v>
      </c>
      <c r="AT15" s="189">
        <v>-524.65643623325786</v>
      </c>
      <c r="AU15" s="189">
        <v>-84.518302635844975</v>
      </c>
      <c r="AV15" s="189">
        <v>-807.46806152641375</v>
      </c>
      <c r="AW15" s="189">
        <v>-281.34072733053108</v>
      </c>
      <c r="AX15" s="189">
        <v>-467.49329078532082</v>
      </c>
      <c r="AY15" s="189">
        <v>-1.7398179486997378</v>
      </c>
      <c r="BA15" s="166"/>
      <c r="BB15" s="166"/>
    </row>
    <row r="16" spans="1:54">
      <c r="A16" s="187"/>
      <c r="B16" s="187">
        <v>10061</v>
      </c>
      <c r="C16" s="187" t="s">
        <v>19</v>
      </c>
      <c r="D16" s="189">
        <v>81.562056675257281</v>
      </c>
      <c r="E16" s="189">
        <v>460.14618817167434</v>
      </c>
      <c r="F16" s="189">
        <v>-280.815545090456</v>
      </c>
      <c r="G16" s="189">
        <v>190.26017411416296</v>
      </c>
      <c r="H16" s="189">
        <v>75.896451135174175</v>
      </c>
      <c r="I16" s="189">
        <v>560.73406940712903</v>
      </c>
      <c r="J16" s="189">
        <v>975.27890218195807</v>
      </c>
      <c r="K16" s="189">
        <v>839.09712383176975</v>
      </c>
      <c r="L16" s="189">
        <v>1050.4625203522833</v>
      </c>
      <c r="M16" s="189">
        <v>868.48019174493993</v>
      </c>
      <c r="N16" s="189">
        <v>554.15794295129035</v>
      </c>
      <c r="O16" s="189">
        <v>430.04989476833407</v>
      </c>
      <c r="P16" s="189">
        <v>-49.632632297906639</v>
      </c>
      <c r="Q16" s="189">
        <v>453.11232230704536</v>
      </c>
      <c r="R16" s="189">
        <v>-1830.8507580641135</v>
      </c>
      <c r="S16" s="189">
        <v>-726.30310909935724</v>
      </c>
      <c r="T16" s="189">
        <v>-905.54009313885399</v>
      </c>
      <c r="U16" s="189">
        <v>-188.83959934556697</v>
      </c>
      <c r="V16" s="189">
        <v>-445.55162414648612</v>
      </c>
      <c r="W16" s="189">
        <v>439.93430305647826</v>
      </c>
      <c r="X16" s="189">
        <v>-665.85881611315199</v>
      </c>
      <c r="Y16" s="189">
        <v>73.012644665929656</v>
      </c>
      <c r="Z16" s="189">
        <v>-372.54195354600006</v>
      </c>
      <c r="AA16" s="189">
        <v>293.25573570710003</v>
      </c>
      <c r="AB16" s="189">
        <v>228.75605667525724</v>
      </c>
      <c r="AC16" s="189">
        <v>319.38218817167422</v>
      </c>
      <c r="AD16" s="189">
        <v>-276.52954509045594</v>
      </c>
      <c r="AE16" s="189">
        <v>193.13417411416322</v>
      </c>
      <c r="AF16" s="189">
        <v>80.437451135174342</v>
      </c>
      <c r="AG16" s="189">
        <v>564.00206940712906</v>
      </c>
      <c r="AH16" s="189">
        <v>980.05490218195882</v>
      </c>
      <c r="AI16" s="189">
        <v>842.29012383176996</v>
      </c>
      <c r="AJ16" s="189">
        <v>1054.6955203522834</v>
      </c>
      <c r="AK16" s="189">
        <v>871.20719174493979</v>
      </c>
      <c r="AL16" s="189">
        <v>403.48494295129058</v>
      </c>
      <c r="AM16" s="189">
        <v>587.68389476833408</v>
      </c>
      <c r="AN16" s="189">
        <v>95.339367702093114</v>
      </c>
      <c r="AO16" s="189">
        <v>314.2903223070457</v>
      </c>
      <c r="AP16" s="189">
        <v>-1827.3387580641133</v>
      </c>
      <c r="AQ16" s="189">
        <v>-723.98410909935683</v>
      </c>
      <c r="AR16" s="189">
        <v>-1029.4650931388537</v>
      </c>
      <c r="AS16" s="189">
        <v>-59.374599345566821</v>
      </c>
      <c r="AT16" s="189">
        <v>-312.35462414648646</v>
      </c>
      <c r="AU16" s="189">
        <v>312.56730305647807</v>
      </c>
      <c r="AV16" s="189">
        <v>-662.2128161131518</v>
      </c>
      <c r="AW16" s="189">
        <v>75.226644665929598</v>
      </c>
      <c r="AX16" s="189">
        <v>-369.17695354600028</v>
      </c>
      <c r="AY16" s="189">
        <v>295.66173570709998</v>
      </c>
      <c r="BA16" s="166"/>
      <c r="BB16" s="166"/>
    </row>
    <row r="17" spans="2:54">
      <c r="B17" s="187">
        <v>10062</v>
      </c>
      <c r="C17" s="187" t="s">
        <v>20</v>
      </c>
      <c r="D17" s="189">
        <v>511.08545474188259</v>
      </c>
      <c r="E17" s="189">
        <v>-62.096476254849449</v>
      </c>
      <c r="F17" s="189">
        <v>563.55553394554818</v>
      </c>
      <c r="G17" s="189">
        <v>212.0304639524245</v>
      </c>
      <c r="H17" s="189">
        <v>1596.3831200940772</v>
      </c>
      <c r="I17" s="189">
        <v>825.20705504531406</v>
      </c>
      <c r="J17" s="189">
        <v>1877.7350317741621</v>
      </c>
      <c r="K17" s="189">
        <v>1063.6250895997455</v>
      </c>
      <c r="L17" s="189">
        <v>1642.9512211826307</v>
      </c>
      <c r="M17" s="189">
        <v>806.76660839102715</v>
      </c>
      <c r="N17" s="189">
        <v>920.67150201935738</v>
      </c>
      <c r="O17" s="189">
        <v>262.95337587709287</v>
      </c>
      <c r="P17" s="189">
        <v>63.52366836432202</v>
      </c>
      <c r="Q17" s="189">
        <v>-405.38620503323091</v>
      </c>
      <c r="R17" s="189">
        <v>-2032.0092838548439</v>
      </c>
      <c r="S17" s="189">
        <v>-1719.7133915656759</v>
      </c>
      <c r="T17" s="189">
        <v>-1361.2945679460572</v>
      </c>
      <c r="U17" s="189">
        <v>-1298.7337384818868</v>
      </c>
      <c r="V17" s="189">
        <v>-404.02682877599</v>
      </c>
      <c r="W17" s="189">
        <v>-755.00811998574272</v>
      </c>
      <c r="X17" s="189">
        <v>-6.0602211140112558</v>
      </c>
      <c r="Y17" s="189">
        <v>-266.72392714274429</v>
      </c>
      <c r="Z17" s="189">
        <v>245.98207473561934</v>
      </c>
      <c r="AA17" s="189">
        <v>-201.38033916846257</v>
      </c>
      <c r="AB17" s="189">
        <v>472.77245474188248</v>
      </c>
      <c r="AC17" s="189">
        <v>-25.594476254849269</v>
      </c>
      <c r="AD17" s="189">
        <v>564.56653394554769</v>
      </c>
      <c r="AE17" s="189">
        <v>209.96746395242485</v>
      </c>
      <c r="AF17" s="189">
        <v>1597.3251200940772</v>
      </c>
      <c r="AG17" s="189">
        <v>822.45505504531366</v>
      </c>
      <c r="AH17" s="189">
        <v>1878.0810317741625</v>
      </c>
      <c r="AI17" s="189">
        <v>1061.4670895997456</v>
      </c>
      <c r="AJ17" s="189">
        <v>1644.7542211826301</v>
      </c>
      <c r="AK17" s="189">
        <v>805.52760839102757</v>
      </c>
      <c r="AL17" s="189">
        <v>965.67350201935687</v>
      </c>
      <c r="AM17" s="189">
        <v>216.17337587709267</v>
      </c>
      <c r="AN17" s="189">
        <v>2.4746683643220422</v>
      </c>
      <c r="AO17" s="189">
        <v>-346.35620503323116</v>
      </c>
      <c r="AP17" s="189">
        <v>-2031.0962838548439</v>
      </c>
      <c r="AQ17" s="189">
        <v>-1722.4383915656761</v>
      </c>
      <c r="AR17" s="189">
        <v>-1271.2195679460569</v>
      </c>
      <c r="AS17" s="189">
        <v>-1389.8267384818869</v>
      </c>
      <c r="AT17" s="189">
        <v>-467.97082877598996</v>
      </c>
      <c r="AU17" s="189">
        <v>-692.87511998574269</v>
      </c>
      <c r="AV17" s="189">
        <v>-4.9722211140115178</v>
      </c>
      <c r="AW17" s="189">
        <v>-269.62392714274438</v>
      </c>
      <c r="AX17" s="189">
        <v>248.12607473561911</v>
      </c>
      <c r="AY17" s="189">
        <v>-204.54333916846258</v>
      </c>
      <c r="BA17" s="166"/>
      <c r="BB17" s="166"/>
    </row>
    <row r="18" spans="2:54">
      <c r="B18" s="187">
        <v>10064</v>
      </c>
      <c r="C18" s="187" t="s">
        <v>21</v>
      </c>
      <c r="D18" s="189">
        <v>-598.65558349651656</v>
      </c>
      <c r="E18" s="189">
        <v>26.529458159197929</v>
      </c>
      <c r="F18" s="189">
        <v>-1092.3135532175947</v>
      </c>
      <c r="G18" s="189">
        <v>-288.70730572959883</v>
      </c>
      <c r="H18" s="189">
        <v>253.19557370234543</v>
      </c>
      <c r="I18" s="189">
        <v>875.83475863512285</v>
      </c>
      <c r="J18" s="189">
        <v>1666.5096149836745</v>
      </c>
      <c r="K18" s="189">
        <v>1251.5660892085089</v>
      </c>
      <c r="L18" s="189">
        <v>1517.6247226064879</v>
      </c>
      <c r="M18" s="189">
        <v>1100.4779309804449</v>
      </c>
      <c r="N18" s="189">
        <v>476.35021895153386</v>
      </c>
      <c r="O18" s="189">
        <v>257.05693747206396</v>
      </c>
      <c r="P18" s="189">
        <v>-248.06149186314451</v>
      </c>
      <c r="Q18" s="189">
        <v>231.16474001696133</v>
      </c>
      <c r="R18" s="189">
        <v>-3040.9035656218157</v>
      </c>
      <c r="S18" s="189">
        <v>-1646.8729272041469</v>
      </c>
      <c r="T18" s="189">
        <v>-1198.4327068983866</v>
      </c>
      <c r="U18" s="189">
        <v>-639.15620485472664</v>
      </c>
      <c r="V18" s="189">
        <v>347.51550349072841</v>
      </c>
      <c r="W18" s="189">
        <v>721.01806622848471</v>
      </c>
      <c r="X18" s="189">
        <v>-225.12975241047934</v>
      </c>
      <c r="Y18" s="189">
        <v>-14.361049256511251</v>
      </c>
      <c r="Z18" s="189">
        <v>-705.09014738198857</v>
      </c>
      <c r="AA18" s="189">
        <v>-11.100780850575575</v>
      </c>
      <c r="AB18" s="189">
        <v>-410.30058349651699</v>
      </c>
      <c r="AC18" s="189">
        <v>-171.99954184080252</v>
      </c>
      <c r="AD18" s="189">
        <v>-1096.1775532175961</v>
      </c>
      <c r="AE18" s="189">
        <v>-292.96930572959945</v>
      </c>
      <c r="AF18" s="189">
        <v>250.45157370234483</v>
      </c>
      <c r="AG18" s="189">
        <v>872.15275863512397</v>
      </c>
      <c r="AH18" s="189">
        <v>1663.7076149836748</v>
      </c>
      <c r="AI18" s="189">
        <v>1248.1070892085081</v>
      </c>
      <c r="AJ18" s="189">
        <v>1514.5667226064888</v>
      </c>
      <c r="AK18" s="189">
        <v>1097.1529309804446</v>
      </c>
      <c r="AL18" s="189">
        <v>246.99821895153309</v>
      </c>
      <c r="AM18" s="189">
        <v>477.99393747206386</v>
      </c>
      <c r="AN18" s="189">
        <v>-45.565491863145326</v>
      </c>
      <c r="AO18" s="189">
        <v>19.700740016961845</v>
      </c>
      <c r="AP18" s="189">
        <v>-3045.9025656218155</v>
      </c>
      <c r="AQ18" s="189">
        <v>-1652.1719272041473</v>
      </c>
      <c r="AR18" s="189">
        <v>-1401.2127068983864</v>
      </c>
      <c r="AS18" s="189">
        <v>-446.08920485472709</v>
      </c>
      <c r="AT18" s="189">
        <v>571.25150349072828</v>
      </c>
      <c r="AU18" s="189">
        <v>488.58806622848442</v>
      </c>
      <c r="AV18" s="189">
        <v>-229.4127524104797</v>
      </c>
      <c r="AW18" s="189">
        <v>-19.117049256511564</v>
      </c>
      <c r="AX18" s="189">
        <v>-709.49514738198832</v>
      </c>
      <c r="AY18" s="189">
        <v>-16.456780850575342</v>
      </c>
      <c r="BA18" s="166"/>
      <c r="BB18" s="166"/>
    </row>
    <row r="19" spans="2:54">
      <c r="B19" s="187">
        <v>10065</v>
      </c>
      <c r="C19" s="187" t="s">
        <v>22</v>
      </c>
      <c r="D19" s="189">
        <v>-92.96044360214114</v>
      </c>
      <c r="E19" s="189">
        <v>30.62588522935755</v>
      </c>
      <c r="F19" s="189">
        <v>-76.405099730847041</v>
      </c>
      <c r="G19" s="189">
        <v>36.456235185321248</v>
      </c>
      <c r="H19" s="189">
        <v>269.23489020523448</v>
      </c>
      <c r="I19" s="189">
        <v>309.66569091052372</v>
      </c>
      <c r="J19" s="189">
        <v>365.94443306559367</v>
      </c>
      <c r="K19" s="189">
        <v>297.45946102851838</v>
      </c>
      <c r="L19" s="189">
        <v>369.19858364642437</v>
      </c>
      <c r="M19" s="189">
        <v>265.31777193326002</v>
      </c>
      <c r="N19" s="189">
        <v>106.09407745803321</v>
      </c>
      <c r="O19" s="189">
        <v>90.371709294685957</v>
      </c>
      <c r="P19" s="189">
        <v>-16.83664441408564</v>
      </c>
      <c r="Q19" s="189">
        <v>106.85653369352247</v>
      </c>
      <c r="R19" s="189">
        <v>-551.63305625887142</v>
      </c>
      <c r="S19" s="189">
        <v>-249.31213875457024</v>
      </c>
      <c r="T19" s="189">
        <v>-262.89890007195447</v>
      </c>
      <c r="U19" s="189">
        <v>-85.887617381848827</v>
      </c>
      <c r="V19" s="189">
        <v>-126.80073322509406</v>
      </c>
      <c r="W19" s="189">
        <v>66.876841566673534</v>
      </c>
      <c r="X19" s="189">
        <v>-165.94008752978482</v>
      </c>
      <c r="Y19" s="189">
        <v>-21.740828660841544</v>
      </c>
      <c r="Z19" s="189">
        <v>-169.67881694181153</v>
      </c>
      <c r="AA19" s="189">
        <v>-0.154851044099928</v>
      </c>
      <c r="AB19" s="189">
        <v>-60.296443602141153</v>
      </c>
      <c r="AC19" s="189">
        <v>-2.0381147706424372</v>
      </c>
      <c r="AD19" s="189">
        <v>-76.405099730847041</v>
      </c>
      <c r="AE19" s="189">
        <v>36.456235185321248</v>
      </c>
      <c r="AF19" s="189">
        <v>269.23489020523448</v>
      </c>
      <c r="AG19" s="189">
        <v>309.66569091052372</v>
      </c>
      <c r="AH19" s="189">
        <v>365.94443306559367</v>
      </c>
      <c r="AI19" s="189">
        <v>297.45946102851838</v>
      </c>
      <c r="AJ19" s="189">
        <v>369.19858364642437</v>
      </c>
      <c r="AK19" s="189">
        <v>265.31777193326002</v>
      </c>
      <c r="AL19" s="189">
        <v>67.374077458033184</v>
      </c>
      <c r="AM19" s="189">
        <v>129.09070929468601</v>
      </c>
      <c r="AN19" s="189">
        <v>19.368355585914401</v>
      </c>
      <c r="AO19" s="189">
        <v>70.651533693522424</v>
      </c>
      <c r="AP19" s="189">
        <v>-551.63305625887142</v>
      </c>
      <c r="AQ19" s="189">
        <v>-249.31213875457024</v>
      </c>
      <c r="AR19" s="189">
        <v>-294.73590007195446</v>
      </c>
      <c r="AS19" s="189">
        <v>-54.050617381848724</v>
      </c>
      <c r="AT19" s="189">
        <v>-94.442733225094116</v>
      </c>
      <c r="AU19" s="189">
        <v>34.518841566673586</v>
      </c>
      <c r="AV19" s="189">
        <v>-165.94008752978482</v>
      </c>
      <c r="AW19" s="189">
        <v>-21.740828660841544</v>
      </c>
      <c r="AX19" s="189">
        <v>-169.67881694181153</v>
      </c>
      <c r="AY19" s="189">
        <v>-0.154851044099928</v>
      </c>
      <c r="BA19" s="166"/>
      <c r="BB19" s="166"/>
    </row>
    <row r="20" spans="2:54">
      <c r="B20" s="187">
        <v>10066</v>
      </c>
      <c r="C20" s="187" t="s">
        <v>23</v>
      </c>
      <c r="D20" s="189">
        <v>-2216.0395754567508</v>
      </c>
      <c r="E20" s="189">
        <v>-1772.7993342979553</v>
      </c>
      <c r="F20" s="189">
        <v>-785.06859073824671</v>
      </c>
      <c r="G20" s="189">
        <v>-532.99855382602254</v>
      </c>
      <c r="H20" s="189">
        <v>2275.4522021664307</v>
      </c>
      <c r="I20" s="189">
        <v>1944.0634354066133</v>
      </c>
      <c r="J20" s="189">
        <v>4523.3125998580399</v>
      </c>
      <c r="K20" s="189">
        <v>2500.877765395996</v>
      </c>
      <c r="L20" s="189">
        <v>4518.6731932088442</v>
      </c>
      <c r="M20" s="189">
        <v>2394.1206903454686</v>
      </c>
      <c r="N20" s="189">
        <v>1917.6277379894382</v>
      </c>
      <c r="O20" s="189">
        <v>400.59338100837704</v>
      </c>
      <c r="P20" s="189">
        <v>-518.14904007540645</v>
      </c>
      <c r="Q20" s="189">
        <v>-435.61689937540541</v>
      </c>
      <c r="R20" s="189">
        <v>-6267.684354680101</v>
      </c>
      <c r="S20" s="189">
        <v>-4273.4376769764112</v>
      </c>
      <c r="T20" s="189">
        <v>-3982.3370355060906</v>
      </c>
      <c r="U20" s="189">
        <v>-2890.0478051003138</v>
      </c>
      <c r="V20" s="189">
        <v>-3389.298997188027</v>
      </c>
      <c r="W20" s="189">
        <v>-2016.760517976345</v>
      </c>
      <c r="X20" s="189">
        <v>-4638.9994784192222</v>
      </c>
      <c r="Y20" s="189">
        <v>-3069.8192879543349</v>
      </c>
      <c r="Z20" s="189">
        <v>-3055.0671636531515</v>
      </c>
      <c r="AA20" s="189">
        <v>-2184.7543092938622</v>
      </c>
      <c r="AB20" s="189">
        <v>-1288.0428465712721</v>
      </c>
      <c r="AC20" s="189">
        <v>-1545.1757533911741</v>
      </c>
      <c r="AD20" s="189">
        <v>-144.34998400913173</v>
      </c>
      <c r="AE20" s="189">
        <v>-32.0650246544119</v>
      </c>
      <c r="AF20" s="189">
        <v>2916.7583134557099</v>
      </c>
      <c r="AG20" s="189">
        <v>2480.1699736272431</v>
      </c>
      <c r="AH20" s="189">
        <v>5180.5872460979899</v>
      </c>
      <c r="AI20" s="189">
        <v>3009.3441753607076</v>
      </c>
      <c r="AJ20" s="189">
        <v>5121.6753414296672</v>
      </c>
      <c r="AK20" s="189">
        <v>2838.2075783469554</v>
      </c>
      <c r="AL20" s="189">
        <v>2182.8145671293332</v>
      </c>
      <c r="AM20" s="189">
        <v>1293.1773882070756</v>
      </c>
      <c r="AN20" s="189">
        <v>450.28020309440035</v>
      </c>
      <c r="AO20" s="189">
        <v>-284.32587593378594</v>
      </c>
      <c r="AP20" s="189">
        <v>-5599.3789213086766</v>
      </c>
      <c r="AQ20" s="189">
        <v>-3761.7168712365474</v>
      </c>
      <c r="AR20" s="189">
        <v>-3590.5330971124713</v>
      </c>
      <c r="AS20" s="189">
        <v>-2156.071821327585</v>
      </c>
      <c r="AT20" s="189">
        <v>-2519.6819585937901</v>
      </c>
      <c r="AU20" s="189">
        <v>-1734.7947758776218</v>
      </c>
      <c r="AV20" s="189">
        <v>-3958.6066616684748</v>
      </c>
      <c r="AW20" s="189">
        <v>-2591.403793040673</v>
      </c>
      <c r="AX20" s="189">
        <v>-2450.7372493754956</v>
      </c>
      <c r="AY20" s="189">
        <v>-1671.1482918084248</v>
      </c>
      <c r="BA20" s="166"/>
      <c r="BB20" s="166"/>
    </row>
    <row r="21" spans="2:54">
      <c r="B21" s="187">
        <v>10067</v>
      </c>
      <c r="C21" s="187" t="s">
        <v>24</v>
      </c>
      <c r="D21" s="189">
        <v>-350.43302662719361</v>
      </c>
      <c r="E21" s="189">
        <v>-220.87751511143915</v>
      </c>
      <c r="F21" s="189">
        <v>-1200.4005643909004</v>
      </c>
      <c r="G21" s="189">
        <v>-17.093490419279988</v>
      </c>
      <c r="H21" s="189">
        <v>-152.71280652936548</v>
      </c>
      <c r="I21" s="189">
        <v>542.47153343643913</v>
      </c>
      <c r="J21" s="189">
        <v>1753.0669511778169</v>
      </c>
      <c r="K21" s="189">
        <v>1477.2289044501395</v>
      </c>
      <c r="L21" s="189">
        <v>1746.945722367198</v>
      </c>
      <c r="M21" s="189">
        <v>1351.040302034567</v>
      </c>
      <c r="N21" s="189">
        <v>228.89662077109915</v>
      </c>
      <c r="O21" s="189">
        <v>491.3623606248857</v>
      </c>
      <c r="P21" s="189">
        <v>-163.51587549740088</v>
      </c>
      <c r="Q21" s="189">
        <v>58.745982938878115</v>
      </c>
      <c r="R21" s="189">
        <v>-3517.2841142235902</v>
      </c>
      <c r="S21" s="189">
        <v>-1875.9878949973763</v>
      </c>
      <c r="T21" s="189">
        <v>-1799.6611219454962</v>
      </c>
      <c r="U21" s="189">
        <v>-720.29959528202198</v>
      </c>
      <c r="V21" s="189">
        <v>-369.77608783881624</v>
      </c>
      <c r="W21" s="189">
        <v>151.18743933123142</v>
      </c>
      <c r="X21" s="189">
        <v>-1414.148819018691</v>
      </c>
      <c r="Y21" s="189">
        <v>-301.60907792779017</v>
      </c>
      <c r="Z21" s="189">
        <v>-1196.7341929480563</v>
      </c>
      <c r="AA21" s="189">
        <v>-454.7109617123624</v>
      </c>
      <c r="AB21" s="189">
        <v>-384.7430266271931</v>
      </c>
      <c r="AC21" s="189">
        <v>-207.43951511143905</v>
      </c>
      <c r="AD21" s="189">
        <v>-1191.1165643909007</v>
      </c>
      <c r="AE21" s="189">
        <v>-19.855490419280613</v>
      </c>
      <c r="AF21" s="189">
        <v>-132.70980652936487</v>
      </c>
      <c r="AG21" s="189">
        <v>542.64753343643861</v>
      </c>
      <c r="AH21" s="189">
        <v>1778.522951177817</v>
      </c>
      <c r="AI21" s="189">
        <v>1484.1079044501384</v>
      </c>
      <c r="AJ21" s="189">
        <v>1764.8687223671968</v>
      </c>
      <c r="AK21" s="189">
        <v>1353.1463020345677</v>
      </c>
      <c r="AL21" s="189">
        <v>265.86962077110002</v>
      </c>
      <c r="AM21" s="189">
        <v>451.51836062488655</v>
      </c>
      <c r="AN21" s="189">
        <v>-195.58487549740039</v>
      </c>
      <c r="AO21" s="189">
        <v>76.947982938878795</v>
      </c>
      <c r="AP21" s="189">
        <v>-3522.8041142235897</v>
      </c>
      <c r="AQ21" s="189">
        <v>-1895.3658949973769</v>
      </c>
      <c r="AR21" s="189">
        <v>-1772.2101219454953</v>
      </c>
      <c r="AS21" s="189">
        <v>-771.63959528202213</v>
      </c>
      <c r="AT21" s="189">
        <v>-401.66908783881627</v>
      </c>
      <c r="AU21" s="189">
        <v>165.23443933123144</v>
      </c>
      <c r="AV21" s="189">
        <v>-1419.7688190186918</v>
      </c>
      <c r="AW21" s="189">
        <v>-318.57407792779122</v>
      </c>
      <c r="AX21" s="189">
        <v>-1203.2131929480565</v>
      </c>
      <c r="AY21" s="189">
        <v>-478.86896171236231</v>
      </c>
      <c r="BA21" s="166"/>
      <c r="BB21" s="166"/>
    </row>
    <row r="22" spans="2:54">
      <c r="B22" s="187">
        <v>10068</v>
      </c>
      <c r="C22" s="187" t="s">
        <v>25</v>
      </c>
      <c r="D22" s="189">
        <v>-115.90896586298209</v>
      </c>
      <c r="E22" s="189">
        <v>22.099918812405804</v>
      </c>
      <c r="F22" s="189">
        <v>-107.85512540939226</v>
      </c>
      <c r="G22" s="189">
        <v>57.193254243797242</v>
      </c>
      <c r="H22" s="189">
        <v>188.46153902573019</v>
      </c>
      <c r="I22" s="189">
        <v>227.08863696987157</v>
      </c>
      <c r="J22" s="189">
        <v>313.50272715286883</v>
      </c>
      <c r="K22" s="189">
        <v>290.80410069542722</v>
      </c>
      <c r="L22" s="189">
        <v>287.59627148293771</v>
      </c>
      <c r="M22" s="189">
        <v>214.591192017455</v>
      </c>
      <c r="N22" s="189">
        <v>79.504172172142944</v>
      </c>
      <c r="O22" s="189">
        <v>89.846019912125485</v>
      </c>
      <c r="P22" s="189">
        <v>-81.882678416579665</v>
      </c>
      <c r="Q22" s="189">
        <v>8.8271041666342853</v>
      </c>
      <c r="R22" s="189">
        <v>-683.97569045313492</v>
      </c>
      <c r="S22" s="189">
        <v>-324.03857020036799</v>
      </c>
      <c r="T22" s="189">
        <v>-360.17239455849017</v>
      </c>
      <c r="U22" s="189">
        <v>-147.38949950912536</v>
      </c>
      <c r="V22" s="189">
        <v>-108.53054390023954</v>
      </c>
      <c r="W22" s="189">
        <v>42.301433166258676</v>
      </c>
      <c r="X22" s="189">
        <v>-266.0695314988136</v>
      </c>
      <c r="Y22" s="189">
        <v>-55.339945943952785</v>
      </c>
      <c r="Z22" s="189">
        <v>-227.60467977352528</v>
      </c>
      <c r="AA22" s="189">
        <v>-77.177661775925003</v>
      </c>
      <c r="AB22" s="189">
        <v>-116.53768112201396</v>
      </c>
      <c r="AC22" s="189">
        <v>21.933680085287051</v>
      </c>
      <c r="AD22" s="189">
        <v>-108.55449919133343</v>
      </c>
      <c r="AE22" s="189">
        <v>57.026085632356626</v>
      </c>
      <c r="AF22" s="189">
        <v>188.38053160644495</v>
      </c>
      <c r="AG22" s="189">
        <v>227.26873442182955</v>
      </c>
      <c r="AH22" s="189">
        <v>313.73268407020578</v>
      </c>
      <c r="AI22" s="189">
        <v>291.14247336444646</v>
      </c>
      <c r="AJ22" s="189">
        <v>287.84532826821624</v>
      </c>
      <c r="AK22" s="189">
        <v>214.83179948402244</v>
      </c>
      <c r="AL22" s="189">
        <v>79.283850229483505</v>
      </c>
      <c r="AM22" s="189">
        <v>89.807019432212314</v>
      </c>
      <c r="AN22" s="189">
        <v>-82.418094627900018</v>
      </c>
      <c r="AO22" s="189">
        <v>8.6402359371929833</v>
      </c>
      <c r="AP22" s="189">
        <v>-685.91511934456287</v>
      </c>
      <c r="AQ22" s="189">
        <v>-325.00929058302575</v>
      </c>
      <c r="AR22" s="189">
        <v>-361.3382571180648</v>
      </c>
      <c r="AS22" s="189">
        <v>-147.91789842730725</v>
      </c>
      <c r="AT22" s="189">
        <v>-109.13441313985527</v>
      </c>
      <c r="AU22" s="189">
        <v>42.184783693010672</v>
      </c>
      <c r="AV22" s="189">
        <v>-267.05538594886343</v>
      </c>
      <c r="AW22" s="189">
        <v>-55.673645604863623</v>
      </c>
      <c r="AX22" s="189">
        <v>-228.44887405870224</v>
      </c>
      <c r="AY22" s="189">
        <v>-77.550129608287421</v>
      </c>
      <c r="BA22" s="166"/>
      <c r="BB22" s="166"/>
    </row>
    <row r="23" spans="2:54">
      <c r="B23" s="187">
        <v>10070</v>
      </c>
      <c r="C23" s="187" t="s">
        <v>26</v>
      </c>
      <c r="D23" s="189">
        <v>-6.1199279542422005</v>
      </c>
      <c r="E23" s="189">
        <v>8.796969624855592</v>
      </c>
      <c r="F23" s="189">
        <v>-9.5035423584531884</v>
      </c>
      <c r="G23" s="189">
        <v>10.393149487572217</v>
      </c>
      <c r="H23" s="189">
        <v>26.481914555896395</v>
      </c>
      <c r="I23" s="189">
        <v>49.127945066076634</v>
      </c>
      <c r="J23" s="189">
        <v>67.00467933412159</v>
      </c>
      <c r="K23" s="189">
        <v>56.118035095750386</v>
      </c>
      <c r="L23" s="189">
        <v>55.951871880161406</v>
      </c>
      <c r="M23" s="189">
        <v>45.480177001809992</v>
      </c>
      <c r="N23" s="189">
        <v>19.064939236544177</v>
      </c>
      <c r="O23" s="189">
        <v>18.301750689340992</v>
      </c>
      <c r="P23" s="189">
        <v>4.5157294054764066</v>
      </c>
      <c r="Q23" s="189">
        <v>20.507882160424401</v>
      </c>
      <c r="R23" s="189">
        <v>-64.769319649497248</v>
      </c>
      <c r="S23" s="189">
        <v>-25.304772710012386</v>
      </c>
      <c r="T23" s="189">
        <v>-30.255908918216392</v>
      </c>
      <c r="U23" s="189">
        <v>-3.4271833818228004</v>
      </c>
      <c r="V23" s="189">
        <v>-11.089952636089009</v>
      </c>
      <c r="W23" s="189">
        <v>17.358118621101582</v>
      </c>
      <c r="X23" s="189">
        <v>-19.443895625038806</v>
      </c>
      <c r="Y23" s="189">
        <v>0.55150802859039061</v>
      </c>
      <c r="Z23" s="189">
        <v>-17.235188541104606</v>
      </c>
      <c r="AA23" s="189">
        <v>5.4210379066499996</v>
      </c>
      <c r="AB23" s="189">
        <v>-0.40192795424221117</v>
      </c>
      <c r="AC23" s="189">
        <v>3.3199696248555881</v>
      </c>
      <c r="AD23" s="189">
        <v>-9.3275423584532007</v>
      </c>
      <c r="AE23" s="189">
        <v>10.512149487572216</v>
      </c>
      <c r="AF23" s="189">
        <v>26.689914555896394</v>
      </c>
      <c r="AG23" s="189">
        <v>49.286945066076626</v>
      </c>
      <c r="AH23" s="189">
        <v>67.224679334121589</v>
      </c>
      <c r="AI23" s="189">
        <v>56.269035095750397</v>
      </c>
      <c r="AJ23" s="189">
        <v>56.136871880161408</v>
      </c>
      <c r="AK23" s="189">
        <v>45.600177001809996</v>
      </c>
      <c r="AL23" s="189">
        <v>12.786939236544185</v>
      </c>
      <c r="AM23" s="189">
        <v>24.857750689340989</v>
      </c>
      <c r="AN23" s="189">
        <v>10.805729405476399</v>
      </c>
      <c r="AO23" s="189">
        <v>14.473882160424395</v>
      </c>
      <c r="AP23" s="189">
        <v>-64.617319649497233</v>
      </c>
      <c r="AQ23" s="189">
        <v>-25.206772710012373</v>
      </c>
      <c r="AR23" s="189">
        <v>-35.718908918216385</v>
      </c>
      <c r="AS23" s="189">
        <v>2.2708166181771929</v>
      </c>
      <c r="AT23" s="189">
        <v>-5.3529526360890145</v>
      </c>
      <c r="AU23" s="189">
        <v>11.862118621101587</v>
      </c>
      <c r="AV23" s="189">
        <v>-19.288895625038805</v>
      </c>
      <c r="AW23" s="189">
        <v>0.63850802859039391</v>
      </c>
      <c r="AX23" s="189">
        <v>-17.101188541104591</v>
      </c>
      <c r="AY23" s="189">
        <v>5.511037906650003</v>
      </c>
      <c r="BA23" s="166"/>
      <c r="BB23" s="166"/>
    </row>
    <row r="24" spans="2:54">
      <c r="B24" s="187">
        <v>10071</v>
      </c>
      <c r="C24" s="187" t="s">
        <v>27</v>
      </c>
      <c r="D24" s="189">
        <v>-61.810957364179217</v>
      </c>
      <c r="E24" s="189">
        <v>16.925366833881583</v>
      </c>
      <c r="F24" s="189">
        <v>-5.2553028730750384</v>
      </c>
      <c r="G24" s="189">
        <v>47.941641383059277</v>
      </c>
      <c r="H24" s="189">
        <v>143.61478410679047</v>
      </c>
      <c r="I24" s="189">
        <v>182.84377231813778</v>
      </c>
      <c r="J24" s="189">
        <v>266.23879931125771</v>
      </c>
      <c r="K24" s="189">
        <v>193.28030381373452</v>
      </c>
      <c r="L24" s="189">
        <v>305.77495986983047</v>
      </c>
      <c r="M24" s="189">
        <v>197.86876334816003</v>
      </c>
      <c r="N24" s="189">
        <v>130.62451312565122</v>
      </c>
      <c r="O24" s="189">
        <v>75.18852333257604</v>
      </c>
      <c r="P24" s="189">
        <v>41.151024885670381</v>
      </c>
      <c r="Q24" s="189">
        <v>90.671022140198431</v>
      </c>
      <c r="R24" s="189">
        <v>-406.99276223985942</v>
      </c>
      <c r="S24" s="189">
        <v>-201.46782095376619</v>
      </c>
      <c r="T24" s="189">
        <v>-232.30595112631033</v>
      </c>
      <c r="U24" s="189">
        <v>-104.75314356366073</v>
      </c>
      <c r="V24" s="189">
        <v>-131.47494623190403</v>
      </c>
      <c r="W24" s="189">
        <v>-0.52130934346240565</v>
      </c>
      <c r="X24" s="189">
        <v>-169.3761957482368</v>
      </c>
      <c r="Y24" s="189">
        <v>-60.831965392025552</v>
      </c>
      <c r="Z24" s="189">
        <v>-133.83135983954537</v>
      </c>
      <c r="AA24" s="189">
        <v>-29.190059265599928</v>
      </c>
      <c r="AB24" s="189">
        <v>-39.140704261096403</v>
      </c>
      <c r="AC24" s="189">
        <v>-6.5199564791128068</v>
      </c>
      <c r="AD24" s="189">
        <v>-5.7745240125782402</v>
      </c>
      <c r="AE24" s="189">
        <v>47.761824839556425</v>
      </c>
      <c r="AF24" s="189">
        <v>143.48044417853691</v>
      </c>
      <c r="AG24" s="189">
        <v>182.99874783098926</v>
      </c>
      <c r="AH24" s="189">
        <v>266.47898323777918</v>
      </c>
      <c r="AI24" s="189">
        <v>193.49963507508477</v>
      </c>
      <c r="AJ24" s="189">
        <v>306.17534367896678</v>
      </c>
      <c r="AK24" s="189">
        <v>198.15008109621994</v>
      </c>
      <c r="AL24" s="189">
        <v>102.13344917662039</v>
      </c>
      <c r="AM24" s="189">
        <v>103.52307846154201</v>
      </c>
      <c r="AN24" s="189">
        <v>67.697099364496808</v>
      </c>
      <c r="AO24" s="189">
        <v>63.80802815847278</v>
      </c>
      <c r="AP24" s="189">
        <v>-408.59536569890656</v>
      </c>
      <c r="AQ24" s="189">
        <v>-202.30568351612868</v>
      </c>
      <c r="AR24" s="189">
        <v>-254.78216229037673</v>
      </c>
      <c r="AS24" s="189">
        <v>-83.857831490933563</v>
      </c>
      <c r="AT24" s="189">
        <v>-110.89749666711805</v>
      </c>
      <c r="AU24" s="189">
        <v>-22.0863310974608</v>
      </c>
      <c r="AV24" s="189">
        <v>-170.28128859272567</v>
      </c>
      <c r="AW24" s="189">
        <v>-61.223587312835207</v>
      </c>
      <c r="AX24" s="189">
        <v>-134.58497698192514</v>
      </c>
      <c r="AY24" s="189">
        <v>-29.502586227699965</v>
      </c>
      <c r="BA24" s="166"/>
      <c r="BB24" s="166"/>
    </row>
    <row r="25" spans="2:54">
      <c r="B25" s="187">
        <v>10072</v>
      </c>
      <c r="C25" s="187" t="s">
        <v>28</v>
      </c>
      <c r="D25" s="189">
        <v>611.21699206842095</v>
      </c>
      <c r="E25" s="189">
        <v>704.84605888453461</v>
      </c>
      <c r="F25" s="189">
        <v>-1367.1754847549637</v>
      </c>
      <c r="G25" s="189">
        <v>188.16443560773405</v>
      </c>
      <c r="H25" s="189">
        <v>762.43198972489699</v>
      </c>
      <c r="I25" s="189">
        <v>1316.8912469589604</v>
      </c>
      <c r="J25" s="189">
        <v>2886.0336819188651</v>
      </c>
      <c r="K25" s="189">
        <v>2498.5799497704875</v>
      </c>
      <c r="L25" s="189">
        <v>2668.9783833545753</v>
      </c>
      <c r="M25" s="189">
        <v>1816.0450554478348</v>
      </c>
      <c r="N25" s="189">
        <v>303.69189247893519</v>
      </c>
      <c r="O25" s="189">
        <v>504.96552150084426</v>
      </c>
      <c r="P25" s="189">
        <v>-225.36466980457408</v>
      </c>
      <c r="Q25" s="189">
        <v>108.89981111594625</v>
      </c>
      <c r="R25" s="189">
        <v>-5488.7875414382233</v>
      </c>
      <c r="S25" s="189">
        <v>-2584.5870179937019</v>
      </c>
      <c r="T25" s="189">
        <v>-2248.5351165810171</v>
      </c>
      <c r="U25" s="189">
        <v>-759.5660491093995</v>
      </c>
      <c r="V25" s="189">
        <v>-279.2733359626618</v>
      </c>
      <c r="W25" s="189">
        <v>713.3413553302953</v>
      </c>
      <c r="X25" s="189">
        <v>-1319.5168337550567</v>
      </c>
      <c r="Y25" s="189">
        <v>135.96854684142636</v>
      </c>
      <c r="Z25" s="189">
        <v>-1471.967157971756</v>
      </c>
      <c r="AA25" s="189">
        <v>-229.28888977922543</v>
      </c>
      <c r="AB25" s="189">
        <v>685.97299206842217</v>
      </c>
      <c r="AC25" s="189">
        <v>753.21405888453501</v>
      </c>
      <c r="AD25" s="189">
        <v>-1286.5284847549628</v>
      </c>
      <c r="AE25" s="189">
        <v>244.67643560773467</v>
      </c>
      <c r="AF25" s="189">
        <v>865.00198972489852</v>
      </c>
      <c r="AG25" s="189">
        <v>1373.9582469589595</v>
      </c>
      <c r="AH25" s="189">
        <v>2981.9126819188659</v>
      </c>
      <c r="AI25" s="189">
        <v>2558.1199497704865</v>
      </c>
      <c r="AJ25" s="189">
        <v>2748.2323833545761</v>
      </c>
      <c r="AK25" s="189">
        <v>1861.6320554478352</v>
      </c>
      <c r="AL25" s="189">
        <v>369.22089247893382</v>
      </c>
      <c r="AM25" s="189">
        <v>531.56052150084361</v>
      </c>
      <c r="AN25" s="189">
        <v>-181.3806698045737</v>
      </c>
      <c r="AO25" s="189">
        <v>141.16981111594578</v>
      </c>
      <c r="AP25" s="189">
        <v>-5459.6705414382232</v>
      </c>
      <c r="AQ25" s="189">
        <v>-2569.6080179937017</v>
      </c>
      <c r="AR25" s="189">
        <v>-2218.7991165810163</v>
      </c>
      <c r="AS25" s="189">
        <v>-759.68204910939949</v>
      </c>
      <c r="AT25" s="189">
        <v>-267.17233596266124</v>
      </c>
      <c r="AU25" s="189">
        <v>726.35935533029624</v>
      </c>
      <c r="AV25" s="189">
        <v>-1310.4308337550574</v>
      </c>
      <c r="AW25" s="189">
        <v>137.46254684142605</v>
      </c>
      <c r="AX25" s="189">
        <v>-1464.4081579717549</v>
      </c>
      <c r="AY25" s="189">
        <v>-230.02188977922469</v>
      </c>
      <c r="BA25" s="166"/>
      <c r="BB25" s="166"/>
    </row>
    <row r="26" spans="2:54">
      <c r="B26" s="187">
        <v>10074</v>
      </c>
      <c r="C26" s="187" t="s">
        <v>29</v>
      </c>
      <c r="D26" s="189">
        <v>-286.64996138222887</v>
      </c>
      <c r="E26" s="189">
        <v>233.18368444496173</v>
      </c>
      <c r="F26" s="189">
        <v>206.63750527762932</v>
      </c>
      <c r="G26" s="189">
        <v>665.91042367751925</v>
      </c>
      <c r="H26" s="189">
        <v>1470.1221690376151</v>
      </c>
      <c r="I26" s="189">
        <v>1790.0897859802371</v>
      </c>
      <c r="J26" s="189">
        <v>4137.6161447778213</v>
      </c>
      <c r="K26" s="189">
        <v>2462.0043755113147</v>
      </c>
      <c r="L26" s="189">
        <v>4744.5281900740574</v>
      </c>
      <c r="M26" s="189">
        <v>2767.2305184575298</v>
      </c>
      <c r="N26" s="189">
        <v>2950.2458088549538</v>
      </c>
      <c r="O26" s="189">
        <v>1286.854761928832</v>
      </c>
      <c r="P26" s="189">
        <v>1865.5889496941509</v>
      </c>
      <c r="Q26" s="189">
        <v>1726.1659393556765</v>
      </c>
      <c r="R26" s="189">
        <v>-4524.7726457275476</v>
      </c>
      <c r="S26" s="189">
        <v>-2534.5020384435202</v>
      </c>
      <c r="T26" s="189">
        <v>-2197.9413557957741</v>
      </c>
      <c r="U26" s="189">
        <v>-1208.7363003276159</v>
      </c>
      <c r="V26" s="189">
        <v>424.70991839624185</v>
      </c>
      <c r="W26" s="189">
        <v>1138.7817014805605</v>
      </c>
      <c r="X26" s="189">
        <v>-39.955736631825857</v>
      </c>
      <c r="Y26" s="189">
        <v>163.35511321423564</v>
      </c>
      <c r="Z26" s="189">
        <v>127.69369368519983</v>
      </c>
      <c r="AA26" s="189">
        <v>692.1453405964503</v>
      </c>
      <c r="AB26" s="189">
        <v>1172.2310386177705</v>
      </c>
      <c r="AC26" s="189">
        <v>474.93868444496184</v>
      </c>
      <c r="AD26" s="189">
        <v>919.51150527762911</v>
      </c>
      <c r="AE26" s="189">
        <v>1104.9114236775195</v>
      </c>
      <c r="AF26" s="189">
        <v>1872.7741690376133</v>
      </c>
      <c r="AG26" s="189">
        <v>2050.8217859802371</v>
      </c>
      <c r="AH26" s="189">
        <v>4215.6371447778183</v>
      </c>
      <c r="AI26" s="189">
        <v>2511.197375511314</v>
      </c>
      <c r="AJ26" s="189">
        <v>4812.7421900740574</v>
      </c>
      <c r="AK26" s="189">
        <v>2809.73151845753</v>
      </c>
      <c r="AL26" s="189">
        <v>2568.9188088549527</v>
      </c>
      <c r="AM26" s="189">
        <v>1766.1327619288322</v>
      </c>
      <c r="AN26" s="189">
        <v>2359.3369496941523</v>
      </c>
      <c r="AO26" s="189">
        <v>1338.386939355677</v>
      </c>
      <c r="AP26" s="189">
        <v>-4467.9746457275469</v>
      </c>
      <c r="AQ26" s="189">
        <v>-2500.3260384435198</v>
      </c>
      <c r="AR26" s="189">
        <v>-2478.1043557957746</v>
      </c>
      <c r="AS26" s="189">
        <v>-849.01230032761578</v>
      </c>
      <c r="AT26" s="189">
        <v>862.39891839624215</v>
      </c>
      <c r="AU26" s="189">
        <v>804.83970148056051</v>
      </c>
      <c r="AV26" s="189">
        <v>24.771263368173095</v>
      </c>
      <c r="AW26" s="189">
        <v>198.46811321423593</v>
      </c>
      <c r="AX26" s="189">
        <v>182.45669368520066</v>
      </c>
      <c r="AY26" s="189">
        <v>728.11934059645046</v>
      </c>
      <c r="BA26" s="166"/>
      <c r="BB26" s="166"/>
    </row>
    <row r="27" spans="2:54">
      <c r="B27" s="187">
        <v>10076</v>
      </c>
      <c r="C27" s="187" t="s">
        <v>30</v>
      </c>
      <c r="D27" s="189">
        <v>29.251928567513914</v>
      </c>
      <c r="E27" s="189">
        <v>258.81129860165265</v>
      </c>
      <c r="F27" s="189">
        <v>-135.50878463866729</v>
      </c>
      <c r="G27" s="189">
        <v>191.43213632417383</v>
      </c>
      <c r="H27" s="189">
        <v>340.87937370864756</v>
      </c>
      <c r="I27" s="189">
        <v>638.64823440152168</v>
      </c>
      <c r="J27" s="189">
        <v>826.63666231374009</v>
      </c>
      <c r="K27" s="189">
        <v>762.28260733955972</v>
      </c>
      <c r="L27" s="189">
        <v>798.60206216949155</v>
      </c>
      <c r="M27" s="189">
        <v>696.14332881368762</v>
      </c>
      <c r="N27" s="189">
        <v>356.06119348309903</v>
      </c>
      <c r="O27" s="189">
        <v>340.86596939911897</v>
      </c>
      <c r="P27" s="189">
        <v>99.763039748772599</v>
      </c>
      <c r="Q27" s="189">
        <v>331.08325934034769</v>
      </c>
      <c r="R27" s="189">
        <v>-841.96757599964258</v>
      </c>
      <c r="S27" s="189">
        <v>-343.80562351542198</v>
      </c>
      <c r="T27" s="189">
        <v>-182.42477434414741</v>
      </c>
      <c r="U27" s="189">
        <v>-11.817512954607537</v>
      </c>
      <c r="V27" s="189">
        <v>147.88115995805583</v>
      </c>
      <c r="W27" s="189">
        <v>373.092816120115</v>
      </c>
      <c r="X27" s="189">
        <v>-81.28695795450767</v>
      </c>
      <c r="Y27" s="189">
        <v>53.634423809310192</v>
      </c>
      <c r="Z27" s="189">
        <v>-109.65099959259601</v>
      </c>
      <c r="AA27" s="189">
        <v>167.25556045843746</v>
      </c>
      <c r="AB27" s="189">
        <v>124.99992856751396</v>
      </c>
      <c r="AC27" s="189">
        <v>184.80529860165234</v>
      </c>
      <c r="AD27" s="189">
        <v>-106.47078463866728</v>
      </c>
      <c r="AE27" s="189">
        <v>212.2911363241742</v>
      </c>
      <c r="AF27" s="189">
        <v>384.33537370864769</v>
      </c>
      <c r="AG27" s="189">
        <v>668.3232344015214</v>
      </c>
      <c r="AH27" s="189">
        <v>885.88566231374034</v>
      </c>
      <c r="AI27" s="189">
        <v>804.25960733956003</v>
      </c>
      <c r="AJ27" s="189">
        <v>830.55006216949141</v>
      </c>
      <c r="AK27" s="189">
        <v>717.21532881368751</v>
      </c>
      <c r="AL27" s="189">
        <v>294.10719348309885</v>
      </c>
      <c r="AM27" s="189">
        <v>451.38696939911893</v>
      </c>
      <c r="AN27" s="189">
        <v>209.35003974877259</v>
      </c>
      <c r="AO27" s="189">
        <v>260.60825934034756</v>
      </c>
      <c r="AP27" s="189">
        <v>-842.45657599964261</v>
      </c>
      <c r="AQ27" s="189">
        <v>-347.20762351542203</v>
      </c>
      <c r="AR27" s="189">
        <v>-262.74577434414732</v>
      </c>
      <c r="AS27" s="189">
        <v>65.996487045392541</v>
      </c>
      <c r="AT27" s="189">
        <v>233.92615995805636</v>
      </c>
      <c r="AU27" s="189">
        <v>286.08781612011512</v>
      </c>
      <c r="AV27" s="189">
        <v>-80.74795795450791</v>
      </c>
      <c r="AW27" s="189">
        <v>50.043423809310298</v>
      </c>
      <c r="AX27" s="189">
        <v>-110.11599959259593</v>
      </c>
      <c r="AY27" s="189">
        <v>163.41556045843777</v>
      </c>
      <c r="BA27" s="166"/>
      <c r="BB27" s="166"/>
    </row>
    <row r="28" spans="2:54">
      <c r="B28" s="187">
        <v>10078</v>
      </c>
      <c r="C28" s="187" t="s">
        <v>31</v>
      </c>
      <c r="D28" s="189">
        <v>61.445636742138504</v>
      </c>
      <c r="E28" s="189">
        <v>-50.958486192688042</v>
      </c>
      <c r="F28" s="189">
        <v>15.65903227958097</v>
      </c>
      <c r="G28" s="189">
        <v>-51.082341828655672</v>
      </c>
      <c r="H28" s="189">
        <v>184.91932473603629</v>
      </c>
      <c r="I28" s="189">
        <v>167.11125327367245</v>
      </c>
      <c r="J28" s="189">
        <v>623.37934262365843</v>
      </c>
      <c r="K28" s="189">
        <v>257.34509419156973</v>
      </c>
      <c r="L28" s="189">
        <v>645.97256534017765</v>
      </c>
      <c r="M28" s="189">
        <v>283.96894737900254</v>
      </c>
      <c r="N28" s="189">
        <v>384.06614755684723</v>
      </c>
      <c r="O28" s="189">
        <v>63.210608032990308</v>
      </c>
      <c r="P28" s="189">
        <v>133.68353499733121</v>
      </c>
      <c r="Q28" s="189">
        <v>44.104337281408107</v>
      </c>
      <c r="R28" s="189">
        <v>-799.80755235020047</v>
      </c>
      <c r="S28" s="189">
        <v>-583.19813949534478</v>
      </c>
      <c r="T28" s="189">
        <v>-402.01990014221587</v>
      </c>
      <c r="U28" s="189">
        <v>-360.14378911822951</v>
      </c>
      <c r="V28" s="189">
        <v>-307.05414278401713</v>
      </c>
      <c r="W28" s="189">
        <v>-197.27719728869658</v>
      </c>
      <c r="X28" s="189">
        <v>-402.58837649031375</v>
      </c>
      <c r="Y28" s="189">
        <v>-323.84745711302025</v>
      </c>
      <c r="Z28" s="189">
        <v>-175.95381111416896</v>
      </c>
      <c r="AA28" s="189">
        <v>-184.85756367258739</v>
      </c>
      <c r="AB28" s="189">
        <v>116.65663674213852</v>
      </c>
      <c r="AC28" s="189">
        <v>-103.68848619268806</v>
      </c>
      <c r="AD28" s="189">
        <v>17.598032279581048</v>
      </c>
      <c r="AE28" s="189">
        <v>-50.005341828655673</v>
      </c>
      <c r="AF28" s="189">
        <v>186.98232473603639</v>
      </c>
      <c r="AG28" s="189">
        <v>168.41525327367231</v>
      </c>
      <c r="AH28" s="189">
        <v>625.59434262365858</v>
      </c>
      <c r="AI28" s="189">
        <v>258.58709419156969</v>
      </c>
      <c r="AJ28" s="189">
        <v>647.95256534017767</v>
      </c>
      <c r="AK28" s="189">
        <v>285.03094737900244</v>
      </c>
      <c r="AL28" s="189">
        <v>322.30014755684715</v>
      </c>
      <c r="AM28" s="189">
        <v>127.92560803299023</v>
      </c>
      <c r="AN28" s="189">
        <v>192.95153499733124</v>
      </c>
      <c r="AO28" s="189">
        <v>-12.582662718591905</v>
      </c>
      <c r="AP28" s="189">
        <v>-798.3585523502004</v>
      </c>
      <c r="AQ28" s="189">
        <v>-582.50213949534475</v>
      </c>
      <c r="AR28" s="189">
        <v>-445.68090014221593</v>
      </c>
      <c r="AS28" s="189">
        <v>-314.4617891182296</v>
      </c>
      <c r="AT28" s="189">
        <v>-263.89714278401721</v>
      </c>
      <c r="AU28" s="189">
        <v>-238.49519728869666</v>
      </c>
      <c r="AV28" s="189">
        <v>-401.18037649031362</v>
      </c>
      <c r="AW28" s="189">
        <v>-323.27545711302025</v>
      </c>
      <c r="AX28" s="189">
        <v>-174.5618111141689</v>
      </c>
      <c r="AY28" s="189">
        <v>-184.15856367258743</v>
      </c>
      <c r="BA28" s="166"/>
      <c r="BB28" s="166"/>
    </row>
    <row r="29" spans="2:54">
      <c r="B29" s="187">
        <v>10079</v>
      </c>
      <c r="C29" s="187" t="s">
        <v>32</v>
      </c>
      <c r="D29" s="189">
        <v>-553.84841570744902</v>
      </c>
      <c r="E29" s="189">
        <v>1823.8524826229514</v>
      </c>
      <c r="F29" s="189">
        <v>-3211.7309250517137</v>
      </c>
      <c r="G29" s="189">
        <v>-2701.819551611472</v>
      </c>
      <c r="H29" s="189">
        <v>-3149.1369895723401</v>
      </c>
      <c r="I29" s="189">
        <v>-1906.798903552979</v>
      </c>
      <c r="J29" s="189">
        <v>8151.3492885245651</v>
      </c>
      <c r="K29" s="189">
        <v>2656.0071428785195</v>
      </c>
      <c r="L29" s="189">
        <v>9075.3332553785913</v>
      </c>
      <c r="M29" s="189">
        <v>4799.5401125789904</v>
      </c>
      <c r="N29" s="189">
        <v>4945.7863399605048</v>
      </c>
      <c r="O29" s="189">
        <v>1081.4896714975403</v>
      </c>
      <c r="P29" s="189">
        <v>3477.1160985924798</v>
      </c>
      <c r="Q29" s="189">
        <v>3872.397484382167</v>
      </c>
      <c r="R29" s="189">
        <v>-14298.855918210604</v>
      </c>
      <c r="S29" s="189">
        <v>-8144.5022051324158</v>
      </c>
      <c r="T29" s="189">
        <v>-4897.2931436429353</v>
      </c>
      <c r="U29" s="189">
        <v>-2677.3755162556809</v>
      </c>
      <c r="V29" s="189">
        <v>-534.55787151942786</v>
      </c>
      <c r="W29" s="189">
        <v>2289.0817786839871</v>
      </c>
      <c r="X29" s="189">
        <v>-2394.8319059593559</v>
      </c>
      <c r="Y29" s="189">
        <v>-105.68222632311881</v>
      </c>
      <c r="Z29" s="189">
        <v>-539.37160397101979</v>
      </c>
      <c r="AA29" s="189">
        <v>1236.9571963653507</v>
      </c>
      <c r="AB29" s="189">
        <v>977.04758429254434</v>
      </c>
      <c r="AC29" s="189">
        <v>300.83548262295153</v>
      </c>
      <c r="AD29" s="189">
        <v>-3122.6309250517152</v>
      </c>
      <c r="AE29" s="189">
        <v>-2842.0235516114735</v>
      </c>
      <c r="AF29" s="189">
        <v>-3218.3099895723426</v>
      </c>
      <c r="AG29" s="189">
        <v>-2155.9139035529843</v>
      </c>
      <c r="AH29" s="189">
        <v>8268.0432885245682</v>
      </c>
      <c r="AI29" s="189">
        <v>2534.3531428785209</v>
      </c>
      <c r="AJ29" s="189">
        <v>9161.7732553785936</v>
      </c>
      <c r="AK29" s="189">
        <v>4709.8721125789925</v>
      </c>
      <c r="AL29" s="189">
        <v>3486.57933996051</v>
      </c>
      <c r="AM29" s="189">
        <v>2528.6566714975379</v>
      </c>
      <c r="AN29" s="189">
        <v>5228.4960985924772</v>
      </c>
      <c r="AO29" s="189">
        <v>2229.4824843821698</v>
      </c>
      <c r="AP29" s="189">
        <v>-14131.970918210602</v>
      </c>
      <c r="AQ29" s="189">
        <v>-8234.4542051324133</v>
      </c>
      <c r="AR29" s="189">
        <v>-6170.6571436429367</v>
      </c>
      <c r="AS29" s="189">
        <v>-1318.6865162556824</v>
      </c>
      <c r="AT29" s="189">
        <v>1021.607128480573</v>
      </c>
      <c r="AU29" s="189">
        <v>737.73077868398832</v>
      </c>
      <c r="AV29" s="189">
        <v>-2221.8259059593547</v>
      </c>
      <c r="AW29" s="189">
        <v>-189.49422632311689</v>
      </c>
      <c r="AX29" s="189">
        <v>-397.84260397101752</v>
      </c>
      <c r="AY29" s="189">
        <v>1112.6731963653547</v>
      </c>
      <c r="BA29" s="166"/>
      <c r="BB29" s="166"/>
    </row>
    <row r="30" spans="2:54">
      <c r="B30" s="187">
        <v>10080</v>
      </c>
      <c r="C30" s="187" t="s">
        <v>33</v>
      </c>
      <c r="D30" s="189">
        <v>-384.3806316020673</v>
      </c>
      <c r="E30" s="189">
        <v>45.599281372250744</v>
      </c>
      <c r="F30" s="189">
        <v>-421.37439336815214</v>
      </c>
      <c r="G30" s="189">
        <v>12.829260138874361</v>
      </c>
      <c r="H30" s="189">
        <v>-108.96335300102282</v>
      </c>
      <c r="I30" s="189">
        <v>308.63387236466406</v>
      </c>
      <c r="J30" s="189">
        <v>693.1500042197622</v>
      </c>
      <c r="K30" s="189">
        <v>582.5003126061456</v>
      </c>
      <c r="L30" s="189">
        <v>730.0611496087804</v>
      </c>
      <c r="M30" s="189">
        <v>571.05176391352711</v>
      </c>
      <c r="N30" s="189">
        <v>67.003521132807236</v>
      </c>
      <c r="O30" s="189">
        <v>132.98554923934262</v>
      </c>
      <c r="P30" s="189">
        <v>-250.03840207577832</v>
      </c>
      <c r="Q30" s="189">
        <v>157.05205181966903</v>
      </c>
      <c r="R30" s="189">
        <v>-1899.1005809975445</v>
      </c>
      <c r="S30" s="189">
        <v>-891.00385245157577</v>
      </c>
      <c r="T30" s="189">
        <v>-1158.8697544709576</v>
      </c>
      <c r="U30" s="189">
        <v>-449.41071120918673</v>
      </c>
      <c r="V30" s="189">
        <v>-746.16924198124025</v>
      </c>
      <c r="W30" s="189">
        <v>-3.8072777351428613</v>
      </c>
      <c r="X30" s="189">
        <v>-1008.4890377973115</v>
      </c>
      <c r="Y30" s="189">
        <v>-278.10414744634431</v>
      </c>
      <c r="Z30" s="189">
        <v>-769.63335365673083</v>
      </c>
      <c r="AA30" s="189">
        <v>-125.88994995596249</v>
      </c>
      <c r="AB30" s="189">
        <v>-281.28763160206699</v>
      </c>
      <c r="AC30" s="189">
        <v>-35.297718627749418</v>
      </c>
      <c r="AD30" s="189">
        <v>-398.09539336815214</v>
      </c>
      <c r="AE30" s="189">
        <v>28.205260138874564</v>
      </c>
      <c r="AF30" s="189">
        <v>-85.836353001022871</v>
      </c>
      <c r="AG30" s="189">
        <v>325.09287236466434</v>
      </c>
      <c r="AH30" s="189">
        <v>719.78400421976221</v>
      </c>
      <c r="AI30" s="189">
        <v>600.01131260614557</v>
      </c>
      <c r="AJ30" s="189">
        <v>753.54514960878032</v>
      </c>
      <c r="AK30" s="189">
        <v>585.74176391352717</v>
      </c>
      <c r="AL30" s="189">
        <v>-18.767478867192949</v>
      </c>
      <c r="AM30" s="189">
        <v>246.33454923934255</v>
      </c>
      <c r="AN30" s="189">
        <v>-138.4004020757784</v>
      </c>
      <c r="AO30" s="189">
        <v>72.150051819668988</v>
      </c>
      <c r="AP30" s="189">
        <v>-1886.1815809975446</v>
      </c>
      <c r="AQ30" s="189">
        <v>-882.74685245157571</v>
      </c>
      <c r="AR30" s="189">
        <v>-1224.0057544709575</v>
      </c>
      <c r="AS30" s="189">
        <v>-363.42071120918672</v>
      </c>
      <c r="AT30" s="189">
        <v>-654.62324198123997</v>
      </c>
      <c r="AU30" s="189">
        <v>-74.556277735142885</v>
      </c>
      <c r="AV30" s="189">
        <v>-995.34503779731131</v>
      </c>
      <c r="AW30" s="189">
        <v>-270.51014744634449</v>
      </c>
      <c r="AX30" s="189">
        <v>-757.43535365673051</v>
      </c>
      <c r="AY30" s="189">
        <v>-117.40594995596257</v>
      </c>
      <c r="BA30" s="166"/>
      <c r="BB30" s="166"/>
    </row>
    <row r="31" spans="2:54">
      <c r="B31" s="187">
        <v>10081</v>
      </c>
      <c r="C31" s="187" t="s">
        <v>34</v>
      </c>
      <c r="D31" s="189">
        <v>-891.94933512051466</v>
      </c>
      <c r="E31" s="189">
        <v>-444.93218117522792</v>
      </c>
      <c r="F31" s="189">
        <v>-360.20388843308319</v>
      </c>
      <c r="G31" s="189">
        <v>-23.256868412385757</v>
      </c>
      <c r="H31" s="189">
        <v>949.00282519746816</v>
      </c>
      <c r="I31" s="189">
        <v>1185.948269926042</v>
      </c>
      <c r="J31" s="189">
        <v>1761.8089517801918</v>
      </c>
      <c r="K31" s="189">
        <v>1290.3370510564482</v>
      </c>
      <c r="L31" s="189">
        <v>1267.3407469430176</v>
      </c>
      <c r="M31" s="189">
        <v>865.04847036469937</v>
      </c>
      <c r="N31" s="189">
        <v>-62.266591058746599</v>
      </c>
      <c r="O31" s="189">
        <v>-82.422299954330356</v>
      </c>
      <c r="P31" s="189">
        <v>-212.13203444793271</v>
      </c>
      <c r="Q31" s="189">
        <v>112.09750188882799</v>
      </c>
      <c r="R31" s="189">
        <v>-2521.6940360373655</v>
      </c>
      <c r="S31" s="189">
        <v>-1556.789171322388</v>
      </c>
      <c r="T31" s="189">
        <v>-1863.7564812958681</v>
      </c>
      <c r="U31" s="189">
        <v>-1308.4174330910359</v>
      </c>
      <c r="V31" s="189">
        <v>-47.814509448430726</v>
      </c>
      <c r="W31" s="189">
        <v>96.725039272791946</v>
      </c>
      <c r="X31" s="189">
        <v>-320.46601363295667</v>
      </c>
      <c r="Y31" s="189">
        <v>-420.0392518127519</v>
      </c>
      <c r="Z31" s="189">
        <v>-731.85891345240179</v>
      </c>
      <c r="AA31" s="189">
        <v>-344.0585488644997</v>
      </c>
      <c r="AB31" s="189">
        <v>-763.66033512051399</v>
      </c>
      <c r="AC31" s="189">
        <v>-567.22118117522814</v>
      </c>
      <c r="AD31" s="189">
        <v>-361.20388843308319</v>
      </c>
      <c r="AE31" s="189">
        <v>-23.256868412385757</v>
      </c>
      <c r="AF31" s="189">
        <v>948.00282519746816</v>
      </c>
      <c r="AG31" s="189">
        <v>1185.948269926042</v>
      </c>
      <c r="AH31" s="189">
        <v>1761.8089517801918</v>
      </c>
      <c r="AI31" s="189">
        <v>1290.3370510564482</v>
      </c>
      <c r="AJ31" s="189">
        <v>1265.3407469430176</v>
      </c>
      <c r="AK31" s="189">
        <v>865.04847036469937</v>
      </c>
      <c r="AL31" s="189">
        <v>-223.23059105874654</v>
      </c>
      <c r="AM31" s="189">
        <v>68.54270004566979</v>
      </c>
      <c r="AN31" s="189">
        <v>-53.961034447932434</v>
      </c>
      <c r="AO31" s="189">
        <v>-39.073498111172285</v>
      </c>
      <c r="AP31" s="189">
        <v>-2521.6940360373655</v>
      </c>
      <c r="AQ31" s="189">
        <v>-1556.789171322388</v>
      </c>
      <c r="AR31" s="189">
        <v>-1974.309481295868</v>
      </c>
      <c r="AS31" s="189">
        <v>-1204.8644330910361</v>
      </c>
      <c r="AT31" s="189">
        <v>112.79949055156976</v>
      </c>
      <c r="AU31" s="189">
        <v>-56.887960727208338</v>
      </c>
      <c r="AV31" s="189">
        <v>-320.46601363295667</v>
      </c>
      <c r="AW31" s="189">
        <v>-420.0392518127519</v>
      </c>
      <c r="AX31" s="189">
        <v>-731.85891345240179</v>
      </c>
      <c r="AY31" s="189">
        <v>-344.0585488644997</v>
      </c>
      <c r="BA31" s="166"/>
      <c r="BB31" s="166"/>
    </row>
    <row r="32" spans="2:54">
      <c r="B32" s="187">
        <v>10082</v>
      </c>
      <c r="C32" s="187" t="s">
        <v>35</v>
      </c>
      <c r="D32" s="189">
        <v>-13.155412506624248</v>
      </c>
      <c r="E32" s="189">
        <v>-0.21273504802350018</v>
      </c>
      <c r="F32" s="189">
        <v>-5.426133153495492</v>
      </c>
      <c r="G32" s="189">
        <v>5.4609501490117545</v>
      </c>
      <c r="H32" s="189">
        <v>7.9832138004035045</v>
      </c>
      <c r="I32" s="189">
        <v>17.196681170435259</v>
      </c>
      <c r="J32" s="189">
        <v>19.071083668203997</v>
      </c>
      <c r="K32" s="189">
        <v>19.988004111976</v>
      </c>
      <c r="L32" s="189">
        <v>15.043581540597252</v>
      </c>
      <c r="M32" s="189">
        <v>15.594009183587499</v>
      </c>
      <c r="N32" s="189">
        <v>4.2265909238167509</v>
      </c>
      <c r="O32" s="189">
        <v>7.2724367125087461</v>
      </c>
      <c r="P32" s="189">
        <v>-7.4471500712715013</v>
      </c>
      <c r="Q32" s="189">
        <v>3.8852340812234978</v>
      </c>
      <c r="R32" s="189">
        <v>-32.74168769523051</v>
      </c>
      <c r="S32" s="189">
        <v>-13.515383942818492</v>
      </c>
      <c r="T32" s="189">
        <v>-23.856452348703495</v>
      </c>
      <c r="U32" s="189">
        <v>-9.4350936818194988</v>
      </c>
      <c r="V32" s="189">
        <v>-18.208226638253752</v>
      </c>
      <c r="W32" s="189">
        <v>-3.5080192912210002</v>
      </c>
      <c r="X32" s="189">
        <v>-23.196432806359503</v>
      </c>
      <c r="Y32" s="189">
        <v>-7.843272314673996</v>
      </c>
      <c r="Z32" s="189">
        <v>-21.201685705630251</v>
      </c>
      <c r="AA32" s="189">
        <v>-6.5304261880624992</v>
      </c>
      <c r="AB32" s="189">
        <v>-11.812412506624248</v>
      </c>
      <c r="AC32" s="189">
        <v>-1.4377350480235016</v>
      </c>
      <c r="AD32" s="189">
        <v>-5.3271331534954953</v>
      </c>
      <c r="AE32" s="189">
        <v>5.536950149011755</v>
      </c>
      <c r="AF32" s="189">
        <v>8.1082138004035045</v>
      </c>
      <c r="AG32" s="189">
        <v>17.297681170435258</v>
      </c>
      <c r="AH32" s="189">
        <v>19.201083668203999</v>
      </c>
      <c r="AI32" s="189">
        <v>20.085004111976001</v>
      </c>
      <c r="AJ32" s="189">
        <v>15.151581540597249</v>
      </c>
      <c r="AK32" s="189">
        <v>15.672009183587502</v>
      </c>
      <c r="AL32" s="189">
        <v>2.4475909238167475</v>
      </c>
      <c r="AM32" s="189">
        <v>9.2204367125087465</v>
      </c>
      <c r="AN32" s="189">
        <v>-5.8601500712715051</v>
      </c>
      <c r="AO32" s="189">
        <v>2.4322340812234984</v>
      </c>
      <c r="AP32" s="189">
        <v>-32.678687695230515</v>
      </c>
      <c r="AQ32" s="189">
        <v>-13.469383942818492</v>
      </c>
      <c r="AR32" s="189">
        <v>-24.845452348703496</v>
      </c>
      <c r="AS32" s="189">
        <v>-8.3520936818195004</v>
      </c>
      <c r="AT32" s="189">
        <v>-17.088226638253751</v>
      </c>
      <c r="AU32" s="189">
        <v>-4.529019291221001</v>
      </c>
      <c r="AV32" s="189">
        <v>-23.138432806359504</v>
      </c>
      <c r="AW32" s="189">
        <v>-7.806272314673997</v>
      </c>
      <c r="AX32" s="189">
        <v>-21.153685705630249</v>
      </c>
      <c r="AY32" s="189">
        <v>-6.4914261880625013</v>
      </c>
      <c r="BA32" s="166"/>
      <c r="BB32" s="166"/>
    </row>
    <row r="33" spans="2:54">
      <c r="B33" s="187">
        <v>10083</v>
      </c>
      <c r="C33" s="187" t="s">
        <v>36</v>
      </c>
      <c r="D33" s="189">
        <v>-63.992122696487968</v>
      </c>
      <c r="E33" s="189">
        <v>166.06025804116916</v>
      </c>
      <c r="F33" s="189">
        <v>61.092339753323358</v>
      </c>
      <c r="G33" s="189">
        <v>291.56334700441539</v>
      </c>
      <c r="H33" s="189">
        <v>509.02289876538725</v>
      </c>
      <c r="I33" s="189">
        <v>777.70685647232676</v>
      </c>
      <c r="J33" s="189">
        <v>1319.2351681693053</v>
      </c>
      <c r="K33" s="189">
        <v>908.80663946761115</v>
      </c>
      <c r="L33" s="189">
        <v>1445.5260943071507</v>
      </c>
      <c r="M33" s="189">
        <v>963.6718745953674</v>
      </c>
      <c r="N33" s="189">
        <v>529.33503349175635</v>
      </c>
      <c r="O33" s="189">
        <v>292.68059038976662</v>
      </c>
      <c r="P33" s="189">
        <v>147.52181245175143</v>
      </c>
      <c r="Q33" s="189">
        <v>389.16203881667093</v>
      </c>
      <c r="R33" s="189">
        <v>-1723.8385482812846</v>
      </c>
      <c r="S33" s="189">
        <v>-866.86231267900916</v>
      </c>
      <c r="T33" s="189">
        <v>-948.04038537784663</v>
      </c>
      <c r="U33" s="189">
        <v>-431.50453128192567</v>
      </c>
      <c r="V33" s="189">
        <v>-436.72151335633635</v>
      </c>
      <c r="W33" s="189">
        <v>121.12615460911957</v>
      </c>
      <c r="X33" s="189">
        <v>-725.03926429347439</v>
      </c>
      <c r="Y33" s="189">
        <v>-242.0911424591186</v>
      </c>
      <c r="Z33" s="189">
        <v>-573.99456500698489</v>
      </c>
      <c r="AA33" s="189">
        <v>-61.032371740362578</v>
      </c>
      <c r="AB33" s="189">
        <v>87.177877303512105</v>
      </c>
      <c r="AC33" s="189">
        <v>43.305258041169282</v>
      </c>
      <c r="AD33" s="189">
        <v>83.107339753323686</v>
      </c>
      <c r="AE33" s="189">
        <v>305.76934700441552</v>
      </c>
      <c r="AF33" s="189">
        <v>532.77089876538685</v>
      </c>
      <c r="AG33" s="189">
        <v>794.43585647232658</v>
      </c>
      <c r="AH33" s="189">
        <v>1343.8131681693048</v>
      </c>
      <c r="AI33" s="189">
        <v>924.47563946761102</v>
      </c>
      <c r="AJ33" s="189">
        <v>1467.8400943071501</v>
      </c>
      <c r="AK33" s="189">
        <v>977.28887459536713</v>
      </c>
      <c r="AL33" s="189">
        <v>397.6790334917564</v>
      </c>
      <c r="AM33" s="189">
        <v>456.70159038976681</v>
      </c>
      <c r="AN33" s="189">
        <v>310.48381245175142</v>
      </c>
      <c r="AO33" s="189">
        <v>256.04603881667094</v>
      </c>
      <c r="AP33" s="189">
        <v>-1707.0925482812845</v>
      </c>
      <c r="AQ33" s="189">
        <v>-856.76131267900905</v>
      </c>
      <c r="AR33" s="189">
        <v>-1051.0923853778468</v>
      </c>
      <c r="AS33" s="189">
        <v>-303.92353128192576</v>
      </c>
      <c r="AT33" s="189">
        <v>-298.73751335633642</v>
      </c>
      <c r="AU33" s="189">
        <v>9.1761546091195214</v>
      </c>
      <c r="AV33" s="189">
        <v>-708.21626429347452</v>
      </c>
      <c r="AW33" s="189">
        <v>-233.18214245911872</v>
      </c>
      <c r="AX33" s="189">
        <v>-559.15956500698485</v>
      </c>
      <c r="AY33" s="189">
        <v>-51.337371740362414</v>
      </c>
      <c r="BA33" s="166"/>
      <c r="BB33" s="166"/>
    </row>
    <row r="34" spans="2:54">
      <c r="B34" s="187">
        <v>10086</v>
      </c>
      <c r="C34" s="187" t="s">
        <v>37</v>
      </c>
      <c r="D34" s="189">
        <v>-76.005144220893726</v>
      </c>
      <c r="E34" s="189">
        <v>122.45683504516285</v>
      </c>
      <c r="F34" s="189">
        <v>-165.66127122786088</v>
      </c>
      <c r="G34" s="189">
        <v>74.467940227418467</v>
      </c>
      <c r="H34" s="189">
        <v>125.44472513279675</v>
      </c>
      <c r="I34" s="189">
        <v>350.20663960505567</v>
      </c>
      <c r="J34" s="189">
        <v>444.54001865696796</v>
      </c>
      <c r="K34" s="189">
        <v>401.73046886859197</v>
      </c>
      <c r="L34" s="189">
        <v>459.37893663405953</v>
      </c>
      <c r="M34" s="189">
        <v>387.66052645692503</v>
      </c>
      <c r="N34" s="189">
        <v>265.32881561472823</v>
      </c>
      <c r="O34" s="189">
        <v>218.58114636499238</v>
      </c>
      <c r="P34" s="189">
        <v>-50.877957920053177</v>
      </c>
      <c r="Q34" s="189">
        <v>163.74695526923688</v>
      </c>
      <c r="R34" s="189">
        <v>-882.59216700923162</v>
      </c>
      <c r="S34" s="189">
        <v>-392.03121545072679</v>
      </c>
      <c r="T34" s="189">
        <v>-494.723300891397</v>
      </c>
      <c r="U34" s="189">
        <v>-211.40543918186904</v>
      </c>
      <c r="V34" s="189">
        <v>-326.90811660578265</v>
      </c>
      <c r="W34" s="189">
        <v>-4.1269506063820245</v>
      </c>
      <c r="X34" s="189">
        <v>-421.16637508654935</v>
      </c>
      <c r="Y34" s="189">
        <v>-134.81156716570797</v>
      </c>
      <c r="Z34" s="189">
        <v>-297.79822823774566</v>
      </c>
      <c r="AA34" s="189">
        <v>-23.921464767374914</v>
      </c>
      <c r="AB34" s="189">
        <v>-16.647144220893779</v>
      </c>
      <c r="AC34" s="189">
        <v>70.457835045162938</v>
      </c>
      <c r="AD34" s="189">
        <v>-161.27827122786084</v>
      </c>
      <c r="AE34" s="189">
        <v>77.442940227418603</v>
      </c>
      <c r="AF34" s="189">
        <v>129.68672513279694</v>
      </c>
      <c r="AG34" s="189">
        <v>353.32263960505566</v>
      </c>
      <c r="AH34" s="189">
        <v>448.92501865696772</v>
      </c>
      <c r="AI34" s="189">
        <v>404.70346886859193</v>
      </c>
      <c r="AJ34" s="189">
        <v>463.84693663405938</v>
      </c>
      <c r="AK34" s="189">
        <v>390.55152645692488</v>
      </c>
      <c r="AL34" s="189">
        <v>205.30481561472834</v>
      </c>
      <c r="AM34" s="189">
        <v>285.96314636499244</v>
      </c>
      <c r="AN34" s="189">
        <v>10.127042079946932</v>
      </c>
      <c r="AO34" s="189">
        <v>110.09995526923694</v>
      </c>
      <c r="AP34" s="189">
        <v>-878.11116700923162</v>
      </c>
      <c r="AQ34" s="189">
        <v>-389.15321545072675</v>
      </c>
      <c r="AR34" s="189">
        <v>-537.82330089139714</v>
      </c>
      <c r="AS34" s="189">
        <v>-160.94743918186896</v>
      </c>
      <c r="AT34" s="189">
        <v>-275.88111660578261</v>
      </c>
      <c r="AU34" s="189">
        <v>-47.795950606382007</v>
      </c>
      <c r="AV34" s="189">
        <v>-416.40037508654927</v>
      </c>
      <c r="AW34" s="189">
        <v>-132.21856716570801</v>
      </c>
      <c r="AX34" s="189">
        <v>-293.39122823774551</v>
      </c>
      <c r="AY34" s="189">
        <v>-20.969464767374916</v>
      </c>
      <c r="BA34" s="166"/>
      <c r="BB34" s="166"/>
    </row>
    <row r="35" spans="2:54">
      <c r="B35" s="187">
        <v>10087</v>
      </c>
      <c r="C35" s="187" t="s">
        <v>38</v>
      </c>
      <c r="D35" s="189">
        <v>-1505.8740055618237</v>
      </c>
      <c r="E35" s="189">
        <v>2016.2166674059381</v>
      </c>
      <c r="F35" s="189">
        <v>-1006.0348134666874</v>
      </c>
      <c r="G35" s="189">
        <v>3990.1532811220313</v>
      </c>
      <c r="H35" s="189">
        <v>2503.572750486248</v>
      </c>
      <c r="I35" s="189">
        <v>4139.5342917269336</v>
      </c>
      <c r="J35" s="189">
        <v>3471.7010134061311</v>
      </c>
      <c r="K35" s="189">
        <v>6428.0155481183374</v>
      </c>
      <c r="L35" s="189">
        <v>2932.8176622557512</v>
      </c>
      <c r="M35" s="189">
        <v>4703.9108382073273</v>
      </c>
      <c r="N35" s="189">
        <v>282.76401673252258</v>
      </c>
      <c r="O35" s="189">
        <v>2955.623744765523</v>
      </c>
      <c r="P35" s="189">
        <v>-561.49135664010646</v>
      </c>
      <c r="Q35" s="189">
        <v>2341.8025091203817</v>
      </c>
      <c r="R35" s="189">
        <v>-8814.4232127672021</v>
      </c>
      <c r="S35" s="189">
        <v>-2129.0674912445265</v>
      </c>
      <c r="T35" s="189">
        <v>-5653.6639784718282</v>
      </c>
      <c r="U35" s="189">
        <v>-810.70264357313135</v>
      </c>
      <c r="V35" s="189">
        <v>-4582.0675829364609</v>
      </c>
      <c r="W35" s="189">
        <v>1.0477028516252176</v>
      </c>
      <c r="X35" s="189">
        <v>-6189.0547699849376</v>
      </c>
      <c r="Y35" s="189">
        <v>-436.87787247095184</v>
      </c>
      <c r="Z35" s="189">
        <v>-4040.0578659224393</v>
      </c>
      <c r="AA35" s="189">
        <v>-35.434999638961926</v>
      </c>
      <c r="AB35" s="189">
        <v>-1509.1894621186657</v>
      </c>
      <c r="AC35" s="189">
        <v>2021.6771410240171</v>
      </c>
      <c r="AD35" s="189">
        <v>-1014.0649094197324</v>
      </c>
      <c r="AE35" s="189">
        <v>3995.3468495129928</v>
      </c>
      <c r="AF35" s="189">
        <v>2501.608991490697</v>
      </c>
      <c r="AG35" s="189">
        <v>4143.780948906855</v>
      </c>
      <c r="AH35" s="189">
        <v>3473.6325883774316</v>
      </c>
      <c r="AI35" s="189">
        <v>6438.2851857772421</v>
      </c>
      <c r="AJ35" s="189">
        <v>2936.7100355836628</v>
      </c>
      <c r="AK35" s="189">
        <v>4712.9952866801659</v>
      </c>
      <c r="AL35" s="189">
        <v>282.48812144608928</v>
      </c>
      <c r="AM35" s="189">
        <v>2962.3055165710466</v>
      </c>
      <c r="AN35" s="189">
        <v>-562.61531393653786</v>
      </c>
      <c r="AO35" s="189">
        <v>2347.9385933762214</v>
      </c>
      <c r="AP35" s="189">
        <v>-8832.9216611938664</v>
      </c>
      <c r="AQ35" s="189">
        <v>-2131.2395671176</v>
      </c>
      <c r="AR35" s="189">
        <v>-5664.1359347687594</v>
      </c>
      <c r="AS35" s="189">
        <v>-809.88727455495064</v>
      </c>
      <c r="AT35" s="189">
        <v>-4587.8592890294585</v>
      </c>
      <c r="AU35" s="189">
        <v>5.6853982956463369</v>
      </c>
      <c r="AV35" s="189">
        <v>-6199.781069807781</v>
      </c>
      <c r="AW35" s="189">
        <v>-434.1415793622873</v>
      </c>
      <c r="AX35" s="189">
        <v>-4046.1735059157527</v>
      </c>
      <c r="AY35" s="189">
        <v>-32.2203771083623</v>
      </c>
      <c r="BA35" s="166"/>
      <c r="BB35" s="166"/>
    </row>
    <row r="36" spans="2:54">
      <c r="B36" s="187">
        <v>10089</v>
      </c>
      <c r="C36" s="187" t="s">
        <v>39</v>
      </c>
      <c r="D36" s="189">
        <v>-6505.2156433601776</v>
      </c>
      <c r="E36" s="189">
        <v>-186.41961132012511</v>
      </c>
      <c r="F36" s="189">
        <v>-10615.386571524788</v>
      </c>
      <c r="G36" s="189">
        <v>-2321.4550367149386</v>
      </c>
      <c r="H36" s="189">
        <v>1334.9270321405056</v>
      </c>
      <c r="I36" s="189">
        <v>8135.7977298185942</v>
      </c>
      <c r="J36" s="189">
        <v>10600.957733502604</v>
      </c>
      <c r="K36" s="189">
        <v>9594.1539314255751</v>
      </c>
      <c r="L36" s="189">
        <v>8289.6990744219511</v>
      </c>
      <c r="M36" s="189">
        <v>8009.5456297860874</v>
      </c>
      <c r="N36" s="189">
        <v>-2459.636472517137</v>
      </c>
      <c r="O36" s="189">
        <v>-265.64306853724338</v>
      </c>
      <c r="P36" s="189">
        <v>-5193.3956016361699</v>
      </c>
      <c r="Q36" s="189">
        <v>583.89681987332369</v>
      </c>
      <c r="R36" s="189">
        <v>-21309.362247687546</v>
      </c>
      <c r="S36" s="189">
        <v>-10396.295967351911</v>
      </c>
      <c r="T36" s="189">
        <v>-5901.3915920688014</v>
      </c>
      <c r="U36" s="189">
        <v>-2009.2297573195174</v>
      </c>
      <c r="V36" s="189">
        <v>6254.5175263044948</v>
      </c>
      <c r="W36" s="189">
        <v>8744.5162509881811</v>
      </c>
      <c r="X36" s="189">
        <v>2854.1805497119276</v>
      </c>
      <c r="Y36" s="189">
        <v>3272.3859328089238</v>
      </c>
      <c r="Z36" s="189">
        <v>-4339.7036769307742</v>
      </c>
      <c r="AA36" s="189">
        <v>1197.7816452244369</v>
      </c>
      <c r="AB36" s="189">
        <v>-5225.2956433601721</v>
      </c>
      <c r="AC36" s="189">
        <v>-1599.5266113201251</v>
      </c>
      <c r="AD36" s="189">
        <v>-10592.367571524795</v>
      </c>
      <c r="AE36" s="189">
        <v>-2353.9330367149378</v>
      </c>
      <c r="AF36" s="189">
        <v>1462.3250321405067</v>
      </c>
      <c r="AG36" s="189">
        <v>8187.8347298185909</v>
      </c>
      <c r="AH36" s="189">
        <v>10725.114733502603</v>
      </c>
      <c r="AI36" s="189">
        <v>9631.7549314255775</v>
      </c>
      <c r="AJ36" s="189">
        <v>8349.6460744219512</v>
      </c>
      <c r="AK36" s="189">
        <v>8013.8106297860868</v>
      </c>
      <c r="AL36" s="189">
        <v>-3927.146472517139</v>
      </c>
      <c r="AM36" s="189">
        <v>1121.6969314627568</v>
      </c>
      <c r="AN36" s="189">
        <v>-3851.8756016361731</v>
      </c>
      <c r="AO36" s="189">
        <v>-866.12318012667674</v>
      </c>
      <c r="AP36" s="189">
        <v>-21317.252247687538</v>
      </c>
      <c r="AQ36" s="189">
        <v>-10472.657967351908</v>
      </c>
      <c r="AR36" s="189">
        <v>-7421.7945920687998</v>
      </c>
      <c r="AS36" s="189">
        <v>-527.68375731951892</v>
      </c>
      <c r="AT36" s="189">
        <v>8166.3885263044867</v>
      </c>
      <c r="AU36" s="189">
        <v>6910.8832509881795</v>
      </c>
      <c r="AV36" s="189">
        <v>2942.6055497119305</v>
      </c>
      <c r="AW36" s="189">
        <v>3238.7419328089236</v>
      </c>
      <c r="AX36" s="189">
        <v>-4343.7956769307784</v>
      </c>
      <c r="AY36" s="189">
        <v>1117.7466452244371</v>
      </c>
      <c r="BA36" s="166"/>
      <c r="BB36" s="166"/>
    </row>
    <row r="37" spans="2:54">
      <c r="B37" s="187">
        <v>10091</v>
      </c>
      <c r="C37" s="187" t="s">
        <v>40</v>
      </c>
      <c r="D37" s="189">
        <v>-476.52166586846261</v>
      </c>
      <c r="E37" s="189">
        <v>14.533136854719032</v>
      </c>
      <c r="F37" s="189">
        <v>-689.38362390352631</v>
      </c>
      <c r="G37" s="189">
        <v>134.67624509764073</v>
      </c>
      <c r="H37" s="189">
        <v>641.49166221783616</v>
      </c>
      <c r="I37" s="189">
        <v>964.59076513200171</v>
      </c>
      <c r="J37" s="189">
        <v>1398.0686543921051</v>
      </c>
      <c r="K37" s="189">
        <v>1405.5757509708114</v>
      </c>
      <c r="L37" s="189">
        <v>1234.5185585202253</v>
      </c>
      <c r="M37" s="189">
        <v>1161.4984523566172</v>
      </c>
      <c r="N37" s="189">
        <v>362.20204304848085</v>
      </c>
      <c r="O37" s="189">
        <v>539.19917707089189</v>
      </c>
      <c r="P37" s="189">
        <v>-109.67522276829823</v>
      </c>
      <c r="Q37" s="189">
        <v>228.60366724312053</v>
      </c>
      <c r="R37" s="189">
        <v>-2171.0616968526351</v>
      </c>
      <c r="S37" s="189">
        <v>-947.4990431219594</v>
      </c>
      <c r="T37" s="189">
        <v>-996.56747864029649</v>
      </c>
      <c r="U37" s="189">
        <v>-321.74101764557599</v>
      </c>
      <c r="V37" s="189">
        <v>-138.14171995896095</v>
      </c>
      <c r="W37" s="189">
        <v>324.63257573441933</v>
      </c>
      <c r="X37" s="189">
        <v>-769.05167263512431</v>
      </c>
      <c r="Y37" s="189">
        <v>-94.22075261091868</v>
      </c>
      <c r="Z37" s="189">
        <v>-570.72527920315952</v>
      </c>
      <c r="AA37" s="189">
        <v>-71.046677134112542</v>
      </c>
      <c r="AB37" s="189">
        <v>-269.59266586846297</v>
      </c>
      <c r="AC37" s="189">
        <v>141.77113685471932</v>
      </c>
      <c r="AD37" s="189">
        <v>-476.4336239035265</v>
      </c>
      <c r="AE37" s="189">
        <v>274.21324509764099</v>
      </c>
      <c r="AF37" s="189">
        <v>881.61166221783606</v>
      </c>
      <c r="AG37" s="189">
        <v>1111.7507651320016</v>
      </c>
      <c r="AH37" s="189">
        <v>1649.0216543921047</v>
      </c>
      <c r="AI37" s="189">
        <v>1561.8357509708112</v>
      </c>
      <c r="AJ37" s="189">
        <v>1473.5725585202254</v>
      </c>
      <c r="AK37" s="189">
        <v>1306.7854523566175</v>
      </c>
      <c r="AL37" s="189">
        <v>522.64204304848136</v>
      </c>
      <c r="AM37" s="189">
        <v>626.54717707089185</v>
      </c>
      <c r="AN37" s="189">
        <v>-27.273222768298183</v>
      </c>
      <c r="AO37" s="189">
        <v>258.53666724312052</v>
      </c>
      <c r="AP37" s="189">
        <v>-2055.603696852635</v>
      </c>
      <c r="AQ37" s="189">
        <v>-904.16004312195946</v>
      </c>
      <c r="AR37" s="189">
        <v>-895.87747864029643</v>
      </c>
      <c r="AS37" s="189">
        <v>-287.50701764557607</v>
      </c>
      <c r="AT37" s="189">
        <v>-47.50671995896073</v>
      </c>
      <c r="AU37" s="189">
        <v>354.7655757344196</v>
      </c>
      <c r="AV37" s="189">
        <v>-691.46267263512436</v>
      </c>
      <c r="AW37" s="189">
        <v>-71.40175261091872</v>
      </c>
      <c r="AX37" s="189">
        <v>-507.89927920315949</v>
      </c>
      <c r="AY37" s="189">
        <v>-56.125677134112266</v>
      </c>
      <c r="BA37" s="166"/>
      <c r="BB37" s="166"/>
    </row>
    <row r="38" spans="2:54">
      <c r="B38" s="187">
        <v>10094</v>
      </c>
      <c r="C38" s="187" t="s">
        <v>41</v>
      </c>
      <c r="D38" s="189">
        <v>24.339106182775822</v>
      </c>
      <c r="E38" s="189">
        <v>77.857888437261408</v>
      </c>
      <c r="F38" s="189">
        <v>-130.07566776784574</v>
      </c>
      <c r="G38" s="189">
        <v>23.094403731369425</v>
      </c>
      <c r="H38" s="189">
        <v>181.30245358162665</v>
      </c>
      <c r="I38" s="189">
        <v>188.31258203594803</v>
      </c>
      <c r="J38" s="189">
        <v>391.08840648699038</v>
      </c>
      <c r="K38" s="189">
        <v>310.07113579117754</v>
      </c>
      <c r="L38" s="189">
        <v>408.17814336309903</v>
      </c>
      <c r="M38" s="189">
        <v>297.16936901926499</v>
      </c>
      <c r="N38" s="189">
        <v>219.87011140868708</v>
      </c>
      <c r="O38" s="189">
        <v>170.94477060146653</v>
      </c>
      <c r="P38" s="189">
        <v>113.40005098889674</v>
      </c>
      <c r="Q38" s="189">
        <v>131.00498632705865</v>
      </c>
      <c r="R38" s="189">
        <v>-567.53101010263208</v>
      </c>
      <c r="S38" s="189">
        <v>-232.06434291038045</v>
      </c>
      <c r="T38" s="189">
        <v>-299.44030347670673</v>
      </c>
      <c r="U38" s="189">
        <v>-118.35968289094819</v>
      </c>
      <c r="V38" s="189">
        <v>-62.883496536328721</v>
      </c>
      <c r="W38" s="189">
        <v>51.86055178736035</v>
      </c>
      <c r="X38" s="189">
        <v>-150.82942712385238</v>
      </c>
      <c r="Y38" s="189">
        <v>-3.8064379153622667</v>
      </c>
      <c r="Z38" s="189">
        <v>-58.741868314629755</v>
      </c>
      <c r="AA38" s="189">
        <v>26.85237613072502</v>
      </c>
      <c r="AB38" s="189">
        <v>24.847106182775633</v>
      </c>
      <c r="AC38" s="189">
        <v>81.285888437261406</v>
      </c>
      <c r="AD38" s="189">
        <v>-127.67666776784563</v>
      </c>
      <c r="AE38" s="189">
        <v>24.632403731369436</v>
      </c>
      <c r="AF38" s="189">
        <v>183.68845358162662</v>
      </c>
      <c r="AG38" s="189">
        <v>189.86358203594796</v>
      </c>
      <c r="AH38" s="189">
        <v>393.47140648699042</v>
      </c>
      <c r="AI38" s="189">
        <v>311.62513579117763</v>
      </c>
      <c r="AJ38" s="189">
        <v>410.62014336309903</v>
      </c>
      <c r="AK38" s="189">
        <v>298.664369019265</v>
      </c>
      <c r="AL38" s="189">
        <v>223.33911140868713</v>
      </c>
      <c r="AM38" s="189">
        <v>170.41277060146649</v>
      </c>
      <c r="AN38" s="189">
        <v>115.8960509888966</v>
      </c>
      <c r="AO38" s="189">
        <v>132.44598632705856</v>
      </c>
      <c r="AP38" s="189">
        <v>-565.08201010263201</v>
      </c>
      <c r="AQ38" s="189">
        <v>-230.5763429103805</v>
      </c>
      <c r="AR38" s="189">
        <v>-293.88030347670656</v>
      </c>
      <c r="AS38" s="189">
        <v>-119.98268289094824</v>
      </c>
      <c r="AT38" s="189">
        <v>-63.380496536328565</v>
      </c>
      <c r="AU38" s="189">
        <v>56.294551787360433</v>
      </c>
      <c r="AV38" s="189">
        <v>-148.23942712385224</v>
      </c>
      <c r="AW38" s="189">
        <v>-2.4594379153622867</v>
      </c>
      <c r="AX38" s="189">
        <v>-56.259868314629784</v>
      </c>
      <c r="AY38" s="189">
        <v>28.307376130725061</v>
      </c>
      <c r="BA38" s="166"/>
      <c r="BB38" s="166"/>
    </row>
    <row r="39" spans="2:54">
      <c r="B39" s="187">
        <v>10095</v>
      </c>
      <c r="C39" s="187" t="s">
        <v>42</v>
      </c>
      <c r="D39" s="189">
        <v>125.23228312629112</v>
      </c>
      <c r="E39" s="189">
        <v>119.51054770448764</v>
      </c>
      <c r="F39" s="189">
        <v>-202.25478762200169</v>
      </c>
      <c r="G39" s="189">
        <v>-108.63002262724387</v>
      </c>
      <c r="H39" s="189">
        <v>-112.61492121460378</v>
      </c>
      <c r="I39" s="189">
        <v>-21.327672271611391</v>
      </c>
      <c r="J39" s="189">
        <v>259.31340559724708</v>
      </c>
      <c r="K39" s="189">
        <v>105.0147049786766</v>
      </c>
      <c r="L39" s="189">
        <v>436.88422986911996</v>
      </c>
      <c r="M39" s="189">
        <v>212.73023721720745</v>
      </c>
      <c r="N39" s="189">
        <v>292.52749488150516</v>
      </c>
      <c r="O39" s="189">
        <v>87.702502574190589</v>
      </c>
      <c r="P39" s="189">
        <v>108.05454815288113</v>
      </c>
      <c r="Q39" s="189">
        <v>114.20300753927233</v>
      </c>
      <c r="R39" s="189">
        <v>-561.58005651782514</v>
      </c>
      <c r="S39" s="189">
        <v>-316.33321054404314</v>
      </c>
      <c r="T39" s="189">
        <v>-131.07085221833631</v>
      </c>
      <c r="U39" s="189">
        <v>-49.047424081865188</v>
      </c>
      <c r="V39" s="189">
        <v>33.101650482567948</v>
      </c>
      <c r="W39" s="189">
        <v>159.25334095178221</v>
      </c>
      <c r="X39" s="189">
        <v>-74.064646300837467</v>
      </c>
      <c r="Y39" s="189">
        <v>23.404783337706817</v>
      </c>
      <c r="Z39" s="189">
        <v>-13.365633977639391</v>
      </c>
      <c r="AA39" s="189">
        <v>76.10116857523758</v>
      </c>
      <c r="AB39" s="189">
        <v>176.43428312629112</v>
      </c>
      <c r="AC39" s="189">
        <v>73.625547704487644</v>
      </c>
      <c r="AD39" s="189">
        <v>-198.89778762200172</v>
      </c>
      <c r="AE39" s="189">
        <v>-106.64002262724387</v>
      </c>
      <c r="AF39" s="189">
        <v>-109.16692121460369</v>
      </c>
      <c r="AG39" s="189">
        <v>-19.146672271611351</v>
      </c>
      <c r="AH39" s="189">
        <v>262.93640559724713</v>
      </c>
      <c r="AI39" s="189">
        <v>107.14570497867669</v>
      </c>
      <c r="AJ39" s="189">
        <v>440.3582298691199</v>
      </c>
      <c r="AK39" s="189">
        <v>214.67123721720748</v>
      </c>
      <c r="AL39" s="189">
        <v>245.33649488150513</v>
      </c>
      <c r="AM39" s="189">
        <v>140.53150257419065</v>
      </c>
      <c r="AN39" s="189">
        <v>159.07654815288106</v>
      </c>
      <c r="AO39" s="189">
        <v>68.314007539272325</v>
      </c>
      <c r="AP39" s="189">
        <v>-558.31105651782514</v>
      </c>
      <c r="AQ39" s="189">
        <v>-314.46721054404316</v>
      </c>
      <c r="AR39" s="189">
        <v>-174.99885221833642</v>
      </c>
      <c r="AS39" s="189">
        <v>-4.7424081865187873E-2</v>
      </c>
      <c r="AT39" s="189">
        <v>82.699650482567904</v>
      </c>
      <c r="AU39" s="189">
        <v>114.8063409517822</v>
      </c>
      <c r="AV39" s="189">
        <v>-70.679646300837476</v>
      </c>
      <c r="AW39" s="189">
        <v>25.1987833377068</v>
      </c>
      <c r="AX39" s="189">
        <v>-10.333633977639465</v>
      </c>
      <c r="AY39" s="189">
        <v>77.979168575237509</v>
      </c>
      <c r="BA39" s="166"/>
      <c r="BB39" s="166"/>
    </row>
    <row r="40" spans="2:54">
      <c r="B40" s="187">
        <v>10097</v>
      </c>
      <c r="C40" s="187" t="s">
        <v>43</v>
      </c>
      <c r="D40" s="189">
        <v>-38.708661424994602</v>
      </c>
      <c r="E40" s="189">
        <v>44.553199423145884</v>
      </c>
      <c r="F40" s="189">
        <v>-40.049678718217365</v>
      </c>
      <c r="G40" s="189">
        <v>105.44157986342702</v>
      </c>
      <c r="H40" s="189">
        <v>178.30595339148203</v>
      </c>
      <c r="I40" s="189">
        <v>229.95203820032123</v>
      </c>
      <c r="J40" s="189">
        <v>346.29662448348233</v>
      </c>
      <c r="K40" s="189">
        <v>341.18854393982554</v>
      </c>
      <c r="L40" s="189">
        <v>402.6998821220983</v>
      </c>
      <c r="M40" s="189">
        <v>344.06541733115245</v>
      </c>
      <c r="N40" s="189">
        <v>201.73117239350995</v>
      </c>
      <c r="O40" s="189">
        <v>205.42295716560517</v>
      </c>
      <c r="P40" s="189">
        <v>12.310377546477071</v>
      </c>
      <c r="Q40" s="189">
        <v>99.903046844774053</v>
      </c>
      <c r="R40" s="189">
        <v>-534.94802328365859</v>
      </c>
      <c r="S40" s="189">
        <v>-232.47852719253109</v>
      </c>
      <c r="T40" s="189">
        <v>-379.28157883246217</v>
      </c>
      <c r="U40" s="189">
        <v>-150.73563075457173</v>
      </c>
      <c r="V40" s="189">
        <v>-247.88338830785244</v>
      </c>
      <c r="W40" s="189">
        <v>-71.544225474172663</v>
      </c>
      <c r="X40" s="189">
        <v>-342.32775525489592</v>
      </c>
      <c r="Y40" s="189">
        <v>-133.45143567216445</v>
      </c>
      <c r="Z40" s="189">
        <v>-247.78521125623809</v>
      </c>
      <c r="AA40" s="189">
        <v>-83.215292447837498</v>
      </c>
      <c r="AB40" s="189">
        <v>-36.603661424994584</v>
      </c>
      <c r="AC40" s="189">
        <v>45.848199423145843</v>
      </c>
      <c r="AD40" s="189">
        <v>-37.514678718217283</v>
      </c>
      <c r="AE40" s="189">
        <v>107.25257986342706</v>
      </c>
      <c r="AF40" s="189">
        <v>181.32595339148202</v>
      </c>
      <c r="AG40" s="189">
        <v>232.08503820032126</v>
      </c>
      <c r="AH40" s="189">
        <v>349.34362448348236</v>
      </c>
      <c r="AI40" s="189">
        <v>343.39054393982553</v>
      </c>
      <c r="AJ40" s="189">
        <v>405.53488212209834</v>
      </c>
      <c r="AK40" s="189">
        <v>345.9904173311524</v>
      </c>
      <c r="AL40" s="189">
        <v>204.40217239351</v>
      </c>
      <c r="AM40" s="189">
        <v>207.19595716560519</v>
      </c>
      <c r="AN40" s="189">
        <v>14.459377546477072</v>
      </c>
      <c r="AO40" s="189">
        <v>101.32704684477403</v>
      </c>
      <c r="AP40" s="189">
        <v>-533.20502328365865</v>
      </c>
      <c r="AQ40" s="189">
        <v>-231.3075271925311</v>
      </c>
      <c r="AR40" s="189">
        <v>-377.73457883246226</v>
      </c>
      <c r="AS40" s="189">
        <v>-149.79363075457172</v>
      </c>
      <c r="AT40" s="189">
        <v>-246.31438830785248</v>
      </c>
      <c r="AU40" s="189">
        <v>-70.564225474172645</v>
      </c>
      <c r="AV40" s="189">
        <v>-340.70175525489583</v>
      </c>
      <c r="AW40" s="189">
        <v>-132.55743567216444</v>
      </c>
      <c r="AX40" s="189">
        <v>-246.25621125623809</v>
      </c>
      <c r="AY40" s="189">
        <v>-82.210292447837503</v>
      </c>
      <c r="BA40" s="166"/>
      <c r="BB40" s="166"/>
    </row>
    <row r="41" spans="2:54">
      <c r="B41" s="187">
        <v>10101</v>
      </c>
      <c r="C41" s="187" t="s">
        <v>44</v>
      </c>
      <c r="D41" s="189">
        <v>-750.16806190375064</v>
      </c>
      <c r="E41" s="189">
        <v>962.81133677277467</v>
      </c>
      <c r="F41" s="189">
        <v>342.20481451672822</v>
      </c>
      <c r="G41" s="189">
        <v>2485.868297938614</v>
      </c>
      <c r="H41" s="189">
        <v>6809.215868538362</v>
      </c>
      <c r="I41" s="189">
        <v>5815.9949147294792</v>
      </c>
      <c r="J41" s="189">
        <v>11938.825251640897</v>
      </c>
      <c r="K41" s="189">
        <v>9324.3583098601302</v>
      </c>
      <c r="L41" s="189">
        <v>13518.534971093202</v>
      </c>
      <c r="M41" s="189">
        <v>9270.5386084723759</v>
      </c>
      <c r="N41" s="189">
        <v>4719.3817002811593</v>
      </c>
      <c r="O41" s="189">
        <v>3627.3594783538283</v>
      </c>
      <c r="P41" s="189">
        <v>322.86332946791299</v>
      </c>
      <c r="Q41" s="189">
        <v>2080.2146588079449</v>
      </c>
      <c r="R41" s="189">
        <v>-20113.98609977341</v>
      </c>
      <c r="S41" s="189">
        <v>-8994.3548287488265</v>
      </c>
      <c r="T41" s="189">
        <v>-11511.233369967551</v>
      </c>
      <c r="U41" s="189">
        <v>-4787.0578077555256</v>
      </c>
      <c r="V41" s="189">
        <v>-8712.7156537433075</v>
      </c>
      <c r="W41" s="189">
        <v>-2089.2700344307086</v>
      </c>
      <c r="X41" s="189">
        <v>-11860.29686622501</v>
      </c>
      <c r="Y41" s="189">
        <v>-4194.2039304809587</v>
      </c>
      <c r="Z41" s="189">
        <v>-6323.1560907129206</v>
      </c>
      <c r="AA41" s="189">
        <v>-2335.0307220657141</v>
      </c>
      <c r="AB41" s="189">
        <v>-766.00806190375442</v>
      </c>
      <c r="AC41" s="189">
        <v>970.96233677277633</v>
      </c>
      <c r="AD41" s="189">
        <v>362.5908145167341</v>
      </c>
      <c r="AE41" s="189">
        <v>2468.3162979386143</v>
      </c>
      <c r="AF41" s="189">
        <v>6829.2458685383681</v>
      </c>
      <c r="AG41" s="189">
        <v>5786.5289147294825</v>
      </c>
      <c r="AH41" s="189">
        <v>11947.845251640894</v>
      </c>
      <c r="AI41" s="189">
        <v>9304.7343098601268</v>
      </c>
      <c r="AJ41" s="189">
        <v>13548.555971093196</v>
      </c>
      <c r="AK41" s="189">
        <v>9264.2586084723771</v>
      </c>
      <c r="AL41" s="189">
        <v>4764.2187002811588</v>
      </c>
      <c r="AM41" s="189">
        <v>3570.2754783538294</v>
      </c>
      <c r="AN41" s="189">
        <v>306.47332946791357</v>
      </c>
      <c r="AO41" s="189">
        <v>2094.7836588079444</v>
      </c>
      <c r="AP41" s="189">
        <v>-20107.730099773413</v>
      </c>
      <c r="AQ41" s="189">
        <v>-9015.1778287488305</v>
      </c>
      <c r="AR41" s="189">
        <v>-11456.874369967554</v>
      </c>
      <c r="AS41" s="189">
        <v>-4845.1018077555273</v>
      </c>
      <c r="AT41" s="189">
        <v>-8733.935653743305</v>
      </c>
      <c r="AU41" s="189">
        <v>-2084.6590344307078</v>
      </c>
      <c r="AV41" s="189">
        <v>-11850.17186622501</v>
      </c>
      <c r="AW41" s="189">
        <v>-4221.9039304809594</v>
      </c>
      <c r="AX41" s="189">
        <v>-6297.7290907129209</v>
      </c>
      <c r="AY41" s="189">
        <v>-2367.9717220657112</v>
      </c>
      <c r="BA41" s="166"/>
      <c r="BB41" s="166"/>
    </row>
    <row r="42" spans="2:54">
      <c r="B42" s="187">
        <v>10103</v>
      </c>
      <c r="C42" s="187" t="s">
        <v>45</v>
      </c>
      <c r="D42" s="189">
        <v>-14230.681753465251</v>
      </c>
      <c r="E42" s="189">
        <v>4984.484183259694</v>
      </c>
      <c r="F42" s="189">
        <v>-10108.656846382437</v>
      </c>
      <c r="G42" s="189">
        <v>8546.2375844701528</v>
      </c>
      <c r="H42" s="189">
        <v>5287.7854687325889</v>
      </c>
      <c r="I42" s="189">
        <v>23783.160459861174</v>
      </c>
      <c r="J42" s="189">
        <v>21293.706523430876</v>
      </c>
      <c r="K42" s="189">
        <v>27657.874666007658</v>
      </c>
      <c r="L42" s="189">
        <v>9726.6158168902548</v>
      </c>
      <c r="M42" s="189">
        <v>16247.370043533865</v>
      </c>
      <c r="N42" s="189">
        <v>-3521.4213791256188</v>
      </c>
      <c r="O42" s="189">
        <v>6272.7847105207038</v>
      </c>
      <c r="P42" s="189">
        <v>-14936.674955098744</v>
      </c>
      <c r="Q42" s="189">
        <v>3276.915770622858</v>
      </c>
      <c r="R42" s="189">
        <v>-23389.773241954652</v>
      </c>
      <c r="S42" s="189">
        <v>1391.1137183602696</v>
      </c>
      <c r="T42" s="189">
        <v>-25339.930851435245</v>
      </c>
      <c r="U42" s="189">
        <v>-3722.8401513110221</v>
      </c>
      <c r="V42" s="189">
        <v>-15817.443992720917</v>
      </c>
      <c r="W42" s="189">
        <v>7616.5417913093406</v>
      </c>
      <c r="X42" s="189">
        <v>-19643.832082973866</v>
      </c>
      <c r="Y42" s="189">
        <v>2367.8211767343382</v>
      </c>
      <c r="Z42" s="189">
        <v>-23065.842364504926</v>
      </c>
      <c r="AA42" s="189">
        <v>-611.7692884954522</v>
      </c>
      <c r="AB42" s="189">
        <v>-10978.389042320014</v>
      </c>
      <c r="AC42" s="189">
        <v>4075.1983741918957</v>
      </c>
      <c r="AD42" s="189">
        <v>-8601.6129136735835</v>
      </c>
      <c r="AE42" s="189">
        <v>9861.8622927540637</v>
      </c>
      <c r="AF42" s="189">
        <v>7206.2843558398163</v>
      </c>
      <c r="AG42" s="189">
        <v>25555.72507765489</v>
      </c>
      <c r="AH42" s="189">
        <v>23381.700061031406</v>
      </c>
      <c r="AI42" s="189">
        <v>29373.480566360544</v>
      </c>
      <c r="AJ42" s="189">
        <v>11304.624334682027</v>
      </c>
      <c r="AK42" s="189">
        <v>17487.961163518994</v>
      </c>
      <c r="AL42" s="189">
        <v>-4486.7696705245544</v>
      </c>
      <c r="AM42" s="189">
        <v>9569.1346385337238</v>
      </c>
      <c r="AN42" s="189">
        <v>-11780.887386796778</v>
      </c>
      <c r="AO42" s="189">
        <v>2385.0355362066693</v>
      </c>
      <c r="AP42" s="189">
        <v>-21885.987575668842</v>
      </c>
      <c r="AQ42" s="189">
        <v>2703.2556609616222</v>
      </c>
      <c r="AR42" s="189">
        <v>-26446.560235371449</v>
      </c>
      <c r="AS42" s="189">
        <v>-1169.4999890382969</v>
      </c>
      <c r="AT42" s="189">
        <v>-12626.924378663265</v>
      </c>
      <c r="AU42" s="189">
        <v>6775.6943703221114</v>
      </c>
      <c r="AV42" s="189">
        <v>-18379.910250481335</v>
      </c>
      <c r="AW42" s="189">
        <v>3386.2162275977244</v>
      </c>
      <c r="AX42" s="189">
        <v>-22315.571507281471</v>
      </c>
      <c r="AY42" s="189">
        <v>169.51053665018117</v>
      </c>
      <c r="BA42" s="166"/>
      <c r="BB42" s="166"/>
    </row>
    <row r="43" spans="2:54">
      <c r="B43" s="187">
        <v>10105</v>
      </c>
      <c r="C43" s="187" t="s">
        <v>46</v>
      </c>
      <c r="D43" s="189">
        <v>-1255.0956306927546</v>
      </c>
      <c r="E43" s="189">
        <v>2770.8357040731407</v>
      </c>
      <c r="F43" s="189">
        <v>-4339.9493229740256</v>
      </c>
      <c r="G43" s="189">
        <v>382.8829022134305</v>
      </c>
      <c r="H43" s="189">
        <v>-3123.0738343874218</v>
      </c>
      <c r="I43" s="189">
        <v>1777.9108682998904</v>
      </c>
      <c r="J43" s="189">
        <v>127.58703875077663</v>
      </c>
      <c r="K43" s="189">
        <v>2622.7243587681442</v>
      </c>
      <c r="L43" s="189">
        <v>1378.0433178589174</v>
      </c>
      <c r="M43" s="189">
        <v>3110.9938702734753</v>
      </c>
      <c r="N43" s="189">
        <v>800.32477301459949</v>
      </c>
      <c r="O43" s="189">
        <v>2620.082935762448</v>
      </c>
      <c r="P43" s="189">
        <v>-419.19760690737166</v>
      </c>
      <c r="Q43" s="189">
        <v>3197.9882097276595</v>
      </c>
      <c r="R43" s="189">
        <v>-10153.933492873621</v>
      </c>
      <c r="S43" s="189">
        <v>-3403.6047111080861</v>
      </c>
      <c r="T43" s="189">
        <v>-2837.8530613227776</v>
      </c>
      <c r="U43" s="189">
        <v>1359.4090166359183</v>
      </c>
      <c r="V43" s="189">
        <v>-2102.052860257978</v>
      </c>
      <c r="W43" s="189">
        <v>3116.3601532573257</v>
      </c>
      <c r="X43" s="189">
        <v>-3065.0076812168445</v>
      </c>
      <c r="Y43" s="189">
        <v>1628.0806288280455</v>
      </c>
      <c r="Z43" s="189">
        <v>-1947.9650256387176</v>
      </c>
      <c r="AA43" s="189">
        <v>2837.0650440033751</v>
      </c>
      <c r="AB43" s="189">
        <v>-179.06748397272895</v>
      </c>
      <c r="AC43" s="189">
        <v>2537.3917032545078</v>
      </c>
      <c r="AD43" s="189">
        <v>-3683.77002451312</v>
      </c>
      <c r="AE43" s="189">
        <v>768.07356829774653</v>
      </c>
      <c r="AF43" s="189">
        <v>-2482.1423530034554</v>
      </c>
      <c r="AG43" s="189">
        <v>2165.8437437255998</v>
      </c>
      <c r="AH43" s="189">
        <v>254.68897425586147</v>
      </c>
      <c r="AI43" s="189">
        <v>2630.6889491873098</v>
      </c>
      <c r="AJ43" s="189">
        <v>1833.2719797316513</v>
      </c>
      <c r="AK43" s="189">
        <v>3376.4292461154973</v>
      </c>
      <c r="AL43" s="189">
        <v>763.8883875656411</v>
      </c>
      <c r="AM43" s="189">
        <v>3509.7593649184582</v>
      </c>
      <c r="AN43" s="189">
        <v>668.20516328624763</v>
      </c>
      <c r="AO43" s="189">
        <v>2930.6732328727712</v>
      </c>
      <c r="AP43" s="189">
        <v>-9386.9281908851444</v>
      </c>
      <c r="AQ43" s="189">
        <v>-2967.1892080374328</v>
      </c>
      <c r="AR43" s="189">
        <v>-2760.7175035943637</v>
      </c>
      <c r="AS43" s="189">
        <v>2231.7406672995694</v>
      </c>
      <c r="AT43" s="189">
        <v>-1044.9889687480336</v>
      </c>
      <c r="AU43" s="189">
        <v>2893.0081647492161</v>
      </c>
      <c r="AV43" s="189">
        <v>-2447.2680760235489</v>
      </c>
      <c r="AW43" s="189">
        <v>1933.7103277899005</v>
      </c>
      <c r="AX43" s="189">
        <v>-1413.2189000316994</v>
      </c>
      <c r="AY43" s="189">
        <v>3138.8547878650879</v>
      </c>
      <c r="BA43" s="166"/>
      <c r="BB43" s="166"/>
    </row>
    <row r="44" spans="2:54">
      <c r="B44" s="187">
        <v>10106</v>
      </c>
      <c r="C44" s="187" t="s">
        <v>47</v>
      </c>
      <c r="D44" s="189">
        <v>0</v>
      </c>
      <c r="E44" s="189">
        <v>0</v>
      </c>
      <c r="F44" s="189">
        <v>0</v>
      </c>
      <c r="G44" s="189">
        <v>0</v>
      </c>
      <c r="H44" s="189">
        <v>0</v>
      </c>
      <c r="I44" s="189">
        <v>0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189">
        <v>0</v>
      </c>
      <c r="S44" s="189">
        <v>0</v>
      </c>
      <c r="T44" s="189">
        <v>0</v>
      </c>
      <c r="U44" s="189">
        <v>0</v>
      </c>
      <c r="V44" s="189">
        <v>0</v>
      </c>
      <c r="W44" s="189">
        <v>0</v>
      </c>
      <c r="X44" s="189">
        <v>0</v>
      </c>
      <c r="Y44" s="189">
        <v>0</v>
      </c>
      <c r="Z44" s="189">
        <v>0</v>
      </c>
      <c r="AA44" s="189">
        <v>0</v>
      </c>
      <c r="AB44" s="189">
        <v>0</v>
      </c>
      <c r="AC44" s="189">
        <v>0</v>
      </c>
      <c r="AD44" s="189">
        <v>0</v>
      </c>
      <c r="AE44" s="189">
        <v>0</v>
      </c>
      <c r="AF44" s="189">
        <v>0</v>
      </c>
      <c r="AG44" s="189">
        <v>0</v>
      </c>
      <c r="AH44" s="189">
        <v>0</v>
      </c>
      <c r="AI44" s="189">
        <v>0</v>
      </c>
      <c r="AJ44" s="189">
        <v>0</v>
      </c>
      <c r="AK44" s="189">
        <v>0</v>
      </c>
      <c r="AL44" s="189">
        <v>0</v>
      </c>
      <c r="AM44" s="189">
        <v>0</v>
      </c>
      <c r="AN44" s="189">
        <v>0</v>
      </c>
      <c r="AO44" s="189">
        <v>0</v>
      </c>
      <c r="AP44" s="189">
        <v>0</v>
      </c>
      <c r="AQ44" s="189">
        <v>0</v>
      </c>
      <c r="AR44" s="189">
        <v>0</v>
      </c>
      <c r="AS44" s="189">
        <v>0</v>
      </c>
      <c r="AT44" s="189">
        <v>0</v>
      </c>
      <c r="AU44" s="189">
        <v>0</v>
      </c>
      <c r="AV44" s="189">
        <v>0</v>
      </c>
      <c r="AW44" s="189">
        <v>0</v>
      </c>
      <c r="AX44" s="189">
        <v>0</v>
      </c>
      <c r="AY44" s="189">
        <v>0</v>
      </c>
      <c r="BA44" s="166"/>
      <c r="BB44" s="166"/>
    </row>
    <row r="45" spans="2:54">
      <c r="B45" s="187">
        <v>10109</v>
      </c>
      <c r="C45" s="187" t="s">
        <v>48</v>
      </c>
      <c r="D45" s="189">
        <v>-1466.3107775085414</v>
      </c>
      <c r="E45" s="189">
        <v>-292.28766051423099</v>
      </c>
      <c r="F45" s="189">
        <v>-2816.5768706587428</v>
      </c>
      <c r="G45" s="189">
        <v>-1322.8850064928843</v>
      </c>
      <c r="H45" s="189">
        <v>-1737.5978210142894</v>
      </c>
      <c r="I45" s="189">
        <v>-494.98230554225302</v>
      </c>
      <c r="J45" s="189">
        <v>-1126.2187477030161</v>
      </c>
      <c r="K45" s="189">
        <v>-438.94203032670384</v>
      </c>
      <c r="L45" s="189">
        <v>-902.41599964100169</v>
      </c>
      <c r="M45" s="189">
        <v>-299.88553322622511</v>
      </c>
      <c r="N45" s="189">
        <v>-1426.9657506073545</v>
      </c>
      <c r="O45" s="189">
        <v>-704.01180445672298</v>
      </c>
      <c r="P45" s="189">
        <v>-186.75614981883973</v>
      </c>
      <c r="Q45" s="189">
        <v>604.75016672143101</v>
      </c>
      <c r="R45" s="189">
        <v>-1603.8226739800548</v>
      </c>
      <c r="S45" s="189">
        <v>-192.6527744703003</v>
      </c>
      <c r="T45" s="189">
        <v>85.468539122489346</v>
      </c>
      <c r="U45" s="189">
        <v>673.23928609075301</v>
      </c>
      <c r="V45" s="189">
        <v>466.60912842195285</v>
      </c>
      <c r="W45" s="189">
        <v>1346.8550604809334</v>
      </c>
      <c r="X45" s="189">
        <v>179.8112325159118</v>
      </c>
      <c r="Y45" s="189">
        <v>758.18320246239637</v>
      </c>
      <c r="Z45" s="189">
        <v>-522.20654183221541</v>
      </c>
      <c r="AA45" s="189">
        <v>609.25225759287468</v>
      </c>
      <c r="AB45" s="189">
        <v>-1232.9947775085407</v>
      </c>
      <c r="AC45" s="189">
        <v>-383.49766051423103</v>
      </c>
      <c r="AD45" s="189">
        <v>-2726.2268706587429</v>
      </c>
      <c r="AE45" s="189">
        <v>-1263.196006492884</v>
      </c>
      <c r="AF45" s="189">
        <v>-1639.3798210142895</v>
      </c>
      <c r="AG45" s="189">
        <v>-425.65530554225279</v>
      </c>
      <c r="AH45" s="189">
        <v>-1017.9517477030158</v>
      </c>
      <c r="AI45" s="189">
        <v>-366.95303032670381</v>
      </c>
      <c r="AJ45" s="189">
        <v>-795.90199964100202</v>
      </c>
      <c r="AK45" s="189">
        <v>-232.09253322622544</v>
      </c>
      <c r="AL45" s="189">
        <v>-1441.2787506073546</v>
      </c>
      <c r="AM45" s="189">
        <v>-484.28180445672297</v>
      </c>
      <c r="AN45" s="189">
        <v>137.42385018116147</v>
      </c>
      <c r="AO45" s="189">
        <v>491.95016672143129</v>
      </c>
      <c r="AP45" s="189">
        <v>-1466.3036739800546</v>
      </c>
      <c r="AQ45" s="189">
        <v>-99.035774470299657</v>
      </c>
      <c r="AR45" s="189">
        <v>-4.928460877510588</v>
      </c>
      <c r="AS45" s="189">
        <v>999.62528609075298</v>
      </c>
      <c r="AT45" s="189">
        <v>844.80112842195194</v>
      </c>
      <c r="AU45" s="189">
        <v>1225.2390604809343</v>
      </c>
      <c r="AV45" s="189">
        <v>325.53823251591166</v>
      </c>
      <c r="AW45" s="189">
        <v>843.80220246239651</v>
      </c>
      <c r="AX45" s="189">
        <v>-407.81154183221588</v>
      </c>
      <c r="AY45" s="189">
        <v>694.32625759287475</v>
      </c>
      <c r="BA45" s="166"/>
      <c r="BB45" s="166"/>
    </row>
    <row r="46" spans="2:54">
      <c r="B46" s="187">
        <v>10111</v>
      </c>
      <c r="C46" s="187" t="s">
        <v>49</v>
      </c>
      <c r="D46" s="189">
        <v>-369.57160226303336</v>
      </c>
      <c r="E46" s="189">
        <v>-61.014679200026421</v>
      </c>
      <c r="F46" s="189">
        <v>-352.02042507619922</v>
      </c>
      <c r="G46" s="189">
        <v>-21.236584599986713</v>
      </c>
      <c r="H46" s="189">
        <v>-17.584501902661714</v>
      </c>
      <c r="I46" s="189">
        <v>284.04199732419988</v>
      </c>
      <c r="J46" s="189">
        <v>147.48166498296973</v>
      </c>
      <c r="K46" s="189">
        <v>285.70189977706241</v>
      </c>
      <c r="L46" s="189">
        <v>110.5888026514283</v>
      </c>
      <c r="M46" s="189">
        <v>212.61172421985998</v>
      </c>
      <c r="N46" s="189">
        <v>-163.20895693535499</v>
      </c>
      <c r="O46" s="189">
        <v>5.6637734809460198</v>
      </c>
      <c r="P46" s="189">
        <v>-181.51845174318169</v>
      </c>
      <c r="Q46" s="189">
        <v>90.497195703706325</v>
      </c>
      <c r="R46" s="189">
        <v>-547.81443675406376</v>
      </c>
      <c r="S46" s="189">
        <v>-144.20302061443419</v>
      </c>
      <c r="T46" s="189">
        <v>-193.61512811925854</v>
      </c>
      <c r="U46" s="189">
        <v>27.911710618143161</v>
      </c>
      <c r="V46" s="189">
        <v>342.89771890136581</v>
      </c>
      <c r="W46" s="189">
        <v>542.23444862684937</v>
      </c>
      <c r="X46" s="189">
        <v>254.93169957644704</v>
      </c>
      <c r="Y46" s="189">
        <v>341.50776005010243</v>
      </c>
      <c r="Z46" s="189">
        <v>-46.606702603567555</v>
      </c>
      <c r="AA46" s="189">
        <v>223.22718312489997</v>
      </c>
      <c r="AB46" s="189">
        <v>-323.76120338285477</v>
      </c>
      <c r="AC46" s="189">
        <v>-92.841286331664719</v>
      </c>
      <c r="AD46" s="189">
        <v>-342.33652486987876</v>
      </c>
      <c r="AE46" s="189">
        <v>-15.12789530916757</v>
      </c>
      <c r="AF46" s="189">
        <v>-8.2098195730593488</v>
      </c>
      <c r="AG46" s="189">
        <v>290.22668048117725</v>
      </c>
      <c r="AH46" s="189">
        <v>155.83597815748089</v>
      </c>
      <c r="AI46" s="189">
        <v>291.22511303135525</v>
      </c>
      <c r="AJ46" s="189">
        <v>117.68701610472954</v>
      </c>
      <c r="AK46" s="189">
        <v>217.03621956821746</v>
      </c>
      <c r="AL46" s="189">
        <v>-199.08405505640667</v>
      </c>
      <c r="AM46" s="189">
        <v>54.757330049651728</v>
      </c>
      <c r="AN46" s="189">
        <v>-128.53512863039441</v>
      </c>
      <c r="AO46" s="189">
        <v>50.011806410304757</v>
      </c>
      <c r="AP46" s="189">
        <v>-537.52075353882651</v>
      </c>
      <c r="AQ46" s="189">
        <v>-138.05572202882354</v>
      </c>
      <c r="AR46" s="189">
        <v>-235.73675160460061</v>
      </c>
      <c r="AS46" s="189">
        <v>83.574219445416134</v>
      </c>
      <c r="AT46" s="189">
        <v>418.15777618499919</v>
      </c>
      <c r="AU46" s="189">
        <v>479.18637529259581</v>
      </c>
      <c r="AV46" s="189">
        <v>263.56017008210802</v>
      </c>
      <c r="AW46" s="189">
        <v>346.04023711202524</v>
      </c>
      <c r="AX46" s="189">
        <v>-39.029736890415961</v>
      </c>
      <c r="AY46" s="189">
        <v>227.89805965988762</v>
      </c>
      <c r="BA46" s="166"/>
      <c r="BB46" s="166"/>
    </row>
    <row r="47" spans="2:54">
      <c r="B47" s="187">
        <v>10112</v>
      </c>
      <c r="C47" s="187" t="s">
        <v>50</v>
      </c>
      <c r="D47" s="189">
        <v>-152.42436049630851</v>
      </c>
      <c r="E47" s="189">
        <v>1532.1796422091029</v>
      </c>
      <c r="F47" s="189">
        <v>-3125.022649817085</v>
      </c>
      <c r="G47" s="189">
        <v>317.90510257045025</v>
      </c>
      <c r="H47" s="189">
        <v>1122.0578210893473</v>
      </c>
      <c r="I47" s="189">
        <v>2527.0504129257097</v>
      </c>
      <c r="J47" s="189">
        <v>4941.2382179427805</v>
      </c>
      <c r="K47" s="189">
        <v>4566.627894941792</v>
      </c>
      <c r="L47" s="189">
        <v>5521.001734069021</v>
      </c>
      <c r="M47" s="189">
        <v>4156.9073583406207</v>
      </c>
      <c r="N47" s="189">
        <v>2026.7613000434903</v>
      </c>
      <c r="O47" s="189">
        <v>1995.7518087954704</v>
      </c>
      <c r="P47" s="189">
        <v>488.64464689380111</v>
      </c>
      <c r="Q47" s="189">
        <v>1748.9760715541761</v>
      </c>
      <c r="R47" s="189">
        <v>-11467.128360788163</v>
      </c>
      <c r="S47" s="189">
        <v>-4565.2565148856866</v>
      </c>
      <c r="T47" s="189">
        <v>-5839.6365437961686</v>
      </c>
      <c r="U47" s="189">
        <v>-1504.4118795189152</v>
      </c>
      <c r="V47" s="189">
        <v>-1584.5990955464003</v>
      </c>
      <c r="W47" s="189">
        <v>1880.141727768385</v>
      </c>
      <c r="X47" s="189">
        <v>-3669.2386214862381</v>
      </c>
      <c r="Y47" s="189">
        <v>403.73869541487875</v>
      </c>
      <c r="Z47" s="189">
        <v>-1990.0066123266588</v>
      </c>
      <c r="AA47" s="189">
        <v>663.82676461071242</v>
      </c>
      <c r="AB47" s="189">
        <v>-152.44339334830511</v>
      </c>
      <c r="AC47" s="189">
        <v>1535.4249221915888</v>
      </c>
      <c r="AD47" s="189">
        <v>-3130.6096146798263</v>
      </c>
      <c r="AE47" s="189">
        <v>318.8768279042124</v>
      </c>
      <c r="AF47" s="189">
        <v>1124.8200249973743</v>
      </c>
      <c r="AG47" s="189">
        <v>2532.5055573654245</v>
      </c>
      <c r="AH47" s="189">
        <v>4951.4155775007712</v>
      </c>
      <c r="AI47" s="189">
        <v>4576.0173959457934</v>
      </c>
      <c r="AJ47" s="189">
        <v>5532.2033913233245</v>
      </c>
      <c r="AK47" s="189">
        <v>4165.3898441463007</v>
      </c>
      <c r="AL47" s="189">
        <v>2031.0987950437702</v>
      </c>
      <c r="AM47" s="189">
        <v>1999.958578201431</v>
      </c>
      <c r="AN47" s="189">
        <v>489.86260854077409</v>
      </c>
      <c r="AO47" s="189">
        <v>1752.6978146628135</v>
      </c>
      <c r="AP47" s="189">
        <v>-11489.219953671953</v>
      </c>
      <c r="AQ47" s="189">
        <v>-4573.8771926720474</v>
      </c>
      <c r="AR47" s="189">
        <v>-5850.8218128909721</v>
      </c>
      <c r="AS47" s="189">
        <v>-1507.1335050916423</v>
      </c>
      <c r="AT47" s="189">
        <v>-1587.4891478374702</v>
      </c>
      <c r="AU47" s="189">
        <v>1884.078175846169</v>
      </c>
      <c r="AV47" s="189">
        <v>-3676.1001935593231</v>
      </c>
      <c r="AW47" s="189">
        <v>404.73549021899453</v>
      </c>
      <c r="AX47" s="189">
        <v>-1993.6932237458532</v>
      </c>
      <c r="AY47" s="189">
        <v>665.36604797950167</v>
      </c>
      <c r="BA47" s="166"/>
      <c r="BB47" s="166"/>
    </row>
    <row r="48" spans="2:54">
      <c r="B48" s="187">
        <v>10113</v>
      </c>
      <c r="C48" s="187" t="s">
        <v>51</v>
      </c>
      <c r="D48" s="189">
        <v>-3401.965410370769</v>
      </c>
      <c r="E48" s="189">
        <v>-538.91077589411907</v>
      </c>
      <c r="F48" s="189">
        <v>-10841.08071675361</v>
      </c>
      <c r="G48" s="189">
        <v>-5575.6478361529407</v>
      </c>
      <c r="H48" s="189">
        <v>-10274.556691056907</v>
      </c>
      <c r="I48" s="189">
        <v>-5145.2049639591423</v>
      </c>
      <c r="J48" s="189">
        <v>-7447.8141985050588</v>
      </c>
      <c r="K48" s="189">
        <v>-4219.9776648554061</v>
      </c>
      <c r="L48" s="189">
        <v>-6094.8923821099625</v>
      </c>
      <c r="M48" s="189">
        <v>-3235.8358728254707</v>
      </c>
      <c r="N48" s="189">
        <v>-6377.1758917551088</v>
      </c>
      <c r="O48" s="189">
        <v>-3642.3637365874683</v>
      </c>
      <c r="P48" s="189">
        <v>-1719.5698165943686</v>
      </c>
      <c r="Q48" s="189">
        <v>91.00467499075603</v>
      </c>
      <c r="R48" s="189">
        <v>-1685.0633908695891</v>
      </c>
      <c r="S48" s="189">
        <v>1003.3559649498002</v>
      </c>
      <c r="T48" s="189">
        <v>7910.2438742747472</v>
      </c>
      <c r="U48" s="189">
        <v>6899.0662414904218</v>
      </c>
      <c r="V48" s="189">
        <v>14500.585569728943</v>
      </c>
      <c r="W48" s="189">
        <v>14910.609281183681</v>
      </c>
      <c r="X48" s="189">
        <v>11035.792216615013</v>
      </c>
      <c r="Y48" s="189">
        <v>9233.0283676355157</v>
      </c>
      <c r="Z48" s="189">
        <v>1501.4982660449805</v>
      </c>
      <c r="AA48" s="189">
        <v>3116.8277645014514</v>
      </c>
      <c r="AB48" s="189">
        <v>-2990.9594103707695</v>
      </c>
      <c r="AC48" s="189">
        <v>-1019.927775894118</v>
      </c>
      <c r="AD48" s="189">
        <v>-10891.63671675361</v>
      </c>
      <c r="AE48" s="189">
        <v>-5639.7618361529412</v>
      </c>
      <c r="AF48" s="189">
        <v>-10333.674691056907</v>
      </c>
      <c r="AG48" s="189">
        <v>-5220.234963959143</v>
      </c>
      <c r="AH48" s="189">
        <v>-7511.7651985050597</v>
      </c>
      <c r="AI48" s="189">
        <v>-4293.7426648554056</v>
      </c>
      <c r="AJ48" s="189">
        <v>-6137.815382109964</v>
      </c>
      <c r="AK48" s="189">
        <v>-3290.6078728254715</v>
      </c>
      <c r="AL48" s="189">
        <v>-6740.2488917551091</v>
      </c>
      <c r="AM48" s="189">
        <v>-3396.821736587468</v>
      </c>
      <c r="AN48" s="189">
        <v>-1234.3698165943697</v>
      </c>
      <c r="AO48" s="189">
        <v>-428.47032500924252</v>
      </c>
      <c r="AP48" s="189">
        <v>-1622.0893908695871</v>
      </c>
      <c r="AQ48" s="189">
        <v>1011.7189649497996</v>
      </c>
      <c r="AR48" s="189">
        <v>7111.8388742747484</v>
      </c>
      <c r="AS48" s="189">
        <v>7865.0132414904219</v>
      </c>
      <c r="AT48" s="189">
        <v>15772.730569728943</v>
      </c>
      <c r="AU48" s="189">
        <v>13883.567281183679</v>
      </c>
      <c r="AV48" s="189">
        <v>11164.876216615012</v>
      </c>
      <c r="AW48" s="189">
        <v>9285.9843676355176</v>
      </c>
      <c r="AX48" s="189">
        <v>1545.7462660449801</v>
      </c>
      <c r="AY48" s="189">
        <v>3104.1217645014494</v>
      </c>
      <c r="BA48" s="166"/>
      <c r="BB48" s="166"/>
    </row>
    <row r="49" spans="2:54">
      <c r="B49" s="187">
        <v>10116</v>
      </c>
      <c r="C49" s="187" t="s">
        <v>52</v>
      </c>
      <c r="D49" s="189">
        <v>-0.85678096303195161</v>
      </c>
      <c r="E49" s="189">
        <v>20.556321237851108</v>
      </c>
      <c r="F49" s="189">
        <v>-16.169303507441668</v>
      </c>
      <c r="G49" s="189">
        <v>12.946282056074466</v>
      </c>
      <c r="H49" s="189">
        <v>-5.8925996032390913</v>
      </c>
      <c r="I49" s="189">
        <v>16.661386331383369</v>
      </c>
      <c r="J49" s="189">
        <v>13.826676033309596</v>
      </c>
      <c r="K49" s="189">
        <v>24.249374677022402</v>
      </c>
      <c r="L49" s="189">
        <v>18.221371293882157</v>
      </c>
      <c r="M49" s="189">
        <v>25.363579077922495</v>
      </c>
      <c r="N49" s="189">
        <v>9.4906680578814502</v>
      </c>
      <c r="O49" s="189">
        <v>21.532538332002254</v>
      </c>
      <c r="P49" s="189">
        <v>11.8345070826159</v>
      </c>
      <c r="Q49" s="189">
        <v>25.383617987828906</v>
      </c>
      <c r="R49" s="189">
        <v>-56.925614659030714</v>
      </c>
      <c r="S49" s="189">
        <v>-12.083075955381887</v>
      </c>
      <c r="T49" s="189">
        <v>-23.149400749180899</v>
      </c>
      <c r="U49" s="189">
        <v>5.0033499363607064</v>
      </c>
      <c r="V49" s="189">
        <v>-17.690973821765255</v>
      </c>
      <c r="W49" s="189">
        <v>4.8482466823146027</v>
      </c>
      <c r="X49" s="189">
        <v>-40.827998596235318</v>
      </c>
      <c r="Y49" s="189">
        <v>-5.0741100526876011</v>
      </c>
      <c r="Z49" s="189">
        <v>-14.724417123576345</v>
      </c>
      <c r="AA49" s="189">
        <v>6.154098905212507</v>
      </c>
      <c r="AB49" s="189">
        <v>-0.36978096303194263</v>
      </c>
      <c r="AC49" s="189">
        <v>20.923321237851098</v>
      </c>
      <c r="AD49" s="189">
        <v>-15.660303507441668</v>
      </c>
      <c r="AE49" s="189">
        <v>13.357282056074467</v>
      </c>
      <c r="AF49" s="189">
        <v>-5.346599603239099</v>
      </c>
      <c r="AG49" s="189">
        <v>17.093386331383371</v>
      </c>
      <c r="AH49" s="189">
        <v>14.384676033309603</v>
      </c>
      <c r="AI49" s="189">
        <v>24.673374677022409</v>
      </c>
      <c r="AJ49" s="189">
        <v>18.721371293882157</v>
      </c>
      <c r="AK49" s="189">
        <v>25.72857907792249</v>
      </c>
      <c r="AL49" s="189">
        <v>10.022668057881447</v>
      </c>
      <c r="AM49" s="189">
        <v>21.92153833200225</v>
      </c>
      <c r="AN49" s="189">
        <v>12.368507082615892</v>
      </c>
      <c r="AO49" s="189">
        <v>25.773617987828906</v>
      </c>
      <c r="AP49" s="189">
        <v>-56.520614659030713</v>
      </c>
      <c r="AQ49" s="189">
        <v>-11.751075955381893</v>
      </c>
      <c r="AR49" s="189">
        <v>-22.706400749180901</v>
      </c>
      <c r="AS49" s="189">
        <v>5.3233499363606995</v>
      </c>
      <c r="AT49" s="189">
        <v>-17.288973821765254</v>
      </c>
      <c r="AU49" s="189">
        <v>5.1322466823146016</v>
      </c>
      <c r="AV49" s="189">
        <v>-40.476998596235305</v>
      </c>
      <c r="AW49" s="189">
        <v>-4.8251100526875987</v>
      </c>
      <c r="AX49" s="189">
        <v>-14.316417123576343</v>
      </c>
      <c r="AY49" s="189">
        <v>6.4560989052125066</v>
      </c>
      <c r="BA49" s="166"/>
      <c r="BB49" s="166"/>
    </row>
    <row r="50" spans="2:54">
      <c r="B50" s="187">
        <v>10118</v>
      </c>
      <c r="C50" s="187" t="s">
        <v>53</v>
      </c>
      <c r="D50" s="189">
        <v>0</v>
      </c>
      <c r="E50" s="189">
        <v>0</v>
      </c>
      <c r="F50" s="189">
        <v>0</v>
      </c>
      <c r="G50" s="189">
        <v>0</v>
      </c>
      <c r="H50" s="189">
        <v>0</v>
      </c>
      <c r="I50" s="189">
        <v>0</v>
      </c>
      <c r="J50" s="189">
        <v>0</v>
      </c>
      <c r="K50" s="189">
        <v>0</v>
      </c>
      <c r="L50" s="189">
        <v>0</v>
      </c>
      <c r="M50" s="189">
        <v>0</v>
      </c>
      <c r="N50" s="189">
        <v>0</v>
      </c>
      <c r="O50" s="189">
        <v>0</v>
      </c>
      <c r="P50" s="189">
        <v>0</v>
      </c>
      <c r="Q50" s="189">
        <v>0</v>
      </c>
      <c r="R50" s="189">
        <v>0</v>
      </c>
      <c r="S50" s="189">
        <v>0</v>
      </c>
      <c r="T50" s="189">
        <v>0</v>
      </c>
      <c r="U50" s="189">
        <v>0</v>
      </c>
      <c r="V50" s="189">
        <v>0</v>
      </c>
      <c r="W50" s="189">
        <v>0</v>
      </c>
      <c r="X50" s="189">
        <v>0</v>
      </c>
      <c r="Y50" s="189">
        <v>0</v>
      </c>
      <c r="Z50" s="189">
        <v>0</v>
      </c>
      <c r="AA50" s="189">
        <v>0</v>
      </c>
      <c r="AB50" s="189">
        <v>0</v>
      </c>
      <c r="AC50" s="189">
        <v>0</v>
      </c>
      <c r="AD50" s="189">
        <v>0</v>
      </c>
      <c r="AE50" s="189">
        <v>0</v>
      </c>
      <c r="AF50" s="189">
        <v>0</v>
      </c>
      <c r="AG50" s="189">
        <v>0</v>
      </c>
      <c r="AH50" s="189">
        <v>0</v>
      </c>
      <c r="AI50" s="189">
        <v>0</v>
      </c>
      <c r="AJ50" s="189">
        <v>0</v>
      </c>
      <c r="AK50" s="189">
        <v>0</v>
      </c>
      <c r="AL50" s="189">
        <v>0</v>
      </c>
      <c r="AM50" s="189">
        <v>0</v>
      </c>
      <c r="AN50" s="189">
        <v>0</v>
      </c>
      <c r="AO50" s="189">
        <v>0</v>
      </c>
      <c r="AP50" s="189">
        <v>0</v>
      </c>
      <c r="AQ50" s="189">
        <v>0</v>
      </c>
      <c r="AR50" s="189">
        <v>0</v>
      </c>
      <c r="AS50" s="189">
        <v>0</v>
      </c>
      <c r="AT50" s="189">
        <v>0</v>
      </c>
      <c r="AU50" s="189">
        <v>0</v>
      </c>
      <c r="AV50" s="189">
        <v>0</v>
      </c>
      <c r="AW50" s="189">
        <v>0</v>
      </c>
      <c r="AX50" s="189">
        <v>0</v>
      </c>
      <c r="AY50" s="189">
        <v>0</v>
      </c>
      <c r="BA50" s="166"/>
      <c r="BB50" s="166"/>
    </row>
    <row r="51" spans="2:54">
      <c r="B51" s="187">
        <v>10121</v>
      </c>
      <c r="C51" s="187" t="s">
        <v>54</v>
      </c>
      <c r="D51" s="189">
        <v>0</v>
      </c>
      <c r="E51" s="189">
        <v>0</v>
      </c>
      <c r="F51" s="189">
        <v>0</v>
      </c>
      <c r="G51" s="189">
        <v>0</v>
      </c>
      <c r="H51" s="189">
        <v>0</v>
      </c>
      <c r="I51" s="189">
        <v>0</v>
      </c>
      <c r="J51" s="189">
        <v>0</v>
      </c>
      <c r="K51" s="189">
        <v>0</v>
      </c>
      <c r="L51" s="189">
        <v>0</v>
      </c>
      <c r="M51" s="189">
        <v>0</v>
      </c>
      <c r="N51" s="189">
        <v>0</v>
      </c>
      <c r="O51" s="189">
        <v>0</v>
      </c>
      <c r="P51" s="189">
        <v>0</v>
      </c>
      <c r="Q51" s="189">
        <v>0</v>
      </c>
      <c r="R51" s="189">
        <v>0</v>
      </c>
      <c r="S51" s="189">
        <v>0</v>
      </c>
      <c r="T51" s="189">
        <v>0</v>
      </c>
      <c r="U51" s="189">
        <v>0</v>
      </c>
      <c r="V51" s="189">
        <v>0</v>
      </c>
      <c r="W51" s="189">
        <v>0</v>
      </c>
      <c r="X51" s="189">
        <v>0</v>
      </c>
      <c r="Y51" s="189">
        <v>0</v>
      </c>
      <c r="Z51" s="189">
        <v>0</v>
      </c>
      <c r="AA51" s="189">
        <v>0</v>
      </c>
      <c r="AB51" s="189">
        <v>0</v>
      </c>
      <c r="AC51" s="189">
        <v>0</v>
      </c>
      <c r="AD51" s="189">
        <v>0</v>
      </c>
      <c r="AE51" s="189">
        <v>0</v>
      </c>
      <c r="AF51" s="189">
        <v>0</v>
      </c>
      <c r="AG51" s="189">
        <v>0</v>
      </c>
      <c r="AH51" s="189">
        <v>0</v>
      </c>
      <c r="AI51" s="189">
        <v>0</v>
      </c>
      <c r="AJ51" s="189">
        <v>0</v>
      </c>
      <c r="AK51" s="189">
        <v>0</v>
      </c>
      <c r="AL51" s="189">
        <v>0</v>
      </c>
      <c r="AM51" s="189">
        <v>0</v>
      </c>
      <c r="AN51" s="189">
        <v>0</v>
      </c>
      <c r="AO51" s="189">
        <v>0</v>
      </c>
      <c r="AP51" s="189">
        <v>0</v>
      </c>
      <c r="AQ51" s="189">
        <v>0</v>
      </c>
      <c r="AR51" s="189">
        <v>0</v>
      </c>
      <c r="AS51" s="189">
        <v>0</v>
      </c>
      <c r="AT51" s="189">
        <v>0</v>
      </c>
      <c r="AU51" s="189">
        <v>0</v>
      </c>
      <c r="AV51" s="189">
        <v>0</v>
      </c>
      <c r="AW51" s="189">
        <v>0</v>
      </c>
      <c r="AX51" s="189">
        <v>0</v>
      </c>
      <c r="AY51" s="189">
        <v>0</v>
      </c>
      <c r="BA51" s="166"/>
      <c r="BB51" s="166"/>
    </row>
    <row r="52" spans="2:54">
      <c r="B52" s="187">
        <v>10123</v>
      </c>
      <c r="C52" s="187" t="s">
        <v>55</v>
      </c>
      <c r="D52" s="189">
        <v>-9936.3924380929093</v>
      </c>
      <c r="E52" s="189">
        <v>21178.714868285198</v>
      </c>
      <c r="F52" s="189">
        <v>-29613.665184583078</v>
      </c>
      <c r="G52" s="189">
        <v>6060.3481836823921</v>
      </c>
      <c r="H52" s="189">
        <v>-22397.309148003143</v>
      </c>
      <c r="I52" s="189">
        <v>15177.90987187362</v>
      </c>
      <c r="J52" s="189">
        <v>1502.7365794372454</v>
      </c>
      <c r="K52" s="189">
        <v>20644.036866712311</v>
      </c>
      <c r="L52" s="189">
        <v>6886.6183174770267</v>
      </c>
      <c r="M52" s="189">
        <v>21193.38382829741</v>
      </c>
      <c r="N52" s="189">
        <v>-2358.8942909710313</v>
      </c>
      <c r="O52" s="189">
        <v>14071.474565058117</v>
      </c>
      <c r="P52" s="189">
        <v>-7649.700534937685</v>
      </c>
      <c r="Q52" s="189">
        <v>21141.376283629892</v>
      </c>
      <c r="R52" s="189">
        <v>-58623.167922006862</v>
      </c>
      <c r="S52" s="189">
        <v>-10712.956787675532</v>
      </c>
      <c r="T52" s="189">
        <v>-28269.581027189706</v>
      </c>
      <c r="U52" s="189">
        <v>5830.1199189692707</v>
      </c>
      <c r="V52" s="189">
        <v>-14575.116040114182</v>
      </c>
      <c r="W52" s="189">
        <v>25456.938624328548</v>
      </c>
      <c r="X52" s="189">
        <v>-21873.242919173921</v>
      </c>
      <c r="Y52" s="189">
        <v>13842.842070459425</v>
      </c>
      <c r="Z52" s="189">
        <v>-15646.699017373016</v>
      </c>
      <c r="AA52" s="189">
        <v>21348.837540907531</v>
      </c>
      <c r="AB52" s="189">
        <v>-3280.3924380929093</v>
      </c>
      <c r="AC52" s="189">
        <v>18986.714868285198</v>
      </c>
      <c r="AD52" s="189">
        <v>-27213.665184583078</v>
      </c>
      <c r="AE52" s="189">
        <v>7986.3481836823921</v>
      </c>
      <c r="AF52" s="189">
        <v>-19597.309148003143</v>
      </c>
      <c r="AG52" s="189">
        <v>17585.90987187362</v>
      </c>
      <c r="AH52" s="189">
        <v>3998.7365794372454</v>
      </c>
      <c r="AI52" s="189">
        <v>22612.036866712311</v>
      </c>
      <c r="AJ52" s="189">
        <v>9190.6183174770267</v>
      </c>
      <c r="AK52" s="189">
        <v>22921.38382829741</v>
      </c>
      <c r="AL52" s="189">
        <v>-3990.8942909710313</v>
      </c>
      <c r="AM52" s="189">
        <v>20161.474565058117</v>
      </c>
      <c r="AN52" s="189">
        <v>-593.70053493768501</v>
      </c>
      <c r="AO52" s="189">
        <v>19125.376283629892</v>
      </c>
      <c r="AP52" s="189">
        <v>-56127.167922006862</v>
      </c>
      <c r="AQ52" s="189">
        <v>-8744.9567876755318</v>
      </c>
      <c r="AR52" s="189">
        <v>-29821.581027189706</v>
      </c>
      <c r="AS52" s="189">
        <v>11702.119918969271</v>
      </c>
      <c r="AT52" s="189">
        <v>-8063.1160401141824</v>
      </c>
      <c r="AU52" s="189">
        <v>23408.938624328548</v>
      </c>
      <c r="AV52" s="189">
        <v>-19281.242919173921</v>
      </c>
      <c r="AW52" s="189">
        <v>15714.842070459425</v>
      </c>
      <c r="AX52" s="189">
        <v>-13342.699017373016</v>
      </c>
      <c r="AY52" s="189">
        <v>23364.837540907531</v>
      </c>
      <c r="BA52" s="166"/>
      <c r="BB52" s="166"/>
    </row>
    <row r="53" spans="2:54">
      <c r="B53" s="187">
        <v>10136</v>
      </c>
      <c r="C53" s="187" t="s">
        <v>56</v>
      </c>
      <c r="D53" s="189">
        <v>0</v>
      </c>
      <c r="E53" s="189">
        <v>0</v>
      </c>
      <c r="F53" s="189">
        <v>0</v>
      </c>
      <c r="G53" s="189">
        <v>0</v>
      </c>
      <c r="H53" s="189">
        <v>0</v>
      </c>
      <c r="I53" s="189">
        <v>0</v>
      </c>
      <c r="J53" s="189">
        <v>0</v>
      </c>
      <c r="K53" s="189">
        <v>0</v>
      </c>
      <c r="L53" s="189">
        <v>0</v>
      </c>
      <c r="M53" s="189">
        <v>0</v>
      </c>
      <c r="N53" s="189">
        <v>0</v>
      </c>
      <c r="O53" s="189">
        <v>0</v>
      </c>
      <c r="P53" s="189">
        <v>0</v>
      </c>
      <c r="Q53" s="189">
        <v>0</v>
      </c>
      <c r="R53" s="189">
        <v>0</v>
      </c>
      <c r="S53" s="189">
        <v>0</v>
      </c>
      <c r="T53" s="189">
        <v>0</v>
      </c>
      <c r="U53" s="189">
        <v>0</v>
      </c>
      <c r="V53" s="189">
        <v>0</v>
      </c>
      <c r="W53" s="189">
        <v>0</v>
      </c>
      <c r="X53" s="189">
        <v>0</v>
      </c>
      <c r="Y53" s="189">
        <v>0</v>
      </c>
      <c r="Z53" s="189">
        <v>0</v>
      </c>
      <c r="AA53" s="189">
        <v>0</v>
      </c>
      <c r="AB53" s="189">
        <v>0</v>
      </c>
      <c r="AC53" s="189">
        <v>0</v>
      </c>
      <c r="AD53" s="189">
        <v>0</v>
      </c>
      <c r="AE53" s="189">
        <v>0</v>
      </c>
      <c r="AF53" s="189">
        <v>0</v>
      </c>
      <c r="AG53" s="189">
        <v>0</v>
      </c>
      <c r="AH53" s="189">
        <v>0</v>
      </c>
      <c r="AI53" s="189">
        <v>0</v>
      </c>
      <c r="AJ53" s="189">
        <v>0</v>
      </c>
      <c r="AK53" s="189">
        <v>0</v>
      </c>
      <c r="AL53" s="189">
        <v>0</v>
      </c>
      <c r="AM53" s="189">
        <v>0</v>
      </c>
      <c r="AN53" s="189">
        <v>0</v>
      </c>
      <c r="AO53" s="189">
        <v>0</v>
      </c>
      <c r="AP53" s="189">
        <v>0</v>
      </c>
      <c r="AQ53" s="189">
        <v>0</v>
      </c>
      <c r="AR53" s="189">
        <v>0</v>
      </c>
      <c r="AS53" s="189">
        <v>0</v>
      </c>
      <c r="AT53" s="189">
        <v>0</v>
      </c>
      <c r="AU53" s="189">
        <v>0</v>
      </c>
      <c r="AV53" s="189">
        <v>0</v>
      </c>
      <c r="AW53" s="189">
        <v>0</v>
      </c>
      <c r="AX53" s="189">
        <v>0</v>
      </c>
      <c r="AY53" s="189">
        <v>0</v>
      </c>
      <c r="BA53" s="166"/>
      <c r="BB53" s="166"/>
    </row>
    <row r="54" spans="2:54">
      <c r="B54" s="187">
        <v>10142</v>
      </c>
      <c r="C54" s="187" t="s">
        <v>57</v>
      </c>
      <c r="D54" s="189">
        <v>-274.54055457047241</v>
      </c>
      <c r="E54" s="189">
        <v>-18.248981571210038</v>
      </c>
      <c r="F54" s="189">
        <v>-435.54510976108497</v>
      </c>
      <c r="G54" s="189">
        <v>-99.28132263939483</v>
      </c>
      <c r="H54" s="189">
        <v>-183.19813835768196</v>
      </c>
      <c r="I54" s="189">
        <v>94.552222178255306</v>
      </c>
      <c r="J54" s="189">
        <v>53.808776033466302</v>
      </c>
      <c r="K54" s="189">
        <v>171.58463899512162</v>
      </c>
      <c r="L54" s="189">
        <v>28.199020172784344</v>
      </c>
      <c r="M54" s="189">
        <v>125.64095835805256</v>
      </c>
      <c r="N54" s="189">
        <v>-268.9621817450319</v>
      </c>
      <c r="O54" s="189">
        <v>-88.586203003304718</v>
      </c>
      <c r="P54" s="189">
        <v>-225.25305738848692</v>
      </c>
      <c r="Q54" s="189">
        <v>-14.781261053669937</v>
      </c>
      <c r="R54" s="189">
        <v>-235.05642107408653</v>
      </c>
      <c r="S54" s="189">
        <v>-47.497721864206937</v>
      </c>
      <c r="T54" s="189">
        <v>473.40613729990196</v>
      </c>
      <c r="U54" s="189">
        <v>333.14325760905626</v>
      </c>
      <c r="V54" s="189">
        <v>784.91131164253761</v>
      </c>
      <c r="W54" s="189">
        <v>728.14127281601145</v>
      </c>
      <c r="X54" s="189">
        <v>491.82556762889226</v>
      </c>
      <c r="Y54" s="189">
        <v>335.03904343473164</v>
      </c>
      <c r="Z54" s="189">
        <v>44.749817370108076</v>
      </c>
      <c r="AA54" s="189">
        <v>160.92210691066259</v>
      </c>
      <c r="AB54" s="189">
        <v>-231.70255457047244</v>
      </c>
      <c r="AC54" s="189">
        <v>-39.723981571210061</v>
      </c>
      <c r="AD54" s="189">
        <v>-422.67910976108499</v>
      </c>
      <c r="AE54" s="189">
        <v>-89.620322639394772</v>
      </c>
      <c r="AF54" s="189">
        <v>-170.54313835768198</v>
      </c>
      <c r="AG54" s="189">
        <v>104.42522217825535</v>
      </c>
      <c r="AH54" s="189">
        <v>66.804776033466396</v>
      </c>
      <c r="AI54" s="189">
        <v>181.11663899512166</v>
      </c>
      <c r="AJ54" s="189">
        <v>41.505020172784384</v>
      </c>
      <c r="AK54" s="189">
        <v>134.86295835805254</v>
      </c>
      <c r="AL54" s="189">
        <v>-284.59018174503194</v>
      </c>
      <c r="AM54" s="189">
        <v>-50.430203003304769</v>
      </c>
      <c r="AN54" s="189">
        <v>-180.50705738848694</v>
      </c>
      <c r="AO54" s="189">
        <v>-37.000261053669874</v>
      </c>
      <c r="AP54" s="189">
        <v>-221.24542107408638</v>
      </c>
      <c r="AQ54" s="189">
        <v>-38.780721864206953</v>
      </c>
      <c r="AR54" s="189">
        <v>429.21313729990197</v>
      </c>
      <c r="AS54" s="189">
        <v>399.86325760905629</v>
      </c>
      <c r="AT54" s="189">
        <v>863.97331164253774</v>
      </c>
      <c r="AU54" s="189">
        <v>671.60727281601135</v>
      </c>
      <c r="AV54" s="189">
        <v>506.3995676288921</v>
      </c>
      <c r="AW54" s="189">
        <v>342.9930434347317</v>
      </c>
      <c r="AX54" s="189">
        <v>58.16481737010804</v>
      </c>
      <c r="AY54" s="189">
        <v>170.03510691066253</v>
      </c>
      <c r="BA54" s="166"/>
      <c r="BB54" s="166"/>
    </row>
    <row r="55" spans="2:54">
      <c r="B55" s="187">
        <v>10144</v>
      </c>
      <c r="C55" s="187" t="s">
        <v>58</v>
      </c>
      <c r="D55" s="189">
        <v>-95.494365214625532</v>
      </c>
      <c r="E55" s="189">
        <v>53.189384444038637</v>
      </c>
      <c r="F55" s="189">
        <v>107.74288582674603</v>
      </c>
      <c r="G55" s="189">
        <v>206.01298482798086</v>
      </c>
      <c r="H55" s="189">
        <v>209.19012713307347</v>
      </c>
      <c r="I55" s="189">
        <v>344.6648699221023</v>
      </c>
      <c r="J55" s="189">
        <v>626.68551084980959</v>
      </c>
      <c r="K55" s="189">
        <v>489.51753322802233</v>
      </c>
      <c r="L55" s="189">
        <v>616.58564191535083</v>
      </c>
      <c r="M55" s="189">
        <v>447.92709754823488</v>
      </c>
      <c r="N55" s="189">
        <v>243.57394593166259</v>
      </c>
      <c r="O55" s="189">
        <v>179.09174948528346</v>
      </c>
      <c r="P55" s="189">
        <v>20.332737690803469</v>
      </c>
      <c r="Q55" s="189">
        <v>153.21778423164142</v>
      </c>
      <c r="R55" s="189">
        <v>-834.57188132546844</v>
      </c>
      <c r="S55" s="189">
        <v>-412.67903974731917</v>
      </c>
      <c r="T55" s="189">
        <v>-516.50725609799338</v>
      </c>
      <c r="U55" s="189">
        <v>-240.66423529095175</v>
      </c>
      <c r="V55" s="189">
        <v>-401.7017430794217</v>
      </c>
      <c r="W55" s="189">
        <v>-64.384025035560398</v>
      </c>
      <c r="X55" s="189">
        <v>-527.0100229260479</v>
      </c>
      <c r="Y55" s="189">
        <v>-198.43822299543751</v>
      </c>
      <c r="Z55" s="189">
        <v>-318.8754168624198</v>
      </c>
      <c r="AA55" s="189">
        <v>-85.292208493224962</v>
      </c>
      <c r="AB55" s="189">
        <v>-47.89008047365769</v>
      </c>
      <c r="AC55" s="189">
        <v>5.6661457169199139</v>
      </c>
      <c r="AD55" s="189">
        <v>108.09151204480486</v>
      </c>
      <c r="AE55" s="189">
        <v>206.50181621654031</v>
      </c>
      <c r="AF55" s="189">
        <v>209.73811971378791</v>
      </c>
      <c r="AG55" s="189">
        <v>345.43096737406029</v>
      </c>
      <c r="AH55" s="189">
        <v>628.0464677671464</v>
      </c>
      <c r="AI55" s="189">
        <v>490.56290589704156</v>
      </c>
      <c r="AJ55" s="189">
        <v>617.90769870062923</v>
      </c>
      <c r="AK55" s="189">
        <v>448.87370501480245</v>
      </c>
      <c r="AL55" s="189">
        <v>185.523623989003</v>
      </c>
      <c r="AM55" s="189">
        <v>238.15574900537024</v>
      </c>
      <c r="AN55" s="189">
        <v>73.335321479483127</v>
      </c>
      <c r="AO55" s="189">
        <v>100.72291600220001</v>
      </c>
      <c r="AP55" s="189">
        <v>-836.08431021689671</v>
      </c>
      <c r="AQ55" s="189">
        <v>-413.415760129977</v>
      </c>
      <c r="AR55" s="189">
        <v>-556.76211865756795</v>
      </c>
      <c r="AS55" s="189">
        <v>-201.73463420913379</v>
      </c>
      <c r="AT55" s="189">
        <v>-364.57561231903742</v>
      </c>
      <c r="AU55" s="189">
        <v>-102.27867450880865</v>
      </c>
      <c r="AV55" s="189">
        <v>-527.94087737609789</v>
      </c>
      <c r="AW55" s="189">
        <v>-198.77492265634839</v>
      </c>
      <c r="AX55" s="189">
        <v>-319.40761114759698</v>
      </c>
      <c r="AY55" s="189">
        <v>-85.404676325587502</v>
      </c>
      <c r="BA55" s="166"/>
      <c r="BB55" s="166"/>
    </row>
    <row r="56" spans="2:54">
      <c r="B56" s="187">
        <v>10156</v>
      </c>
      <c r="C56" s="187" t="s">
        <v>59</v>
      </c>
      <c r="D56" s="189">
        <v>-751.6104005284742</v>
      </c>
      <c r="E56" s="189">
        <v>756.92253326412447</v>
      </c>
      <c r="F56" s="189">
        <v>123.53957923266353</v>
      </c>
      <c r="G56" s="189">
        <v>2406.4309385179386</v>
      </c>
      <c r="H56" s="189">
        <v>2407.7774633625741</v>
      </c>
      <c r="I56" s="189">
        <v>3469.5563752730959</v>
      </c>
      <c r="J56" s="189">
        <v>5456.3403637793162</v>
      </c>
      <c r="K56" s="189">
        <v>4960.424456791141</v>
      </c>
      <c r="L56" s="189">
        <v>5287.5872956521071</v>
      </c>
      <c r="M56" s="189">
        <v>4566.3000425205037</v>
      </c>
      <c r="N56" s="189">
        <v>1516.347518103943</v>
      </c>
      <c r="O56" s="189">
        <v>2106.1029052922295</v>
      </c>
      <c r="P56" s="189">
        <v>165.3909148601615</v>
      </c>
      <c r="Q56" s="189">
        <v>1517.2780045133159</v>
      </c>
      <c r="R56" s="189">
        <v>-8228.3102380319051</v>
      </c>
      <c r="S56" s="189">
        <v>-3119.4319893261891</v>
      </c>
      <c r="T56" s="189">
        <v>-5484.7576430749323</v>
      </c>
      <c r="U56" s="189">
        <v>-1895.9882600549599</v>
      </c>
      <c r="V56" s="189">
        <v>-3874.9764396292849</v>
      </c>
      <c r="W56" s="189">
        <v>-605.71056832039358</v>
      </c>
      <c r="X56" s="189">
        <v>-5347.2019476191308</v>
      </c>
      <c r="Y56" s="189">
        <v>-1285.0008177680402</v>
      </c>
      <c r="Z56" s="189">
        <v>-3330.6326201390857</v>
      </c>
      <c r="AA56" s="189">
        <v>-810.95358653267522</v>
      </c>
      <c r="AB56" s="189">
        <v>-678.24990794875339</v>
      </c>
      <c r="AC56" s="189">
        <v>806.66454445847376</v>
      </c>
      <c r="AD56" s="189">
        <v>184.86590400648493</v>
      </c>
      <c r="AE56" s="189">
        <v>2458.2009448707649</v>
      </c>
      <c r="AF56" s="189">
        <v>2472.2896796360728</v>
      </c>
      <c r="AG56" s="189">
        <v>3521.0296906262138</v>
      </c>
      <c r="AH56" s="189">
        <v>5528.2861284750761</v>
      </c>
      <c r="AI56" s="189">
        <v>5014.4033366801104</v>
      </c>
      <c r="AJ56" s="189">
        <v>5367.4098582642764</v>
      </c>
      <c r="AK56" s="189">
        <v>4623.0501825485699</v>
      </c>
      <c r="AL56" s="189">
        <v>1587.839883008648</v>
      </c>
      <c r="AM56" s="189">
        <v>2156.8650088313771</v>
      </c>
      <c r="AN56" s="189">
        <v>237.95723685933081</v>
      </c>
      <c r="AO56" s="189">
        <v>1569.5858613376877</v>
      </c>
      <c r="AP56" s="189">
        <v>-8177.8974494299891</v>
      </c>
      <c r="AQ56" s="189">
        <v>-3075.2697998081212</v>
      </c>
      <c r="AR56" s="189">
        <v>-5417.2121412371089</v>
      </c>
      <c r="AS56" s="189">
        <v>-1848.8732207640514</v>
      </c>
      <c r="AT56" s="189">
        <v>-3804.7217098543333</v>
      </c>
      <c r="AU56" s="189">
        <v>-552.0107044538654</v>
      </c>
      <c r="AV56" s="189">
        <v>-5279.316095608805</v>
      </c>
      <c r="AW56" s="189">
        <v>-1236.0078568624103</v>
      </c>
      <c r="AX56" s="189">
        <v>-3259.1595744163242</v>
      </c>
      <c r="AY56" s="189">
        <v>-758.72319010994943</v>
      </c>
      <c r="BA56" s="166"/>
      <c r="BB56" s="166"/>
    </row>
    <row r="57" spans="2:54">
      <c r="B57" s="187">
        <v>10157</v>
      </c>
      <c r="C57" s="187" t="s">
        <v>60</v>
      </c>
      <c r="D57" s="189">
        <v>-1566.1362405949931</v>
      </c>
      <c r="E57" s="189">
        <v>1350.7733954670211</v>
      </c>
      <c r="F57" s="189">
        <v>-1935.2214141946988</v>
      </c>
      <c r="G57" s="189">
        <v>1104.9727929914898</v>
      </c>
      <c r="H57" s="189">
        <v>351.41548545814112</v>
      </c>
      <c r="I57" s="189">
        <v>3371.4232249549887</v>
      </c>
      <c r="J57" s="189">
        <v>1854.4694027282712</v>
      </c>
      <c r="K57" s="189">
        <v>3196.3517924597327</v>
      </c>
      <c r="L57" s="189">
        <v>1810.3598070545904</v>
      </c>
      <c r="M57" s="189">
        <v>2786.1989809018569</v>
      </c>
      <c r="N57" s="189">
        <v>224.98471722381692</v>
      </c>
      <c r="O57" s="189">
        <v>1567.3369764500549</v>
      </c>
      <c r="P57" s="189">
        <v>-1114.4090038456743</v>
      </c>
      <c r="Q57" s="189">
        <v>1537.945037915938</v>
      </c>
      <c r="R57" s="189">
        <v>-6514.5899312591864</v>
      </c>
      <c r="S57" s="189">
        <v>-1971.9800273955279</v>
      </c>
      <c r="T57" s="189">
        <v>-3772.4497916658838</v>
      </c>
      <c r="U57" s="189">
        <v>-396.15998390030745</v>
      </c>
      <c r="V57" s="189">
        <v>-1846.4125314955181</v>
      </c>
      <c r="W57" s="189">
        <v>1797.8350160225054</v>
      </c>
      <c r="X57" s="189">
        <v>-2972.6107974595216</v>
      </c>
      <c r="Y57" s="189">
        <v>494.60386164136253</v>
      </c>
      <c r="Z57" s="189">
        <v>-2756.4534608406575</v>
      </c>
      <c r="AA57" s="189">
        <v>710.78946166248716</v>
      </c>
      <c r="AB57" s="189">
        <v>-1230.1362405949931</v>
      </c>
      <c r="AC57" s="189">
        <v>1014.7733954670211</v>
      </c>
      <c r="AD57" s="189">
        <v>-1535.2214141946988</v>
      </c>
      <c r="AE57" s="189">
        <v>1425.9727929914898</v>
      </c>
      <c r="AF57" s="189">
        <v>751.41548545814112</v>
      </c>
      <c r="AG57" s="189">
        <v>3715.4232249549887</v>
      </c>
      <c r="AH57" s="189">
        <v>1854.4694027282712</v>
      </c>
      <c r="AI57" s="189">
        <v>3196.3517924597327</v>
      </c>
      <c r="AJ57" s="189">
        <v>2194.3598070545904</v>
      </c>
      <c r="AK57" s="189">
        <v>3074.1989809018569</v>
      </c>
      <c r="AL57" s="189">
        <v>-159.01528277618308</v>
      </c>
      <c r="AM57" s="189">
        <v>1951.3369764500549</v>
      </c>
      <c r="AN57" s="189">
        <v>-346.40900384567431</v>
      </c>
      <c r="AO57" s="189">
        <v>1489.945037915938</v>
      </c>
      <c r="AP57" s="189">
        <v>-6098.5899312591864</v>
      </c>
      <c r="AQ57" s="189">
        <v>-1643.9800273955279</v>
      </c>
      <c r="AR57" s="189">
        <v>-4076.4497916658838</v>
      </c>
      <c r="AS57" s="189">
        <v>-92.159983900307452</v>
      </c>
      <c r="AT57" s="189">
        <v>-1510.4125314955181</v>
      </c>
      <c r="AU57" s="189">
        <v>1461.8350160225054</v>
      </c>
      <c r="AV57" s="189">
        <v>-2540.6107974595216</v>
      </c>
      <c r="AW57" s="189">
        <v>806.60386164136253</v>
      </c>
      <c r="AX57" s="189">
        <v>-2756.4534608406575</v>
      </c>
      <c r="AY57" s="189">
        <v>710.78946166248716</v>
      </c>
      <c r="BA57" s="166"/>
      <c r="BB57" s="166"/>
    </row>
    <row r="58" spans="2:54">
      <c r="B58" s="187">
        <v>10158</v>
      </c>
      <c r="C58" s="187" t="s">
        <v>61</v>
      </c>
      <c r="D58" s="189">
        <v>-345.34487094932604</v>
      </c>
      <c r="E58" s="189">
        <v>-9.0588274299672094</v>
      </c>
      <c r="F58" s="189">
        <v>-337.48258333670628</v>
      </c>
      <c r="G58" s="189">
        <v>40.556198039983656</v>
      </c>
      <c r="H58" s="189">
        <v>11.081536552635043</v>
      </c>
      <c r="I58" s="189">
        <v>361.0790027871908</v>
      </c>
      <c r="J58" s="189">
        <v>260.59504612531441</v>
      </c>
      <c r="K58" s="189">
        <v>399.55022491843363</v>
      </c>
      <c r="L58" s="189">
        <v>182.65729041136376</v>
      </c>
      <c r="M58" s="189">
        <v>336.84006117297747</v>
      </c>
      <c r="N58" s="189">
        <v>-137.03460180874356</v>
      </c>
      <c r="O58" s="189">
        <v>96.132353085487694</v>
      </c>
      <c r="P58" s="189">
        <v>-258.5641504870199</v>
      </c>
      <c r="Q58" s="189">
        <v>68.99048142348704</v>
      </c>
      <c r="R58" s="189">
        <v>-757.08016675027761</v>
      </c>
      <c r="S58" s="189">
        <v>-284.45914366125396</v>
      </c>
      <c r="T58" s="189">
        <v>-440.40934874501522</v>
      </c>
      <c r="U58" s="189">
        <v>-130.31863248185277</v>
      </c>
      <c r="V58" s="189">
        <v>-260.18950031344502</v>
      </c>
      <c r="W58" s="189">
        <v>44.637550008509379</v>
      </c>
      <c r="X58" s="189">
        <v>-343.3118163154968</v>
      </c>
      <c r="Y58" s="189">
        <v>-56.731179164256446</v>
      </c>
      <c r="Z58" s="189">
        <v>-356.74241120191766</v>
      </c>
      <c r="AA58" s="189">
        <v>-39.805484386712465</v>
      </c>
      <c r="AB58" s="189">
        <v>-314.03787094932602</v>
      </c>
      <c r="AC58" s="189">
        <v>-40.366827429967202</v>
      </c>
      <c r="AD58" s="189">
        <v>-337.48258333670628</v>
      </c>
      <c r="AE58" s="189">
        <v>40.556198039983656</v>
      </c>
      <c r="AF58" s="189">
        <v>11.081536552635043</v>
      </c>
      <c r="AG58" s="189">
        <v>361.0790027871908</v>
      </c>
      <c r="AH58" s="189">
        <v>260.59504612531441</v>
      </c>
      <c r="AI58" s="189">
        <v>399.55022491843363</v>
      </c>
      <c r="AJ58" s="189">
        <v>182.65729041136376</v>
      </c>
      <c r="AK58" s="189">
        <v>336.84006117297747</v>
      </c>
      <c r="AL58" s="189">
        <v>-175.77160180874353</v>
      </c>
      <c r="AM58" s="189">
        <v>134.87035308548775</v>
      </c>
      <c r="AN58" s="189">
        <v>-223.55215048701996</v>
      </c>
      <c r="AO58" s="189">
        <v>33.978481423487096</v>
      </c>
      <c r="AP58" s="189">
        <v>-757.08016675027761</v>
      </c>
      <c r="AQ58" s="189">
        <v>-284.45914366125396</v>
      </c>
      <c r="AR58" s="189">
        <v>-472.97634874501523</v>
      </c>
      <c r="AS58" s="189">
        <v>-97.751632481852766</v>
      </c>
      <c r="AT58" s="189">
        <v>-226.24550031344495</v>
      </c>
      <c r="AU58" s="189">
        <v>10.692550008509329</v>
      </c>
      <c r="AV58" s="189">
        <v>-343.3118163154968</v>
      </c>
      <c r="AW58" s="189">
        <v>-56.731179164256446</v>
      </c>
      <c r="AX58" s="189">
        <v>-356.74241120191766</v>
      </c>
      <c r="AY58" s="189">
        <v>-39.805484386712465</v>
      </c>
      <c r="BA58" s="166"/>
      <c r="BB58" s="166"/>
    </row>
    <row r="59" spans="2:54">
      <c r="B59" s="187">
        <v>10170</v>
      </c>
      <c r="C59" s="187" t="s">
        <v>62</v>
      </c>
      <c r="D59" s="189">
        <v>-5293.3212761054456</v>
      </c>
      <c r="E59" s="189">
        <v>8222.0625979837423</v>
      </c>
      <c r="F59" s="189">
        <v>-17536.105290175452</v>
      </c>
      <c r="G59" s="189">
        <v>-1330.1030504668597</v>
      </c>
      <c r="H59" s="189">
        <v>-6161.9435050927787</v>
      </c>
      <c r="I59" s="189">
        <v>9414.7639163504791</v>
      </c>
      <c r="J59" s="189">
        <v>8046.6380895308321</v>
      </c>
      <c r="K59" s="189">
        <v>14658.242930554494</v>
      </c>
      <c r="L59" s="189">
        <v>10813.941813228863</v>
      </c>
      <c r="M59" s="189">
        <v>14958.467622571119</v>
      </c>
      <c r="N59" s="189">
        <v>3213.5181898013761</v>
      </c>
      <c r="O59" s="189">
        <v>9050.893697614345</v>
      </c>
      <c r="P59" s="189">
        <v>-3930.5237785679128</v>
      </c>
      <c r="Q59" s="189">
        <v>8502.6784566901042</v>
      </c>
      <c r="R59" s="189">
        <v>-33347.951948654372</v>
      </c>
      <c r="S59" s="189">
        <v>-11122.581139003531</v>
      </c>
      <c r="T59" s="189">
        <v>-18953.897851173671</v>
      </c>
      <c r="U59" s="189">
        <v>-2533.8622667378331</v>
      </c>
      <c r="V59" s="189">
        <v>-6722.1770540590078</v>
      </c>
      <c r="W59" s="189">
        <v>10450.501495214143</v>
      </c>
      <c r="X59" s="189">
        <v>-8583.8482590145868</v>
      </c>
      <c r="Y59" s="189">
        <v>6464.0800683507659</v>
      </c>
      <c r="Z59" s="189">
        <v>-8640.3206989042228</v>
      </c>
      <c r="AA59" s="189">
        <v>7410.1440018583926</v>
      </c>
      <c r="AB59" s="189">
        <v>-2514.7991295857064</v>
      </c>
      <c r="AC59" s="189">
        <v>7347.3218080967308</v>
      </c>
      <c r="AD59" s="189">
        <v>-16591.712139881987</v>
      </c>
      <c r="AE59" s="189">
        <v>-517.14949802335468</v>
      </c>
      <c r="AF59" s="189">
        <v>-4811.6107488149719</v>
      </c>
      <c r="AG59" s="189">
        <v>10639.649273724994</v>
      </c>
      <c r="AH59" s="189">
        <v>9499.0791831014722</v>
      </c>
      <c r="AI59" s="189">
        <v>15839.371915922653</v>
      </c>
      <c r="AJ59" s="189">
        <v>12172.612896528291</v>
      </c>
      <c r="AK59" s="189">
        <v>16007.070425526366</v>
      </c>
      <c r="AL59" s="189">
        <v>2747.3375942611747</v>
      </c>
      <c r="AM59" s="189">
        <v>12156.704771398869</v>
      </c>
      <c r="AN59" s="189">
        <v>-727.96726167060842</v>
      </c>
      <c r="AO59" s="189">
        <v>7860.6664832891111</v>
      </c>
      <c r="AP59" s="189">
        <v>-32398.729751321007</v>
      </c>
      <c r="AQ59" s="189">
        <v>-10308.581613210241</v>
      </c>
      <c r="AR59" s="189">
        <v>-19419.853828029482</v>
      </c>
      <c r="AS59" s="189">
        <v>-277.75996037420191</v>
      </c>
      <c r="AT59" s="189">
        <v>-3990.5002171402375</v>
      </c>
      <c r="AU59" s="189">
        <v>9626.0620917392807</v>
      </c>
      <c r="AV59" s="189">
        <v>-7528.4813829073537</v>
      </c>
      <c r="AW59" s="189">
        <v>7281.0256502799239</v>
      </c>
      <c r="AX59" s="189">
        <v>-7696.6246988624407</v>
      </c>
      <c r="AY59" s="189">
        <v>8300.5853926746422</v>
      </c>
      <c r="BA59" s="166"/>
      <c r="BB59" s="166"/>
    </row>
    <row r="60" spans="2:54">
      <c r="B60" s="187">
        <v>10172</v>
      </c>
      <c r="C60" s="187" t="s">
        <v>63</v>
      </c>
      <c r="D60" s="189">
        <v>-30.866383897811374</v>
      </c>
      <c r="E60" s="189">
        <v>93.692711469441974</v>
      </c>
      <c r="F60" s="189">
        <v>-634.72196530861811</v>
      </c>
      <c r="G60" s="189">
        <v>-116.044996309721</v>
      </c>
      <c r="H60" s="189">
        <v>-171.22055617510978</v>
      </c>
      <c r="I60" s="189">
        <v>115.64578171359722</v>
      </c>
      <c r="J60" s="189">
        <v>308.47659595328605</v>
      </c>
      <c r="K60" s="189">
        <v>325.63431518996663</v>
      </c>
      <c r="L60" s="189">
        <v>377.84717925772338</v>
      </c>
      <c r="M60" s="189">
        <v>362.49113129014745</v>
      </c>
      <c r="N60" s="189">
        <v>7.4041766697559979</v>
      </c>
      <c r="O60" s="189">
        <v>149.44624258332465</v>
      </c>
      <c r="P60" s="189">
        <v>2.1195412632951047</v>
      </c>
      <c r="Q60" s="189">
        <v>148.02710791703794</v>
      </c>
      <c r="R60" s="189">
        <v>-1111.4246637252982</v>
      </c>
      <c r="S60" s="189">
        <v>-453.32524480852044</v>
      </c>
      <c r="T60" s="189">
        <v>-462.09454847750976</v>
      </c>
      <c r="U60" s="189">
        <v>-67.36451070007206</v>
      </c>
      <c r="V60" s="189">
        <v>187.64154859288237</v>
      </c>
      <c r="W60" s="189">
        <v>332.38174880634051</v>
      </c>
      <c r="X60" s="189">
        <v>-120.1510490274286</v>
      </c>
      <c r="Y60" s="189">
        <v>167.18273297515634</v>
      </c>
      <c r="Z60" s="189">
        <v>-162.47301666811973</v>
      </c>
      <c r="AA60" s="189">
        <v>111.8662588023376</v>
      </c>
      <c r="AB60" s="189">
        <v>-37.07911838239761</v>
      </c>
      <c r="AC60" s="189">
        <v>90.63009490447007</v>
      </c>
      <c r="AD60" s="189">
        <v>-643.65507100613377</v>
      </c>
      <c r="AE60" s="189">
        <v>-120.64707902723467</v>
      </c>
      <c r="AF60" s="189">
        <v>-178.82325581637815</v>
      </c>
      <c r="AG60" s="189">
        <v>111.59265927785532</v>
      </c>
      <c r="AH60" s="189">
        <v>303.16751558589385</v>
      </c>
      <c r="AI60" s="189">
        <v>322.68697149671857</v>
      </c>
      <c r="AJ60" s="189">
        <v>373.69509830340576</v>
      </c>
      <c r="AK60" s="189">
        <v>360.42572003044756</v>
      </c>
      <c r="AL60" s="189">
        <v>1.3818569246018342</v>
      </c>
      <c r="AM60" s="189">
        <v>146.30801822815465</v>
      </c>
      <c r="AN60" s="189">
        <v>-3.7800863425732132</v>
      </c>
      <c r="AO60" s="189">
        <v>145.12013800840987</v>
      </c>
      <c r="AP60" s="189">
        <v>-1122.7896810205339</v>
      </c>
      <c r="AQ60" s="189">
        <v>-459.34455762033258</v>
      </c>
      <c r="AR60" s="189">
        <v>-470.20360429784159</v>
      </c>
      <c r="AS60" s="189">
        <v>-71.208950336436146</v>
      </c>
      <c r="AT60" s="189">
        <v>182.0087964168124</v>
      </c>
      <c r="AU60" s="189">
        <v>329.9806400363484</v>
      </c>
      <c r="AV60" s="189">
        <v>-127.36751324987245</v>
      </c>
      <c r="AW60" s="189">
        <v>164.17862337110842</v>
      </c>
      <c r="AX60" s="189">
        <v>-168.86510238001756</v>
      </c>
      <c r="AY60" s="189">
        <v>108.76762399183758</v>
      </c>
      <c r="BA60" s="166"/>
      <c r="BB60" s="166"/>
    </row>
    <row r="61" spans="2:54">
      <c r="B61" s="187">
        <v>10173</v>
      </c>
      <c r="C61" s="187" t="s">
        <v>64</v>
      </c>
      <c r="D61" s="189">
        <v>0</v>
      </c>
      <c r="E61" s="189">
        <v>0</v>
      </c>
      <c r="F61" s="189">
        <v>0</v>
      </c>
      <c r="G61" s="189">
        <v>0</v>
      </c>
      <c r="H61" s="189">
        <v>0</v>
      </c>
      <c r="I61" s="189">
        <v>0</v>
      </c>
      <c r="J61" s="189">
        <v>0</v>
      </c>
      <c r="K61" s="189">
        <v>0</v>
      </c>
      <c r="L61" s="189">
        <v>0</v>
      </c>
      <c r="M61" s="189">
        <v>0</v>
      </c>
      <c r="N61" s="189">
        <v>0</v>
      </c>
      <c r="O61" s="189">
        <v>0</v>
      </c>
      <c r="P61" s="189">
        <v>0</v>
      </c>
      <c r="Q61" s="189">
        <v>0</v>
      </c>
      <c r="R61" s="189">
        <v>0</v>
      </c>
      <c r="S61" s="189">
        <v>0</v>
      </c>
      <c r="T61" s="189">
        <v>0</v>
      </c>
      <c r="U61" s="189">
        <v>0</v>
      </c>
      <c r="V61" s="189">
        <v>0</v>
      </c>
      <c r="W61" s="189">
        <v>0</v>
      </c>
      <c r="X61" s="189">
        <v>0</v>
      </c>
      <c r="Y61" s="189">
        <v>0</v>
      </c>
      <c r="Z61" s="189">
        <v>0</v>
      </c>
      <c r="AA61" s="189">
        <v>0</v>
      </c>
      <c r="AB61" s="189">
        <v>0</v>
      </c>
      <c r="AC61" s="189">
        <v>0</v>
      </c>
      <c r="AD61" s="189">
        <v>0</v>
      </c>
      <c r="AE61" s="189">
        <v>0</v>
      </c>
      <c r="AF61" s="189">
        <v>0</v>
      </c>
      <c r="AG61" s="189">
        <v>0</v>
      </c>
      <c r="AH61" s="189">
        <v>0</v>
      </c>
      <c r="AI61" s="189">
        <v>0</v>
      </c>
      <c r="AJ61" s="189">
        <v>0</v>
      </c>
      <c r="AK61" s="189">
        <v>0</v>
      </c>
      <c r="AL61" s="189">
        <v>0</v>
      </c>
      <c r="AM61" s="189">
        <v>0</v>
      </c>
      <c r="AN61" s="189">
        <v>0</v>
      </c>
      <c r="AO61" s="189">
        <v>0</v>
      </c>
      <c r="AP61" s="189">
        <v>0</v>
      </c>
      <c r="AQ61" s="189">
        <v>0</v>
      </c>
      <c r="AR61" s="189">
        <v>0</v>
      </c>
      <c r="AS61" s="189">
        <v>0</v>
      </c>
      <c r="AT61" s="189">
        <v>0</v>
      </c>
      <c r="AU61" s="189">
        <v>0</v>
      </c>
      <c r="AV61" s="189">
        <v>0</v>
      </c>
      <c r="AW61" s="189">
        <v>0</v>
      </c>
      <c r="AX61" s="189">
        <v>0</v>
      </c>
      <c r="AY61" s="189">
        <v>0</v>
      </c>
      <c r="BA61" s="166"/>
      <c r="BB61" s="166"/>
    </row>
    <row r="62" spans="2:54">
      <c r="B62" s="187">
        <v>10174</v>
      </c>
      <c r="C62" s="187" t="s">
        <v>65</v>
      </c>
      <c r="D62" s="189">
        <v>-54.719252360433359</v>
      </c>
      <c r="E62" s="189">
        <v>4.0738172446283016</v>
      </c>
      <c r="F62" s="189">
        <v>-46.299749912850075</v>
      </c>
      <c r="G62" s="189">
        <v>15.069863152685855</v>
      </c>
      <c r="H62" s="189">
        <v>25.007073948207733</v>
      </c>
      <c r="I62" s="189">
        <v>81.158674217537595</v>
      </c>
      <c r="J62" s="189">
        <v>77.81078039612882</v>
      </c>
      <c r="K62" s="189">
        <v>96.722772113867194</v>
      </c>
      <c r="L62" s="189">
        <v>59.037869846133958</v>
      </c>
      <c r="M62" s="189">
        <v>75.8443076068925</v>
      </c>
      <c r="N62" s="189">
        <v>-5.9974974191431443</v>
      </c>
      <c r="O62" s="189">
        <v>25.317517215819251</v>
      </c>
      <c r="P62" s="189">
        <v>-37.008806215477307</v>
      </c>
      <c r="Q62" s="189">
        <v>20.114415892411699</v>
      </c>
      <c r="R62" s="189">
        <v>-131.28548588186712</v>
      </c>
      <c r="S62" s="189">
        <v>-47.856772792320683</v>
      </c>
      <c r="T62" s="189">
        <v>-55.021353370467693</v>
      </c>
      <c r="U62" s="189">
        <v>-10.099202463642897</v>
      </c>
      <c r="V62" s="189">
        <v>-21.846220364858254</v>
      </c>
      <c r="W62" s="189">
        <v>25.079669859393789</v>
      </c>
      <c r="X62" s="189">
        <v>-53.137594398430934</v>
      </c>
      <c r="Y62" s="189">
        <v>-8.2318951327627872</v>
      </c>
      <c r="Z62" s="189">
        <v>-62.459965671366547</v>
      </c>
      <c r="AA62" s="189">
        <v>-4.4074857187374903</v>
      </c>
      <c r="AB62" s="189">
        <v>-48.177252360433357</v>
      </c>
      <c r="AC62" s="189">
        <v>-2.4681827553717</v>
      </c>
      <c r="AD62" s="189">
        <v>-46.299749912850075</v>
      </c>
      <c r="AE62" s="189">
        <v>15.069863152685855</v>
      </c>
      <c r="AF62" s="189">
        <v>25.007073948207733</v>
      </c>
      <c r="AG62" s="189">
        <v>81.158674217537595</v>
      </c>
      <c r="AH62" s="189">
        <v>77.81078039612882</v>
      </c>
      <c r="AI62" s="189">
        <v>96.722772113867194</v>
      </c>
      <c r="AJ62" s="189">
        <v>59.037869846133958</v>
      </c>
      <c r="AK62" s="189">
        <v>75.8443076068925</v>
      </c>
      <c r="AL62" s="189">
        <v>-14.245497419143163</v>
      </c>
      <c r="AM62" s="189">
        <v>33.565517215819241</v>
      </c>
      <c r="AN62" s="189">
        <v>-29.664806215477313</v>
      </c>
      <c r="AO62" s="189">
        <v>12.770415892411705</v>
      </c>
      <c r="AP62" s="189">
        <v>-131.28548588186712</v>
      </c>
      <c r="AQ62" s="189">
        <v>-47.856772792320683</v>
      </c>
      <c r="AR62" s="189">
        <v>-62.449353370467691</v>
      </c>
      <c r="AS62" s="189">
        <v>-2.671202463642885</v>
      </c>
      <c r="AT62" s="189">
        <v>-14.155220364858252</v>
      </c>
      <c r="AU62" s="189">
        <v>17.387669859393782</v>
      </c>
      <c r="AV62" s="189">
        <v>-53.137594398430934</v>
      </c>
      <c r="AW62" s="189">
        <v>-8.2318951327627872</v>
      </c>
      <c r="AX62" s="189">
        <v>-62.459965671366547</v>
      </c>
      <c r="AY62" s="189">
        <v>-4.4074857187374903</v>
      </c>
      <c r="BA62" s="166"/>
      <c r="BB62" s="166"/>
    </row>
    <row r="63" spans="2:54">
      <c r="B63" s="187">
        <v>10177</v>
      </c>
      <c r="C63" s="187" t="s">
        <v>66</v>
      </c>
      <c r="D63" s="189">
        <v>109.16308055698937</v>
      </c>
      <c r="E63" s="189">
        <v>502.12231866770844</v>
      </c>
      <c r="F63" s="189">
        <v>-198.80749132156416</v>
      </c>
      <c r="G63" s="189">
        <v>774.86348151614629</v>
      </c>
      <c r="H63" s="189">
        <v>875.15427258303589</v>
      </c>
      <c r="I63" s="189">
        <v>1245.206705728358</v>
      </c>
      <c r="J63" s="189">
        <v>1076.9695673370352</v>
      </c>
      <c r="K63" s="189">
        <v>1303.5340654963488</v>
      </c>
      <c r="L63" s="189">
        <v>1017.9177585968027</v>
      </c>
      <c r="M63" s="189">
        <v>1201.2405354876951</v>
      </c>
      <c r="N63" s="189">
        <v>61.106782635979471</v>
      </c>
      <c r="O63" s="189">
        <v>614.55690808378904</v>
      </c>
      <c r="P63" s="189">
        <v>-330.83955802695482</v>
      </c>
      <c r="Q63" s="189">
        <v>330.09395199645178</v>
      </c>
      <c r="R63" s="189">
        <v>-2715.1816010506841</v>
      </c>
      <c r="S63" s="189">
        <v>-1006.6883515209374</v>
      </c>
      <c r="T63" s="189">
        <v>-1770.4947525010757</v>
      </c>
      <c r="U63" s="189">
        <v>-469.72355667285638</v>
      </c>
      <c r="V63" s="189">
        <v>-978.37731141929589</v>
      </c>
      <c r="W63" s="189">
        <v>-22.60193404765505</v>
      </c>
      <c r="X63" s="189">
        <v>-1537.414600712209</v>
      </c>
      <c r="Y63" s="189">
        <v>-213.154930679671</v>
      </c>
      <c r="Z63" s="189">
        <v>-1198.9854334365232</v>
      </c>
      <c r="AA63" s="189">
        <v>-167.19982035432486</v>
      </c>
      <c r="AB63" s="189">
        <v>-354.25962424647605</v>
      </c>
      <c r="AC63" s="189">
        <v>190.78065732533878</v>
      </c>
      <c r="AD63" s="189">
        <v>-555.31189611435366</v>
      </c>
      <c r="AE63" s="189">
        <v>467.55737338733115</v>
      </c>
      <c r="AF63" s="189">
        <v>453.72570784777326</v>
      </c>
      <c r="AG63" s="189">
        <v>916.79532188015264</v>
      </c>
      <c r="AH63" s="189">
        <v>1249.6734281866093</v>
      </c>
      <c r="AI63" s="189">
        <v>1411.9252022472224</v>
      </c>
      <c r="AJ63" s="189">
        <v>1162.9354271938009</v>
      </c>
      <c r="AK63" s="189">
        <v>1287.278564115735</v>
      </c>
      <c r="AL63" s="189">
        <v>230.18300327201268</v>
      </c>
      <c r="AM63" s="189">
        <v>714.25926957203365</v>
      </c>
      <c r="AN63" s="189">
        <v>-166.56347362949691</v>
      </c>
      <c r="AO63" s="189">
        <v>422.50355479034124</v>
      </c>
      <c r="AP63" s="189">
        <v>-2481.710772753569</v>
      </c>
      <c r="AQ63" s="189">
        <v>-872.5464224050188</v>
      </c>
      <c r="AR63" s="189">
        <v>-1580.3918156726936</v>
      </c>
      <c r="AS63" s="189">
        <v>-368.10815347285188</v>
      </c>
      <c r="AT63" s="189">
        <v>-810.14698269517157</v>
      </c>
      <c r="AU63" s="189">
        <v>67.686501716239491</v>
      </c>
      <c r="AV63" s="189">
        <v>-1347.7924729759479</v>
      </c>
      <c r="AW63" s="189">
        <v>-118.01388390623788</v>
      </c>
      <c r="AX63" s="189">
        <v>-1034.5067020394699</v>
      </c>
      <c r="AY63" s="189">
        <v>-73.139040855724943</v>
      </c>
      <c r="BA63" s="166"/>
      <c r="BB63" s="166"/>
    </row>
    <row r="64" spans="2:54">
      <c r="B64" s="187">
        <v>10179</v>
      </c>
      <c r="C64" s="187" t="s">
        <v>67</v>
      </c>
      <c r="D64" s="189">
        <v>-4755.0062276081007</v>
      </c>
      <c r="E64" s="189">
        <v>-262.10970534893568</v>
      </c>
      <c r="F64" s="189">
        <v>-10999.46480340985</v>
      </c>
      <c r="G64" s="189">
        <v>2573.1779825494741</v>
      </c>
      <c r="H64" s="189">
        <v>5087.6131572025479</v>
      </c>
      <c r="I64" s="189">
        <v>9500.8499175049947</v>
      </c>
      <c r="J64" s="189">
        <v>19614.707244126592</v>
      </c>
      <c r="K64" s="189">
        <v>17351.328909559219</v>
      </c>
      <c r="L64" s="189">
        <v>21918.499276054237</v>
      </c>
      <c r="M64" s="189">
        <v>18560.187417840156</v>
      </c>
      <c r="N64" s="189">
        <v>5900.9079158531531</v>
      </c>
      <c r="O64" s="189">
        <v>8953.1880633448673</v>
      </c>
      <c r="P64" s="189">
        <v>-920.22606962328427</v>
      </c>
      <c r="Q64" s="189">
        <v>4109.0251811557246</v>
      </c>
      <c r="R64" s="189">
        <v>-40983.956070387641</v>
      </c>
      <c r="S64" s="189">
        <v>-18364.976115895632</v>
      </c>
      <c r="T64" s="189">
        <v>-24884.410585364247</v>
      </c>
      <c r="U64" s="189">
        <v>-9616.3412563203383</v>
      </c>
      <c r="V64" s="189">
        <v>-2833.5960143756238</v>
      </c>
      <c r="W64" s="189">
        <v>2706.0994167135141</v>
      </c>
      <c r="X64" s="189">
        <v>-13027.122282393801</v>
      </c>
      <c r="Y64" s="189">
        <v>-1732.4322616191203</v>
      </c>
      <c r="Z64" s="189">
        <v>-12388.546585891294</v>
      </c>
      <c r="AA64" s="189">
        <v>-2473.823390893187</v>
      </c>
      <c r="AB64" s="189">
        <v>-5133.7212276080973</v>
      </c>
      <c r="AC64" s="189">
        <v>-190.55870534892892</v>
      </c>
      <c r="AD64" s="189">
        <v>-10963.355803409839</v>
      </c>
      <c r="AE64" s="189">
        <v>2521.045982549469</v>
      </c>
      <c r="AF64" s="189">
        <v>5275.9331572025403</v>
      </c>
      <c r="AG64" s="189">
        <v>9480.3589175049929</v>
      </c>
      <c r="AH64" s="189">
        <v>19789.798244126592</v>
      </c>
      <c r="AI64" s="189">
        <v>17375.19090955922</v>
      </c>
      <c r="AJ64" s="189">
        <v>22059.314276054225</v>
      </c>
      <c r="AK64" s="189">
        <v>18578.591417840158</v>
      </c>
      <c r="AL64" s="189">
        <v>6189.3179158531566</v>
      </c>
      <c r="AM64" s="189">
        <v>8589.9270633448687</v>
      </c>
      <c r="AN64" s="189">
        <v>-1256.2430696232768</v>
      </c>
      <c r="AO64" s="189">
        <v>4240.777181155725</v>
      </c>
      <c r="AP64" s="189">
        <v>-41143.701070387637</v>
      </c>
      <c r="AQ64" s="189">
        <v>-18583.730115895625</v>
      </c>
      <c r="AR64" s="189">
        <v>-24781.958585364249</v>
      </c>
      <c r="AS64" s="189">
        <v>-10149.581256320336</v>
      </c>
      <c r="AT64" s="189">
        <v>-3162.8780143756303</v>
      </c>
      <c r="AU64" s="189">
        <v>2769.7184167135201</v>
      </c>
      <c r="AV64" s="189">
        <v>-13122.956282393803</v>
      </c>
      <c r="AW64" s="189">
        <v>-1924.0272616191214</v>
      </c>
      <c r="AX64" s="189">
        <v>-12502.856585891292</v>
      </c>
      <c r="AY64" s="189">
        <v>-2726.9343908931914</v>
      </c>
      <c r="BA64" s="166"/>
      <c r="BB64" s="166"/>
    </row>
    <row r="65" spans="2:54">
      <c r="B65" s="187">
        <v>10183</v>
      </c>
      <c r="C65" s="187" t="s">
        <v>68</v>
      </c>
      <c r="D65" s="189">
        <v>-4472.9405205006879</v>
      </c>
      <c r="E65" s="189">
        <v>3233.8432166429557</v>
      </c>
      <c r="F65" s="189">
        <v>-11452.837448612387</v>
      </c>
      <c r="G65" s="189">
        <v>-2241.0751047464728</v>
      </c>
      <c r="H65" s="189">
        <v>-7903.3694803569633</v>
      </c>
      <c r="I65" s="189">
        <v>1228.1385154554155</v>
      </c>
      <c r="J65" s="189">
        <v>-70.805040265826392</v>
      </c>
      <c r="K65" s="189">
        <v>4478.5084151621013</v>
      </c>
      <c r="L65" s="189">
        <v>-1255.6160363011477</v>
      </c>
      <c r="M65" s="189">
        <v>2793.1939666119542</v>
      </c>
      <c r="N65" s="189">
        <v>-5352.8878032554312</v>
      </c>
      <c r="O65" s="189">
        <v>-178.97326547751436</v>
      </c>
      <c r="P65" s="189">
        <v>-5523.15218858757</v>
      </c>
      <c r="Q65" s="189">
        <v>1933.8063220153672</v>
      </c>
      <c r="R65" s="189">
        <v>-14404.209965907758</v>
      </c>
      <c r="S65" s="189">
        <v>-3082.9026932229572</v>
      </c>
      <c r="T65" s="189">
        <v>-2658.3508110616094</v>
      </c>
      <c r="U65" s="189">
        <v>4229.6863059719271</v>
      </c>
      <c r="V65" s="189">
        <v>5208.7599636066298</v>
      </c>
      <c r="W65" s="189">
        <v>13332.235441822917</v>
      </c>
      <c r="X65" s="189">
        <v>2900.5686656047219</v>
      </c>
      <c r="Y65" s="189">
        <v>9001.5434500813099</v>
      </c>
      <c r="Z65" s="189">
        <v>-2092.096291870359</v>
      </c>
      <c r="AA65" s="189">
        <v>6334.2867523241657</v>
      </c>
      <c r="AB65" s="189">
        <v>-3176.9405205006879</v>
      </c>
      <c r="AC65" s="189">
        <v>2681.8432166429557</v>
      </c>
      <c r="AD65" s="189">
        <v>-11052.837448612387</v>
      </c>
      <c r="AE65" s="189">
        <v>-1920.0751047464728</v>
      </c>
      <c r="AF65" s="189">
        <v>-7103.3694803569633</v>
      </c>
      <c r="AG65" s="189">
        <v>1916.1385154554155</v>
      </c>
      <c r="AH65" s="189">
        <v>345.19495973417361</v>
      </c>
      <c r="AI65" s="189">
        <v>4806.5084151621013</v>
      </c>
      <c r="AJ65" s="189">
        <v>-487.61603630114769</v>
      </c>
      <c r="AK65" s="189">
        <v>3369.1939666119542</v>
      </c>
      <c r="AL65" s="189">
        <v>-5720.8878032554312</v>
      </c>
      <c r="AM65" s="189">
        <v>932.02673452248564</v>
      </c>
      <c r="AN65" s="189">
        <v>-4291.15218858757</v>
      </c>
      <c r="AO65" s="189">
        <v>1421.8063220153672</v>
      </c>
      <c r="AP65" s="189">
        <v>-13572.209965907758</v>
      </c>
      <c r="AQ65" s="189">
        <v>-2426.9026932229572</v>
      </c>
      <c r="AR65" s="189">
        <v>-2930.3508110616094</v>
      </c>
      <c r="AS65" s="189">
        <v>5941.6863059719271</v>
      </c>
      <c r="AT65" s="189">
        <v>7320.7599636066298</v>
      </c>
      <c r="AU65" s="189">
        <v>12708.235441822917</v>
      </c>
      <c r="AV65" s="189">
        <v>3332.5686656047219</v>
      </c>
      <c r="AW65" s="189">
        <v>9313.5434500813099</v>
      </c>
      <c r="AX65" s="189">
        <v>-1708.096291870359</v>
      </c>
      <c r="AY65" s="189">
        <v>6670.2867523241657</v>
      </c>
      <c r="BA65" s="166"/>
      <c r="BB65" s="166"/>
    </row>
    <row r="66" spans="2:54">
      <c r="B66" s="187">
        <v>10186</v>
      </c>
      <c r="C66" s="187" t="s">
        <v>69</v>
      </c>
      <c r="D66" s="189">
        <v>-578.98810784349917</v>
      </c>
      <c r="E66" s="189">
        <v>485.01613667384663</v>
      </c>
      <c r="F66" s="189">
        <v>-1499.8280812937428</v>
      </c>
      <c r="G66" s="189">
        <v>372.34927918807716</v>
      </c>
      <c r="H66" s="189">
        <v>-221.713420835531</v>
      </c>
      <c r="I66" s="189">
        <v>993.11985108011049</v>
      </c>
      <c r="J66" s="189">
        <v>1193.6294546223126</v>
      </c>
      <c r="K66" s="189">
        <v>1986.9607069719632</v>
      </c>
      <c r="L66" s="189">
        <v>1933.0461674125581</v>
      </c>
      <c r="M66" s="189">
        <v>2120.9513816944168</v>
      </c>
      <c r="N66" s="189">
        <v>1058.661806128277</v>
      </c>
      <c r="O66" s="189">
        <v>1577.7560372854714</v>
      </c>
      <c r="P66" s="189">
        <v>-245.05382228126746</v>
      </c>
      <c r="Q66" s="189">
        <v>718.571477030393</v>
      </c>
      <c r="R66" s="189">
        <v>-4245.3513350995709</v>
      </c>
      <c r="S66" s="189">
        <v>-1311.472019772671</v>
      </c>
      <c r="T66" s="189">
        <v>-2168.5526760685279</v>
      </c>
      <c r="U66" s="189">
        <v>-347.68733910024002</v>
      </c>
      <c r="V66" s="189">
        <v>-302.77792935778143</v>
      </c>
      <c r="W66" s="189">
        <v>829.54111671702685</v>
      </c>
      <c r="X66" s="189">
        <v>-1661.2410091518686</v>
      </c>
      <c r="Y66" s="189">
        <v>-28.450483530566999</v>
      </c>
      <c r="Z66" s="189">
        <v>-974.48422128190668</v>
      </c>
      <c r="AA66" s="189">
        <v>313.63037464288755</v>
      </c>
      <c r="AB66" s="189">
        <v>-629.2491723333851</v>
      </c>
      <c r="AC66" s="189">
        <v>534.20133207045637</v>
      </c>
      <c r="AD66" s="189">
        <v>-1509.4568935140542</v>
      </c>
      <c r="AE66" s="189">
        <v>374.39535658977184</v>
      </c>
      <c r="AF66" s="189">
        <v>-224.07354943647624</v>
      </c>
      <c r="AG66" s="189">
        <v>999.19387358071526</v>
      </c>
      <c r="AH66" s="189">
        <v>1200.1260411894837</v>
      </c>
      <c r="AI66" s="189">
        <v>1998.5471665682962</v>
      </c>
      <c r="AJ66" s="189">
        <v>1944.3621516907169</v>
      </c>
      <c r="AK66" s="189">
        <v>2133.8055777815866</v>
      </c>
      <c r="AL66" s="189">
        <v>1116.9455591221758</v>
      </c>
      <c r="AM66" s="189">
        <v>1533.6373623003083</v>
      </c>
      <c r="AN66" s="189">
        <v>-299.70436994415286</v>
      </c>
      <c r="AO66" s="189">
        <v>776.55509438674289</v>
      </c>
      <c r="AP66" s="189">
        <v>-4271.0261025509935</v>
      </c>
      <c r="AQ66" s="189">
        <v>-1319.2838397387377</v>
      </c>
      <c r="AR66" s="189">
        <v>-2131.2222937678252</v>
      </c>
      <c r="AS66" s="189">
        <v>-399.08225368205967</v>
      </c>
      <c r="AT66" s="189">
        <v>-357.09966284445545</v>
      </c>
      <c r="AU66" s="189">
        <v>887.4041925140582</v>
      </c>
      <c r="AV66" s="189">
        <v>-1670.6478196194003</v>
      </c>
      <c r="AW66" s="189">
        <v>-27.508610986354142</v>
      </c>
      <c r="AX66" s="189">
        <v>-980.60625555831029</v>
      </c>
      <c r="AY66" s="189">
        <v>316.33259888193788</v>
      </c>
      <c r="BA66" s="166"/>
      <c r="BB66" s="166"/>
    </row>
    <row r="67" spans="2:54">
      <c r="B67" s="187">
        <v>10190</v>
      </c>
      <c r="C67" s="187" t="s">
        <v>70</v>
      </c>
      <c r="D67" s="189">
        <v>-438.83230335325106</v>
      </c>
      <c r="E67" s="189">
        <v>-43.312870884226413</v>
      </c>
      <c r="F67" s="189">
        <v>219.72931486924563</v>
      </c>
      <c r="G67" s="189">
        <v>523.2255403171132</v>
      </c>
      <c r="H67" s="189">
        <v>1294.0906034618465</v>
      </c>
      <c r="I67" s="189">
        <v>1221.2108621279401</v>
      </c>
      <c r="J67" s="189">
        <v>1529.7933474457955</v>
      </c>
      <c r="K67" s="189">
        <v>1329.5225534040239</v>
      </c>
      <c r="L67" s="189">
        <v>924.32873952477757</v>
      </c>
      <c r="M67" s="189">
        <v>852.38987962266242</v>
      </c>
      <c r="N67" s="189">
        <v>131.57245685980797</v>
      </c>
      <c r="O67" s="189">
        <v>310.22049669311605</v>
      </c>
      <c r="P67" s="189">
        <v>-244.62402602897873</v>
      </c>
      <c r="Q67" s="189">
        <v>88.56690805102653</v>
      </c>
      <c r="R67" s="189">
        <v>-1427.1390551615202</v>
      </c>
      <c r="S67" s="189">
        <v>-624.98926827193122</v>
      </c>
      <c r="T67" s="189">
        <v>-765.73901396354677</v>
      </c>
      <c r="U67" s="189">
        <v>-334.78833813643053</v>
      </c>
      <c r="V67" s="189">
        <v>-75.739806374871478</v>
      </c>
      <c r="W67" s="189">
        <v>121.97312491772095</v>
      </c>
      <c r="X67" s="189">
        <v>-382.0616089018913</v>
      </c>
      <c r="Y67" s="189">
        <v>-74.567778444325995</v>
      </c>
      <c r="Z67" s="189">
        <v>-573.81588527524445</v>
      </c>
      <c r="AA67" s="189">
        <v>-188.03210078068741</v>
      </c>
      <c r="AB67" s="189">
        <v>-423.78930335325117</v>
      </c>
      <c r="AC67" s="189">
        <v>-33.622870884226586</v>
      </c>
      <c r="AD67" s="189">
        <v>234.0893148692453</v>
      </c>
      <c r="AE67" s="189">
        <v>533.60354031711336</v>
      </c>
      <c r="AF67" s="189">
        <v>1308.4966034618465</v>
      </c>
      <c r="AG67" s="189">
        <v>1231.5418621279398</v>
      </c>
      <c r="AH67" s="189">
        <v>1544.1443474457956</v>
      </c>
      <c r="AI67" s="189">
        <v>1339.8655534040238</v>
      </c>
      <c r="AJ67" s="189">
        <v>938.91973952477747</v>
      </c>
      <c r="AK67" s="189">
        <v>862.53787962266233</v>
      </c>
      <c r="AL67" s="189">
        <v>146.31045685980826</v>
      </c>
      <c r="AM67" s="189">
        <v>320.26049669311601</v>
      </c>
      <c r="AN67" s="189">
        <v>-229.83002602897864</v>
      </c>
      <c r="AO67" s="189">
        <v>98.51090805102649</v>
      </c>
      <c r="AP67" s="189">
        <v>-1412.4020551615204</v>
      </c>
      <c r="AQ67" s="189">
        <v>-614.99426827193133</v>
      </c>
      <c r="AR67" s="189">
        <v>-749.96501396354688</v>
      </c>
      <c r="AS67" s="189">
        <v>-325.82933813643058</v>
      </c>
      <c r="AT67" s="189">
        <v>-60.326806374871467</v>
      </c>
      <c r="AU67" s="189">
        <v>131.29412491772086</v>
      </c>
      <c r="AV67" s="189">
        <v>-366.08460890189099</v>
      </c>
      <c r="AW67" s="189">
        <v>-65.809778444325957</v>
      </c>
      <c r="AX67" s="189">
        <v>-558.8098852752446</v>
      </c>
      <c r="AY67" s="189">
        <v>-178.30110078068742</v>
      </c>
      <c r="BA67" s="166"/>
      <c r="BB67" s="166"/>
    </row>
    <row r="68" spans="2:54">
      <c r="B68" s="187">
        <v>10191</v>
      </c>
      <c r="C68" s="187" t="s">
        <v>71</v>
      </c>
      <c r="D68" s="189">
        <v>-3749.2274431270125</v>
      </c>
      <c r="E68" s="189">
        <v>3727.2338694943701</v>
      </c>
      <c r="F68" s="189">
        <v>-4684.3984323925542</v>
      </c>
      <c r="G68" s="189">
        <v>3111.2061318028136</v>
      </c>
      <c r="H68" s="189">
        <v>-1143.4919819059869</v>
      </c>
      <c r="I68" s="189">
        <v>6949.9594788970026</v>
      </c>
      <c r="J68" s="189">
        <v>4810.1420120016301</v>
      </c>
      <c r="K68" s="189">
        <v>8275.1496348242763</v>
      </c>
      <c r="L68" s="189">
        <v>5143.990930771517</v>
      </c>
      <c r="M68" s="189">
        <v>7550.2336406378818</v>
      </c>
      <c r="N68" s="189">
        <v>1430.0725123160701</v>
      </c>
      <c r="O68" s="189">
        <v>4662.1533438816459</v>
      </c>
      <c r="P68" s="189">
        <v>-2027.0200822295556</v>
      </c>
      <c r="Q68" s="189">
        <v>4658.1464379605059</v>
      </c>
      <c r="R68" s="189">
        <v>-15221.543104635435</v>
      </c>
      <c r="S68" s="189">
        <v>-3821.8591525450065</v>
      </c>
      <c r="T68" s="189">
        <v>-8965.5885529937441</v>
      </c>
      <c r="U68" s="189">
        <v>-449.95830420079619</v>
      </c>
      <c r="V68" s="189">
        <v>-6885.1913627520116</v>
      </c>
      <c r="W68" s="189">
        <v>2830.308810545961</v>
      </c>
      <c r="X68" s="189">
        <v>-8848.5758743841398</v>
      </c>
      <c r="Y68" s="189">
        <v>437.15188984341694</v>
      </c>
      <c r="Z68" s="189">
        <v>-6783.8409547877418</v>
      </c>
      <c r="AA68" s="189">
        <v>2135.7390904190233</v>
      </c>
      <c r="AB68" s="189">
        <v>-2423.8088351939659</v>
      </c>
      <c r="AC68" s="189">
        <v>3166.446147715842</v>
      </c>
      <c r="AD68" s="189">
        <v>-4268.331716125278</v>
      </c>
      <c r="AE68" s="189">
        <v>3441.6376227920809</v>
      </c>
      <c r="AF68" s="189">
        <v>-327.79861230058668</v>
      </c>
      <c r="AG68" s="189">
        <v>7647.4581135763219</v>
      </c>
      <c r="AH68" s="189">
        <v>5655.4400004057643</v>
      </c>
      <c r="AI68" s="189">
        <v>8939.3758128868521</v>
      </c>
      <c r="AJ68" s="189">
        <v>5923.1373198212714</v>
      </c>
      <c r="AK68" s="189">
        <v>8132.7328930235544</v>
      </c>
      <c r="AL68" s="189">
        <v>835.28386403574405</v>
      </c>
      <c r="AM68" s="189">
        <v>6020.8337906723355</v>
      </c>
      <c r="AN68" s="189">
        <v>-654.10649186309456</v>
      </c>
      <c r="AO68" s="189">
        <v>4025.3129048599985</v>
      </c>
      <c r="AP68" s="189">
        <v>-14786.76278561067</v>
      </c>
      <c r="AQ68" s="189">
        <v>-3483.1734084520067</v>
      </c>
      <c r="AR68" s="189">
        <v>-9366.3798915913721</v>
      </c>
      <c r="AS68" s="189">
        <v>694.08097939920663</v>
      </c>
      <c r="AT68" s="189">
        <v>-5255.8453353583318</v>
      </c>
      <c r="AU68" s="189">
        <v>2709.376430192955</v>
      </c>
      <c r="AV68" s="189">
        <v>-8401.4503637394446</v>
      </c>
      <c r="AW68" s="189">
        <v>756.63531040787166</v>
      </c>
      <c r="AX68" s="189">
        <v>-6002.7475605046493</v>
      </c>
      <c r="AY68" s="189">
        <v>2815.1284887105758</v>
      </c>
      <c r="BA68" s="166"/>
      <c r="BB68" s="166"/>
    </row>
    <row r="69" spans="2:54">
      <c r="B69" s="187">
        <v>10197</v>
      </c>
      <c r="C69" s="187" t="s">
        <v>72</v>
      </c>
      <c r="D69" s="189">
        <v>-4131.4221527657428</v>
      </c>
      <c r="E69" s="189">
        <v>-1063.0273742968102</v>
      </c>
      <c r="F69" s="189">
        <v>-8019.963428985704</v>
      </c>
      <c r="G69" s="189">
        <v>-3960.1659099765939</v>
      </c>
      <c r="H69" s="189">
        <v>-7119.4745734068483</v>
      </c>
      <c r="I69" s="189">
        <v>-3254.9752929035826</v>
      </c>
      <c r="J69" s="189">
        <v>-5493.1836410720271</v>
      </c>
      <c r="K69" s="189">
        <v>-2629.2172237962313</v>
      </c>
      <c r="L69" s="189">
        <v>-4703.2186140610174</v>
      </c>
      <c r="M69" s="189">
        <v>-2153.3599239107371</v>
      </c>
      <c r="N69" s="189">
        <v>-5596.0914246259799</v>
      </c>
      <c r="O69" s="189">
        <v>-2758.8290522226239</v>
      </c>
      <c r="P69" s="189">
        <v>1119.1136031211263</v>
      </c>
      <c r="Q69" s="189">
        <v>2341.7566248844105</v>
      </c>
      <c r="R69" s="189">
        <v>5778.9281872016873</v>
      </c>
      <c r="S69" s="189">
        <v>6221.5951627810064</v>
      </c>
      <c r="T69" s="189">
        <v>9605.9192657899493</v>
      </c>
      <c r="U69" s="189">
        <v>8611.8472080451611</v>
      </c>
      <c r="V69" s="189">
        <v>12384.139340109588</v>
      </c>
      <c r="W69" s="189">
        <v>13443.261469982699</v>
      </c>
      <c r="X69" s="189">
        <v>12237.00264473794</v>
      </c>
      <c r="Y69" s="189">
        <v>10757.622047837818</v>
      </c>
      <c r="Z69" s="189">
        <v>4028.3538019242005</v>
      </c>
      <c r="AA69" s="189">
        <v>6305.7590470883133</v>
      </c>
      <c r="AB69" s="189">
        <v>-3909.2371527657433</v>
      </c>
      <c r="AC69" s="189">
        <v>-1285.2123742968101</v>
      </c>
      <c r="AD69" s="189">
        <v>-8019.963428985704</v>
      </c>
      <c r="AE69" s="189">
        <v>-3960.1659099765939</v>
      </c>
      <c r="AF69" s="189">
        <v>-7119.4745734068483</v>
      </c>
      <c r="AG69" s="189">
        <v>-3254.9752929035826</v>
      </c>
      <c r="AH69" s="189">
        <v>-5493.1836410720271</v>
      </c>
      <c r="AI69" s="189">
        <v>-2629.2172237962313</v>
      </c>
      <c r="AJ69" s="189">
        <v>-4703.2186140610174</v>
      </c>
      <c r="AK69" s="189">
        <v>-2153.3599239107371</v>
      </c>
      <c r="AL69" s="189">
        <v>-5751.9794246259808</v>
      </c>
      <c r="AM69" s="189">
        <v>-2602.9400522226238</v>
      </c>
      <c r="AN69" s="189">
        <v>1539.6846031211262</v>
      </c>
      <c r="AO69" s="189">
        <v>1921.1856248844106</v>
      </c>
      <c r="AP69" s="189">
        <v>5778.9281872016873</v>
      </c>
      <c r="AQ69" s="189">
        <v>6221.5951627810064</v>
      </c>
      <c r="AR69" s="189">
        <v>8790.0952657899525</v>
      </c>
      <c r="AS69" s="189">
        <v>9427.6692080451612</v>
      </c>
      <c r="AT69" s="189">
        <v>13297.57734010959</v>
      </c>
      <c r="AU69" s="189">
        <v>12529.823469982697</v>
      </c>
      <c r="AV69" s="189">
        <v>12237.00264473794</v>
      </c>
      <c r="AW69" s="189">
        <v>10757.622047837818</v>
      </c>
      <c r="AX69" s="189">
        <v>4028.3538019242005</v>
      </c>
      <c r="AY69" s="189">
        <v>6305.7590470883133</v>
      </c>
      <c r="BA69" s="166"/>
      <c r="BB69" s="166"/>
    </row>
    <row r="70" spans="2:54">
      <c r="B70" s="187">
        <v>10202</v>
      </c>
      <c r="C70" s="187" t="s">
        <v>73</v>
      </c>
      <c r="D70" s="189">
        <v>989.69913587632527</v>
      </c>
      <c r="E70" s="189">
        <v>910.53174468124053</v>
      </c>
      <c r="F70" s="189">
        <v>97.229261637453419</v>
      </c>
      <c r="G70" s="189">
        <v>306.70432320938107</v>
      </c>
      <c r="H70" s="189">
        <v>846.18770143371148</v>
      </c>
      <c r="I70" s="189">
        <v>1163.0159459375</v>
      </c>
      <c r="J70" s="189">
        <v>1636.8581635484825</v>
      </c>
      <c r="K70" s="189">
        <v>1089.3024435175907</v>
      </c>
      <c r="L70" s="189">
        <v>1598.5070912441643</v>
      </c>
      <c r="M70" s="189">
        <v>991.17359606218497</v>
      </c>
      <c r="N70" s="189">
        <v>321.00515423580146</v>
      </c>
      <c r="O70" s="189">
        <v>59.436010418878595</v>
      </c>
      <c r="P70" s="189">
        <v>-477.93822774245837</v>
      </c>
      <c r="Q70" s="189">
        <v>23.772710892039413</v>
      </c>
      <c r="R70" s="189">
        <v>-3443.4913741247428</v>
      </c>
      <c r="S70" s="189">
        <v>-2012.8644290401762</v>
      </c>
      <c r="T70" s="189">
        <v>-2047.5935978430307</v>
      </c>
      <c r="U70" s="189">
        <v>-1239.0245692910776</v>
      </c>
      <c r="V70" s="189">
        <v>-1110.6003720876761</v>
      </c>
      <c r="W70" s="189">
        <v>-325.75021383778812</v>
      </c>
      <c r="X70" s="189">
        <v>-640.5798760028938</v>
      </c>
      <c r="Y70" s="189">
        <v>-250.58570079806941</v>
      </c>
      <c r="Z70" s="189">
        <v>641.11038396492313</v>
      </c>
      <c r="AA70" s="189">
        <v>870.0243296685253</v>
      </c>
      <c r="AB70" s="189">
        <v>1233.180135876325</v>
      </c>
      <c r="AC70" s="189">
        <v>664.5447446812409</v>
      </c>
      <c r="AD70" s="189">
        <v>106.06626163745386</v>
      </c>
      <c r="AE70" s="189">
        <v>299.75332320938014</v>
      </c>
      <c r="AF70" s="189">
        <v>851.66470143371225</v>
      </c>
      <c r="AG70" s="189">
        <v>1155.0319459374996</v>
      </c>
      <c r="AH70" s="189">
        <v>1642.4261635484818</v>
      </c>
      <c r="AI70" s="189">
        <v>1081.2274435175909</v>
      </c>
      <c r="AJ70" s="189">
        <v>1612.1020912441645</v>
      </c>
      <c r="AK70" s="189">
        <v>988.82359606218552</v>
      </c>
      <c r="AL70" s="189">
        <v>121.82915423580107</v>
      </c>
      <c r="AM70" s="189">
        <v>256.29601041887872</v>
      </c>
      <c r="AN70" s="189">
        <v>-283.99222774245845</v>
      </c>
      <c r="AO70" s="189">
        <v>-168.09628910796027</v>
      </c>
      <c r="AP70" s="189">
        <v>-3434.8963741247426</v>
      </c>
      <c r="AQ70" s="189">
        <v>-2023.9654290401768</v>
      </c>
      <c r="AR70" s="189">
        <v>-2185.9015978430307</v>
      </c>
      <c r="AS70" s="189">
        <v>-1098.6395692910778</v>
      </c>
      <c r="AT70" s="189">
        <v>-940.65937208767627</v>
      </c>
      <c r="AU70" s="189">
        <v>-498.19821383778844</v>
      </c>
      <c r="AV70" s="189">
        <v>-631.74987600289387</v>
      </c>
      <c r="AW70" s="189">
        <v>-261.9237007980696</v>
      </c>
      <c r="AX70" s="189">
        <v>651.54038396492342</v>
      </c>
      <c r="AY70" s="189">
        <v>861.67232966852589</v>
      </c>
      <c r="BA70" s="166"/>
      <c r="BB70" s="166"/>
    </row>
    <row r="71" spans="2:54">
      <c r="B71" s="187">
        <v>10203</v>
      </c>
      <c r="C71" s="187" t="s">
        <v>74</v>
      </c>
      <c r="D71" s="189">
        <v>-90.027460057378448</v>
      </c>
      <c r="E71" s="189">
        <v>19.005694049662679</v>
      </c>
      <c r="F71" s="189">
        <v>-66.139864023271002</v>
      </c>
      <c r="G71" s="189">
        <v>336.87239387516843</v>
      </c>
      <c r="H71" s="189">
        <v>736.60940895691328</v>
      </c>
      <c r="I71" s="189">
        <v>779.5865518931862</v>
      </c>
      <c r="J71" s="189">
        <v>1077.2994111370208</v>
      </c>
      <c r="K71" s="189">
        <v>953.20355311611502</v>
      </c>
      <c r="L71" s="189">
        <v>983.03088195460805</v>
      </c>
      <c r="M71" s="189">
        <v>791.95568174002983</v>
      </c>
      <c r="N71" s="189">
        <v>373.75462409160446</v>
      </c>
      <c r="O71" s="189">
        <v>423.64141942708284</v>
      </c>
      <c r="P71" s="189">
        <v>-7.6440360515471184</v>
      </c>
      <c r="Q71" s="189">
        <v>164.09612311097703</v>
      </c>
      <c r="R71" s="189">
        <v>-1508.2901066814443</v>
      </c>
      <c r="S71" s="189">
        <v>-680.53524987982109</v>
      </c>
      <c r="T71" s="189">
        <v>-781.31588605507341</v>
      </c>
      <c r="U71" s="189">
        <v>-298.61456396371659</v>
      </c>
      <c r="V71" s="189">
        <v>5.0472460469927682</v>
      </c>
      <c r="W71" s="189">
        <v>130.98455972476063</v>
      </c>
      <c r="X71" s="189">
        <v>-398.59917535992463</v>
      </c>
      <c r="Y71" s="189">
        <v>-89.319423850964768</v>
      </c>
      <c r="Z71" s="189">
        <v>-521.68316518874963</v>
      </c>
      <c r="AA71" s="189">
        <v>-131.18542179104998</v>
      </c>
      <c r="AB71" s="189">
        <v>-79.261460057378827</v>
      </c>
      <c r="AC71" s="189">
        <v>25.07169404966271</v>
      </c>
      <c r="AD71" s="189">
        <v>-53.096864023271337</v>
      </c>
      <c r="AE71" s="189">
        <v>346.08539387516862</v>
      </c>
      <c r="AF71" s="189">
        <v>752.62040895691325</v>
      </c>
      <c r="AG71" s="189">
        <v>790.65555189318616</v>
      </c>
      <c r="AH71" s="189">
        <v>1092.7554111370205</v>
      </c>
      <c r="AI71" s="189">
        <v>963.95055311611532</v>
      </c>
      <c r="AJ71" s="189">
        <v>996.31688195460811</v>
      </c>
      <c r="AK71" s="189">
        <v>800.60768174002988</v>
      </c>
      <c r="AL71" s="189">
        <v>386.27362409160423</v>
      </c>
      <c r="AM71" s="189">
        <v>431.77541942708285</v>
      </c>
      <c r="AN71" s="189">
        <v>3.0459639484529362</v>
      </c>
      <c r="AO71" s="189">
        <v>170.72712311097712</v>
      </c>
      <c r="AP71" s="189">
        <v>-1498.6331066814446</v>
      </c>
      <c r="AQ71" s="189">
        <v>-674.27724987982106</v>
      </c>
      <c r="AR71" s="189">
        <v>-771.44288605507336</v>
      </c>
      <c r="AS71" s="189">
        <v>-292.89656396371652</v>
      </c>
      <c r="AT71" s="189">
        <v>16.64024604699307</v>
      </c>
      <c r="AU71" s="189">
        <v>137.67955972476057</v>
      </c>
      <c r="AV71" s="189">
        <v>-387.391175359925</v>
      </c>
      <c r="AW71" s="189">
        <v>-83.313423850964909</v>
      </c>
      <c r="AX71" s="189">
        <v>-512.94016518874969</v>
      </c>
      <c r="AY71" s="189">
        <v>-125.57042179104997</v>
      </c>
      <c r="BA71" s="166"/>
      <c r="BB71" s="166"/>
    </row>
    <row r="72" spans="2:54">
      <c r="B72" s="187">
        <v>10204</v>
      </c>
      <c r="C72" s="187" t="s">
        <v>75</v>
      </c>
      <c r="D72" s="189">
        <v>-2117.4495770714257</v>
      </c>
      <c r="E72" s="189">
        <v>1367.6724521336519</v>
      </c>
      <c r="F72" s="189">
        <v>-3289.6220045783066</v>
      </c>
      <c r="G72" s="189">
        <v>482.29559215817608</v>
      </c>
      <c r="H72" s="189">
        <v>-552.92271162888574</v>
      </c>
      <c r="I72" s="189">
        <v>3129.7426656830448</v>
      </c>
      <c r="J72" s="189">
        <v>2151.3300485379532</v>
      </c>
      <c r="K72" s="189">
        <v>3733.2960977056537</v>
      </c>
      <c r="L72" s="189">
        <v>1851.7303662926879</v>
      </c>
      <c r="M72" s="189">
        <v>3066.7083200961079</v>
      </c>
      <c r="N72" s="189">
        <v>-250.53744518639724</v>
      </c>
      <c r="O72" s="189">
        <v>1470.458884062481</v>
      </c>
      <c r="P72" s="189">
        <v>-2046.0040757112019</v>
      </c>
      <c r="Q72" s="189">
        <v>1216.9869763933093</v>
      </c>
      <c r="R72" s="189">
        <v>-6536.8599823064942</v>
      </c>
      <c r="S72" s="189">
        <v>-1436.8411671377962</v>
      </c>
      <c r="T72" s="189">
        <v>-3731.7930251648504</v>
      </c>
      <c r="U72" s="189">
        <v>45.845169736003299</v>
      </c>
      <c r="V72" s="189">
        <v>-1235.9934774658414</v>
      </c>
      <c r="W72" s="189">
        <v>2914.1314724486865</v>
      </c>
      <c r="X72" s="189">
        <v>-2408.8042702700095</v>
      </c>
      <c r="Y72" s="189">
        <v>1363.1451950442834</v>
      </c>
      <c r="Z72" s="189">
        <v>-3360.1586033456115</v>
      </c>
      <c r="AA72" s="189">
        <v>727.93832711373852</v>
      </c>
      <c r="AB72" s="189">
        <v>-1363.6631229428149</v>
      </c>
      <c r="AC72" s="189">
        <v>1262.2337076522945</v>
      </c>
      <c r="AD72" s="189">
        <v>-2964.1131436356391</v>
      </c>
      <c r="AE72" s="189">
        <v>759.56777029885416</v>
      </c>
      <c r="AF72" s="189">
        <v>-225.68287979935485</v>
      </c>
      <c r="AG72" s="189">
        <v>3429.7035412607602</v>
      </c>
      <c r="AH72" s="189">
        <v>2921.675738664253</v>
      </c>
      <c r="AI72" s="189">
        <v>4351.1565448700885</v>
      </c>
      <c r="AJ72" s="189">
        <v>2568.051653425664</v>
      </c>
      <c r="AK72" s="189">
        <v>3612.5754226716372</v>
      </c>
      <c r="AL72" s="189">
        <v>-327.79007588668173</v>
      </c>
      <c r="AM72" s="189">
        <v>2193.8495398511141</v>
      </c>
      <c r="AN72" s="189">
        <v>-1305.8761765011295</v>
      </c>
      <c r="AO72" s="189">
        <v>1103.7606298593055</v>
      </c>
      <c r="AP72" s="189">
        <v>-6207.9323705121969</v>
      </c>
      <c r="AQ72" s="189">
        <v>-1158.384162478038</v>
      </c>
      <c r="AR72" s="189">
        <v>-3786.3059098485446</v>
      </c>
      <c r="AS72" s="189">
        <v>712.5721275905471</v>
      </c>
      <c r="AT72" s="189">
        <v>-865.87051356379925</v>
      </c>
      <c r="AU72" s="189">
        <v>2449.3634177217264</v>
      </c>
      <c r="AV72" s="189">
        <v>-2046.931637804475</v>
      </c>
      <c r="AW72" s="189">
        <v>1640.4493360636388</v>
      </c>
      <c r="AX72" s="189">
        <v>-3036.8643404762915</v>
      </c>
      <c r="AY72" s="189">
        <v>1029.6783895801882</v>
      </c>
      <c r="BA72" s="166"/>
      <c r="BB72" s="166"/>
    </row>
    <row r="73" spans="2:54">
      <c r="B73" s="187">
        <v>10209</v>
      </c>
      <c r="C73" s="187" t="s">
        <v>76</v>
      </c>
      <c r="D73" s="189">
        <v>-5958.5272938581402</v>
      </c>
      <c r="E73" s="189">
        <v>-305.99669301222457</v>
      </c>
      <c r="F73" s="189">
        <v>-9807.854192696308</v>
      </c>
      <c r="G73" s="189">
        <v>1483.1871837561121</v>
      </c>
      <c r="H73" s="189">
        <v>2919.0071577790659</v>
      </c>
      <c r="I73" s="189">
        <v>7618.9383706095468</v>
      </c>
      <c r="J73" s="189">
        <v>11333.853165046872</v>
      </c>
      <c r="K73" s="189">
        <v>12336.76559366037</v>
      </c>
      <c r="L73" s="189">
        <v>9507.4259844700573</v>
      </c>
      <c r="M73" s="189">
        <v>10619.523067399576</v>
      </c>
      <c r="N73" s="189">
        <v>-1932.8774331833993</v>
      </c>
      <c r="O73" s="189">
        <v>3846.8659644546569</v>
      </c>
      <c r="P73" s="189">
        <v>-5427.022462701083</v>
      </c>
      <c r="Q73" s="189">
        <v>1574.3580469698245</v>
      </c>
      <c r="R73" s="189">
        <v>-25491.499506125554</v>
      </c>
      <c r="S73" s="189">
        <v>-9539.5296740845261</v>
      </c>
      <c r="T73" s="189">
        <v>-11905.612886488467</v>
      </c>
      <c r="U73" s="189">
        <v>-1495.4113590013476</v>
      </c>
      <c r="V73" s="189">
        <v>-445.18452214406716</v>
      </c>
      <c r="W73" s="189">
        <v>4658.0866422872205</v>
      </c>
      <c r="X73" s="189">
        <v>-6819.496202435068</v>
      </c>
      <c r="Y73" s="189">
        <v>1515.055043560671</v>
      </c>
      <c r="Z73" s="189">
        <v>-8423.2991911290374</v>
      </c>
      <c r="AA73" s="189">
        <v>268.81427028988037</v>
      </c>
      <c r="AB73" s="189">
        <v>-7024.6832938581356</v>
      </c>
      <c r="AC73" s="189">
        <v>-861.46469301222169</v>
      </c>
      <c r="AD73" s="189">
        <v>-10874.922192696307</v>
      </c>
      <c r="AE73" s="189">
        <v>664.64818375611503</v>
      </c>
      <c r="AF73" s="189">
        <v>1716.8801577790728</v>
      </c>
      <c r="AG73" s="189">
        <v>6713.4853706095382</v>
      </c>
      <c r="AH73" s="189">
        <v>11331.659165046876</v>
      </c>
      <c r="AI73" s="189">
        <v>12311.625593660363</v>
      </c>
      <c r="AJ73" s="189">
        <v>9479.2449844700532</v>
      </c>
      <c r="AK73" s="189">
        <v>10582.903067399577</v>
      </c>
      <c r="AL73" s="189">
        <v>-1923.0034331834031</v>
      </c>
      <c r="AM73" s="189">
        <v>3677.8929644546552</v>
      </c>
      <c r="AN73" s="189">
        <v>-5616.6304627010904</v>
      </c>
      <c r="AO73" s="189">
        <v>1575.0830469698267</v>
      </c>
      <c r="AP73" s="189">
        <v>-25591.616506125552</v>
      </c>
      <c r="AQ73" s="189">
        <v>-9637.381674084525</v>
      </c>
      <c r="AR73" s="189">
        <v>-11897.810886488463</v>
      </c>
      <c r="AS73" s="189">
        <v>-1679.5373590013478</v>
      </c>
      <c r="AT73" s="189">
        <v>-594.7885221440738</v>
      </c>
      <c r="AU73" s="189">
        <v>4658.7696422872214</v>
      </c>
      <c r="AV73" s="189">
        <v>-6896.6732024350713</v>
      </c>
      <c r="AW73" s="189">
        <v>1430.2440435606732</v>
      </c>
      <c r="AX73" s="189">
        <v>-8512.4181911290361</v>
      </c>
      <c r="AY73" s="189">
        <v>156.72027028987941</v>
      </c>
      <c r="BA73" s="166"/>
      <c r="BB73" s="166"/>
    </row>
    <row r="74" spans="2:54">
      <c r="B74" s="187">
        <v>10230</v>
      </c>
      <c r="C74" s="187" t="s">
        <v>77</v>
      </c>
      <c r="D74" s="189">
        <v>-23.079073990094003</v>
      </c>
      <c r="E74" s="189">
        <v>101.62180203324806</v>
      </c>
      <c r="F74" s="189">
        <v>-54.199375593810146</v>
      </c>
      <c r="G74" s="189">
        <v>578.26412205837642</v>
      </c>
      <c r="H74" s="189">
        <v>1369.0130007872203</v>
      </c>
      <c r="I74" s="189">
        <v>1324.8062968963686</v>
      </c>
      <c r="J74" s="189">
        <v>2023.2963047365547</v>
      </c>
      <c r="K74" s="189">
        <v>1839.2102312229936</v>
      </c>
      <c r="L74" s="189">
        <v>1649.944403024761</v>
      </c>
      <c r="M74" s="189">
        <v>1377.5327603226026</v>
      </c>
      <c r="N74" s="189">
        <v>905.3793615841987</v>
      </c>
      <c r="O74" s="189">
        <v>852.10504473695028</v>
      </c>
      <c r="P74" s="189">
        <v>188.28448255331477</v>
      </c>
      <c r="Q74" s="189">
        <v>370.73371665227205</v>
      </c>
      <c r="R74" s="189">
        <v>-1740.5992189402332</v>
      </c>
      <c r="S74" s="189">
        <v>-618.55045559948849</v>
      </c>
      <c r="T74" s="189">
        <v>-900.33073405259984</v>
      </c>
      <c r="U74" s="189">
        <v>-304.80199202739777</v>
      </c>
      <c r="V74" s="189">
        <v>284.04939588914294</v>
      </c>
      <c r="W74" s="189">
        <v>462.91874347299972</v>
      </c>
      <c r="X74" s="189">
        <v>-155.1137916484422</v>
      </c>
      <c r="Y74" s="189">
        <v>199.96230682880378</v>
      </c>
      <c r="Z74" s="189">
        <v>-326.418982036545</v>
      </c>
      <c r="AA74" s="189">
        <v>-36.391143498587553</v>
      </c>
      <c r="AB74" s="189">
        <v>-16.066073990094083</v>
      </c>
      <c r="AC74" s="189">
        <v>131.67480203324794</v>
      </c>
      <c r="AD74" s="189">
        <v>-27.986375593810408</v>
      </c>
      <c r="AE74" s="189">
        <v>597.26312205837621</v>
      </c>
      <c r="AF74" s="189">
        <v>1402.3270007872206</v>
      </c>
      <c r="AG74" s="189">
        <v>1348.2792968963686</v>
      </c>
      <c r="AH74" s="189">
        <v>2055.7983047365542</v>
      </c>
      <c r="AI74" s="189">
        <v>1862.7862312229936</v>
      </c>
      <c r="AJ74" s="189">
        <v>1675.605403024761</v>
      </c>
      <c r="AK74" s="189">
        <v>1395.5647603226023</v>
      </c>
      <c r="AL74" s="189">
        <v>941.30136158419919</v>
      </c>
      <c r="AM74" s="189">
        <v>856.16104473695032</v>
      </c>
      <c r="AN74" s="189">
        <v>204.60348255331519</v>
      </c>
      <c r="AO74" s="189">
        <v>392.2637166522718</v>
      </c>
      <c r="AP74" s="189">
        <v>-1718.759218940233</v>
      </c>
      <c r="AQ74" s="189">
        <v>-603.71045559948834</v>
      </c>
      <c r="AR74" s="189">
        <v>-860.1237340525995</v>
      </c>
      <c r="AS74" s="189">
        <v>-314.04299202739776</v>
      </c>
      <c r="AT74" s="189">
        <v>290.7063958891431</v>
      </c>
      <c r="AU74" s="189">
        <v>496.84774347299935</v>
      </c>
      <c r="AV74" s="189">
        <v>-130.55379164844271</v>
      </c>
      <c r="AW74" s="189">
        <v>214.1953068288035</v>
      </c>
      <c r="AX74" s="189">
        <v>-306.73498203654481</v>
      </c>
      <c r="AY74" s="189">
        <v>-23.907143498587629</v>
      </c>
      <c r="BA74" s="166"/>
      <c r="BB74" s="166"/>
    </row>
    <row r="75" spans="2:54">
      <c r="B75" s="187">
        <v>10231</v>
      </c>
      <c r="C75" s="187" t="s">
        <v>78</v>
      </c>
      <c r="D75" s="189">
        <v>-428.54075987280521</v>
      </c>
      <c r="E75" s="189">
        <v>786.14230579798095</v>
      </c>
      <c r="F75" s="189">
        <v>-2446.2450955820859</v>
      </c>
      <c r="G75" s="189">
        <v>-431.67705662399021</v>
      </c>
      <c r="H75" s="189">
        <v>1187.9841833045357</v>
      </c>
      <c r="I75" s="189">
        <v>2895.8813952499095</v>
      </c>
      <c r="J75" s="189">
        <v>2991.4693699506715</v>
      </c>
      <c r="K75" s="189">
        <v>2668.1976729098023</v>
      </c>
      <c r="L75" s="189">
        <v>2987.563707841935</v>
      </c>
      <c r="M75" s="189">
        <v>2309.8666895610422</v>
      </c>
      <c r="N75" s="189">
        <v>-1777.7299310888411</v>
      </c>
      <c r="O75" s="189">
        <v>-1051.3627695793675</v>
      </c>
      <c r="P75" s="189">
        <v>-1883.1639555294551</v>
      </c>
      <c r="Q75" s="189">
        <v>-92.466552105741357</v>
      </c>
      <c r="R75" s="189">
        <v>-8617.4971324315684</v>
      </c>
      <c r="S75" s="189">
        <v>-4508.1293283175874</v>
      </c>
      <c r="T75" s="189">
        <v>-4260.5158313055963</v>
      </c>
      <c r="U75" s="189">
        <v>-2142.4901568277455</v>
      </c>
      <c r="V75" s="189">
        <v>2694.9906181775059</v>
      </c>
      <c r="W75" s="189">
        <v>3244.1768898846349</v>
      </c>
      <c r="X75" s="189">
        <v>2174.6149687620236</v>
      </c>
      <c r="Y75" s="189">
        <v>2145.3632568837711</v>
      </c>
      <c r="Z75" s="189">
        <v>47.025780243246118</v>
      </c>
      <c r="AA75" s="189">
        <v>1514.7831394360128</v>
      </c>
      <c r="AB75" s="189">
        <v>66.2222401271938</v>
      </c>
      <c r="AC75" s="189">
        <v>289.99830579798254</v>
      </c>
      <c r="AD75" s="189">
        <v>-2431.286095582087</v>
      </c>
      <c r="AE75" s="189">
        <v>-440.02805662398896</v>
      </c>
      <c r="AF75" s="189">
        <v>1196.3161833045342</v>
      </c>
      <c r="AG75" s="189">
        <v>2884.5043952499072</v>
      </c>
      <c r="AH75" s="189">
        <v>2999.2163699506709</v>
      </c>
      <c r="AI75" s="189">
        <v>2656.6866729098037</v>
      </c>
      <c r="AJ75" s="189">
        <v>3010.5347078419327</v>
      </c>
      <c r="AK75" s="189">
        <v>2309.5546895610423</v>
      </c>
      <c r="AL75" s="189">
        <v>-2209.1949310888431</v>
      </c>
      <c r="AM75" s="189">
        <v>-624.90476957936698</v>
      </c>
      <c r="AN75" s="189">
        <v>-1430.1259555294528</v>
      </c>
      <c r="AO75" s="189">
        <v>-542.55255210574251</v>
      </c>
      <c r="AP75" s="189">
        <v>-8607.7351324315714</v>
      </c>
      <c r="AQ75" s="189">
        <v>-4524.6243283175863</v>
      </c>
      <c r="AR75" s="189">
        <v>-4656.8158313055956</v>
      </c>
      <c r="AS75" s="189">
        <v>-1744.4131568277444</v>
      </c>
      <c r="AT75" s="189">
        <v>3274.0346181775039</v>
      </c>
      <c r="AU75" s="189">
        <v>2656.8998898846367</v>
      </c>
      <c r="AV75" s="189">
        <v>2183.8989687620269</v>
      </c>
      <c r="AW75" s="189">
        <v>2126.9952568837725</v>
      </c>
      <c r="AX75" s="189">
        <v>60.965780243244808</v>
      </c>
      <c r="AY75" s="189">
        <v>1500.1041394360127</v>
      </c>
      <c r="BA75" s="166"/>
      <c r="BB75" s="166"/>
    </row>
    <row r="76" spans="2:54">
      <c r="B76" s="187">
        <v>10234</v>
      </c>
      <c r="C76" s="187" t="s">
        <v>79</v>
      </c>
      <c r="D76" s="189">
        <v>-2171.6329729561512</v>
      </c>
      <c r="E76" s="189">
        <v>79.626837034578784</v>
      </c>
      <c r="F76" s="189">
        <v>-1625.7323319928983</v>
      </c>
      <c r="G76" s="189">
        <v>962.89797908271066</v>
      </c>
      <c r="H76" s="189">
        <v>4218.5097680134822</v>
      </c>
      <c r="I76" s="189">
        <v>4759.9198320756568</v>
      </c>
      <c r="J76" s="189">
        <v>5366.0032243430869</v>
      </c>
      <c r="K76" s="189">
        <v>6223.0779525168109</v>
      </c>
      <c r="L76" s="189">
        <v>5635.0545641199606</v>
      </c>
      <c r="M76" s="189">
        <v>4752.4149004779174</v>
      </c>
      <c r="N76" s="189">
        <v>1980.588412353809</v>
      </c>
      <c r="O76" s="189">
        <v>1634.9519248209108</v>
      </c>
      <c r="P76" s="189">
        <v>-1178.1563072399549</v>
      </c>
      <c r="Q76" s="189">
        <v>591.53235705438055</v>
      </c>
      <c r="R76" s="189">
        <v>-13123.465442114317</v>
      </c>
      <c r="S76" s="189">
        <v>-5480.3726632571943</v>
      </c>
      <c r="T76" s="189">
        <v>-5686.9102338477278</v>
      </c>
      <c r="U76" s="189">
        <v>-2467.4953591279282</v>
      </c>
      <c r="V76" s="189">
        <v>-327.60053085285108</v>
      </c>
      <c r="W76" s="189">
        <v>1838.1075178864485</v>
      </c>
      <c r="X76" s="189">
        <v>-2625.3745714228462</v>
      </c>
      <c r="Y76" s="189">
        <v>-188.77718875230676</v>
      </c>
      <c r="Z76" s="189">
        <v>-2835.9950299725497</v>
      </c>
      <c r="AA76" s="189">
        <v>-332.16352168720005</v>
      </c>
      <c r="AB76" s="189">
        <v>-2211.3179729561525</v>
      </c>
      <c r="AC76" s="189">
        <v>113.97383703457854</v>
      </c>
      <c r="AD76" s="189">
        <v>-1610.2653319929013</v>
      </c>
      <c r="AE76" s="189">
        <v>951.57397908271014</v>
      </c>
      <c r="AF76" s="189">
        <v>4232.4627680134799</v>
      </c>
      <c r="AG76" s="189">
        <v>4740.6648320756522</v>
      </c>
      <c r="AH76" s="189">
        <v>5368.9502243430907</v>
      </c>
      <c r="AI76" s="189">
        <v>6214.8399525168097</v>
      </c>
      <c r="AJ76" s="189">
        <v>5659.5295641199627</v>
      </c>
      <c r="AK76" s="189">
        <v>4752.2059004779185</v>
      </c>
      <c r="AL76" s="189">
        <v>2045.4704123538104</v>
      </c>
      <c r="AM76" s="189">
        <v>1565.1709248209118</v>
      </c>
      <c r="AN76" s="189">
        <v>-1213.1243072399557</v>
      </c>
      <c r="AO76" s="189">
        <v>631.0713570543794</v>
      </c>
      <c r="AP76" s="189">
        <v>-13116.443442114316</v>
      </c>
      <c r="AQ76" s="189">
        <v>-5492.7596632571931</v>
      </c>
      <c r="AR76" s="189">
        <v>-5610.6752338477272</v>
      </c>
      <c r="AS76" s="189">
        <v>-2539.2993591279301</v>
      </c>
      <c r="AT76" s="189">
        <v>-363.65653085285157</v>
      </c>
      <c r="AU76" s="189">
        <v>1868.6605178864502</v>
      </c>
      <c r="AV76" s="189">
        <v>-2609.5185714228464</v>
      </c>
      <c r="AW76" s="189">
        <v>-210.09618875230808</v>
      </c>
      <c r="AX76" s="189">
        <v>-2811.3170299725498</v>
      </c>
      <c r="AY76" s="189">
        <v>-352.39552168720002</v>
      </c>
      <c r="BA76" s="166"/>
      <c r="BB76" s="166"/>
    </row>
    <row r="77" spans="2:54">
      <c r="B77" s="187">
        <v>10235</v>
      </c>
      <c r="C77" s="187" t="s">
        <v>80</v>
      </c>
      <c r="D77" s="189">
        <v>-292.31235040768479</v>
      </c>
      <c r="E77" s="189">
        <v>834.82350175621832</v>
      </c>
      <c r="F77" s="189">
        <v>-479.78387044184637</v>
      </c>
      <c r="G77" s="189">
        <v>711.43045394689034</v>
      </c>
      <c r="H77" s="189">
        <v>542.61675407356597</v>
      </c>
      <c r="I77" s="189">
        <v>1798.9560673695123</v>
      </c>
      <c r="J77" s="189">
        <v>4281.8962097322092</v>
      </c>
      <c r="K77" s="189">
        <v>2999.4771111858572</v>
      </c>
      <c r="L77" s="189">
        <v>4397.6258527125719</v>
      </c>
      <c r="M77" s="189">
        <v>3044.3047256103264</v>
      </c>
      <c r="N77" s="189">
        <v>2034.715819280982</v>
      </c>
      <c r="O77" s="189">
        <v>1144.2885012138213</v>
      </c>
      <c r="P77" s="189">
        <v>223.78336730121191</v>
      </c>
      <c r="Q77" s="189">
        <v>1360.6848100341003</v>
      </c>
      <c r="R77" s="189">
        <v>-6815.5883857195622</v>
      </c>
      <c r="S77" s="189">
        <v>-3323.0466193626462</v>
      </c>
      <c r="T77" s="189">
        <v>-3518.2715366751509</v>
      </c>
      <c r="U77" s="189">
        <v>-1494.0390399367707</v>
      </c>
      <c r="V77" s="189">
        <v>-1953.3001046971604</v>
      </c>
      <c r="W77" s="189">
        <v>393.94661515170446</v>
      </c>
      <c r="X77" s="189">
        <v>-2779.8684122093764</v>
      </c>
      <c r="Y77" s="189">
        <v>-783.50596851143291</v>
      </c>
      <c r="Z77" s="189">
        <v>-2207.3547230414188</v>
      </c>
      <c r="AA77" s="189">
        <v>-123.40734774396242</v>
      </c>
      <c r="AB77" s="189">
        <v>180.40270484074972</v>
      </c>
      <c r="AC77" s="189">
        <v>365.23536440650059</v>
      </c>
      <c r="AD77" s="189">
        <v>-481.85690970549513</v>
      </c>
      <c r="AE77" s="189">
        <v>715.17694279675197</v>
      </c>
      <c r="AF77" s="189">
        <v>545.64490357350223</v>
      </c>
      <c r="AG77" s="189">
        <v>1808.1412597902527</v>
      </c>
      <c r="AH77" s="189">
        <v>4303.5735866840023</v>
      </c>
      <c r="AI77" s="189">
        <v>3014.6413450960008</v>
      </c>
      <c r="AJ77" s="189">
        <v>4419.8389263922509</v>
      </c>
      <c r="AK77" s="189">
        <v>3059.6573328375007</v>
      </c>
      <c r="AL77" s="189">
        <v>1506.6682867017498</v>
      </c>
      <c r="AM77" s="189">
        <v>1688.6496004337505</v>
      </c>
      <c r="AN77" s="189">
        <v>725.81394339850158</v>
      </c>
      <c r="AO77" s="189">
        <v>866.98285279350148</v>
      </c>
      <c r="AP77" s="189">
        <v>-6849.2884571405011</v>
      </c>
      <c r="AQ77" s="189">
        <v>-3339.4459132884976</v>
      </c>
      <c r="AR77" s="189">
        <v>-3959.5137978734983</v>
      </c>
      <c r="AS77" s="189">
        <v>-1077.3885909094988</v>
      </c>
      <c r="AT77" s="189">
        <v>-1540.0011980787513</v>
      </c>
      <c r="AU77" s="189">
        <v>-26.736366240999814</v>
      </c>
      <c r="AV77" s="189">
        <v>-2793.4652502494991</v>
      </c>
      <c r="AW77" s="189">
        <v>-787.27230455399967</v>
      </c>
      <c r="AX77" s="189">
        <v>-2218.1274258852482</v>
      </c>
      <c r="AY77" s="189">
        <v>-123.87716181249834</v>
      </c>
      <c r="BA77" s="166"/>
      <c r="BB77" s="166"/>
    </row>
    <row r="78" spans="2:54">
      <c r="B78" s="187">
        <v>10236</v>
      </c>
      <c r="C78" s="187" t="s">
        <v>81</v>
      </c>
      <c r="D78" s="189">
        <v>0</v>
      </c>
      <c r="E78" s="189">
        <v>0</v>
      </c>
      <c r="F78" s="189">
        <v>0</v>
      </c>
      <c r="G78" s="189">
        <v>0</v>
      </c>
      <c r="H78" s="189">
        <v>0</v>
      </c>
      <c r="I78" s="189">
        <v>0</v>
      </c>
      <c r="J78" s="189">
        <v>0</v>
      </c>
      <c r="K78" s="189">
        <v>0</v>
      </c>
      <c r="L78" s="189">
        <v>0</v>
      </c>
      <c r="M78" s="189">
        <v>0</v>
      </c>
      <c r="N78" s="189">
        <v>0</v>
      </c>
      <c r="O78" s="189">
        <v>0</v>
      </c>
      <c r="P78" s="189">
        <v>0</v>
      </c>
      <c r="Q78" s="189">
        <v>0</v>
      </c>
      <c r="R78" s="189">
        <v>0</v>
      </c>
      <c r="S78" s="189">
        <v>0</v>
      </c>
      <c r="T78" s="189">
        <v>0</v>
      </c>
      <c r="U78" s="189">
        <v>0</v>
      </c>
      <c r="V78" s="189">
        <v>0</v>
      </c>
      <c r="W78" s="189">
        <v>0</v>
      </c>
      <c r="X78" s="189">
        <v>0</v>
      </c>
      <c r="Y78" s="189">
        <v>0</v>
      </c>
      <c r="Z78" s="189">
        <v>0</v>
      </c>
      <c r="AA78" s="189">
        <v>0</v>
      </c>
      <c r="AB78" s="189">
        <v>0</v>
      </c>
      <c r="AC78" s="189">
        <v>0</v>
      </c>
      <c r="AD78" s="189">
        <v>0</v>
      </c>
      <c r="AE78" s="189">
        <v>0</v>
      </c>
      <c r="AF78" s="189">
        <v>0</v>
      </c>
      <c r="AG78" s="189">
        <v>0</v>
      </c>
      <c r="AH78" s="189">
        <v>0</v>
      </c>
      <c r="AI78" s="189">
        <v>0</v>
      </c>
      <c r="AJ78" s="189">
        <v>0</v>
      </c>
      <c r="AK78" s="189">
        <v>0</v>
      </c>
      <c r="AL78" s="189">
        <v>0</v>
      </c>
      <c r="AM78" s="189">
        <v>0</v>
      </c>
      <c r="AN78" s="189">
        <v>0</v>
      </c>
      <c r="AO78" s="189">
        <v>0</v>
      </c>
      <c r="AP78" s="189">
        <v>0</v>
      </c>
      <c r="AQ78" s="189">
        <v>0</v>
      </c>
      <c r="AR78" s="189">
        <v>0</v>
      </c>
      <c r="AS78" s="189">
        <v>0</v>
      </c>
      <c r="AT78" s="189">
        <v>0</v>
      </c>
      <c r="AU78" s="189">
        <v>0</v>
      </c>
      <c r="AV78" s="189">
        <v>0</v>
      </c>
      <c r="AW78" s="189">
        <v>0</v>
      </c>
      <c r="AX78" s="189">
        <v>0</v>
      </c>
      <c r="AY78" s="189">
        <v>0</v>
      </c>
      <c r="BA78" s="166"/>
      <c r="BB78" s="166"/>
    </row>
    <row r="79" spans="2:54">
      <c r="B79" s="187">
        <v>10237</v>
      </c>
      <c r="C79" s="187" t="s">
        <v>82</v>
      </c>
      <c r="D79" s="189">
        <v>-2133.2655891292452</v>
      </c>
      <c r="E79" s="189">
        <v>2925.2755622018831</v>
      </c>
      <c r="F79" s="189">
        <v>-3179.9981589069539</v>
      </c>
      <c r="G79" s="189">
        <v>2184.2916225490553</v>
      </c>
      <c r="H79" s="189">
        <v>930.75704483784648</v>
      </c>
      <c r="I79" s="189">
        <v>6269.4360025736514</v>
      </c>
      <c r="J79" s="189">
        <v>2191.7474091301447</v>
      </c>
      <c r="K79" s="189">
        <v>4818.2144932157444</v>
      </c>
      <c r="L79" s="189">
        <v>3183.2331258945542</v>
      </c>
      <c r="M79" s="189">
        <v>4932.7273158404532</v>
      </c>
      <c r="N79" s="189">
        <v>502.27033150499847</v>
      </c>
      <c r="O79" s="189">
        <v>2865.7996791224232</v>
      </c>
      <c r="P79" s="189">
        <v>-866.37860269046359</v>
      </c>
      <c r="Q79" s="189">
        <v>3635.9475330011519</v>
      </c>
      <c r="R79" s="189">
        <v>-10716.330076735903</v>
      </c>
      <c r="S79" s="189">
        <v>-2810.5836348552893</v>
      </c>
      <c r="T79" s="189">
        <v>-6662.1401012266142</v>
      </c>
      <c r="U79" s="189">
        <v>-662.10538678236662</v>
      </c>
      <c r="V79" s="189">
        <v>-5457.9721121589428</v>
      </c>
      <c r="W79" s="189">
        <v>1339.1750674775358</v>
      </c>
      <c r="X79" s="189">
        <v>-6436.386085144859</v>
      </c>
      <c r="Y79" s="189">
        <v>58.340512348366246</v>
      </c>
      <c r="Z79" s="189">
        <v>-4856.3585335497082</v>
      </c>
      <c r="AA79" s="189">
        <v>1314.9672554190729</v>
      </c>
      <c r="AB79" s="189">
        <v>-1200.4728074235645</v>
      </c>
      <c r="AC79" s="189">
        <v>2547.0537348956677</v>
      </c>
      <c r="AD79" s="189">
        <v>-2527.5198264518622</v>
      </c>
      <c r="AE79" s="189">
        <v>2739.6933871021665</v>
      </c>
      <c r="AF79" s="189">
        <v>1586.6633784610422</v>
      </c>
      <c r="AG79" s="189">
        <v>6870.2212659726592</v>
      </c>
      <c r="AH79" s="189">
        <v>2901.6476974194884</v>
      </c>
      <c r="AI79" s="189">
        <v>5398.6832219139415</v>
      </c>
      <c r="AJ79" s="189">
        <v>3848.8890082559446</v>
      </c>
      <c r="AK79" s="189">
        <v>5449.0523621174834</v>
      </c>
      <c r="AL79" s="189">
        <v>524.96610207894628</v>
      </c>
      <c r="AM79" s="189">
        <v>4137.2792131352071</v>
      </c>
      <c r="AN79" s="189">
        <v>519.05115849027061</v>
      </c>
      <c r="AO79" s="189">
        <v>3506.14633692401</v>
      </c>
      <c r="AP79" s="189">
        <v>-10056.767551417786</v>
      </c>
      <c r="AQ79" s="189">
        <v>-2252.6981942545881</v>
      </c>
      <c r="AR79" s="189">
        <v>-6945.7832650119672</v>
      </c>
      <c r="AS79" s="189">
        <v>128.07937289035726</v>
      </c>
      <c r="AT79" s="189">
        <v>-4236.512909137251</v>
      </c>
      <c r="AU79" s="189">
        <v>1418.2814689006173</v>
      </c>
      <c r="AV79" s="189">
        <v>-6143.2657737915433</v>
      </c>
      <c r="AW79" s="189">
        <v>301.62910534748153</v>
      </c>
      <c r="AX79" s="189">
        <v>-4208.5796992398755</v>
      </c>
      <c r="AY79" s="189">
        <v>1919.1191438330243</v>
      </c>
      <c r="BA79" s="166"/>
      <c r="BB79" s="166"/>
    </row>
    <row r="80" spans="2:54">
      <c r="B80" s="187">
        <v>10239</v>
      </c>
      <c r="C80" s="187" t="s">
        <v>83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89">
        <v>0</v>
      </c>
      <c r="P80" s="189">
        <v>0</v>
      </c>
      <c r="Q80" s="189">
        <v>0</v>
      </c>
      <c r="R80" s="189">
        <v>0</v>
      </c>
      <c r="S80" s="189">
        <v>0</v>
      </c>
      <c r="T80" s="189">
        <v>0</v>
      </c>
      <c r="U80" s="189">
        <v>0</v>
      </c>
      <c r="V80" s="189">
        <v>0</v>
      </c>
      <c r="W80" s="189">
        <v>0</v>
      </c>
      <c r="X80" s="189">
        <v>0</v>
      </c>
      <c r="Y80" s="189">
        <v>0</v>
      </c>
      <c r="Z80" s="189">
        <v>0</v>
      </c>
      <c r="AA80" s="189">
        <v>0</v>
      </c>
      <c r="AB80" s="189">
        <v>0</v>
      </c>
      <c r="AC80" s="189">
        <v>0</v>
      </c>
      <c r="AD80" s="189">
        <v>0</v>
      </c>
      <c r="AE80" s="189">
        <v>0</v>
      </c>
      <c r="AF80" s="189">
        <v>0</v>
      </c>
      <c r="AG80" s="189">
        <v>0</v>
      </c>
      <c r="AH80" s="189">
        <v>0</v>
      </c>
      <c r="AI80" s="189">
        <v>0</v>
      </c>
      <c r="AJ80" s="189">
        <v>0</v>
      </c>
      <c r="AK80" s="189">
        <v>0</v>
      </c>
      <c r="AL80" s="189">
        <v>0</v>
      </c>
      <c r="AM80" s="189">
        <v>0</v>
      </c>
      <c r="AN80" s="189">
        <v>0</v>
      </c>
      <c r="AO80" s="189">
        <v>0</v>
      </c>
      <c r="AP80" s="189">
        <v>0</v>
      </c>
      <c r="AQ80" s="189">
        <v>0</v>
      </c>
      <c r="AR80" s="189">
        <v>0</v>
      </c>
      <c r="AS80" s="189">
        <v>0</v>
      </c>
      <c r="AT80" s="189">
        <v>0</v>
      </c>
      <c r="AU80" s="189">
        <v>0</v>
      </c>
      <c r="AV80" s="189">
        <v>0</v>
      </c>
      <c r="AW80" s="189">
        <v>0</v>
      </c>
      <c r="AX80" s="189">
        <v>0</v>
      </c>
      <c r="AY80" s="189">
        <v>0</v>
      </c>
      <c r="BA80" s="166"/>
      <c r="BB80" s="166"/>
    </row>
    <row r="81" spans="2:54">
      <c r="B81" s="187">
        <v>10242</v>
      </c>
      <c r="C81" s="187" t="s">
        <v>84</v>
      </c>
      <c r="D81" s="189">
        <v>-1875.0382477627304</v>
      </c>
      <c r="E81" s="189">
        <v>-732.91209243906565</v>
      </c>
      <c r="F81" s="189">
        <v>-2736.8909917816313</v>
      </c>
      <c r="G81" s="189">
        <v>-1190.7211515054667</v>
      </c>
      <c r="H81" s="189">
        <v>-2033.9829632305778</v>
      </c>
      <c r="I81" s="189">
        <v>-746.22733182332058</v>
      </c>
      <c r="J81" s="189">
        <v>-1304.6219951486551</v>
      </c>
      <c r="K81" s="189">
        <v>-331.39631941262905</v>
      </c>
      <c r="L81" s="189">
        <v>-1055.4260902868768</v>
      </c>
      <c r="M81" s="189">
        <v>-199.84303356875739</v>
      </c>
      <c r="N81" s="189">
        <v>-1907.6400572700763</v>
      </c>
      <c r="O81" s="189">
        <v>-766.95804248514582</v>
      </c>
      <c r="P81" s="189">
        <v>-1954.1526882609633</v>
      </c>
      <c r="Q81" s="189">
        <v>-806.3916203710944</v>
      </c>
      <c r="R81" s="189">
        <v>-847.01542523358967</v>
      </c>
      <c r="S81" s="189">
        <v>571.18884789280582</v>
      </c>
      <c r="T81" s="189">
        <v>2710.1170911351192</v>
      </c>
      <c r="U81" s="189">
        <v>2745.8935318998792</v>
      </c>
      <c r="V81" s="189">
        <v>4563.2102202611277</v>
      </c>
      <c r="W81" s="189">
        <v>4557.7709616969096</v>
      </c>
      <c r="X81" s="189">
        <v>2830.2854076429303</v>
      </c>
      <c r="Y81" s="189">
        <v>3032.4061343941416</v>
      </c>
      <c r="Z81" s="189">
        <v>635.0355779367128</v>
      </c>
      <c r="AA81" s="189">
        <v>1281.5103663790128</v>
      </c>
      <c r="AB81" s="189">
        <v>-1892.4118625089977</v>
      </c>
      <c r="AC81" s="189">
        <v>-740.32104175036602</v>
      </c>
      <c r="AD81" s="189">
        <v>-2761.7263245224867</v>
      </c>
      <c r="AE81" s="189">
        <v>-1202.5058227748168</v>
      </c>
      <c r="AF81" s="189">
        <v>-2057.9173847709699</v>
      </c>
      <c r="AG81" s="189">
        <v>-758.16828433893079</v>
      </c>
      <c r="AH81" s="189">
        <v>-1322.8082851314284</v>
      </c>
      <c r="AI81" s="189">
        <v>-340.16588879206711</v>
      </c>
      <c r="AJ81" s="189">
        <v>-1068.1290818396778</v>
      </c>
      <c r="AK81" s="189">
        <v>-204.66303368845502</v>
      </c>
      <c r="AL81" s="189">
        <v>-1925.2216625883634</v>
      </c>
      <c r="AM81" s="189">
        <v>-774.79349263522545</v>
      </c>
      <c r="AN81" s="189">
        <v>-1970.6011921066602</v>
      </c>
      <c r="AO81" s="189">
        <v>-813.38716487667398</v>
      </c>
      <c r="AP81" s="189">
        <v>-820.52774649834646</v>
      </c>
      <c r="AQ81" s="189">
        <v>601.98206112120897</v>
      </c>
      <c r="AR81" s="189">
        <v>2748.6043918157302</v>
      </c>
      <c r="AS81" s="189">
        <v>2779.8074558726053</v>
      </c>
      <c r="AT81" s="189">
        <v>4603.2061081901393</v>
      </c>
      <c r="AU81" s="189">
        <v>4597.0677957371809</v>
      </c>
      <c r="AV81" s="189">
        <v>2868.5809158478933</v>
      </c>
      <c r="AW81" s="189">
        <v>3068.0658162033128</v>
      </c>
      <c r="AX81" s="189">
        <v>676.26082365738557</v>
      </c>
      <c r="AY81" s="189">
        <v>1319.4116932609254</v>
      </c>
      <c r="BA81" s="166"/>
      <c r="BB81" s="166"/>
    </row>
    <row r="82" spans="2:54">
      <c r="B82" s="187">
        <v>10244</v>
      </c>
      <c r="C82" s="187" t="s">
        <v>85</v>
      </c>
      <c r="D82" s="189">
        <v>-5990.4483734137211</v>
      </c>
      <c r="E82" s="189">
        <v>109.38993366195427</v>
      </c>
      <c r="F82" s="189">
        <v>-5064.0559605375674</v>
      </c>
      <c r="G82" s="189">
        <v>3828.0282704440287</v>
      </c>
      <c r="H82" s="189">
        <v>11676.400510726802</v>
      </c>
      <c r="I82" s="189">
        <v>15061.124255137158</v>
      </c>
      <c r="J82" s="189">
        <v>14059.176807382057</v>
      </c>
      <c r="K82" s="189">
        <v>15324.482553419053</v>
      </c>
      <c r="L82" s="189">
        <v>18005.284118739753</v>
      </c>
      <c r="M82" s="189">
        <v>17871.98939634574</v>
      </c>
      <c r="N82" s="189">
        <v>5794.38283463681</v>
      </c>
      <c r="O82" s="189">
        <v>8462.2688332283033</v>
      </c>
      <c r="P82" s="189">
        <v>-4150.1566381925877</v>
      </c>
      <c r="Q82" s="189">
        <v>2045.1600777038839</v>
      </c>
      <c r="R82" s="189">
        <v>-24535.291381799336</v>
      </c>
      <c r="S82" s="189">
        <v>-10122.011436176774</v>
      </c>
      <c r="T82" s="189">
        <v>-16615.839461066258</v>
      </c>
      <c r="U82" s="189">
        <v>-7531.0070808283799</v>
      </c>
      <c r="V82" s="189">
        <v>-9612.8049377689313</v>
      </c>
      <c r="W82" s="189">
        <v>-2415.5143488313697</v>
      </c>
      <c r="X82" s="189">
        <v>-13037.077956292535</v>
      </c>
      <c r="Y82" s="189">
        <v>-4588.0094405961754</v>
      </c>
      <c r="Z82" s="189">
        <v>-7137.265129866355</v>
      </c>
      <c r="AA82" s="189">
        <v>-1442.7931441284891</v>
      </c>
      <c r="AB82" s="189">
        <v>-6097.7923734137257</v>
      </c>
      <c r="AC82" s="189">
        <v>215.82493366195558</v>
      </c>
      <c r="AD82" s="189">
        <v>-5047.4459605375669</v>
      </c>
      <c r="AE82" s="189">
        <v>3827.094270444024</v>
      </c>
      <c r="AF82" s="189">
        <v>11693.612510726802</v>
      </c>
      <c r="AG82" s="189">
        <v>15038.464255137154</v>
      </c>
      <c r="AH82" s="189">
        <v>14062.744807382063</v>
      </c>
      <c r="AI82" s="189">
        <v>15313.716553419057</v>
      </c>
      <c r="AJ82" s="189">
        <v>18038.186118739748</v>
      </c>
      <c r="AK82" s="189">
        <v>17890.762396345741</v>
      </c>
      <c r="AL82" s="189">
        <v>5920.7898346368092</v>
      </c>
      <c r="AM82" s="189">
        <v>8326.0298332283019</v>
      </c>
      <c r="AN82" s="189">
        <v>-4256.24363819258</v>
      </c>
      <c r="AO82" s="189">
        <v>2159.0460777038861</v>
      </c>
      <c r="AP82" s="189">
        <v>-24528.129381799336</v>
      </c>
      <c r="AQ82" s="189">
        <v>-10143.300436176771</v>
      </c>
      <c r="AR82" s="189">
        <v>-16428.693461066261</v>
      </c>
      <c r="AS82" s="189">
        <v>-7712.7760808283801</v>
      </c>
      <c r="AT82" s="189">
        <v>-9726.4549377689291</v>
      </c>
      <c r="AU82" s="189">
        <v>-2319.3943488313707</v>
      </c>
      <c r="AV82" s="189">
        <v>-13013.694956292533</v>
      </c>
      <c r="AW82" s="189">
        <v>-4630.598440596179</v>
      </c>
      <c r="AX82" s="189">
        <v>-7097.9661298663559</v>
      </c>
      <c r="AY82" s="189">
        <v>-1482.7741441284852</v>
      </c>
      <c r="BA82" s="166"/>
      <c r="BB82" s="166"/>
    </row>
    <row r="83" spans="2:54">
      <c r="B83" s="187">
        <v>10246</v>
      </c>
      <c r="C83" s="187" t="s">
        <v>86</v>
      </c>
      <c r="D83" s="189">
        <v>-272.16215480583878</v>
      </c>
      <c r="E83" s="189">
        <v>300.1890319552881</v>
      </c>
      <c r="F83" s="189">
        <v>-78.820596161780486</v>
      </c>
      <c r="G83" s="189">
        <v>437.16111894735604</v>
      </c>
      <c r="H83" s="189">
        <v>634.43483669336365</v>
      </c>
      <c r="I83" s="189">
        <v>1066.8796506424287</v>
      </c>
      <c r="J83" s="189">
        <v>1208.6064920499421</v>
      </c>
      <c r="K83" s="189">
        <v>1072.7002438468307</v>
      </c>
      <c r="L83" s="189">
        <v>1315.1370052167226</v>
      </c>
      <c r="M83" s="189">
        <v>1078.6919857559974</v>
      </c>
      <c r="N83" s="189">
        <v>366.56896712385242</v>
      </c>
      <c r="O83" s="189">
        <v>402.84543214050973</v>
      </c>
      <c r="P83" s="189">
        <v>-235.18295763793139</v>
      </c>
      <c r="Q83" s="189">
        <v>396.26820383599215</v>
      </c>
      <c r="R83" s="189">
        <v>-2524.3922305060005</v>
      </c>
      <c r="S83" s="189">
        <v>-1080.0156258200541</v>
      </c>
      <c r="T83" s="189">
        <v>-1504.8112190071838</v>
      </c>
      <c r="U83" s="189">
        <v>-551.90504724557013</v>
      </c>
      <c r="V83" s="189">
        <v>-988.61033644748341</v>
      </c>
      <c r="W83" s="189">
        <v>36.282250792296281</v>
      </c>
      <c r="X83" s="189">
        <v>-1263.3245236094867</v>
      </c>
      <c r="Y83" s="189">
        <v>-318.24586470857935</v>
      </c>
      <c r="Z83" s="189">
        <v>-888.98575923993076</v>
      </c>
      <c r="AA83" s="189">
        <v>7.5288989475875496</v>
      </c>
      <c r="AB83" s="189">
        <v>-136.38215480583858</v>
      </c>
      <c r="AC83" s="189">
        <v>176.62003195528814</v>
      </c>
      <c r="AD83" s="189">
        <v>-71.55859616177986</v>
      </c>
      <c r="AE83" s="189">
        <v>442.18811894735609</v>
      </c>
      <c r="AF83" s="189">
        <v>641.52083669336389</v>
      </c>
      <c r="AG83" s="189">
        <v>1072.1356506424286</v>
      </c>
      <c r="AH83" s="189">
        <v>1215.905492049942</v>
      </c>
      <c r="AI83" s="189">
        <v>1077.7342438468304</v>
      </c>
      <c r="AJ83" s="189">
        <v>1322.5390052167227</v>
      </c>
      <c r="AK83" s="189">
        <v>1083.5809857559975</v>
      </c>
      <c r="AL83" s="189">
        <v>213.51096712385242</v>
      </c>
      <c r="AM83" s="189">
        <v>568.16443214050969</v>
      </c>
      <c r="AN83" s="189">
        <v>-84.202957637931377</v>
      </c>
      <c r="AO83" s="189">
        <v>257.51620383599175</v>
      </c>
      <c r="AP83" s="189">
        <v>-2517.1962305060006</v>
      </c>
      <c r="AQ83" s="189">
        <v>-1075.0236258200543</v>
      </c>
      <c r="AR83" s="189">
        <v>-1602.0142190071838</v>
      </c>
      <c r="AS83" s="189">
        <v>-442.53604724557022</v>
      </c>
      <c r="AT83" s="189">
        <v>-875.08733644748327</v>
      </c>
      <c r="AU83" s="189">
        <v>-65.063749207703495</v>
      </c>
      <c r="AV83" s="189">
        <v>-1255.6695236094865</v>
      </c>
      <c r="AW83" s="189">
        <v>-313.72586470857937</v>
      </c>
      <c r="AX83" s="189">
        <v>-882.00475923993054</v>
      </c>
      <c r="AY83" s="189">
        <v>12.723898947587259</v>
      </c>
      <c r="BA83" s="166"/>
      <c r="BB83" s="166"/>
    </row>
    <row r="84" spans="2:54">
      <c r="B84" s="187">
        <v>10247</v>
      </c>
      <c r="C84" s="187" t="s">
        <v>87</v>
      </c>
      <c r="D84" s="189">
        <v>-1177.6951993114271</v>
      </c>
      <c r="E84" s="189">
        <v>2137.5358429077714</v>
      </c>
      <c r="F84" s="189">
        <v>-270.75984023753699</v>
      </c>
      <c r="G84" s="189">
        <v>2525.4904184461193</v>
      </c>
      <c r="H84" s="189">
        <v>4856.0386456061606</v>
      </c>
      <c r="I84" s="189">
        <v>7447.8098721708302</v>
      </c>
      <c r="J84" s="189">
        <v>13651.266571876513</v>
      </c>
      <c r="K84" s="189">
        <v>9958.4091700455901</v>
      </c>
      <c r="L84" s="189">
        <v>13561.643510230311</v>
      </c>
      <c r="M84" s="189">
        <v>9635.4928826633295</v>
      </c>
      <c r="N84" s="189">
        <v>6196.9467694945124</v>
      </c>
      <c r="O84" s="189">
        <v>4109.6676280782121</v>
      </c>
      <c r="P84" s="189">
        <v>1259.4602850270967</v>
      </c>
      <c r="Q84" s="189">
        <v>4335.0836916832704</v>
      </c>
      <c r="R84" s="189">
        <v>-19926.380264542644</v>
      </c>
      <c r="S84" s="189">
        <v>-9728.7250015209502</v>
      </c>
      <c r="T84" s="189">
        <v>-12134.191632941922</v>
      </c>
      <c r="U84" s="189">
        <v>-5423.5244545101195</v>
      </c>
      <c r="V84" s="189">
        <v>-8507.9606856717801</v>
      </c>
      <c r="W84" s="189">
        <v>-1015.6704387243553</v>
      </c>
      <c r="X84" s="189">
        <v>-10832.723260161212</v>
      </c>
      <c r="Y84" s="189">
        <v>-4221.5036000202927</v>
      </c>
      <c r="Z84" s="189">
        <v>-5972.1069589544277</v>
      </c>
      <c r="AA84" s="189">
        <v>-464.23791200654887</v>
      </c>
      <c r="AB84" s="189">
        <v>314.80980068857025</v>
      </c>
      <c r="AC84" s="189">
        <v>902.43284290776865</v>
      </c>
      <c r="AD84" s="189">
        <v>-84.543840237536642</v>
      </c>
      <c r="AE84" s="189">
        <v>2594.2444184461165</v>
      </c>
      <c r="AF84" s="189">
        <v>5156.8486456061655</v>
      </c>
      <c r="AG84" s="189">
        <v>7388.8228721708292</v>
      </c>
      <c r="AH84" s="189">
        <v>13829.043571876507</v>
      </c>
      <c r="AI84" s="189">
        <v>10035.548170045589</v>
      </c>
      <c r="AJ84" s="189">
        <v>13799.364510230316</v>
      </c>
      <c r="AK84" s="189">
        <v>9648.4938826633297</v>
      </c>
      <c r="AL84" s="189">
        <v>5075.460769494508</v>
      </c>
      <c r="AM84" s="189">
        <v>5486.059628078212</v>
      </c>
      <c r="AN84" s="189">
        <v>2822.3322850270997</v>
      </c>
      <c r="AO84" s="189">
        <v>3024.7946916832698</v>
      </c>
      <c r="AP84" s="189">
        <v>-19818.034264542643</v>
      </c>
      <c r="AQ84" s="189">
        <v>-9757.4230015209505</v>
      </c>
      <c r="AR84" s="189">
        <v>-12889.890632941922</v>
      </c>
      <c r="AS84" s="189">
        <v>-4589.6944545101214</v>
      </c>
      <c r="AT84" s="189">
        <v>-7430.4836856717811</v>
      </c>
      <c r="AU84" s="189">
        <v>-2013.5014387243536</v>
      </c>
      <c r="AV84" s="189">
        <v>-10486.724260161212</v>
      </c>
      <c r="AW84" s="189">
        <v>-4488.0806000202901</v>
      </c>
      <c r="AX84" s="189">
        <v>-7068.7449589544267</v>
      </c>
      <c r="AY84" s="189">
        <v>-1452.8749120065513</v>
      </c>
      <c r="BA84" s="166"/>
      <c r="BB84" s="166"/>
    </row>
    <row r="85" spans="2:54">
      <c r="B85" s="187">
        <v>10256</v>
      </c>
      <c r="C85" s="187" t="s">
        <v>88</v>
      </c>
      <c r="D85" s="189">
        <v>-3247.3101845790516</v>
      </c>
      <c r="E85" s="189">
        <v>-379.96444590831015</v>
      </c>
      <c r="F85" s="189">
        <v>-3961.8069675095612</v>
      </c>
      <c r="G85" s="189">
        <v>980.87021822915631</v>
      </c>
      <c r="H85" s="189">
        <v>2269.3745948701871</v>
      </c>
      <c r="I85" s="189">
        <v>4208.7093177341485</v>
      </c>
      <c r="J85" s="189">
        <v>3121.3723756917607</v>
      </c>
      <c r="K85" s="189">
        <v>4920.3397843096736</v>
      </c>
      <c r="L85" s="189">
        <v>3235.6315310490372</v>
      </c>
      <c r="M85" s="189">
        <v>3651.9867877943416</v>
      </c>
      <c r="N85" s="189">
        <v>-84.942371831737546</v>
      </c>
      <c r="O85" s="189">
        <v>1817.9144559627639</v>
      </c>
      <c r="P85" s="189">
        <v>-1724.7331409544022</v>
      </c>
      <c r="Q85" s="189">
        <v>697.41580631094985</v>
      </c>
      <c r="R85" s="189">
        <v>-8578.7505112499639</v>
      </c>
      <c r="S85" s="189">
        <v>-2641.7916127911158</v>
      </c>
      <c r="T85" s="189">
        <v>-3056.300191428847</v>
      </c>
      <c r="U85" s="189">
        <v>60.859116263052783</v>
      </c>
      <c r="V85" s="189">
        <v>561.20169141973383</v>
      </c>
      <c r="W85" s="189">
        <v>3422.387062417125</v>
      </c>
      <c r="X85" s="189">
        <v>-2662.725404418059</v>
      </c>
      <c r="Y85" s="189">
        <v>1220.2631700248457</v>
      </c>
      <c r="Z85" s="189">
        <v>-3634.4778761570324</v>
      </c>
      <c r="AA85" s="189">
        <v>-198.10728662948713</v>
      </c>
      <c r="AB85" s="189">
        <v>-3255.9274569076915</v>
      </c>
      <c r="AC85" s="189">
        <v>-370.12650043316899</v>
      </c>
      <c r="AD85" s="189">
        <v>-3963.3724782856334</v>
      </c>
      <c r="AE85" s="189">
        <v>981.11112066658643</v>
      </c>
      <c r="AF85" s="189">
        <v>2268.1562425764569</v>
      </c>
      <c r="AG85" s="189">
        <v>4208.7611223335971</v>
      </c>
      <c r="AH85" s="189">
        <v>3121.2751544805105</v>
      </c>
      <c r="AI85" s="189">
        <v>4921.1877366860572</v>
      </c>
      <c r="AJ85" s="189">
        <v>3236.9710095003047</v>
      </c>
      <c r="AK85" s="189">
        <v>3653.4184513200144</v>
      </c>
      <c r="AL85" s="189">
        <v>-75.703305685201485</v>
      </c>
      <c r="AM85" s="189">
        <v>1809.7496769585396</v>
      </c>
      <c r="AN85" s="189">
        <v>-1732.2274268277761</v>
      </c>
      <c r="AO85" s="189">
        <v>706.40969861348822</v>
      </c>
      <c r="AP85" s="189">
        <v>-8581.4604961947261</v>
      </c>
      <c r="AQ85" s="189">
        <v>-2642.4813426579076</v>
      </c>
      <c r="AR85" s="189">
        <v>-3049.4531735255405</v>
      </c>
      <c r="AS85" s="189">
        <v>52.855763472141916</v>
      </c>
      <c r="AT85" s="189">
        <v>553.33435891849513</v>
      </c>
      <c r="AU85" s="189">
        <v>3431.5746248743799</v>
      </c>
      <c r="AV85" s="189">
        <v>-2663.2549213459642</v>
      </c>
      <c r="AW85" s="189">
        <v>1220.970382002517</v>
      </c>
      <c r="AX85" s="189">
        <v>-3634.2091504413729</v>
      </c>
      <c r="AY85" s="189">
        <v>-197.08792664552493</v>
      </c>
      <c r="BA85" s="166"/>
      <c r="BB85" s="166"/>
    </row>
    <row r="86" spans="2:54">
      <c r="B86" s="187">
        <v>10258</v>
      </c>
      <c r="C86" s="187" t="s">
        <v>89</v>
      </c>
      <c r="D86" s="189">
        <v>-3567.8817992668446</v>
      </c>
      <c r="E86" s="189">
        <v>-1952.6757328777348</v>
      </c>
      <c r="F86" s="189">
        <v>-1096.1587365283194</v>
      </c>
      <c r="G86" s="189">
        <v>2271.9729549138683</v>
      </c>
      <c r="H86" s="189">
        <v>4166.885339734461</v>
      </c>
      <c r="I86" s="189">
        <v>4938.8687876929234</v>
      </c>
      <c r="J86" s="189">
        <v>7321.98848912412</v>
      </c>
      <c r="K86" s="189">
        <v>6904.3965317590464</v>
      </c>
      <c r="L86" s="189">
        <v>6263.839600134168</v>
      </c>
      <c r="M86" s="189">
        <v>5813.4934538667831</v>
      </c>
      <c r="N86" s="189">
        <v>1357.2344245831046</v>
      </c>
      <c r="O86" s="189">
        <v>2877.9823549538487</v>
      </c>
      <c r="P86" s="189">
        <v>-2969.8098998782079</v>
      </c>
      <c r="Q86" s="189">
        <v>-708.84117392090593</v>
      </c>
      <c r="R86" s="189">
        <v>-11185.920324553379</v>
      </c>
      <c r="S86" s="189">
        <v>-5286.0348550985764</v>
      </c>
      <c r="T86" s="189">
        <v>-6064.4141878767987</v>
      </c>
      <c r="U86" s="189">
        <v>-2391.1646921732172</v>
      </c>
      <c r="V86" s="189">
        <v>217.3335685134989</v>
      </c>
      <c r="W86" s="189">
        <v>1034.2969082190029</v>
      </c>
      <c r="X86" s="189">
        <v>-3000.2312926259074</v>
      </c>
      <c r="Y86" s="189">
        <v>-183.08716298162472</v>
      </c>
      <c r="Z86" s="189">
        <v>-4505.3065453616819</v>
      </c>
      <c r="AA86" s="189">
        <v>-1704.2455348848889</v>
      </c>
      <c r="AB86" s="189">
        <v>-3891.2627992668422</v>
      </c>
      <c r="AC86" s="189">
        <v>-1840.5597328777367</v>
      </c>
      <c r="AD86" s="189">
        <v>-1159.1097365283204</v>
      </c>
      <c r="AE86" s="189">
        <v>2211.3179549138677</v>
      </c>
      <c r="AF86" s="189">
        <v>4143.9453397344623</v>
      </c>
      <c r="AG86" s="189">
        <v>4889.1997876929254</v>
      </c>
      <c r="AH86" s="189">
        <v>7291.8494891241207</v>
      </c>
      <c r="AI86" s="189">
        <v>6864.3265317590431</v>
      </c>
      <c r="AJ86" s="189">
        <v>6232.5486001341706</v>
      </c>
      <c r="AK86" s="189">
        <v>5778.7544538667817</v>
      </c>
      <c r="AL86" s="189">
        <v>1445.0534245831077</v>
      </c>
      <c r="AM86" s="189">
        <v>2657.407354953848</v>
      </c>
      <c r="AN86" s="189">
        <v>-3285.9798998782062</v>
      </c>
      <c r="AO86" s="189">
        <v>-583.50117392090579</v>
      </c>
      <c r="AP86" s="189">
        <v>-11297.733324553377</v>
      </c>
      <c r="AQ86" s="189">
        <v>-5388.804855098575</v>
      </c>
      <c r="AR86" s="189">
        <v>-5951.7431878767966</v>
      </c>
      <c r="AS86" s="189">
        <v>-2702.9936921732169</v>
      </c>
      <c r="AT86" s="189">
        <v>-70.799431486499088</v>
      </c>
      <c r="AU86" s="189">
        <v>1159.4829082190026</v>
      </c>
      <c r="AV86" s="189">
        <v>-3088.2062926259096</v>
      </c>
      <c r="AW86" s="189">
        <v>-267.08716298162472</v>
      </c>
      <c r="AX86" s="189">
        <v>-4600.4205453616814</v>
      </c>
      <c r="AY86" s="189">
        <v>-1810.7975348848886</v>
      </c>
      <c r="BA86" s="166"/>
      <c r="BB86" s="166"/>
    </row>
    <row r="87" spans="2:54">
      <c r="B87" s="187">
        <v>10259</v>
      </c>
      <c r="C87" s="187" t="s">
        <v>90</v>
      </c>
      <c r="D87" s="189">
        <v>-946.26038872941353</v>
      </c>
      <c r="E87" s="189">
        <v>-51.562028214361817</v>
      </c>
      <c r="F87" s="189">
        <v>-1703.6569783282284</v>
      </c>
      <c r="G87" s="189">
        <v>560.2863865321815</v>
      </c>
      <c r="H87" s="189">
        <v>1091.8198153850153</v>
      </c>
      <c r="I87" s="189">
        <v>1980.2880978569046</v>
      </c>
      <c r="J87" s="189">
        <v>2776.5187578375426</v>
      </c>
      <c r="K87" s="189">
        <v>2805.8081394012306</v>
      </c>
      <c r="L87" s="189">
        <v>2841.0688968389986</v>
      </c>
      <c r="M87" s="189">
        <v>2626.6778076972469</v>
      </c>
      <c r="N87" s="189">
        <v>483.88212958817712</v>
      </c>
      <c r="O87" s="189">
        <v>1258.7654057196351</v>
      </c>
      <c r="P87" s="189">
        <v>-848.63455637878178</v>
      </c>
      <c r="Q87" s="189">
        <v>349.90188708564256</v>
      </c>
      <c r="R87" s="189">
        <v>-6194.6107562189518</v>
      </c>
      <c r="S87" s="189">
        <v>-2519.0520433502033</v>
      </c>
      <c r="T87" s="189">
        <v>-2228.4538044688343</v>
      </c>
      <c r="U87" s="189">
        <v>-259.12731542761958</v>
      </c>
      <c r="V87" s="189">
        <v>836.84015130789157</v>
      </c>
      <c r="W87" s="189">
        <v>1583.2494099223968</v>
      </c>
      <c r="X87" s="189">
        <v>-1146.6314654175367</v>
      </c>
      <c r="Y87" s="189">
        <v>498.02476271082105</v>
      </c>
      <c r="Z87" s="189">
        <v>-1966.4139005749057</v>
      </c>
      <c r="AA87" s="189">
        <v>-118.36829274616139</v>
      </c>
      <c r="AB87" s="189">
        <v>-905.23538872941208</v>
      </c>
      <c r="AC87" s="189">
        <v>-27.760028214362137</v>
      </c>
      <c r="AD87" s="189">
        <v>-1657.0909783282277</v>
      </c>
      <c r="AE87" s="189">
        <v>593.55038653218071</v>
      </c>
      <c r="AF87" s="189">
        <v>1147.8608153850146</v>
      </c>
      <c r="AG87" s="189">
        <v>2019.2260978569047</v>
      </c>
      <c r="AH87" s="189">
        <v>2830.8767578375428</v>
      </c>
      <c r="AI87" s="189">
        <v>2843.5621394012296</v>
      </c>
      <c r="AJ87" s="189">
        <v>2888.565896838998</v>
      </c>
      <c r="AK87" s="189">
        <v>2658.0498076972481</v>
      </c>
      <c r="AL87" s="189">
        <v>529.26412958817673</v>
      </c>
      <c r="AM87" s="189">
        <v>1288.8574057196347</v>
      </c>
      <c r="AN87" s="189">
        <v>-809.06555637878228</v>
      </c>
      <c r="AO87" s="189">
        <v>374.9938870856422</v>
      </c>
      <c r="AP87" s="189">
        <v>-6153.9567562189513</v>
      </c>
      <c r="AQ87" s="189">
        <v>-2491.8820433502033</v>
      </c>
      <c r="AR87" s="189">
        <v>-2181.2498044688327</v>
      </c>
      <c r="AS87" s="189">
        <v>-230.22831542762015</v>
      </c>
      <c r="AT87" s="189">
        <v>889.79715130789009</v>
      </c>
      <c r="AU87" s="189">
        <v>1616.1484099223962</v>
      </c>
      <c r="AV87" s="189">
        <v>-1095.8784654175379</v>
      </c>
      <c r="AW87" s="189">
        <v>527.64276271082144</v>
      </c>
      <c r="AX87" s="189">
        <v>-1928.6559005749041</v>
      </c>
      <c r="AY87" s="189">
        <v>-93.082292746161329</v>
      </c>
      <c r="BA87" s="166"/>
      <c r="BB87" s="166"/>
    </row>
    <row r="88" spans="2:54">
      <c r="B88" s="187">
        <v>10260</v>
      </c>
      <c r="C88" s="187" t="s">
        <v>91</v>
      </c>
      <c r="D88" s="189">
        <v>1322.6012264883175</v>
      </c>
      <c r="E88" s="189">
        <v>1014.9510625969433</v>
      </c>
      <c r="F88" s="189">
        <v>-1207.4005570298323</v>
      </c>
      <c r="G88" s="189">
        <v>561.24563792652953</v>
      </c>
      <c r="H88" s="189">
        <v>1188.9489664884586</v>
      </c>
      <c r="I88" s="189">
        <v>1726.291134263306</v>
      </c>
      <c r="J88" s="189">
        <v>3728.7199509488637</v>
      </c>
      <c r="K88" s="189">
        <v>2994.3120629937803</v>
      </c>
      <c r="L88" s="189">
        <v>3550.2783045060842</v>
      </c>
      <c r="M88" s="189">
        <v>2723.002406937806</v>
      </c>
      <c r="N88" s="189">
        <v>1514.0080592679951</v>
      </c>
      <c r="O88" s="189">
        <v>1533.7205697278496</v>
      </c>
      <c r="P88" s="189">
        <v>368.49820824674498</v>
      </c>
      <c r="Q88" s="189">
        <v>771.89914081961615</v>
      </c>
      <c r="R88" s="189">
        <v>-5134.1879272971</v>
      </c>
      <c r="S88" s="189">
        <v>-2345.1520856172665</v>
      </c>
      <c r="T88" s="189">
        <v>-1191.5906201246016</v>
      </c>
      <c r="U88" s="189">
        <v>-14.004012445792796</v>
      </c>
      <c r="V88" s="189">
        <v>2374.2184052744269</v>
      </c>
      <c r="W88" s="189">
        <v>2043.7011074181974</v>
      </c>
      <c r="X88" s="189">
        <v>525.45004729907305</v>
      </c>
      <c r="Y88" s="189">
        <v>1074.8068808912103</v>
      </c>
      <c r="Z88" s="189">
        <v>-475.87837491983555</v>
      </c>
      <c r="AA88" s="189">
        <v>508.9220505542371</v>
      </c>
      <c r="AB88" s="189">
        <v>1690.2272264883177</v>
      </c>
      <c r="AC88" s="189">
        <v>1221.3600625969439</v>
      </c>
      <c r="AD88" s="189">
        <v>-868.39155702983226</v>
      </c>
      <c r="AE88" s="189">
        <v>794.99463792652932</v>
      </c>
      <c r="AF88" s="189">
        <v>1571.2689664884601</v>
      </c>
      <c r="AG88" s="189">
        <v>1984.2891342633056</v>
      </c>
      <c r="AH88" s="189">
        <v>3766.1789509488644</v>
      </c>
      <c r="AI88" s="189">
        <v>3019.2040629937801</v>
      </c>
      <c r="AJ88" s="189">
        <v>3582.7393045060835</v>
      </c>
      <c r="AK88" s="189">
        <v>2743.5614069378071</v>
      </c>
      <c r="AL88" s="189">
        <v>1545.7490592679951</v>
      </c>
      <c r="AM88" s="189">
        <v>1553.8065697278498</v>
      </c>
      <c r="AN88" s="189">
        <v>396.74420824674417</v>
      </c>
      <c r="AO88" s="189">
        <v>788.9931408196162</v>
      </c>
      <c r="AP88" s="189">
        <v>-5107.2859272971</v>
      </c>
      <c r="AQ88" s="189">
        <v>-2328.4040856172669</v>
      </c>
      <c r="AR88" s="189">
        <v>-1162.3886201246023</v>
      </c>
      <c r="AS88" s="189">
        <v>2.9729875542070658</v>
      </c>
      <c r="AT88" s="189">
        <v>2408.3944052744282</v>
      </c>
      <c r="AU88" s="189">
        <v>2063.7651074181977</v>
      </c>
      <c r="AV88" s="189">
        <v>558.77004729907276</v>
      </c>
      <c r="AW88" s="189">
        <v>1093.3288808912112</v>
      </c>
      <c r="AX88" s="189">
        <v>-449.36037491983552</v>
      </c>
      <c r="AY88" s="189">
        <v>525.83005055423746</v>
      </c>
      <c r="BA88" s="166"/>
      <c r="BB88" s="166"/>
    </row>
    <row r="89" spans="2:54">
      <c r="B89" s="187">
        <v>10273</v>
      </c>
      <c r="C89" s="187" t="s">
        <v>92</v>
      </c>
      <c r="D89" s="189">
        <v>-448.72736150137916</v>
      </c>
      <c r="E89" s="189">
        <v>-191.23214589779172</v>
      </c>
      <c r="F89" s="189">
        <v>-1578.4259694350205</v>
      </c>
      <c r="G89" s="189">
        <v>-622.8807821261039</v>
      </c>
      <c r="H89" s="189">
        <v>-1176.1352027671562</v>
      </c>
      <c r="I89" s="189">
        <v>-532.81088142595172</v>
      </c>
      <c r="J89" s="189">
        <v>-749.7136675369386</v>
      </c>
      <c r="K89" s="189">
        <v>-298.82094989588973</v>
      </c>
      <c r="L89" s="189">
        <v>-835.70308980829736</v>
      </c>
      <c r="M89" s="189">
        <v>-318.70177567700262</v>
      </c>
      <c r="N89" s="189">
        <v>-1455.6268609092072</v>
      </c>
      <c r="O89" s="189">
        <v>-606.18288879079023</v>
      </c>
      <c r="P89" s="189">
        <v>-620.40992099245136</v>
      </c>
      <c r="Q89" s="189">
        <v>-244.93910621492819</v>
      </c>
      <c r="R89" s="189">
        <v>-834.01632803004031</v>
      </c>
      <c r="S89" s="189">
        <v>-253.1632165207343</v>
      </c>
      <c r="T89" s="189">
        <v>520.54492122933607</v>
      </c>
      <c r="U89" s="189">
        <v>787.72731275446949</v>
      </c>
      <c r="V89" s="189">
        <v>1713.1314029202167</v>
      </c>
      <c r="W89" s="189">
        <v>1540.2442154914165</v>
      </c>
      <c r="X89" s="189">
        <v>1233.3485408593529</v>
      </c>
      <c r="Y89" s="189">
        <v>1150.9551917367005</v>
      </c>
      <c r="Z89" s="189">
        <v>481.46966906884973</v>
      </c>
      <c r="AA89" s="189">
        <v>771.44872810258767</v>
      </c>
      <c r="AB89" s="189">
        <v>-759.55936150137904</v>
      </c>
      <c r="AC89" s="189">
        <v>-356.31514589779204</v>
      </c>
      <c r="AD89" s="189">
        <v>-1834.1909694350202</v>
      </c>
      <c r="AE89" s="189">
        <v>-828.14778212610383</v>
      </c>
      <c r="AF89" s="189">
        <v>-1431.8282027671562</v>
      </c>
      <c r="AG89" s="189">
        <v>-753.03188142595195</v>
      </c>
      <c r="AH89" s="189">
        <v>-1015.7276675369387</v>
      </c>
      <c r="AI89" s="189">
        <v>-508.72094989588982</v>
      </c>
      <c r="AJ89" s="189">
        <v>-1080.9960898082973</v>
      </c>
      <c r="AK89" s="189">
        <v>-502.73777567700245</v>
      </c>
      <c r="AL89" s="189">
        <v>-1687.0208609092074</v>
      </c>
      <c r="AM89" s="189">
        <v>-850.05488879079041</v>
      </c>
      <c r="AN89" s="189">
        <v>-920.97892099245132</v>
      </c>
      <c r="AO89" s="189">
        <v>-404.76010621492821</v>
      </c>
      <c r="AP89" s="189">
        <v>-1099.9233280300405</v>
      </c>
      <c r="AQ89" s="189">
        <v>-463.17621652073444</v>
      </c>
      <c r="AR89" s="189">
        <v>299.64392122933577</v>
      </c>
      <c r="AS89" s="189">
        <v>548.23531275446976</v>
      </c>
      <c r="AT89" s="189">
        <v>1412.494402920217</v>
      </c>
      <c r="AU89" s="189">
        <v>1364.9592154914167</v>
      </c>
      <c r="AV89" s="189">
        <v>957.17254085935338</v>
      </c>
      <c r="AW89" s="189">
        <v>951.20819173670066</v>
      </c>
      <c r="AX89" s="189">
        <v>236.1096690688496</v>
      </c>
      <c r="AY89" s="189">
        <v>556.41472810258756</v>
      </c>
      <c r="BA89" s="166"/>
      <c r="BB89" s="166"/>
    </row>
    <row r="90" spans="2:54">
      <c r="B90" s="187">
        <v>10278</v>
      </c>
      <c r="C90" s="187" t="s">
        <v>93</v>
      </c>
      <c r="D90" s="189">
        <v>0</v>
      </c>
      <c r="E90" s="189">
        <v>0</v>
      </c>
      <c r="F90" s="189">
        <v>0</v>
      </c>
      <c r="G90" s="189">
        <v>0</v>
      </c>
      <c r="H90" s="189">
        <v>0</v>
      </c>
      <c r="I90" s="189">
        <v>0</v>
      </c>
      <c r="J90" s="189">
        <v>0</v>
      </c>
      <c r="K90" s="189">
        <v>0</v>
      </c>
      <c r="L90" s="189">
        <v>0</v>
      </c>
      <c r="M90" s="189">
        <v>0</v>
      </c>
      <c r="N90" s="189">
        <v>0</v>
      </c>
      <c r="O90" s="189">
        <v>0</v>
      </c>
      <c r="P90" s="189">
        <v>0</v>
      </c>
      <c r="Q90" s="189">
        <v>0</v>
      </c>
      <c r="R90" s="189">
        <v>0</v>
      </c>
      <c r="S90" s="189">
        <v>0</v>
      </c>
      <c r="T90" s="189">
        <v>0</v>
      </c>
      <c r="U90" s="189">
        <v>0</v>
      </c>
      <c r="V90" s="189">
        <v>0</v>
      </c>
      <c r="W90" s="189">
        <v>0</v>
      </c>
      <c r="X90" s="189">
        <v>0</v>
      </c>
      <c r="Y90" s="189">
        <v>0</v>
      </c>
      <c r="Z90" s="189">
        <v>0</v>
      </c>
      <c r="AA90" s="189">
        <v>0</v>
      </c>
      <c r="AB90" s="189">
        <v>0</v>
      </c>
      <c r="AC90" s="189">
        <v>0</v>
      </c>
      <c r="AD90" s="189">
        <v>0</v>
      </c>
      <c r="AE90" s="189">
        <v>0</v>
      </c>
      <c r="AF90" s="189">
        <v>0</v>
      </c>
      <c r="AG90" s="189">
        <v>0</v>
      </c>
      <c r="AH90" s="189">
        <v>0</v>
      </c>
      <c r="AI90" s="189">
        <v>0</v>
      </c>
      <c r="AJ90" s="189">
        <v>0</v>
      </c>
      <c r="AK90" s="189">
        <v>0</v>
      </c>
      <c r="AL90" s="189">
        <v>0</v>
      </c>
      <c r="AM90" s="189">
        <v>0</v>
      </c>
      <c r="AN90" s="189">
        <v>0</v>
      </c>
      <c r="AO90" s="189">
        <v>0</v>
      </c>
      <c r="AP90" s="189">
        <v>0</v>
      </c>
      <c r="AQ90" s="189">
        <v>0</v>
      </c>
      <c r="AR90" s="189">
        <v>0</v>
      </c>
      <c r="AS90" s="189">
        <v>0</v>
      </c>
      <c r="AT90" s="189">
        <v>0</v>
      </c>
      <c r="AU90" s="189">
        <v>0</v>
      </c>
      <c r="AV90" s="189">
        <v>0</v>
      </c>
      <c r="AW90" s="189">
        <v>0</v>
      </c>
      <c r="AX90" s="189">
        <v>0</v>
      </c>
      <c r="AY90" s="189">
        <v>0</v>
      </c>
      <c r="BA90" s="166"/>
      <c r="BB90" s="166"/>
    </row>
    <row r="91" spans="2:54">
      <c r="B91" s="187">
        <v>10279</v>
      </c>
      <c r="C91" s="187" t="s">
        <v>94</v>
      </c>
      <c r="D91" s="189">
        <v>1512.8280607218294</v>
      </c>
      <c r="E91" s="189">
        <v>5674.4555153683523</v>
      </c>
      <c r="F91" s="189">
        <v>-1665.4613174592596</v>
      </c>
      <c r="G91" s="189">
        <v>3721.5215980908179</v>
      </c>
      <c r="H91" s="189">
        <v>3851.0816904222374</v>
      </c>
      <c r="I91" s="189">
        <v>7977.9940104687485</v>
      </c>
      <c r="J91" s="189">
        <v>5434.0178642119354</v>
      </c>
      <c r="K91" s="189">
        <v>6930.1545262814179</v>
      </c>
      <c r="L91" s="189">
        <v>5665.1316178183697</v>
      </c>
      <c r="M91" s="189">
        <v>6078.2922805296912</v>
      </c>
      <c r="N91" s="189">
        <v>1846.3207626103467</v>
      </c>
      <c r="O91" s="189">
        <v>3156.5778848488972</v>
      </c>
      <c r="P91" s="189">
        <v>79.030762828948355</v>
      </c>
      <c r="Q91" s="189">
        <v>4256.8409038550835</v>
      </c>
      <c r="R91" s="189">
        <v>-11977.54184983901</v>
      </c>
      <c r="S91" s="189">
        <v>-3110.9917324764319</v>
      </c>
      <c r="T91" s="189">
        <v>-3648.0234004460981</v>
      </c>
      <c r="U91" s="189">
        <v>1068.466185171892</v>
      </c>
      <c r="V91" s="189">
        <v>1871.0058268998146</v>
      </c>
      <c r="W91" s="189">
        <v>7459.2651093576005</v>
      </c>
      <c r="X91" s="189">
        <v>500.71183531901625</v>
      </c>
      <c r="Y91" s="189">
        <v>3612.5226460539907</v>
      </c>
      <c r="Z91" s="189">
        <v>-874.58804595121546</v>
      </c>
      <c r="AA91" s="189">
        <v>4694.4866855832661</v>
      </c>
      <c r="AB91" s="189">
        <v>-59.750939278175792</v>
      </c>
      <c r="AC91" s="189">
        <v>2914.6885153683561</v>
      </c>
      <c r="AD91" s="189">
        <v>-4394.0273174592585</v>
      </c>
      <c r="AE91" s="189">
        <v>2019.5935980908216</v>
      </c>
      <c r="AF91" s="189">
        <v>1324.8986904222402</v>
      </c>
      <c r="AG91" s="189">
        <v>5690.0720104687498</v>
      </c>
      <c r="AH91" s="189">
        <v>6140.3248642119361</v>
      </c>
      <c r="AI91" s="189">
        <v>8135.7515262814195</v>
      </c>
      <c r="AJ91" s="189">
        <v>6745.6446178183724</v>
      </c>
      <c r="AK91" s="189">
        <v>6718.6732805296924</v>
      </c>
      <c r="AL91" s="189">
        <v>2302.2507626103434</v>
      </c>
      <c r="AM91" s="189">
        <v>4593.2868848488961</v>
      </c>
      <c r="AN91" s="189">
        <v>2071.2187628289539</v>
      </c>
      <c r="AO91" s="189">
        <v>4088.6709038550816</v>
      </c>
      <c r="AP91" s="189">
        <v>-11134.433849839013</v>
      </c>
      <c r="AQ91" s="189">
        <v>-2074.7197324764311</v>
      </c>
      <c r="AR91" s="189">
        <v>-3257.2284004460998</v>
      </c>
      <c r="AS91" s="189">
        <v>2498.3471851718896</v>
      </c>
      <c r="AT91" s="189">
        <v>3506.0128268998196</v>
      </c>
      <c r="AU91" s="189">
        <v>7717.847109357599</v>
      </c>
      <c r="AV91" s="189">
        <v>2036.9048353190155</v>
      </c>
      <c r="AW91" s="189">
        <v>3966.7146460539861</v>
      </c>
      <c r="AX91" s="189">
        <v>168.05895404878902</v>
      </c>
      <c r="AY91" s="189">
        <v>5470.8776855832657</v>
      </c>
      <c r="BA91" s="166"/>
      <c r="BB91" s="166"/>
    </row>
    <row r="92" spans="2:54">
      <c r="B92" s="187">
        <v>10284</v>
      </c>
      <c r="C92" s="187" t="s">
        <v>95</v>
      </c>
      <c r="D92" s="189">
        <v>-361.09653857427202</v>
      </c>
      <c r="E92" s="189">
        <v>373.15696912985595</v>
      </c>
      <c r="F92" s="189">
        <v>165.30679447436887</v>
      </c>
      <c r="G92" s="189">
        <v>707.24088343507265</v>
      </c>
      <c r="H92" s="189">
        <v>707.4117262736645</v>
      </c>
      <c r="I92" s="189">
        <v>1262.3619026188167</v>
      </c>
      <c r="J92" s="189">
        <v>1845.5667106780156</v>
      </c>
      <c r="K92" s="189">
        <v>1611.8770199767041</v>
      </c>
      <c r="L92" s="189">
        <v>1794.1145040800639</v>
      </c>
      <c r="M92" s="189">
        <v>1511.9372365855997</v>
      </c>
      <c r="N92" s="189">
        <v>655.50144970579186</v>
      </c>
      <c r="O92" s="189">
        <v>689.0760269801599</v>
      </c>
      <c r="P92" s="189">
        <v>-147.77291726553631</v>
      </c>
      <c r="Q92" s="189">
        <v>606.97359216294399</v>
      </c>
      <c r="R92" s="189">
        <v>-2760.1760879230733</v>
      </c>
      <c r="S92" s="189">
        <v>-1158.0111097578233</v>
      </c>
      <c r="T92" s="189">
        <v>-1780.3466487568639</v>
      </c>
      <c r="U92" s="189">
        <v>-651.43275200012795</v>
      </c>
      <c r="V92" s="189">
        <v>-1321.0067659766396</v>
      </c>
      <c r="W92" s="189">
        <v>-142.77128703718381</v>
      </c>
      <c r="X92" s="189">
        <v>-1679.1584063002883</v>
      </c>
      <c r="Y92" s="189">
        <v>-537.32558062489602</v>
      </c>
      <c r="Z92" s="189">
        <v>-1224.1091705880954</v>
      </c>
      <c r="AA92" s="189">
        <v>-169.90945329599981</v>
      </c>
      <c r="AB92" s="189">
        <v>-212.42568435136764</v>
      </c>
      <c r="AC92" s="189">
        <v>224.94825294849988</v>
      </c>
      <c r="AD92" s="189">
        <v>165.99967312854551</v>
      </c>
      <c r="AE92" s="189">
        <v>708.86237760075028</v>
      </c>
      <c r="AF92" s="189">
        <v>709.17970401580806</v>
      </c>
      <c r="AG92" s="189">
        <v>1265.0931949746905</v>
      </c>
      <c r="AH92" s="189">
        <v>1849.5465814300269</v>
      </c>
      <c r="AI92" s="189">
        <v>1615.2751379837614</v>
      </c>
      <c r="AJ92" s="189">
        <v>1797.9336744358998</v>
      </c>
      <c r="AK92" s="189">
        <v>1515.0910589853024</v>
      </c>
      <c r="AL92" s="189">
        <v>475.82748387781248</v>
      </c>
      <c r="AM92" s="189">
        <v>871.88502554041997</v>
      </c>
      <c r="AN92" s="189">
        <v>12.593834100503045</v>
      </c>
      <c r="AO92" s="189">
        <v>447.94998747462023</v>
      </c>
      <c r="AP92" s="189">
        <v>-2765.2623745973569</v>
      </c>
      <c r="AQ92" s="189">
        <v>-1160.0882709057964</v>
      </c>
      <c r="AR92" s="189">
        <v>-1900.2212364355883</v>
      </c>
      <c r="AS92" s="189">
        <v>-535.91194875467363</v>
      </c>
      <c r="AT92" s="189">
        <v>-1209.0933736954876</v>
      </c>
      <c r="AU92" s="189">
        <v>-257.17723545692866</v>
      </c>
      <c r="AV92" s="189">
        <v>-1682.1829696504378</v>
      </c>
      <c r="AW92" s="189">
        <v>-538.24167960762816</v>
      </c>
      <c r="AX92" s="189">
        <v>-1226.2727534436262</v>
      </c>
      <c r="AY92" s="189">
        <v>-170.09985679308738</v>
      </c>
      <c r="BA92" s="166"/>
      <c r="BB92" s="166"/>
    </row>
    <row r="93" spans="2:54">
      <c r="B93" s="187">
        <v>10285</v>
      </c>
      <c r="C93" s="187" t="s">
        <v>96</v>
      </c>
      <c r="D93" s="189">
        <v>0</v>
      </c>
      <c r="E93" s="189">
        <v>0</v>
      </c>
      <c r="F93" s="189">
        <v>0</v>
      </c>
      <c r="G93" s="189">
        <v>0</v>
      </c>
      <c r="H93" s="189">
        <v>0</v>
      </c>
      <c r="I93" s="189">
        <v>0</v>
      </c>
      <c r="J93" s="189">
        <v>0</v>
      </c>
      <c r="K93" s="189">
        <v>0</v>
      </c>
      <c r="L93" s="189">
        <v>0</v>
      </c>
      <c r="M93" s="189">
        <v>0</v>
      </c>
      <c r="N93" s="189">
        <v>0</v>
      </c>
      <c r="O93" s="189">
        <v>0</v>
      </c>
      <c r="P93" s="189">
        <v>0</v>
      </c>
      <c r="Q93" s="189">
        <v>0</v>
      </c>
      <c r="R93" s="189">
        <v>0</v>
      </c>
      <c r="S93" s="189">
        <v>0</v>
      </c>
      <c r="T93" s="189">
        <v>0</v>
      </c>
      <c r="U93" s="189">
        <v>0</v>
      </c>
      <c r="V93" s="189">
        <v>0</v>
      </c>
      <c r="W93" s="189">
        <v>0</v>
      </c>
      <c r="X93" s="189">
        <v>0</v>
      </c>
      <c r="Y93" s="189">
        <v>0</v>
      </c>
      <c r="Z93" s="189">
        <v>0</v>
      </c>
      <c r="AA93" s="189">
        <v>0</v>
      </c>
      <c r="AB93" s="189">
        <v>0</v>
      </c>
      <c r="AC93" s="189">
        <v>0</v>
      </c>
      <c r="AD93" s="189">
        <v>0</v>
      </c>
      <c r="AE93" s="189">
        <v>0</v>
      </c>
      <c r="AF93" s="189">
        <v>0</v>
      </c>
      <c r="AG93" s="189">
        <v>0</v>
      </c>
      <c r="AH93" s="189">
        <v>0</v>
      </c>
      <c r="AI93" s="189">
        <v>0</v>
      </c>
      <c r="AJ93" s="189">
        <v>0</v>
      </c>
      <c r="AK93" s="189">
        <v>0</v>
      </c>
      <c r="AL93" s="189">
        <v>0</v>
      </c>
      <c r="AM93" s="189">
        <v>0</v>
      </c>
      <c r="AN93" s="189">
        <v>0</v>
      </c>
      <c r="AO93" s="189">
        <v>0</v>
      </c>
      <c r="AP93" s="189">
        <v>0</v>
      </c>
      <c r="AQ93" s="189">
        <v>0</v>
      </c>
      <c r="AR93" s="189">
        <v>0</v>
      </c>
      <c r="AS93" s="189">
        <v>0</v>
      </c>
      <c r="AT93" s="189">
        <v>0</v>
      </c>
      <c r="AU93" s="189">
        <v>0</v>
      </c>
      <c r="AV93" s="189">
        <v>0</v>
      </c>
      <c r="AW93" s="189">
        <v>0</v>
      </c>
      <c r="AX93" s="189">
        <v>0</v>
      </c>
      <c r="AY93" s="189">
        <v>0</v>
      </c>
      <c r="BA93" s="166"/>
      <c r="BB93" s="166"/>
    </row>
    <row r="94" spans="2:54">
      <c r="B94" s="187">
        <v>10286</v>
      </c>
      <c r="C94" s="187" t="s">
        <v>97</v>
      </c>
      <c r="D94" s="189">
        <v>-1334.7347159768269</v>
      </c>
      <c r="E94" s="189">
        <v>1161.9270693839999</v>
      </c>
      <c r="F94" s="189">
        <v>-2163.8659457284484</v>
      </c>
      <c r="G94" s="189">
        <v>539.79467455799931</v>
      </c>
      <c r="H94" s="189">
        <v>881.60948445291615</v>
      </c>
      <c r="I94" s="189">
        <v>3386.6476983495986</v>
      </c>
      <c r="J94" s="189">
        <v>4152.5726242837336</v>
      </c>
      <c r="K94" s="189">
        <v>4759.2879238583828</v>
      </c>
      <c r="L94" s="189">
        <v>3423.2491997895049</v>
      </c>
      <c r="M94" s="189">
        <v>3790.7415564219737</v>
      </c>
      <c r="N94" s="189">
        <v>2113.5362443173672</v>
      </c>
      <c r="O94" s="189">
        <v>2725.1062351232958</v>
      </c>
      <c r="P94" s="189">
        <v>-1690.6856659440327</v>
      </c>
      <c r="Q94" s="189">
        <v>728.04801358479835</v>
      </c>
      <c r="R94" s="189">
        <v>-6940.0597587794418</v>
      </c>
      <c r="S94" s="189">
        <v>-2761.876741143029</v>
      </c>
      <c r="T94" s="189">
        <v>-6255.6948720551209</v>
      </c>
      <c r="U94" s="189">
        <v>-2549.8289670002641</v>
      </c>
      <c r="V94" s="189">
        <v>-1175.0130113426294</v>
      </c>
      <c r="W94" s="189">
        <v>1889.0400821032845</v>
      </c>
      <c r="X94" s="189">
        <v>-3897.0232488826259</v>
      </c>
      <c r="Y94" s="189">
        <v>-552.3490211277167</v>
      </c>
      <c r="Z94" s="189">
        <v>-2464.9067411302294</v>
      </c>
      <c r="AA94" s="189">
        <v>517.47062330587414</v>
      </c>
      <c r="AB94" s="189">
        <v>-1046.7347159768269</v>
      </c>
      <c r="AC94" s="189">
        <v>873.92706938399988</v>
      </c>
      <c r="AD94" s="189">
        <v>-2163.8659457284484</v>
      </c>
      <c r="AE94" s="189">
        <v>539.79467455799931</v>
      </c>
      <c r="AF94" s="189">
        <v>1281.6094844529161</v>
      </c>
      <c r="AG94" s="189">
        <v>3730.6476983495986</v>
      </c>
      <c r="AH94" s="189">
        <v>4152.5726242837336</v>
      </c>
      <c r="AI94" s="189">
        <v>4759.2879238583828</v>
      </c>
      <c r="AJ94" s="189">
        <v>3807.2491997895049</v>
      </c>
      <c r="AK94" s="189">
        <v>4078.7415564219737</v>
      </c>
      <c r="AL94" s="189">
        <v>2129.5362443173672</v>
      </c>
      <c r="AM94" s="189">
        <v>3452.1062351232958</v>
      </c>
      <c r="AN94" s="189">
        <v>-1002.6856659440327</v>
      </c>
      <c r="AO94" s="189">
        <v>760.04801358479835</v>
      </c>
      <c r="AP94" s="189">
        <v>-6940.0597587794418</v>
      </c>
      <c r="AQ94" s="189">
        <v>-2761.876741143029</v>
      </c>
      <c r="AR94" s="189">
        <v>-6399.6948720551209</v>
      </c>
      <c r="AS94" s="189">
        <v>-2405.8289670002641</v>
      </c>
      <c r="AT94" s="189">
        <v>-871.0130113426294</v>
      </c>
      <c r="AU94" s="189">
        <v>1585.0400821032845</v>
      </c>
      <c r="AV94" s="189">
        <v>-3465.0232488826259</v>
      </c>
      <c r="AW94" s="189">
        <v>-240.3490211277167</v>
      </c>
      <c r="AX94" s="189">
        <v>-2080.9067411302294</v>
      </c>
      <c r="AY94" s="189">
        <v>853.47062330587414</v>
      </c>
      <c r="BA94" s="166"/>
      <c r="BB94" s="166"/>
    </row>
    <row r="95" spans="2:54">
      <c r="B95" s="187">
        <v>10288</v>
      </c>
      <c r="C95" s="187" t="s">
        <v>98</v>
      </c>
      <c r="D95" s="189">
        <v>0</v>
      </c>
      <c r="E95" s="189">
        <v>0</v>
      </c>
      <c r="F95" s="189">
        <v>0</v>
      </c>
      <c r="G95" s="189">
        <v>0</v>
      </c>
      <c r="H95" s="189">
        <v>0</v>
      </c>
      <c r="I95" s="189">
        <v>0</v>
      </c>
      <c r="J95" s="189">
        <v>0</v>
      </c>
      <c r="K95" s="189">
        <v>0</v>
      </c>
      <c r="L95" s="189">
        <v>0</v>
      </c>
      <c r="M95" s="189">
        <v>0</v>
      </c>
      <c r="N95" s="189">
        <v>0</v>
      </c>
      <c r="O95" s="189">
        <v>0</v>
      </c>
      <c r="P95" s="189">
        <v>0</v>
      </c>
      <c r="Q95" s="189">
        <v>0</v>
      </c>
      <c r="R95" s="189">
        <v>0</v>
      </c>
      <c r="S95" s="189">
        <v>0</v>
      </c>
      <c r="T95" s="189">
        <v>0</v>
      </c>
      <c r="U95" s="189">
        <v>0</v>
      </c>
      <c r="V95" s="189">
        <v>0</v>
      </c>
      <c r="W95" s="189">
        <v>0</v>
      </c>
      <c r="X95" s="189">
        <v>0</v>
      </c>
      <c r="Y95" s="189">
        <v>0</v>
      </c>
      <c r="Z95" s="189">
        <v>0</v>
      </c>
      <c r="AA95" s="189">
        <v>0</v>
      </c>
      <c r="AB95" s="189">
        <v>0</v>
      </c>
      <c r="AC95" s="189">
        <v>0</v>
      </c>
      <c r="AD95" s="189">
        <v>0</v>
      </c>
      <c r="AE95" s="189">
        <v>0</v>
      </c>
      <c r="AF95" s="189">
        <v>0</v>
      </c>
      <c r="AG95" s="189">
        <v>0</v>
      </c>
      <c r="AH95" s="189">
        <v>0</v>
      </c>
      <c r="AI95" s="189">
        <v>0</v>
      </c>
      <c r="AJ95" s="189">
        <v>0</v>
      </c>
      <c r="AK95" s="189">
        <v>0</v>
      </c>
      <c r="AL95" s="189">
        <v>0</v>
      </c>
      <c r="AM95" s="189">
        <v>0</v>
      </c>
      <c r="AN95" s="189">
        <v>0</v>
      </c>
      <c r="AO95" s="189">
        <v>0</v>
      </c>
      <c r="AP95" s="189">
        <v>0</v>
      </c>
      <c r="AQ95" s="189">
        <v>0</v>
      </c>
      <c r="AR95" s="189">
        <v>0</v>
      </c>
      <c r="AS95" s="189">
        <v>0</v>
      </c>
      <c r="AT95" s="189">
        <v>0</v>
      </c>
      <c r="AU95" s="189">
        <v>0</v>
      </c>
      <c r="AV95" s="189">
        <v>0</v>
      </c>
      <c r="AW95" s="189">
        <v>0</v>
      </c>
      <c r="AX95" s="189">
        <v>0</v>
      </c>
      <c r="AY95" s="189">
        <v>0</v>
      </c>
      <c r="BA95" s="166"/>
      <c r="BB95" s="166"/>
    </row>
    <row r="96" spans="2:54">
      <c r="B96" s="187">
        <v>10291</v>
      </c>
      <c r="C96" s="187" t="s">
        <v>99</v>
      </c>
      <c r="D96" s="189">
        <v>-2403.8246096610092</v>
      </c>
      <c r="E96" s="189">
        <v>1046.9290262913964</v>
      </c>
      <c r="F96" s="189">
        <v>-6472.5406787707689</v>
      </c>
      <c r="G96" s="189">
        <v>-1770.8428444206984</v>
      </c>
      <c r="H96" s="189">
        <v>-2260.3742178843167</v>
      </c>
      <c r="I96" s="189">
        <v>2508.1654547440266</v>
      </c>
      <c r="J96" s="189">
        <v>8121.8503292530077</v>
      </c>
      <c r="K96" s="189">
        <v>6464.0413401721162</v>
      </c>
      <c r="L96" s="189">
        <v>8225.6785937690365</v>
      </c>
      <c r="M96" s="189">
        <v>5790.9333145644559</v>
      </c>
      <c r="N96" s="189">
        <v>1707.8967721347435</v>
      </c>
      <c r="O96" s="189">
        <v>905.52927870991334</v>
      </c>
      <c r="P96" s="189">
        <v>-1531.650814441331</v>
      </c>
      <c r="Q96" s="189">
        <v>1753.0984753603589</v>
      </c>
      <c r="R96" s="189">
        <v>-13920.139518607502</v>
      </c>
      <c r="S96" s="189">
        <v>-6157.4155079344309</v>
      </c>
      <c r="T96" s="189">
        <v>-3484.6381947506234</v>
      </c>
      <c r="U96" s="189">
        <v>-610.76875771919367</v>
      </c>
      <c r="V96" s="189">
        <v>3739.7437425765384</v>
      </c>
      <c r="W96" s="189">
        <v>6973.4667846980374</v>
      </c>
      <c r="X96" s="189">
        <v>742.0506825542252</v>
      </c>
      <c r="Y96" s="189">
        <v>2244.653010580143</v>
      </c>
      <c r="Z96" s="189">
        <v>-3011.9409133465742</v>
      </c>
      <c r="AA96" s="189">
        <v>1524.4436596714877</v>
      </c>
      <c r="AB96" s="189">
        <v>-1489.1467038320116</v>
      </c>
      <c r="AC96" s="189">
        <v>-195.2467335345973</v>
      </c>
      <c r="AD96" s="189">
        <v>-6731.4581918958065</v>
      </c>
      <c r="AE96" s="189">
        <v>-1922.5127416076975</v>
      </c>
      <c r="AF96" s="189">
        <v>-2514.5194813912603</v>
      </c>
      <c r="AG96" s="189">
        <v>2354.7687386570979</v>
      </c>
      <c r="AH96" s="189">
        <v>7905.4519746032092</v>
      </c>
      <c r="AI96" s="189">
        <v>6330.2613193243269</v>
      </c>
      <c r="AJ96" s="189">
        <v>8048.4608284958813</v>
      </c>
      <c r="AK96" s="189">
        <v>5687.7760707638881</v>
      </c>
      <c r="AL96" s="189">
        <v>273.72098474745871</v>
      </c>
      <c r="AM96" s="189">
        <v>2020.8870178813377</v>
      </c>
      <c r="AN96" s="189">
        <v>-1191.0210741075389</v>
      </c>
      <c r="AO96" s="189">
        <v>123.56152001419832</v>
      </c>
      <c r="AP96" s="189">
        <v>-14826.915131651273</v>
      </c>
      <c r="AQ96" s="189">
        <v>-6726.7365698282229</v>
      </c>
      <c r="AR96" s="189">
        <v>-5618.1048050986356</v>
      </c>
      <c r="AS96" s="189">
        <v>178.80748486262019</v>
      </c>
      <c r="AT96" s="189">
        <v>4287.273928189672</v>
      </c>
      <c r="AU96" s="189">
        <v>5089.809315961189</v>
      </c>
      <c r="AV96" s="189">
        <v>-163.32971987201017</v>
      </c>
      <c r="AW96" s="189">
        <v>1781.7737267468801</v>
      </c>
      <c r="AX96" s="189">
        <v>-3830.6757647319209</v>
      </c>
      <c r="AY96" s="189">
        <v>1051.7684696014403</v>
      </c>
      <c r="BA96" s="166"/>
      <c r="BB96" s="166"/>
    </row>
    <row r="97" spans="2:54">
      <c r="B97" s="187">
        <v>10294</v>
      </c>
      <c r="C97" s="187" t="s">
        <v>100</v>
      </c>
      <c r="D97" s="189">
        <v>-1057.6342451926957</v>
      </c>
      <c r="E97" s="189">
        <v>788.8293051507153</v>
      </c>
      <c r="F97" s="189">
        <v>-941.60117232591801</v>
      </c>
      <c r="G97" s="189">
        <v>912.52180764964214</v>
      </c>
      <c r="H97" s="189">
        <v>438.29252263692797</v>
      </c>
      <c r="I97" s="189">
        <v>2303.1692309958471</v>
      </c>
      <c r="J97" s="189">
        <v>1912.4851782730548</v>
      </c>
      <c r="K97" s="189">
        <v>2596.2908839862284</v>
      </c>
      <c r="L97" s="189">
        <v>1541.2137671876017</v>
      </c>
      <c r="M97" s="189">
        <v>2052.3943220775072</v>
      </c>
      <c r="N97" s="189">
        <v>546.23027707475012</v>
      </c>
      <c r="O97" s="189">
        <v>1275.2465361510203</v>
      </c>
      <c r="P97" s="189">
        <v>-622.29612180018739</v>
      </c>
      <c r="Q97" s="189">
        <v>1026.903074179444</v>
      </c>
      <c r="R97" s="189">
        <v>-4057.1259919074637</v>
      </c>
      <c r="S97" s="189">
        <v>-1212.8286480806546</v>
      </c>
      <c r="T97" s="189">
        <v>-2752.1552361714694</v>
      </c>
      <c r="U97" s="189">
        <v>-529.65571826382939</v>
      </c>
      <c r="V97" s="189">
        <v>-2030.6619721215029</v>
      </c>
      <c r="W97" s="189">
        <v>378.5317241849898</v>
      </c>
      <c r="X97" s="189">
        <v>-2536.0897995008827</v>
      </c>
      <c r="Y97" s="189">
        <v>-173.81816788554124</v>
      </c>
      <c r="Z97" s="189">
        <v>-2084.9330044487378</v>
      </c>
      <c r="AA97" s="189">
        <v>135.48560956473739</v>
      </c>
      <c r="AB97" s="189">
        <v>-899.95402494161317</v>
      </c>
      <c r="AC97" s="189">
        <v>553.78326182020555</v>
      </c>
      <c r="AD97" s="189">
        <v>-601.85135832817105</v>
      </c>
      <c r="AE97" s="189">
        <v>1198.1537164398969</v>
      </c>
      <c r="AF97" s="189">
        <v>779.44238661669715</v>
      </c>
      <c r="AG97" s="189">
        <v>2611.5493509484113</v>
      </c>
      <c r="AH97" s="189">
        <v>2278.6177217575623</v>
      </c>
      <c r="AI97" s="189">
        <v>2893.4427162515804</v>
      </c>
      <c r="AJ97" s="189">
        <v>1499.4148082510401</v>
      </c>
      <c r="AK97" s="189">
        <v>2028.0221256312443</v>
      </c>
      <c r="AL97" s="189">
        <v>656.68770812598996</v>
      </c>
      <c r="AM97" s="189">
        <v>1829.4448606859441</v>
      </c>
      <c r="AN97" s="189">
        <v>-30.722085674393384</v>
      </c>
      <c r="AO97" s="189">
        <v>1080.0288233063534</v>
      </c>
      <c r="AP97" s="189">
        <v>-3711.5521882503126</v>
      </c>
      <c r="AQ97" s="189">
        <v>-924.90018842937934</v>
      </c>
      <c r="AR97" s="189">
        <v>-2585.1877164303387</v>
      </c>
      <c r="AS97" s="189">
        <v>-63.803031763830859</v>
      </c>
      <c r="AT97" s="189">
        <v>-1904.7095748477914</v>
      </c>
      <c r="AU97" s="189">
        <v>176.0281505087728</v>
      </c>
      <c r="AV97" s="189">
        <v>-2592.8104644184641</v>
      </c>
      <c r="AW97" s="189">
        <v>-201.88099500223962</v>
      </c>
      <c r="AX97" s="189">
        <v>-1750.0332330103165</v>
      </c>
      <c r="AY97" s="189">
        <v>443.77536597142489</v>
      </c>
      <c r="BA97" s="166"/>
      <c r="BB97" s="166"/>
    </row>
    <row r="98" spans="2:54">
      <c r="B98" s="187">
        <v>10304</v>
      </c>
      <c r="C98" s="187" t="s">
        <v>101</v>
      </c>
      <c r="D98" s="189">
        <v>-168.99053020484735</v>
      </c>
      <c r="E98" s="189">
        <v>363.71519144620561</v>
      </c>
      <c r="F98" s="189">
        <v>90.670261065918567</v>
      </c>
      <c r="G98" s="189">
        <v>746.70150977689718</v>
      </c>
      <c r="H98" s="189">
        <v>1019.7365255993136</v>
      </c>
      <c r="I98" s="189">
        <v>1367.4975677042921</v>
      </c>
      <c r="J98" s="189">
        <v>2099.4701601616152</v>
      </c>
      <c r="K98" s="189">
        <v>1821.9457621551041</v>
      </c>
      <c r="L98" s="189">
        <v>2006.3718728613394</v>
      </c>
      <c r="M98" s="189">
        <v>1688.9536883768496</v>
      </c>
      <c r="N98" s="189">
        <v>815.34148474711674</v>
      </c>
      <c r="O98" s="189">
        <v>796.10417814428502</v>
      </c>
      <c r="P98" s="189">
        <v>158.69828692761348</v>
      </c>
      <c r="Q98" s="189">
        <v>584.39722972659365</v>
      </c>
      <c r="R98" s="189">
        <v>-3325.8259660180238</v>
      </c>
      <c r="S98" s="189">
        <v>-1391.3551213819733</v>
      </c>
      <c r="T98" s="189">
        <v>-2174.2033240525143</v>
      </c>
      <c r="U98" s="189">
        <v>-782.98920200017801</v>
      </c>
      <c r="V98" s="189">
        <v>-1498.0211901862658</v>
      </c>
      <c r="W98" s="189">
        <v>-144.72774291108453</v>
      </c>
      <c r="X98" s="189">
        <v>-2082.5672368863388</v>
      </c>
      <c r="Y98" s="189">
        <v>-518.49715118149606</v>
      </c>
      <c r="Z98" s="189">
        <v>-1196.1054559740705</v>
      </c>
      <c r="AA98" s="189">
        <v>-275.53423973974986</v>
      </c>
      <c r="AB98" s="189">
        <v>-168.59479012115298</v>
      </c>
      <c r="AC98" s="189">
        <v>365.2738436693694</v>
      </c>
      <c r="AD98" s="189">
        <v>87.51586573183431</v>
      </c>
      <c r="AE98" s="189">
        <v>746.47114604031594</v>
      </c>
      <c r="AF98" s="189">
        <v>1017.1638135925705</v>
      </c>
      <c r="AG98" s="189">
        <v>1367.5382743551463</v>
      </c>
      <c r="AH98" s="189">
        <v>2099.3406746564524</v>
      </c>
      <c r="AI98" s="189">
        <v>1822.9430395768882</v>
      </c>
      <c r="AJ98" s="189">
        <v>2008.9848865491513</v>
      </c>
      <c r="AK98" s="189">
        <v>1691.7086228947624</v>
      </c>
      <c r="AL98" s="189">
        <v>815.61029509753007</v>
      </c>
      <c r="AM98" s="189">
        <v>797.06761965592568</v>
      </c>
      <c r="AN98" s="189">
        <v>159.19729896954505</v>
      </c>
      <c r="AO98" s="189">
        <v>586.07314610223057</v>
      </c>
      <c r="AP98" s="189">
        <v>-3333.0003647989734</v>
      </c>
      <c r="AQ98" s="189">
        <v>-1393.8143014982147</v>
      </c>
      <c r="AR98" s="189">
        <v>-2176.3501508054696</v>
      </c>
      <c r="AS98" s="189">
        <v>-782.78030650017854</v>
      </c>
      <c r="AT98" s="189">
        <v>-1498.5617244283612</v>
      </c>
      <c r="AU98" s="189">
        <v>-142.65626746982343</v>
      </c>
      <c r="AV98" s="189">
        <v>-2084.6671251921998</v>
      </c>
      <c r="AW98" s="189">
        <v>-517.68442688706182</v>
      </c>
      <c r="AX98" s="189">
        <v>-1196.1771988279306</v>
      </c>
      <c r="AY98" s="189">
        <v>-274.16798760418715</v>
      </c>
      <c r="BA98" s="166"/>
      <c r="BB98" s="166"/>
    </row>
    <row r="99" spans="2:54">
      <c r="B99" s="187">
        <v>10306</v>
      </c>
      <c r="C99" s="187" t="s">
        <v>102</v>
      </c>
      <c r="D99" s="189">
        <v>0</v>
      </c>
      <c r="E99" s="189">
        <v>0</v>
      </c>
      <c r="F99" s="189">
        <v>0</v>
      </c>
      <c r="G99" s="189">
        <v>0</v>
      </c>
      <c r="H99" s="189">
        <v>0</v>
      </c>
      <c r="I99" s="189">
        <v>0</v>
      </c>
      <c r="J99" s="189">
        <v>0</v>
      </c>
      <c r="K99" s="189">
        <v>0</v>
      </c>
      <c r="L99" s="189">
        <v>0</v>
      </c>
      <c r="M99" s="189">
        <v>0</v>
      </c>
      <c r="N99" s="189">
        <v>0</v>
      </c>
      <c r="O99" s="189">
        <v>0</v>
      </c>
      <c r="P99" s="189">
        <v>0</v>
      </c>
      <c r="Q99" s="189">
        <v>0</v>
      </c>
      <c r="R99" s="189">
        <v>0</v>
      </c>
      <c r="S99" s="189">
        <v>0</v>
      </c>
      <c r="T99" s="189">
        <v>0</v>
      </c>
      <c r="U99" s="189">
        <v>0</v>
      </c>
      <c r="V99" s="189">
        <v>0</v>
      </c>
      <c r="W99" s="189">
        <v>0</v>
      </c>
      <c r="X99" s="189">
        <v>0</v>
      </c>
      <c r="Y99" s="189">
        <v>0</v>
      </c>
      <c r="Z99" s="189">
        <v>0</v>
      </c>
      <c r="AA99" s="189">
        <v>0</v>
      </c>
      <c r="AB99" s="189">
        <v>0</v>
      </c>
      <c r="AC99" s="189">
        <v>0</v>
      </c>
      <c r="AD99" s="189">
        <v>0</v>
      </c>
      <c r="AE99" s="189">
        <v>0</v>
      </c>
      <c r="AF99" s="189">
        <v>0</v>
      </c>
      <c r="AG99" s="189">
        <v>0</v>
      </c>
      <c r="AH99" s="189">
        <v>0</v>
      </c>
      <c r="AI99" s="189">
        <v>0</v>
      </c>
      <c r="AJ99" s="189">
        <v>0</v>
      </c>
      <c r="AK99" s="189">
        <v>0</v>
      </c>
      <c r="AL99" s="189">
        <v>0</v>
      </c>
      <c r="AM99" s="189">
        <v>0</v>
      </c>
      <c r="AN99" s="189">
        <v>0</v>
      </c>
      <c r="AO99" s="189">
        <v>0</v>
      </c>
      <c r="AP99" s="189">
        <v>0</v>
      </c>
      <c r="AQ99" s="189">
        <v>0</v>
      </c>
      <c r="AR99" s="189">
        <v>0</v>
      </c>
      <c r="AS99" s="189">
        <v>0</v>
      </c>
      <c r="AT99" s="189">
        <v>0</v>
      </c>
      <c r="AU99" s="189">
        <v>0</v>
      </c>
      <c r="AV99" s="189">
        <v>0</v>
      </c>
      <c r="AW99" s="189">
        <v>0</v>
      </c>
      <c r="AX99" s="189">
        <v>0</v>
      </c>
      <c r="AY99" s="189">
        <v>0</v>
      </c>
      <c r="BA99" s="166"/>
      <c r="BB99" s="166"/>
    </row>
    <row r="100" spans="2:54">
      <c r="B100" s="187">
        <v>10307</v>
      </c>
      <c r="C100" s="187" t="s">
        <v>103</v>
      </c>
      <c r="D100" s="189">
        <v>-1149.5358708038511</v>
      </c>
      <c r="E100" s="189">
        <v>1490.0831420615468</v>
      </c>
      <c r="F100" s="189">
        <v>1318.2945798893925</v>
      </c>
      <c r="G100" s="189">
        <v>2646.5202202192304</v>
      </c>
      <c r="H100" s="189">
        <v>4143.2144935798642</v>
      </c>
      <c r="I100" s="189">
        <v>5781.9758024596886</v>
      </c>
      <c r="J100" s="189">
        <v>11272.787160452121</v>
      </c>
      <c r="K100" s="189">
        <v>7552.261332723283</v>
      </c>
      <c r="L100" s="189">
        <v>11248.519739357544</v>
      </c>
      <c r="M100" s="189">
        <v>7322.2282374513761</v>
      </c>
      <c r="N100" s="189">
        <v>4943.5053170458777</v>
      </c>
      <c r="O100" s="189">
        <v>3031.2812800446372</v>
      </c>
      <c r="P100" s="189">
        <v>131.12765929210582</v>
      </c>
      <c r="Q100" s="189">
        <v>2922.3871087344578</v>
      </c>
      <c r="R100" s="189">
        <v>-15961.117126090168</v>
      </c>
      <c r="S100" s="189">
        <v>-7526.8598955998004</v>
      </c>
      <c r="T100" s="189">
        <v>-9865.0016549788525</v>
      </c>
      <c r="U100" s="189">
        <v>-4084.2304695463336</v>
      </c>
      <c r="V100" s="189">
        <v>-6816.9532063094848</v>
      </c>
      <c r="W100" s="189">
        <v>51.538390656871343</v>
      </c>
      <c r="X100" s="189">
        <v>-8642.9384985925353</v>
      </c>
      <c r="Y100" s="189">
        <v>-2576.5401288012199</v>
      </c>
      <c r="Z100" s="189">
        <v>-6317.5282799330271</v>
      </c>
      <c r="AA100" s="189">
        <v>-914.19728492312242</v>
      </c>
      <c r="AB100" s="189">
        <v>-97.654137533383619</v>
      </c>
      <c r="AC100" s="189">
        <v>443.64412319487565</v>
      </c>
      <c r="AD100" s="189">
        <v>1312.2065680817177</v>
      </c>
      <c r="AE100" s="189">
        <v>2644.8296762025639</v>
      </c>
      <c r="AF100" s="189">
        <v>4136.8937296381118</v>
      </c>
      <c r="AG100" s="189">
        <v>5781.1751912742475</v>
      </c>
      <c r="AH100" s="189">
        <v>11274.022373368312</v>
      </c>
      <c r="AI100" s="189">
        <v>7553.5602188281991</v>
      </c>
      <c r="AJ100" s="189">
        <v>11256.076150542303</v>
      </c>
      <c r="AK100" s="189">
        <v>7327.4344242352581</v>
      </c>
      <c r="AL100" s="189">
        <v>3705.8838737976694</v>
      </c>
      <c r="AM100" s="189">
        <v>4272.7937181968846</v>
      </c>
      <c r="AN100" s="189">
        <v>1253.2927578547933</v>
      </c>
      <c r="AO100" s="189">
        <v>1806.1269475040026</v>
      </c>
      <c r="AP100" s="189">
        <v>-15974.939527111117</v>
      </c>
      <c r="AQ100" s="189">
        <v>-7532.4841183946464</v>
      </c>
      <c r="AR100" s="189">
        <v>-10751.200519648839</v>
      </c>
      <c r="AS100" s="189">
        <v>-3200.9653664736088</v>
      </c>
      <c r="AT100" s="189">
        <v>-5941.4538252288985</v>
      </c>
      <c r="AU100" s="189">
        <v>-819.46268021460855</v>
      </c>
      <c r="AV100" s="189">
        <v>-8645.7173680487504</v>
      </c>
      <c r="AW100" s="189">
        <v>-2575.3133021331632</v>
      </c>
      <c r="AX100" s="189">
        <v>-6317.6143827831293</v>
      </c>
      <c r="AY100" s="189">
        <v>-910.11930761409894</v>
      </c>
      <c r="BA100" s="166"/>
      <c r="BB100" s="166"/>
    </row>
    <row r="101" spans="2:54">
      <c r="B101" s="187">
        <v>10326</v>
      </c>
      <c r="C101" s="187" t="s">
        <v>104</v>
      </c>
      <c r="D101" s="189">
        <v>512.03341078742778</v>
      </c>
      <c r="E101" s="189">
        <v>2530.2970978172589</v>
      </c>
      <c r="F101" s="189">
        <v>-2483.3311796301896</v>
      </c>
      <c r="G101" s="189">
        <v>375.51532481637332</v>
      </c>
      <c r="H101" s="189">
        <v>519.08165254102823</v>
      </c>
      <c r="I101" s="189">
        <v>3156.8233294712354</v>
      </c>
      <c r="J101" s="189">
        <v>1557.4483740259693</v>
      </c>
      <c r="K101" s="189">
        <v>2374.8355218223569</v>
      </c>
      <c r="L101" s="189">
        <v>775.91366859712616</v>
      </c>
      <c r="M101" s="189">
        <v>1565.9780753379573</v>
      </c>
      <c r="N101" s="189">
        <v>-51.095075119979811</v>
      </c>
      <c r="O101" s="189">
        <v>896.61602203326584</v>
      </c>
      <c r="P101" s="189">
        <v>-1266.6173661429875</v>
      </c>
      <c r="Q101" s="189">
        <v>1162.0696650025029</v>
      </c>
      <c r="R101" s="189">
        <v>-6852.8201654683162</v>
      </c>
      <c r="S101" s="189">
        <v>-2347.1715232043716</v>
      </c>
      <c r="T101" s="189">
        <v>-3079.4622300679657</v>
      </c>
      <c r="U101" s="189">
        <v>-297.60919590037429</v>
      </c>
      <c r="V101" s="189">
        <v>-453.4181884206082</v>
      </c>
      <c r="W101" s="189">
        <v>2543.1586760340015</v>
      </c>
      <c r="X101" s="189">
        <v>-1410.2526070565473</v>
      </c>
      <c r="Y101" s="189">
        <v>1183.3853656843876</v>
      </c>
      <c r="Z101" s="189">
        <v>-520.13448896558293</v>
      </c>
      <c r="AA101" s="189">
        <v>2293.5597520989886</v>
      </c>
      <c r="AB101" s="189">
        <v>975.89441078742675</v>
      </c>
      <c r="AC101" s="189">
        <v>2088.5440978172583</v>
      </c>
      <c r="AD101" s="189">
        <v>-2471.1501796301891</v>
      </c>
      <c r="AE101" s="189">
        <v>384.4413248163728</v>
      </c>
      <c r="AF101" s="189">
        <v>534.78965254102695</v>
      </c>
      <c r="AG101" s="189">
        <v>3169.2613294712355</v>
      </c>
      <c r="AH101" s="189">
        <v>1571.4793740259684</v>
      </c>
      <c r="AI101" s="189">
        <v>2384.925521822357</v>
      </c>
      <c r="AJ101" s="189">
        <v>786.68566859712519</v>
      </c>
      <c r="AK101" s="189">
        <v>1573.3260753379573</v>
      </c>
      <c r="AL101" s="189">
        <v>-450.51507511997988</v>
      </c>
      <c r="AM101" s="189">
        <v>1317.1840220332651</v>
      </c>
      <c r="AN101" s="189">
        <v>-865.80036614298842</v>
      </c>
      <c r="AO101" s="189">
        <v>780.39666500250314</v>
      </c>
      <c r="AP101" s="189">
        <v>-6842.2611654683169</v>
      </c>
      <c r="AQ101" s="189">
        <v>-2339.6405232043717</v>
      </c>
      <c r="AR101" s="189">
        <v>-3451.914230067965</v>
      </c>
      <c r="AS101" s="189">
        <v>92.93480409962558</v>
      </c>
      <c r="AT101" s="189">
        <v>-13.773188420607767</v>
      </c>
      <c r="AU101" s="189">
        <v>2124.6376760340027</v>
      </c>
      <c r="AV101" s="189">
        <v>-1397.3936070565469</v>
      </c>
      <c r="AW101" s="189">
        <v>1191.6403656843886</v>
      </c>
      <c r="AX101" s="189">
        <v>-508.3024889655826</v>
      </c>
      <c r="AY101" s="189">
        <v>2302.8407520989877</v>
      </c>
      <c r="BA101" s="166"/>
      <c r="BB101" s="166"/>
    </row>
    <row r="102" spans="2:54">
      <c r="B102" s="187">
        <v>10331</v>
      </c>
      <c r="C102" s="187" t="s">
        <v>105</v>
      </c>
      <c r="D102" s="189">
        <v>0</v>
      </c>
      <c r="E102" s="189">
        <v>0</v>
      </c>
      <c r="F102" s="189">
        <v>0</v>
      </c>
      <c r="G102" s="189">
        <v>0</v>
      </c>
      <c r="H102" s="189">
        <v>0</v>
      </c>
      <c r="I102" s="189">
        <v>0</v>
      </c>
      <c r="J102" s="189">
        <v>0</v>
      </c>
      <c r="K102" s="189">
        <v>0</v>
      </c>
      <c r="L102" s="189">
        <v>0</v>
      </c>
      <c r="M102" s="189">
        <v>0</v>
      </c>
      <c r="N102" s="189">
        <v>0</v>
      </c>
      <c r="O102" s="189">
        <v>0</v>
      </c>
      <c r="P102" s="189">
        <v>0</v>
      </c>
      <c r="Q102" s="189">
        <v>0</v>
      </c>
      <c r="R102" s="189">
        <v>0</v>
      </c>
      <c r="S102" s="189">
        <v>0</v>
      </c>
      <c r="T102" s="189">
        <v>0</v>
      </c>
      <c r="U102" s="189">
        <v>0</v>
      </c>
      <c r="V102" s="189">
        <v>0</v>
      </c>
      <c r="W102" s="189">
        <v>0</v>
      </c>
      <c r="X102" s="189">
        <v>0</v>
      </c>
      <c r="Y102" s="189">
        <v>0</v>
      </c>
      <c r="Z102" s="189">
        <v>0</v>
      </c>
      <c r="AA102" s="189">
        <v>0</v>
      </c>
      <c r="AB102" s="189">
        <v>0</v>
      </c>
      <c r="AC102" s="189">
        <v>0</v>
      </c>
      <c r="AD102" s="189">
        <v>0</v>
      </c>
      <c r="AE102" s="189">
        <v>0</v>
      </c>
      <c r="AF102" s="189">
        <v>0</v>
      </c>
      <c r="AG102" s="189">
        <v>0</v>
      </c>
      <c r="AH102" s="189">
        <v>0</v>
      </c>
      <c r="AI102" s="189">
        <v>0</v>
      </c>
      <c r="AJ102" s="189">
        <v>0</v>
      </c>
      <c r="AK102" s="189">
        <v>0</v>
      </c>
      <c r="AL102" s="189">
        <v>0</v>
      </c>
      <c r="AM102" s="189">
        <v>0</v>
      </c>
      <c r="AN102" s="189">
        <v>0</v>
      </c>
      <c r="AO102" s="189">
        <v>0</v>
      </c>
      <c r="AP102" s="189">
        <v>0</v>
      </c>
      <c r="AQ102" s="189">
        <v>0</v>
      </c>
      <c r="AR102" s="189">
        <v>0</v>
      </c>
      <c r="AS102" s="189">
        <v>0</v>
      </c>
      <c r="AT102" s="189">
        <v>0</v>
      </c>
      <c r="AU102" s="189">
        <v>0</v>
      </c>
      <c r="AV102" s="189">
        <v>0</v>
      </c>
      <c r="AW102" s="189">
        <v>0</v>
      </c>
      <c r="AX102" s="189">
        <v>0</v>
      </c>
      <c r="AY102" s="189">
        <v>0</v>
      </c>
      <c r="BA102" s="166"/>
      <c r="BB102" s="166"/>
    </row>
    <row r="103" spans="2:54">
      <c r="B103" s="187">
        <v>10333</v>
      </c>
      <c r="C103" s="187" t="s">
        <v>106</v>
      </c>
      <c r="D103" s="189">
        <v>-1316.3510749914994</v>
      </c>
      <c r="E103" s="189">
        <v>-406.63714330863786</v>
      </c>
      <c r="F103" s="189">
        <v>-858.02411643099185</v>
      </c>
      <c r="G103" s="189">
        <v>750.37255385431945</v>
      </c>
      <c r="H103" s="189">
        <v>1121.6173752564446</v>
      </c>
      <c r="I103" s="189">
        <v>1771.9197066403967</v>
      </c>
      <c r="J103" s="189">
        <v>1930.0960950643266</v>
      </c>
      <c r="K103" s="189">
        <v>2125.4452059679616</v>
      </c>
      <c r="L103" s="189">
        <v>1307.8135101582557</v>
      </c>
      <c r="M103" s="189">
        <v>1487.7458958887396</v>
      </c>
      <c r="N103" s="189">
        <v>-296.91868887199416</v>
      </c>
      <c r="O103" s="189">
        <v>575.31426787951295</v>
      </c>
      <c r="P103" s="189">
        <v>-689.07678392823527</v>
      </c>
      <c r="Q103" s="189">
        <v>296.64973392175762</v>
      </c>
      <c r="R103" s="189">
        <v>-3936.8297422157711</v>
      </c>
      <c r="S103" s="189">
        <v>-1336.9413419863085</v>
      </c>
      <c r="T103" s="189">
        <v>-1000.616406973726</v>
      </c>
      <c r="U103" s="189">
        <v>315.35028647248964</v>
      </c>
      <c r="V103" s="189">
        <v>453.05812293329382</v>
      </c>
      <c r="W103" s="189">
        <v>1239.0596686392455</v>
      </c>
      <c r="X103" s="189">
        <v>-898.5154370787759</v>
      </c>
      <c r="Y103" s="189">
        <v>427.67972166532127</v>
      </c>
      <c r="Z103" s="189">
        <v>-1800.0726098627083</v>
      </c>
      <c r="AA103" s="189">
        <v>-262.50690872589985</v>
      </c>
      <c r="AB103" s="189">
        <v>-1276.1630749914993</v>
      </c>
      <c r="AC103" s="189">
        <v>-383.22714330863801</v>
      </c>
      <c r="AD103" s="189">
        <v>-805.56711643099152</v>
      </c>
      <c r="AE103" s="189">
        <v>788.70955385431898</v>
      </c>
      <c r="AF103" s="189">
        <v>1184.6993752564449</v>
      </c>
      <c r="AG103" s="189">
        <v>1816.6817066403974</v>
      </c>
      <c r="AH103" s="189">
        <v>1989.5510950643265</v>
      </c>
      <c r="AI103" s="189">
        <v>2167.8412059679613</v>
      </c>
      <c r="AJ103" s="189">
        <v>1355.779510158256</v>
      </c>
      <c r="AK103" s="189">
        <v>1520.0878958887392</v>
      </c>
      <c r="AL103" s="189">
        <v>-251.22168887199405</v>
      </c>
      <c r="AM103" s="189">
        <v>606.38926787951368</v>
      </c>
      <c r="AN103" s="189">
        <v>-646.82478392823487</v>
      </c>
      <c r="AO103" s="189">
        <v>324.19073392175687</v>
      </c>
      <c r="AP103" s="189">
        <v>-3893.2097422157713</v>
      </c>
      <c r="AQ103" s="189">
        <v>-1306.6963419863087</v>
      </c>
      <c r="AR103" s="189">
        <v>-952.21040697372609</v>
      </c>
      <c r="AS103" s="189">
        <v>346.00328647248898</v>
      </c>
      <c r="AT103" s="189">
        <v>503.52112293329355</v>
      </c>
      <c r="AU103" s="189">
        <v>1271.7786686392456</v>
      </c>
      <c r="AV103" s="189">
        <v>-849.83943707877552</v>
      </c>
      <c r="AW103" s="189">
        <v>456.99072166532187</v>
      </c>
      <c r="AX103" s="189">
        <v>-1764.0476098627078</v>
      </c>
      <c r="AY103" s="189">
        <v>-237.65690872589948</v>
      </c>
      <c r="BA103" s="166"/>
      <c r="BB103" s="166"/>
    </row>
    <row r="104" spans="2:54">
      <c r="B104" s="187">
        <v>10338</v>
      </c>
      <c r="C104" s="187" t="s">
        <v>107</v>
      </c>
      <c r="D104" s="189">
        <v>-371.60663342945338</v>
      </c>
      <c r="E104" s="189">
        <v>-87.002622285896564</v>
      </c>
      <c r="F104" s="189">
        <v>-435.27718387621962</v>
      </c>
      <c r="G104" s="189">
        <v>-103.54765240705149</v>
      </c>
      <c r="H104" s="189">
        <v>-118.24810484857539</v>
      </c>
      <c r="I104" s="189">
        <v>169.83695927588508</v>
      </c>
      <c r="J104" s="189">
        <v>111.1687951207025</v>
      </c>
      <c r="K104" s="189">
        <v>248.08421258250564</v>
      </c>
      <c r="L104" s="189">
        <v>55.356545789572124</v>
      </c>
      <c r="M104" s="189">
        <v>177.53903362221496</v>
      </c>
      <c r="N104" s="189">
        <v>-219.4663745801937</v>
      </c>
      <c r="O104" s="189">
        <v>-30.953957052038504</v>
      </c>
      <c r="P104" s="189">
        <v>-162.72070027320535</v>
      </c>
      <c r="Q104" s="189">
        <v>67.893779179816647</v>
      </c>
      <c r="R104" s="189">
        <v>-279.66810366458594</v>
      </c>
      <c r="S104" s="189">
        <v>-23.572991832798493</v>
      </c>
      <c r="T104" s="189">
        <v>220.34800830109566</v>
      </c>
      <c r="U104" s="189">
        <v>227.78864856360588</v>
      </c>
      <c r="V104" s="189">
        <v>407.33117960131642</v>
      </c>
      <c r="W104" s="189">
        <v>498.2076078821724</v>
      </c>
      <c r="X104" s="189">
        <v>167.51248210358176</v>
      </c>
      <c r="Y104" s="189">
        <v>204.79163777976555</v>
      </c>
      <c r="Z104" s="189">
        <v>-198.73535408502676</v>
      </c>
      <c r="AA104" s="189">
        <v>40.751794177475062</v>
      </c>
      <c r="AB104" s="189">
        <v>-344.82163342945341</v>
      </c>
      <c r="AC104" s="189">
        <v>-110.49462228589658</v>
      </c>
      <c r="AD104" s="189">
        <v>-432.93418387621966</v>
      </c>
      <c r="AE104" s="189">
        <v>-101.72265240705156</v>
      </c>
      <c r="AF104" s="189">
        <v>-115.03810484857536</v>
      </c>
      <c r="AG104" s="189">
        <v>172.49595927588507</v>
      </c>
      <c r="AH104" s="189">
        <v>114.51679512070245</v>
      </c>
      <c r="AI104" s="189">
        <v>250.68821258250568</v>
      </c>
      <c r="AJ104" s="189">
        <v>58.042545789572046</v>
      </c>
      <c r="AK104" s="189">
        <v>179.53603362221503</v>
      </c>
      <c r="AL104" s="189">
        <v>-247.10537458019371</v>
      </c>
      <c r="AM104" s="189">
        <v>0.66204294796148133</v>
      </c>
      <c r="AN104" s="189">
        <v>-127.20270027320532</v>
      </c>
      <c r="AO104" s="189">
        <v>36.633779179816656</v>
      </c>
      <c r="AP104" s="189">
        <v>-276.2371036645859</v>
      </c>
      <c r="AQ104" s="189">
        <v>-21.217991832798475</v>
      </c>
      <c r="AR104" s="189">
        <v>173.33500830109551</v>
      </c>
      <c r="AS104" s="189">
        <v>281.41464856360585</v>
      </c>
      <c r="AT104" s="189">
        <v>466.40817960131642</v>
      </c>
      <c r="AU104" s="189">
        <v>446.4666078821723</v>
      </c>
      <c r="AV104" s="189">
        <v>171.44448210358178</v>
      </c>
      <c r="AW104" s="189">
        <v>207.09963777976554</v>
      </c>
      <c r="AX104" s="189">
        <v>-196.36435408502678</v>
      </c>
      <c r="AY104" s="189">
        <v>42.542794177475002</v>
      </c>
      <c r="BA104" s="166"/>
      <c r="BB104" s="166"/>
    </row>
    <row r="105" spans="2:54">
      <c r="B105" s="187">
        <v>10342</v>
      </c>
      <c r="C105" s="187" t="s">
        <v>108</v>
      </c>
      <c r="D105" s="189">
        <v>-563.36667952852804</v>
      </c>
      <c r="E105" s="189">
        <v>257.2539343759363</v>
      </c>
      <c r="F105" s="189">
        <v>-867.56496357165815</v>
      </c>
      <c r="G105" s="189">
        <v>-143.50363363796714</v>
      </c>
      <c r="H105" s="189">
        <v>1603.6746178353314</v>
      </c>
      <c r="I105" s="189">
        <v>2140.7859576130559</v>
      </c>
      <c r="J105" s="189">
        <v>4403.5462795087387</v>
      </c>
      <c r="K105" s="189">
        <v>2365.2043060728538</v>
      </c>
      <c r="L105" s="189">
        <v>4804.1156895356889</v>
      </c>
      <c r="M105" s="189">
        <v>2541.4778650067847</v>
      </c>
      <c r="N105" s="189">
        <v>1524.4231390099721</v>
      </c>
      <c r="O105" s="189">
        <v>230.38812915893686</v>
      </c>
      <c r="P105" s="189">
        <v>-13.367776118035181</v>
      </c>
      <c r="Q105" s="189">
        <v>829.51425148214366</v>
      </c>
      <c r="R105" s="189">
        <v>-7894.7236285228992</v>
      </c>
      <c r="S105" s="189">
        <v>-4226.9663290583594</v>
      </c>
      <c r="T105" s="189">
        <v>-3540.5028313758557</v>
      </c>
      <c r="U105" s="189">
        <v>-1757.353328564127</v>
      </c>
      <c r="V105" s="189">
        <v>-265.36179138141779</v>
      </c>
      <c r="W105" s="189">
        <v>1453.9418510292653</v>
      </c>
      <c r="X105" s="189">
        <v>-1121.1563201985045</v>
      </c>
      <c r="Y105" s="189">
        <v>-223.33437156840591</v>
      </c>
      <c r="Z105" s="189">
        <v>-1614.8952139291123</v>
      </c>
      <c r="AA105" s="189">
        <v>82.339426807526252</v>
      </c>
      <c r="AB105" s="189">
        <v>6.2156232238812663</v>
      </c>
      <c r="AC105" s="189">
        <v>-313.62356194496897</v>
      </c>
      <c r="AD105" s="189">
        <v>-870.15072294320998</v>
      </c>
      <c r="AE105" s="189">
        <v>-144.10851487751461</v>
      </c>
      <c r="AF105" s="189">
        <v>1607.2698390550249</v>
      </c>
      <c r="AG105" s="189">
        <v>2145.8905413315333</v>
      </c>
      <c r="AH105" s="189">
        <v>4414.2284062596063</v>
      </c>
      <c r="AI105" s="189">
        <v>2370.9099375158112</v>
      </c>
      <c r="AJ105" s="189">
        <v>4815.8782142910077</v>
      </c>
      <c r="AK105" s="189">
        <v>2547.683266723805</v>
      </c>
      <c r="AL105" s="189">
        <v>900.90805187644764</v>
      </c>
      <c r="AM105" s="189">
        <v>857.76256635136087</v>
      </c>
      <c r="AN105" s="189">
        <v>587.42649002201506</v>
      </c>
      <c r="AO105" s="189">
        <v>230.26835379280783</v>
      </c>
      <c r="AP105" s="189">
        <v>-7914.9728873267013</v>
      </c>
      <c r="AQ105" s="189">
        <v>-4237.8239926185215</v>
      </c>
      <c r="AR105" s="189">
        <v>-4097.6364211649852</v>
      </c>
      <c r="AS105" s="189">
        <v>-1214.0570233277649</v>
      </c>
      <c r="AT105" s="189">
        <v>333.26285121994442</v>
      </c>
      <c r="AU105" s="189">
        <v>857.76348121129377</v>
      </c>
      <c r="AV105" s="189">
        <v>-1124.344898554813</v>
      </c>
      <c r="AW105" s="189">
        <v>-224.09594422216833</v>
      </c>
      <c r="AX105" s="189">
        <v>-1619.2587053495645</v>
      </c>
      <c r="AY105" s="189">
        <v>82.377468451824825</v>
      </c>
      <c r="BA105" s="166"/>
      <c r="BB105" s="166"/>
    </row>
    <row r="106" spans="2:54">
      <c r="B106" s="187">
        <v>10343</v>
      </c>
      <c r="C106" s="187" t="s">
        <v>109</v>
      </c>
      <c r="D106" s="189">
        <v>-1224.1612460062474</v>
      </c>
      <c r="E106" s="189">
        <v>-220.3517521441695</v>
      </c>
      <c r="F106" s="189">
        <v>-1333.5649934962321</v>
      </c>
      <c r="G106" s="189">
        <v>-287.6615918029147</v>
      </c>
      <c r="H106" s="189">
        <v>1.2775092662295719</v>
      </c>
      <c r="I106" s="189">
        <v>323.77853347705513</v>
      </c>
      <c r="J106" s="189">
        <v>1152.4029946907485</v>
      </c>
      <c r="K106" s="189">
        <v>1273.0966364999122</v>
      </c>
      <c r="L106" s="189">
        <v>789.93325456464845</v>
      </c>
      <c r="M106" s="189">
        <v>1379.1902433752375</v>
      </c>
      <c r="N106" s="189">
        <v>-199.24706573613003</v>
      </c>
      <c r="O106" s="189">
        <v>649.02846069107363</v>
      </c>
      <c r="P106" s="189">
        <v>-199.69714425074562</v>
      </c>
      <c r="Q106" s="189">
        <v>417.62793613256963</v>
      </c>
      <c r="R106" s="189">
        <v>-2202.2142009134295</v>
      </c>
      <c r="S106" s="189">
        <v>-317.94322913258338</v>
      </c>
      <c r="T106" s="189">
        <v>-180.78408749332903</v>
      </c>
      <c r="U106" s="189">
        <v>242.06363377257867</v>
      </c>
      <c r="V106" s="189">
        <v>-9.0862340346393466</v>
      </c>
      <c r="W106" s="189">
        <v>1273.0853744770229</v>
      </c>
      <c r="X106" s="189">
        <v>-741.40467500740215</v>
      </c>
      <c r="Y106" s="189">
        <v>547.59778324386252</v>
      </c>
      <c r="Z106" s="189">
        <v>-797.34294188026843</v>
      </c>
      <c r="AA106" s="189">
        <v>-338.74334184581221</v>
      </c>
      <c r="AB106" s="189">
        <v>-1224.1612460062474</v>
      </c>
      <c r="AC106" s="189">
        <v>-220.3517521441695</v>
      </c>
      <c r="AD106" s="189">
        <v>-1333.5649934962321</v>
      </c>
      <c r="AE106" s="189">
        <v>-287.6615918029147</v>
      </c>
      <c r="AF106" s="189">
        <v>1.2775092662295719</v>
      </c>
      <c r="AG106" s="189">
        <v>323.77853347705513</v>
      </c>
      <c r="AH106" s="189">
        <v>1152.4029946907485</v>
      </c>
      <c r="AI106" s="189">
        <v>1273.0966364999122</v>
      </c>
      <c r="AJ106" s="189">
        <v>789.93325456464845</v>
      </c>
      <c r="AK106" s="189">
        <v>1379.1902433752375</v>
      </c>
      <c r="AL106" s="189">
        <v>-199.24706573613003</v>
      </c>
      <c r="AM106" s="189">
        <v>649.02846069107363</v>
      </c>
      <c r="AN106" s="189">
        <v>-199.69714425074562</v>
      </c>
      <c r="AO106" s="189">
        <v>417.62793613256963</v>
      </c>
      <c r="AP106" s="189">
        <v>-2202.2142009134295</v>
      </c>
      <c r="AQ106" s="189">
        <v>-317.94322913258338</v>
      </c>
      <c r="AR106" s="189">
        <v>-180.78408749332903</v>
      </c>
      <c r="AS106" s="189">
        <v>242.06363377257867</v>
      </c>
      <c r="AT106" s="189">
        <v>-9.0862340346393466</v>
      </c>
      <c r="AU106" s="189">
        <v>1273.0853744770229</v>
      </c>
      <c r="AV106" s="189">
        <v>-741.40467500740215</v>
      </c>
      <c r="AW106" s="189">
        <v>547.59778324386252</v>
      </c>
      <c r="AX106" s="189">
        <v>-797.34294188026843</v>
      </c>
      <c r="AY106" s="189">
        <v>-338.74334184581221</v>
      </c>
      <c r="BA106" s="166"/>
      <c r="BB106" s="166"/>
    </row>
    <row r="107" spans="2:54">
      <c r="B107" s="187">
        <v>10349</v>
      </c>
      <c r="C107" s="187" t="s">
        <v>110</v>
      </c>
      <c r="D107" s="189">
        <v>-9672.6278042942577</v>
      </c>
      <c r="E107" s="189">
        <v>22763.099678447412</v>
      </c>
      <c r="F107" s="189">
        <v>72201.019275529543</v>
      </c>
      <c r="G107" s="189">
        <v>69594.905866276327</v>
      </c>
      <c r="H107" s="189">
        <v>84042.5269469021</v>
      </c>
      <c r="I107" s="189">
        <v>72028.415967922512</v>
      </c>
      <c r="J107" s="189">
        <v>153751.85658384481</v>
      </c>
      <c r="K107" s="189">
        <v>113068.99865301591</v>
      </c>
      <c r="L107" s="189">
        <v>133145.70779056914</v>
      </c>
      <c r="M107" s="189">
        <v>104467.27113974685</v>
      </c>
      <c r="N107" s="189">
        <v>117392.22504649049</v>
      </c>
      <c r="O107" s="189">
        <v>97075.385220601282</v>
      </c>
      <c r="P107" s="189">
        <v>-52285.881858109584</v>
      </c>
      <c r="Q107" s="189">
        <v>-10687.039134714607</v>
      </c>
      <c r="R107" s="189">
        <v>-260300.25155074248</v>
      </c>
      <c r="S107" s="189">
        <v>-142889.35545281673</v>
      </c>
      <c r="T107" s="189">
        <v>-254254.25350799531</v>
      </c>
      <c r="U107" s="189">
        <v>-134398.55069291577</v>
      </c>
      <c r="V107" s="189">
        <v>-94315.246141839278</v>
      </c>
      <c r="W107" s="189">
        <v>-32154.537725767892</v>
      </c>
      <c r="X107" s="189">
        <v>-99936.161818633962</v>
      </c>
      <c r="Y107" s="189">
        <v>-23081.784063640691</v>
      </c>
      <c r="Z107" s="189">
        <v>30708.205301051756</v>
      </c>
      <c r="AA107" s="189">
        <v>42786.054652310253</v>
      </c>
      <c r="AB107" s="189">
        <v>-9786.2117759566172</v>
      </c>
      <c r="AC107" s="189">
        <v>22867.479772533246</v>
      </c>
      <c r="AD107" s="189">
        <v>73138.533502984326</v>
      </c>
      <c r="AE107" s="189">
        <v>70192.780453333398</v>
      </c>
      <c r="AF107" s="189">
        <v>84632.615172469697</v>
      </c>
      <c r="AG107" s="189">
        <v>72754.835502626083</v>
      </c>
      <c r="AH107" s="189">
        <v>154791.2580349358</v>
      </c>
      <c r="AI107" s="189">
        <v>113878.60321493179</v>
      </c>
      <c r="AJ107" s="189">
        <v>134264.09355074528</v>
      </c>
      <c r="AK107" s="189">
        <v>105280.05823561932</v>
      </c>
      <c r="AL107" s="189">
        <v>118395.82651796617</v>
      </c>
      <c r="AM107" s="189">
        <v>98110.838667985445</v>
      </c>
      <c r="AN107" s="189">
        <v>-52552.35017425855</v>
      </c>
      <c r="AO107" s="189">
        <v>-10768.207973561075</v>
      </c>
      <c r="AP107" s="189">
        <v>-262528.86192977452</v>
      </c>
      <c r="AQ107" s="189">
        <v>-144066.10250736642</v>
      </c>
      <c r="AR107" s="189">
        <v>-256395.90955456471</v>
      </c>
      <c r="AS107" s="189">
        <v>-135530.62799258856</v>
      </c>
      <c r="AT107" s="189">
        <v>-95202.609453912504</v>
      </c>
      <c r="AU107" s="189">
        <v>-32557.787074239648</v>
      </c>
      <c r="AV107" s="189">
        <v>-100770.10872669052</v>
      </c>
      <c r="AW107" s="189">
        <v>-23199.585741307717</v>
      </c>
      <c r="AX107" s="189">
        <v>31168.417324278766</v>
      </c>
      <c r="AY107" s="189">
        <v>43425.493020163805</v>
      </c>
      <c r="BA107" s="166"/>
      <c r="BB107" s="166"/>
    </row>
    <row r="108" spans="2:54">
      <c r="B108" s="187">
        <v>10352</v>
      </c>
      <c r="C108" s="187" t="s">
        <v>111</v>
      </c>
      <c r="D108" s="189">
        <v>-293.45735858925491</v>
      </c>
      <c r="E108" s="189">
        <v>89.52716748686953</v>
      </c>
      <c r="F108" s="189">
        <v>-395.4354173665306</v>
      </c>
      <c r="G108" s="189">
        <v>47.074996356566771</v>
      </c>
      <c r="H108" s="189">
        <v>1402.6035669079947</v>
      </c>
      <c r="I108" s="189">
        <v>1706.1602950212182</v>
      </c>
      <c r="J108" s="189">
        <v>2687.3127863385316</v>
      </c>
      <c r="K108" s="189">
        <v>1791.0071467761727</v>
      </c>
      <c r="L108" s="189">
        <v>2349.8818641748503</v>
      </c>
      <c r="M108" s="189">
        <v>1472.5660595506702</v>
      </c>
      <c r="N108" s="189">
        <v>995.37649188497016</v>
      </c>
      <c r="O108" s="189">
        <v>476.44705144718682</v>
      </c>
      <c r="P108" s="189">
        <v>84.933407139054907</v>
      </c>
      <c r="Q108" s="189">
        <v>483.46601715409088</v>
      </c>
      <c r="R108" s="189">
        <v>-3261.8401933550422</v>
      </c>
      <c r="S108" s="189">
        <v>-1786.5043024036058</v>
      </c>
      <c r="T108" s="189">
        <v>-1935.3310397802343</v>
      </c>
      <c r="U108" s="189">
        <v>-1061.0935164001994</v>
      </c>
      <c r="V108" s="189">
        <v>-1170.4666694448233</v>
      </c>
      <c r="W108" s="189">
        <v>-115.21220384860862</v>
      </c>
      <c r="X108" s="189">
        <v>-1452.6848116995125</v>
      </c>
      <c r="Y108" s="189">
        <v>-651.58586166194664</v>
      </c>
      <c r="Z108" s="189">
        <v>-1136.9157472608113</v>
      </c>
      <c r="AA108" s="189">
        <v>-329.62674748344944</v>
      </c>
      <c r="AB108" s="189">
        <v>-73.825998160185009</v>
      </c>
      <c r="AC108" s="189">
        <v>-130.08519532047558</v>
      </c>
      <c r="AD108" s="189">
        <v>-395.89298099135976</v>
      </c>
      <c r="AE108" s="189">
        <v>47.364857435238264</v>
      </c>
      <c r="AF108" s="189">
        <v>1405.7338647936322</v>
      </c>
      <c r="AG108" s="189">
        <v>1709.770538402795</v>
      </c>
      <c r="AH108" s="189">
        <v>2692.9600249435853</v>
      </c>
      <c r="AI108" s="189">
        <v>1794.7609273059306</v>
      </c>
      <c r="AJ108" s="189">
        <v>2354.8108021489588</v>
      </c>
      <c r="AK108" s="189">
        <v>1475.6465174464925</v>
      </c>
      <c r="AL108" s="189">
        <v>737.98839815892825</v>
      </c>
      <c r="AM108" s="189">
        <v>737.21216026537968</v>
      </c>
      <c r="AN108" s="189">
        <v>323.84730746274727</v>
      </c>
      <c r="AO108" s="189">
        <v>246.10542450231605</v>
      </c>
      <c r="AP108" s="189">
        <v>-3267.97368694742</v>
      </c>
      <c r="AQ108" s="189">
        <v>-1789.8561886763036</v>
      </c>
      <c r="AR108" s="189">
        <v>-2132.6770497870912</v>
      </c>
      <c r="AS108" s="189">
        <v>-869.25908900929062</v>
      </c>
      <c r="AT108" s="189">
        <v>-978.52937803409895</v>
      </c>
      <c r="AU108" s="189">
        <v>-309.29619577635003</v>
      </c>
      <c r="AV108" s="189">
        <v>-1455.2765607386391</v>
      </c>
      <c r="AW108" s="189">
        <v>-652.73320448629875</v>
      </c>
      <c r="AX108" s="189">
        <v>-1138.9195644011024</v>
      </c>
      <c r="AY108" s="189">
        <v>-330.13220490473714</v>
      </c>
      <c r="BA108" s="166"/>
      <c r="BB108" s="166"/>
    </row>
    <row r="109" spans="2:54">
      <c r="B109" s="187">
        <v>10354</v>
      </c>
      <c r="C109" s="187" t="s">
        <v>112</v>
      </c>
      <c r="D109" s="189">
        <v>-16413.465936852794</v>
      </c>
      <c r="E109" s="189">
        <v>30748.262040778936</v>
      </c>
      <c r="F109" s="189">
        <v>-33230.954066765466</v>
      </c>
      <c r="G109" s="189">
        <v>18244.767860735548</v>
      </c>
      <c r="H109" s="189">
        <v>-5987.5872183495085</v>
      </c>
      <c r="I109" s="189">
        <v>46711.723451657221</v>
      </c>
      <c r="J109" s="189">
        <v>29247.312022270227</v>
      </c>
      <c r="K109" s="189">
        <v>52363.100704389391</v>
      </c>
      <c r="L109" s="189">
        <v>28199.668146762851</v>
      </c>
      <c r="M109" s="189">
        <v>45286.232772673538</v>
      </c>
      <c r="N109" s="189">
        <v>6163.2359466842609</v>
      </c>
      <c r="O109" s="189">
        <v>28183.785673679697</v>
      </c>
      <c r="P109" s="189">
        <v>-18725.953389187111</v>
      </c>
      <c r="Q109" s="189">
        <v>26070.565032639861</v>
      </c>
      <c r="R109" s="189">
        <v>-101362.09093017966</v>
      </c>
      <c r="S109" s="189">
        <v>-26448.458113658708</v>
      </c>
      <c r="T109" s="189">
        <v>-56275.544813115179</v>
      </c>
      <c r="U109" s="189">
        <v>-1236.3471658688213</v>
      </c>
      <c r="V109" s="189">
        <v>-41935.890146540914</v>
      </c>
      <c r="W109" s="189">
        <v>21144.894713617905</v>
      </c>
      <c r="X109" s="189">
        <v>-54524.843262303708</v>
      </c>
      <c r="Y109" s="189">
        <v>5254.7755615345377</v>
      </c>
      <c r="Z109" s="189">
        <v>-37762.520994498424</v>
      </c>
      <c r="AA109" s="189">
        <v>19722.511549813687</v>
      </c>
      <c r="AB109" s="189">
        <v>-7131.0779395397985</v>
      </c>
      <c r="AC109" s="189">
        <v>27770.814318505407</v>
      </c>
      <c r="AD109" s="189">
        <v>-30170.739013665385</v>
      </c>
      <c r="AE109" s="189">
        <v>21765.013085672312</v>
      </c>
      <c r="AF109" s="189">
        <v>-1612.5850370263506</v>
      </c>
      <c r="AG109" s="189">
        <v>51703.325043889272</v>
      </c>
      <c r="AH109" s="189">
        <v>34310.785042018251</v>
      </c>
      <c r="AI109" s="189">
        <v>57049.924867332913</v>
      </c>
      <c r="AJ109" s="189">
        <v>32452.660168012488</v>
      </c>
      <c r="AK109" s="189">
        <v>49048.008084642992</v>
      </c>
      <c r="AL109" s="189">
        <v>3429.3458088731859</v>
      </c>
      <c r="AM109" s="189">
        <v>38611.397396761211</v>
      </c>
      <c r="AN109" s="189">
        <v>-9672.2954454916471</v>
      </c>
      <c r="AO109" s="189">
        <v>23083.202209541865</v>
      </c>
      <c r="AP109" s="189">
        <v>-100896.18537942847</v>
      </c>
      <c r="AQ109" s="189">
        <v>-24813.838706613518</v>
      </c>
      <c r="AR109" s="189">
        <v>-60375.516891551466</v>
      </c>
      <c r="AS109" s="189">
        <v>6515.9385491128633</v>
      </c>
      <c r="AT109" s="189">
        <v>-34551.186932487792</v>
      </c>
      <c r="AU109" s="189">
        <v>18643.922927606603</v>
      </c>
      <c r="AV109" s="189">
        <v>-52695.250262334273</v>
      </c>
      <c r="AW109" s="189">
        <v>7633.9638934454997</v>
      </c>
      <c r="AX109" s="189">
        <v>-36028.14458226235</v>
      </c>
      <c r="AY109" s="189">
        <v>22490.607456902595</v>
      </c>
      <c r="BA109" s="166"/>
      <c r="BB109" s="166"/>
    </row>
    <row r="110" spans="2:54">
      <c r="B110" s="187">
        <v>10360</v>
      </c>
      <c r="C110" s="187" t="s">
        <v>113</v>
      </c>
      <c r="D110" s="189">
        <v>-1255.384719231035</v>
      </c>
      <c r="E110" s="189">
        <v>-353.06615979553976</v>
      </c>
      <c r="F110" s="189">
        <v>-1865.4692304097089</v>
      </c>
      <c r="G110" s="189">
        <v>-764.99792325223007</v>
      </c>
      <c r="H110" s="189">
        <v>-1311.1465690298764</v>
      </c>
      <c r="I110" s="189">
        <v>-330.35709172556994</v>
      </c>
      <c r="J110" s="189">
        <v>-706.49611004549251</v>
      </c>
      <c r="K110" s="189">
        <v>-68.889066086883076</v>
      </c>
      <c r="L110" s="189">
        <v>-626.27185070230871</v>
      </c>
      <c r="M110" s="189">
        <v>-81.344758387105003</v>
      </c>
      <c r="N110" s="189">
        <v>-1287.9551269261563</v>
      </c>
      <c r="O110" s="189">
        <v>-543.25906671649068</v>
      </c>
      <c r="P110" s="189">
        <v>-660.909755746266</v>
      </c>
      <c r="Q110" s="189">
        <v>74.266461397299736</v>
      </c>
      <c r="R110" s="189">
        <v>-427.04459480330797</v>
      </c>
      <c r="S110" s="189">
        <v>317.4939346492547</v>
      </c>
      <c r="T110" s="189">
        <v>2382.1467226574359</v>
      </c>
      <c r="U110" s="189">
        <v>2150.900441145367</v>
      </c>
      <c r="V110" s="189">
        <v>2439.0379410048245</v>
      </c>
      <c r="W110" s="189">
        <v>2803.5666832714169</v>
      </c>
      <c r="X110" s="189">
        <v>1980.6112490912951</v>
      </c>
      <c r="Y110" s="189">
        <v>1873.6047833898967</v>
      </c>
      <c r="Z110" s="189">
        <v>-92.536490856355613</v>
      </c>
      <c r="AA110" s="189">
        <v>669.64981766367509</v>
      </c>
      <c r="AB110" s="189">
        <v>-1194.6697192310348</v>
      </c>
      <c r="AC110" s="189">
        <v>-419.2761597955398</v>
      </c>
      <c r="AD110" s="189">
        <v>-1860.5642304097089</v>
      </c>
      <c r="AE110" s="189">
        <v>-761.12892325222992</v>
      </c>
      <c r="AF110" s="189">
        <v>-1304.8235690298766</v>
      </c>
      <c r="AG110" s="189">
        <v>-325.14009172556985</v>
      </c>
      <c r="AH110" s="189">
        <v>-699.9241100454924</v>
      </c>
      <c r="AI110" s="189">
        <v>-63.719066086883231</v>
      </c>
      <c r="AJ110" s="189">
        <v>-620.86585070230876</v>
      </c>
      <c r="AK110" s="189">
        <v>-77.340758387105097</v>
      </c>
      <c r="AL110" s="189">
        <v>-1341.7071269261562</v>
      </c>
      <c r="AM110" s="189">
        <v>-481.34606671649067</v>
      </c>
      <c r="AN110" s="189">
        <v>-566.58675574626614</v>
      </c>
      <c r="AO110" s="189">
        <v>-8.2205386027001168</v>
      </c>
      <c r="AP110" s="189">
        <v>-415.70759480330798</v>
      </c>
      <c r="AQ110" s="189">
        <v>325.6859346492547</v>
      </c>
      <c r="AR110" s="189">
        <v>2180.0857226574362</v>
      </c>
      <c r="AS110" s="189">
        <v>2382.6464411453671</v>
      </c>
      <c r="AT110" s="189">
        <v>2670.0159410048245</v>
      </c>
      <c r="AU110" s="189">
        <v>2602.531683271417</v>
      </c>
      <c r="AV110" s="189">
        <v>1996.8622490912953</v>
      </c>
      <c r="AW110" s="189">
        <v>1884.4247833898969</v>
      </c>
      <c r="AX110" s="189">
        <v>-83.919490856355424</v>
      </c>
      <c r="AY110" s="189">
        <v>676.73381766367493</v>
      </c>
      <c r="BA110" s="166"/>
      <c r="BB110" s="166"/>
    </row>
    <row r="111" spans="2:54">
      <c r="B111" s="187">
        <v>10363</v>
      </c>
      <c r="C111" s="187" t="s">
        <v>114</v>
      </c>
      <c r="D111" s="189">
        <v>-2603.7110633642005</v>
      </c>
      <c r="E111" s="189">
        <v>1184.836150952262</v>
      </c>
      <c r="F111" s="189">
        <v>-2269.6127863774163</v>
      </c>
      <c r="G111" s="189">
        <v>1378.704094498873</v>
      </c>
      <c r="H111" s="189">
        <v>3602.4446263906211</v>
      </c>
      <c r="I111" s="189">
        <v>6879.4998658967343</v>
      </c>
      <c r="J111" s="189">
        <v>11421.305954684649</v>
      </c>
      <c r="K111" s="189">
        <v>8045.6617576742792</v>
      </c>
      <c r="L111" s="189">
        <v>12598.535860442156</v>
      </c>
      <c r="M111" s="189">
        <v>8583.1049320728307</v>
      </c>
      <c r="N111" s="189">
        <v>4851.6518279093652</v>
      </c>
      <c r="O111" s="189">
        <v>2659.0566416122492</v>
      </c>
      <c r="P111" s="189">
        <v>296.56281147185655</v>
      </c>
      <c r="Q111" s="189">
        <v>3406.2021187114951</v>
      </c>
      <c r="R111" s="189">
        <v>-20061.236340320509</v>
      </c>
      <c r="S111" s="189">
        <v>-10095.557214154513</v>
      </c>
      <c r="T111" s="189">
        <v>-10372.244814928563</v>
      </c>
      <c r="U111" s="189">
        <v>-4742.1264854466899</v>
      </c>
      <c r="V111" s="189">
        <v>-3200.6510250462452</v>
      </c>
      <c r="W111" s="189">
        <v>2476.1720490404296</v>
      </c>
      <c r="X111" s="189">
        <v>-5585.2335734146691</v>
      </c>
      <c r="Y111" s="189">
        <v>-1278.2147348941908</v>
      </c>
      <c r="Z111" s="189">
        <v>-6366.9910547442196</v>
      </c>
      <c r="AA111" s="189">
        <v>-812.29061824663586</v>
      </c>
      <c r="AB111" s="189">
        <v>-1279.8383064831723</v>
      </c>
      <c r="AC111" s="189">
        <v>-142.69208984999932</v>
      </c>
      <c r="AD111" s="189">
        <v>-2275.3656848063038</v>
      </c>
      <c r="AE111" s="189">
        <v>1382.1013914000032</v>
      </c>
      <c r="AF111" s="189">
        <v>3611.3736794398428</v>
      </c>
      <c r="AG111" s="189">
        <v>6896.6483251929276</v>
      </c>
      <c r="AH111" s="189">
        <v>11449.794771561821</v>
      </c>
      <c r="AI111" s="189">
        <v>8065.7318362816732</v>
      </c>
      <c r="AJ111" s="189">
        <v>12629.970672330455</v>
      </c>
      <c r="AK111" s="189">
        <v>8604.5254363653839</v>
      </c>
      <c r="AL111" s="189">
        <v>3323.3141100755602</v>
      </c>
      <c r="AM111" s="189">
        <v>4206.066734593307</v>
      </c>
      <c r="AN111" s="189">
        <v>1747.501976821979</v>
      </c>
      <c r="AO111" s="189">
        <v>1964.4138744881602</v>
      </c>
      <c r="AP111" s="189">
        <v>-20111.489987330009</v>
      </c>
      <c r="AQ111" s="189">
        <v>-10120.849873054911</v>
      </c>
      <c r="AR111" s="189">
        <v>-11649.22728940138</v>
      </c>
      <c r="AS111" s="189">
        <v>-3503.0452223557841</v>
      </c>
      <c r="AT111" s="189">
        <v>-1877.7714185428413</v>
      </c>
      <c r="AU111" s="189">
        <v>1151.3736244954998</v>
      </c>
      <c r="AV111" s="189">
        <v>-5599.2685193054422</v>
      </c>
      <c r="AW111" s="189">
        <v>-1281.4491665286005</v>
      </c>
      <c r="AX111" s="189">
        <v>-6382.9802832953501</v>
      </c>
      <c r="AY111" s="189">
        <v>-814.35951413588555</v>
      </c>
      <c r="BA111" s="166"/>
      <c r="BB111" s="166"/>
    </row>
    <row r="112" spans="2:54">
      <c r="B112" s="187">
        <v>10369</v>
      </c>
      <c r="C112" s="187" t="s">
        <v>115</v>
      </c>
      <c r="D112" s="189">
        <v>-1848.8384383911671</v>
      </c>
      <c r="E112" s="189">
        <v>-264.74475622782847</v>
      </c>
      <c r="F112" s="189">
        <v>-3944.5596685967494</v>
      </c>
      <c r="G112" s="189">
        <v>-1710.7594936610858</v>
      </c>
      <c r="H112" s="189">
        <v>-2876.0858587090079</v>
      </c>
      <c r="I112" s="189">
        <v>-838.9471356627364</v>
      </c>
      <c r="J112" s="189">
        <v>-1358.1260008313293</v>
      </c>
      <c r="K112" s="189">
        <v>-264.63498806266716</v>
      </c>
      <c r="L112" s="189">
        <v>-1290.6444424369338</v>
      </c>
      <c r="M112" s="189">
        <v>-284.96506342689236</v>
      </c>
      <c r="N112" s="189">
        <v>-2267.5503496732572</v>
      </c>
      <c r="O112" s="189">
        <v>-969.25513031781929</v>
      </c>
      <c r="P112" s="189">
        <v>-958.43775730532252</v>
      </c>
      <c r="Q112" s="189">
        <v>359.71563893078883</v>
      </c>
      <c r="R112" s="189">
        <v>-430.6248912597348</v>
      </c>
      <c r="S112" s="189">
        <v>1107.1590857051215</v>
      </c>
      <c r="T112" s="189">
        <v>3800.7618611712669</v>
      </c>
      <c r="U112" s="189">
        <v>3507.2834206452426</v>
      </c>
      <c r="V112" s="189">
        <v>5789.8159147228571</v>
      </c>
      <c r="W112" s="189">
        <v>6391.9650681454059</v>
      </c>
      <c r="X112" s="189">
        <v>5443.5340609320292</v>
      </c>
      <c r="Y112" s="189">
        <v>4896.7211327039622</v>
      </c>
      <c r="Z112" s="189">
        <v>1579.8185385325669</v>
      </c>
      <c r="AA112" s="189">
        <v>2827.1475994187381</v>
      </c>
      <c r="AB112" s="189">
        <v>-1650.5824383911668</v>
      </c>
      <c r="AC112" s="189">
        <v>-463.00075622782833</v>
      </c>
      <c r="AD112" s="189">
        <v>-3944.5596685967494</v>
      </c>
      <c r="AE112" s="189">
        <v>-1710.7594936610858</v>
      </c>
      <c r="AF112" s="189">
        <v>-2876.0858587090079</v>
      </c>
      <c r="AG112" s="189">
        <v>-838.9471356627364</v>
      </c>
      <c r="AH112" s="189">
        <v>-1358.1260008313293</v>
      </c>
      <c r="AI112" s="189">
        <v>-264.63498806266716</v>
      </c>
      <c r="AJ112" s="189">
        <v>-1290.6444424369338</v>
      </c>
      <c r="AK112" s="189">
        <v>-284.96506342689236</v>
      </c>
      <c r="AL112" s="189">
        <v>-2443.8533496732571</v>
      </c>
      <c r="AM112" s="189">
        <v>-792.95213031781941</v>
      </c>
      <c r="AN112" s="189">
        <v>-725.10075730532299</v>
      </c>
      <c r="AO112" s="189">
        <v>126.37863893078838</v>
      </c>
      <c r="AP112" s="189">
        <v>-430.6248912597348</v>
      </c>
      <c r="AQ112" s="189">
        <v>1107.1590857051215</v>
      </c>
      <c r="AR112" s="189">
        <v>3344.3978611712673</v>
      </c>
      <c r="AS112" s="189">
        <v>3963.6474206452431</v>
      </c>
      <c r="AT112" s="189">
        <v>6307.4539147228579</v>
      </c>
      <c r="AU112" s="189">
        <v>5874.3270681454051</v>
      </c>
      <c r="AV112" s="189">
        <v>5443.5340609320292</v>
      </c>
      <c r="AW112" s="189">
        <v>4896.7211327039622</v>
      </c>
      <c r="AX112" s="189">
        <v>1579.8185385325669</v>
      </c>
      <c r="AY112" s="189">
        <v>2827.1475994187381</v>
      </c>
      <c r="BA112" s="166"/>
      <c r="BB112" s="166"/>
    </row>
    <row r="113" spans="2:54">
      <c r="B113" s="187">
        <v>10370</v>
      </c>
      <c r="C113" s="187" t="s">
        <v>116</v>
      </c>
      <c r="D113" s="189">
        <v>-18943.971755326245</v>
      </c>
      <c r="E113" s="189">
        <v>3808.4594193024313</v>
      </c>
      <c r="F113" s="189">
        <v>-17827.342743611443</v>
      </c>
      <c r="G113" s="189">
        <v>4963.321153748795</v>
      </c>
      <c r="H113" s="189">
        <v>-1349.2952236274577</v>
      </c>
      <c r="I113" s="189">
        <v>21090.599374926045</v>
      </c>
      <c r="J113" s="189">
        <v>10431.39654260574</v>
      </c>
      <c r="K113" s="189">
        <v>20797.0929037198</v>
      </c>
      <c r="L113" s="189">
        <v>11687.198549092616</v>
      </c>
      <c r="M113" s="189">
        <v>19121.16122136078</v>
      </c>
      <c r="N113" s="189">
        <v>12865.616328320117</v>
      </c>
      <c r="O113" s="189">
        <v>19450.63316303616</v>
      </c>
      <c r="P113" s="189">
        <v>-2677.0439796874125</v>
      </c>
      <c r="Q113" s="189">
        <v>15471.445237434207</v>
      </c>
      <c r="R113" s="189">
        <v>-42131.255691811952</v>
      </c>
      <c r="S113" s="189">
        <v>-10276.851621600137</v>
      </c>
      <c r="T113" s="189">
        <v>-26827.409365564701</v>
      </c>
      <c r="U113" s="189">
        <v>-2490.652517602226</v>
      </c>
      <c r="V113" s="189">
        <v>-16683.988473206191</v>
      </c>
      <c r="W113" s="189">
        <v>10197.629044846981</v>
      </c>
      <c r="X113" s="189">
        <v>-25436.592248335641</v>
      </c>
      <c r="Y113" s="189">
        <v>779.28113825571927</v>
      </c>
      <c r="Z113" s="189">
        <v>-16429.83257966669</v>
      </c>
      <c r="AA113" s="189">
        <v>8262.6091092327042</v>
      </c>
      <c r="AB113" s="189">
        <v>-16003.386781824054</v>
      </c>
      <c r="AC113" s="189">
        <v>3130.1041298961209</v>
      </c>
      <c r="AD113" s="189">
        <v>-16797.849952057571</v>
      </c>
      <c r="AE113" s="189">
        <v>7032.9154241269498</v>
      </c>
      <c r="AF113" s="189">
        <v>1014.2884155985957</v>
      </c>
      <c r="AG113" s="189">
        <v>24559.078378625272</v>
      </c>
      <c r="AH113" s="189">
        <v>13559.303116458352</v>
      </c>
      <c r="AI113" s="189">
        <v>24074.586269109845</v>
      </c>
      <c r="AJ113" s="189">
        <v>14595.871591065428</v>
      </c>
      <c r="AK113" s="189">
        <v>21970.895642934804</v>
      </c>
      <c r="AL113" s="189">
        <v>12408.639255003407</v>
      </c>
      <c r="AM113" s="189">
        <v>25778.13087591737</v>
      </c>
      <c r="AN113" s="189">
        <v>2524.9226439242775</v>
      </c>
      <c r="AO113" s="189">
        <v>15297.543500783002</v>
      </c>
      <c r="AP113" s="189">
        <v>-43052.377999727309</v>
      </c>
      <c r="AQ113" s="189">
        <v>-9522.7337557267674</v>
      </c>
      <c r="AR113" s="189">
        <v>-29313.73836878236</v>
      </c>
      <c r="AS113" s="189">
        <v>1005.9656930612691</v>
      </c>
      <c r="AT113" s="189">
        <v>-13349.335539167034</v>
      </c>
      <c r="AU113" s="189">
        <v>9947.2291975423941</v>
      </c>
      <c r="AV113" s="189">
        <v>-25253.056901017699</v>
      </c>
      <c r="AW113" s="189">
        <v>2147.5426114364527</v>
      </c>
      <c r="AX113" s="189">
        <v>-15756.444167294787</v>
      </c>
      <c r="AY113" s="189">
        <v>10312.639536474417</v>
      </c>
      <c r="BA113" s="166"/>
      <c r="BB113" s="166"/>
    </row>
    <row r="114" spans="2:54">
      <c r="B114" s="187">
        <v>10371</v>
      </c>
      <c r="C114" s="187" t="s">
        <v>117</v>
      </c>
      <c r="D114" s="189">
        <v>-177.10949985197931</v>
      </c>
      <c r="E114" s="189">
        <v>88.840077237191053</v>
      </c>
      <c r="F114" s="189">
        <v>-478.6348013043762</v>
      </c>
      <c r="G114" s="189">
        <v>101.49917813140519</v>
      </c>
      <c r="H114" s="189">
        <v>253.76911517452936</v>
      </c>
      <c r="I114" s="189">
        <v>328.94890823381456</v>
      </c>
      <c r="J114" s="189">
        <v>900.32384644157719</v>
      </c>
      <c r="K114" s="189">
        <v>860.72120186334405</v>
      </c>
      <c r="L114" s="189">
        <v>1157.3306171002409</v>
      </c>
      <c r="M114" s="189">
        <v>892.48830027222493</v>
      </c>
      <c r="N114" s="189">
        <v>405.84055958107365</v>
      </c>
      <c r="O114" s="189">
        <v>368.1208332173228</v>
      </c>
      <c r="P114" s="189">
        <v>-14.931486992920327</v>
      </c>
      <c r="Q114" s="189">
        <v>223.31050820360906</v>
      </c>
      <c r="R114" s="189">
        <v>-2589.4405081134673</v>
      </c>
      <c r="S114" s="189">
        <v>-1036.5187312155381</v>
      </c>
      <c r="T114" s="189">
        <v>-1391.5543117947291</v>
      </c>
      <c r="U114" s="189">
        <v>-428.61878790923265</v>
      </c>
      <c r="V114" s="189">
        <v>-712.96291279935258</v>
      </c>
      <c r="W114" s="189">
        <v>83.400748125625796</v>
      </c>
      <c r="X114" s="189">
        <v>-1197.7128949199932</v>
      </c>
      <c r="Y114" s="189">
        <v>-185.23107778175608</v>
      </c>
      <c r="Z114" s="189">
        <v>-625.51074192414262</v>
      </c>
      <c r="AA114" s="189">
        <v>-37.906802202874587</v>
      </c>
      <c r="AB114" s="189">
        <v>-208.92549985198002</v>
      </c>
      <c r="AC114" s="189">
        <v>82.064077237190759</v>
      </c>
      <c r="AD114" s="189">
        <v>-492.87880130437679</v>
      </c>
      <c r="AE114" s="189">
        <v>81.68217813140518</v>
      </c>
      <c r="AF114" s="189">
        <v>240.32611517452915</v>
      </c>
      <c r="AG114" s="189">
        <v>303.89390823381473</v>
      </c>
      <c r="AH114" s="189">
        <v>882.62384644157646</v>
      </c>
      <c r="AI114" s="189">
        <v>839.96720186334414</v>
      </c>
      <c r="AJ114" s="189">
        <v>1147.6826171002408</v>
      </c>
      <c r="AK114" s="189">
        <v>877.73930027222514</v>
      </c>
      <c r="AL114" s="189">
        <v>405.06955958107392</v>
      </c>
      <c r="AM114" s="189">
        <v>330.77283321732239</v>
      </c>
      <c r="AN114" s="189">
        <v>-44.588486992921389</v>
      </c>
      <c r="AO114" s="189">
        <v>219.23650820360899</v>
      </c>
      <c r="AP114" s="189">
        <v>-2607.3535081134673</v>
      </c>
      <c r="AQ114" s="189">
        <v>-1057.0707312155382</v>
      </c>
      <c r="AR114" s="189">
        <v>-1389.3713117947286</v>
      </c>
      <c r="AS114" s="189">
        <v>-464.65878790923261</v>
      </c>
      <c r="AT114" s="189">
        <v>-744.33991279935299</v>
      </c>
      <c r="AU114" s="189">
        <v>76.279748125626156</v>
      </c>
      <c r="AV114" s="189">
        <v>-1215.5598949199939</v>
      </c>
      <c r="AW114" s="189">
        <v>-205.91207778175612</v>
      </c>
      <c r="AX114" s="189">
        <v>-636.42074192414248</v>
      </c>
      <c r="AY114" s="189">
        <v>-60.982802202874609</v>
      </c>
      <c r="BA114" s="166"/>
      <c r="BB114" s="166"/>
    </row>
    <row r="115" spans="2:54">
      <c r="B115" s="187">
        <v>10376</v>
      </c>
      <c r="C115" s="187" t="s">
        <v>118</v>
      </c>
      <c r="D115" s="189">
        <v>-837.36482805108244</v>
      </c>
      <c r="E115" s="189">
        <v>1582.6848335791765</v>
      </c>
      <c r="F115" s="189">
        <v>-1403.4475955394882</v>
      </c>
      <c r="G115" s="189">
        <v>1241.5426775104133</v>
      </c>
      <c r="H115" s="189">
        <v>1361.0916104959761</v>
      </c>
      <c r="I115" s="189">
        <v>3976.3174197266017</v>
      </c>
      <c r="J115" s="189">
        <v>7321.6527665936446</v>
      </c>
      <c r="K115" s="189">
        <v>5893.5632701946324</v>
      </c>
      <c r="L115" s="189">
        <v>6322.3278205032402</v>
      </c>
      <c r="M115" s="189">
        <v>4522.090333183809</v>
      </c>
      <c r="N115" s="189">
        <v>4780.0446336377863</v>
      </c>
      <c r="O115" s="189">
        <v>2990.6795016595388</v>
      </c>
      <c r="P115" s="189">
        <v>239.85317402155852</v>
      </c>
      <c r="Q115" s="189">
        <v>2289.2182594221049</v>
      </c>
      <c r="R115" s="189">
        <v>-12599.443872407344</v>
      </c>
      <c r="S115" s="189">
        <v>-5895.3666276252879</v>
      </c>
      <c r="T115" s="189">
        <v>-6593.6982003622979</v>
      </c>
      <c r="U115" s="189">
        <v>-2574.7080779279822</v>
      </c>
      <c r="V115" s="189">
        <v>-4283.1191742118899</v>
      </c>
      <c r="W115" s="189">
        <v>749.79810483662186</v>
      </c>
      <c r="X115" s="189">
        <v>-5254.5214871664029</v>
      </c>
      <c r="Y115" s="189">
        <v>-1212.3531238245287</v>
      </c>
      <c r="Z115" s="189">
        <v>-3528.7334696232247</v>
      </c>
      <c r="AA115" s="189">
        <v>631.52950553665141</v>
      </c>
      <c r="AB115" s="189">
        <v>-11.148658663438255</v>
      </c>
      <c r="AC115" s="189">
        <v>758.37232782493811</v>
      </c>
      <c r="AD115" s="189">
        <v>-1406.9903608148779</v>
      </c>
      <c r="AE115" s="189">
        <v>1244.7110242625313</v>
      </c>
      <c r="AF115" s="189">
        <v>1364.4824497447917</v>
      </c>
      <c r="AG115" s="189">
        <v>3986.3421978523547</v>
      </c>
      <c r="AH115" s="189">
        <v>7339.9334998026061</v>
      </c>
      <c r="AI115" s="189">
        <v>5908.3663446900464</v>
      </c>
      <c r="AJ115" s="189">
        <v>6338.0150508509396</v>
      </c>
      <c r="AK115" s="189">
        <v>4533.4058282927726</v>
      </c>
      <c r="AL115" s="189">
        <v>3796.3653248801565</v>
      </c>
      <c r="AM115" s="189">
        <v>3993.8291579280867</v>
      </c>
      <c r="AN115" s="189">
        <v>1114.7824894429505</v>
      </c>
      <c r="AO115" s="189">
        <v>1420.6037811175429</v>
      </c>
      <c r="AP115" s="189">
        <v>-12630.949831721617</v>
      </c>
      <c r="AQ115" s="189">
        <v>-5910.0049025828721</v>
      </c>
      <c r="AR115" s="189">
        <v>-7345.5902224864149</v>
      </c>
      <c r="AS115" s="189">
        <v>-1845.7227211552581</v>
      </c>
      <c r="AT115" s="189">
        <v>-3568.848341070232</v>
      </c>
      <c r="AU115" s="189">
        <v>26.728699582910849</v>
      </c>
      <c r="AV115" s="189">
        <v>-5267.7000002508139</v>
      </c>
      <c r="AW115" s="189">
        <v>-1215.2902831442625</v>
      </c>
      <c r="AX115" s="189">
        <v>-3537.6200124687275</v>
      </c>
      <c r="AY115" s="189">
        <v>633.16703583546405</v>
      </c>
      <c r="BA115" s="166"/>
      <c r="BB115" s="166"/>
    </row>
    <row r="116" spans="2:54">
      <c r="B116" s="187">
        <v>10378</v>
      </c>
      <c r="C116" s="187" t="s">
        <v>119</v>
      </c>
      <c r="D116" s="189">
        <v>-179.66622969281616</v>
      </c>
      <c r="E116" s="189">
        <v>-65.488687690977258</v>
      </c>
      <c r="F116" s="189">
        <v>-48.222813649146701</v>
      </c>
      <c r="G116" s="189">
        <v>107.38254382048876</v>
      </c>
      <c r="H116" s="189">
        <v>264.19643181306151</v>
      </c>
      <c r="I116" s="189">
        <v>316.65357691758607</v>
      </c>
      <c r="J116" s="189">
        <v>422.6045781000073</v>
      </c>
      <c r="K116" s="189">
        <v>402.05125619011682</v>
      </c>
      <c r="L116" s="189">
        <v>433.32743832109759</v>
      </c>
      <c r="M116" s="189">
        <v>394.71142687383252</v>
      </c>
      <c r="N116" s="189">
        <v>135.96057927218772</v>
      </c>
      <c r="O116" s="189">
        <v>187.18274432835329</v>
      </c>
      <c r="P116" s="189">
        <v>-137.80726098770367</v>
      </c>
      <c r="Q116" s="189">
        <v>2.7679144427373217</v>
      </c>
      <c r="R116" s="189">
        <v>-556.16874718461997</v>
      </c>
      <c r="S116" s="189">
        <v>-278.85955082055807</v>
      </c>
      <c r="T116" s="189">
        <v>-369.2699332230012</v>
      </c>
      <c r="U116" s="189">
        <v>-145.95749635457003</v>
      </c>
      <c r="V116" s="189">
        <v>-137.6942787331443</v>
      </c>
      <c r="W116" s="189">
        <v>-8.2417468862077499</v>
      </c>
      <c r="X116" s="189">
        <v>-249.22871267614221</v>
      </c>
      <c r="Y116" s="189">
        <v>-70.245753414353146</v>
      </c>
      <c r="Z116" s="189">
        <v>-295.69263412388682</v>
      </c>
      <c r="AA116" s="189">
        <v>-122.82269928163748</v>
      </c>
      <c r="AB116" s="189">
        <v>-181.21756529722393</v>
      </c>
      <c r="AC116" s="189">
        <v>-66.088911387587643</v>
      </c>
      <c r="AD116" s="189">
        <v>-48.828019140342803</v>
      </c>
      <c r="AE116" s="189">
        <v>108.04515039379373</v>
      </c>
      <c r="AF116" s="189">
        <v>265.94041450139548</v>
      </c>
      <c r="AG116" s="189">
        <v>318.88513763882145</v>
      </c>
      <c r="AH116" s="189">
        <v>425.57281090712638</v>
      </c>
      <c r="AI116" s="189">
        <v>404.94212575116154</v>
      </c>
      <c r="AJ116" s="189">
        <v>436.40857082008063</v>
      </c>
      <c r="AK116" s="189">
        <v>397.57351096248999</v>
      </c>
      <c r="AL116" s="189">
        <v>136.78016140598174</v>
      </c>
      <c r="AM116" s="189">
        <v>188.47007654188894</v>
      </c>
      <c r="AN116" s="189">
        <v>-139.03656548078459</v>
      </c>
      <c r="AO116" s="189">
        <v>2.6795552407075434</v>
      </c>
      <c r="AP116" s="189">
        <v>-560.62508126461921</v>
      </c>
      <c r="AQ116" s="189">
        <v>-281.11256504675953</v>
      </c>
      <c r="AR116" s="189">
        <v>-372.26961252867579</v>
      </c>
      <c r="AS116" s="189">
        <v>-147.17442716366122</v>
      </c>
      <c r="AT116" s="189">
        <v>-138.92897362558108</v>
      </c>
      <c r="AU116" s="189">
        <v>-8.4109289904536695</v>
      </c>
      <c r="AV116" s="189">
        <v>-251.32770639292551</v>
      </c>
      <c r="AW116" s="189">
        <v>-70.885385956478444</v>
      </c>
      <c r="AX116" s="189">
        <v>-298.10875412263351</v>
      </c>
      <c r="AY116" s="189">
        <v>-123.85545755715003</v>
      </c>
      <c r="BA116" s="166"/>
      <c r="BB116" s="166"/>
    </row>
    <row r="117" spans="2:54">
      <c r="B117" s="187">
        <v>10379</v>
      </c>
      <c r="C117" s="187" t="s">
        <v>120</v>
      </c>
      <c r="D117" s="189">
        <v>-65.116843154065918</v>
      </c>
      <c r="E117" s="189">
        <v>86.338561792613291</v>
      </c>
      <c r="F117" s="189">
        <v>10.187763337854904</v>
      </c>
      <c r="G117" s="189">
        <v>257.29685212869367</v>
      </c>
      <c r="H117" s="189">
        <v>353.62075320642225</v>
      </c>
      <c r="I117" s="189">
        <v>342.65640581156026</v>
      </c>
      <c r="J117" s="189">
        <v>770.37537482808875</v>
      </c>
      <c r="K117" s="189">
        <v>671.7562885101072</v>
      </c>
      <c r="L117" s="189">
        <v>762.84037550553626</v>
      </c>
      <c r="M117" s="189">
        <v>587.33510457726732</v>
      </c>
      <c r="N117" s="189">
        <v>268.05964112631409</v>
      </c>
      <c r="O117" s="189">
        <v>258.73408349635656</v>
      </c>
      <c r="P117" s="189">
        <v>61.590518396987363</v>
      </c>
      <c r="Q117" s="189">
        <v>191.12421721242663</v>
      </c>
      <c r="R117" s="189">
        <v>-1173.3573517863124</v>
      </c>
      <c r="S117" s="189">
        <v>-459.13058557888553</v>
      </c>
      <c r="T117" s="189">
        <v>-739.82029619568289</v>
      </c>
      <c r="U117" s="189">
        <v>-258.18169746369779</v>
      </c>
      <c r="V117" s="189">
        <v>-519.53498699544571</v>
      </c>
      <c r="W117" s="189">
        <v>-28.292031601896269</v>
      </c>
      <c r="X117" s="189">
        <v>-720.05030804308603</v>
      </c>
      <c r="Y117" s="189">
        <v>-149.08322274502279</v>
      </c>
      <c r="Z117" s="189">
        <v>-411.69567959593883</v>
      </c>
      <c r="AA117" s="189">
        <v>-99.640750806862343</v>
      </c>
      <c r="AB117" s="189">
        <v>-64.642735828078457</v>
      </c>
      <c r="AC117" s="189">
        <v>87.2695222982627</v>
      </c>
      <c r="AD117" s="189">
        <v>7.9604208525288414</v>
      </c>
      <c r="AE117" s="189">
        <v>257.05852975086896</v>
      </c>
      <c r="AF117" s="189">
        <v>351.92339102031337</v>
      </c>
      <c r="AG117" s="189">
        <v>342.13067368028624</v>
      </c>
      <c r="AH117" s="189">
        <v>770.35342950662107</v>
      </c>
      <c r="AI117" s="189">
        <v>672.47373777851521</v>
      </c>
      <c r="AJ117" s="189">
        <v>764.83392967050827</v>
      </c>
      <c r="AK117" s="189">
        <v>589.1222447250301</v>
      </c>
      <c r="AL117" s="189">
        <v>268.50761134930485</v>
      </c>
      <c r="AM117" s="189">
        <v>259.4846371855831</v>
      </c>
      <c r="AN117" s="189">
        <v>62.238344241853156</v>
      </c>
      <c r="AO117" s="189">
        <v>192.32061854237736</v>
      </c>
      <c r="AP117" s="189">
        <v>-1177.7572419196438</v>
      </c>
      <c r="AQ117" s="189">
        <v>-460.35260928922094</v>
      </c>
      <c r="AR117" s="189">
        <v>-740.86409503847312</v>
      </c>
      <c r="AS117" s="189">
        <v>-257.81458214551628</v>
      </c>
      <c r="AT117" s="189">
        <v>-519.61214514950711</v>
      </c>
      <c r="AU117" s="189">
        <v>-26.637001775639192</v>
      </c>
      <c r="AV117" s="189">
        <v>-721.1099642377244</v>
      </c>
      <c r="AW117" s="189">
        <v>-148.19194364856457</v>
      </c>
      <c r="AX117" s="189">
        <v>-411.29487959384937</v>
      </c>
      <c r="AY117" s="189">
        <v>-98.518681266049725</v>
      </c>
      <c r="BA117" s="166"/>
      <c r="BB117" s="166"/>
    </row>
    <row r="118" spans="2:54">
      <c r="B118" s="187">
        <v>10388</v>
      </c>
      <c r="C118" s="187" t="s">
        <v>121</v>
      </c>
      <c r="D118" s="189">
        <v>0</v>
      </c>
      <c r="E118" s="189">
        <v>0</v>
      </c>
      <c r="F118" s="189">
        <v>0</v>
      </c>
      <c r="G118" s="189">
        <v>0</v>
      </c>
      <c r="H118" s="189">
        <v>0</v>
      </c>
      <c r="I118" s="189">
        <v>0</v>
      </c>
      <c r="J118" s="189">
        <v>0</v>
      </c>
      <c r="K118" s="189">
        <v>0</v>
      </c>
      <c r="L118" s="189">
        <v>0</v>
      </c>
      <c r="M118" s="189">
        <v>0</v>
      </c>
      <c r="N118" s="189">
        <v>0</v>
      </c>
      <c r="O118" s="189">
        <v>0</v>
      </c>
      <c r="P118" s="189">
        <v>0</v>
      </c>
      <c r="Q118" s="189">
        <v>0</v>
      </c>
      <c r="R118" s="189">
        <v>0</v>
      </c>
      <c r="S118" s="189">
        <v>0</v>
      </c>
      <c r="T118" s="189">
        <v>0</v>
      </c>
      <c r="U118" s="189">
        <v>0</v>
      </c>
      <c r="V118" s="189">
        <v>0</v>
      </c>
      <c r="W118" s="189">
        <v>0</v>
      </c>
      <c r="X118" s="189">
        <v>0</v>
      </c>
      <c r="Y118" s="189">
        <v>0</v>
      </c>
      <c r="Z118" s="189">
        <v>0</v>
      </c>
      <c r="AA118" s="189">
        <v>0</v>
      </c>
      <c r="AB118" s="189">
        <v>0</v>
      </c>
      <c r="AC118" s="189">
        <v>0</v>
      </c>
      <c r="AD118" s="189">
        <v>0</v>
      </c>
      <c r="AE118" s="189">
        <v>0</v>
      </c>
      <c r="AF118" s="189">
        <v>0</v>
      </c>
      <c r="AG118" s="189">
        <v>0</v>
      </c>
      <c r="AH118" s="189">
        <v>0</v>
      </c>
      <c r="AI118" s="189">
        <v>0</v>
      </c>
      <c r="AJ118" s="189">
        <v>0</v>
      </c>
      <c r="AK118" s="189">
        <v>0</v>
      </c>
      <c r="AL118" s="189">
        <v>0</v>
      </c>
      <c r="AM118" s="189">
        <v>0</v>
      </c>
      <c r="AN118" s="189">
        <v>0</v>
      </c>
      <c r="AO118" s="189">
        <v>0</v>
      </c>
      <c r="AP118" s="189">
        <v>0</v>
      </c>
      <c r="AQ118" s="189">
        <v>0</v>
      </c>
      <c r="AR118" s="189">
        <v>0</v>
      </c>
      <c r="AS118" s="189">
        <v>0</v>
      </c>
      <c r="AT118" s="189">
        <v>0</v>
      </c>
      <c r="AU118" s="189">
        <v>0</v>
      </c>
      <c r="AV118" s="189">
        <v>0</v>
      </c>
      <c r="AW118" s="189">
        <v>0</v>
      </c>
      <c r="AX118" s="189">
        <v>0</v>
      </c>
      <c r="AY118" s="189">
        <v>0</v>
      </c>
      <c r="BA118" s="166"/>
      <c r="BB118" s="166"/>
    </row>
    <row r="119" spans="2:54">
      <c r="B119" s="187">
        <v>10391</v>
      </c>
      <c r="C119" s="187" t="s">
        <v>122</v>
      </c>
      <c r="D119" s="189">
        <v>-2860.4052757334139</v>
      </c>
      <c r="E119" s="189">
        <v>-850.40646868726981</v>
      </c>
      <c r="F119" s="189">
        <v>-5458.4820296224843</v>
      </c>
      <c r="G119" s="189">
        <v>-1729.5860294563618</v>
      </c>
      <c r="H119" s="189">
        <v>-2823.2816790983597</v>
      </c>
      <c r="I119" s="189">
        <v>-309.974002270852</v>
      </c>
      <c r="J119" s="189">
        <v>-415.63453409682552</v>
      </c>
      <c r="K119" s="189">
        <v>1172.6186665092746</v>
      </c>
      <c r="L119" s="189">
        <v>-68.650357294853166</v>
      </c>
      <c r="M119" s="189">
        <v>1104.2319244505397</v>
      </c>
      <c r="N119" s="189">
        <v>-2578.3335054045165</v>
      </c>
      <c r="O119" s="189">
        <v>-601.39982031950603</v>
      </c>
      <c r="P119" s="189">
        <v>-900.37559191064065</v>
      </c>
      <c r="Q119" s="189">
        <v>229.73895101879134</v>
      </c>
      <c r="R119" s="189">
        <v>-4268.4017640815873</v>
      </c>
      <c r="S119" s="189">
        <v>-692.20634358198004</v>
      </c>
      <c r="T119" s="189">
        <v>3563.5189299714821</v>
      </c>
      <c r="U119" s="189">
        <v>3903.500794108706</v>
      </c>
      <c r="V119" s="189">
        <v>4879.0137394488738</v>
      </c>
      <c r="W119" s="189">
        <v>5685.5925080224961</v>
      </c>
      <c r="X119" s="189">
        <v>856.08008860896189</v>
      </c>
      <c r="Y119" s="189">
        <v>2227.3222224218343</v>
      </c>
      <c r="Z119" s="189">
        <v>-787.03740889329492</v>
      </c>
      <c r="AA119" s="189">
        <v>720.22535821110068</v>
      </c>
      <c r="AB119" s="189">
        <v>-2943.1032757334142</v>
      </c>
      <c r="AC119" s="189">
        <v>-773.86746868726914</v>
      </c>
      <c r="AD119" s="189">
        <v>-5449.7070296224847</v>
      </c>
      <c r="AE119" s="189">
        <v>-1733.6600294563614</v>
      </c>
      <c r="AF119" s="189">
        <v>-2813.8376790983602</v>
      </c>
      <c r="AG119" s="189">
        <v>-325.56200227085174</v>
      </c>
      <c r="AH119" s="189">
        <v>-413.96253409682504</v>
      </c>
      <c r="AI119" s="189">
        <v>1164.8036665092759</v>
      </c>
      <c r="AJ119" s="189">
        <v>-46.954357294853253</v>
      </c>
      <c r="AK119" s="189">
        <v>1110.3799244505408</v>
      </c>
      <c r="AL119" s="189">
        <v>-2479.9975054045171</v>
      </c>
      <c r="AM119" s="189">
        <v>-705.37682031950499</v>
      </c>
      <c r="AN119" s="189">
        <v>-976.50059191064065</v>
      </c>
      <c r="AO119" s="189">
        <v>311.04395101878981</v>
      </c>
      <c r="AP119" s="189">
        <v>-4262.7437640815861</v>
      </c>
      <c r="AQ119" s="189">
        <v>-704.04334358197775</v>
      </c>
      <c r="AR119" s="189">
        <v>3673.0489299714845</v>
      </c>
      <c r="AS119" s="189">
        <v>3799.1177941087062</v>
      </c>
      <c r="AT119" s="189">
        <v>4793.8487394488729</v>
      </c>
      <c r="AU119" s="189">
        <v>5764.5725080224956</v>
      </c>
      <c r="AV119" s="189">
        <v>864.2910886089594</v>
      </c>
      <c r="AW119" s="189">
        <v>2212.9222224218347</v>
      </c>
      <c r="AX119" s="189">
        <v>-764.76640889329428</v>
      </c>
      <c r="AY119" s="189">
        <v>703.09935821110139</v>
      </c>
      <c r="BA119" s="166"/>
      <c r="BB119" s="166"/>
    </row>
    <row r="120" spans="2:54">
      <c r="B120" s="187">
        <v>10406</v>
      </c>
      <c r="C120" s="187" t="s">
        <v>123</v>
      </c>
      <c r="D120" s="189">
        <v>-2.5084670124078627</v>
      </c>
      <c r="E120" s="189">
        <v>37.546896233329292</v>
      </c>
      <c r="F120" s="189">
        <v>39.939935057802899</v>
      </c>
      <c r="G120" s="189">
        <v>83.768507908335351</v>
      </c>
      <c r="H120" s="189">
        <v>109.45079832042668</v>
      </c>
      <c r="I120" s="189">
        <v>148.79413848008608</v>
      </c>
      <c r="J120" s="189">
        <v>148.52867103906476</v>
      </c>
      <c r="K120" s="189">
        <v>147.95287357705118</v>
      </c>
      <c r="L120" s="189">
        <v>146.43576151619047</v>
      </c>
      <c r="M120" s="189">
        <v>139.42702731136748</v>
      </c>
      <c r="N120" s="189">
        <v>82.870562134876309</v>
      </c>
      <c r="O120" s="189">
        <v>90.396409837366733</v>
      </c>
      <c r="P120" s="189">
        <v>44.200542094791672</v>
      </c>
      <c r="Q120" s="189">
        <v>84.508613232510697</v>
      </c>
      <c r="R120" s="189">
        <v>-90.088705615204162</v>
      </c>
      <c r="S120" s="189">
        <v>-13.987725371649674</v>
      </c>
      <c r="T120" s="189">
        <v>-58.741755684886698</v>
      </c>
      <c r="U120" s="189">
        <v>-4.6264331000059116</v>
      </c>
      <c r="V120" s="189">
        <v>-47.767904056735773</v>
      </c>
      <c r="W120" s="189">
        <v>9.9846102068797791</v>
      </c>
      <c r="X120" s="189">
        <v>-59.162282009153955</v>
      </c>
      <c r="Y120" s="189">
        <v>-7.2224533256787993</v>
      </c>
      <c r="Z120" s="189">
        <v>-42.136565675545029</v>
      </c>
      <c r="AA120" s="189">
        <v>7.9353751996375053</v>
      </c>
      <c r="AB120" s="189">
        <v>5.0225329875921432</v>
      </c>
      <c r="AC120" s="189">
        <v>30.014896233329281</v>
      </c>
      <c r="AD120" s="189">
        <v>39.939935057802899</v>
      </c>
      <c r="AE120" s="189">
        <v>83.768507908335351</v>
      </c>
      <c r="AF120" s="189">
        <v>109.45079832042668</v>
      </c>
      <c r="AG120" s="189">
        <v>148.79413848008608</v>
      </c>
      <c r="AH120" s="189">
        <v>148.52867103906476</v>
      </c>
      <c r="AI120" s="189">
        <v>147.95287357705118</v>
      </c>
      <c r="AJ120" s="189">
        <v>146.43576151619047</v>
      </c>
      <c r="AK120" s="189">
        <v>139.42702731136748</v>
      </c>
      <c r="AL120" s="189">
        <v>72.171562134876297</v>
      </c>
      <c r="AM120" s="189">
        <v>101.09540983736674</v>
      </c>
      <c r="AN120" s="189">
        <v>53.945542094791676</v>
      </c>
      <c r="AO120" s="189">
        <v>74.763613232510693</v>
      </c>
      <c r="AP120" s="189">
        <v>-90.088705615204162</v>
      </c>
      <c r="AQ120" s="189">
        <v>-13.987725371649674</v>
      </c>
      <c r="AR120" s="189">
        <v>-65.152755684886699</v>
      </c>
      <c r="AS120" s="189">
        <v>1.7845668999940898</v>
      </c>
      <c r="AT120" s="189">
        <v>-41.923904056735779</v>
      </c>
      <c r="AU120" s="189">
        <v>4.1396102068797802</v>
      </c>
      <c r="AV120" s="189">
        <v>-59.162282009153955</v>
      </c>
      <c r="AW120" s="189">
        <v>-7.2224533256787993</v>
      </c>
      <c r="AX120" s="189">
        <v>-42.136565675545029</v>
      </c>
      <c r="AY120" s="189">
        <v>7.9353751996375053</v>
      </c>
      <c r="BA120" s="166"/>
      <c r="BB120" s="166"/>
    </row>
    <row r="121" spans="2:54">
      <c r="B121" s="187">
        <v>10408</v>
      </c>
      <c r="C121" s="187" t="s">
        <v>124</v>
      </c>
      <c r="D121" s="189">
        <v>-8.5732564742428394</v>
      </c>
      <c r="E121" s="189">
        <v>138.62276944970455</v>
      </c>
      <c r="F121" s="189">
        <v>-148.95419098595619</v>
      </c>
      <c r="G121" s="189">
        <v>77.573402825147696</v>
      </c>
      <c r="H121" s="189">
        <v>-73.303046363872681</v>
      </c>
      <c r="I121" s="189">
        <v>112.75338946320312</v>
      </c>
      <c r="J121" s="189">
        <v>42.164274913985537</v>
      </c>
      <c r="K121" s="189">
        <v>179.53804513576637</v>
      </c>
      <c r="L121" s="189">
        <v>93.741444423179814</v>
      </c>
      <c r="M121" s="189">
        <v>179.09403505858495</v>
      </c>
      <c r="N121" s="189">
        <v>32.286889239249604</v>
      </c>
      <c r="O121" s="189">
        <v>156.5014447489184</v>
      </c>
      <c r="P121" s="189">
        <v>13.008345875157261</v>
      </c>
      <c r="Q121" s="189">
        <v>152.7943132467754</v>
      </c>
      <c r="R121" s="189">
        <v>-330.43524848751031</v>
      </c>
      <c r="S121" s="189">
        <v>-20.826550573633369</v>
      </c>
      <c r="T121" s="189">
        <v>-202.85759986624748</v>
      </c>
      <c r="U121" s="189">
        <v>29.161560890890144</v>
      </c>
      <c r="V121" s="189">
        <v>-208.48947554683662</v>
      </c>
      <c r="W121" s="189">
        <v>46.118599398915592</v>
      </c>
      <c r="X121" s="189">
        <v>-566.09161635596593</v>
      </c>
      <c r="Y121" s="189">
        <v>-233.64754393029358</v>
      </c>
      <c r="Z121" s="189">
        <v>-133.80130273310107</v>
      </c>
      <c r="AA121" s="189">
        <v>73.564871594525016</v>
      </c>
      <c r="AB121" s="189">
        <v>-8.5732564742428394</v>
      </c>
      <c r="AC121" s="189">
        <v>138.62276944970455</v>
      </c>
      <c r="AD121" s="189">
        <v>-148.95419098595619</v>
      </c>
      <c r="AE121" s="189">
        <v>77.573402825147696</v>
      </c>
      <c r="AF121" s="189">
        <v>-73.303046363872681</v>
      </c>
      <c r="AG121" s="189">
        <v>112.75338946320312</v>
      </c>
      <c r="AH121" s="189">
        <v>42.164274913985537</v>
      </c>
      <c r="AI121" s="189">
        <v>179.53804513576637</v>
      </c>
      <c r="AJ121" s="189">
        <v>93.741444423179814</v>
      </c>
      <c r="AK121" s="189">
        <v>179.09403505858495</v>
      </c>
      <c r="AL121" s="189">
        <v>32.286889239249604</v>
      </c>
      <c r="AM121" s="189">
        <v>156.5014447489184</v>
      </c>
      <c r="AN121" s="189">
        <v>13.008345875157261</v>
      </c>
      <c r="AO121" s="189">
        <v>152.7943132467754</v>
      </c>
      <c r="AP121" s="189">
        <v>-330.43524848751031</v>
      </c>
      <c r="AQ121" s="189">
        <v>-20.826550573633369</v>
      </c>
      <c r="AR121" s="189">
        <v>-202.85759986624748</v>
      </c>
      <c r="AS121" s="189">
        <v>29.161560890890144</v>
      </c>
      <c r="AT121" s="189">
        <v>-208.48947554683662</v>
      </c>
      <c r="AU121" s="189">
        <v>46.118599398915592</v>
      </c>
      <c r="AV121" s="189">
        <v>-566.09161635596593</v>
      </c>
      <c r="AW121" s="189">
        <v>-233.64754393029358</v>
      </c>
      <c r="AX121" s="189">
        <v>-133.80130273310107</v>
      </c>
      <c r="AY121" s="189">
        <v>73.564871594525016</v>
      </c>
      <c r="BA121" s="166"/>
      <c r="BB121" s="166"/>
    </row>
    <row r="122" spans="2:54">
      <c r="B122" s="187">
        <v>10409</v>
      </c>
      <c r="C122" s="187" t="s">
        <v>125</v>
      </c>
      <c r="D122" s="189">
        <v>-492.26647481460714</v>
      </c>
      <c r="E122" s="189">
        <v>1230.5041808229898</v>
      </c>
      <c r="F122" s="189">
        <v>-1311.3801937523949</v>
      </c>
      <c r="G122" s="189">
        <v>664.98970431350608</v>
      </c>
      <c r="H122" s="189">
        <v>3.0192338007345825</v>
      </c>
      <c r="I122" s="189">
        <v>1979.851855701836</v>
      </c>
      <c r="J122" s="189">
        <v>1309.3519756327187</v>
      </c>
      <c r="K122" s="189">
        <v>1940.4792842874449</v>
      </c>
      <c r="L122" s="189">
        <v>1468.4234644763828</v>
      </c>
      <c r="M122" s="189">
        <v>1864.2202022986576</v>
      </c>
      <c r="N122" s="189">
        <v>390.75476052599333</v>
      </c>
      <c r="O122" s="189">
        <v>1034.3932835945352</v>
      </c>
      <c r="P122" s="189">
        <v>-633.83062860068094</v>
      </c>
      <c r="Q122" s="189">
        <v>1103.5287047583697</v>
      </c>
      <c r="R122" s="189">
        <v>-4325.0024407452001</v>
      </c>
      <c r="S122" s="189">
        <v>-1197.8519824946006</v>
      </c>
      <c r="T122" s="189">
        <v>-2213.1057535380751</v>
      </c>
      <c r="U122" s="189">
        <v>-118.03667626389142</v>
      </c>
      <c r="V122" s="189">
        <v>-1390.8332181414371</v>
      </c>
      <c r="W122" s="189">
        <v>1034.2676789013531</v>
      </c>
      <c r="X122" s="189">
        <v>-1846.0749494275851</v>
      </c>
      <c r="Y122" s="189">
        <v>316.00264462427549</v>
      </c>
      <c r="Z122" s="189">
        <v>-1249.7661183273467</v>
      </c>
      <c r="AA122" s="189">
        <v>910.63587437448678</v>
      </c>
      <c r="AB122" s="189">
        <v>-211.080240937079</v>
      </c>
      <c r="AC122" s="189">
        <v>931.16147967214147</v>
      </c>
      <c r="AD122" s="189">
        <v>-1325.5761468074725</v>
      </c>
      <c r="AE122" s="189">
        <v>656.66397366392994</v>
      </c>
      <c r="AF122" s="189">
        <v>-10.862798349500736</v>
      </c>
      <c r="AG122" s="189">
        <v>1971.4556113269882</v>
      </c>
      <c r="AH122" s="189">
        <v>1297.5811222745124</v>
      </c>
      <c r="AI122" s="189">
        <v>1933.2008991865277</v>
      </c>
      <c r="AJ122" s="189">
        <v>1458.5557105459238</v>
      </c>
      <c r="AK122" s="189">
        <v>1858.4675013204496</v>
      </c>
      <c r="AL122" s="189">
        <v>67.622698774468518</v>
      </c>
      <c r="AM122" s="189">
        <v>1339.0276148482453</v>
      </c>
      <c r="AN122" s="189">
        <v>-356.02076551640221</v>
      </c>
      <c r="AO122" s="189">
        <v>807.9206090974576</v>
      </c>
      <c r="AP122" s="189">
        <v>-4341.6426326080564</v>
      </c>
      <c r="AQ122" s="189">
        <v>-1207.3194374861168</v>
      </c>
      <c r="AR122" s="189">
        <v>-2498.7501579628979</v>
      </c>
      <c r="AS122" s="189">
        <v>147.00159509065452</v>
      </c>
      <c r="AT122" s="189">
        <v>-1135.6976515131064</v>
      </c>
      <c r="AU122" s="189">
        <v>761.03819785061205</v>
      </c>
      <c r="AV122" s="189">
        <v>-1859.4816520444665</v>
      </c>
      <c r="AW122" s="189">
        <v>309.36961276032889</v>
      </c>
      <c r="AX122" s="189">
        <v>-1261.3716268964454</v>
      </c>
      <c r="AY122" s="189">
        <v>904.08618043425031</v>
      </c>
      <c r="BA122" s="166"/>
      <c r="BB122" s="166"/>
    </row>
    <row r="123" spans="2:54">
      <c r="B123" s="187">
        <v>10426</v>
      </c>
      <c r="C123" s="187" t="s">
        <v>126</v>
      </c>
      <c r="D123" s="189">
        <v>-1918.0178839500732</v>
      </c>
      <c r="E123" s="189">
        <v>194.85299963825582</v>
      </c>
      <c r="F123" s="189">
        <v>-1640.4869147804302</v>
      </c>
      <c r="G123" s="189">
        <v>1133.8930681808724</v>
      </c>
      <c r="H123" s="189">
        <v>1242.8708338932629</v>
      </c>
      <c r="I123" s="189">
        <v>3030.3251718962165</v>
      </c>
      <c r="J123" s="189">
        <v>2615.8756004604156</v>
      </c>
      <c r="K123" s="189">
        <v>3991.9019120023031</v>
      </c>
      <c r="L123" s="189">
        <v>1894.8352177846627</v>
      </c>
      <c r="M123" s="189">
        <v>2942.1268586755996</v>
      </c>
      <c r="N123" s="189">
        <v>-497.08747384040907</v>
      </c>
      <c r="O123" s="189">
        <v>1351.7487204291592</v>
      </c>
      <c r="P123" s="189">
        <v>-1306.9451990259358</v>
      </c>
      <c r="Q123" s="189">
        <v>671.96461957454449</v>
      </c>
      <c r="R123" s="189">
        <v>-5310.5772764938747</v>
      </c>
      <c r="S123" s="189">
        <v>-1650.2159533014237</v>
      </c>
      <c r="T123" s="189">
        <v>-2928.9583948564641</v>
      </c>
      <c r="U123" s="189">
        <v>-504.08564290932827</v>
      </c>
      <c r="V123" s="189">
        <v>-920.0444187976409</v>
      </c>
      <c r="W123" s="189">
        <v>813.51708196521577</v>
      </c>
      <c r="X123" s="189">
        <v>-1794.8496730334891</v>
      </c>
      <c r="Y123" s="189">
        <v>345.03653816070346</v>
      </c>
      <c r="Z123" s="189">
        <v>-1858.3948841574957</v>
      </c>
      <c r="AA123" s="189">
        <v>98.006103554000219</v>
      </c>
      <c r="AB123" s="189">
        <v>-1762.0411445256959</v>
      </c>
      <c r="AC123" s="189">
        <v>1441.3736223144142</v>
      </c>
      <c r="AD123" s="189">
        <v>-2931.528318338922</v>
      </c>
      <c r="AE123" s="189">
        <v>1806.3759555677934</v>
      </c>
      <c r="AF123" s="189">
        <v>200.32678016339014</v>
      </c>
      <c r="AG123" s="189">
        <v>3581.1569019191029</v>
      </c>
      <c r="AH123" s="189">
        <v>2497.092185736783</v>
      </c>
      <c r="AI123" s="189">
        <v>5139.46805744226</v>
      </c>
      <c r="AJ123" s="189">
        <v>2808.5014351146383</v>
      </c>
      <c r="AK123" s="189">
        <v>4672.046408341057</v>
      </c>
      <c r="AL123" s="189">
        <v>-458.95269549683871</v>
      </c>
      <c r="AM123" s="189">
        <v>2609.1477466851757</v>
      </c>
      <c r="AN123" s="189">
        <v>-1052.2586917948247</v>
      </c>
      <c r="AO123" s="189">
        <v>2049.1669820381476</v>
      </c>
      <c r="AP123" s="189">
        <v>-7582.292497201488</v>
      </c>
      <c r="AQ123" s="189">
        <v>-1641.6826097138946</v>
      </c>
      <c r="AR123" s="189">
        <v>-3378.8235282335299</v>
      </c>
      <c r="AS123" s="189">
        <v>263.91995209959714</v>
      </c>
      <c r="AT123" s="189">
        <v>-650.05210597799851</v>
      </c>
      <c r="AU123" s="189">
        <v>2037.3733007446181</v>
      </c>
      <c r="AV123" s="189">
        <v>-2092.8893521847367</v>
      </c>
      <c r="AW123" s="189">
        <v>1225.8079261726916</v>
      </c>
      <c r="AX123" s="189">
        <v>-1626.3250887817285</v>
      </c>
      <c r="AY123" s="189">
        <v>1329.8808716904887</v>
      </c>
      <c r="BA123" s="166"/>
      <c r="BB123" s="166"/>
    </row>
    <row r="124" spans="2:54">
      <c r="B124" s="187">
        <v>10434</v>
      </c>
      <c r="C124" s="187" t="s">
        <v>127</v>
      </c>
      <c r="D124" s="189">
        <v>-1006.4237007232732</v>
      </c>
      <c r="E124" s="189">
        <v>-264.50547384656693</v>
      </c>
      <c r="F124" s="189">
        <v>-1496.2680704406375</v>
      </c>
      <c r="G124" s="189">
        <v>-4.062165976716642</v>
      </c>
      <c r="H124" s="189">
        <v>1043.8676150643114</v>
      </c>
      <c r="I124" s="189">
        <v>1306.5697290597709</v>
      </c>
      <c r="J124" s="189">
        <v>2999.5905946056355</v>
      </c>
      <c r="K124" s="189">
        <v>2636.1732014647496</v>
      </c>
      <c r="L124" s="189">
        <v>3877.9924300415169</v>
      </c>
      <c r="M124" s="189">
        <v>2678.8312092945689</v>
      </c>
      <c r="N124" s="189">
        <v>1429.5054371363658</v>
      </c>
      <c r="O124" s="189">
        <v>1076.1373927619761</v>
      </c>
      <c r="P124" s="189">
        <v>-478.0047940844288</v>
      </c>
      <c r="Q124" s="189">
        <v>41.35144489072718</v>
      </c>
      <c r="R124" s="189">
        <v>-6549.7593362875086</v>
      </c>
      <c r="S124" s="189">
        <v>-3169.2454936819604</v>
      </c>
      <c r="T124" s="189">
        <v>-3283.72509357735</v>
      </c>
      <c r="U124" s="189">
        <v>-1362.5040862185315</v>
      </c>
      <c r="V124" s="189">
        <v>1124.9316818382649</v>
      </c>
      <c r="W124" s="189">
        <v>1155.9918741446945</v>
      </c>
      <c r="X124" s="189">
        <v>-323.68153556888683</v>
      </c>
      <c r="Y124" s="189">
        <v>297.70187186622934</v>
      </c>
      <c r="Z124" s="189">
        <v>-1411.5621462746858</v>
      </c>
      <c r="AA124" s="189">
        <v>-320.35892421994959</v>
      </c>
      <c r="AB124" s="189">
        <v>-1051.8597007232729</v>
      </c>
      <c r="AC124" s="189">
        <v>-249.65147384656757</v>
      </c>
      <c r="AD124" s="189">
        <v>-1478.7250704406397</v>
      </c>
      <c r="AE124" s="189">
        <v>-6.6271659767171514</v>
      </c>
      <c r="AF124" s="189">
        <v>1083.5286150643096</v>
      </c>
      <c r="AG124" s="189">
        <v>1312.221729059771</v>
      </c>
      <c r="AH124" s="189">
        <v>3032.7785946056356</v>
      </c>
      <c r="AI124" s="189">
        <v>2646.7782014647491</v>
      </c>
      <c r="AJ124" s="189">
        <v>3909.0984300415166</v>
      </c>
      <c r="AK124" s="189">
        <v>2685.2882092945692</v>
      </c>
      <c r="AL124" s="189">
        <v>1482.1714371363669</v>
      </c>
      <c r="AM124" s="189">
        <v>1030.6553927619771</v>
      </c>
      <c r="AN124" s="189">
        <v>-518.94079408442849</v>
      </c>
      <c r="AO124" s="189">
        <v>60.423444890726387</v>
      </c>
      <c r="AP124" s="189">
        <v>-6563.2083362875092</v>
      </c>
      <c r="AQ124" s="189">
        <v>-3194.0714936819604</v>
      </c>
      <c r="AR124" s="189">
        <v>-3254.7990935773523</v>
      </c>
      <c r="AS124" s="189">
        <v>-1425.9400862185312</v>
      </c>
      <c r="AT124" s="189">
        <v>1104.7246818382664</v>
      </c>
      <c r="AU124" s="189">
        <v>1180.2428741446947</v>
      </c>
      <c r="AV124" s="189">
        <v>-311.32253556888645</v>
      </c>
      <c r="AW124" s="189">
        <v>284.22187186622887</v>
      </c>
      <c r="AX124" s="189">
        <v>-1414.5561462746864</v>
      </c>
      <c r="AY124" s="189">
        <v>-346.62592421994941</v>
      </c>
      <c r="BA124" s="166"/>
      <c r="BB124" s="166"/>
    </row>
    <row r="125" spans="2:54">
      <c r="B125" s="187">
        <v>10436</v>
      </c>
      <c r="C125" s="187" t="s">
        <v>128</v>
      </c>
      <c r="D125" s="189">
        <v>-2525.2165059810286</v>
      </c>
      <c r="E125" s="189">
        <v>-791.016762262881</v>
      </c>
      <c r="F125" s="189">
        <v>-3383.5629525524155</v>
      </c>
      <c r="G125" s="189">
        <v>-672.93736349355913</v>
      </c>
      <c r="H125" s="189">
        <v>-1698.0373691451814</v>
      </c>
      <c r="I125" s="189">
        <v>209.16081765352101</v>
      </c>
      <c r="J125" s="189">
        <v>-564.67189422954834</v>
      </c>
      <c r="K125" s="189">
        <v>780.76559709288722</v>
      </c>
      <c r="L125" s="189">
        <v>-52.682792385473476</v>
      </c>
      <c r="M125" s="189">
        <v>979.49751170101217</v>
      </c>
      <c r="N125" s="189">
        <v>-1852.1966571188459</v>
      </c>
      <c r="O125" s="189">
        <v>-71.27744693844852</v>
      </c>
      <c r="P125" s="189">
        <v>-2003.3448771307048</v>
      </c>
      <c r="Q125" s="189">
        <v>-254.25471176552037</v>
      </c>
      <c r="R125" s="189">
        <v>-2038.2721076557264</v>
      </c>
      <c r="S125" s="189">
        <v>475.37204628703421</v>
      </c>
      <c r="T125" s="189">
        <v>3122.3393828822791</v>
      </c>
      <c r="U125" s="189">
        <v>3848.4192616815708</v>
      </c>
      <c r="V125" s="189">
        <v>5773.1682425585132</v>
      </c>
      <c r="W125" s="189">
        <v>5945.3378381566781</v>
      </c>
      <c r="X125" s="189">
        <v>1866.8218330995514</v>
      </c>
      <c r="Y125" s="189">
        <v>3013.2585223539381</v>
      </c>
      <c r="Z125" s="189">
        <v>-211.1447698088059</v>
      </c>
      <c r="AA125" s="189">
        <v>1381.7224854270626</v>
      </c>
      <c r="AB125" s="189">
        <v>-2393.432505981029</v>
      </c>
      <c r="AC125" s="189">
        <v>-677.88876226288085</v>
      </c>
      <c r="AD125" s="189">
        <v>-3236.6909525524161</v>
      </c>
      <c r="AE125" s="189">
        <v>-558.09036349355938</v>
      </c>
      <c r="AF125" s="189">
        <v>-1510.2573691451817</v>
      </c>
      <c r="AG125" s="189">
        <v>345.343817653521</v>
      </c>
      <c r="AH125" s="189">
        <v>-526.67289422954764</v>
      </c>
      <c r="AI125" s="189">
        <v>808.19959709288742</v>
      </c>
      <c r="AJ125" s="189">
        <v>-19.874792385473484</v>
      </c>
      <c r="AK125" s="189">
        <v>1002.139511701012</v>
      </c>
      <c r="AL125" s="189">
        <v>-1811.4356571188455</v>
      </c>
      <c r="AM125" s="189">
        <v>-81.12644693844868</v>
      </c>
      <c r="AN125" s="189">
        <v>-2005.7328771307057</v>
      </c>
      <c r="AO125" s="189">
        <v>-222.67671176551994</v>
      </c>
      <c r="AP125" s="189">
        <v>-1937.672107655726</v>
      </c>
      <c r="AQ125" s="189">
        <v>546.20104628703393</v>
      </c>
      <c r="AR125" s="189">
        <v>3287.0873828822787</v>
      </c>
      <c r="AS125" s="189">
        <v>3921.5772616815721</v>
      </c>
      <c r="AT125" s="189">
        <v>5938.2582425585115</v>
      </c>
      <c r="AU125" s="189">
        <v>6099.4108381566766</v>
      </c>
      <c r="AV125" s="189">
        <v>1989.7778330995498</v>
      </c>
      <c r="AW125" s="189">
        <v>3093.8245223539379</v>
      </c>
      <c r="AX125" s="189">
        <v>-145.56276980880648</v>
      </c>
      <c r="AY125" s="189">
        <v>1422.8034854270627</v>
      </c>
      <c r="BA125" s="166"/>
      <c r="BB125" s="166"/>
    </row>
    <row r="126" spans="2:54">
      <c r="B126" s="187">
        <v>10440</v>
      </c>
      <c r="C126" s="187" t="s">
        <v>129</v>
      </c>
      <c r="D126" s="189">
        <v>-193.62932015057527</v>
      </c>
      <c r="E126" s="189">
        <v>84.599022141199157</v>
      </c>
      <c r="F126" s="189">
        <v>101.86181796404753</v>
      </c>
      <c r="G126" s="189">
        <v>314.07187967940081</v>
      </c>
      <c r="H126" s="189">
        <v>537.71183840588128</v>
      </c>
      <c r="I126" s="189">
        <v>718.51610948260191</v>
      </c>
      <c r="J126" s="189">
        <v>906.28104506346426</v>
      </c>
      <c r="K126" s="189">
        <v>740.83375221841607</v>
      </c>
      <c r="L126" s="189">
        <v>807.35294132429362</v>
      </c>
      <c r="M126" s="189">
        <v>615.8873098480251</v>
      </c>
      <c r="N126" s="189">
        <v>429.45798504403047</v>
      </c>
      <c r="O126" s="189">
        <v>310.75284522370271</v>
      </c>
      <c r="P126" s="189">
        <v>27.695820662831466</v>
      </c>
      <c r="Q126" s="189">
        <v>269.39206865000119</v>
      </c>
      <c r="R126" s="189">
        <v>-1295.849806932963</v>
      </c>
      <c r="S126" s="189">
        <v>-594.7737894877705</v>
      </c>
      <c r="T126" s="189">
        <v>-828.1063662436809</v>
      </c>
      <c r="U126" s="189">
        <v>-341.0017057273368</v>
      </c>
      <c r="V126" s="189">
        <v>-664.69194712037279</v>
      </c>
      <c r="W126" s="189">
        <v>-121.1249750960859</v>
      </c>
      <c r="X126" s="189">
        <v>-828.027551316977</v>
      </c>
      <c r="Y126" s="189">
        <v>-313.120622515484</v>
      </c>
      <c r="Z126" s="189">
        <v>-509.16739957797108</v>
      </c>
      <c r="AA126" s="189">
        <v>-78.981952755875</v>
      </c>
      <c r="AB126" s="189">
        <v>-122.74532015057525</v>
      </c>
      <c r="AC126" s="189">
        <v>13.715022141199142</v>
      </c>
      <c r="AD126" s="189">
        <v>101.86181796404753</v>
      </c>
      <c r="AE126" s="189">
        <v>314.07187967940081</v>
      </c>
      <c r="AF126" s="189">
        <v>537.71183840588128</v>
      </c>
      <c r="AG126" s="189">
        <v>718.51610948260191</v>
      </c>
      <c r="AH126" s="189">
        <v>906.28104506346426</v>
      </c>
      <c r="AI126" s="189">
        <v>740.83375221841607</v>
      </c>
      <c r="AJ126" s="189">
        <v>807.35294132429362</v>
      </c>
      <c r="AK126" s="189">
        <v>615.8873098480251</v>
      </c>
      <c r="AL126" s="189">
        <v>338.74798504403043</v>
      </c>
      <c r="AM126" s="189">
        <v>401.46284522370252</v>
      </c>
      <c r="AN126" s="189">
        <v>108.19982066283137</v>
      </c>
      <c r="AO126" s="189">
        <v>188.88906865000126</v>
      </c>
      <c r="AP126" s="189">
        <v>-1295.849806932963</v>
      </c>
      <c r="AQ126" s="189">
        <v>-594.7737894877705</v>
      </c>
      <c r="AR126" s="189">
        <v>-886.74136624368089</v>
      </c>
      <c r="AS126" s="189">
        <v>-282.36670572733681</v>
      </c>
      <c r="AT126" s="189">
        <v>-609.54394712037265</v>
      </c>
      <c r="AU126" s="189">
        <v>-176.27397509608591</v>
      </c>
      <c r="AV126" s="189">
        <v>-828.027551316977</v>
      </c>
      <c r="AW126" s="189">
        <v>-313.120622515484</v>
      </c>
      <c r="AX126" s="189">
        <v>-509.16739957797108</v>
      </c>
      <c r="AY126" s="189">
        <v>-78.981952755875</v>
      </c>
      <c r="BA126" s="166"/>
      <c r="BB126" s="166"/>
    </row>
    <row r="127" spans="2:54">
      <c r="B127" s="187">
        <v>10442</v>
      </c>
      <c r="C127" s="187" t="s">
        <v>130</v>
      </c>
      <c r="D127" s="189">
        <v>-1509.2534924963884</v>
      </c>
      <c r="E127" s="189">
        <v>-83.544546809721396</v>
      </c>
      <c r="F127" s="189">
        <v>-1660.7693040505783</v>
      </c>
      <c r="G127" s="189">
        <v>-118.567708620139</v>
      </c>
      <c r="H127" s="189">
        <v>278.4561760233255</v>
      </c>
      <c r="I127" s="189">
        <v>1473.8143577493024</v>
      </c>
      <c r="J127" s="189">
        <v>829.44927040842322</v>
      </c>
      <c r="K127" s="189">
        <v>1314.6270915044202</v>
      </c>
      <c r="L127" s="189">
        <v>521.17889468526118</v>
      </c>
      <c r="M127" s="189">
        <v>1015.6661004744324</v>
      </c>
      <c r="N127" s="189">
        <v>-1157.0369582797211</v>
      </c>
      <c r="O127" s="189">
        <v>-235.43344644998706</v>
      </c>
      <c r="P127" s="189">
        <v>-1273.1945585466401</v>
      </c>
      <c r="Q127" s="189">
        <v>38.967011174281197</v>
      </c>
      <c r="R127" s="189">
        <v>-3225.8836998694933</v>
      </c>
      <c r="S127" s="189">
        <v>-1145.4783011689815</v>
      </c>
      <c r="T127" s="189">
        <v>-1294.7753729964661</v>
      </c>
      <c r="U127" s="189">
        <v>-174.70423017289841</v>
      </c>
      <c r="V127" s="189">
        <v>321.75134648671519</v>
      </c>
      <c r="W127" s="189">
        <v>1266.2105275770077</v>
      </c>
      <c r="X127" s="189">
        <v>-499.29833009863069</v>
      </c>
      <c r="Y127" s="189">
        <v>337.25818575835046</v>
      </c>
      <c r="Z127" s="189">
        <v>-1287.3810903068834</v>
      </c>
      <c r="AA127" s="189">
        <v>135.4011068973623</v>
      </c>
      <c r="AB127" s="189">
        <v>-1364.2614993096113</v>
      </c>
      <c r="AC127" s="189">
        <v>-258.07721789955212</v>
      </c>
      <c r="AD127" s="189">
        <v>-1683.7739205241651</v>
      </c>
      <c r="AE127" s="189">
        <v>-132.07188890022326</v>
      </c>
      <c r="AF127" s="189">
        <v>255.98812408832782</v>
      </c>
      <c r="AG127" s="189">
        <v>1460.2160399130094</v>
      </c>
      <c r="AH127" s="189">
        <v>810.41796882978088</v>
      </c>
      <c r="AI127" s="189">
        <v>1302.8537001875552</v>
      </c>
      <c r="AJ127" s="189">
        <v>505.21929218221067</v>
      </c>
      <c r="AK127" s="189">
        <v>1006.3603527404048</v>
      </c>
      <c r="AL127" s="189">
        <v>-1347.4822118783377</v>
      </c>
      <c r="AM127" s="189">
        <v>-74.902449809379959</v>
      </c>
      <c r="AN127" s="189">
        <v>-1119.1064720258819</v>
      </c>
      <c r="AO127" s="189">
        <v>-143.87206643180798</v>
      </c>
      <c r="AP127" s="189">
        <v>-3252.7747021094901</v>
      </c>
      <c r="AQ127" s="189">
        <v>-1160.7783438475853</v>
      </c>
      <c r="AR127" s="189">
        <v>-1515.4034109134882</v>
      </c>
      <c r="AS127" s="189">
        <v>12.635977399828789</v>
      </c>
      <c r="AT127" s="189">
        <v>537.0952618094052</v>
      </c>
      <c r="AU127" s="189">
        <v>1021.6339812642705</v>
      </c>
      <c r="AV127" s="189">
        <v>-520.95431124898005</v>
      </c>
      <c r="AW127" s="189">
        <v>326.54328813197526</v>
      </c>
      <c r="AX127" s="189">
        <v>-1306.128450303122</v>
      </c>
      <c r="AY127" s="189">
        <v>124.82083207082496</v>
      </c>
      <c r="BA127" s="166"/>
      <c r="BB127" s="166"/>
    </row>
    <row r="128" spans="2:54">
      <c r="B128" s="187">
        <v>10446</v>
      </c>
      <c r="C128" s="187" t="s">
        <v>131</v>
      </c>
      <c r="D128" s="189">
        <v>-4435.2660869747415</v>
      </c>
      <c r="E128" s="189">
        <v>7124.4893728878596</v>
      </c>
      <c r="F128" s="189">
        <v>-12644.717899756208</v>
      </c>
      <c r="G128" s="189">
        <v>1167.0832535810732</v>
      </c>
      <c r="H128" s="189">
        <v>-9335.7241906003401</v>
      </c>
      <c r="I128" s="189">
        <v>4805.3307954150951</v>
      </c>
      <c r="J128" s="189">
        <v>-179.52564927632193</v>
      </c>
      <c r="K128" s="189">
        <v>7581.3905651718014</v>
      </c>
      <c r="L128" s="189">
        <v>2191.3574597386178</v>
      </c>
      <c r="M128" s="189">
        <v>8046.6506145641652</v>
      </c>
      <c r="N128" s="189">
        <v>-1145.2528975050227</v>
      </c>
      <c r="O128" s="189">
        <v>5446.0579867834458</v>
      </c>
      <c r="P128" s="189">
        <v>-6161.2292553155785</v>
      </c>
      <c r="Q128" s="189">
        <v>5183.9942017043832</v>
      </c>
      <c r="R128" s="189">
        <v>-27302.335094331949</v>
      </c>
      <c r="S128" s="189">
        <v>-8076.2677780489576</v>
      </c>
      <c r="T128" s="189">
        <v>-8429.9362051257194</v>
      </c>
      <c r="U128" s="189">
        <v>3375.9073545351312</v>
      </c>
      <c r="V128" s="189">
        <v>-3094.1982504690604</v>
      </c>
      <c r="W128" s="189">
        <v>10739.538402713886</v>
      </c>
      <c r="X128" s="189">
        <v>-5815.3314969801067</v>
      </c>
      <c r="Y128" s="189">
        <v>6235.7245234082729</v>
      </c>
      <c r="Z128" s="189">
        <v>-5342.7529290431921</v>
      </c>
      <c r="AA128" s="189">
        <v>7932.6962549516429</v>
      </c>
      <c r="AB128" s="189">
        <v>-3109.0350869747417</v>
      </c>
      <c r="AC128" s="189">
        <v>5684.7833728878577</v>
      </c>
      <c r="AD128" s="189">
        <v>-12701.680899756204</v>
      </c>
      <c r="AE128" s="189">
        <v>1123.8162535810734</v>
      </c>
      <c r="AF128" s="189">
        <v>-9393.5231906003391</v>
      </c>
      <c r="AG128" s="189">
        <v>4756.929795415097</v>
      </c>
      <c r="AH128" s="189">
        <v>-96.899649276325363</v>
      </c>
      <c r="AI128" s="189">
        <v>7652.823565171806</v>
      </c>
      <c r="AJ128" s="189">
        <v>2267.6994597386292</v>
      </c>
      <c r="AK128" s="189">
        <v>8109.8306145641654</v>
      </c>
      <c r="AL128" s="189">
        <v>-2510.0078975050346</v>
      </c>
      <c r="AM128" s="189">
        <v>6958.4949867834475</v>
      </c>
      <c r="AN128" s="189">
        <v>-4782.559255315573</v>
      </c>
      <c r="AO128" s="189">
        <v>3911.144201704381</v>
      </c>
      <c r="AP128" s="189">
        <v>-27263.692094331949</v>
      </c>
      <c r="AQ128" s="189">
        <v>-8040.8617780489585</v>
      </c>
      <c r="AR128" s="189">
        <v>-9794.3262051257188</v>
      </c>
      <c r="AS128" s="189">
        <v>4881.6003545351268</v>
      </c>
      <c r="AT128" s="189">
        <v>-1527.9942504690553</v>
      </c>
      <c r="AU128" s="189">
        <v>9321.7174027138863</v>
      </c>
      <c r="AV128" s="189">
        <v>-5726.2074969801033</v>
      </c>
      <c r="AW128" s="189">
        <v>6295.5925234082752</v>
      </c>
      <c r="AX128" s="189">
        <v>-5267.1949290431876</v>
      </c>
      <c r="AY128" s="189">
        <v>7996.4932549516379</v>
      </c>
      <c r="BA128" s="166"/>
      <c r="BB128" s="166"/>
    </row>
    <row r="129" spans="2:54">
      <c r="B129" s="187">
        <v>10448</v>
      </c>
      <c r="C129" s="187" t="s">
        <v>132</v>
      </c>
      <c r="D129" s="189">
        <v>0</v>
      </c>
      <c r="E129" s="189">
        <v>0</v>
      </c>
      <c r="F129" s="189">
        <v>0</v>
      </c>
      <c r="G129" s="189">
        <v>0</v>
      </c>
      <c r="H129" s="189">
        <v>0</v>
      </c>
      <c r="I129" s="189">
        <v>0</v>
      </c>
      <c r="J129" s="189">
        <v>0</v>
      </c>
      <c r="K129" s="189">
        <v>0</v>
      </c>
      <c r="L129" s="189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189">
        <v>0</v>
      </c>
      <c r="T129" s="189">
        <v>0</v>
      </c>
      <c r="U129" s="189">
        <v>0</v>
      </c>
      <c r="V129" s="189">
        <v>0</v>
      </c>
      <c r="W129" s="189">
        <v>0</v>
      </c>
      <c r="X129" s="189">
        <v>0</v>
      </c>
      <c r="Y129" s="189">
        <v>0</v>
      </c>
      <c r="Z129" s="189">
        <v>0</v>
      </c>
      <c r="AA129" s="189">
        <v>0</v>
      </c>
      <c r="AB129" s="189">
        <v>0</v>
      </c>
      <c r="AC129" s="189">
        <v>0</v>
      </c>
      <c r="AD129" s="189">
        <v>0</v>
      </c>
      <c r="AE129" s="189">
        <v>0</v>
      </c>
      <c r="AF129" s="189">
        <v>0</v>
      </c>
      <c r="AG129" s="189">
        <v>0</v>
      </c>
      <c r="AH129" s="189">
        <v>0</v>
      </c>
      <c r="AI129" s="189">
        <v>0</v>
      </c>
      <c r="AJ129" s="189">
        <v>0</v>
      </c>
      <c r="AK129" s="189">
        <v>0</v>
      </c>
      <c r="AL129" s="189">
        <v>0</v>
      </c>
      <c r="AM129" s="189">
        <v>0</v>
      </c>
      <c r="AN129" s="189">
        <v>0</v>
      </c>
      <c r="AO129" s="189">
        <v>0</v>
      </c>
      <c r="AP129" s="189">
        <v>0</v>
      </c>
      <c r="AQ129" s="189">
        <v>0</v>
      </c>
      <c r="AR129" s="189">
        <v>0</v>
      </c>
      <c r="AS129" s="189">
        <v>0</v>
      </c>
      <c r="AT129" s="189">
        <v>0</v>
      </c>
      <c r="AU129" s="189">
        <v>0</v>
      </c>
      <c r="AV129" s="189">
        <v>0</v>
      </c>
      <c r="AW129" s="189">
        <v>0</v>
      </c>
      <c r="AX129" s="189">
        <v>0</v>
      </c>
      <c r="AY129" s="189">
        <v>0</v>
      </c>
      <c r="BA129" s="166"/>
      <c r="BB129" s="166"/>
    </row>
    <row r="130" spans="2:54">
      <c r="B130" s="187">
        <v>10451</v>
      </c>
      <c r="C130" s="187" t="s">
        <v>133</v>
      </c>
      <c r="D130" s="189">
        <v>-411.40312517076381</v>
      </c>
      <c r="E130" s="189">
        <v>2497.5172258573921</v>
      </c>
      <c r="F130" s="189">
        <v>-3151.2382304785788</v>
      </c>
      <c r="G130" s="189">
        <v>394.27563047130479</v>
      </c>
      <c r="H130" s="189">
        <v>-2730.1410818592176</v>
      </c>
      <c r="I130" s="189">
        <v>1001.5145920695923</v>
      </c>
      <c r="J130" s="189">
        <v>-330.41215430369994</v>
      </c>
      <c r="K130" s="189">
        <v>1600.2262347444348</v>
      </c>
      <c r="L130" s="189">
        <v>769.29489245985133</v>
      </c>
      <c r="M130" s="189">
        <v>2155.1845466067798</v>
      </c>
      <c r="N130" s="189">
        <v>-25.640391782160805</v>
      </c>
      <c r="O130" s="189">
        <v>1524.3993228167574</v>
      </c>
      <c r="P130" s="189">
        <v>-692.4979812911788</v>
      </c>
      <c r="Q130" s="189">
        <v>2123.9183641272475</v>
      </c>
      <c r="R130" s="189">
        <v>-5369.713102489457</v>
      </c>
      <c r="S130" s="189">
        <v>-737.44225641398953</v>
      </c>
      <c r="T130" s="189">
        <v>-2156.8152162449442</v>
      </c>
      <c r="U130" s="189">
        <v>992.24279876329365</v>
      </c>
      <c r="V130" s="189">
        <v>-924.45720116358279</v>
      </c>
      <c r="W130" s="189">
        <v>2881.9094734055407</v>
      </c>
      <c r="X130" s="189">
        <v>-1651.3915760757154</v>
      </c>
      <c r="Y130" s="189">
        <v>1614.7558872243553</v>
      </c>
      <c r="Z130" s="189">
        <v>-1121.8585920350542</v>
      </c>
      <c r="AA130" s="189">
        <v>2410.4364276226997</v>
      </c>
      <c r="AB130" s="189">
        <v>17.029874829237087</v>
      </c>
      <c r="AC130" s="189">
        <v>2069.0852258573932</v>
      </c>
      <c r="AD130" s="189">
        <v>-3151.2382304785788</v>
      </c>
      <c r="AE130" s="189">
        <v>394.27563047130479</v>
      </c>
      <c r="AF130" s="189">
        <v>-2730.1410818592176</v>
      </c>
      <c r="AG130" s="189">
        <v>1001.5145920695923</v>
      </c>
      <c r="AH130" s="189">
        <v>-330.41215430369994</v>
      </c>
      <c r="AI130" s="189">
        <v>1600.2262347444348</v>
      </c>
      <c r="AJ130" s="189">
        <v>769.29489245985133</v>
      </c>
      <c r="AK130" s="189">
        <v>2155.1845466067798</v>
      </c>
      <c r="AL130" s="189">
        <v>-446.75339178216018</v>
      </c>
      <c r="AM130" s="189">
        <v>1945.5123228167577</v>
      </c>
      <c r="AN130" s="189">
        <v>-275.01998129117783</v>
      </c>
      <c r="AO130" s="189">
        <v>1706.4403641272474</v>
      </c>
      <c r="AP130" s="189">
        <v>-5369.713102489457</v>
      </c>
      <c r="AQ130" s="189">
        <v>-737.44225641398953</v>
      </c>
      <c r="AR130" s="189">
        <v>-2576.948216244944</v>
      </c>
      <c r="AS130" s="189">
        <v>1412.3757987632935</v>
      </c>
      <c r="AT130" s="189">
        <v>-502.84720116358221</v>
      </c>
      <c r="AU130" s="189">
        <v>2460.2984734055399</v>
      </c>
      <c r="AV130" s="189">
        <v>-1651.3915760757154</v>
      </c>
      <c r="AW130" s="189">
        <v>1614.7558872243553</v>
      </c>
      <c r="AX130" s="189">
        <v>-1121.8585920350542</v>
      </c>
      <c r="AY130" s="189">
        <v>2410.4364276226997</v>
      </c>
      <c r="BA130" s="166"/>
      <c r="BB130" s="166"/>
    </row>
    <row r="131" spans="2:54">
      <c r="B131" s="187">
        <v>10482</v>
      </c>
      <c r="C131" s="187" t="s">
        <v>134</v>
      </c>
      <c r="D131" s="189">
        <v>-89.080485695593552</v>
      </c>
      <c r="E131" s="189">
        <v>236.36622325873282</v>
      </c>
      <c r="F131" s="189">
        <v>-289.96591607756159</v>
      </c>
      <c r="G131" s="189">
        <v>50.803526770633653</v>
      </c>
      <c r="H131" s="189">
        <v>-221.45488498775694</v>
      </c>
      <c r="I131" s="189">
        <v>133.24705027158097</v>
      </c>
      <c r="J131" s="189">
        <v>9.3577561425406657</v>
      </c>
      <c r="K131" s="189">
        <v>183.62965553899517</v>
      </c>
      <c r="L131" s="189">
        <v>110.53329885856317</v>
      </c>
      <c r="M131" s="189">
        <v>230.55806105327997</v>
      </c>
      <c r="N131" s="189">
        <v>3.1077928729696396</v>
      </c>
      <c r="O131" s="189">
        <v>147.71190293540803</v>
      </c>
      <c r="P131" s="189">
        <v>-86.075654332716795</v>
      </c>
      <c r="Q131" s="189">
        <v>206.99093691790722</v>
      </c>
      <c r="R131" s="189">
        <v>-587.16948801503395</v>
      </c>
      <c r="S131" s="189">
        <v>-102.32593043285101</v>
      </c>
      <c r="T131" s="189">
        <v>-259.57104806440316</v>
      </c>
      <c r="U131" s="189">
        <v>49.377291490873631</v>
      </c>
      <c r="V131" s="189">
        <v>-88.142612384432141</v>
      </c>
      <c r="W131" s="189">
        <v>240.47138404878081</v>
      </c>
      <c r="X131" s="189">
        <v>-145.64530811053442</v>
      </c>
      <c r="Y131" s="189">
        <v>119.45250264491528</v>
      </c>
      <c r="Z131" s="189">
        <v>-147.72416548124465</v>
      </c>
      <c r="AA131" s="189">
        <v>181.08284249520011</v>
      </c>
      <c r="AB131" s="189">
        <v>-44.287485695593659</v>
      </c>
      <c r="AC131" s="189">
        <v>191.57322325873281</v>
      </c>
      <c r="AD131" s="189">
        <v>-289.96591607756159</v>
      </c>
      <c r="AE131" s="189">
        <v>50.803526770633653</v>
      </c>
      <c r="AF131" s="189">
        <v>-221.45488498775694</v>
      </c>
      <c r="AG131" s="189">
        <v>133.24705027158097</v>
      </c>
      <c r="AH131" s="189">
        <v>9.3577561425406657</v>
      </c>
      <c r="AI131" s="189">
        <v>183.62965553899517</v>
      </c>
      <c r="AJ131" s="189">
        <v>110.53329885856317</v>
      </c>
      <c r="AK131" s="189">
        <v>230.55806105327997</v>
      </c>
      <c r="AL131" s="189">
        <v>-42.35120712703042</v>
      </c>
      <c r="AM131" s="189">
        <v>193.17090293540798</v>
      </c>
      <c r="AN131" s="189">
        <v>-41.550654332716704</v>
      </c>
      <c r="AO131" s="189">
        <v>162.46593691790724</v>
      </c>
      <c r="AP131" s="189">
        <v>-587.16948801503395</v>
      </c>
      <c r="AQ131" s="189">
        <v>-102.32593043285101</v>
      </c>
      <c r="AR131" s="189">
        <v>-302.9250480644032</v>
      </c>
      <c r="AS131" s="189">
        <v>92.731291490873559</v>
      </c>
      <c r="AT131" s="189">
        <v>-43.672612384432114</v>
      </c>
      <c r="AU131" s="189">
        <v>196.00138404878078</v>
      </c>
      <c r="AV131" s="189">
        <v>-145.64530811053442</v>
      </c>
      <c r="AW131" s="189">
        <v>119.45250264491528</v>
      </c>
      <c r="AX131" s="189">
        <v>-147.72416548124465</v>
      </c>
      <c r="AY131" s="189">
        <v>181.08284249520011</v>
      </c>
      <c r="BA131" s="166"/>
      <c r="BB131" s="166"/>
    </row>
    <row r="132" spans="2:54">
      <c r="B132" s="187">
        <v>10502</v>
      </c>
      <c r="C132" s="187" t="s">
        <v>135</v>
      </c>
      <c r="D132" s="189">
        <v>-25.104538161281198</v>
      </c>
      <c r="E132" s="189">
        <v>302.29744828798721</v>
      </c>
      <c r="F132" s="189">
        <v>-3584.4456806901881</v>
      </c>
      <c r="G132" s="189">
        <v>-1910.6209443939929</v>
      </c>
      <c r="H132" s="189">
        <v>-3171.6737105679467</v>
      </c>
      <c r="I132" s="189">
        <v>-1838.0664359647794</v>
      </c>
      <c r="J132" s="189">
        <v>-1419.9507896085679</v>
      </c>
      <c r="K132" s="189">
        <v>-709.59394263899185</v>
      </c>
      <c r="L132" s="189">
        <v>-640.8001404435845</v>
      </c>
      <c r="M132" s="189">
        <v>-402.06683048567493</v>
      </c>
      <c r="N132" s="189">
        <v>-2190.2306276658037</v>
      </c>
      <c r="O132" s="189">
        <v>-1370.3786083028672</v>
      </c>
      <c r="P132" s="189">
        <v>-1153.9774014075965</v>
      </c>
      <c r="Q132" s="189">
        <v>-756.06026288238672</v>
      </c>
      <c r="R132" s="189">
        <v>-2379.0110882273202</v>
      </c>
      <c r="S132" s="189">
        <v>-723.35248326062174</v>
      </c>
      <c r="T132" s="189">
        <v>1160.6501333965462</v>
      </c>
      <c r="U132" s="189">
        <v>1193.7692073634198</v>
      </c>
      <c r="V132" s="189">
        <v>3500.4833867541565</v>
      </c>
      <c r="W132" s="189">
        <v>3178.7292327372816</v>
      </c>
      <c r="X132" s="189">
        <v>4005.8430110340996</v>
      </c>
      <c r="Y132" s="189">
        <v>2779.5242341803078</v>
      </c>
      <c r="Z132" s="189">
        <v>3567.8355157129718</v>
      </c>
      <c r="AA132" s="189">
        <v>2587.563792023625</v>
      </c>
      <c r="AB132" s="189">
        <v>5.0100736852918999</v>
      </c>
      <c r="AC132" s="189">
        <v>336.6049852360029</v>
      </c>
      <c r="AD132" s="189">
        <v>-3642.6886715172495</v>
      </c>
      <c r="AE132" s="189">
        <v>-1926.9561067180007</v>
      </c>
      <c r="AF132" s="189">
        <v>-3210.2599457566257</v>
      </c>
      <c r="AG132" s="189">
        <v>-1839.8320345823222</v>
      </c>
      <c r="AH132" s="189">
        <v>-1383.7401376567386</v>
      </c>
      <c r="AI132" s="189">
        <v>-689.28464264932427</v>
      </c>
      <c r="AJ132" s="189">
        <v>-584.56990454418155</v>
      </c>
      <c r="AK132" s="189">
        <v>-359.33887843847015</v>
      </c>
      <c r="AL132" s="189">
        <v>-2166.9818726957656</v>
      </c>
      <c r="AM132" s="189">
        <v>-1336.464444416767</v>
      </c>
      <c r="AN132" s="189">
        <v>-1106.2212164280863</v>
      </c>
      <c r="AO132" s="189">
        <v>-735.64068988336248</v>
      </c>
      <c r="AP132" s="189">
        <v>-2499.9741112520251</v>
      </c>
      <c r="AQ132" s="189">
        <v>-794.42293866367982</v>
      </c>
      <c r="AR132" s="189">
        <v>1136.7525067104671</v>
      </c>
      <c r="AS132" s="189">
        <v>1192.3393833088639</v>
      </c>
      <c r="AT132" s="189">
        <v>3539.1016147386426</v>
      </c>
      <c r="AU132" s="189">
        <v>3192.8325078780003</v>
      </c>
      <c r="AV132" s="189">
        <v>3986.7878145502546</v>
      </c>
      <c r="AW132" s="189">
        <v>2768.4661865095959</v>
      </c>
      <c r="AX132" s="189">
        <v>3531.2821214925607</v>
      </c>
      <c r="AY132" s="189">
        <v>2585.7274799564511</v>
      </c>
      <c r="BA132" s="166"/>
      <c r="BB132" s="166"/>
    </row>
    <row r="133" spans="2:54">
      <c r="B133" s="187">
        <v>13927</v>
      </c>
      <c r="C133" s="187" t="s">
        <v>320</v>
      </c>
      <c r="D133" s="189">
        <v>99.077582236354829</v>
      </c>
      <c r="E133" s="189">
        <v>256.10814508866474</v>
      </c>
      <c r="F133" s="189">
        <v>-502.10689950912069</v>
      </c>
      <c r="G133" s="189">
        <v>124.26721593066782</v>
      </c>
      <c r="H133" s="189">
        <v>-273.70909074394081</v>
      </c>
      <c r="I133" s="189">
        <v>30.661710583323156</v>
      </c>
      <c r="J133" s="189">
        <v>-70.146070005480624</v>
      </c>
      <c r="K133" s="189">
        <v>308.16896365664479</v>
      </c>
      <c r="L133" s="189">
        <v>163.25574531577058</v>
      </c>
      <c r="M133" s="189">
        <v>287.23496550678249</v>
      </c>
      <c r="N133" s="189">
        <v>81.988118767906599</v>
      </c>
      <c r="O133" s="189">
        <v>234.86158115784815</v>
      </c>
      <c r="P133" s="189">
        <v>92.074227163394198</v>
      </c>
      <c r="Q133" s="189">
        <v>236.61171643269529</v>
      </c>
      <c r="R133" s="189">
        <v>-740.393570270174</v>
      </c>
      <c r="S133" s="189">
        <v>-63.235480924176045</v>
      </c>
      <c r="T133" s="189">
        <v>-173.93420347839924</v>
      </c>
      <c r="U133" s="189">
        <v>87.122871463584033</v>
      </c>
      <c r="V133" s="189">
        <v>89.643179797500579</v>
      </c>
      <c r="W133" s="189">
        <v>294.03543220940423</v>
      </c>
      <c r="X133" s="189">
        <v>-131.48822569310846</v>
      </c>
      <c r="Y133" s="189">
        <v>227.23536187597472</v>
      </c>
      <c r="Z133" s="189">
        <v>11.916308915916261</v>
      </c>
      <c r="AA133" s="189">
        <v>263.94723771511258</v>
      </c>
      <c r="AB133" s="189">
        <v>99.077582236354829</v>
      </c>
      <c r="AC133" s="189">
        <v>256.10814508866474</v>
      </c>
      <c r="AD133" s="189">
        <v>-502.10689950912069</v>
      </c>
      <c r="AE133" s="189">
        <v>124.26721593066782</v>
      </c>
      <c r="AF133" s="189">
        <v>-273.70909074394081</v>
      </c>
      <c r="AG133" s="189">
        <v>30.661710583323156</v>
      </c>
      <c r="AH133" s="189">
        <v>-70.146070005480624</v>
      </c>
      <c r="AI133" s="189">
        <v>308.16896365664479</v>
      </c>
      <c r="AJ133" s="189">
        <v>163.25574531577058</v>
      </c>
      <c r="AK133" s="189">
        <v>287.23496550678249</v>
      </c>
      <c r="AL133" s="189">
        <v>81.988118767906599</v>
      </c>
      <c r="AM133" s="189">
        <v>234.86158115784815</v>
      </c>
      <c r="AN133" s="189">
        <v>92.074227163394198</v>
      </c>
      <c r="AO133" s="189">
        <v>236.61171643269529</v>
      </c>
      <c r="AP133" s="189">
        <v>-740.393570270174</v>
      </c>
      <c r="AQ133" s="189">
        <v>-63.235480924176045</v>
      </c>
      <c r="AR133" s="189">
        <v>-173.93420347839924</v>
      </c>
      <c r="AS133" s="189">
        <v>87.122871463584033</v>
      </c>
      <c r="AT133" s="189">
        <v>89.643179797500579</v>
      </c>
      <c r="AU133" s="189">
        <v>294.03543220940423</v>
      </c>
      <c r="AV133" s="189">
        <v>-131.48822569310846</v>
      </c>
      <c r="AW133" s="189">
        <v>227.23536187597472</v>
      </c>
      <c r="AX133" s="189">
        <v>11.916308915916261</v>
      </c>
      <c r="AY133" s="189">
        <v>263.94723771511258</v>
      </c>
      <c r="BA133" s="166"/>
      <c r="BB133" s="166"/>
    </row>
    <row r="134" spans="2:54">
      <c r="B134" s="187">
        <v>10597</v>
      </c>
      <c r="C134" s="187" t="s">
        <v>136</v>
      </c>
      <c r="D134" s="189">
        <v>-296.14833383549558</v>
      </c>
      <c r="E134" s="189">
        <v>-61.930982380337355</v>
      </c>
      <c r="F134" s="189">
        <v>-1062.8869787052254</v>
      </c>
      <c r="G134" s="189">
        <v>-238.7988888348309</v>
      </c>
      <c r="H134" s="189">
        <v>-282.55843186877883</v>
      </c>
      <c r="I134" s="189">
        <v>582.43605133562733</v>
      </c>
      <c r="J134" s="189">
        <v>867.01003849104836</v>
      </c>
      <c r="K134" s="189">
        <v>962.93165275587671</v>
      </c>
      <c r="L134" s="189">
        <v>750.22867568025868</v>
      </c>
      <c r="M134" s="189">
        <v>704.0841481878324</v>
      </c>
      <c r="N134" s="189">
        <v>-402.81492388633251</v>
      </c>
      <c r="O134" s="189">
        <v>44.037489363753593</v>
      </c>
      <c r="P134" s="189">
        <v>-652.75075121754344</v>
      </c>
      <c r="Q134" s="189">
        <v>-213.00465083590279</v>
      </c>
      <c r="R134" s="189">
        <v>-2712.3813193743008</v>
      </c>
      <c r="S134" s="189">
        <v>-1452.959419309117</v>
      </c>
      <c r="T134" s="189">
        <v>-669.48514494916071</v>
      </c>
      <c r="U134" s="189">
        <v>-35.445558172889832</v>
      </c>
      <c r="V134" s="189">
        <v>1430.3558943602557</v>
      </c>
      <c r="W134" s="189">
        <v>1095.5259205168322</v>
      </c>
      <c r="X134" s="189">
        <v>615.93488279513713</v>
      </c>
      <c r="Y134" s="189">
        <v>519.36559704740739</v>
      </c>
      <c r="Z134" s="189">
        <v>-188.32120464512627</v>
      </c>
      <c r="AA134" s="189">
        <v>239.05807272836273</v>
      </c>
      <c r="AB134" s="189">
        <v>-296.14833383549558</v>
      </c>
      <c r="AC134" s="189">
        <v>-61.930982380337355</v>
      </c>
      <c r="AD134" s="189">
        <v>-1062.8869787052254</v>
      </c>
      <c r="AE134" s="189">
        <v>-238.7988888348309</v>
      </c>
      <c r="AF134" s="189">
        <v>-282.55843186877883</v>
      </c>
      <c r="AG134" s="189">
        <v>582.43605133562733</v>
      </c>
      <c r="AH134" s="189">
        <v>867.01003849104836</v>
      </c>
      <c r="AI134" s="189">
        <v>962.93165275587671</v>
      </c>
      <c r="AJ134" s="189">
        <v>750.22867568025868</v>
      </c>
      <c r="AK134" s="189">
        <v>704.0841481878324</v>
      </c>
      <c r="AL134" s="189">
        <v>-402.81492388633251</v>
      </c>
      <c r="AM134" s="189">
        <v>44.037489363753593</v>
      </c>
      <c r="AN134" s="189">
        <v>-652.75075121754344</v>
      </c>
      <c r="AO134" s="189">
        <v>-213.00465083590279</v>
      </c>
      <c r="AP134" s="189">
        <v>-2712.3813193743008</v>
      </c>
      <c r="AQ134" s="189">
        <v>-1452.959419309117</v>
      </c>
      <c r="AR134" s="189">
        <v>-669.48514494916071</v>
      </c>
      <c r="AS134" s="189">
        <v>-35.445558172889832</v>
      </c>
      <c r="AT134" s="189">
        <v>1430.3558943602557</v>
      </c>
      <c r="AU134" s="189">
        <v>1095.5259205168322</v>
      </c>
      <c r="AV134" s="189">
        <v>615.93488279513713</v>
      </c>
      <c r="AW134" s="189">
        <v>519.36559704740739</v>
      </c>
      <c r="AX134" s="189">
        <v>-188.32120464512627</v>
      </c>
      <c r="AY134" s="189">
        <v>239.05807272836273</v>
      </c>
      <c r="BA134" s="166"/>
      <c r="BB134" s="166"/>
    </row>
    <row r="135" spans="2:54">
      <c r="B135" s="187">
        <v>10706</v>
      </c>
      <c r="C135" s="187" t="s">
        <v>137</v>
      </c>
      <c r="D135" s="189">
        <v>-1076.9525045666323</v>
      </c>
      <c r="E135" s="189">
        <v>494.30566223713549</v>
      </c>
      <c r="F135" s="189">
        <v>-3115.4536868797913</v>
      </c>
      <c r="G135" s="189">
        <v>-621.63462311856802</v>
      </c>
      <c r="H135" s="189">
        <v>-2574.9491804560157</v>
      </c>
      <c r="I135" s="189">
        <v>-599.23793067410315</v>
      </c>
      <c r="J135" s="189">
        <v>101.58681515609624</v>
      </c>
      <c r="K135" s="189">
        <v>1270.0906597322237</v>
      </c>
      <c r="L135" s="189">
        <v>677.57645595738359</v>
      </c>
      <c r="M135" s="189">
        <v>1396.3113090635998</v>
      </c>
      <c r="N135" s="189">
        <v>128.72031596575107</v>
      </c>
      <c r="O135" s="189">
        <v>1185.5336946359594</v>
      </c>
      <c r="P135" s="189">
        <v>169.16190520878354</v>
      </c>
      <c r="Q135" s="189">
        <v>1172.1764159196637</v>
      </c>
      <c r="R135" s="189">
        <v>-3093.1905846844338</v>
      </c>
      <c r="S135" s="189">
        <v>-149.6964408289432</v>
      </c>
      <c r="T135" s="189">
        <v>-892.33116204318412</v>
      </c>
      <c r="U135" s="189">
        <v>977.55894254523173</v>
      </c>
      <c r="V135" s="189">
        <v>569.62066824516023</v>
      </c>
      <c r="W135" s="189">
        <v>2110.1014327648954</v>
      </c>
      <c r="X135" s="189">
        <v>-127.60510413572956</v>
      </c>
      <c r="Y135" s="189">
        <v>1793.9409223226239</v>
      </c>
      <c r="Z135" s="189">
        <v>238.95554431842447</v>
      </c>
      <c r="AA135" s="189">
        <v>1668.5314959739999</v>
      </c>
      <c r="AB135" s="189">
        <v>-268.97150456663258</v>
      </c>
      <c r="AC135" s="189">
        <v>1073.718662237136</v>
      </c>
      <c r="AD135" s="189">
        <v>-2256.3566868797916</v>
      </c>
      <c r="AE135" s="189">
        <v>163.38337688143201</v>
      </c>
      <c r="AF135" s="189">
        <v>-1606.5161804560157</v>
      </c>
      <c r="AG135" s="189">
        <v>82.134069325896235</v>
      </c>
      <c r="AH135" s="189">
        <v>-301.51718484390403</v>
      </c>
      <c r="AI135" s="189">
        <v>952.25865973222335</v>
      </c>
      <c r="AJ135" s="189">
        <v>305.48045595738313</v>
      </c>
      <c r="AK135" s="189">
        <v>1117.2393090635996</v>
      </c>
      <c r="AL135" s="189">
        <v>-249.53568403424924</v>
      </c>
      <c r="AM135" s="189">
        <v>843.82269463595912</v>
      </c>
      <c r="AN135" s="189">
        <v>-258.79009479121669</v>
      </c>
      <c r="AO135" s="189">
        <v>902.4484159196636</v>
      </c>
      <c r="AP135" s="189">
        <v>-3496.2945846844341</v>
      </c>
      <c r="AQ135" s="189">
        <v>-467.52844082894353</v>
      </c>
      <c r="AR135" s="189">
        <v>-1255.0831620431845</v>
      </c>
      <c r="AS135" s="189">
        <v>642.63094254523185</v>
      </c>
      <c r="AT135" s="189">
        <v>141.66866824516001</v>
      </c>
      <c r="AU135" s="189">
        <v>1817.1174327648951</v>
      </c>
      <c r="AV135" s="189">
        <v>-546.21310413572883</v>
      </c>
      <c r="AW135" s="189">
        <v>1491.6129223226244</v>
      </c>
      <c r="AX135" s="189">
        <v>-133.14045568157508</v>
      </c>
      <c r="AY135" s="189">
        <v>1342.947495974</v>
      </c>
      <c r="BA135" s="166"/>
      <c r="BB135" s="166"/>
    </row>
    <row r="136" spans="2:54">
      <c r="B136" s="187">
        <v>11680</v>
      </c>
      <c r="C136" s="187" t="s">
        <v>138</v>
      </c>
      <c r="D136" s="189">
        <v>-94.826334719952229</v>
      </c>
      <c r="E136" s="189">
        <v>88.890396961526221</v>
      </c>
      <c r="F136" s="189">
        <v>-253.37159209821084</v>
      </c>
      <c r="G136" s="189">
        <v>-19.564641130762766</v>
      </c>
      <c r="H136" s="189">
        <v>305.89127540977779</v>
      </c>
      <c r="I136" s="189">
        <v>480.9553060284311</v>
      </c>
      <c r="J136" s="189">
        <v>754.91063564908291</v>
      </c>
      <c r="K136" s="189">
        <v>503.72726115846081</v>
      </c>
      <c r="L136" s="189">
        <v>716.9789040896203</v>
      </c>
      <c r="M136" s="189">
        <v>466.63061613824493</v>
      </c>
      <c r="N136" s="189">
        <v>193.26182912373088</v>
      </c>
      <c r="O136" s="189">
        <v>32.564410788644636</v>
      </c>
      <c r="P136" s="189">
        <v>-131.91352785531262</v>
      </c>
      <c r="Q136" s="189">
        <v>55.069494981033813</v>
      </c>
      <c r="R136" s="189">
        <v>-1282.9908267271499</v>
      </c>
      <c r="S136" s="189">
        <v>-742.59521676765962</v>
      </c>
      <c r="T136" s="189">
        <v>-402.78441212741791</v>
      </c>
      <c r="U136" s="189">
        <v>-267.4687444909905</v>
      </c>
      <c r="V136" s="189">
        <v>529.55659973390902</v>
      </c>
      <c r="W136" s="189">
        <v>505.33986920629309</v>
      </c>
      <c r="X136" s="189">
        <v>292.08544453917693</v>
      </c>
      <c r="Y136" s="189">
        <v>125.358982252641</v>
      </c>
      <c r="Z136" s="189">
        <v>-131.70166232193651</v>
      </c>
      <c r="AA136" s="189">
        <v>61.39015722642489</v>
      </c>
      <c r="AB136" s="189">
        <v>18.89066528004787</v>
      </c>
      <c r="AC136" s="189">
        <v>-0.5416030384737951</v>
      </c>
      <c r="AD136" s="189">
        <v>-238.48559209821087</v>
      </c>
      <c r="AE136" s="189">
        <v>-10.164641130762902</v>
      </c>
      <c r="AF136" s="189">
        <v>320.25827540977798</v>
      </c>
      <c r="AG136" s="189">
        <v>490.87530602843117</v>
      </c>
      <c r="AH136" s="189">
        <v>769.80363564908293</v>
      </c>
      <c r="AI136" s="189">
        <v>513.12126115846058</v>
      </c>
      <c r="AJ136" s="189">
        <v>732.15090408962033</v>
      </c>
      <c r="AK136" s="189">
        <v>475.74561613824494</v>
      </c>
      <c r="AL136" s="189">
        <v>103.71182912373069</v>
      </c>
      <c r="AM136" s="189">
        <v>146.40041078864442</v>
      </c>
      <c r="AN136" s="189">
        <v>-19.460527855312648</v>
      </c>
      <c r="AO136" s="189">
        <v>-33.096505018966354</v>
      </c>
      <c r="AP136" s="189">
        <v>-1267.48482672715</v>
      </c>
      <c r="AQ136" s="189">
        <v>-733.81521676765965</v>
      </c>
      <c r="AR136" s="189">
        <v>-485.18141212741784</v>
      </c>
      <c r="AS136" s="189">
        <v>-160.78574449099051</v>
      </c>
      <c r="AT136" s="189">
        <v>666.1015997339091</v>
      </c>
      <c r="AU136" s="189">
        <v>393.08186920629305</v>
      </c>
      <c r="AV136" s="189">
        <v>308.3754445391769</v>
      </c>
      <c r="AW136" s="189">
        <v>133.35498225264087</v>
      </c>
      <c r="AX136" s="189">
        <v>-116.70566232193642</v>
      </c>
      <c r="AY136" s="189">
        <v>70.681157226425057</v>
      </c>
      <c r="BA136" s="166"/>
      <c r="BB136" s="166"/>
    </row>
    <row r="137" spans="2:54">
      <c r="B137" s="187">
        <v>12026</v>
      </c>
      <c r="C137" s="187" t="s">
        <v>139</v>
      </c>
      <c r="D137" s="189">
        <v>-1644.818744348071</v>
      </c>
      <c r="E137" s="189">
        <v>999.52311499904135</v>
      </c>
      <c r="F137" s="189">
        <v>-831.124279904172</v>
      </c>
      <c r="G137" s="189">
        <v>1240.7715693254813</v>
      </c>
      <c r="H137" s="189">
        <v>2916.7443183728246</v>
      </c>
      <c r="I137" s="189">
        <v>4292.3459917996788</v>
      </c>
      <c r="J137" s="189">
        <v>6180.3184014666767</v>
      </c>
      <c r="K137" s="189">
        <v>4954.3346996782748</v>
      </c>
      <c r="L137" s="189">
        <v>5903.0767756349305</v>
      </c>
      <c r="M137" s="189">
        <v>4615.8173686677274</v>
      </c>
      <c r="N137" s="189">
        <v>3743.5683760004504</v>
      </c>
      <c r="O137" s="189">
        <v>2977.781746545963</v>
      </c>
      <c r="P137" s="189">
        <v>-131.50907618632846</v>
      </c>
      <c r="Q137" s="189">
        <v>2294.9145918824761</v>
      </c>
      <c r="R137" s="189">
        <v>-10291.420306937649</v>
      </c>
      <c r="S137" s="189">
        <v>-4446.23088717254</v>
      </c>
      <c r="T137" s="189">
        <v>-6804.5391023872053</v>
      </c>
      <c r="U137" s="189">
        <v>-2776.3043933914832</v>
      </c>
      <c r="V137" s="189">
        <v>-4631.9296013372204</v>
      </c>
      <c r="W137" s="189">
        <v>-521.95620150463037</v>
      </c>
      <c r="X137" s="189">
        <v>-6226.5210260887288</v>
      </c>
      <c r="Y137" s="189">
        <v>-2149.1901671654159</v>
      </c>
      <c r="Z137" s="189">
        <v>-4472.7099790907014</v>
      </c>
      <c r="AA137" s="189">
        <v>-640.39609095296146</v>
      </c>
      <c r="AB137" s="189">
        <v>-1024.2809229771665</v>
      </c>
      <c r="AC137" s="189">
        <v>420.54767880017243</v>
      </c>
      <c r="AD137" s="189">
        <v>-821.74436611274723</v>
      </c>
      <c r="AE137" s="189">
        <v>1252.2347888249151</v>
      </c>
      <c r="AF137" s="189">
        <v>2928.6675000229916</v>
      </c>
      <c r="AG137" s="189">
        <v>4307.2724285952663</v>
      </c>
      <c r="AH137" s="189">
        <v>6199.3876317766735</v>
      </c>
      <c r="AI137" s="189">
        <v>4969.4773186893326</v>
      </c>
      <c r="AJ137" s="189">
        <v>5928.2826032450666</v>
      </c>
      <c r="AK137" s="189">
        <v>4634.3666768731073</v>
      </c>
      <c r="AL137" s="189">
        <v>3006.8919051727426</v>
      </c>
      <c r="AM137" s="189">
        <v>3753.1355145121815</v>
      </c>
      <c r="AN137" s="189">
        <v>547.08863682668016</v>
      </c>
      <c r="AO137" s="189">
        <v>1651.7527303027891</v>
      </c>
      <c r="AP137" s="189">
        <v>-10294.165186495735</v>
      </c>
      <c r="AQ137" s="189">
        <v>-4441.3697261068774</v>
      </c>
      <c r="AR137" s="189">
        <v>-7300.7209591607316</v>
      </c>
      <c r="AS137" s="189">
        <v>-2257.3492157187557</v>
      </c>
      <c r="AT137" s="189">
        <v>-4115.1792613471425</v>
      </c>
      <c r="AU137" s="189">
        <v>-1002.5487018465938</v>
      </c>
      <c r="AV137" s="189">
        <v>-6211.8361615119702</v>
      </c>
      <c r="AW137" s="189">
        <v>-2137.2304713440353</v>
      </c>
      <c r="AX137" s="189">
        <v>-4454.3821733654313</v>
      </c>
      <c r="AY137" s="189">
        <v>-620.42821108126191</v>
      </c>
      <c r="BA137" s="166"/>
      <c r="BB137" s="166"/>
    </row>
    <row r="138" spans="2:54">
      <c r="B138" s="187">
        <v>10298</v>
      </c>
      <c r="C138" s="187" t="s">
        <v>140</v>
      </c>
      <c r="D138" s="189">
        <v>-20228.167822163872</v>
      </c>
      <c r="E138" s="189">
        <v>7037.3470627676725</v>
      </c>
      <c r="F138" s="189">
        <v>-37415.956754435523</v>
      </c>
      <c r="G138" s="189">
        <v>-3014.2987154088623</v>
      </c>
      <c r="H138" s="189">
        <v>6267.2762769646361</v>
      </c>
      <c r="I138" s="189">
        <v>28251.97257723278</v>
      </c>
      <c r="J138" s="189">
        <v>42469.257852530631</v>
      </c>
      <c r="K138" s="189">
        <v>39603.673682464141</v>
      </c>
      <c r="L138" s="189">
        <v>42920.091840534413</v>
      </c>
      <c r="M138" s="189">
        <v>37531.699252191014</v>
      </c>
      <c r="N138" s="189">
        <v>4247.8446200394537</v>
      </c>
      <c r="O138" s="189">
        <v>9474.0247891592444</v>
      </c>
      <c r="P138" s="189">
        <v>486.66696791347931</v>
      </c>
      <c r="Q138" s="189">
        <v>15535.646327017646</v>
      </c>
      <c r="R138" s="189">
        <v>-91930.482124136353</v>
      </c>
      <c r="S138" s="189">
        <v>-32118.615076826012</v>
      </c>
      <c r="T138" s="189">
        <v>-6708.4209490529611</v>
      </c>
      <c r="U138" s="189">
        <v>14246.904679638683</v>
      </c>
      <c r="V138" s="189">
        <v>41487.379411746195</v>
      </c>
      <c r="W138" s="189">
        <v>55601.907397781964</v>
      </c>
      <c r="X138" s="189">
        <v>10135.071030771156</v>
      </c>
      <c r="Y138" s="189">
        <v>27901.120941200512</v>
      </c>
      <c r="Z138" s="189">
        <v>2910.1946386775526</v>
      </c>
      <c r="AA138" s="189">
        <v>9425.7830710163544</v>
      </c>
      <c r="AB138" s="189">
        <v>-7449.9406155392353</v>
      </c>
      <c r="AC138" s="189">
        <v>-4938.4583227424737</v>
      </c>
      <c r="AD138" s="189">
        <v>-25681.9001733849</v>
      </c>
      <c r="AE138" s="189">
        <v>-13886.1811671787</v>
      </c>
      <c r="AF138" s="189">
        <v>19693.619037074386</v>
      </c>
      <c r="AG138" s="189">
        <v>15705.614061512781</v>
      </c>
      <c r="AH138" s="189">
        <v>57031.377792857849</v>
      </c>
      <c r="AI138" s="189">
        <v>25939.298732095776</v>
      </c>
      <c r="AJ138" s="189">
        <v>56773.099676591839</v>
      </c>
      <c r="AK138" s="189">
        <v>23675.810560276717</v>
      </c>
      <c r="AL138" s="189">
        <v>19685.494543893466</v>
      </c>
      <c r="AM138" s="189">
        <v>-5124.2068930245732</v>
      </c>
      <c r="AN138" s="189">
        <v>20246.308177080762</v>
      </c>
      <c r="AO138" s="189">
        <v>-3375.6260790676024</v>
      </c>
      <c r="AP138" s="189">
        <v>-73209.711324959178</v>
      </c>
      <c r="AQ138" s="189">
        <v>-50109.387702531938</v>
      </c>
      <c r="AR138" s="189">
        <v>12441.638494854065</v>
      </c>
      <c r="AS138" s="189">
        <v>-4118.0322187158454</v>
      </c>
      <c r="AT138" s="189">
        <v>63976.03963966528</v>
      </c>
      <c r="AU138" s="189">
        <v>33909.271731480287</v>
      </c>
      <c r="AV138" s="189">
        <v>31438.656403552915</v>
      </c>
      <c r="AW138" s="189">
        <v>7377.4393188310642</v>
      </c>
      <c r="AX138" s="189">
        <v>23975.942690123571</v>
      </c>
      <c r="AY138" s="189">
        <v>-10830.258722229992</v>
      </c>
      <c r="BA138" s="166"/>
      <c r="BB138" s="166"/>
    </row>
    <row r="139" spans="2:54">
      <c r="B139" s="26">
        <v>10298</v>
      </c>
      <c r="C139" s="27" t="s">
        <v>140</v>
      </c>
      <c r="D139" s="28">
        <v>-28811.622822163888</v>
      </c>
      <c r="E139" s="29">
        <v>220.97206276768702</v>
      </c>
      <c r="F139" s="28">
        <v>-45393.854754435539</v>
      </c>
      <c r="G139" s="29">
        <v>-10466.143715408863</v>
      </c>
      <c r="H139" s="28">
        <v>-388.42272303532809</v>
      </c>
      <c r="I139" s="29">
        <v>21493.996577232814</v>
      </c>
      <c r="J139" s="28">
        <v>30981.752852530655</v>
      </c>
      <c r="K139" s="29">
        <v>33998.197682464146</v>
      </c>
      <c r="L139" s="28">
        <v>35281.35184053448</v>
      </c>
      <c r="M139" s="29">
        <v>35639.802252191017</v>
      </c>
      <c r="N139" s="28">
        <v>-7688.63337996052</v>
      </c>
      <c r="O139" s="29">
        <v>6080.2617891592672</v>
      </c>
      <c r="P139" s="28">
        <v>-15802.317032086547</v>
      </c>
      <c r="Q139" s="29">
        <v>12820.896327017646</v>
      </c>
      <c r="R139" s="28">
        <v>-100988.84812413633</v>
      </c>
      <c r="S139" s="29">
        <v>-31018.057076826022</v>
      </c>
      <c r="T139" s="28">
        <v>-20043.284949052933</v>
      </c>
      <c r="U139" s="29">
        <v>11657.55067963872</v>
      </c>
      <c r="V139" s="28">
        <v>31669.526411746163</v>
      </c>
      <c r="W139" s="29">
        <v>57408.926397781965</v>
      </c>
      <c r="X139" s="28">
        <v>-2987.0679692288686</v>
      </c>
      <c r="Y139" s="29">
        <v>31818.746941200501</v>
      </c>
      <c r="Z139" s="28">
        <v>-9694.4773613224097</v>
      </c>
      <c r="AA139" s="29">
        <v>15005.254071016374</v>
      </c>
      <c r="AB139" s="28">
        <v>-26098.665615539212</v>
      </c>
      <c r="AC139" s="29">
        <v>-621.24532274245576</v>
      </c>
      <c r="AD139" s="28">
        <v>-44005.396173384885</v>
      </c>
      <c r="AE139" s="29">
        <v>-9963.6081671787251</v>
      </c>
      <c r="AF139" s="28">
        <v>1067.4940370743861</v>
      </c>
      <c r="AG139" s="29">
        <v>21997.253061512805</v>
      </c>
      <c r="AH139" s="28">
        <v>32289.901792857825</v>
      </c>
      <c r="AI139" s="29">
        <v>34667.499732095777</v>
      </c>
      <c r="AJ139" s="28">
        <v>36359.280676591763</v>
      </c>
      <c r="AK139" s="29">
        <v>36416.593560276742</v>
      </c>
      <c r="AL139" s="28">
        <v>-8391.1394561064953</v>
      </c>
      <c r="AM139" s="29">
        <v>8681.9841069754038</v>
      </c>
      <c r="AN139" s="28">
        <v>-13214.918822919251</v>
      </c>
      <c r="AO139" s="29">
        <v>12091.599920932393</v>
      </c>
      <c r="AP139" s="28">
        <v>-100073.27532495916</v>
      </c>
      <c r="AQ139" s="29">
        <v>-30137.202702531969</v>
      </c>
      <c r="AR139" s="28">
        <v>-19932.298505145853</v>
      </c>
      <c r="AS139" s="29">
        <v>13334.928781284136</v>
      </c>
      <c r="AT139" s="28">
        <v>33870.869639665267</v>
      </c>
      <c r="AU139" s="29">
        <v>57069.150731480273</v>
      </c>
      <c r="AV139" s="28">
        <v>-2007.5165964470943</v>
      </c>
      <c r="AW139" s="29">
        <v>32684.984318831077</v>
      </c>
      <c r="AX139" s="28">
        <v>-8472.8703098764527</v>
      </c>
      <c r="AY139" s="29">
        <v>15597.920277769997</v>
      </c>
      <c r="BA139" s="166"/>
      <c r="BB139" s="166"/>
    </row>
    <row r="140" spans="2:54">
      <c r="B140" s="26"/>
      <c r="C140" s="27"/>
      <c r="D140" s="28"/>
      <c r="E140" s="29"/>
      <c r="F140" s="28"/>
      <c r="G140" s="29"/>
      <c r="H140" s="28"/>
      <c r="I140" s="29"/>
      <c r="J140" s="28"/>
      <c r="K140" s="29"/>
      <c r="L140" s="28"/>
      <c r="M140" s="29"/>
      <c r="N140" s="28"/>
      <c r="O140" s="29"/>
      <c r="P140" s="28"/>
      <c r="Q140" s="29"/>
      <c r="R140" s="28"/>
      <c r="S140" s="29"/>
      <c r="T140" s="28"/>
      <c r="U140" s="29"/>
      <c r="V140" s="28"/>
      <c r="W140" s="29"/>
      <c r="X140" s="28"/>
      <c r="Y140" s="29"/>
      <c r="Z140" s="28"/>
      <c r="AA140" s="29"/>
      <c r="AB140" s="28"/>
      <c r="AC140" s="29"/>
      <c r="AD140" s="28"/>
      <c r="AE140" s="29"/>
      <c r="AF140" s="28"/>
      <c r="AG140" s="29"/>
      <c r="AH140" s="28"/>
      <c r="AI140" s="29"/>
      <c r="AJ140" s="28"/>
      <c r="AK140" s="29"/>
      <c r="AL140" s="28"/>
      <c r="AM140" s="29"/>
      <c r="AN140" s="28"/>
      <c r="AO140" s="29"/>
      <c r="AP140" s="28"/>
      <c r="AQ140" s="29"/>
      <c r="AR140" s="28"/>
      <c r="AS140" s="29"/>
      <c r="AT140" s="28"/>
      <c r="AU140" s="29"/>
      <c r="AV140" s="28"/>
      <c r="AW140" s="29"/>
      <c r="AX140" s="28"/>
      <c r="AY140" s="29"/>
    </row>
    <row r="141" spans="2:54">
      <c r="B141" s="26"/>
      <c r="C141" s="27"/>
      <c r="D141" s="28"/>
      <c r="E141" s="29"/>
      <c r="F141" s="28"/>
      <c r="G141" s="29"/>
      <c r="H141" s="28"/>
      <c r="I141" s="29"/>
      <c r="J141" s="28"/>
      <c r="K141" s="29"/>
      <c r="L141" s="28"/>
      <c r="M141" s="29"/>
      <c r="N141" s="28"/>
      <c r="O141" s="29"/>
      <c r="P141" s="28"/>
      <c r="Q141" s="29"/>
      <c r="R141" s="28"/>
      <c r="S141" s="29"/>
      <c r="T141" s="28"/>
      <c r="U141" s="29"/>
      <c r="V141" s="28"/>
      <c r="W141" s="29"/>
      <c r="X141" s="28"/>
      <c r="Y141" s="29"/>
      <c r="Z141" s="28"/>
      <c r="AA141" s="29"/>
      <c r="AB141" s="28"/>
      <c r="AC141" s="29"/>
      <c r="AD141" s="28"/>
      <c r="AE141" s="29"/>
      <c r="AF141" s="28"/>
      <c r="AG141" s="29"/>
      <c r="AH141" s="28"/>
      <c r="AI141" s="29"/>
      <c r="AJ141" s="28"/>
      <c r="AK141" s="29"/>
      <c r="AL141" s="28"/>
      <c r="AM141" s="29"/>
      <c r="AN141" s="28"/>
      <c r="AO141" s="29"/>
      <c r="AP141" s="28"/>
      <c r="AQ141" s="29"/>
      <c r="AR141" s="28"/>
      <c r="AS141" s="29"/>
      <c r="AT141" s="28"/>
      <c r="AU141" s="29"/>
      <c r="AV141" s="28"/>
      <c r="AW141" s="29"/>
      <c r="AX141" s="28"/>
      <c r="AY141" s="29"/>
    </row>
    <row r="142" spans="2:54">
      <c r="B142" s="26"/>
      <c r="C142" s="27"/>
      <c r="D142" s="28"/>
      <c r="E142" s="29"/>
      <c r="F142" s="28"/>
      <c r="G142" s="29"/>
      <c r="H142" s="28"/>
      <c r="I142" s="29"/>
      <c r="J142" s="28"/>
      <c r="K142" s="29"/>
      <c r="L142" s="28"/>
      <c r="M142" s="29"/>
      <c r="N142" s="28"/>
      <c r="O142" s="29"/>
      <c r="P142" s="28"/>
      <c r="Q142" s="29"/>
      <c r="R142" s="28"/>
      <c r="S142" s="29"/>
      <c r="T142" s="28"/>
      <c r="U142" s="29"/>
      <c r="V142" s="28"/>
      <c r="W142" s="29"/>
      <c r="X142" s="28"/>
      <c r="Y142" s="29"/>
      <c r="Z142" s="28"/>
      <c r="AA142" s="29"/>
      <c r="AB142" s="28"/>
      <c r="AC142" s="29"/>
      <c r="AD142" s="28"/>
      <c r="AE142" s="29"/>
      <c r="AF142" s="28"/>
      <c r="AG142" s="29"/>
      <c r="AH142" s="28"/>
      <c r="AI142" s="29"/>
      <c r="AJ142" s="28"/>
      <c r="AK142" s="29"/>
      <c r="AL142" s="28"/>
      <c r="AM142" s="29"/>
      <c r="AN142" s="28"/>
      <c r="AO142" s="29"/>
      <c r="AP142" s="28"/>
      <c r="AQ142" s="29"/>
      <c r="AR142" s="28"/>
      <c r="AS142" s="29"/>
      <c r="AT142" s="28"/>
      <c r="AU142" s="29"/>
      <c r="AV142" s="28"/>
      <c r="AW142" s="29"/>
      <c r="AX142" s="28"/>
      <c r="AY142" s="29"/>
    </row>
    <row r="143" spans="2:54">
      <c r="B143" s="26"/>
      <c r="C143" s="27"/>
      <c r="D143" s="28"/>
      <c r="E143" s="29"/>
      <c r="F143" s="28"/>
      <c r="G143" s="29"/>
      <c r="H143" s="28"/>
      <c r="I143" s="29"/>
      <c r="J143" s="28"/>
      <c r="K143" s="29"/>
      <c r="L143" s="28"/>
      <c r="M143" s="29"/>
      <c r="N143" s="28"/>
      <c r="O143" s="29"/>
      <c r="P143" s="28"/>
      <c r="Q143" s="29"/>
      <c r="R143" s="28"/>
      <c r="S143" s="29"/>
      <c r="T143" s="28"/>
      <c r="U143" s="29"/>
      <c r="V143" s="28"/>
      <c r="W143" s="29"/>
      <c r="X143" s="28"/>
      <c r="Y143" s="29"/>
      <c r="Z143" s="28"/>
      <c r="AA143" s="29"/>
      <c r="AB143" s="28"/>
      <c r="AC143" s="29"/>
      <c r="AD143" s="28"/>
      <c r="AE143" s="29"/>
      <c r="AF143" s="28"/>
      <c r="AG143" s="29"/>
      <c r="AH143" s="28"/>
      <c r="AI143" s="29"/>
      <c r="AJ143" s="28"/>
      <c r="AK143" s="29"/>
      <c r="AL143" s="28"/>
      <c r="AM143" s="29"/>
      <c r="AN143" s="28"/>
      <c r="AO143" s="29"/>
      <c r="AP143" s="28"/>
      <c r="AQ143" s="29"/>
      <c r="AR143" s="28"/>
      <c r="AS143" s="29"/>
      <c r="AT143" s="28"/>
      <c r="AU143" s="29"/>
      <c r="AV143" s="28"/>
      <c r="AW143" s="29"/>
      <c r="AX143" s="28"/>
      <c r="AY143" s="29"/>
    </row>
    <row r="144" spans="2:54">
      <c r="B144" s="26"/>
      <c r="C144" s="27"/>
      <c r="D144" s="28"/>
      <c r="E144" s="29"/>
      <c r="F144" s="28"/>
      <c r="G144" s="29"/>
      <c r="H144" s="28"/>
      <c r="I144" s="29"/>
      <c r="J144" s="28"/>
      <c r="K144" s="29"/>
      <c r="L144" s="28"/>
      <c r="M144" s="29"/>
      <c r="N144" s="28"/>
      <c r="O144" s="29"/>
      <c r="P144" s="28"/>
      <c r="Q144" s="29"/>
      <c r="R144" s="28"/>
      <c r="S144" s="29"/>
      <c r="T144" s="28"/>
      <c r="U144" s="29"/>
      <c r="V144" s="28"/>
      <c r="W144" s="29"/>
      <c r="X144" s="28"/>
      <c r="Y144" s="29"/>
      <c r="Z144" s="28"/>
      <c r="AA144" s="29"/>
      <c r="AB144" s="28"/>
      <c r="AC144" s="29"/>
      <c r="AD144" s="28"/>
      <c r="AE144" s="29"/>
      <c r="AF144" s="28"/>
      <c r="AG144" s="29"/>
      <c r="AH144" s="28"/>
      <c r="AI144" s="29"/>
      <c r="AJ144" s="28"/>
      <c r="AK144" s="29"/>
      <c r="AL144" s="28"/>
      <c r="AM144" s="29"/>
      <c r="AN144" s="28"/>
      <c r="AO144" s="29"/>
      <c r="AP144" s="28"/>
      <c r="AQ144" s="29"/>
      <c r="AR144" s="28"/>
      <c r="AS144" s="29"/>
      <c r="AT144" s="28"/>
      <c r="AU144" s="29"/>
      <c r="AV144" s="28"/>
      <c r="AW144" s="29"/>
      <c r="AX144" s="28"/>
      <c r="AY144" s="29"/>
    </row>
    <row r="145" spans="2:51">
      <c r="B145" s="26"/>
      <c r="C145" s="27"/>
      <c r="D145" s="28"/>
      <c r="E145" s="29"/>
      <c r="F145" s="28"/>
      <c r="G145" s="29"/>
      <c r="H145" s="28"/>
      <c r="I145" s="29"/>
      <c r="J145" s="28"/>
      <c r="K145" s="29"/>
      <c r="L145" s="28"/>
      <c r="M145" s="29"/>
      <c r="N145" s="28"/>
      <c r="O145" s="29"/>
      <c r="P145" s="28"/>
      <c r="Q145" s="29"/>
      <c r="R145" s="28"/>
      <c r="S145" s="29"/>
      <c r="T145" s="28"/>
      <c r="U145" s="29"/>
      <c r="V145" s="28"/>
      <c r="W145" s="29"/>
      <c r="X145" s="28"/>
      <c r="Y145" s="29"/>
      <c r="Z145" s="28"/>
      <c r="AA145" s="29"/>
      <c r="AB145" s="28"/>
      <c r="AC145" s="29"/>
      <c r="AD145" s="28"/>
      <c r="AE145" s="29"/>
      <c r="AF145" s="28"/>
      <c r="AG145" s="29"/>
      <c r="AH145" s="28"/>
      <c r="AI145" s="29"/>
      <c r="AJ145" s="28"/>
      <c r="AK145" s="29"/>
      <c r="AL145" s="28"/>
      <c r="AM145" s="29"/>
      <c r="AN145" s="28"/>
      <c r="AO145" s="29"/>
      <c r="AP145" s="28"/>
      <c r="AQ145" s="29"/>
      <c r="AR145" s="28"/>
      <c r="AS145" s="29"/>
      <c r="AT145" s="28"/>
      <c r="AU145" s="29"/>
      <c r="AV145" s="28"/>
      <c r="AW145" s="29"/>
      <c r="AX145" s="28"/>
      <c r="AY145" s="29"/>
    </row>
    <row r="146" spans="2:51">
      <c r="B146" s="26"/>
      <c r="C146" s="27"/>
      <c r="D146" s="28"/>
      <c r="E146" s="29"/>
      <c r="F146" s="28"/>
      <c r="G146" s="29"/>
      <c r="H146" s="28"/>
      <c r="I146" s="29"/>
      <c r="J146" s="28"/>
      <c r="K146" s="29"/>
      <c r="L146" s="28"/>
      <c r="M146" s="29"/>
      <c r="N146" s="28"/>
      <c r="O146" s="29"/>
      <c r="P146" s="28"/>
      <c r="Q146" s="29"/>
      <c r="R146" s="28"/>
      <c r="S146" s="29"/>
      <c r="T146" s="28"/>
      <c r="U146" s="29"/>
      <c r="V146" s="28"/>
      <c r="W146" s="29"/>
      <c r="X146" s="28"/>
      <c r="Y146" s="29"/>
      <c r="Z146" s="28"/>
      <c r="AA146" s="29"/>
      <c r="AB146" s="28"/>
      <c r="AC146" s="29"/>
      <c r="AD146" s="28"/>
      <c r="AE146" s="29"/>
      <c r="AF146" s="28"/>
      <c r="AG146" s="29"/>
      <c r="AH146" s="28"/>
      <c r="AI146" s="29"/>
      <c r="AJ146" s="28"/>
      <c r="AK146" s="29"/>
      <c r="AL146" s="28"/>
      <c r="AM146" s="29"/>
      <c r="AN146" s="28"/>
      <c r="AO146" s="29"/>
      <c r="AP146" s="28"/>
      <c r="AQ146" s="29"/>
      <c r="AR146" s="28"/>
      <c r="AS146" s="29"/>
      <c r="AT146" s="28"/>
      <c r="AU146" s="29"/>
      <c r="AV146" s="28"/>
      <c r="AW146" s="29"/>
      <c r="AX146" s="28"/>
      <c r="AY146" s="29"/>
    </row>
    <row r="147" spans="2:51">
      <c r="B147" s="26"/>
      <c r="C147" s="27"/>
      <c r="D147" s="28"/>
      <c r="E147" s="29"/>
      <c r="F147" s="28"/>
      <c r="G147" s="29"/>
      <c r="H147" s="28"/>
      <c r="I147" s="29"/>
      <c r="J147" s="28"/>
      <c r="K147" s="29"/>
      <c r="L147" s="28"/>
      <c r="M147" s="29"/>
      <c r="N147" s="28"/>
      <c r="O147" s="29"/>
      <c r="P147" s="28"/>
      <c r="Q147" s="29"/>
      <c r="R147" s="28"/>
      <c r="S147" s="29"/>
      <c r="T147" s="28"/>
      <c r="U147" s="29"/>
      <c r="V147" s="28"/>
      <c r="W147" s="29"/>
      <c r="X147" s="28"/>
      <c r="Y147" s="29"/>
      <c r="Z147" s="28"/>
      <c r="AA147" s="29"/>
      <c r="AB147" s="28"/>
      <c r="AC147" s="29"/>
      <c r="AD147" s="28"/>
      <c r="AE147" s="29"/>
      <c r="AF147" s="28"/>
      <c r="AG147" s="29"/>
      <c r="AH147" s="28"/>
      <c r="AI147" s="29"/>
      <c r="AJ147" s="28"/>
      <c r="AK147" s="29"/>
      <c r="AL147" s="28"/>
      <c r="AM147" s="29"/>
      <c r="AN147" s="28"/>
      <c r="AO147" s="29"/>
      <c r="AP147" s="28"/>
      <c r="AQ147" s="29"/>
      <c r="AR147" s="28"/>
      <c r="AS147" s="29"/>
      <c r="AT147" s="28"/>
      <c r="AU147" s="29"/>
      <c r="AV147" s="28"/>
      <c r="AW147" s="29"/>
      <c r="AX147" s="28"/>
      <c r="AY147" s="29"/>
    </row>
    <row r="148" spans="2:51">
      <c r="B148" s="26"/>
      <c r="C148" s="27"/>
      <c r="D148" s="28"/>
      <c r="E148" s="29"/>
      <c r="F148" s="28"/>
      <c r="G148" s="29"/>
      <c r="H148" s="28"/>
      <c r="I148" s="29"/>
      <c r="J148" s="28"/>
      <c r="K148" s="29"/>
      <c r="L148" s="28"/>
      <c r="M148" s="29"/>
      <c r="N148" s="28"/>
      <c r="O148" s="29"/>
      <c r="P148" s="28"/>
      <c r="Q148" s="29"/>
      <c r="R148" s="28"/>
      <c r="S148" s="29"/>
      <c r="T148" s="28"/>
      <c r="U148" s="29"/>
      <c r="V148" s="28"/>
      <c r="W148" s="29"/>
      <c r="X148" s="28"/>
      <c r="Y148" s="29"/>
      <c r="Z148" s="28"/>
      <c r="AA148" s="29"/>
      <c r="AB148" s="28"/>
      <c r="AC148" s="29"/>
      <c r="AD148" s="28"/>
      <c r="AE148" s="29"/>
      <c r="AF148" s="28"/>
      <c r="AG148" s="29"/>
      <c r="AH148" s="28"/>
      <c r="AI148" s="29"/>
      <c r="AJ148" s="28"/>
      <c r="AK148" s="29"/>
      <c r="AL148" s="28"/>
      <c r="AM148" s="29"/>
      <c r="AN148" s="28"/>
      <c r="AO148" s="29"/>
      <c r="AP148" s="28"/>
      <c r="AQ148" s="29"/>
      <c r="AR148" s="28"/>
      <c r="AS148" s="29"/>
      <c r="AT148" s="28"/>
      <c r="AU148" s="29"/>
      <c r="AV148" s="28"/>
      <c r="AW148" s="29"/>
      <c r="AX148" s="28"/>
      <c r="AY148" s="29"/>
    </row>
    <row r="149" spans="2:51" s="363" customFormat="1">
      <c r="B149" s="296">
        <v>1</v>
      </c>
      <c r="C149" s="297">
        <v>2</v>
      </c>
      <c r="D149" s="298">
        <v>3</v>
      </c>
      <c r="E149" s="299">
        <v>4</v>
      </c>
      <c r="F149" s="298">
        <v>5</v>
      </c>
      <c r="G149" s="299">
        <v>6</v>
      </c>
      <c r="H149" s="298">
        <v>7</v>
      </c>
      <c r="I149" s="299">
        <v>8</v>
      </c>
      <c r="J149" s="298">
        <v>9</v>
      </c>
      <c r="K149" s="299">
        <v>10</v>
      </c>
      <c r="L149" s="298">
        <v>11</v>
      </c>
      <c r="M149" s="299">
        <v>12</v>
      </c>
      <c r="N149" s="298">
        <v>13</v>
      </c>
      <c r="O149" s="299">
        <v>14</v>
      </c>
      <c r="P149" s="298">
        <v>15</v>
      </c>
      <c r="Q149" s="299">
        <v>16</v>
      </c>
      <c r="R149" s="298">
        <v>17</v>
      </c>
      <c r="S149" s="299">
        <v>18</v>
      </c>
      <c r="T149" s="298">
        <v>19</v>
      </c>
      <c r="U149" s="299">
        <v>20</v>
      </c>
      <c r="V149" s="298">
        <v>21</v>
      </c>
      <c r="W149" s="299">
        <v>22</v>
      </c>
      <c r="X149" s="298">
        <v>23</v>
      </c>
      <c r="Y149" s="299">
        <v>24</v>
      </c>
      <c r="Z149" s="298">
        <v>25</v>
      </c>
      <c r="AA149" s="299">
        <v>26</v>
      </c>
      <c r="AB149" s="298">
        <v>27</v>
      </c>
      <c r="AC149" s="299">
        <v>28</v>
      </c>
      <c r="AD149" s="298">
        <v>29</v>
      </c>
      <c r="AE149" s="299">
        <v>30</v>
      </c>
      <c r="AF149" s="298">
        <v>31</v>
      </c>
      <c r="AG149" s="299">
        <v>32</v>
      </c>
      <c r="AH149" s="298">
        <v>33</v>
      </c>
      <c r="AI149" s="299">
        <v>34</v>
      </c>
      <c r="AJ149" s="298">
        <v>35</v>
      </c>
      <c r="AK149" s="299">
        <v>36</v>
      </c>
      <c r="AL149" s="298">
        <v>37</v>
      </c>
      <c r="AM149" s="299">
        <v>38</v>
      </c>
      <c r="AN149" s="298">
        <v>39</v>
      </c>
      <c r="AO149" s="299">
        <v>40</v>
      </c>
      <c r="AP149" s="298">
        <v>41</v>
      </c>
      <c r="AQ149" s="299">
        <v>42</v>
      </c>
      <c r="AR149" s="298">
        <v>43</v>
      </c>
      <c r="AS149" s="299">
        <v>44</v>
      </c>
      <c r="AT149" s="298">
        <v>45</v>
      </c>
      <c r="AU149" s="299">
        <v>46</v>
      </c>
      <c r="AV149" s="298">
        <v>47</v>
      </c>
      <c r="AW149" s="299">
        <v>48</v>
      </c>
      <c r="AX149" s="298">
        <v>49</v>
      </c>
      <c r="AY149" s="299">
        <v>50</v>
      </c>
    </row>
    <row r="150" spans="2:51">
      <c r="B150" s="26"/>
      <c r="C150" s="27"/>
      <c r="D150" s="28"/>
      <c r="E150" s="29"/>
      <c r="F150" s="28"/>
      <c r="G150" s="29"/>
      <c r="H150" s="28"/>
      <c r="I150" s="29"/>
      <c r="J150" s="28"/>
      <c r="K150" s="29"/>
      <c r="L150" s="28"/>
      <c r="M150" s="29"/>
      <c r="N150" s="28"/>
      <c r="O150" s="29"/>
      <c r="P150" s="28"/>
      <c r="Q150" s="29"/>
      <c r="R150" s="28"/>
      <c r="S150" s="29"/>
      <c r="T150" s="28"/>
      <c r="U150" s="29"/>
      <c r="V150" s="28"/>
      <c r="W150" s="29"/>
      <c r="X150" s="28"/>
      <c r="Y150" s="29"/>
      <c r="Z150" s="28"/>
      <c r="AA150" s="29"/>
      <c r="AB150" s="28"/>
      <c r="AC150" s="29"/>
      <c r="AD150" s="28"/>
      <c r="AE150" s="29"/>
      <c r="AF150" s="28"/>
      <c r="AG150" s="29"/>
      <c r="AH150" s="28"/>
      <c r="AI150" s="29"/>
      <c r="AJ150" s="28"/>
      <c r="AK150" s="29"/>
      <c r="AL150" s="28"/>
      <c r="AM150" s="29"/>
      <c r="AN150" s="28"/>
      <c r="AO150" s="29"/>
      <c r="AP150" s="28"/>
      <c r="AQ150" s="29"/>
      <c r="AR150" s="28"/>
      <c r="AS150" s="29"/>
      <c r="AT150" s="28"/>
      <c r="AU150" s="29"/>
      <c r="AV150" s="28"/>
      <c r="AW150" s="29"/>
      <c r="AX150" s="28"/>
      <c r="AY150" s="29"/>
    </row>
    <row r="151" spans="2:51">
      <c r="B151" s="26"/>
      <c r="C151" s="27"/>
      <c r="D151" s="28"/>
      <c r="E151" s="29"/>
      <c r="F151" s="28"/>
      <c r="G151" s="29"/>
      <c r="H151" s="28"/>
      <c r="I151" s="29"/>
      <c r="J151" s="28"/>
      <c r="K151" s="29"/>
      <c r="L151" s="28"/>
      <c r="M151" s="29"/>
      <c r="N151" s="28"/>
      <c r="O151" s="29"/>
      <c r="P151" s="28"/>
      <c r="Q151" s="29"/>
      <c r="R151" s="28"/>
      <c r="S151" s="29"/>
      <c r="T151" s="28"/>
      <c r="U151" s="29"/>
      <c r="V151" s="28"/>
      <c r="W151" s="29"/>
      <c r="X151" s="28"/>
      <c r="Y151" s="29"/>
      <c r="Z151" s="28"/>
      <c r="AA151" s="29"/>
      <c r="AB151" s="28"/>
      <c r="AC151" s="29"/>
      <c r="AD151" s="28"/>
      <c r="AE151" s="29"/>
      <c r="AF151" s="28"/>
      <c r="AG151" s="29"/>
      <c r="AH151" s="28"/>
      <c r="AI151" s="29"/>
      <c r="AJ151" s="28"/>
      <c r="AK151" s="29"/>
      <c r="AL151" s="28"/>
      <c r="AM151" s="29"/>
      <c r="AN151" s="28"/>
      <c r="AO151" s="29"/>
      <c r="AP151" s="28"/>
      <c r="AQ151" s="29"/>
      <c r="AR151" s="28"/>
      <c r="AS151" s="29"/>
      <c r="AT151" s="28"/>
      <c r="AU151" s="29"/>
      <c r="AV151" s="28"/>
      <c r="AW151" s="29"/>
      <c r="AX151" s="28"/>
      <c r="AY151" s="29"/>
    </row>
    <row r="152" spans="2:51">
      <c r="B152" s="26"/>
      <c r="C152" s="27"/>
      <c r="D152" s="28"/>
      <c r="E152" s="29"/>
      <c r="F152" s="28"/>
      <c r="G152" s="29"/>
      <c r="H152" s="28"/>
      <c r="I152" s="29"/>
      <c r="J152" s="28"/>
      <c r="K152" s="29"/>
      <c r="L152" s="28"/>
      <c r="M152" s="29"/>
      <c r="N152" s="28"/>
      <c r="O152" s="29"/>
      <c r="P152" s="28"/>
      <c r="Q152" s="29"/>
      <c r="R152" s="28"/>
      <c r="S152" s="29"/>
      <c r="T152" s="28"/>
      <c r="U152" s="29"/>
      <c r="V152" s="28"/>
      <c r="W152" s="29"/>
      <c r="X152" s="28"/>
      <c r="Y152" s="29"/>
      <c r="Z152" s="28"/>
      <c r="AA152" s="29"/>
      <c r="AB152" s="28"/>
      <c r="AC152" s="29"/>
      <c r="AD152" s="28"/>
      <c r="AE152" s="29"/>
      <c r="AF152" s="28"/>
      <c r="AG152" s="29"/>
      <c r="AH152" s="28"/>
      <c r="AI152" s="29"/>
      <c r="AJ152" s="28"/>
      <c r="AK152" s="29"/>
      <c r="AL152" s="28"/>
      <c r="AM152" s="29"/>
      <c r="AN152" s="28"/>
      <c r="AO152" s="29"/>
      <c r="AP152" s="28"/>
      <c r="AQ152" s="29"/>
      <c r="AR152" s="28"/>
      <c r="AS152" s="29"/>
      <c r="AT152" s="28"/>
      <c r="AU152" s="29"/>
      <c r="AV152" s="28"/>
      <c r="AW152" s="29"/>
      <c r="AX152" s="28"/>
      <c r="AY152" s="29"/>
    </row>
    <row r="153" spans="2:51">
      <c r="B153" s="26"/>
      <c r="C153" s="27"/>
      <c r="D153" s="28"/>
      <c r="E153" s="29"/>
      <c r="F153" s="28"/>
      <c r="G153" s="29"/>
      <c r="H153" s="28"/>
      <c r="I153" s="29"/>
      <c r="J153" s="28"/>
      <c r="K153" s="29"/>
      <c r="L153" s="28"/>
      <c r="M153" s="29"/>
      <c r="N153" s="28"/>
      <c r="O153" s="29"/>
      <c r="P153" s="28"/>
      <c r="Q153" s="29"/>
      <c r="R153" s="28"/>
      <c r="S153" s="29"/>
      <c r="T153" s="28"/>
      <c r="U153" s="29"/>
      <c r="V153" s="28"/>
      <c r="W153" s="29"/>
      <c r="X153" s="28"/>
      <c r="Y153" s="29"/>
      <c r="Z153" s="28"/>
      <c r="AA153" s="29"/>
      <c r="AB153" s="28"/>
      <c r="AC153" s="29"/>
      <c r="AD153" s="28"/>
      <c r="AE153" s="29"/>
      <c r="AF153" s="28"/>
      <c r="AG153" s="29"/>
      <c r="AH153" s="28"/>
      <c r="AI153" s="29"/>
      <c r="AJ153" s="28"/>
      <c r="AK153" s="29"/>
      <c r="AL153" s="28"/>
      <c r="AM153" s="29"/>
      <c r="AN153" s="28"/>
      <c r="AO153" s="29"/>
      <c r="AP153" s="28"/>
      <c r="AQ153" s="29"/>
      <c r="AR153" s="28"/>
      <c r="AS153" s="29"/>
      <c r="AT153" s="28"/>
      <c r="AU153" s="29"/>
      <c r="AV153" s="28"/>
      <c r="AW153" s="29"/>
      <c r="AX153" s="28"/>
      <c r="AY153" s="29"/>
    </row>
    <row r="154" spans="2:51">
      <c r="B154" s="26"/>
      <c r="C154" s="27"/>
      <c r="D154" s="28"/>
      <c r="E154" s="29"/>
      <c r="F154" s="28"/>
      <c r="G154" s="29"/>
      <c r="H154" s="28"/>
      <c r="I154" s="29"/>
      <c r="J154" s="28"/>
      <c r="K154" s="29"/>
      <c r="L154" s="28"/>
      <c r="M154" s="29"/>
      <c r="N154" s="28"/>
      <c r="O154" s="29"/>
      <c r="P154" s="28"/>
      <c r="Q154" s="29"/>
      <c r="R154" s="28"/>
      <c r="S154" s="29"/>
      <c r="T154" s="28"/>
      <c r="U154" s="29"/>
      <c r="V154" s="28"/>
      <c r="W154" s="29"/>
      <c r="X154" s="28"/>
      <c r="Y154" s="29"/>
      <c r="Z154" s="28"/>
      <c r="AA154" s="29"/>
      <c r="AB154" s="28"/>
      <c r="AC154" s="29"/>
      <c r="AD154" s="28"/>
      <c r="AE154" s="29"/>
      <c r="AF154" s="28"/>
      <c r="AG154" s="29"/>
      <c r="AH154" s="28"/>
      <c r="AI154" s="29"/>
      <c r="AJ154" s="28"/>
      <c r="AK154" s="29"/>
      <c r="AL154" s="28"/>
      <c r="AM154" s="29"/>
      <c r="AN154" s="28"/>
      <c r="AO154" s="29"/>
      <c r="AP154" s="28"/>
      <c r="AQ154" s="29"/>
      <c r="AR154" s="28"/>
      <c r="AS154" s="29"/>
      <c r="AT154" s="28"/>
      <c r="AU154" s="29"/>
      <c r="AV154" s="28"/>
      <c r="AW154" s="29"/>
      <c r="AX154" s="28"/>
      <c r="AY154" s="29"/>
    </row>
    <row r="155" spans="2:51">
      <c r="B155" s="26"/>
      <c r="C155" s="27"/>
      <c r="D155" s="28"/>
      <c r="E155" s="29"/>
      <c r="F155" s="28"/>
      <c r="G155" s="29"/>
      <c r="H155" s="28"/>
      <c r="I155" s="29"/>
      <c r="J155" s="28"/>
      <c r="K155" s="29"/>
      <c r="L155" s="28"/>
      <c r="M155" s="29"/>
      <c r="N155" s="28"/>
      <c r="O155" s="29"/>
      <c r="P155" s="28"/>
      <c r="Q155" s="29"/>
      <c r="R155" s="28"/>
      <c r="S155" s="29"/>
      <c r="T155" s="28"/>
      <c r="U155" s="29"/>
      <c r="V155" s="28"/>
      <c r="W155" s="29"/>
      <c r="X155" s="28"/>
      <c r="Y155" s="29"/>
      <c r="Z155" s="28"/>
      <c r="AA155" s="29"/>
      <c r="AB155" s="28"/>
      <c r="AC155" s="29"/>
      <c r="AD155" s="28"/>
      <c r="AE155" s="29"/>
      <c r="AF155" s="28"/>
      <c r="AG155" s="29"/>
      <c r="AH155" s="28"/>
      <c r="AI155" s="29"/>
      <c r="AJ155" s="28"/>
      <c r="AK155" s="29"/>
      <c r="AL155" s="28"/>
      <c r="AM155" s="29"/>
      <c r="AN155" s="28"/>
      <c r="AO155" s="29"/>
      <c r="AP155" s="28"/>
      <c r="AQ155" s="29"/>
      <c r="AR155" s="28"/>
      <c r="AS155" s="29"/>
      <c r="AT155" s="28"/>
      <c r="AU155" s="29"/>
      <c r="AV155" s="28"/>
      <c r="AW155" s="29"/>
      <c r="AX155" s="28"/>
      <c r="AY155" s="29"/>
    </row>
    <row r="156" spans="2:51">
      <c r="B156" s="26"/>
      <c r="C156" s="27"/>
      <c r="D156" s="28"/>
      <c r="E156" s="29"/>
      <c r="F156" s="28"/>
      <c r="G156" s="29"/>
      <c r="H156" s="28"/>
      <c r="I156" s="29"/>
      <c r="J156" s="28"/>
      <c r="K156" s="29"/>
      <c r="L156" s="28"/>
      <c r="M156" s="29"/>
      <c r="N156" s="28"/>
      <c r="O156" s="29"/>
      <c r="P156" s="28"/>
      <c r="Q156" s="29"/>
      <c r="R156" s="28"/>
      <c r="S156" s="29"/>
      <c r="T156" s="28"/>
      <c r="U156" s="29"/>
      <c r="V156" s="28"/>
      <c r="W156" s="29"/>
      <c r="X156" s="28"/>
      <c r="Y156" s="29"/>
      <c r="Z156" s="28"/>
      <c r="AA156" s="29"/>
      <c r="AB156" s="28"/>
      <c r="AC156" s="29"/>
      <c r="AD156" s="28"/>
      <c r="AE156" s="29"/>
      <c r="AF156" s="28"/>
      <c r="AG156" s="29"/>
      <c r="AH156" s="28"/>
      <c r="AI156" s="29"/>
      <c r="AJ156" s="28"/>
      <c r="AK156" s="29"/>
      <c r="AL156" s="28"/>
      <c r="AM156" s="29"/>
      <c r="AN156" s="28"/>
      <c r="AO156" s="29"/>
      <c r="AP156" s="28"/>
      <c r="AQ156" s="29"/>
      <c r="AR156" s="28"/>
      <c r="AS156" s="29"/>
      <c r="AT156" s="28"/>
      <c r="AU156" s="29"/>
      <c r="AV156" s="28"/>
      <c r="AW156" s="29"/>
      <c r="AX156" s="28"/>
      <c r="AY156" s="29"/>
    </row>
    <row r="157" spans="2:51">
      <c r="B157" s="26"/>
      <c r="C157" s="27"/>
      <c r="D157" s="28"/>
      <c r="E157" s="29"/>
      <c r="F157" s="28"/>
      <c r="G157" s="29"/>
      <c r="H157" s="28"/>
      <c r="I157" s="29"/>
      <c r="J157" s="28"/>
      <c r="K157" s="29"/>
      <c r="L157" s="28"/>
      <c r="M157" s="29"/>
      <c r="N157" s="28"/>
      <c r="O157" s="29"/>
      <c r="P157" s="28"/>
      <c r="Q157" s="29"/>
      <c r="R157" s="28"/>
      <c r="S157" s="29"/>
      <c r="T157" s="28"/>
      <c r="U157" s="29"/>
      <c r="V157" s="28"/>
      <c r="W157" s="29"/>
      <c r="X157" s="28"/>
      <c r="Y157" s="29"/>
      <c r="Z157" s="28"/>
      <c r="AA157" s="29"/>
      <c r="AB157" s="28"/>
      <c r="AC157" s="29"/>
      <c r="AD157" s="28"/>
      <c r="AE157" s="29"/>
      <c r="AF157" s="28"/>
      <c r="AG157" s="29"/>
      <c r="AH157" s="28"/>
      <c r="AI157" s="29"/>
      <c r="AJ157" s="28"/>
      <c r="AK157" s="29"/>
      <c r="AL157" s="28"/>
      <c r="AM157" s="29"/>
      <c r="AN157" s="28"/>
      <c r="AO157" s="29"/>
      <c r="AP157" s="28"/>
      <c r="AQ157" s="29"/>
      <c r="AR157" s="28"/>
      <c r="AS157" s="29"/>
      <c r="AT157" s="28"/>
      <c r="AU157" s="29"/>
      <c r="AV157" s="28"/>
      <c r="AW157" s="29"/>
      <c r="AX157" s="28"/>
      <c r="AY157" s="29"/>
    </row>
    <row r="158" spans="2:51">
      <c r="B158" s="26"/>
      <c r="C158" s="27"/>
      <c r="D158" s="28"/>
      <c r="E158" s="29"/>
      <c r="F158" s="28"/>
      <c r="G158" s="29"/>
      <c r="H158" s="28"/>
      <c r="I158" s="29"/>
      <c r="J158" s="28"/>
      <c r="K158" s="29"/>
      <c r="L158" s="28"/>
      <c r="M158" s="29"/>
      <c r="N158" s="28"/>
      <c r="O158" s="29"/>
      <c r="P158" s="28"/>
      <c r="Q158" s="29"/>
      <c r="R158" s="28"/>
      <c r="S158" s="29"/>
      <c r="T158" s="28"/>
      <c r="U158" s="29"/>
      <c r="V158" s="28"/>
      <c r="W158" s="29"/>
      <c r="X158" s="28"/>
      <c r="Y158" s="29"/>
      <c r="Z158" s="28"/>
      <c r="AA158" s="29"/>
      <c r="AB158" s="28"/>
      <c r="AC158" s="29"/>
      <c r="AD158" s="28"/>
      <c r="AE158" s="29"/>
      <c r="AF158" s="28"/>
      <c r="AG158" s="29"/>
      <c r="AH158" s="28"/>
      <c r="AI158" s="29"/>
      <c r="AJ158" s="28"/>
      <c r="AK158" s="29"/>
      <c r="AL158" s="28"/>
      <c r="AM158" s="29"/>
      <c r="AN158" s="28"/>
      <c r="AO158" s="29"/>
      <c r="AP158" s="28"/>
      <c r="AQ158" s="29"/>
      <c r="AR158" s="28"/>
      <c r="AS158" s="29"/>
      <c r="AT158" s="28"/>
      <c r="AU158" s="29"/>
      <c r="AV158" s="28"/>
      <c r="AW158" s="29"/>
      <c r="AX158" s="28"/>
      <c r="AY158" s="29"/>
    </row>
    <row r="159" spans="2:51">
      <c r="B159" s="26"/>
      <c r="C159" s="27"/>
      <c r="D159" s="28"/>
      <c r="E159" s="29"/>
      <c r="F159" s="28"/>
      <c r="G159" s="29"/>
      <c r="H159" s="28"/>
      <c r="I159" s="29"/>
      <c r="J159" s="28"/>
      <c r="K159" s="29"/>
      <c r="L159" s="28"/>
      <c r="M159" s="29"/>
      <c r="N159" s="28"/>
      <c r="O159" s="29"/>
      <c r="P159" s="28"/>
      <c r="Q159" s="29"/>
      <c r="R159" s="28"/>
      <c r="S159" s="29"/>
      <c r="T159" s="28"/>
      <c r="U159" s="29"/>
      <c r="V159" s="28"/>
      <c r="W159" s="29"/>
      <c r="X159" s="28"/>
      <c r="Y159" s="29"/>
      <c r="Z159" s="28"/>
      <c r="AA159" s="29"/>
      <c r="AB159" s="28"/>
      <c r="AC159" s="29"/>
      <c r="AD159" s="28"/>
      <c r="AE159" s="29"/>
      <c r="AF159" s="28"/>
      <c r="AG159" s="29"/>
      <c r="AH159" s="28"/>
      <c r="AI159" s="29"/>
      <c r="AJ159" s="28"/>
      <c r="AK159" s="29"/>
      <c r="AL159" s="28"/>
      <c r="AM159" s="29"/>
      <c r="AN159" s="28"/>
      <c r="AO159" s="29"/>
      <c r="AP159" s="28"/>
      <c r="AQ159" s="29"/>
      <c r="AR159" s="28"/>
      <c r="AS159" s="29"/>
      <c r="AT159" s="28"/>
      <c r="AU159" s="29"/>
      <c r="AV159" s="28"/>
      <c r="AW159" s="29"/>
      <c r="AX159" s="28"/>
      <c r="AY159" s="29"/>
    </row>
    <row r="160" spans="2:51">
      <c r="B160" s="26"/>
      <c r="C160" s="27"/>
      <c r="D160" s="28"/>
      <c r="E160" s="29"/>
      <c r="F160" s="28"/>
      <c r="G160" s="29"/>
      <c r="H160" s="28"/>
      <c r="I160" s="29"/>
      <c r="J160" s="28"/>
      <c r="K160" s="29"/>
      <c r="L160" s="28"/>
      <c r="M160" s="29"/>
      <c r="N160" s="28"/>
      <c r="O160" s="29"/>
      <c r="P160" s="28"/>
      <c r="Q160" s="29"/>
      <c r="R160" s="28"/>
      <c r="S160" s="29"/>
      <c r="T160" s="28"/>
      <c r="U160" s="29"/>
      <c r="V160" s="28"/>
      <c r="W160" s="29"/>
      <c r="X160" s="28"/>
      <c r="Y160" s="29"/>
      <c r="Z160" s="28"/>
      <c r="AA160" s="29"/>
      <c r="AB160" s="28"/>
      <c r="AC160" s="29"/>
      <c r="AD160" s="28"/>
      <c r="AE160" s="29"/>
      <c r="AF160" s="28"/>
      <c r="AG160" s="29"/>
      <c r="AH160" s="28"/>
      <c r="AI160" s="29"/>
      <c r="AJ160" s="28"/>
      <c r="AK160" s="29"/>
      <c r="AL160" s="28"/>
      <c r="AM160" s="29"/>
      <c r="AN160" s="28"/>
      <c r="AO160" s="29"/>
      <c r="AP160" s="28"/>
      <c r="AQ160" s="29"/>
      <c r="AR160" s="28"/>
      <c r="AS160" s="29"/>
      <c r="AT160" s="28"/>
      <c r="AU160" s="29"/>
      <c r="AV160" s="28"/>
      <c r="AW160" s="29"/>
      <c r="AX160" s="28"/>
      <c r="AY160" s="29"/>
    </row>
    <row r="161" spans="2:51">
      <c r="B161" s="26"/>
      <c r="C161" s="27"/>
      <c r="D161" s="28"/>
      <c r="E161" s="29"/>
      <c r="F161" s="28"/>
      <c r="G161" s="29"/>
      <c r="H161" s="28"/>
      <c r="I161" s="29"/>
      <c r="J161" s="28"/>
      <c r="K161" s="29"/>
      <c r="L161" s="28"/>
      <c r="M161" s="29"/>
      <c r="N161" s="28"/>
      <c r="O161" s="29"/>
      <c r="P161" s="28"/>
      <c r="Q161" s="29"/>
      <c r="R161" s="28"/>
      <c r="S161" s="29"/>
      <c r="T161" s="28"/>
      <c r="U161" s="29"/>
      <c r="V161" s="28"/>
      <c r="W161" s="29"/>
      <c r="X161" s="28"/>
      <c r="Y161" s="29"/>
      <c r="Z161" s="28"/>
      <c r="AA161" s="29"/>
      <c r="AB161" s="28"/>
      <c r="AC161" s="29"/>
      <c r="AD161" s="28"/>
      <c r="AE161" s="29"/>
      <c r="AF161" s="28"/>
      <c r="AG161" s="29"/>
      <c r="AH161" s="28"/>
      <c r="AI161" s="29"/>
      <c r="AJ161" s="28"/>
      <c r="AK161" s="29"/>
      <c r="AL161" s="28"/>
      <c r="AM161" s="29"/>
      <c r="AN161" s="28"/>
      <c r="AO161" s="29"/>
      <c r="AP161" s="28"/>
      <c r="AQ161" s="29"/>
      <c r="AR161" s="28"/>
      <c r="AS161" s="29"/>
      <c r="AT161" s="28"/>
      <c r="AU161" s="29"/>
      <c r="AV161" s="28"/>
      <c r="AW161" s="29"/>
      <c r="AX161" s="28"/>
      <c r="AY161" s="29"/>
    </row>
    <row r="162" spans="2:51">
      <c r="B162" s="26"/>
      <c r="C162" s="27"/>
      <c r="D162" s="28"/>
      <c r="E162" s="29"/>
      <c r="F162" s="28"/>
      <c r="G162" s="29"/>
      <c r="H162" s="28"/>
      <c r="I162" s="29"/>
      <c r="J162" s="28"/>
      <c r="K162" s="29"/>
      <c r="L162" s="28"/>
      <c r="M162" s="29"/>
      <c r="N162" s="28"/>
      <c r="O162" s="29"/>
      <c r="P162" s="28"/>
      <c r="Q162" s="29"/>
      <c r="R162" s="28"/>
      <c r="S162" s="29"/>
      <c r="T162" s="28"/>
      <c r="U162" s="29"/>
      <c r="V162" s="28"/>
      <c r="W162" s="29"/>
      <c r="X162" s="28"/>
      <c r="Y162" s="29"/>
      <c r="Z162" s="28"/>
      <c r="AA162" s="29"/>
      <c r="AB162" s="28"/>
      <c r="AC162" s="29"/>
      <c r="AD162" s="28"/>
      <c r="AE162" s="29"/>
      <c r="AF162" s="28"/>
      <c r="AG162" s="29"/>
      <c r="AH162" s="28"/>
      <c r="AI162" s="29"/>
      <c r="AJ162" s="28"/>
      <c r="AK162" s="29"/>
      <c r="AL162" s="28"/>
      <c r="AM162" s="29"/>
      <c r="AN162" s="28"/>
      <c r="AO162" s="29"/>
      <c r="AP162" s="28"/>
      <c r="AQ162" s="29"/>
      <c r="AR162" s="28"/>
      <c r="AS162" s="29"/>
      <c r="AT162" s="28"/>
      <c r="AU162" s="29"/>
      <c r="AV162" s="28"/>
      <c r="AW162" s="29"/>
      <c r="AX162" s="28"/>
      <c r="AY162" s="29"/>
    </row>
    <row r="163" spans="2:51">
      <c r="B163" s="26"/>
      <c r="C163" s="27"/>
      <c r="D163" s="28"/>
      <c r="E163" s="29"/>
      <c r="F163" s="28"/>
      <c r="G163" s="29"/>
      <c r="H163" s="28"/>
      <c r="I163" s="29"/>
      <c r="J163" s="28"/>
      <c r="K163" s="29"/>
      <c r="L163" s="28"/>
      <c r="M163" s="29"/>
      <c r="N163" s="28"/>
      <c r="O163" s="29"/>
      <c r="P163" s="28"/>
      <c r="Q163" s="29"/>
      <c r="R163" s="28"/>
      <c r="S163" s="29"/>
      <c r="T163" s="28"/>
      <c r="U163" s="29"/>
      <c r="V163" s="28"/>
      <c r="W163" s="29"/>
      <c r="X163" s="28"/>
      <c r="Y163" s="29"/>
      <c r="Z163" s="28"/>
      <c r="AA163" s="29"/>
      <c r="AB163" s="28"/>
      <c r="AC163" s="29"/>
      <c r="AD163" s="28"/>
      <c r="AE163" s="29"/>
      <c r="AF163" s="28"/>
      <c r="AG163" s="29"/>
      <c r="AH163" s="28"/>
      <c r="AI163" s="29"/>
      <c r="AJ163" s="28"/>
      <c r="AK163" s="29"/>
      <c r="AL163" s="28"/>
      <c r="AM163" s="29"/>
      <c r="AN163" s="28"/>
      <c r="AO163" s="29"/>
      <c r="AP163" s="28"/>
      <c r="AQ163" s="29"/>
      <c r="AR163" s="28"/>
      <c r="AS163" s="29"/>
      <c r="AT163" s="28"/>
      <c r="AU163" s="29"/>
      <c r="AV163" s="28"/>
      <c r="AW163" s="29"/>
      <c r="AX163" s="28"/>
      <c r="AY163" s="29"/>
    </row>
    <row r="164" spans="2:51">
      <c r="B164" s="26"/>
      <c r="C164" s="27"/>
      <c r="D164" s="28"/>
      <c r="E164" s="29"/>
      <c r="F164" s="28"/>
      <c r="G164" s="29"/>
      <c r="H164" s="28"/>
      <c r="I164" s="29"/>
      <c r="J164" s="28"/>
      <c r="K164" s="29"/>
      <c r="L164" s="28"/>
      <c r="M164" s="29"/>
      <c r="N164" s="28"/>
      <c r="O164" s="29"/>
      <c r="P164" s="28"/>
      <c r="Q164" s="29"/>
      <c r="R164" s="28"/>
      <c r="S164" s="29"/>
      <c r="T164" s="28"/>
      <c r="U164" s="29"/>
      <c r="V164" s="28"/>
      <c r="W164" s="29"/>
      <c r="X164" s="28"/>
      <c r="Y164" s="29"/>
      <c r="Z164" s="28"/>
      <c r="AA164" s="29"/>
      <c r="AB164" s="28"/>
      <c r="AC164" s="29"/>
      <c r="AD164" s="28"/>
      <c r="AE164" s="29"/>
      <c r="AF164" s="28"/>
      <c r="AG164" s="29"/>
      <c r="AH164" s="28"/>
      <c r="AI164" s="29"/>
      <c r="AJ164" s="28"/>
      <c r="AK164" s="29"/>
      <c r="AL164" s="28"/>
      <c r="AM164" s="29"/>
      <c r="AN164" s="28"/>
      <c r="AO164" s="29"/>
      <c r="AP164" s="28"/>
      <c r="AQ164" s="29"/>
      <c r="AR164" s="28"/>
      <c r="AS164" s="29"/>
      <c r="AT164" s="28"/>
      <c r="AU164" s="29"/>
      <c r="AV164" s="28"/>
      <c r="AW164" s="29"/>
      <c r="AX164" s="28"/>
      <c r="AY164" s="29"/>
    </row>
    <row r="165" spans="2:51">
      <c r="B165" s="26"/>
      <c r="C165" s="27"/>
      <c r="D165" s="28"/>
      <c r="E165" s="29"/>
      <c r="F165" s="28"/>
      <c r="G165" s="29"/>
      <c r="H165" s="28"/>
      <c r="I165" s="29"/>
      <c r="J165" s="28"/>
      <c r="K165" s="29"/>
      <c r="L165" s="28"/>
      <c r="M165" s="29"/>
      <c r="N165" s="28"/>
      <c r="O165" s="29"/>
      <c r="P165" s="28"/>
      <c r="Q165" s="29"/>
      <c r="R165" s="28"/>
      <c r="S165" s="29"/>
      <c r="T165" s="28"/>
      <c r="U165" s="29"/>
      <c r="V165" s="28"/>
      <c r="W165" s="29"/>
      <c r="X165" s="28"/>
      <c r="Y165" s="29"/>
      <c r="Z165" s="28"/>
      <c r="AA165" s="29"/>
      <c r="AB165" s="28"/>
      <c r="AC165" s="29"/>
      <c r="AD165" s="28"/>
      <c r="AE165" s="29"/>
      <c r="AF165" s="28"/>
      <c r="AG165" s="29"/>
      <c r="AH165" s="28"/>
      <c r="AI165" s="29"/>
      <c r="AJ165" s="28"/>
      <c r="AK165" s="29"/>
      <c r="AL165" s="28"/>
      <c r="AM165" s="29"/>
      <c r="AN165" s="28"/>
      <c r="AO165" s="29"/>
      <c r="AP165" s="28"/>
      <c r="AQ165" s="29"/>
      <c r="AR165" s="28"/>
      <c r="AS165" s="29"/>
      <c r="AT165" s="28"/>
      <c r="AU165" s="29"/>
      <c r="AV165" s="28"/>
      <c r="AW165" s="29"/>
      <c r="AX165" s="28"/>
      <c r="AY165" s="29"/>
    </row>
    <row r="166" spans="2:51">
      <c r="B166" s="26"/>
      <c r="C166" s="27"/>
      <c r="D166" s="28"/>
      <c r="E166" s="29"/>
      <c r="F166" s="28"/>
      <c r="G166" s="29"/>
      <c r="H166" s="28"/>
      <c r="I166" s="29"/>
      <c r="J166" s="28"/>
      <c r="K166" s="29"/>
      <c r="L166" s="28"/>
      <c r="M166" s="29"/>
      <c r="N166" s="28"/>
      <c r="O166" s="29"/>
      <c r="P166" s="28"/>
      <c r="Q166" s="29"/>
      <c r="R166" s="28"/>
      <c r="S166" s="29"/>
      <c r="T166" s="28"/>
      <c r="U166" s="29"/>
      <c r="V166" s="28"/>
      <c r="W166" s="29"/>
      <c r="X166" s="28"/>
      <c r="Y166" s="29"/>
      <c r="Z166" s="28"/>
      <c r="AA166" s="29"/>
      <c r="AB166" s="28"/>
      <c r="AC166" s="29"/>
      <c r="AD166" s="28"/>
      <c r="AE166" s="29"/>
      <c r="AF166" s="28"/>
      <c r="AG166" s="29"/>
      <c r="AH166" s="28"/>
      <c r="AI166" s="29"/>
      <c r="AJ166" s="28"/>
      <c r="AK166" s="29"/>
      <c r="AL166" s="28"/>
      <c r="AM166" s="29"/>
      <c r="AN166" s="28"/>
      <c r="AO166" s="29"/>
      <c r="AP166" s="28"/>
      <c r="AQ166" s="29"/>
      <c r="AR166" s="28"/>
      <c r="AS166" s="29"/>
      <c r="AT166" s="28"/>
      <c r="AU166" s="29"/>
      <c r="AV166" s="28"/>
      <c r="AW166" s="29"/>
      <c r="AX166" s="28"/>
      <c r="AY166" s="29"/>
    </row>
    <row r="167" spans="2:51">
      <c r="B167" s="26"/>
      <c r="C167" s="27"/>
      <c r="D167" s="28"/>
      <c r="E167" s="29"/>
      <c r="F167" s="28"/>
      <c r="G167" s="29"/>
      <c r="H167" s="28"/>
      <c r="I167" s="29"/>
      <c r="J167" s="28"/>
      <c r="K167" s="29"/>
      <c r="L167" s="28"/>
      <c r="M167" s="29"/>
      <c r="N167" s="28"/>
      <c r="O167" s="29"/>
      <c r="P167" s="28"/>
      <c r="Q167" s="29"/>
      <c r="R167" s="28"/>
      <c r="S167" s="29"/>
      <c r="T167" s="28"/>
      <c r="U167" s="29"/>
      <c r="V167" s="28"/>
      <c r="W167" s="29"/>
      <c r="X167" s="28"/>
      <c r="Y167" s="29"/>
      <c r="Z167" s="28"/>
      <c r="AA167" s="29"/>
      <c r="AB167" s="28"/>
      <c r="AC167" s="29"/>
      <c r="AD167" s="28"/>
      <c r="AE167" s="29"/>
      <c r="AF167" s="28"/>
      <c r="AG167" s="29"/>
      <c r="AH167" s="28"/>
      <c r="AI167" s="29"/>
      <c r="AJ167" s="28"/>
      <c r="AK167" s="29"/>
      <c r="AL167" s="28"/>
      <c r="AM167" s="29"/>
      <c r="AN167" s="28"/>
      <c r="AO167" s="29"/>
      <c r="AP167" s="28"/>
      <c r="AQ167" s="29"/>
      <c r="AR167" s="28"/>
      <c r="AS167" s="29"/>
      <c r="AT167" s="28"/>
      <c r="AU167" s="29"/>
      <c r="AV167" s="28"/>
      <c r="AW167" s="29"/>
      <c r="AX167" s="28"/>
      <c r="AY167" s="29"/>
    </row>
  </sheetData>
  <conditionalFormatting sqref="B2:M2">
    <cfRule type="expression" dxfId="7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AY167"/>
  <sheetViews>
    <sheetView workbookViewId="0">
      <selection activeCell="G32" sqref="G32"/>
    </sheetView>
  </sheetViews>
  <sheetFormatPr defaultRowHeight="15"/>
  <cols>
    <col min="1" max="2" width="9.140625" style="259"/>
    <col min="3" max="3" width="29.42578125" style="259" bestFit="1" customWidth="1"/>
    <col min="4" max="4" width="11.5703125" style="259" bestFit="1" customWidth="1"/>
    <col min="5" max="5" width="9.28515625" style="259" bestFit="1" customWidth="1"/>
    <col min="6" max="6" width="11.5703125" style="259" bestFit="1" customWidth="1"/>
    <col min="7" max="7" width="9.28515625" style="259" bestFit="1" customWidth="1"/>
    <col min="8" max="8" width="11.5703125" style="259" bestFit="1" customWidth="1"/>
    <col min="9" max="9" width="9.28515625" style="259" bestFit="1" customWidth="1"/>
    <col min="10" max="10" width="11.5703125" style="259" bestFit="1" customWidth="1"/>
    <col min="11" max="11" width="9.28515625" style="259" bestFit="1" customWidth="1"/>
    <col min="12" max="12" width="11.5703125" style="259" bestFit="1" customWidth="1"/>
    <col min="13" max="13" width="9.28515625" style="259" bestFit="1" customWidth="1"/>
    <col min="14" max="14" width="11.5703125" style="259" bestFit="1" customWidth="1"/>
    <col min="15" max="15" width="9.28515625" style="259" bestFit="1" customWidth="1"/>
    <col min="16" max="16" width="11.5703125" style="259" bestFit="1" customWidth="1"/>
    <col min="17" max="17" width="9.28515625" style="259" bestFit="1" customWidth="1"/>
    <col min="18" max="18" width="11.5703125" style="259" bestFit="1" customWidth="1"/>
    <col min="19" max="19" width="9.28515625" style="259" bestFit="1" customWidth="1"/>
    <col min="20" max="20" width="11.5703125" style="259" bestFit="1" customWidth="1"/>
    <col min="21" max="21" width="9.28515625" style="259" bestFit="1" customWidth="1"/>
    <col min="22" max="22" width="11.5703125" style="259" bestFit="1" customWidth="1"/>
    <col min="23" max="23" width="9.28515625" style="259" bestFit="1" customWidth="1"/>
    <col min="24" max="24" width="11.5703125" style="259" bestFit="1" customWidth="1"/>
    <col min="25" max="25" width="9.28515625" style="259" bestFit="1" customWidth="1"/>
    <col min="26" max="26" width="11.5703125" style="259" bestFit="1" customWidth="1"/>
    <col min="27" max="27" width="9.28515625" style="259" bestFit="1" customWidth="1"/>
    <col min="28" max="28" width="11.5703125" style="259" bestFit="1" customWidth="1"/>
    <col min="29" max="29" width="9.28515625" style="259" bestFit="1" customWidth="1"/>
    <col min="30" max="30" width="11.5703125" style="259" bestFit="1" customWidth="1"/>
    <col min="31" max="31" width="9.28515625" style="259" bestFit="1" customWidth="1"/>
    <col min="32" max="32" width="11.5703125" style="259" bestFit="1" customWidth="1"/>
    <col min="33" max="33" width="9.28515625" style="259" bestFit="1" customWidth="1"/>
    <col min="34" max="34" width="11.5703125" style="259" bestFit="1" customWidth="1"/>
    <col min="35" max="35" width="9.28515625" style="259" bestFit="1" customWidth="1"/>
    <col min="36" max="36" width="11.5703125" style="259" bestFit="1" customWidth="1"/>
    <col min="37" max="37" width="9.28515625" style="259" bestFit="1" customWidth="1"/>
    <col min="38" max="38" width="11.5703125" style="259" bestFit="1" customWidth="1"/>
    <col min="39" max="39" width="9.28515625" style="259" bestFit="1" customWidth="1"/>
    <col min="40" max="40" width="11.5703125" style="259" bestFit="1" customWidth="1"/>
    <col min="41" max="41" width="9.28515625" style="259" bestFit="1" customWidth="1"/>
    <col min="42" max="42" width="11.5703125" style="259" bestFit="1" customWidth="1"/>
    <col min="43" max="43" width="9.28515625" style="259" bestFit="1" customWidth="1"/>
    <col min="44" max="44" width="11.5703125" style="259" bestFit="1" customWidth="1"/>
    <col min="45" max="45" width="9.28515625" style="259" bestFit="1" customWidth="1"/>
    <col min="46" max="46" width="11.5703125" style="259" bestFit="1" customWidth="1"/>
    <col min="47" max="47" width="9.28515625" style="259" bestFit="1" customWidth="1"/>
    <col min="48" max="48" width="11.5703125" style="259" bestFit="1" customWidth="1"/>
    <col min="49" max="49" width="9.28515625" style="259" bestFit="1" customWidth="1"/>
    <col min="50" max="50" width="11.5703125" style="259" bestFit="1" customWidth="1"/>
    <col min="51" max="51" width="9.28515625" style="259" bestFit="1" customWidth="1"/>
    <col min="52" max="258" width="9.140625" style="259"/>
    <col min="259" max="259" width="29.42578125" style="259" bestFit="1" customWidth="1"/>
    <col min="260" max="260" width="11.5703125" style="259" bestFit="1" customWidth="1"/>
    <col min="261" max="261" width="9.28515625" style="259" bestFit="1" customWidth="1"/>
    <col min="262" max="262" width="11.5703125" style="259" bestFit="1" customWidth="1"/>
    <col min="263" max="263" width="9.28515625" style="259" bestFit="1" customWidth="1"/>
    <col min="264" max="264" width="11.5703125" style="259" bestFit="1" customWidth="1"/>
    <col min="265" max="265" width="9.28515625" style="259" bestFit="1" customWidth="1"/>
    <col min="266" max="266" width="11.5703125" style="259" bestFit="1" customWidth="1"/>
    <col min="267" max="267" width="9.28515625" style="259" bestFit="1" customWidth="1"/>
    <col min="268" max="268" width="11.5703125" style="259" bestFit="1" customWidth="1"/>
    <col min="269" max="269" width="9.28515625" style="259" bestFit="1" customWidth="1"/>
    <col min="270" max="270" width="11.5703125" style="259" bestFit="1" customWidth="1"/>
    <col min="271" max="271" width="9.28515625" style="259" bestFit="1" customWidth="1"/>
    <col min="272" max="272" width="11.5703125" style="259" bestFit="1" customWidth="1"/>
    <col min="273" max="273" width="9.28515625" style="259" bestFit="1" customWidth="1"/>
    <col min="274" max="274" width="11.5703125" style="259" bestFit="1" customWidth="1"/>
    <col min="275" max="275" width="9.28515625" style="259" bestFit="1" customWidth="1"/>
    <col min="276" max="276" width="11.5703125" style="259" bestFit="1" customWidth="1"/>
    <col min="277" max="277" width="9.28515625" style="259" bestFit="1" customWidth="1"/>
    <col min="278" max="278" width="11.5703125" style="259" bestFit="1" customWidth="1"/>
    <col min="279" max="279" width="9.28515625" style="259" bestFit="1" customWidth="1"/>
    <col min="280" max="280" width="11.5703125" style="259" bestFit="1" customWidth="1"/>
    <col min="281" max="281" width="9.28515625" style="259" bestFit="1" customWidth="1"/>
    <col min="282" max="282" width="11.5703125" style="259" bestFit="1" customWidth="1"/>
    <col min="283" max="283" width="9.28515625" style="259" bestFit="1" customWidth="1"/>
    <col min="284" max="284" width="11.5703125" style="259" bestFit="1" customWidth="1"/>
    <col min="285" max="285" width="9.28515625" style="259" bestFit="1" customWidth="1"/>
    <col min="286" max="286" width="11.5703125" style="259" bestFit="1" customWidth="1"/>
    <col min="287" max="287" width="9.28515625" style="259" bestFit="1" customWidth="1"/>
    <col min="288" max="288" width="11.5703125" style="259" bestFit="1" customWidth="1"/>
    <col min="289" max="289" width="9.28515625" style="259" bestFit="1" customWidth="1"/>
    <col min="290" max="290" width="11.5703125" style="259" bestFit="1" customWidth="1"/>
    <col min="291" max="291" width="9.28515625" style="259" bestFit="1" customWidth="1"/>
    <col min="292" max="292" width="11.5703125" style="259" bestFit="1" customWidth="1"/>
    <col min="293" max="293" width="9.28515625" style="259" bestFit="1" customWidth="1"/>
    <col min="294" max="294" width="11.5703125" style="259" bestFit="1" customWidth="1"/>
    <col min="295" max="295" width="9.28515625" style="259" bestFit="1" customWidth="1"/>
    <col min="296" max="296" width="11.5703125" style="259" bestFit="1" customWidth="1"/>
    <col min="297" max="297" width="9.28515625" style="259" bestFit="1" customWidth="1"/>
    <col min="298" max="298" width="11.5703125" style="259" bestFit="1" customWidth="1"/>
    <col min="299" max="299" width="9.28515625" style="259" bestFit="1" customWidth="1"/>
    <col min="300" max="300" width="11.5703125" style="259" bestFit="1" customWidth="1"/>
    <col min="301" max="301" width="9.28515625" style="259" bestFit="1" customWidth="1"/>
    <col min="302" max="302" width="11.5703125" style="259" bestFit="1" customWidth="1"/>
    <col min="303" max="303" width="9.28515625" style="259" bestFit="1" customWidth="1"/>
    <col min="304" max="304" width="11.5703125" style="259" bestFit="1" customWidth="1"/>
    <col min="305" max="305" width="9.28515625" style="259" bestFit="1" customWidth="1"/>
    <col min="306" max="306" width="11.5703125" style="259" bestFit="1" customWidth="1"/>
    <col min="307" max="307" width="9.28515625" style="259" bestFit="1" customWidth="1"/>
    <col min="308" max="514" width="9.140625" style="259"/>
    <col min="515" max="515" width="29.42578125" style="259" bestFit="1" customWidth="1"/>
    <col min="516" max="516" width="11.5703125" style="259" bestFit="1" customWidth="1"/>
    <col min="517" max="517" width="9.28515625" style="259" bestFit="1" customWidth="1"/>
    <col min="518" max="518" width="11.5703125" style="259" bestFit="1" customWidth="1"/>
    <col min="519" max="519" width="9.28515625" style="259" bestFit="1" customWidth="1"/>
    <col min="520" max="520" width="11.5703125" style="259" bestFit="1" customWidth="1"/>
    <col min="521" max="521" width="9.28515625" style="259" bestFit="1" customWidth="1"/>
    <col min="522" max="522" width="11.5703125" style="259" bestFit="1" customWidth="1"/>
    <col min="523" max="523" width="9.28515625" style="259" bestFit="1" customWidth="1"/>
    <col min="524" max="524" width="11.5703125" style="259" bestFit="1" customWidth="1"/>
    <col min="525" max="525" width="9.28515625" style="259" bestFit="1" customWidth="1"/>
    <col min="526" max="526" width="11.5703125" style="259" bestFit="1" customWidth="1"/>
    <col min="527" max="527" width="9.28515625" style="259" bestFit="1" customWidth="1"/>
    <col min="528" max="528" width="11.5703125" style="259" bestFit="1" customWidth="1"/>
    <col min="529" max="529" width="9.28515625" style="259" bestFit="1" customWidth="1"/>
    <col min="530" max="530" width="11.5703125" style="259" bestFit="1" customWidth="1"/>
    <col min="531" max="531" width="9.28515625" style="259" bestFit="1" customWidth="1"/>
    <col min="532" max="532" width="11.5703125" style="259" bestFit="1" customWidth="1"/>
    <col min="533" max="533" width="9.28515625" style="259" bestFit="1" customWidth="1"/>
    <col min="534" max="534" width="11.5703125" style="259" bestFit="1" customWidth="1"/>
    <col min="535" max="535" width="9.28515625" style="259" bestFit="1" customWidth="1"/>
    <col min="536" max="536" width="11.5703125" style="259" bestFit="1" customWidth="1"/>
    <col min="537" max="537" width="9.28515625" style="259" bestFit="1" customWidth="1"/>
    <col min="538" max="538" width="11.5703125" style="259" bestFit="1" customWidth="1"/>
    <col min="539" max="539" width="9.28515625" style="259" bestFit="1" customWidth="1"/>
    <col min="540" max="540" width="11.5703125" style="259" bestFit="1" customWidth="1"/>
    <col min="541" max="541" width="9.28515625" style="259" bestFit="1" customWidth="1"/>
    <col min="542" max="542" width="11.5703125" style="259" bestFit="1" customWidth="1"/>
    <col min="543" max="543" width="9.28515625" style="259" bestFit="1" customWidth="1"/>
    <col min="544" max="544" width="11.5703125" style="259" bestFit="1" customWidth="1"/>
    <col min="545" max="545" width="9.28515625" style="259" bestFit="1" customWidth="1"/>
    <col min="546" max="546" width="11.5703125" style="259" bestFit="1" customWidth="1"/>
    <col min="547" max="547" width="9.28515625" style="259" bestFit="1" customWidth="1"/>
    <col min="548" max="548" width="11.5703125" style="259" bestFit="1" customWidth="1"/>
    <col min="549" max="549" width="9.28515625" style="259" bestFit="1" customWidth="1"/>
    <col min="550" max="550" width="11.5703125" style="259" bestFit="1" customWidth="1"/>
    <col min="551" max="551" width="9.28515625" style="259" bestFit="1" customWidth="1"/>
    <col min="552" max="552" width="11.5703125" style="259" bestFit="1" customWidth="1"/>
    <col min="553" max="553" width="9.28515625" style="259" bestFit="1" customWidth="1"/>
    <col min="554" max="554" width="11.5703125" style="259" bestFit="1" customWidth="1"/>
    <col min="555" max="555" width="9.28515625" style="259" bestFit="1" customWidth="1"/>
    <col min="556" max="556" width="11.5703125" style="259" bestFit="1" customWidth="1"/>
    <col min="557" max="557" width="9.28515625" style="259" bestFit="1" customWidth="1"/>
    <col min="558" max="558" width="11.5703125" style="259" bestFit="1" customWidth="1"/>
    <col min="559" max="559" width="9.28515625" style="259" bestFit="1" customWidth="1"/>
    <col min="560" max="560" width="11.5703125" style="259" bestFit="1" customWidth="1"/>
    <col min="561" max="561" width="9.28515625" style="259" bestFit="1" customWidth="1"/>
    <col min="562" max="562" width="11.5703125" style="259" bestFit="1" customWidth="1"/>
    <col min="563" max="563" width="9.28515625" style="259" bestFit="1" customWidth="1"/>
    <col min="564" max="770" width="9.140625" style="259"/>
    <col min="771" max="771" width="29.42578125" style="259" bestFit="1" customWidth="1"/>
    <col min="772" max="772" width="11.5703125" style="259" bestFit="1" customWidth="1"/>
    <col min="773" max="773" width="9.28515625" style="259" bestFit="1" customWidth="1"/>
    <col min="774" max="774" width="11.5703125" style="259" bestFit="1" customWidth="1"/>
    <col min="775" max="775" width="9.28515625" style="259" bestFit="1" customWidth="1"/>
    <col min="776" max="776" width="11.5703125" style="259" bestFit="1" customWidth="1"/>
    <col min="777" max="777" width="9.28515625" style="259" bestFit="1" customWidth="1"/>
    <col min="778" max="778" width="11.5703125" style="259" bestFit="1" customWidth="1"/>
    <col min="779" max="779" width="9.28515625" style="259" bestFit="1" customWidth="1"/>
    <col min="780" max="780" width="11.5703125" style="259" bestFit="1" customWidth="1"/>
    <col min="781" max="781" width="9.28515625" style="259" bestFit="1" customWidth="1"/>
    <col min="782" max="782" width="11.5703125" style="259" bestFit="1" customWidth="1"/>
    <col min="783" max="783" width="9.28515625" style="259" bestFit="1" customWidth="1"/>
    <col min="784" max="784" width="11.5703125" style="259" bestFit="1" customWidth="1"/>
    <col min="785" max="785" width="9.28515625" style="259" bestFit="1" customWidth="1"/>
    <col min="786" max="786" width="11.5703125" style="259" bestFit="1" customWidth="1"/>
    <col min="787" max="787" width="9.28515625" style="259" bestFit="1" customWidth="1"/>
    <col min="788" max="788" width="11.5703125" style="259" bestFit="1" customWidth="1"/>
    <col min="789" max="789" width="9.28515625" style="259" bestFit="1" customWidth="1"/>
    <col min="790" max="790" width="11.5703125" style="259" bestFit="1" customWidth="1"/>
    <col min="791" max="791" width="9.28515625" style="259" bestFit="1" customWidth="1"/>
    <col min="792" max="792" width="11.5703125" style="259" bestFit="1" customWidth="1"/>
    <col min="793" max="793" width="9.28515625" style="259" bestFit="1" customWidth="1"/>
    <col min="794" max="794" width="11.5703125" style="259" bestFit="1" customWidth="1"/>
    <col min="795" max="795" width="9.28515625" style="259" bestFit="1" customWidth="1"/>
    <col min="796" max="796" width="11.5703125" style="259" bestFit="1" customWidth="1"/>
    <col min="797" max="797" width="9.28515625" style="259" bestFit="1" customWidth="1"/>
    <col min="798" max="798" width="11.5703125" style="259" bestFit="1" customWidth="1"/>
    <col min="799" max="799" width="9.28515625" style="259" bestFit="1" customWidth="1"/>
    <col min="800" max="800" width="11.5703125" style="259" bestFit="1" customWidth="1"/>
    <col min="801" max="801" width="9.28515625" style="259" bestFit="1" customWidth="1"/>
    <col min="802" max="802" width="11.5703125" style="259" bestFit="1" customWidth="1"/>
    <col min="803" max="803" width="9.28515625" style="259" bestFit="1" customWidth="1"/>
    <col min="804" max="804" width="11.5703125" style="259" bestFit="1" customWidth="1"/>
    <col min="805" max="805" width="9.28515625" style="259" bestFit="1" customWidth="1"/>
    <col min="806" max="806" width="11.5703125" style="259" bestFit="1" customWidth="1"/>
    <col min="807" max="807" width="9.28515625" style="259" bestFit="1" customWidth="1"/>
    <col min="808" max="808" width="11.5703125" style="259" bestFit="1" customWidth="1"/>
    <col min="809" max="809" width="9.28515625" style="259" bestFit="1" customWidth="1"/>
    <col min="810" max="810" width="11.5703125" style="259" bestFit="1" customWidth="1"/>
    <col min="811" max="811" width="9.28515625" style="259" bestFit="1" customWidth="1"/>
    <col min="812" max="812" width="11.5703125" style="259" bestFit="1" customWidth="1"/>
    <col min="813" max="813" width="9.28515625" style="259" bestFit="1" customWidth="1"/>
    <col min="814" max="814" width="11.5703125" style="259" bestFit="1" customWidth="1"/>
    <col min="815" max="815" width="9.28515625" style="259" bestFit="1" customWidth="1"/>
    <col min="816" max="816" width="11.5703125" style="259" bestFit="1" customWidth="1"/>
    <col min="817" max="817" width="9.28515625" style="259" bestFit="1" customWidth="1"/>
    <col min="818" max="818" width="11.5703125" style="259" bestFit="1" customWidth="1"/>
    <col min="819" max="819" width="9.28515625" style="259" bestFit="1" customWidth="1"/>
    <col min="820" max="1026" width="9.140625" style="259"/>
    <col min="1027" max="1027" width="29.42578125" style="259" bestFit="1" customWidth="1"/>
    <col min="1028" max="1028" width="11.5703125" style="259" bestFit="1" customWidth="1"/>
    <col min="1029" max="1029" width="9.28515625" style="259" bestFit="1" customWidth="1"/>
    <col min="1030" max="1030" width="11.5703125" style="259" bestFit="1" customWidth="1"/>
    <col min="1031" max="1031" width="9.28515625" style="259" bestFit="1" customWidth="1"/>
    <col min="1032" max="1032" width="11.5703125" style="259" bestFit="1" customWidth="1"/>
    <col min="1033" max="1033" width="9.28515625" style="259" bestFit="1" customWidth="1"/>
    <col min="1034" max="1034" width="11.5703125" style="259" bestFit="1" customWidth="1"/>
    <col min="1035" max="1035" width="9.28515625" style="259" bestFit="1" customWidth="1"/>
    <col min="1036" max="1036" width="11.5703125" style="259" bestFit="1" customWidth="1"/>
    <col min="1037" max="1037" width="9.28515625" style="259" bestFit="1" customWidth="1"/>
    <col min="1038" max="1038" width="11.5703125" style="259" bestFit="1" customWidth="1"/>
    <col min="1039" max="1039" width="9.28515625" style="259" bestFit="1" customWidth="1"/>
    <col min="1040" max="1040" width="11.5703125" style="259" bestFit="1" customWidth="1"/>
    <col min="1041" max="1041" width="9.28515625" style="259" bestFit="1" customWidth="1"/>
    <col min="1042" max="1042" width="11.5703125" style="259" bestFit="1" customWidth="1"/>
    <col min="1043" max="1043" width="9.28515625" style="259" bestFit="1" customWidth="1"/>
    <col min="1044" max="1044" width="11.5703125" style="259" bestFit="1" customWidth="1"/>
    <col min="1045" max="1045" width="9.28515625" style="259" bestFit="1" customWidth="1"/>
    <col min="1046" max="1046" width="11.5703125" style="259" bestFit="1" customWidth="1"/>
    <col min="1047" max="1047" width="9.28515625" style="259" bestFit="1" customWidth="1"/>
    <col min="1048" max="1048" width="11.5703125" style="259" bestFit="1" customWidth="1"/>
    <col min="1049" max="1049" width="9.28515625" style="259" bestFit="1" customWidth="1"/>
    <col min="1050" max="1050" width="11.5703125" style="259" bestFit="1" customWidth="1"/>
    <col min="1051" max="1051" width="9.28515625" style="259" bestFit="1" customWidth="1"/>
    <col min="1052" max="1052" width="11.5703125" style="259" bestFit="1" customWidth="1"/>
    <col min="1053" max="1053" width="9.28515625" style="259" bestFit="1" customWidth="1"/>
    <col min="1054" max="1054" width="11.5703125" style="259" bestFit="1" customWidth="1"/>
    <col min="1055" max="1055" width="9.28515625" style="259" bestFit="1" customWidth="1"/>
    <col min="1056" max="1056" width="11.5703125" style="259" bestFit="1" customWidth="1"/>
    <col min="1057" max="1057" width="9.28515625" style="259" bestFit="1" customWidth="1"/>
    <col min="1058" max="1058" width="11.5703125" style="259" bestFit="1" customWidth="1"/>
    <col min="1059" max="1059" width="9.28515625" style="259" bestFit="1" customWidth="1"/>
    <col min="1060" max="1060" width="11.5703125" style="259" bestFit="1" customWidth="1"/>
    <col min="1061" max="1061" width="9.28515625" style="259" bestFit="1" customWidth="1"/>
    <col min="1062" max="1062" width="11.5703125" style="259" bestFit="1" customWidth="1"/>
    <col min="1063" max="1063" width="9.28515625" style="259" bestFit="1" customWidth="1"/>
    <col min="1064" max="1064" width="11.5703125" style="259" bestFit="1" customWidth="1"/>
    <col min="1065" max="1065" width="9.28515625" style="259" bestFit="1" customWidth="1"/>
    <col min="1066" max="1066" width="11.5703125" style="259" bestFit="1" customWidth="1"/>
    <col min="1067" max="1067" width="9.28515625" style="259" bestFit="1" customWidth="1"/>
    <col min="1068" max="1068" width="11.5703125" style="259" bestFit="1" customWidth="1"/>
    <col min="1069" max="1069" width="9.28515625" style="259" bestFit="1" customWidth="1"/>
    <col min="1070" max="1070" width="11.5703125" style="259" bestFit="1" customWidth="1"/>
    <col min="1071" max="1071" width="9.28515625" style="259" bestFit="1" customWidth="1"/>
    <col min="1072" max="1072" width="11.5703125" style="259" bestFit="1" customWidth="1"/>
    <col min="1073" max="1073" width="9.28515625" style="259" bestFit="1" customWidth="1"/>
    <col min="1074" max="1074" width="11.5703125" style="259" bestFit="1" customWidth="1"/>
    <col min="1075" max="1075" width="9.28515625" style="259" bestFit="1" customWidth="1"/>
    <col min="1076" max="1282" width="9.140625" style="259"/>
    <col min="1283" max="1283" width="29.42578125" style="259" bestFit="1" customWidth="1"/>
    <col min="1284" max="1284" width="11.5703125" style="259" bestFit="1" customWidth="1"/>
    <col min="1285" max="1285" width="9.28515625" style="259" bestFit="1" customWidth="1"/>
    <col min="1286" max="1286" width="11.5703125" style="259" bestFit="1" customWidth="1"/>
    <col min="1287" max="1287" width="9.28515625" style="259" bestFit="1" customWidth="1"/>
    <col min="1288" max="1288" width="11.5703125" style="259" bestFit="1" customWidth="1"/>
    <col min="1289" max="1289" width="9.28515625" style="259" bestFit="1" customWidth="1"/>
    <col min="1290" max="1290" width="11.5703125" style="259" bestFit="1" customWidth="1"/>
    <col min="1291" max="1291" width="9.28515625" style="259" bestFit="1" customWidth="1"/>
    <col min="1292" max="1292" width="11.5703125" style="259" bestFit="1" customWidth="1"/>
    <col min="1293" max="1293" width="9.28515625" style="259" bestFit="1" customWidth="1"/>
    <col min="1294" max="1294" width="11.5703125" style="259" bestFit="1" customWidth="1"/>
    <col min="1295" max="1295" width="9.28515625" style="259" bestFit="1" customWidth="1"/>
    <col min="1296" max="1296" width="11.5703125" style="259" bestFit="1" customWidth="1"/>
    <col min="1297" max="1297" width="9.28515625" style="259" bestFit="1" customWidth="1"/>
    <col min="1298" max="1298" width="11.5703125" style="259" bestFit="1" customWidth="1"/>
    <col min="1299" max="1299" width="9.28515625" style="259" bestFit="1" customWidth="1"/>
    <col min="1300" max="1300" width="11.5703125" style="259" bestFit="1" customWidth="1"/>
    <col min="1301" max="1301" width="9.28515625" style="259" bestFit="1" customWidth="1"/>
    <col min="1302" max="1302" width="11.5703125" style="259" bestFit="1" customWidth="1"/>
    <col min="1303" max="1303" width="9.28515625" style="259" bestFit="1" customWidth="1"/>
    <col min="1304" max="1304" width="11.5703125" style="259" bestFit="1" customWidth="1"/>
    <col min="1305" max="1305" width="9.28515625" style="259" bestFit="1" customWidth="1"/>
    <col min="1306" max="1306" width="11.5703125" style="259" bestFit="1" customWidth="1"/>
    <col min="1307" max="1307" width="9.28515625" style="259" bestFit="1" customWidth="1"/>
    <col min="1308" max="1308" width="11.5703125" style="259" bestFit="1" customWidth="1"/>
    <col min="1309" max="1309" width="9.28515625" style="259" bestFit="1" customWidth="1"/>
    <col min="1310" max="1310" width="11.5703125" style="259" bestFit="1" customWidth="1"/>
    <col min="1311" max="1311" width="9.28515625" style="259" bestFit="1" customWidth="1"/>
    <col min="1312" max="1312" width="11.5703125" style="259" bestFit="1" customWidth="1"/>
    <col min="1313" max="1313" width="9.28515625" style="259" bestFit="1" customWidth="1"/>
    <col min="1314" max="1314" width="11.5703125" style="259" bestFit="1" customWidth="1"/>
    <col min="1315" max="1315" width="9.28515625" style="259" bestFit="1" customWidth="1"/>
    <col min="1316" max="1316" width="11.5703125" style="259" bestFit="1" customWidth="1"/>
    <col min="1317" max="1317" width="9.28515625" style="259" bestFit="1" customWidth="1"/>
    <col min="1318" max="1318" width="11.5703125" style="259" bestFit="1" customWidth="1"/>
    <col min="1319" max="1319" width="9.28515625" style="259" bestFit="1" customWidth="1"/>
    <col min="1320" max="1320" width="11.5703125" style="259" bestFit="1" customWidth="1"/>
    <col min="1321" max="1321" width="9.28515625" style="259" bestFit="1" customWidth="1"/>
    <col min="1322" max="1322" width="11.5703125" style="259" bestFit="1" customWidth="1"/>
    <col min="1323" max="1323" width="9.28515625" style="259" bestFit="1" customWidth="1"/>
    <col min="1324" max="1324" width="11.5703125" style="259" bestFit="1" customWidth="1"/>
    <col min="1325" max="1325" width="9.28515625" style="259" bestFit="1" customWidth="1"/>
    <col min="1326" max="1326" width="11.5703125" style="259" bestFit="1" customWidth="1"/>
    <col min="1327" max="1327" width="9.28515625" style="259" bestFit="1" customWidth="1"/>
    <col min="1328" max="1328" width="11.5703125" style="259" bestFit="1" customWidth="1"/>
    <col min="1329" max="1329" width="9.28515625" style="259" bestFit="1" customWidth="1"/>
    <col min="1330" max="1330" width="11.5703125" style="259" bestFit="1" customWidth="1"/>
    <col min="1331" max="1331" width="9.28515625" style="259" bestFit="1" customWidth="1"/>
    <col min="1332" max="1538" width="9.140625" style="259"/>
    <col min="1539" max="1539" width="29.42578125" style="259" bestFit="1" customWidth="1"/>
    <col min="1540" max="1540" width="11.5703125" style="259" bestFit="1" customWidth="1"/>
    <col min="1541" max="1541" width="9.28515625" style="259" bestFit="1" customWidth="1"/>
    <col min="1542" max="1542" width="11.5703125" style="259" bestFit="1" customWidth="1"/>
    <col min="1543" max="1543" width="9.28515625" style="259" bestFit="1" customWidth="1"/>
    <col min="1544" max="1544" width="11.5703125" style="259" bestFit="1" customWidth="1"/>
    <col min="1545" max="1545" width="9.28515625" style="259" bestFit="1" customWidth="1"/>
    <col min="1546" max="1546" width="11.5703125" style="259" bestFit="1" customWidth="1"/>
    <col min="1547" max="1547" width="9.28515625" style="259" bestFit="1" customWidth="1"/>
    <col min="1548" max="1548" width="11.5703125" style="259" bestFit="1" customWidth="1"/>
    <col min="1549" max="1549" width="9.28515625" style="259" bestFit="1" customWidth="1"/>
    <col min="1550" max="1550" width="11.5703125" style="259" bestFit="1" customWidth="1"/>
    <col min="1551" max="1551" width="9.28515625" style="259" bestFit="1" customWidth="1"/>
    <col min="1552" max="1552" width="11.5703125" style="259" bestFit="1" customWidth="1"/>
    <col min="1553" max="1553" width="9.28515625" style="259" bestFit="1" customWidth="1"/>
    <col min="1554" max="1554" width="11.5703125" style="259" bestFit="1" customWidth="1"/>
    <col min="1555" max="1555" width="9.28515625" style="259" bestFit="1" customWidth="1"/>
    <col min="1556" max="1556" width="11.5703125" style="259" bestFit="1" customWidth="1"/>
    <col min="1557" max="1557" width="9.28515625" style="259" bestFit="1" customWidth="1"/>
    <col min="1558" max="1558" width="11.5703125" style="259" bestFit="1" customWidth="1"/>
    <col min="1559" max="1559" width="9.28515625" style="259" bestFit="1" customWidth="1"/>
    <col min="1560" max="1560" width="11.5703125" style="259" bestFit="1" customWidth="1"/>
    <col min="1561" max="1561" width="9.28515625" style="259" bestFit="1" customWidth="1"/>
    <col min="1562" max="1562" width="11.5703125" style="259" bestFit="1" customWidth="1"/>
    <col min="1563" max="1563" width="9.28515625" style="259" bestFit="1" customWidth="1"/>
    <col min="1564" max="1564" width="11.5703125" style="259" bestFit="1" customWidth="1"/>
    <col min="1565" max="1565" width="9.28515625" style="259" bestFit="1" customWidth="1"/>
    <col min="1566" max="1566" width="11.5703125" style="259" bestFit="1" customWidth="1"/>
    <col min="1567" max="1567" width="9.28515625" style="259" bestFit="1" customWidth="1"/>
    <col min="1568" max="1568" width="11.5703125" style="259" bestFit="1" customWidth="1"/>
    <col min="1569" max="1569" width="9.28515625" style="259" bestFit="1" customWidth="1"/>
    <col min="1570" max="1570" width="11.5703125" style="259" bestFit="1" customWidth="1"/>
    <col min="1571" max="1571" width="9.28515625" style="259" bestFit="1" customWidth="1"/>
    <col min="1572" max="1572" width="11.5703125" style="259" bestFit="1" customWidth="1"/>
    <col min="1573" max="1573" width="9.28515625" style="259" bestFit="1" customWidth="1"/>
    <col min="1574" max="1574" width="11.5703125" style="259" bestFit="1" customWidth="1"/>
    <col min="1575" max="1575" width="9.28515625" style="259" bestFit="1" customWidth="1"/>
    <col min="1576" max="1576" width="11.5703125" style="259" bestFit="1" customWidth="1"/>
    <col min="1577" max="1577" width="9.28515625" style="259" bestFit="1" customWidth="1"/>
    <col min="1578" max="1578" width="11.5703125" style="259" bestFit="1" customWidth="1"/>
    <col min="1579" max="1579" width="9.28515625" style="259" bestFit="1" customWidth="1"/>
    <col min="1580" max="1580" width="11.5703125" style="259" bestFit="1" customWidth="1"/>
    <col min="1581" max="1581" width="9.28515625" style="259" bestFit="1" customWidth="1"/>
    <col min="1582" max="1582" width="11.5703125" style="259" bestFit="1" customWidth="1"/>
    <col min="1583" max="1583" width="9.28515625" style="259" bestFit="1" customWidth="1"/>
    <col min="1584" max="1584" width="11.5703125" style="259" bestFit="1" customWidth="1"/>
    <col min="1585" max="1585" width="9.28515625" style="259" bestFit="1" customWidth="1"/>
    <col min="1586" max="1586" width="11.5703125" style="259" bestFit="1" customWidth="1"/>
    <col min="1587" max="1587" width="9.28515625" style="259" bestFit="1" customWidth="1"/>
    <col min="1588" max="1794" width="9.140625" style="259"/>
    <col min="1795" max="1795" width="29.42578125" style="259" bestFit="1" customWidth="1"/>
    <col min="1796" max="1796" width="11.5703125" style="259" bestFit="1" customWidth="1"/>
    <col min="1797" max="1797" width="9.28515625" style="259" bestFit="1" customWidth="1"/>
    <col min="1798" max="1798" width="11.5703125" style="259" bestFit="1" customWidth="1"/>
    <col min="1799" max="1799" width="9.28515625" style="259" bestFit="1" customWidth="1"/>
    <col min="1800" max="1800" width="11.5703125" style="259" bestFit="1" customWidth="1"/>
    <col min="1801" max="1801" width="9.28515625" style="259" bestFit="1" customWidth="1"/>
    <col min="1802" max="1802" width="11.5703125" style="259" bestFit="1" customWidth="1"/>
    <col min="1803" max="1803" width="9.28515625" style="259" bestFit="1" customWidth="1"/>
    <col min="1804" max="1804" width="11.5703125" style="259" bestFit="1" customWidth="1"/>
    <col min="1805" max="1805" width="9.28515625" style="259" bestFit="1" customWidth="1"/>
    <col min="1806" max="1806" width="11.5703125" style="259" bestFit="1" customWidth="1"/>
    <col min="1807" max="1807" width="9.28515625" style="259" bestFit="1" customWidth="1"/>
    <col min="1808" max="1808" width="11.5703125" style="259" bestFit="1" customWidth="1"/>
    <col min="1809" max="1809" width="9.28515625" style="259" bestFit="1" customWidth="1"/>
    <col min="1810" max="1810" width="11.5703125" style="259" bestFit="1" customWidth="1"/>
    <col min="1811" max="1811" width="9.28515625" style="259" bestFit="1" customWidth="1"/>
    <col min="1812" max="1812" width="11.5703125" style="259" bestFit="1" customWidth="1"/>
    <col min="1813" max="1813" width="9.28515625" style="259" bestFit="1" customWidth="1"/>
    <col min="1814" max="1814" width="11.5703125" style="259" bestFit="1" customWidth="1"/>
    <col min="1815" max="1815" width="9.28515625" style="259" bestFit="1" customWidth="1"/>
    <col min="1816" max="1816" width="11.5703125" style="259" bestFit="1" customWidth="1"/>
    <col min="1817" max="1817" width="9.28515625" style="259" bestFit="1" customWidth="1"/>
    <col min="1818" max="1818" width="11.5703125" style="259" bestFit="1" customWidth="1"/>
    <col min="1819" max="1819" width="9.28515625" style="259" bestFit="1" customWidth="1"/>
    <col min="1820" max="1820" width="11.5703125" style="259" bestFit="1" customWidth="1"/>
    <col min="1821" max="1821" width="9.28515625" style="259" bestFit="1" customWidth="1"/>
    <col min="1822" max="1822" width="11.5703125" style="259" bestFit="1" customWidth="1"/>
    <col min="1823" max="1823" width="9.28515625" style="259" bestFit="1" customWidth="1"/>
    <col min="1824" max="1824" width="11.5703125" style="259" bestFit="1" customWidth="1"/>
    <col min="1825" max="1825" width="9.28515625" style="259" bestFit="1" customWidth="1"/>
    <col min="1826" max="1826" width="11.5703125" style="259" bestFit="1" customWidth="1"/>
    <col min="1827" max="1827" width="9.28515625" style="259" bestFit="1" customWidth="1"/>
    <col min="1828" max="1828" width="11.5703125" style="259" bestFit="1" customWidth="1"/>
    <col min="1829" max="1829" width="9.28515625" style="259" bestFit="1" customWidth="1"/>
    <col min="1830" max="1830" width="11.5703125" style="259" bestFit="1" customWidth="1"/>
    <col min="1831" max="1831" width="9.28515625" style="259" bestFit="1" customWidth="1"/>
    <col min="1832" max="1832" width="11.5703125" style="259" bestFit="1" customWidth="1"/>
    <col min="1833" max="1833" width="9.28515625" style="259" bestFit="1" customWidth="1"/>
    <col min="1834" max="1834" width="11.5703125" style="259" bestFit="1" customWidth="1"/>
    <col min="1835" max="1835" width="9.28515625" style="259" bestFit="1" customWidth="1"/>
    <col min="1836" max="1836" width="11.5703125" style="259" bestFit="1" customWidth="1"/>
    <col min="1837" max="1837" width="9.28515625" style="259" bestFit="1" customWidth="1"/>
    <col min="1838" max="1838" width="11.5703125" style="259" bestFit="1" customWidth="1"/>
    <col min="1839" max="1839" width="9.28515625" style="259" bestFit="1" customWidth="1"/>
    <col min="1840" max="1840" width="11.5703125" style="259" bestFit="1" customWidth="1"/>
    <col min="1841" max="1841" width="9.28515625" style="259" bestFit="1" customWidth="1"/>
    <col min="1842" max="1842" width="11.5703125" style="259" bestFit="1" customWidth="1"/>
    <col min="1843" max="1843" width="9.28515625" style="259" bestFit="1" customWidth="1"/>
    <col min="1844" max="2050" width="9.140625" style="259"/>
    <col min="2051" max="2051" width="29.42578125" style="259" bestFit="1" customWidth="1"/>
    <col min="2052" max="2052" width="11.5703125" style="259" bestFit="1" customWidth="1"/>
    <col min="2053" max="2053" width="9.28515625" style="259" bestFit="1" customWidth="1"/>
    <col min="2054" max="2054" width="11.5703125" style="259" bestFit="1" customWidth="1"/>
    <col min="2055" max="2055" width="9.28515625" style="259" bestFit="1" customWidth="1"/>
    <col min="2056" max="2056" width="11.5703125" style="259" bestFit="1" customWidth="1"/>
    <col min="2057" max="2057" width="9.28515625" style="259" bestFit="1" customWidth="1"/>
    <col min="2058" max="2058" width="11.5703125" style="259" bestFit="1" customWidth="1"/>
    <col min="2059" max="2059" width="9.28515625" style="259" bestFit="1" customWidth="1"/>
    <col min="2060" max="2060" width="11.5703125" style="259" bestFit="1" customWidth="1"/>
    <col min="2061" max="2061" width="9.28515625" style="259" bestFit="1" customWidth="1"/>
    <col min="2062" max="2062" width="11.5703125" style="259" bestFit="1" customWidth="1"/>
    <col min="2063" max="2063" width="9.28515625" style="259" bestFit="1" customWidth="1"/>
    <col min="2064" max="2064" width="11.5703125" style="259" bestFit="1" customWidth="1"/>
    <col min="2065" max="2065" width="9.28515625" style="259" bestFit="1" customWidth="1"/>
    <col min="2066" max="2066" width="11.5703125" style="259" bestFit="1" customWidth="1"/>
    <col min="2067" max="2067" width="9.28515625" style="259" bestFit="1" customWidth="1"/>
    <col min="2068" max="2068" width="11.5703125" style="259" bestFit="1" customWidth="1"/>
    <col min="2069" max="2069" width="9.28515625" style="259" bestFit="1" customWidth="1"/>
    <col min="2070" max="2070" width="11.5703125" style="259" bestFit="1" customWidth="1"/>
    <col min="2071" max="2071" width="9.28515625" style="259" bestFit="1" customWidth="1"/>
    <col min="2072" max="2072" width="11.5703125" style="259" bestFit="1" customWidth="1"/>
    <col min="2073" max="2073" width="9.28515625" style="259" bestFit="1" customWidth="1"/>
    <col min="2074" max="2074" width="11.5703125" style="259" bestFit="1" customWidth="1"/>
    <col min="2075" max="2075" width="9.28515625" style="259" bestFit="1" customWidth="1"/>
    <col min="2076" max="2076" width="11.5703125" style="259" bestFit="1" customWidth="1"/>
    <col min="2077" max="2077" width="9.28515625" style="259" bestFit="1" customWidth="1"/>
    <col min="2078" max="2078" width="11.5703125" style="259" bestFit="1" customWidth="1"/>
    <col min="2079" max="2079" width="9.28515625" style="259" bestFit="1" customWidth="1"/>
    <col min="2080" max="2080" width="11.5703125" style="259" bestFit="1" customWidth="1"/>
    <col min="2081" max="2081" width="9.28515625" style="259" bestFit="1" customWidth="1"/>
    <col min="2082" max="2082" width="11.5703125" style="259" bestFit="1" customWidth="1"/>
    <col min="2083" max="2083" width="9.28515625" style="259" bestFit="1" customWidth="1"/>
    <col min="2084" max="2084" width="11.5703125" style="259" bestFit="1" customWidth="1"/>
    <col min="2085" max="2085" width="9.28515625" style="259" bestFit="1" customWidth="1"/>
    <col min="2086" max="2086" width="11.5703125" style="259" bestFit="1" customWidth="1"/>
    <col min="2087" max="2087" width="9.28515625" style="259" bestFit="1" customWidth="1"/>
    <col min="2088" max="2088" width="11.5703125" style="259" bestFit="1" customWidth="1"/>
    <col min="2089" max="2089" width="9.28515625" style="259" bestFit="1" customWidth="1"/>
    <col min="2090" max="2090" width="11.5703125" style="259" bestFit="1" customWidth="1"/>
    <col min="2091" max="2091" width="9.28515625" style="259" bestFit="1" customWidth="1"/>
    <col min="2092" max="2092" width="11.5703125" style="259" bestFit="1" customWidth="1"/>
    <col min="2093" max="2093" width="9.28515625" style="259" bestFit="1" customWidth="1"/>
    <col min="2094" max="2094" width="11.5703125" style="259" bestFit="1" customWidth="1"/>
    <col min="2095" max="2095" width="9.28515625" style="259" bestFit="1" customWidth="1"/>
    <col min="2096" max="2096" width="11.5703125" style="259" bestFit="1" customWidth="1"/>
    <col min="2097" max="2097" width="9.28515625" style="259" bestFit="1" customWidth="1"/>
    <col min="2098" max="2098" width="11.5703125" style="259" bestFit="1" customWidth="1"/>
    <col min="2099" max="2099" width="9.28515625" style="259" bestFit="1" customWidth="1"/>
    <col min="2100" max="2306" width="9.140625" style="259"/>
    <col min="2307" max="2307" width="29.42578125" style="259" bestFit="1" customWidth="1"/>
    <col min="2308" max="2308" width="11.5703125" style="259" bestFit="1" customWidth="1"/>
    <col min="2309" max="2309" width="9.28515625" style="259" bestFit="1" customWidth="1"/>
    <col min="2310" max="2310" width="11.5703125" style="259" bestFit="1" customWidth="1"/>
    <col min="2311" max="2311" width="9.28515625" style="259" bestFit="1" customWidth="1"/>
    <col min="2312" max="2312" width="11.5703125" style="259" bestFit="1" customWidth="1"/>
    <col min="2313" max="2313" width="9.28515625" style="259" bestFit="1" customWidth="1"/>
    <col min="2314" max="2314" width="11.5703125" style="259" bestFit="1" customWidth="1"/>
    <col min="2315" max="2315" width="9.28515625" style="259" bestFit="1" customWidth="1"/>
    <col min="2316" max="2316" width="11.5703125" style="259" bestFit="1" customWidth="1"/>
    <col min="2317" max="2317" width="9.28515625" style="259" bestFit="1" customWidth="1"/>
    <col min="2318" max="2318" width="11.5703125" style="259" bestFit="1" customWidth="1"/>
    <col min="2319" max="2319" width="9.28515625" style="259" bestFit="1" customWidth="1"/>
    <col min="2320" max="2320" width="11.5703125" style="259" bestFit="1" customWidth="1"/>
    <col min="2321" max="2321" width="9.28515625" style="259" bestFit="1" customWidth="1"/>
    <col min="2322" max="2322" width="11.5703125" style="259" bestFit="1" customWidth="1"/>
    <col min="2323" max="2323" width="9.28515625" style="259" bestFit="1" customWidth="1"/>
    <col min="2324" max="2324" width="11.5703125" style="259" bestFit="1" customWidth="1"/>
    <col min="2325" max="2325" width="9.28515625" style="259" bestFit="1" customWidth="1"/>
    <col min="2326" max="2326" width="11.5703125" style="259" bestFit="1" customWidth="1"/>
    <col min="2327" max="2327" width="9.28515625" style="259" bestFit="1" customWidth="1"/>
    <col min="2328" max="2328" width="11.5703125" style="259" bestFit="1" customWidth="1"/>
    <col min="2329" max="2329" width="9.28515625" style="259" bestFit="1" customWidth="1"/>
    <col min="2330" max="2330" width="11.5703125" style="259" bestFit="1" customWidth="1"/>
    <col min="2331" max="2331" width="9.28515625" style="259" bestFit="1" customWidth="1"/>
    <col min="2332" max="2332" width="11.5703125" style="259" bestFit="1" customWidth="1"/>
    <col min="2333" max="2333" width="9.28515625" style="259" bestFit="1" customWidth="1"/>
    <col min="2334" max="2334" width="11.5703125" style="259" bestFit="1" customWidth="1"/>
    <col min="2335" max="2335" width="9.28515625" style="259" bestFit="1" customWidth="1"/>
    <col min="2336" max="2336" width="11.5703125" style="259" bestFit="1" customWidth="1"/>
    <col min="2337" max="2337" width="9.28515625" style="259" bestFit="1" customWidth="1"/>
    <col min="2338" max="2338" width="11.5703125" style="259" bestFit="1" customWidth="1"/>
    <col min="2339" max="2339" width="9.28515625" style="259" bestFit="1" customWidth="1"/>
    <col min="2340" max="2340" width="11.5703125" style="259" bestFit="1" customWidth="1"/>
    <col min="2341" max="2341" width="9.28515625" style="259" bestFit="1" customWidth="1"/>
    <col min="2342" max="2342" width="11.5703125" style="259" bestFit="1" customWidth="1"/>
    <col min="2343" max="2343" width="9.28515625" style="259" bestFit="1" customWidth="1"/>
    <col min="2344" max="2344" width="11.5703125" style="259" bestFit="1" customWidth="1"/>
    <col min="2345" max="2345" width="9.28515625" style="259" bestFit="1" customWidth="1"/>
    <col min="2346" max="2346" width="11.5703125" style="259" bestFit="1" customWidth="1"/>
    <col min="2347" max="2347" width="9.28515625" style="259" bestFit="1" customWidth="1"/>
    <col min="2348" max="2348" width="11.5703125" style="259" bestFit="1" customWidth="1"/>
    <col min="2349" max="2349" width="9.28515625" style="259" bestFit="1" customWidth="1"/>
    <col min="2350" max="2350" width="11.5703125" style="259" bestFit="1" customWidth="1"/>
    <col min="2351" max="2351" width="9.28515625" style="259" bestFit="1" customWidth="1"/>
    <col min="2352" max="2352" width="11.5703125" style="259" bestFit="1" customWidth="1"/>
    <col min="2353" max="2353" width="9.28515625" style="259" bestFit="1" customWidth="1"/>
    <col min="2354" max="2354" width="11.5703125" style="259" bestFit="1" customWidth="1"/>
    <col min="2355" max="2355" width="9.28515625" style="259" bestFit="1" customWidth="1"/>
    <col min="2356" max="2562" width="9.140625" style="259"/>
    <col min="2563" max="2563" width="29.42578125" style="259" bestFit="1" customWidth="1"/>
    <col min="2564" max="2564" width="11.5703125" style="259" bestFit="1" customWidth="1"/>
    <col min="2565" max="2565" width="9.28515625" style="259" bestFit="1" customWidth="1"/>
    <col min="2566" max="2566" width="11.5703125" style="259" bestFit="1" customWidth="1"/>
    <col min="2567" max="2567" width="9.28515625" style="259" bestFit="1" customWidth="1"/>
    <col min="2568" max="2568" width="11.5703125" style="259" bestFit="1" customWidth="1"/>
    <col min="2569" max="2569" width="9.28515625" style="259" bestFit="1" customWidth="1"/>
    <col min="2570" max="2570" width="11.5703125" style="259" bestFit="1" customWidth="1"/>
    <col min="2571" max="2571" width="9.28515625" style="259" bestFit="1" customWidth="1"/>
    <col min="2572" max="2572" width="11.5703125" style="259" bestFit="1" customWidth="1"/>
    <col min="2573" max="2573" width="9.28515625" style="259" bestFit="1" customWidth="1"/>
    <col min="2574" max="2574" width="11.5703125" style="259" bestFit="1" customWidth="1"/>
    <col min="2575" max="2575" width="9.28515625" style="259" bestFit="1" customWidth="1"/>
    <col min="2576" max="2576" width="11.5703125" style="259" bestFit="1" customWidth="1"/>
    <col min="2577" max="2577" width="9.28515625" style="259" bestFit="1" customWidth="1"/>
    <col min="2578" max="2578" width="11.5703125" style="259" bestFit="1" customWidth="1"/>
    <col min="2579" max="2579" width="9.28515625" style="259" bestFit="1" customWidth="1"/>
    <col min="2580" max="2580" width="11.5703125" style="259" bestFit="1" customWidth="1"/>
    <col min="2581" max="2581" width="9.28515625" style="259" bestFit="1" customWidth="1"/>
    <col min="2582" max="2582" width="11.5703125" style="259" bestFit="1" customWidth="1"/>
    <col min="2583" max="2583" width="9.28515625" style="259" bestFit="1" customWidth="1"/>
    <col min="2584" max="2584" width="11.5703125" style="259" bestFit="1" customWidth="1"/>
    <col min="2585" max="2585" width="9.28515625" style="259" bestFit="1" customWidth="1"/>
    <col min="2586" max="2586" width="11.5703125" style="259" bestFit="1" customWidth="1"/>
    <col min="2587" max="2587" width="9.28515625" style="259" bestFit="1" customWidth="1"/>
    <col min="2588" max="2588" width="11.5703125" style="259" bestFit="1" customWidth="1"/>
    <col min="2589" max="2589" width="9.28515625" style="259" bestFit="1" customWidth="1"/>
    <col min="2590" max="2590" width="11.5703125" style="259" bestFit="1" customWidth="1"/>
    <col min="2591" max="2591" width="9.28515625" style="259" bestFit="1" customWidth="1"/>
    <col min="2592" max="2592" width="11.5703125" style="259" bestFit="1" customWidth="1"/>
    <col min="2593" max="2593" width="9.28515625" style="259" bestFit="1" customWidth="1"/>
    <col min="2594" max="2594" width="11.5703125" style="259" bestFit="1" customWidth="1"/>
    <col min="2595" max="2595" width="9.28515625" style="259" bestFit="1" customWidth="1"/>
    <col min="2596" max="2596" width="11.5703125" style="259" bestFit="1" customWidth="1"/>
    <col min="2597" max="2597" width="9.28515625" style="259" bestFit="1" customWidth="1"/>
    <col min="2598" max="2598" width="11.5703125" style="259" bestFit="1" customWidth="1"/>
    <col min="2599" max="2599" width="9.28515625" style="259" bestFit="1" customWidth="1"/>
    <col min="2600" max="2600" width="11.5703125" style="259" bestFit="1" customWidth="1"/>
    <col min="2601" max="2601" width="9.28515625" style="259" bestFit="1" customWidth="1"/>
    <col min="2602" max="2602" width="11.5703125" style="259" bestFit="1" customWidth="1"/>
    <col min="2603" max="2603" width="9.28515625" style="259" bestFit="1" customWidth="1"/>
    <col min="2604" max="2604" width="11.5703125" style="259" bestFit="1" customWidth="1"/>
    <col min="2605" max="2605" width="9.28515625" style="259" bestFit="1" customWidth="1"/>
    <col min="2606" max="2606" width="11.5703125" style="259" bestFit="1" customWidth="1"/>
    <col min="2607" max="2607" width="9.28515625" style="259" bestFit="1" customWidth="1"/>
    <col min="2608" max="2608" width="11.5703125" style="259" bestFit="1" customWidth="1"/>
    <col min="2609" max="2609" width="9.28515625" style="259" bestFit="1" customWidth="1"/>
    <col min="2610" max="2610" width="11.5703125" style="259" bestFit="1" customWidth="1"/>
    <col min="2611" max="2611" width="9.28515625" style="259" bestFit="1" customWidth="1"/>
    <col min="2612" max="2818" width="9.140625" style="259"/>
    <col min="2819" max="2819" width="29.42578125" style="259" bestFit="1" customWidth="1"/>
    <col min="2820" max="2820" width="11.5703125" style="259" bestFit="1" customWidth="1"/>
    <col min="2821" max="2821" width="9.28515625" style="259" bestFit="1" customWidth="1"/>
    <col min="2822" max="2822" width="11.5703125" style="259" bestFit="1" customWidth="1"/>
    <col min="2823" max="2823" width="9.28515625" style="259" bestFit="1" customWidth="1"/>
    <col min="2824" max="2824" width="11.5703125" style="259" bestFit="1" customWidth="1"/>
    <col min="2825" max="2825" width="9.28515625" style="259" bestFit="1" customWidth="1"/>
    <col min="2826" max="2826" width="11.5703125" style="259" bestFit="1" customWidth="1"/>
    <col min="2827" max="2827" width="9.28515625" style="259" bestFit="1" customWidth="1"/>
    <col min="2828" max="2828" width="11.5703125" style="259" bestFit="1" customWidth="1"/>
    <col min="2829" max="2829" width="9.28515625" style="259" bestFit="1" customWidth="1"/>
    <col min="2830" max="2830" width="11.5703125" style="259" bestFit="1" customWidth="1"/>
    <col min="2831" max="2831" width="9.28515625" style="259" bestFit="1" customWidth="1"/>
    <col min="2832" max="2832" width="11.5703125" style="259" bestFit="1" customWidth="1"/>
    <col min="2833" max="2833" width="9.28515625" style="259" bestFit="1" customWidth="1"/>
    <col min="2834" max="2834" width="11.5703125" style="259" bestFit="1" customWidth="1"/>
    <col min="2835" max="2835" width="9.28515625" style="259" bestFit="1" customWidth="1"/>
    <col min="2836" max="2836" width="11.5703125" style="259" bestFit="1" customWidth="1"/>
    <col min="2837" max="2837" width="9.28515625" style="259" bestFit="1" customWidth="1"/>
    <col min="2838" max="2838" width="11.5703125" style="259" bestFit="1" customWidth="1"/>
    <col min="2839" max="2839" width="9.28515625" style="259" bestFit="1" customWidth="1"/>
    <col min="2840" max="2840" width="11.5703125" style="259" bestFit="1" customWidth="1"/>
    <col min="2841" max="2841" width="9.28515625" style="259" bestFit="1" customWidth="1"/>
    <col min="2842" max="2842" width="11.5703125" style="259" bestFit="1" customWidth="1"/>
    <col min="2843" max="2843" width="9.28515625" style="259" bestFit="1" customWidth="1"/>
    <col min="2844" max="2844" width="11.5703125" style="259" bestFit="1" customWidth="1"/>
    <col min="2845" max="2845" width="9.28515625" style="259" bestFit="1" customWidth="1"/>
    <col min="2846" max="2846" width="11.5703125" style="259" bestFit="1" customWidth="1"/>
    <col min="2847" max="2847" width="9.28515625" style="259" bestFit="1" customWidth="1"/>
    <col min="2848" max="2848" width="11.5703125" style="259" bestFit="1" customWidth="1"/>
    <col min="2849" max="2849" width="9.28515625" style="259" bestFit="1" customWidth="1"/>
    <col min="2850" max="2850" width="11.5703125" style="259" bestFit="1" customWidth="1"/>
    <col min="2851" max="2851" width="9.28515625" style="259" bestFit="1" customWidth="1"/>
    <col min="2852" max="2852" width="11.5703125" style="259" bestFit="1" customWidth="1"/>
    <col min="2853" max="2853" width="9.28515625" style="259" bestFit="1" customWidth="1"/>
    <col min="2854" max="2854" width="11.5703125" style="259" bestFit="1" customWidth="1"/>
    <col min="2855" max="2855" width="9.28515625" style="259" bestFit="1" customWidth="1"/>
    <col min="2856" max="2856" width="11.5703125" style="259" bestFit="1" customWidth="1"/>
    <col min="2857" max="2857" width="9.28515625" style="259" bestFit="1" customWidth="1"/>
    <col min="2858" max="2858" width="11.5703125" style="259" bestFit="1" customWidth="1"/>
    <col min="2859" max="2859" width="9.28515625" style="259" bestFit="1" customWidth="1"/>
    <col min="2860" max="2860" width="11.5703125" style="259" bestFit="1" customWidth="1"/>
    <col min="2861" max="2861" width="9.28515625" style="259" bestFit="1" customWidth="1"/>
    <col min="2862" max="2862" width="11.5703125" style="259" bestFit="1" customWidth="1"/>
    <col min="2863" max="2863" width="9.28515625" style="259" bestFit="1" customWidth="1"/>
    <col min="2864" max="2864" width="11.5703125" style="259" bestFit="1" customWidth="1"/>
    <col min="2865" max="2865" width="9.28515625" style="259" bestFit="1" customWidth="1"/>
    <col min="2866" max="2866" width="11.5703125" style="259" bestFit="1" customWidth="1"/>
    <col min="2867" max="2867" width="9.28515625" style="259" bestFit="1" customWidth="1"/>
    <col min="2868" max="3074" width="9.140625" style="259"/>
    <col min="3075" max="3075" width="29.42578125" style="259" bestFit="1" customWidth="1"/>
    <col min="3076" max="3076" width="11.5703125" style="259" bestFit="1" customWidth="1"/>
    <col min="3077" max="3077" width="9.28515625" style="259" bestFit="1" customWidth="1"/>
    <col min="3078" max="3078" width="11.5703125" style="259" bestFit="1" customWidth="1"/>
    <col min="3079" max="3079" width="9.28515625" style="259" bestFit="1" customWidth="1"/>
    <col min="3080" max="3080" width="11.5703125" style="259" bestFit="1" customWidth="1"/>
    <col min="3081" max="3081" width="9.28515625" style="259" bestFit="1" customWidth="1"/>
    <col min="3082" max="3082" width="11.5703125" style="259" bestFit="1" customWidth="1"/>
    <col min="3083" max="3083" width="9.28515625" style="259" bestFit="1" customWidth="1"/>
    <col min="3084" max="3084" width="11.5703125" style="259" bestFit="1" customWidth="1"/>
    <col min="3085" max="3085" width="9.28515625" style="259" bestFit="1" customWidth="1"/>
    <col min="3086" max="3086" width="11.5703125" style="259" bestFit="1" customWidth="1"/>
    <col min="3087" max="3087" width="9.28515625" style="259" bestFit="1" customWidth="1"/>
    <col min="3088" max="3088" width="11.5703125" style="259" bestFit="1" customWidth="1"/>
    <col min="3089" max="3089" width="9.28515625" style="259" bestFit="1" customWidth="1"/>
    <col min="3090" max="3090" width="11.5703125" style="259" bestFit="1" customWidth="1"/>
    <col min="3091" max="3091" width="9.28515625" style="259" bestFit="1" customWidth="1"/>
    <col min="3092" max="3092" width="11.5703125" style="259" bestFit="1" customWidth="1"/>
    <col min="3093" max="3093" width="9.28515625" style="259" bestFit="1" customWidth="1"/>
    <col min="3094" max="3094" width="11.5703125" style="259" bestFit="1" customWidth="1"/>
    <col min="3095" max="3095" width="9.28515625" style="259" bestFit="1" customWidth="1"/>
    <col min="3096" max="3096" width="11.5703125" style="259" bestFit="1" customWidth="1"/>
    <col min="3097" max="3097" width="9.28515625" style="259" bestFit="1" customWidth="1"/>
    <col min="3098" max="3098" width="11.5703125" style="259" bestFit="1" customWidth="1"/>
    <col min="3099" max="3099" width="9.28515625" style="259" bestFit="1" customWidth="1"/>
    <col min="3100" max="3100" width="11.5703125" style="259" bestFit="1" customWidth="1"/>
    <col min="3101" max="3101" width="9.28515625" style="259" bestFit="1" customWidth="1"/>
    <col min="3102" max="3102" width="11.5703125" style="259" bestFit="1" customWidth="1"/>
    <col min="3103" max="3103" width="9.28515625" style="259" bestFit="1" customWidth="1"/>
    <col min="3104" max="3104" width="11.5703125" style="259" bestFit="1" customWidth="1"/>
    <col min="3105" max="3105" width="9.28515625" style="259" bestFit="1" customWidth="1"/>
    <col min="3106" max="3106" width="11.5703125" style="259" bestFit="1" customWidth="1"/>
    <col min="3107" max="3107" width="9.28515625" style="259" bestFit="1" customWidth="1"/>
    <col min="3108" max="3108" width="11.5703125" style="259" bestFit="1" customWidth="1"/>
    <col min="3109" max="3109" width="9.28515625" style="259" bestFit="1" customWidth="1"/>
    <col min="3110" max="3110" width="11.5703125" style="259" bestFit="1" customWidth="1"/>
    <col min="3111" max="3111" width="9.28515625" style="259" bestFit="1" customWidth="1"/>
    <col min="3112" max="3112" width="11.5703125" style="259" bestFit="1" customWidth="1"/>
    <col min="3113" max="3113" width="9.28515625" style="259" bestFit="1" customWidth="1"/>
    <col min="3114" max="3114" width="11.5703125" style="259" bestFit="1" customWidth="1"/>
    <col min="3115" max="3115" width="9.28515625" style="259" bestFit="1" customWidth="1"/>
    <col min="3116" max="3116" width="11.5703125" style="259" bestFit="1" customWidth="1"/>
    <col min="3117" max="3117" width="9.28515625" style="259" bestFit="1" customWidth="1"/>
    <col min="3118" max="3118" width="11.5703125" style="259" bestFit="1" customWidth="1"/>
    <col min="3119" max="3119" width="9.28515625" style="259" bestFit="1" customWidth="1"/>
    <col min="3120" max="3120" width="11.5703125" style="259" bestFit="1" customWidth="1"/>
    <col min="3121" max="3121" width="9.28515625" style="259" bestFit="1" customWidth="1"/>
    <col min="3122" max="3122" width="11.5703125" style="259" bestFit="1" customWidth="1"/>
    <col min="3123" max="3123" width="9.28515625" style="259" bestFit="1" customWidth="1"/>
    <col min="3124" max="3330" width="9.140625" style="259"/>
    <col min="3331" max="3331" width="29.42578125" style="259" bestFit="1" customWidth="1"/>
    <col min="3332" max="3332" width="11.5703125" style="259" bestFit="1" customWidth="1"/>
    <col min="3333" max="3333" width="9.28515625" style="259" bestFit="1" customWidth="1"/>
    <col min="3334" max="3334" width="11.5703125" style="259" bestFit="1" customWidth="1"/>
    <col min="3335" max="3335" width="9.28515625" style="259" bestFit="1" customWidth="1"/>
    <col min="3336" max="3336" width="11.5703125" style="259" bestFit="1" customWidth="1"/>
    <col min="3337" max="3337" width="9.28515625" style="259" bestFit="1" customWidth="1"/>
    <col min="3338" max="3338" width="11.5703125" style="259" bestFit="1" customWidth="1"/>
    <col min="3339" max="3339" width="9.28515625" style="259" bestFit="1" customWidth="1"/>
    <col min="3340" max="3340" width="11.5703125" style="259" bestFit="1" customWidth="1"/>
    <col min="3341" max="3341" width="9.28515625" style="259" bestFit="1" customWidth="1"/>
    <col min="3342" max="3342" width="11.5703125" style="259" bestFit="1" customWidth="1"/>
    <col min="3343" max="3343" width="9.28515625" style="259" bestFit="1" customWidth="1"/>
    <col min="3344" max="3344" width="11.5703125" style="259" bestFit="1" customWidth="1"/>
    <col min="3345" max="3345" width="9.28515625" style="259" bestFit="1" customWidth="1"/>
    <col min="3346" max="3346" width="11.5703125" style="259" bestFit="1" customWidth="1"/>
    <col min="3347" max="3347" width="9.28515625" style="259" bestFit="1" customWidth="1"/>
    <col min="3348" max="3348" width="11.5703125" style="259" bestFit="1" customWidth="1"/>
    <col min="3349" max="3349" width="9.28515625" style="259" bestFit="1" customWidth="1"/>
    <col min="3350" max="3350" width="11.5703125" style="259" bestFit="1" customWidth="1"/>
    <col min="3351" max="3351" width="9.28515625" style="259" bestFit="1" customWidth="1"/>
    <col min="3352" max="3352" width="11.5703125" style="259" bestFit="1" customWidth="1"/>
    <col min="3353" max="3353" width="9.28515625" style="259" bestFit="1" customWidth="1"/>
    <col min="3354" max="3354" width="11.5703125" style="259" bestFit="1" customWidth="1"/>
    <col min="3355" max="3355" width="9.28515625" style="259" bestFit="1" customWidth="1"/>
    <col min="3356" max="3356" width="11.5703125" style="259" bestFit="1" customWidth="1"/>
    <col min="3357" max="3357" width="9.28515625" style="259" bestFit="1" customWidth="1"/>
    <col min="3358" max="3358" width="11.5703125" style="259" bestFit="1" customWidth="1"/>
    <col min="3359" max="3359" width="9.28515625" style="259" bestFit="1" customWidth="1"/>
    <col min="3360" max="3360" width="11.5703125" style="259" bestFit="1" customWidth="1"/>
    <col min="3361" max="3361" width="9.28515625" style="259" bestFit="1" customWidth="1"/>
    <col min="3362" max="3362" width="11.5703125" style="259" bestFit="1" customWidth="1"/>
    <col min="3363" max="3363" width="9.28515625" style="259" bestFit="1" customWidth="1"/>
    <col min="3364" max="3364" width="11.5703125" style="259" bestFit="1" customWidth="1"/>
    <col min="3365" max="3365" width="9.28515625" style="259" bestFit="1" customWidth="1"/>
    <col min="3366" max="3366" width="11.5703125" style="259" bestFit="1" customWidth="1"/>
    <col min="3367" max="3367" width="9.28515625" style="259" bestFit="1" customWidth="1"/>
    <col min="3368" max="3368" width="11.5703125" style="259" bestFit="1" customWidth="1"/>
    <col min="3369" max="3369" width="9.28515625" style="259" bestFit="1" customWidth="1"/>
    <col min="3370" max="3370" width="11.5703125" style="259" bestFit="1" customWidth="1"/>
    <col min="3371" max="3371" width="9.28515625" style="259" bestFit="1" customWidth="1"/>
    <col min="3372" max="3372" width="11.5703125" style="259" bestFit="1" customWidth="1"/>
    <col min="3373" max="3373" width="9.28515625" style="259" bestFit="1" customWidth="1"/>
    <col min="3374" max="3374" width="11.5703125" style="259" bestFit="1" customWidth="1"/>
    <col min="3375" max="3375" width="9.28515625" style="259" bestFit="1" customWidth="1"/>
    <col min="3376" max="3376" width="11.5703125" style="259" bestFit="1" customWidth="1"/>
    <col min="3377" max="3377" width="9.28515625" style="259" bestFit="1" customWidth="1"/>
    <col min="3378" max="3378" width="11.5703125" style="259" bestFit="1" customWidth="1"/>
    <col min="3379" max="3379" width="9.28515625" style="259" bestFit="1" customWidth="1"/>
    <col min="3380" max="3586" width="9.140625" style="259"/>
    <col min="3587" max="3587" width="29.42578125" style="259" bestFit="1" customWidth="1"/>
    <col min="3588" max="3588" width="11.5703125" style="259" bestFit="1" customWidth="1"/>
    <col min="3589" max="3589" width="9.28515625" style="259" bestFit="1" customWidth="1"/>
    <col min="3590" max="3590" width="11.5703125" style="259" bestFit="1" customWidth="1"/>
    <col min="3591" max="3591" width="9.28515625" style="259" bestFit="1" customWidth="1"/>
    <col min="3592" max="3592" width="11.5703125" style="259" bestFit="1" customWidth="1"/>
    <col min="3593" max="3593" width="9.28515625" style="259" bestFit="1" customWidth="1"/>
    <col min="3594" max="3594" width="11.5703125" style="259" bestFit="1" customWidth="1"/>
    <col min="3595" max="3595" width="9.28515625" style="259" bestFit="1" customWidth="1"/>
    <col min="3596" max="3596" width="11.5703125" style="259" bestFit="1" customWidth="1"/>
    <col min="3597" max="3597" width="9.28515625" style="259" bestFit="1" customWidth="1"/>
    <col min="3598" max="3598" width="11.5703125" style="259" bestFit="1" customWidth="1"/>
    <col min="3599" max="3599" width="9.28515625" style="259" bestFit="1" customWidth="1"/>
    <col min="3600" max="3600" width="11.5703125" style="259" bestFit="1" customWidth="1"/>
    <col min="3601" max="3601" width="9.28515625" style="259" bestFit="1" customWidth="1"/>
    <col min="3602" max="3602" width="11.5703125" style="259" bestFit="1" customWidth="1"/>
    <col min="3603" max="3603" width="9.28515625" style="259" bestFit="1" customWidth="1"/>
    <col min="3604" max="3604" width="11.5703125" style="259" bestFit="1" customWidth="1"/>
    <col min="3605" max="3605" width="9.28515625" style="259" bestFit="1" customWidth="1"/>
    <col min="3606" max="3606" width="11.5703125" style="259" bestFit="1" customWidth="1"/>
    <col min="3607" max="3607" width="9.28515625" style="259" bestFit="1" customWidth="1"/>
    <col min="3608" max="3608" width="11.5703125" style="259" bestFit="1" customWidth="1"/>
    <col min="3609" max="3609" width="9.28515625" style="259" bestFit="1" customWidth="1"/>
    <col min="3610" max="3610" width="11.5703125" style="259" bestFit="1" customWidth="1"/>
    <col min="3611" max="3611" width="9.28515625" style="259" bestFit="1" customWidth="1"/>
    <col min="3612" max="3612" width="11.5703125" style="259" bestFit="1" customWidth="1"/>
    <col min="3613" max="3613" width="9.28515625" style="259" bestFit="1" customWidth="1"/>
    <col min="3614" max="3614" width="11.5703125" style="259" bestFit="1" customWidth="1"/>
    <col min="3615" max="3615" width="9.28515625" style="259" bestFit="1" customWidth="1"/>
    <col min="3616" max="3616" width="11.5703125" style="259" bestFit="1" customWidth="1"/>
    <col min="3617" max="3617" width="9.28515625" style="259" bestFit="1" customWidth="1"/>
    <col min="3618" max="3618" width="11.5703125" style="259" bestFit="1" customWidth="1"/>
    <col min="3619" max="3619" width="9.28515625" style="259" bestFit="1" customWidth="1"/>
    <col min="3620" max="3620" width="11.5703125" style="259" bestFit="1" customWidth="1"/>
    <col min="3621" max="3621" width="9.28515625" style="259" bestFit="1" customWidth="1"/>
    <col min="3622" max="3622" width="11.5703125" style="259" bestFit="1" customWidth="1"/>
    <col min="3623" max="3623" width="9.28515625" style="259" bestFit="1" customWidth="1"/>
    <col min="3624" max="3624" width="11.5703125" style="259" bestFit="1" customWidth="1"/>
    <col min="3625" max="3625" width="9.28515625" style="259" bestFit="1" customWidth="1"/>
    <col min="3626" max="3626" width="11.5703125" style="259" bestFit="1" customWidth="1"/>
    <col min="3627" max="3627" width="9.28515625" style="259" bestFit="1" customWidth="1"/>
    <col min="3628" max="3628" width="11.5703125" style="259" bestFit="1" customWidth="1"/>
    <col min="3629" max="3629" width="9.28515625" style="259" bestFit="1" customWidth="1"/>
    <col min="3630" max="3630" width="11.5703125" style="259" bestFit="1" customWidth="1"/>
    <col min="3631" max="3631" width="9.28515625" style="259" bestFit="1" customWidth="1"/>
    <col min="3632" max="3632" width="11.5703125" style="259" bestFit="1" customWidth="1"/>
    <col min="3633" max="3633" width="9.28515625" style="259" bestFit="1" customWidth="1"/>
    <col min="3634" max="3634" width="11.5703125" style="259" bestFit="1" customWidth="1"/>
    <col min="3635" max="3635" width="9.28515625" style="259" bestFit="1" customWidth="1"/>
    <col min="3636" max="3842" width="9.140625" style="259"/>
    <col min="3843" max="3843" width="29.42578125" style="259" bestFit="1" customWidth="1"/>
    <col min="3844" max="3844" width="11.5703125" style="259" bestFit="1" customWidth="1"/>
    <col min="3845" max="3845" width="9.28515625" style="259" bestFit="1" customWidth="1"/>
    <col min="3846" max="3846" width="11.5703125" style="259" bestFit="1" customWidth="1"/>
    <col min="3847" max="3847" width="9.28515625" style="259" bestFit="1" customWidth="1"/>
    <col min="3848" max="3848" width="11.5703125" style="259" bestFit="1" customWidth="1"/>
    <col min="3849" max="3849" width="9.28515625" style="259" bestFit="1" customWidth="1"/>
    <col min="3850" max="3850" width="11.5703125" style="259" bestFit="1" customWidth="1"/>
    <col min="3851" max="3851" width="9.28515625" style="259" bestFit="1" customWidth="1"/>
    <col min="3852" max="3852" width="11.5703125" style="259" bestFit="1" customWidth="1"/>
    <col min="3853" max="3853" width="9.28515625" style="259" bestFit="1" customWidth="1"/>
    <col min="3854" max="3854" width="11.5703125" style="259" bestFit="1" customWidth="1"/>
    <col min="3855" max="3855" width="9.28515625" style="259" bestFit="1" customWidth="1"/>
    <col min="3856" max="3856" width="11.5703125" style="259" bestFit="1" customWidth="1"/>
    <col min="3857" max="3857" width="9.28515625" style="259" bestFit="1" customWidth="1"/>
    <col min="3858" max="3858" width="11.5703125" style="259" bestFit="1" customWidth="1"/>
    <col min="3859" max="3859" width="9.28515625" style="259" bestFit="1" customWidth="1"/>
    <col min="3860" max="3860" width="11.5703125" style="259" bestFit="1" customWidth="1"/>
    <col min="3861" max="3861" width="9.28515625" style="259" bestFit="1" customWidth="1"/>
    <col min="3862" max="3862" width="11.5703125" style="259" bestFit="1" customWidth="1"/>
    <col min="3863" max="3863" width="9.28515625" style="259" bestFit="1" customWidth="1"/>
    <col min="3864" max="3864" width="11.5703125" style="259" bestFit="1" customWidth="1"/>
    <col min="3865" max="3865" width="9.28515625" style="259" bestFit="1" customWidth="1"/>
    <col min="3866" max="3866" width="11.5703125" style="259" bestFit="1" customWidth="1"/>
    <col min="3867" max="3867" width="9.28515625" style="259" bestFit="1" customWidth="1"/>
    <col min="3868" max="3868" width="11.5703125" style="259" bestFit="1" customWidth="1"/>
    <col min="3869" max="3869" width="9.28515625" style="259" bestFit="1" customWidth="1"/>
    <col min="3870" max="3870" width="11.5703125" style="259" bestFit="1" customWidth="1"/>
    <col min="3871" max="3871" width="9.28515625" style="259" bestFit="1" customWidth="1"/>
    <col min="3872" max="3872" width="11.5703125" style="259" bestFit="1" customWidth="1"/>
    <col min="3873" max="3873" width="9.28515625" style="259" bestFit="1" customWidth="1"/>
    <col min="3874" max="3874" width="11.5703125" style="259" bestFit="1" customWidth="1"/>
    <col min="3875" max="3875" width="9.28515625" style="259" bestFit="1" customWidth="1"/>
    <col min="3876" max="3876" width="11.5703125" style="259" bestFit="1" customWidth="1"/>
    <col min="3877" max="3877" width="9.28515625" style="259" bestFit="1" customWidth="1"/>
    <col min="3878" max="3878" width="11.5703125" style="259" bestFit="1" customWidth="1"/>
    <col min="3879" max="3879" width="9.28515625" style="259" bestFit="1" customWidth="1"/>
    <col min="3880" max="3880" width="11.5703125" style="259" bestFit="1" customWidth="1"/>
    <col min="3881" max="3881" width="9.28515625" style="259" bestFit="1" customWidth="1"/>
    <col min="3882" max="3882" width="11.5703125" style="259" bestFit="1" customWidth="1"/>
    <col min="3883" max="3883" width="9.28515625" style="259" bestFit="1" customWidth="1"/>
    <col min="3884" max="3884" width="11.5703125" style="259" bestFit="1" customWidth="1"/>
    <col min="3885" max="3885" width="9.28515625" style="259" bestFit="1" customWidth="1"/>
    <col min="3886" max="3886" width="11.5703125" style="259" bestFit="1" customWidth="1"/>
    <col min="3887" max="3887" width="9.28515625" style="259" bestFit="1" customWidth="1"/>
    <col min="3888" max="3888" width="11.5703125" style="259" bestFit="1" customWidth="1"/>
    <col min="3889" max="3889" width="9.28515625" style="259" bestFit="1" customWidth="1"/>
    <col min="3890" max="3890" width="11.5703125" style="259" bestFit="1" customWidth="1"/>
    <col min="3891" max="3891" width="9.28515625" style="259" bestFit="1" customWidth="1"/>
    <col min="3892" max="4098" width="9.140625" style="259"/>
    <col min="4099" max="4099" width="29.42578125" style="259" bestFit="1" customWidth="1"/>
    <col min="4100" max="4100" width="11.5703125" style="259" bestFit="1" customWidth="1"/>
    <col min="4101" max="4101" width="9.28515625" style="259" bestFit="1" customWidth="1"/>
    <col min="4102" max="4102" width="11.5703125" style="259" bestFit="1" customWidth="1"/>
    <col min="4103" max="4103" width="9.28515625" style="259" bestFit="1" customWidth="1"/>
    <col min="4104" max="4104" width="11.5703125" style="259" bestFit="1" customWidth="1"/>
    <col min="4105" max="4105" width="9.28515625" style="259" bestFit="1" customWidth="1"/>
    <col min="4106" max="4106" width="11.5703125" style="259" bestFit="1" customWidth="1"/>
    <col min="4107" max="4107" width="9.28515625" style="259" bestFit="1" customWidth="1"/>
    <col min="4108" max="4108" width="11.5703125" style="259" bestFit="1" customWidth="1"/>
    <col min="4109" max="4109" width="9.28515625" style="259" bestFit="1" customWidth="1"/>
    <col min="4110" max="4110" width="11.5703125" style="259" bestFit="1" customWidth="1"/>
    <col min="4111" max="4111" width="9.28515625" style="259" bestFit="1" customWidth="1"/>
    <col min="4112" max="4112" width="11.5703125" style="259" bestFit="1" customWidth="1"/>
    <col min="4113" max="4113" width="9.28515625" style="259" bestFit="1" customWidth="1"/>
    <col min="4114" max="4114" width="11.5703125" style="259" bestFit="1" customWidth="1"/>
    <col min="4115" max="4115" width="9.28515625" style="259" bestFit="1" customWidth="1"/>
    <col min="4116" max="4116" width="11.5703125" style="259" bestFit="1" customWidth="1"/>
    <col min="4117" max="4117" width="9.28515625" style="259" bestFit="1" customWidth="1"/>
    <col min="4118" max="4118" width="11.5703125" style="259" bestFit="1" customWidth="1"/>
    <col min="4119" max="4119" width="9.28515625" style="259" bestFit="1" customWidth="1"/>
    <col min="4120" max="4120" width="11.5703125" style="259" bestFit="1" customWidth="1"/>
    <col min="4121" max="4121" width="9.28515625" style="259" bestFit="1" customWidth="1"/>
    <col min="4122" max="4122" width="11.5703125" style="259" bestFit="1" customWidth="1"/>
    <col min="4123" max="4123" width="9.28515625" style="259" bestFit="1" customWidth="1"/>
    <col min="4124" max="4124" width="11.5703125" style="259" bestFit="1" customWidth="1"/>
    <col min="4125" max="4125" width="9.28515625" style="259" bestFit="1" customWidth="1"/>
    <col min="4126" max="4126" width="11.5703125" style="259" bestFit="1" customWidth="1"/>
    <col min="4127" max="4127" width="9.28515625" style="259" bestFit="1" customWidth="1"/>
    <col min="4128" max="4128" width="11.5703125" style="259" bestFit="1" customWidth="1"/>
    <col min="4129" max="4129" width="9.28515625" style="259" bestFit="1" customWidth="1"/>
    <col min="4130" max="4130" width="11.5703125" style="259" bestFit="1" customWidth="1"/>
    <col min="4131" max="4131" width="9.28515625" style="259" bestFit="1" customWidth="1"/>
    <col min="4132" max="4132" width="11.5703125" style="259" bestFit="1" customWidth="1"/>
    <col min="4133" max="4133" width="9.28515625" style="259" bestFit="1" customWidth="1"/>
    <col min="4134" max="4134" width="11.5703125" style="259" bestFit="1" customWidth="1"/>
    <col min="4135" max="4135" width="9.28515625" style="259" bestFit="1" customWidth="1"/>
    <col min="4136" max="4136" width="11.5703125" style="259" bestFit="1" customWidth="1"/>
    <col min="4137" max="4137" width="9.28515625" style="259" bestFit="1" customWidth="1"/>
    <col min="4138" max="4138" width="11.5703125" style="259" bestFit="1" customWidth="1"/>
    <col min="4139" max="4139" width="9.28515625" style="259" bestFit="1" customWidth="1"/>
    <col min="4140" max="4140" width="11.5703125" style="259" bestFit="1" customWidth="1"/>
    <col min="4141" max="4141" width="9.28515625" style="259" bestFit="1" customWidth="1"/>
    <col min="4142" max="4142" width="11.5703125" style="259" bestFit="1" customWidth="1"/>
    <col min="4143" max="4143" width="9.28515625" style="259" bestFit="1" customWidth="1"/>
    <col min="4144" max="4144" width="11.5703125" style="259" bestFit="1" customWidth="1"/>
    <col min="4145" max="4145" width="9.28515625" style="259" bestFit="1" customWidth="1"/>
    <col min="4146" max="4146" width="11.5703125" style="259" bestFit="1" customWidth="1"/>
    <col min="4147" max="4147" width="9.28515625" style="259" bestFit="1" customWidth="1"/>
    <col min="4148" max="4354" width="9.140625" style="259"/>
    <col min="4355" max="4355" width="29.42578125" style="259" bestFit="1" customWidth="1"/>
    <col min="4356" max="4356" width="11.5703125" style="259" bestFit="1" customWidth="1"/>
    <col min="4357" max="4357" width="9.28515625" style="259" bestFit="1" customWidth="1"/>
    <col min="4358" max="4358" width="11.5703125" style="259" bestFit="1" customWidth="1"/>
    <col min="4359" max="4359" width="9.28515625" style="259" bestFit="1" customWidth="1"/>
    <col min="4360" max="4360" width="11.5703125" style="259" bestFit="1" customWidth="1"/>
    <col min="4361" max="4361" width="9.28515625" style="259" bestFit="1" customWidth="1"/>
    <col min="4362" max="4362" width="11.5703125" style="259" bestFit="1" customWidth="1"/>
    <col min="4363" max="4363" width="9.28515625" style="259" bestFit="1" customWidth="1"/>
    <col min="4364" max="4364" width="11.5703125" style="259" bestFit="1" customWidth="1"/>
    <col min="4365" max="4365" width="9.28515625" style="259" bestFit="1" customWidth="1"/>
    <col min="4366" max="4366" width="11.5703125" style="259" bestFit="1" customWidth="1"/>
    <col min="4367" max="4367" width="9.28515625" style="259" bestFit="1" customWidth="1"/>
    <col min="4368" max="4368" width="11.5703125" style="259" bestFit="1" customWidth="1"/>
    <col min="4369" max="4369" width="9.28515625" style="259" bestFit="1" customWidth="1"/>
    <col min="4370" max="4370" width="11.5703125" style="259" bestFit="1" customWidth="1"/>
    <col min="4371" max="4371" width="9.28515625" style="259" bestFit="1" customWidth="1"/>
    <col min="4372" max="4372" width="11.5703125" style="259" bestFit="1" customWidth="1"/>
    <col min="4373" max="4373" width="9.28515625" style="259" bestFit="1" customWidth="1"/>
    <col min="4374" max="4374" width="11.5703125" style="259" bestFit="1" customWidth="1"/>
    <col min="4375" max="4375" width="9.28515625" style="259" bestFit="1" customWidth="1"/>
    <col min="4376" max="4376" width="11.5703125" style="259" bestFit="1" customWidth="1"/>
    <col min="4377" max="4377" width="9.28515625" style="259" bestFit="1" customWidth="1"/>
    <col min="4378" max="4378" width="11.5703125" style="259" bestFit="1" customWidth="1"/>
    <col min="4379" max="4379" width="9.28515625" style="259" bestFit="1" customWidth="1"/>
    <col min="4380" max="4380" width="11.5703125" style="259" bestFit="1" customWidth="1"/>
    <col min="4381" max="4381" width="9.28515625" style="259" bestFit="1" customWidth="1"/>
    <col min="4382" max="4382" width="11.5703125" style="259" bestFit="1" customWidth="1"/>
    <col min="4383" max="4383" width="9.28515625" style="259" bestFit="1" customWidth="1"/>
    <col min="4384" max="4384" width="11.5703125" style="259" bestFit="1" customWidth="1"/>
    <col min="4385" max="4385" width="9.28515625" style="259" bestFit="1" customWidth="1"/>
    <col min="4386" max="4386" width="11.5703125" style="259" bestFit="1" customWidth="1"/>
    <col min="4387" max="4387" width="9.28515625" style="259" bestFit="1" customWidth="1"/>
    <col min="4388" max="4388" width="11.5703125" style="259" bestFit="1" customWidth="1"/>
    <col min="4389" max="4389" width="9.28515625" style="259" bestFit="1" customWidth="1"/>
    <col min="4390" max="4390" width="11.5703125" style="259" bestFit="1" customWidth="1"/>
    <col min="4391" max="4391" width="9.28515625" style="259" bestFit="1" customWidth="1"/>
    <col min="4392" max="4392" width="11.5703125" style="259" bestFit="1" customWidth="1"/>
    <col min="4393" max="4393" width="9.28515625" style="259" bestFit="1" customWidth="1"/>
    <col min="4394" max="4394" width="11.5703125" style="259" bestFit="1" customWidth="1"/>
    <col min="4395" max="4395" width="9.28515625" style="259" bestFit="1" customWidth="1"/>
    <col min="4396" max="4396" width="11.5703125" style="259" bestFit="1" customWidth="1"/>
    <col min="4397" max="4397" width="9.28515625" style="259" bestFit="1" customWidth="1"/>
    <col min="4398" max="4398" width="11.5703125" style="259" bestFit="1" customWidth="1"/>
    <col min="4399" max="4399" width="9.28515625" style="259" bestFit="1" customWidth="1"/>
    <col min="4400" max="4400" width="11.5703125" style="259" bestFit="1" customWidth="1"/>
    <col min="4401" max="4401" width="9.28515625" style="259" bestFit="1" customWidth="1"/>
    <col min="4402" max="4402" width="11.5703125" style="259" bestFit="1" customWidth="1"/>
    <col min="4403" max="4403" width="9.28515625" style="259" bestFit="1" customWidth="1"/>
    <col min="4404" max="4610" width="9.140625" style="259"/>
    <col min="4611" max="4611" width="29.42578125" style="259" bestFit="1" customWidth="1"/>
    <col min="4612" max="4612" width="11.5703125" style="259" bestFit="1" customWidth="1"/>
    <col min="4613" max="4613" width="9.28515625" style="259" bestFit="1" customWidth="1"/>
    <col min="4614" max="4614" width="11.5703125" style="259" bestFit="1" customWidth="1"/>
    <col min="4615" max="4615" width="9.28515625" style="259" bestFit="1" customWidth="1"/>
    <col min="4616" max="4616" width="11.5703125" style="259" bestFit="1" customWidth="1"/>
    <col min="4617" max="4617" width="9.28515625" style="259" bestFit="1" customWidth="1"/>
    <col min="4618" max="4618" width="11.5703125" style="259" bestFit="1" customWidth="1"/>
    <col min="4619" max="4619" width="9.28515625" style="259" bestFit="1" customWidth="1"/>
    <col min="4620" max="4620" width="11.5703125" style="259" bestFit="1" customWidth="1"/>
    <col min="4621" max="4621" width="9.28515625" style="259" bestFit="1" customWidth="1"/>
    <col min="4622" max="4622" width="11.5703125" style="259" bestFit="1" customWidth="1"/>
    <col min="4623" max="4623" width="9.28515625" style="259" bestFit="1" customWidth="1"/>
    <col min="4624" max="4624" width="11.5703125" style="259" bestFit="1" customWidth="1"/>
    <col min="4625" max="4625" width="9.28515625" style="259" bestFit="1" customWidth="1"/>
    <col min="4626" max="4626" width="11.5703125" style="259" bestFit="1" customWidth="1"/>
    <col min="4627" max="4627" width="9.28515625" style="259" bestFit="1" customWidth="1"/>
    <col min="4628" max="4628" width="11.5703125" style="259" bestFit="1" customWidth="1"/>
    <col min="4629" max="4629" width="9.28515625" style="259" bestFit="1" customWidth="1"/>
    <col min="4630" max="4630" width="11.5703125" style="259" bestFit="1" customWidth="1"/>
    <col min="4631" max="4631" width="9.28515625" style="259" bestFit="1" customWidth="1"/>
    <col min="4632" max="4632" width="11.5703125" style="259" bestFit="1" customWidth="1"/>
    <col min="4633" max="4633" width="9.28515625" style="259" bestFit="1" customWidth="1"/>
    <col min="4634" max="4634" width="11.5703125" style="259" bestFit="1" customWidth="1"/>
    <col min="4635" max="4635" width="9.28515625" style="259" bestFit="1" customWidth="1"/>
    <col min="4636" max="4636" width="11.5703125" style="259" bestFit="1" customWidth="1"/>
    <col min="4637" max="4637" width="9.28515625" style="259" bestFit="1" customWidth="1"/>
    <col min="4638" max="4638" width="11.5703125" style="259" bestFit="1" customWidth="1"/>
    <col min="4639" max="4639" width="9.28515625" style="259" bestFit="1" customWidth="1"/>
    <col min="4640" max="4640" width="11.5703125" style="259" bestFit="1" customWidth="1"/>
    <col min="4641" max="4641" width="9.28515625" style="259" bestFit="1" customWidth="1"/>
    <col min="4642" max="4642" width="11.5703125" style="259" bestFit="1" customWidth="1"/>
    <col min="4643" max="4643" width="9.28515625" style="259" bestFit="1" customWidth="1"/>
    <col min="4644" max="4644" width="11.5703125" style="259" bestFit="1" customWidth="1"/>
    <col min="4645" max="4645" width="9.28515625" style="259" bestFit="1" customWidth="1"/>
    <col min="4646" max="4646" width="11.5703125" style="259" bestFit="1" customWidth="1"/>
    <col min="4647" max="4647" width="9.28515625" style="259" bestFit="1" customWidth="1"/>
    <col min="4648" max="4648" width="11.5703125" style="259" bestFit="1" customWidth="1"/>
    <col min="4649" max="4649" width="9.28515625" style="259" bestFit="1" customWidth="1"/>
    <col min="4650" max="4650" width="11.5703125" style="259" bestFit="1" customWidth="1"/>
    <col min="4651" max="4651" width="9.28515625" style="259" bestFit="1" customWidth="1"/>
    <col min="4652" max="4652" width="11.5703125" style="259" bestFit="1" customWidth="1"/>
    <col min="4653" max="4653" width="9.28515625" style="259" bestFit="1" customWidth="1"/>
    <col min="4654" max="4654" width="11.5703125" style="259" bestFit="1" customWidth="1"/>
    <col min="4655" max="4655" width="9.28515625" style="259" bestFit="1" customWidth="1"/>
    <col min="4656" max="4656" width="11.5703125" style="259" bestFit="1" customWidth="1"/>
    <col min="4657" max="4657" width="9.28515625" style="259" bestFit="1" customWidth="1"/>
    <col min="4658" max="4658" width="11.5703125" style="259" bestFit="1" customWidth="1"/>
    <col min="4659" max="4659" width="9.28515625" style="259" bestFit="1" customWidth="1"/>
    <col min="4660" max="4866" width="9.140625" style="259"/>
    <col min="4867" max="4867" width="29.42578125" style="259" bestFit="1" customWidth="1"/>
    <col min="4868" max="4868" width="11.5703125" style="259" bestFit="1" customWidth="1"/>
    <col min="4869" max="4869" width="9.28515625" style="259" bestFit="1" customWidth="1"/>
    <col min="4870" max="4870" width="11.5703125" style="259" bestFit="1" customWidth="1"/>
    <col min="4871" max="4871" width="9.28515625" style="259" bestFit="1" customWidth="1"/>
    <col min="4872" max="4872" width="11.5703125" style="259" bestFit="1" customWidth="1"/>
    <col min="4873" max="4873" width="9.28515625" style="259" bestFit="1" customWidth="1"/>
    <col min="4874" max="4874" width="11.5703125" style="259" bestFit="1" customWidth="1"/>
    <col min="4875" max="4875" width="9.28515625" style="259" bestFit="1" customWidth="1"/>
    <col min="4876" max="4876" width="11.5703125" style="259" bestFit="1" customWidth="1"/>
    <col min="4877" max="4877" width="9.28515625" style="259" bestFit="1" customWidth="1"/>
    <col min="4878" max="4878" width="11.5703125" style="259" bestFit="1" customWidth="1"/>
    <col min="4879" max="4879" width="9.28515625" style="259" bestFit="1" customWidth="1"/>
    <col min="4880" max="4880" width="11.5703125" style="259" bestFit="1" customWidth="1"/>
    <col min="4881" max="4881" width="9.28515625" style="259" bestFit="1" customWidth="1"/>
    <col min="4882" max="4882" width="11.5703125" style="259" bestFit="1" customWidth="1"/>
    <col min="4883" max="4883" width="9.28515625" style="259" bestFit="1" customWidth="1"/>
    <col min="4884" max="4884" width="11.5703125" style="259" bestFit="1" customWidth="1"/>
    <col min="4885" max="4885" width="9.28515625" style="259" bestFit="1" customWidth="1"/>
    <col min="4886" max="4886" width="11.5703125" style="259" bestFit="1" customWidth="1"/>
    <col min="4887" max="4887" width="9.28515625" style="259" bestFit="1" customWidth="1"/>
    <col min="4888" max="4888" width="11.5703125" style="259" bestFit="1" customWidth="1"/>
    <col min="4889" max="4889" width="9.28515625" style="259" bestFit="1" customWidth="1"/>
    <col min="4890" max="4890" width="11.5703125" style="259" bestFit="1" customWidth="1"/>
    <col min="4891" max="4891" width="9.28515625" style="259" bestFit="1" customWidth="1"/>
    <col min="4892" max="4892" width="11.5703125" style="259" bestFit="1" customWidth="1"/>
    <col min="4893" max="4893" width="9.28515625" style="259" bestFit="1" customWidth="1"/>
    <col min="4894" max="4894" width="11.5703125" style="259" bestFit="1" customWidth="1"/>
    <col min="4895" max="4895" width="9.28515625" style="259" bestFit="1" customWidth="1"/>
    <col min="4896" max="4896" width="11.5703125" style="259" bestFit="1" customWidth="1"/>
    <col min="4897" max="4897" width="9.28515625" style="259" bestFit="1" customWidth="1"/>
    <col min="4898" max="4898" width="11.5703125" style="259" bestFit="1" customWidth="1"/>
    <col min="4899" max="4899" width="9.28515625" style="259" bestFit="1" customWidth="1"/>
    <col min="4900" max="4900" width="11.5703125" style="259" bestFit="1" customWidth="1"/>
    <col min="4901" max="4901" width="9.28515625" style="259" bestFit="1" customWidth="1"/>
    <col min="4902" max="4902" width="11.5703125" style="259" bestFit="1" customWidth="1"/>
    <col min="4903" max="4903" width="9.28515625" style="259" bestFit="1" customWidth="1"/>
    <col min="4904" max="4904" width="11.5703125" style="259" bestFit="1" customWidth="1"/>
    <col min="4905" max="4905" width="9.28515625" style="259" bestFit="1" customWidth="1"/>
    <col min="4906" max="4906" width="11.5703125" style="259" bestFit="1" customWidth="1"/>
    <col min="4907" max="4907" width="9.28515625" style="259" bestFit="1" customWidth="1"/>
    <col min="4908" max="4908" width="11.5703125" style="259" bestFit="1" customWidth="1"/>
    <col min="4909" max="4909" width="9.28515625" style="259" bestFit="1" customWidth="1"/>
    <col min="4910" max="4910" width="11.5703125" style="259" bestFit="1" customWidth="1"/>
    <col min="4911" max="4911" width="9.28515625" style="259" bestFit="1" customWidth="1"/>
    <col min="4912" max="4912" width="11.5703125" style="259" bestFit="1" customWidth="1"/>
    <col min="4913" max="4913" width="9.28515625" style="259" bestFit="1" customWidth="1"/>
    <col min="4914" max="4914" width="11.5703125" style="259" bestFit="1" customWidth="1"/>
    <col min="4915" max="4915" width="9.28515625" style="259" bestFit="1" customWidth="1"/>
    <col min="4916" max="5122" width="9.140625" style="259"/>
    <col min="5123" max="5123" width="29.42578125" style="259" bestFit="1" customWidth="1"/>
    <col min="5124" max="5124" width="11.5703125" style="259" bestFit="1" customWidth="1"/>
    <col min="5125" max="5125" width="9.28515625" style="259" bestFit="1" customWidth="1"/>
    <col min="5126" max="5126" width="11.5703125" style="259" bestFit="1" customWidth="1"/>
    <col min="5127" max="5127" width="9.28515625" style="259" bestFit="1" customWidth="1"/>
    <col min="5128" max="5128" width="11.5703125" style="259" bestFit="1" customWidth="1"/>
    <col min="5129" max="5129" width="9.28515625" style="259" bestFit="1" customWidth="1"/>
    <col min="5130" max="5130" width="11.5703125" style="259" bestFit="1" customWidth="1"/>
    <col min="5131" max="5131" width="9.28515625" style="259" bestFit="1" customWidth="1"/>
    <col min="5132" max="5132" width="11.5703125" style="259" bestFit="1" customWidth="1"/>
    <col min="5133" max="5133" width="9.28515625" style="259" bestFit="1" customWidth="1"/>
    <col min="5134" max="5134" width="11.5703125" style="259" bestFit="1" customWidth="1"/>
    <col min="5135" max="5135" width="9.28515625" style="259" bestFit="1" customWidth="1"/>
    <col min="5136" max="5136" width="11.5703125" style="259" bestFit="1" customWidth="1"/>
    <col min="5137" max="5137" width="9.28515625" style="259" bestFit="1" customWidth="1"/>
    <col min="5138" max="5138" width="11.5703125" style="259" bestFit="1" customWidth="1"/>
    <col min="5139" max="5139" width="9.28515625" style="259" bestFit="1" customWidth="1"/>
    <col min="5140" max="5140" width="11.5703125" style="259" bestFit="1" customWidth="1"/>
    <col min="5141" max="5141" width="9.28515625" style="259" bestFit="1" customWidth="1"/>
    <col min="5142" max="5142" width="11.5703125" style="259" bestFit="1" customWidth="1"/>
    <col min="5143" max="5143" width="9.28515625" style="259" bestFit="1" customWidth="1"/>
    <col min="5144" max="5144" width="11.5703125" style="259" bestFit="1" customWidth="1"/>
    <col min="5145" max="5145" width="9.28515625" style="259" bestFit="1" customWidth="1"/>
    <col min="5146" max="5146" width="11.5703125" style="259" bestFit="1" customWidth="1"/>
    <col min="5147" max="5147" width="9.28515625" style="259" bestFit="1" customWidth="1"/>
    <col min="5148" max="5148" width="11.5703125" style="259" bestFit="1" customWidth="1"/>
    <col min="5149" max="5149" width="9.28515625" style="259" bestFit="1" customWidth="1"/>
    <col min="5150" max="5150" width="11.5703125" style="259" bestFit="1" customWidth="1"/>
    <col min="5151" max="5151" width="9.28515625" style="259" bestFit="1" customWidth="1"/>
    <col min="5152" max="5152" width="11.5703125" style="259" bestFit="1" customWidth="1"/>
    <col min="5153" max="5153" width="9.28515625" style="259" bestFit="1" customWidth="1"/>
    <col min="5154" max="5154" width="11.5703125" style="259" bestFit="1" customWidth="1"/>
    <col min="5155" max="5155" width="9.28515625" style="259" bestFit="1" customWidth="1"/>
    <col min="5156" max="5156" width="11.5703125" style="259" bestFit="1" customWidth="1"/>
    <col min="5157" max="5157" width="9.28515625" style="259" bestFit="1" customWidth="1"/>
    <col min="5158" max="5158" width="11.5703125" style="259" bestFit="1" customWidth="1"/>
    <col min="5159" max="5159" width="9.28515625" style="259" bestFit="1" customWidth="1"/>
    <col min="5160" max="5160" width="11.5703125" style="259" bestFit="1" customWidth="1"/>
    <col min="5161" max="5161" width="9.28515625" style="259" bestFit="1" customWidth="1"/>
    <col min="5162" max="5162" width="11.5703125" style="259" bestFit="1" customWidth="1"/>
    <col min="5163" max="5163" width="9.28515625" style="259" bestFit="1" customWidth="1"/>
    <col min="5164" max="5164" width="11.5703125" style="259" bestFit="1" customWidth="1"/>
    <col min="5165" max="5165" width="9.28515625" style="259" bestFit="1" customWidth="1"/>
    <col min="5166" max="5166" width="11.5703125" style="259" bestFit="1" customWidth="1"/>
    <col min="5167" max="5167" width="9.28515625" style="259" bestFit="1" customWidth="1"/>
    <col min="5168" max="5168" width="11.5703125" style="259" bestFit="1" customWidth="1"/>
    <col min="5169" max="5169" width="9.28515625" style="259" bestFit="1" customWidth="1"/>
    <col min="5170" max="5170" width="11.5703125" style="259" bestFit="1" customWidth="1"/>
    <col min="5171" max="5171" width="9.28515625" style="259" bestFit="1" customWidth="1"/>
    <col min="5172" max="5378" width="9.140625" style="259"/>
    <col min="5379" max="5379" width="29.42578125" style="259" bestFit="1" customWidth="1"/>
    <col min="5380" max="5380" width="11.5703125" style="259" bestFit="1" customWidth="1"/>
    <col min="5381" max="5381" width="9.28515625" style="259" bestFit="1" customWidth="1"/>
    <col min="5382" max="5382" width="11.5703125" style="259" bestFit="1" customWidth="1"/>
    <col min="5383" max="5383" width="9.28515625" style="259" bestFit="1" customWidth="1"/>
    <col min="5384" max="5384" width="11.5703125" style="259" bestFit="1" customWidth="1"/>
    <col min="5385" max="5385" width="9.28515625" style="259" bestFit="1" customWidth="1"/>
    <col min="5386" max="5386" width="11.5703125" style="259" bestFit="1" customWidth="1"/>
    <col min="5387" max="5387" width="9.28515625" style="259" bestFit="1" customWidth="1"/>
    <col min="5388" max="5388" width="11.5703125" style="259" bestFit="1" customWidth="1"/>
    <col min="5389" max="5389" width="9.28515625" style="259" bestFit="1" customWidth="1"/>
    <col min="5390" max="5390" width="11.5703125" style="259" bestFit="1" customWidth="1"/>
    <col min="5391" max="5391" width="9.28515625" style="259" bestFit="1" customWidth="1"/>
    <col min="5392" max="5392" width="11.5703125" style="259" bestFit="1" customWidth="1"/>
    <col min="5393" max="5393" width="9.28515625" style="259" bestFit="1" customWidth="1"/>
    <col min="5394" max="5394" width="11.5703125" style="259" bestFit="1" customWidth="1"/>
    <col min="5395" max="5395" width="9.28515625" style="259" bestFit="1" customWidth="1"/>
    <col min="5396" max="5396" width="11.5703125" style="259" bestFit="1" customWidth="1"/>
    <col min="5397" max="5397" width="9.28515625" style="259" bestFit="1" customWidth="1"/>
    <col min="5398" max="5398" width="11.5703125" style="259" bestFit="1" customWidth="1"/>
    <col min="5399" max="5399" width="9.28515625" style="259" bestFit="1" customWidth="1"/>
    <col min="5400" max="5400" width="11.5703125" style="259" bestFit="1" customWidth="1"/>
    <col min="5401" max="5401" width="9.28515625" style="259" bestFit="1" customWidth="1"/>
    <col min="5402" max="5402" width="11.5703125" style="259" bestFit="1" customWidth="1"/>
    <col min="5403" max="5403" width="9.28515625" style="259" bestFit="1" customWidth="1"/>
    <col min="5404" max="5404" width="11.5703125" style="259" bestFit="1" customWidth="1"/>
    <col min="5405" max="5405" width="9.28515625" style="259" bestFit="1" customWidth="1"/>
    <col min="5406" max="5406" width="11.5703125" style="259" bestFit="1" customWidth="1"/>
    <col min="5407" max="5407" width="9.28515625" style="259" bestFit="1" customWidth="1"/>
    <col min="5408" max="5408" width="11.5703125" style="259" bestFit="1" customWidth="1"/>
    <col min="5409" max="5409" width="9.28515625" style="259" bestFit="1" customWidth="1"/>
    <col min="5410" max="5410" width="11.5703125" style="259" bestFit="1" customWidth="1"/>
    <col min="5411" max="5411" width="9.28515625" style="259" bestFit="1" customWidth="1"/>
    <col min="5412" max="5412" width="11.5703125" style="259" bestFit="1" customWidth="1"/>
    <col min="5413" max="5413" width="9.28515625" style="259" bestFit="1" customWidth="1"/>
    <col min="5414" max="5414" width="11.5703125" style="259" bestFit="1" customWidth="1"/>
    <col min="5415" max="5415" width="9.28515625" style="259" bestFit="1" customWidth="1"/>
    <col min="5416" max="5416" width="11.5703125" style="259" bestFit="1" customWidth="1"/>
    <col min="5417" max="5417" width="9.28515625" style="259" bestFit="1" customWidth="1"/>
    <col min="5418" max="5418" width="11.5703125" style="259" bestFit="1" customWidth="1"/>
    <col min="5419" max="5419" width="9.28515625" style="259" bestFit="1" customWidth="1"/>
    <col min="5420" max="5420" width="11.5703125" style="259" bestFit="1" customWidth="1"/>
    <col min="5421" max="5421" width="9.28515625" style="259" bestFit="1" customWidth="1"/>
    <col min="5422" max="5422" width="11.5703125" style="259" bestFit="1" customWidth="1"/>
    <col min="5423" max="5423" width="9.28515625" style="259" bestFit="1" customWidth="1"/>
    <col min="5424" max="5424" width="11.5703125" style="259" bestFit="1" customWidth="1"/>
    <col min="5425" max="5425" width="9.28515625" style="259" bestFit="1" customWidth="1"/>
    <col min="5426" max="5426" width="11.5703125" style="259" bestFit="1" customWidth="1"/>
    <col min="5427" max="5427" width="9.28515625" style="259" bestFit="1" customWidth="1"/>
    <col min="5428" max="5634" width="9.140625" style="259"/>
    <col min="5635" max="5635" width="29.42578125" style="259" bestFit="1" customWidth="1"/>
    <col min="5636" max="5636" width="11.5703125" style="259" bestFit="1" customWidth="1"/>
    <col min="5637" max="5637" width="9.28515625" style="259" bestFit="1" customWidth="1"/>
    <col min="5638" max="5638" width="11.5703125" style="259" bestFit="1" customWidth="1"/>
    <col min="5639" max="5639" width="9.28515625" style="259" bestFit="1" customWidth="1"/>
    <col min="5640" max="5640" width="11.5703125" style="259" bestFit="1" customWidth="1"/>
    <col min="5641" max="5641" width="9.28515625" style="259" bestFit="1" customWidth="1"/>
    <col min="5642" max="5642" width="11.5703125" style="259" bestFit="1" customWidth="1"/>
    <col min="5643" max="5643" width="9.28515625" style="259" bestFit="1" customWidth="1"/>
    <col min="5644" max="5644" width="11.5703125" style="259" bestFit="1" customWidth="1"/>
    <col min="5645" max="5645" width="9.28515625" style="259" bestFit="1" customWidth="1"/>
    <col min="5646" max="5646" width="11.5703125" style="259" bestFit="1" customWidth="1"/>
    <col min="5647" max="5647" width="9.28515625" style="259" bestFit="1" customWidth="1"/>
    <col min="5648" max="5648" width="11.5703125" style="259" bestFit="1" customWidth="1"/>
    <col min="5649" max="5649" width="9.28515625" style="259" bestFit="1" customWidth="1"/>
    <col min="5650" max="5650" width="11.5703125" style="259" bestFit="1" customWidth="1"/>
    <col min="5651" max="5651" width="9.28515625" style="259" bestFit="1" customWidth="1"/>
    <col min="5652" max="5652" width="11.5703125" style="259" bestFit="1" customWidth="1"/>
    <col min="5653" max="5653" width="9.28515625" style="259" bestFit="1" customWidth="1"/>
    <col min="5654" max="5654" width="11.5703125" style="259" bestFit="1" customWidth="1"/>
    <col min="5655" max="5655" width="9.28515625" style="259" bestFit="1" customWidth="1"/>
    <col min="5656" max="5656" width="11.5703125" style="259" bestFit="1" customWidth="1"/>
    <col min="5657" max="5657" width="9.28515625" style="259" bestFit="1" customWidth="1"/>
    <col min="5658" max="5658" width="11.5703125" style="259" bestFit="1" customWidth="1"/>
    <col min="5659" max="5659" width="9.28515625" style="259" bestFit="1" customWidth="1"/>
    <col min="5660" max="5660" width="11.5703125" style="259" bestFit="1" customWidth="1"/>
    <col min="5661" max="5661" width="9.28515625" style="259" bestFit="1" customWidth="1"/>
    <col min="5662" max="5662" width="11.5703125" style="259" bestFit="1" customWidth="1"/>
    <col min="5663" max="5663" width="9.28515625" style="259" bestFit="1" customWidth="1"/>
    <col min="5664" max="5664" width="11.5703125" style="259" bestFit="1" customWidth="1"/>
    <col min="5665" max="5665" width="9.28515625" style="259" bestFit="1" customWidth="1"/>
    <col min="5666" max="5666" width="11.5703125" style="259" bestFit="1" customWidth="1"/>
    <col min="5667" max="5667" width="9.28515625" style="259" bestFit="1" customWidth="1"/>
    <col min="5668" max="5668" width="11.5703125" style="259" bestFit="1" customWidth="1"/>
    <col min="5669" max="5669" width="9.28515625" style="259" bestFit="1" customWidth="1"/>
    <col min="5670" max="5670" width="11.5703125" style="259" bestFit="1" customWidth="1"/>
    <col min="5671" max="5671" width="9.28515625" style="259" bestFit="1" customWidth="1"/>
    <col min="5672" max="5672" width="11.5703125" style="259" bestFit="1" customWidth="1"/>
    <col min="5673" max="5673" width="9.28515625" style="259" bestFit="1" customWidth="1"/>
    <col min="5674" max="5674" width="11.5703125" style="259" bestFit="1" customWidth="1"/>
    <col min="5675" max="5675" width="9.28515625" style="259" bestFit="1" customWidth="1"/>
    <col min="5676" max="5676" width="11.5703125" style="259" bestFit="1" customWidth="1"/>
    <col min="5677" max="5677" width="9.28515625" style="259" bestFit="1" customWidth="1"/>
    <col min="5678" max="5678" width="11.5703125" style="259" bestFit="1" customWidth="1"/>
    <col min="5679" max="5679" width="9.28515625" style="259" bestFit="1" customWidth="1"/>
    <col min="5680" max="5680" width="11.5703125" style="259" bestFit="1" customWidth="1"/>
    <col min="5681" max="5681" width="9.28515625" style="259" bestFit="1" customWidth="1"/>
    <col min="5682" max="5682" width="11.5703125" style="259" bestFit="1" customWidth="1"/>
    <col min="5683" max="5683" width="9.28515625" style="259" bestFit="1" customWidth="1"/>
    <col min="5684" max="5890" width="9.140625" style="259"/>
    <col min="5891" max="5891" width="29.42578125" style="259" bestFit="1" customWidth="1"/>
    <col min="5892" max="5892" width="11.5703125" style="259" bestFit="1" customWidth="1"/>
    <col min="5893" max="5893" width="9.28515625" style="259" bestFit="1" customWidth="1"/>
    <col min="5894" max="5894" width="11.5703125" style="259" bestFit="1" customWidth="1"/>
    <col min="5895" max="5895" width="9.28515625" style="259" bestFit="1" customWidth="1"/>
    <col min="5896" max="5896" width="11.5703125" style="259" bestFit="1" customWidth="1"/>
    <col min="5897" max="5897" width="9.28515625" style="259" bestFit="1" customWidth="1"/>
    <col min="5898" max="5898" width="11.5703125" style="259" bestFit="1" customWidth="1"/>
    <col min="5899" max="5899" width="9.28515625" style="259" bestFit="1" customWidth="1"/>
    <col min="5900" max="5900" width="11.5703125" style="259" bestFit="1" customWidth="1"/>
    <col min="5901" max="5901" width="9.28515625" style="259" bestFit="1" customWidth="1"/>
    <col min="5902" max="5902" width="11.5703125" style="259" bestFit="1" customWidth="1"/>
    <col min="5903" max="5903" width="9.28515625" style="259" bestFit="1" customWidth="1"/>
    <col min="5904" max="5904" width="11.5703125" style="259" bestFit="1" customWidth="1"/>
    <col min="5905" max="5905" width="9.28515625" style="259" bestFit="1" customWidth="1"/>
    <col min="5906" max="5906" width="11.5703125" style="259" bestFit="1" customWidth="1"/>
    <col min="5907" max="5907" width="9.28515625" style="259" bestFit="1" customWidth="1"/>
    <col min="5908" max="5908" width="11.5703125" style="259" bestFit="1" customWidth="1"/>
    <col min="5909" max="5909" width="9.28515625" style="259" bestFit="1" customWidth="1"/>
    <col min="5910" max="5910" width="11.5703125" style="259" bestFit="1" customWidth="1"/>
    <col min="5911" max="5911" width="9.28515625" style="259" bestFit="1" customWidth="1"/>
    <col min="5912" max="5912" width="11.5703125" style="259" bestFit="1" customWidth="1"/>
    <col min="5913" max="5913" width="9.28515625" style="259" bestFit="1" customWidth="1"/>
    <col min="5914" max="5914" width="11.5703125" style="259" bestFit="1" customWidth="1"/>
    <col min="5915" max="5915" width="9.28515625" style="259" bestFit="1" customWidth="1"/>
    <col min="5916" max="5916" width="11.5703125" style="259" bestFit="1" customWidth="1"/>
    <col min="5917" max="5917" width="9.28515625" style="259" bestFit="1" customWidth="1"/>
    <col min="5918" max="5918" width="11.5703125" style="259" bestFit="1" customWidth="1"/>
    <col min="5919" max="5919" width="9.28515625" style="259" bestFit="1" customWidth="1"/>
    <col min="5920" max="5920" width="11.5703125" style="259" bestFit="1" customWidth="1"/>
    <col min="5921" max="5921" width="9.28515625" style="259" bestFit="1" customWidth="1"/>
    <col min="5922" max="5922" width="11.5703125" style="259" bestFit="1" customWidth="1"/>
    <col min="5923" max="5923" width="9.28515625" style="259" bestFit="1" customWidth="1"/>
    <col min="5924" max="5924" width="11.5703125" style="259" bestFit="1" customWidth="1"/>
    <col min="5925" max="5925" width="9.28515625" style="259" bestFit="1" customWidth="1"/>
    <col min="5926" max="5926" width="11.5703125" style="259" bestFit="1" customWidth="1"/>
    <col min="5927" max="5927" width="9.28515625" style="259" bestFit="1" customWidth="1"/>
    <col min="5928" max="5928" width="11.5703125" style="259" bestFit="1" customWidth="1"/>
    <col min="5929" max="5929" width="9.28515625" style="259" bestFit="1" customWidth="1"/>
    <col min="5930" max="5930" width="11.5703125" style="259" bestFit="1" customWidth="1"/>
    <col min="5931" max="5931" width="9.28515625" style="259" bestFit="1" customWidth="1"/>
    <col min="5932" max="5932" width="11.5703125" style="259" bestFit="1" customWidth="1"/>
    <col min="5933" max="5933" width="9.28515625" style="259" bestFit="1" customWidth="1"/>
    <col min="5934" max="5934" width="11.5703125" style="259" bestFit="1" customWidth="1"/>
    <col min="5935" max="5935" width="9.28515625" style="259" bestFit="1" customWidth="1"/>
    <col min="5936" max="5936" width="11.5703125" style="259" bestFit="1" customWidth="1"/>
    <col min="5937" max="5937" width="9.28515625" style="259" bestFit="1" customWidth="1"/>
    <col min="5938" max="5938" width="11.5703125" style="259" bestFit="1" customWidth="1"/>
    <col min="5939" max="5939" width="9.28515625" style="259" bestFit="1" customWidth="1"/>
    <col min="5940" max="6146" width="9.140625" style="259"/>
    <col min="6147" max="6147" width="29.42578125" style="259" bestFit="1" customWidth="1"/>
    <col min="6148" max="6148" width="11.5703125" style="259" bestFit="1" customWidth="1"/>
    <col min="6149" max="6149" width="9.28515625" style="259" bestFit="1" customWidth="1"/>
    <col min="6150" max="6150" width="11.5703125" style="259" bestFit="1" customWidth="1"/>
    <col min="6151" max="6151" width="9.28515625" style="259" bestFit="1" customWidth="1"/>
    <col min="6152" max="6152" width="11.5703125" style="259" bestFit="1" customWidth="1"/>
    <col min="6153" max="6153" width="9.28515625" style="259" bestFit="1" customWidth="1"/>
    <col min="6154" max="6154" width="11.5703125" style="259" bestFit="1" customWidth="1"/>
    <col min="6155" max="6155" width="9.28515625" style="259" bestFit="1" customWidth="1"/>
    <col min="6156" max="6156" width="11.5703125" style="259" bestFit="1" customWidth="1"/>
    <col min="6157" max="6157" width="9.28515625" style="259" bestFit="1" customWidth="1"/>
    <col min="6158" max="6158" width="11.5703125" style="259" bestFit="1" customWidth="1"/>
    <col min="6159" max="6159" width="9.28515625" style="259" bestFit="1" customWidth="1"/>
    <col min="6160" max="6160" width="11.5703125" style="259" bestFit="1" customWidth="1"/>
    <col min="6161" max="6161" width="9.28515625" style="259" bestFit="1" customWidth="1"/>
    <col min="6162" max="6162" width="11.5703125" style="259" bestFit="1" customWidth="1"/>
    <col min="6163" max="6163" width="9.28515625" style="259" bestFit="1" customWidth="1"/>
    <col min="6164" max="6164" width="11.5703125" style="259" bestFit="1" customWidth="1"/>
    <col min="6165" max="6165" width="9.28515625" style="259" bestFit="1" customWidth="1"/>
    <col min="6166" max="6166" width="11.5703125" style="259" bestFit="1" customWidth="1"/>
    <col min="6167" max="6167" width="9.28515625" style="259" bestFit="1" customWidth="1"/>
    <col min="6168" max="6168" width="11.5703125" style="259" bestFit="1" customWidth="1"/>
    <col min="6169" max="6169" width="9.28515625" style="259" bestFit="1" customWidth="1"/>
    <col min="6170" max="6170" width="11.5703125" style="259" bestFit="1" customWidth="1"/>
    <col min="6171" max="6171" width="9.28515625" style="259" bestFit="1" customWidth="1"/>
    <col min="6172" max="6172" width="11.5703125" style="259" bestFit="1" customWidth="1"/>
    <col min="6173" max="6173" width="9.28515625" style="259" bestFit="1" customWidth="1"/>
    <col min="6174" max="6174" width="11.5703125" style="259" bestFit="1" customWidth="1"/>
    <col min="6175" max="6175" width="9.28515625" style="259" bestFit="1" customWidth="1"/>
    <col min="6176" max="6176" width="11.5703125" style="259" bestFit="1" customWidth="1"/>
    <col min="6177" max="6177" width="9.28515625" style="259" bestFit="1" customWidth="1"/>
    <col min="6178" max="6178" width="11.5703125" style="259" bestFit="1" customWidth="1"/>
    <col min="6179" max="6179" width="9.28515625" style="259" bestFit="1" customWidth="1"/>
    <col min="6180" max="6180" width="11.5703125" style="259" bestFit="1" customWidth="1"/>
    <col min="6181" max="6181" width="9.28515625" style="259" bestFit="1" customWidth="1"/>
    <col min="6182" max="6182" width="11.5703125" style="259" bestFit="1" customWidth="1"/>
    <col min="6183" max="6183" width="9.28515625" style="259" bestFit="1" customWidth="1"/>
    <col min="6184" max="6184" width="11.5703125" style="259" bestFit="1" customWidth="1"/>
    <col min="6185" max="6185" width="9.28515625" style="259" bestFit="1" customWidth="1"/>
    <col min="6186" max="6186" width="11.5703125" style="259" bestFit="1" customWidth="1"/>
    <col min="6187" max="6187" width="9.28515625" style="259" bestFit="1" customWidth="1"/>
    <col min="6188" max="6188" width="11.5703125" style="259" bestFit="1" customWidth="1"/>
    <col min="6189" max="6189" width="9.28515625" style="259" bestFit="1" customWidth="1"/>
    <col min="6190" max="6190" width="11.5703125" style="259" bestFit="1" customWidth="1"/>
    <col min="6191" max="6191" width="9.28515625" style="259" bestFit="1" customWidth="1"/>
    <col min="6192" max="6192" width="11.5703125" style="259" bestFit="1" customWidth="1"/>
    <col min="6193" max="6193" width="9.28515625" style="259" bestFit="1" customWidth="1"/>
    <col min="6194" max="6194" width="11.5703125" style="259" bestFit="1" customWidth="1"/>
    <col min="6195" max="6195" width="9.28515625" style="259" bestFit="1" customWidth="1"/>
    <col min="6196" max="6402" width="9.140625" style="259"/>
    <col min="6403" max="6403" width="29.42578125" style="259" bestFit="1" customWidth="1"/>
    <col min="6404" max="6404" width="11.5703125" style="259" bestFit="1" customWidth="1"/>
    <col min="6405" max="6405" width="9.28515625" style="259" bestFit="1" customWidth="1"/>
    <col min="6406" max="6406" width="11.5703125" style="259" bestFit="1" customWidth="1"/>
    <col min="6407" max="6407" width="9.28515625" style="259" bestFit="1" customWidth="1"/>
    <col min="6408" max="6408" width="11.5703125" style="259" bestFit="1" customWidth="1"/>
    <col min="6409" max="6409" width="9.28515625" style="259" bestFit="1" customWidth="1"/>
    <col min="6410" max="6410" width="11.5703125" style="259" bestFit="1" customWidth="1"/>
    <col min="6411" max="6411" width="9.28515625" style="259" bestFit="1" customWidth="1"/>
    <col min="6412" max="6412" width="11.5703125" style="259" bestFit="1" customWidth="1"/>
    <col min="6413" max="6413" width="9.28515625" style="259" bestFit="1" customWidth="1"/>
    <col min="6414" max="6414" width="11.5703125" style="259" bestFit="1" customWidth="1"/>
    <col min="6415" max="6415" width="9.28515625" style="259" bestFit="1" customWidth="1"/>
    <col min="6416" max="6416" width="11.5703125" style="259" bestFit="1" customWidth="1"/>
    <col min="6417" max="6417" width="9.28515625" style="259" bestFit="1" customWidth="1"/>
    <col min="6418" max="6418" width="11.5703125" style="259" bestFit="1" customWidth="1"/>
    <col min="6419" max="6419" width="9.28515625" style="259" bestFit="1" customWidth="1"/>
    <col min="6420" max="6420" width="11.5703125" style="259" bestFit="1" customWidth="1"/>
    <col min="6421" max="6421" width="9.28515625" style="259" bestFit="1" customWidth="1"/>
    <col min="6422" max="6422" width="11.5703125" style="259" bestFit="1" customWidth="1"/>
    <col min="6423" max="6423" width="9.28515625" style="259" bestFit="1" customWidth="1"/>
    <col min="6424" max="6424" width="11.5703125" style="259" bestFit="1" customWidth="1"/>
    <col min="6425" max="6425" width="9.28515625" style="259" bestFit="1" customWidth="1"/>
    <col min="6426" max="6426" width="11.5703125" style="259" bestFit="1" customWidth="1"/>
    <col min="6427" max="6427" width="9.28515625" style="259" bestFit="1" customWidth="1"/>
    <col min="6428" max="6428" width="11.5703125" style="259" bestFit="1" customWidth="1"/>
    <col min="6429" max="6429" width="9.28515625" style="259" bestFit="1" customWidth="1"/>
    <col min="6430" max="6430" width="11.5703125" style="259" bestFit="1" customWidth="1"/>
    <col min="6431" max="6431" width="9.28515625" style="259" bestFit="1" customWidth="1"/>
    <col min="6432" max="6432" width="11.5703125" style="259" bestFit="1" customWidth="1"/>
    <col min="6433" max="6433" width="9.28515625" style="259" bestFit="1" customWidth="1"/>
    <col min="6434" max="6434" width="11.5703125" style="259" bestFit="1" customWidth="1"/>
    <col min="6435" max="6435" width="9.28515625" style="259" bestFit="1" customWidth="1"/>
    <col min="6436" max="6436" width="11.5703125" style="259" bestFit="1" customWidth="1"/>
    <col min="6437" max="6437" width="9.28515625" style="259" bestFit="1" customWidth="1"/>
    <col min="6438" max="6438" width="11.5703125" style="259" bestFit="1" customWidth="1"/>
    <col min="6439" max="6439" width="9.28515625" style="259" bestFit="1" customWidth="1"/>
    <col min="6440" max="6440" width="11.5703125" style="259" bestFit="1" customWidth="1"/>
    <col min="6441" max="6441" width="9.28515625" style="259" bestFit="1" customWidth="1"/>
    <col min="6442" max="6442" width="11.5703125" style="259" bestFit="1" customWidth="1"/>
    <col min="6443" max="6443" width="9.28515625" style="259" bestFit="1" customWidth="1"/>
    <col min="6444" max="6444" width="11.5703125" style="259" bestFit="1" customWidth="1"/>
    <col min="6445" max="6445" width="9.28515625" style="259" bestFit="1" customWidth="1"/>
    <col min="6446" max="6446" width="11.5703125" style="259" bestFit="1" customWidth="1"/>
    <col min="6447" max="6447" width="9.28515625" style="259" bestFit="1" customWidth="1"/>
    <col min="6448" max="6448" width="11.5703125" style="259" bestFit="1" customWidth="1"/>
    <col min="6449" max="6449" width="9.28515625" style="259" bestFit="1" customWidth="1"/>
    <col min="6450" max="6450" width="11.5703125" style="259" bestFit="1" customWidth="1"/>
    <col min="6451" max="6451" width="9.28515625" style="259" bestFit="1" customWidth="1"/>
    <col min="6452" max="6658" width="9.140625" style="259"/>
    <col min="6659" max="6659" width="29.42578125" style="259" bestFit="1" customWidth="1"/>
    <col min="6660" max="6660" width="11.5703125" style="259" bestFit="1" customWidth="1"/>
    <col min="6661" max="6661" width="9.28515625" style="259" bestFit="1" customWidth="1"/>
    <col min="6662" max="6662" width="11.5703125" style="259" bestFit="1" customWidth="1"/>
    <col min="6663" max="6663" width="9.28515625" style="259" bestFit="1" customWidth="1"/>
    <col min="6664" max="6664" width="11.5703125" style="259" bestFit="1" customWidth="1"/>
    <col min="6665" max="6665" width="9.28515625" style="259" bestFit="1" customWidth="1"/>
    <col min="6666" max="6666" width="11.5703125" style="259" bestFit="1" customWidth="1"/>
    <col min="6667" max="6667" width="9.28515625" style="259" bestFit="1" customWidth="1"/>
    <col min="6668" max="6668" width="11.5703125" style="259" bestFit="1" customWidth="1"/>
    <col min="6669" max="6669" width="9.28515625" style="259" bestFit="1" customWidth="1"/>
    <col min="6670" max="6670" width="11.5703125" style="259" bestFit="1" customWidth="1"/>
    <col min="6671" max="6671" width="9.28515625" style="259" bestFit="1" customWidth="1"/>
    <col min="6672" max="6672" width="11.5703125" style="259" bestFit="1" customWidth="1"/>
    <col min="6673" max="6673" width="9.28515625" style="259" bestFit="1" customWidth="1"/>
    <col min="6674" max="6674" width="11.5703125" style="259" bestFit="1" customWidth="1"/>
    <col min="6675" max="6675" width="9.28515625" style="259" bestFit="1" customWidth="1"/>
    <col min="6676" max="6676" width="11.5703125" style="259" bestFit="1" customWidth="1"/>
    <col min="6677" max="6677" width="9.28515625" style="259" bestFit="1" customWidth="1"/>
    <col min="6678" max="6678" width="11.5703125" style="259" bestFit="1" customWidth="1"/>
    <col min="6679" max="6679" width="9.28515625" style="259" bestFit="1" customWidth="1"/>
    <col min="6680" max="6680" width="11.5703125" style="259" bestFit="1" customWidth="1"/>
    <col min="6681" max="6681" width="9.28515625" style="259" bestFit="1" customWidth="1"/>
    <col min="6682" max="6682" width="11.5703125" style="259" bestFit="1" customWidth="1"/>
    <col min="6683" max="6683" width="9.28515625" style="259" bestFit="1" customWidth="1"/>
    <col min="6684" max="6684" width="11.5703125" style="259" bestFit="1" customWidth="1"/>
    <col min="6685" max="6685" width="9.28515625" style="259" bestFit="1" customWidth="1"/>
    <col min="6686" max="6686" width="11.5703125" style="259" bestFit="1" customWidth="1"/>
    <col min="6687" max="6687" width="9.28515625" style="259" bestFit="1" customWidth="1"/>
    <col min="6688" max="6688" width="11.5703125" style="259" bestFit="1" customWidth="1"/>
    <col min="6689" max="6689" width="9.28515625" style="259" bestFit="1" customWidth="1"/>
    <col min="6690" max="6690" width="11.5703125" style="259" bestFit="1" customWidth="1"/>
    <col min="6691" max="6691" width="9.28515625" style="259" bestFit="1" customWidth="1"/>
    <col min="6692" max="6692" width="11.5703125" style="259" bestFit="1" customWidth="1"/>
    <col min="6693" max="6693" width="9.28515625" style="259" bestFit="1" customWidth="1"/>
    <col min="6694" max="6694" width="11.5703125" style="259" bestFit="1" customWidth="1"/>
    <col min="6695" max="6695" width="9.28515625" style="259" bestFit="1" customWidth="1"/>
    <col min="6696" max="6696" width="11.5703125" style="259" bestFit="1" customWidth="1"/>
    <col min="6697" max="6697" width="9.28515625" style="259" bestFit="1" customWidth="1"/>
    <col min="6698" max="6698" width="11.5703125" style="259" bestFit="1" customWidth="1"/>
    <col min="6699" max="6699" width="9.28515625" style="259" bestFit="1" customWidth="1"/>
    <col min="6700" max="6700" width="11.5703125" style="259" bestFit="1" customWidth="1"/>
    <col min="6701" max="6701" width="9.28515625" style="259" bestFit="1" customWidth="1"/>
    <col min="6702" max="6702" width="11.5703125" style="259" bestFit="1" customWidth="1"/>
    <col min="6703" max="6703" width="9.28515625" style="259" bestFit="1" customWidth="1"/>
    <col min="6704" max="6704" width="11.5703125" style="259" bestFit="1" customWidth="1"/>
    <col min="6705" max="6705" width="9.28515625" style="259" bestFit="1" customWidth="1"/>
    <col min="6706" max="6706" width="11.5703125" style="259" bestFit="1" customWidth="1"/>
    <col min="6707" max="6707" width="9.28515625" style="259" bestFit="1" customWidth="1"/>
    <col min="6708" max="6914" width="9.140625" style="259"/>
    <col min="6915" max="6915" width="29.42578125" style="259" bestFit="1" customWidth="1"/>
    <col min="6916" max="6916" width="11.5703125" style="259" bestFit="1" customWidth="1"/>
    <col min="6917" max="6917" width="9.28515625" style="259" bestFit="1" customWidth="1"/>
    <col min="6918" max="6918" width="11.5703125" style="259" bestFit="1" customWidth="1"/>
    <col min="6919" max="6919" width="9.28515625" style="259" bestFit="1" customWidth="1"/>
    <col min="6920" max="6920" width="11.5703125" style="259" bestFit="1" customWidth="1"/>
    <col min="6921" max="6921" width="9.28515625" style="259" bestFit="1" customWidth="1"/>
    <col min="6922" max="6922" width="11.5703125" style="259" bestFit="1" customWidth="1"/>
    <col min="6923" max="6923" width="9.28515625" style="259" bestFit="1" customWidth="1"/>
    <col min="6924" max="6924" width="11.5703125" style="259" bestFit="1" customWidth="1"/>
    <col min="6925" max="6925" width="9.28515625" style="259" bestFit="1" customWidth="1"/>
    <col min="6926" max="6926" width="11.5703125" style="259" bestFit="1" customWidth="1"/>
    <col min="6927" max="6927" width="9.28515625" style="259" bestFit="1" customWidth="1"/>
    <col min="6928" max="6928" width="11.5703125" style="259" bestFit="1" customWidth="1"/>
    <col min="6929" max="6929" width="9.28515625" style="259" bestFit="1" customWidth="1"/>
    <col min="6930" max="6930" width="11.5703125" style="259" bestFit="1" customWidth="1"/>
    <col min="6931" max="6931" width="9.28515625" style="259" bestFit="1" customWidth="1"/>
    <col min="6932" max="6932" width="11.5703125" style="259" bestFit="1" customWidth="1"/>
    <col min="6933" max="6933" width="9.28515625" style="259" bestFit="1" customWidth="1"/>
    <col min="6934" max="6934" width="11.5703125" style="259" bestFit="1" customWidth="1"/>
    <col min="6935" max="6935" width="9.28515625" style="259" bestFit="1" customWidth="1"/>
    <col min="6936" max="6936" width="11.5703125" style="259" bestFit="1" customWidth="1"/>
    <col min="6937" max="6937" width="9.28515625" style="259" bestFit="1" customWidth="1"/>
    <col min="6938" max="6938" width="11.5703125" style="259" bestFit="1" customWidth="1"/>
    <col min="6939" max="6939" width="9.28515625" style="259" bestFit="1" customWidth="1"/>
    <col min="6940" max="6940" width="11.5703125" style="259" bestFit="1" customWidth="1"/>
    <col min="6941" max="6941" width="9.28515625" style="259" bestFit="1" customWidth="1"/>
    <col min="6942" max="6942" width="11.5703125" style="259" bestFit="1" customWidth="1"/>
    <col min="6943" max="6943" width="9.28515625" style="259" bestFit="1" customWidth="1"/>
    <col min="6944" max="6944" width="11.5703125" style="259" bestFit="1" customWidth="1"/>
    <col min="6945" max="6945" width="9.28515625" style="259" bestFit="1" customWidth="1"/>
    <col min="6946" max="6946" width="11.5703125" style="259" bestFit="1" customWidth="1"/>
    <col min="6947" max="6947" width="9.28515625" style="259" bestFit="1" customWidth="1"/>
    <col min="6948" max="6948" width="11.5703125" style="259" bestFit="1" customWidth="1"/>
    <col min="6949" max="6949" width="9.28515625" style="259" bestFit="1" customWidth="1"/>
    <col min="6950" max="6950" width="11.5703125" style="259" bestFit="1" customWidth="1"/>
    <col min="6951" max="6951" width="9.28515625" style="259" bestFit="1" customWidth="1"/>
    <col min="6952" max="6952" width="11.5703125" style="259" bestFit="1" customWidth="1"/>
    <col min="6953" max="6953" width="9.28515625" style="259" bestFit="1" customWidth="1"/>
    <col min="6954" max="6954" width="11.5703125" style="259" bestFit="1" customWidth="1"/>
    <col min="6955" max="6955" width="9.28515625" style="259" bestFit="1" customWidth="1"/>
    <col min="6956" max="6956" width="11.5703125" style="259" bestFit="1" customWidth="1"/>
    <col min="6957" max="6957" width="9.28515625" style="259" bestFit="1" customWidth="1"/>
    <col min="6958" max="6958" width="11.5703125" style="259" bestFit="1" customWidth="1"/>
    <col min="6959" max="6959" width="9.28515625" style="259" bestFit="1" customWidth="1"/>
    <col min="6960" max="6960" width="11.5703125" style="259" bestFit="1" customWidth="1"/>
    <col min="6961" max="6961" width="9.28515625" style="259" bestFit="1" customWidth="1"/>
    <col min="6962" max="6962" width="11.5703125" style="259" bestFit="1" customWidth="1"/>
    <col min="6963" max="6963" width="9.28515625" style="259" bestFit="1" customWidth="1"/>
    <col min="6964" max="7170" width="9.140625" style="259"/>
    <col min="7171" max="7171" width="29.42578125" style="259" bestFit="1" customWidth="1"/>
    <col min="7172" max="7172" width="11.5703125" style="259" bestFit="1" customWidth="1"/>
    <col min="7173" max="7173" width="9.28515625" style="259" bestFit="1" customWidth="1"/>
    <col min="7174" max="7174" width="11.5703125" style="259" bestFit="1" customWidth="1"/>
    <col min="7175" max="7175" width="9.28515625" style="259" bestFit="1" customWidth="1"/>
    <col min="7176" max="7176" width="11.5703125" style="259" bestFit="1" customWidth="1"/>
    <col min="7177" max="7177" width="9.28515625" style="259" bestFit="1" customWidth="1"/>
    <col min="7178" max="7178" width="11.5703125" style="259" bestFit="1" customWidth="1"/>
    <col min="7179" max="7179" width="9.28515625" style="259" bestFit="1" customWidth="1"/>
    <col min="7180" max="7180" width="11.5703125" style="259" bestFit="1" customWidth="1"/>
    <col min="7181" max="7181" width="9.28515625" style="259" bestFit="1" customWidth="1"/>
    <col min="7182" max="7182" width="11.5703125" style="259" bestFit="1" customWidth="1"/>
    <col min="7183" max="7183" width="9.28515625" style="259" bestFit="1" customWidth="1"/>
    <col min="7184" max="7184" width="11.5703125" style="259" bestFit="1" customWidth="1"/>
    <col min="7185" max="7185" width="9.28515625" style="259" bestFit="1" customWidth="1"/>
    <col min="7186" max="7186" width="11.5703125" style="259" bestFit="1" customWidth="1"/>
    <col min="7187" max="7187" width="9.28515625" style="259" bestFit="1" customWidth="1"/>
    <col min="7188" max="7188" width="11.5703125" style="259" bestFit="1" customWidth="1"/>
    <col min="7189" max="7189" width="9.28515625" style="259" bestFit="1" customWidth="1"/>
    <col min="7190" max="7190" width="11.5703125" style="259" bestFit="1" customWidth="1"/>
    <col min="7191" max="7191" width="9.28515625" style="259" bestFit="1" customWidth="1"/>
    <col min="7192" max="7192" width="11.5703125" style="259" bestFit="1" customWidth="1"/>
    <col min="7193" max="7193" width="9.28515625" style="259" bestFit="1" customWidth="1"/>
    <col min="7194" max="7194" width="11.5703125" style="259" bestFit="1" customWidth="1"/>
    <col min="7195" max="7195" width="9.28515625" style="259" bestFit="1" customWidth="1"/>
    <col min="7196" max="7196" width="11.5703125" style="259" bestFit="1" customWidth="1"/>
    <col min="7197" max="7197" width="9.28515625" style="259" bestFit="1" customWidth="1"/>
    <col min="7198" max="7198" width="11.5703125" style="259" bestFit="1" customWidth="1"/>
    <col min="7199" max="7199" width="9.28515625" style="259" bestFit="1" customWidth="1"/>
    <col min="7200" max="7200" width="11.5703125" style="259" bestFit="1" customWidth="1"/>
    <col min="7201" max="7201" width="9.28515625" style="259" bestFit="1" customWidth="1"/>
    <col min="7202" max="7202" width="11.5703125" style="259" bestFit="1" customWidth="1"/>
    <col min="7203" max="7203" width="9.28515625" style="259" bestFit="1" customWidth="1"/>
    <col min="7204" max="7204" width="11.5703125" style="259" bestFit="1" customWidth="1"/>
    <col min="7205" max="7205" width="9.28515625" style="259" bestFit="1" customWidth="1"/>
    <col min="7206" max="7206" width="11.5703125" style="259" bestFit="1" customWidth="1"/>
    <col min="7207" max="7207" width="9.28515625" style="259" bestFit="1" customWidth="1"/>
    <col min="7208" max="7208" width="11.5703125" style="259" bestFit="1" customWidth="1"/>
    <col min="7209" max="7209" width="9.28515625" style="259" bestFit="1" customWidth="1"/>
    <col min="7210" max="7210" width="11.5703125" style="259" bestFit="1" customWidth="1"/>
    <col min="7211" max="7211" width="9.28515625" style="259" bestFit="1" customWidth="1"/>
    <col min="7212" max="7212" width="11.5703125" style="259" bestFit="1" customWidth="1"/>
    <col min="7213" max="7213" width="9.28515625" style="259" bestFit="1" customWidth="1"/>
    <col min="7214" max="7214" width="11.5703125" style="259" bestFit="1" customWidth="1"/>
    <col min="7215" max="7215" width="9.28515625" style="259" bestFit="1" customWidth="1"/>
    <col min="7216" max="7216" width="11.5703125" style="259" bestFit="1" customWidth="1"/>
    <col min="7217" max="7217" width="9.28515625" style="259" bestFit="1" customWidth="1"/>
    <col min="7218" max="7218" width="11.5703125" style="259" bestFit="1" customWidth="1"/>
    <col min="7219" max="7219" width="9.28515625" style="259" bestFit="1" customWidth="1"/>
    <col min="7220" max="7426" width="9.140625" style="259"/>
    <col min="7427" max="7427" width="29.42578125" style="259" bestFit="1" customWidth="1"/>
    <col min="7428" max="7428" width="11.5703125" style="259" bestFit="1" customWidth="1"/>
    <col min="7429" max="7429" width="9.28515625" style="259" bestFit="1" customWidth="1"/>
    <col min="7430" max="7430" width="11.5703125" style="259" bestFit="1" customWidth="1"/>
    <col min="7431" max="7431" width="9.28515625" style="259" bestFit="1" customWidth="1"/>
    <col min="7432" max="7432" width="11.5703125" style="259" bestFit="1" customWidth="1"/>
    <col min="7433" max="7433" width="9.28515625" style="259" bestFit="1" customWidth="1"/>
    <col min="7434" max="7434" width="11.5703125" style="259" bestFit="1" customWidth="1"/>
    <col min="7435" max="7435" width="9.28515625" style="259" bestFit="1" customWidth="1"/>
    <col min="7436" max="7436" width="11.5703125" style="259" bestFit="1" customWidth="1"/>
    <col min="7437" max="7437" width="9.28515625" style="259" bestFit="1" customWidth="1"/>
    <col min="7438" max="7438" width="11.5703125" style="259" bestFit="1" customWidth="1"/>
    <col min="7439" max="7439" width="9.28515625" style="259" bestFit="1" customWidth="1"/>
    <col min="7440" max="7440" width="11.5703125" style="259" bestFit="1" customWidth="1"/>
    <col min="7441" max="7441" width="9.28515625" style="259" bestFit="1" customWidth="1"/>
    <col min="7442" max="7442" width="11.5703125" style="259" bestFit="1" customWidth="1"/>
    <col min="7443" max="7443" width="9.28515625" style="259" bestFit="1" customWidth="1"/>
    <col min="7444" max="7444" width="11.5703125" style="259" bestFit="1" customWidth="1"/>
    <col min="7445" max="7445" width="9.28515625" style="259" bestFit="1" customWidth="1"/>
    <col min="7446" max="7446" width="11.5703125" style="259" bestFit="1" customWidth="1"/>
    <col min="7447" max="7447" width="9.28515625" style="259" bestFit="1" customWidth="1"/>
    <col min="7448" max="7448" width="11.5703125" style="259" bestFit="1" customWidth="1"/>
    <col min="7449" max="7449" width="9.28515625" style="259" bestFit="1" customWidth="1"/>
    <col min="7450" max="7450" width="11.5703125" style="259" bestFit="1" customWidth="1"/>
    <col min="7451" max="7451" width="9.28515625" style="259" bestFit="1" customWidth="1"/>
    <col min="7452" max="7452" width="11.5703125" style="259" bestFit="1" customWidth="1"/>
    <col min="7453" max="7453" width="9.28515625" style="259" bestFit="1" customWidth="1"/>
    <col min="7454" max="7454" width="11.5703125" style="259" bestFit="1" customWidth="1"/>
    <col min="7455" max="7455" width="9.28515625" style="259" bestFit="1" customWidth="1"/>
    <col min="7456" max="7456" width="11.5703125" style="259" bestFit="1" customWidth="1"/>
    <col min="7457" max="7457" width="9.28515625" style="259" bestFit="1" customWidth="1"/>
    <col min="7458" max="7458" width="11.5703125" style="259" bestFit="1" customWidth="1"/>
    <col min="7459" max="7459" width="9.28515625" style="259" bestFit="1" customWidth="1"/>
    <col min="7460" max="7460" width="11.5703125" style="259" bestFit="1" customWidth="1"/>
    <col min="7461" max="7461" width="9.28515625" style="259" bestFit="1" customWidth="1"/>
    <col min="7462" max="7462" width="11.5703125" style="259" bestFit="1" customWidth="1"/>
    <col min="7463" max="7463" width="9.28515625" style="259" bestFit="1" customWidth="1"/>
    <col min="7464" max="7464" width="11.5703125" style="259" bestFit="1" customWidth="1"/>
    <col min="7465" max="7465" width="9.28515625" style="259" bestFit="1" customWidth="1"/>
    <col min="7466" max="7466" width="11.5703125" style="259" bestFit="1" customWidth="1"/>
    <col min="7467" max="7467" width="9.28515625" style="259" bestFit="1" customWidth="1"/>
    <col min="7468" max="7468" width="11.5703125" style="259" bestFit="1" customWidth="1"/>
    <col min="7469" max="7469" width="9.28515625" style="259" bestFit="1" customWidth="1"/>
    <col min="7470" max="7470" width="11.5703125" style="259" bestFit="1" customWidth="1"/>
    <col min="7471" max="7471" width="9.28515625" style="259" bestFit="1" customWidth="1"/>
    <col min="7472" max="7472" width="11.5703125" style="259" bestFit="1" customWidth="1"/>
    <col min="7473" max="7473" width="9.28515625" style="259" bestFit="1" customWidth="1"/>
    <col min="7474" max="7474" width="11.5703125" style="259" bestFit="1" customWidth="1"/>
    <col min="7475" max="7475" width="9.28515625" style="259" bestFit="1" customWidth="1"/>
    <col min="7476" max="7682" width="9.140625" style="259"/>
    <col min="7683" max="7683" width="29.42578125" style="259" bestFit="1" customWidth="1"/>
    <col min="7684" max="7684" width="11.5703125" style="259" bestFit="1" customWidth="1"/>
    <col min="7685" max="7685" width="9.28515625" style="259" bestFit="1" customWidth="1"/>
    <col min="7686" max="7686" width="11.5703125" style="259" bestFit="1" customWidth="1"/>
    <col min="7687" max="7687" width="9.28515625" style="259" bestFit="1" customWidth="1"/>
    <col min="7688" max="7688" width="11.5703125" style="259" bestFit="1" customWidth="1"/>
    <col min="7689" max="7689" width="9.28515625" style="259" bestFit="1" customWidth="1"/>
    <col min="7690" max="7690" width="11.5703125" style="259" bestFit="1" customWidth="1"/>
    <col min="7691" max="7691" width="9.28515625" style="259" bestFit="1" customWidth="1"/>
    <col min="7692" max="7692" width="11.5703125" style="259" bestFit="1" customWidth="1"/>
    <col min="7693" max="7693" width="9.28515625" style="259" bestFit="1" customWidth="1"/>
    <col min="7694" max="7694" width="11.5703125" style="259" bestFit="1" customWidth="1"/>
    <col min="7695" max="7695" width="9.28515625" style="259" bestFit="1" customWidth="1"/>
    <col min="7696" max="7696" width="11.5703125" style="259" bestFit="1" customWidth="1"/>
    <col min="7697" max="7697" width="9.28515625" style="259" bestFit="1" customWidth="1"/>
    <col min="7698" max="7698" width="11.5703125" style="259" bestFit="1" customWidth="1"/>
    <col min="7699" max="7699" width="9.28515625" style="259" bestFit="1" customWidth="1"/>
    <col min="7700" max="7700" width="11.5703125" style="259" bestFit="1" customWidth="1"/>
    <col min="7701" max="7701" width="9.28515625" style="259" bestFit="1" customWidth="1"/>
    <col min="7702" max="7702" width="11.5703125" style="259" bestFit="1" customWidth="1"/>
    <col min="7703" max="7703" width="9.28515625" style="259" bestFit="1" customWidth="1"/>
    <col min="7704" max="7704" width="11.5703125" style="259" bestFit="1" customWidth="1"/>
    <col min="7705" max="7705" width="9.28515625" style="259" bestFit="1" customWidth="1"/>
    <col min="7706" max="7706" width="11.5703125" style="259" bestFit="1" customWidth="1"/>
    <col min="7707" max="7707" width="9.28515625" style="259" bestFit="1" customWidth="1"/>
    <col min="7708" max="7708" width="11.5703125" style="259" bestFit="1" customWidth="1"/>
    <col min="7709" max="7709" width="9.28515625" style="259" bestFit="1" customWidth="1"/>
    <col min="7710" max="7710" width="11.5703125" style="259" bestFit="1" customWidth="1"/>
    <col min="7711" max="7711" width="9.28515625" style="259" bestFit="1" customWidth="1"/>
    <col min="7712" max="7712" width="11.5703125" style="259" bestFit="1" customWidth="1"/>
    <col min="7713" max="7713" width="9.28515625" style="259" bestFit="1" customWidth="1"/>
    <col min="7714" max="7714" width="11.5703125" style="259" bestFit="1" customWidth="1"/>
    <col min="7715" max="7715" width="9.28515625" style="259" bestFit="1" customWidth="1"/>
    <col min="7716" max="7716" width="11.5703125" style="259" bestFit="1" customWidth="1"/>
    <col min="7717" max="7717" width="9.28515625" style="259" bestFit="1" customWidth="1"/>
    <col min="7718" max="7718" width="11.5703125" style="259" bestFit="1" customWidth="1"/>
    <col min="7719" max="7719" width="9.28515625" style="259" bestFit="1" customWidth="1"/>
    <col min="7720" max="7720" width="11.5703125" style="259" bestFit="1" customWidth="1"/>
    <col min="7721" max="7721" width="9.28515625" style="259" bestFit="1" customWidth="1"/>
    <col min="7722" max="7722" width="11.5703125" style="259" bestFit="1" customWidth="1"/>
    <col min="7723" max="7723" width="9.28515625" style="259" bestFit="1" customWidth="1"/>
    <col min="7724" max="7724" width="11.5703125" style="259" bestFit="1" customWidth="1"/>
    <col min="7725" max="7725" width="9.28515625" style="259" bestFit="1" customWidth="1"/>
    <col min="7726" max="7726" width="11.5703125" style="259" bestFit="1" customWidth="1"/>
    <col min="7727" max="7727" width="9.28515625" style="259" bestFit="1" customWidth="1"/>
    <col min="7728" max="7728" width="11.5703125" style="259" bestFit="1" customWidth="1"/>
    <col min="7729" max="7729" width="9.28515625" style="259" bestFit="1" customWidth="1"/>
    <col min="7730" max="7730" width="11.5703125" style="259" bestFit="1" customWidth="1"/>
    <col min="7731" max="7731" width="9.28515625" style="259" bestFit="1" customWidth="1"/>
    <col min="7732" max="7938" width="9.140625" style="259"/>
    <col min="7939" max="7939" width="29.42578125" style="259" bestFit="1" customWidth="1"/>
    <col min="7940" max="7940" width="11.5703125" style="259" bestFit="1" customWidth="1"/>
    <col min="7941" max="7941" width="9.28515625" style="259" bestFit="1" customWidth="1"/>
    <col min="7942" max="7942" width="11.5703125" style="259" bestFit="1" customWidth="1"/>
    <col min="7943" max="7943" width="9.28515625" style="259" bestFit="1" customWidth="1"/>
    <col min="7944" max="7944" width="11.5703125" style="259" bestFit="1" customWidth="1"/>
    <col min="7945" max="7945" width="9.28515625" style="259" bestFit="1" customWidth="1"/>
    <col min="7946" max="7946" width="11.5703125" style="259" bestFit="1" customWidth="1"/>
    <col min="7947" max="7947" width="9.28515625" style="259" bestFit="1" customWidth="1"/>
    <col min="7948" max="7948" width="11.5703125" style="259" bestFit="1" customWidth="1"/>
    <col min="7949" max="7949" width="9.28515625" style="259" bestFit="1" customWidth="1"/>
    <col min="7950" max="7950" width="11.5703125" style="259" bestFit="1" customWidth="1"/>
    <col min="7951" max="7951" width="9.28515625" style="259" bestFit="1" customWidth="1"/>
    <col min="7952" max="7952" width="11.5703125" style="259" bestFit="1" customWidth="1"/>
    <col min="7953" max="7953" width="9.28515625" style="259" bestFit="1" customWidth="1"/>
    <col min="7954" max="7954" width="11.5703125" style="259" bestFit="1" customWidth="1"/>
    <col min="7955" max="7955" width="9.28515625" style="259" bestFit="1" customWidth="1"/>
    <col min="7956" max="7956" width="11.5703125" style="259" bestFit="1" customWidth="1"/>
    <col min="7957" max="7957" width="9.28515625" style="259" bestFit="1" customWidth="1"/>
    <col min="7958" max="7958" width="11.5703125" style="259" bestFit="1" customWidth="1"/>
    <col min="7959" max="7959" width="9.28515625" style="259" bestFit="1" customWidth="1"/>
    <col min="7960" max="7960" width="11.5703125" style="259" bestFit="1" customWidth="1"/>
    <col min="7961" max="7961" width="9.28515625" style="259" bestFit="1" customWidth="1"/>
    <col min="7962" max="7962" width="11.5703125" style="259" bestFit="1" customWidth="1"/>
    <col min="7963" max="7963" width="9.28515625" style="259" bestFit="1" customWidth="1"/>
    <col min="7964" max="7964" width="11.5703125" style="259" bestFit="1" customWidth="1"/>
    <col min="7965" max="7965" width="9.28515625" style="259" bestFit="1" customWidth="1"/>
    <col min="7966" max="7966" width="11.5703125" style="259" bestFit="1" customWidth="1"/>
    <col min="7967" max="7967" width="9.28515625" style="259" bestFit="1" customWidth="1"/>
    <col min="7968" max="7968" width="11.5703125" style="259" bestFit="1" customWidth="1"/>
    <col min="7969" max="7969" width="9.28515625" style="259" bestFit="1" customWidth="1"/>
    <col min="7970" max="7970" width="11.5703125" style="259" bestFit="1" customWidth="1"/>
    <col min="7971" max="7971" width="9.28515625" style="259" bestFit="1" customWidth="1"/>
    <col min="7972" max="7972" width="11.5703125" style="259" bestFit="1" customWidth="1"/>
    <col min="7973" max="7973" width="9.28515625" style="259" bestFit="1" customWidth="1"/>
    <col min="7974" max="7974" width="11.5703125" style="259" bestFit="1" customWidth="1"/>
    <col min="7975" max="7975" width="9.28515625" style="259" bestFit="1" customWidth="1"/>
    <col min="7976" max="7976" width="11.5703125" style="259" bestFit="1" customWidth="1"/>
    <col min="7977" max="7977" width="9.28515625" style="259" bestFit="1" customWidth="1"/>
    <col min="7978" max="7978" width="11.5703125" style="259" bestFit="1" customWidth="1"/>
    <col min="7979" max="7979" width="9.28515625" style="259" bestFit="1" customWidth="1"/>
    <col min="7980" max="7980" width="11.5703125" style="259" bestFit="1" customWidth="1"/>
    <col min="7981" max="7981" width="9.28515625" style="259" bestFit="1" customWidth="1"/>
    <col min="7982" max="7982" width="11.5703125" style="259" bestFit="1" customWidth="1"/>
    <col min="7983" max="7983" width="9.28515625" style="259" bestFit="1" customWidth="1"/>
    <col min="7984" max="7984" width="11.5703125" style="259" bestFit="1" customWidth="1"/>
    <col min="7985" max="7985" width="9.28515625" style="259" bestFit="1" customWidth="1"/>
    <col min="7986" max="7986" width="11.5703125" style="259" bestFit="1" customWidth="1"/>
    <col min="7987" max="7987" width="9.28515625" style="259" bestFit="1" customWidth="1"/>
    <col min="7988" max="8194" width="9.140625" style="259"/>
    <col min="8195" max="8195" width="29.42578125" style="259" bestFit="1" customWidth="1"/>
    <col min="8196" max="8196" width="11.5703125" style="259" bestFit="1" customWidth="1"/>
    <col min="8197" max="8197" width="9.28515625" style="259" bestFit="1" customWidth="1"/>
    <col min="8198" max="8198" width="11.5703125" style="259" bestFit="1" customWidth="1"/>
    <col min="8199" max="8199" width="9.28515625" style="259" bestFit="1" customWidth="1"/>
    <col min="8200" max="8200" width="11.5703125" style="259" bestFit="1" customWidth="1"/>
    <col min="8201" max="8201" width="9.28515625" style="259" bestFit="1" customWidth="1"/>
    <col min="8202" max="8202" width="11.5703125" style="259" bestFit="1" customWidth="1"/>
    <col min="8203" max="8203" width="9.28515625" style="259" bestFit="1" customWidth="1"/>
    <col min="8204" max="8204" width="11.5703125" style="259" bestFit="1" customWidth="1"/>
    <col min="8205" max="8205" width="9.28515625" style="259" bestFit="1" customWidth="1"/>
    <col min="8206" max="8206" width="11.5703125" style="259" bestFit="1" customWidth="1"/>
    <col min="8207" max="8207" width="9.28515625" style="259" bestFit="1" customWidth="1"/>
    <col min="8208" max="8208" width="11.5703125" style="259" bestFit="1" customWidth="1"/>
    <col min="8209" max="8209" width="9.28515625" style="259" bestFit="1" customWidth="1"/>
    <col min="8210" max="8210" width="11.5703125" style="259" bestFit="1" customWidth="1"/>
    <col min="8211" max="8211" width="9.28515625" style="259" bestFit="1" customWidth="1"/>
    <col min="8212" max="8212" width="11.5703125" style="259" bestFit="1" customWidth="1"/>
    <col min="8213" max="8213" width="9.28515625" style="259" bestFit="1" customWidth="1"/>
    <col min="8214" max="8214" width="11.5703125" style="259" bestFit="1" customWidth="1"/>
    <col min="8215" max="8215" width="9.28515625" style="259" bestFit="1" customWidth="1"/>
    <col min="8216" max="8216" width="11.5703125" style="259" bestFit="1" customWidth="1"/>
    <col min="8217" max="8217" width="9.28515625" style="259" bestFit="1" customWidth="1"/>
    <col min="8218" max="8218" width="11.5703125" style="259" bestFit="1" customWidth="1"/>
    <col min="8219" max="8219" width="9.28515625" style="259" bestFit="1" customWidth="1"/>
    <col min="8220" max="8220" width="11.5703125" style="259" bestFit="1" customWidth="1"/>
    <col min="8221" max="8221" width="9.28515625" style="259" bestFit="1" customWidth="1"/>
    <col min="8222" max="8222" width="11.5703125" style="259" bestFit="1" customWidth="1"/>
    <col min="8223" max="8223" width="9.28515625" style="259" bestFit="1" customWidth="1"/>
    <col min="8224" max="8224" width="11.5703125" style="259" bestFit="1" customWidth="1"/>
    <col min="8225" max="8225" width="9.28515625" style="259" bestFit="1" customWidth="1"/>
    <col min="8226" max="8226" width="11.5703125" style="259" bestFit="1" customWidth="1"/>
    <col min="8227" max="8227" width="9.28515625" style="259" bestFit="1" customWidth="1"/>
    <col min="8228" max="8228" width="11.5703125" style="259" bestFit="1" customWidth="1"/>
    <col min="8229" max="8229" width="9.28515625" style="259" bestFit="1" customWidth="1"/>
    <col min="8230" max="8230" width="11.5703125" style="259" bestFit="1" customWidth="1"/>
    <col min="8231" max="8231" width="9.28515625" style="259" bestFit="1" customWidth="1"/>
    <col min="8232" max="8232" width="11.5703125" style="259" bestFit="1" customWidth="1"/>
    <col min="8233" max="8233" width="9.28515625" style="259" bestFit="1" customWidth="1"/>
    <col min="8234" max="8234" width="11.5703125" style="259" bestFit="1" customWidth="1"/>
    <col min="8235" max="8235" width="9.28515625" style="259" bestFit="1" customWidth="1"/>
    <col min="8236" max="8236" width="11.5703125" style="259" bestFit="1" customWidth="1"/>
    <col min="8237" max="8237" width="9.28515625" style="259" bestFit="1" customWidth="1"/>
    <col min="8238" max="8238" width="11.5703125" style="259" bestFit="1" customWidth="1"/>
    <col min="8239" max="8239" width="9.28515625" style="259" bestFit="1" customWidth="1"/>
    <col min="8240" max="8240" width="11.5703125" style="259" bestFit="1" customWidth="1"/>
    <col min="8241" max="8241" width="9.28515625" style="259" bestFit="1" customWidth="1"/>
    <col min="8242" max="8242" width="11.5703125" style="259" bestFit="1" customWidth="1"/>
    <col min="8243" max="8243" width="9.28515625" style="259" bestFit="1" customWidth="1"/>
    <col min="8244" max="8450" width="9.140625" style="259"/>
    <col min="8451" max="8451" width="29.42578125" style="259" bestFit="1" customWidth="1"/>
    <col min="8452" max="8452" width="11.5703125" style="259" bestFit="1" customWidth="1"/>
    <col min="8453" max="8453" width="9.28515625" style="259" bestFit="1" customWidth="1"/>
    <col min="8454" max="8454" width="11.5703125" style="259" bestFit="1" customWidth="1"/>
    <col min="8455" max="8455" width="9.28515625" style="259" bestFit="1" customWidth="1"/>
    <col min="8456" max="8456" width="11.5703125" style="259" bestFit="1" customWidth="1"/>
    <col min="8457" max="8457" width="9.28515625" style="259" bestFit="1" customWidth="1"/>
    <col min="8458" max="8458" width="11.5703125" style="259" bestFit="1" customWidth="1"/>
    <col min="8459" max="8459" width="9.28515625" style="259" bestFit="1" customWidth="1"/>
    <col min="8460" max="8460" width="11.5703125" style="259" bestFit="1" customWidth="1"/>
    <col min="8461" max="8461" width="9.28515625" style="259" bestFit="1" customWidth="1"/>
    <col min="8462" max="8462" width="11.5703125" style="259" bestFit="1" customWidth="1"/>
    <col min="8463" max="8463" width="9.28515625" style="259" bestFit="1" customWidth="1"/>
    <col min="8464" max="8464" width="11.5703125" style="259" bestFit="1" customWidth="1"/>
    <col min="8465" max="8465" width="9.28515625" style="259" bestFit="1" customWidth="1"/>
    <col min="8466" max="8466" width="11.5703125" style="259" bestFit="1" customWidth="1"/>
    <col min="8467" max="8467" width="9.28515625" style="259" bestFit="1" customWidth="1"/>
    <col min="8468" max="8468" width="11.5703125" style="259" bestFit="1" customWidth="1"/>
    <col min="8469" max="8469" width="9.28515625" style="259" bestFit="1" customWidth="1"/>
    <col min="8470" max="8470" width="11.5703125" style="259" bestFit="1" customWidth="1"/>
    <col min="8471" max="8471" width="9.28515625" style="259" bestFit="1" customWidth="1"/>
    <col min="8472" max="8472" width="11.5703125" style="259" bestFit="1" customWidth="1"/>
    <col min="8473" max="8473" width="9.28515625" style="259" bestFit="1" customWidth="1"/>
    <col min="8474" max="8474" width="11.5703125" style="259" bestFit="1" customWidth="1"/>
    <col min="8475" max="8475" width="9.28515625" style="259" bestFit="1" customWidth="1"/>
    <col min="8476" max="8476" width="11.5703125" style="259" bestFit="1" customWidth="1"/>
    <col min="8477" max="8477" width="9.28515625" style="259" bestFit="1" customWidth="1"/>
    <col min="8478" max="8478" width="11.5703125" style="259" bestFit="1" customWidth="1"/>
    <col min="8479" max="8479" width="9.28515625" style="259" bestFit="1" customWidth="1"/>
    <col min="8480" max="8480" width="11.5703125" style="259" bestFit="1" customWidth="1"/>
    <col min="8481" max="8481" width="9.28515625" style="259" bestFit="1" customWidth="1"/>
    <col min="8482" max="8482" width="11.5703125" style="259" bestFit="1" customWidth="1"/>
    <col min="8483" max="8483" width="9.28515625" style="259" bestFit="1" customWidth="1"/>
    <col min="8484" max="8484" width="11.5703125" style="259" bestFit="1" customWidth="1"/>
    <col min="8485" max="8485" width="9.28515625" style="259" bestFit="1" customWidth="1"/>
    <col min="8486" max="8486" width="11.5703125" style="259" bestFit="1" customWidth="1"/>
    <col min="8487" max="8487" width="9.28515625" style="259" bestFit="1" customWidth="1"/>
    <col min="8488" max="8488" width="11.5703125" style="259" bestFit="1" customWidth="1"/>
    <col min="8489" max="8489" width="9.28515625" style="259" bestFit="1" customWidth="1"/>
    <col min="8490" max="8490" width="11.5703125" style="259" bestFit="1" customWidth="1"/>
    <col min="8491" max="8491" width="9.28515625" style="259" bestFit="1" customWidth="1"/>
    <col min="8492" max="8492" width="11.5703125" style="259" bestFit="1" customWidth="1"/>
    <col min="8493" max="8493" width="9.28515625" style="259" bestFit="1" customWidth="1"/>
    <col min="8494" max="8494" width="11.5703125" style="259" bestFit="1" customWidth="1"/>
    <col min="8495" max="8495" width="9.28515625" style="259" bestFit="1" customWidth="1"/>
    <col min="8496" max="8496" width="11.5703125" style="259" bestFit="1" customWidth="1"/>
    <col min="8497" max="8497" width="9.28515625" style="259" bestFit="1" customWidth="1"/>
    <col min="8498" max="8498" width="11.5703125" style="259" bestFit="1" customWidth="1"/>
    <col min="8499" max="8499" width="9.28515625" style="259" bestFit="1" customWidth="1"/>
    <col min="8500" max="8706" width="9.140625" style="259"/>
    <col min="8707" max="8707" width="29.42578125" style="259" bestFit="1" customWidth="1"/>
    <col min="8708" max="8708" width="11.5703125" style="259" bestFit="1" customWidth="1"/>
    <col min="8709" max="8709" width="9.28515625" style="259" bestFit="1" customWidth="1"/>
    <col min="8710" max="8710" width="11.5703125" style="259" bestFit="1" customWidth="1"/>
    <col min="8711" max="8711" width="9.28515625" style="259" bestFit="1" customWidth="1"/>
    <col min="8712" max="8712" width="11.5703125" style="259" bestFit="1" customWidth="1"/>
    <col min="8713" max="8713" width="9.28515625" style="259" bestFit="1" customWidth="1"/>
    <col min="8714" max="8714" width="11.5703125" style="259" bestFit="1" customWidth="1"/>
    <col min="8715" max="8715" width="9.28515625" style="259" bestFit="1" customWidth="1"/>
    <col min="8716" max="8716" width="11.5703125" style="259" bestFit="1" customWidth="1"/>
    <col min="8717" max="8717" width="9.28515625" style="259" bestFit="1" customWidth="1"/>
    <col min="8718" max="8718" width="11.5703125" style="259" bestFit="1" customWidth="1"/>
    <col min="8719" max="8719" width="9.28515625" style="259" bestFit="1" customWidth="1"/>
    <col min="8720" max="8720" width="11.5703125" style="259" bestFit="1" customWidth="1"/>
    <col min="8721" max="8721" width="9.28515625" style="259" bestFit="1" customWidth="1"/>
    <col min="8722" max="8722" width="11.5703125" style="259" bestFit="1" customWidth="1"/>
    <col min="8723" max="8723" width="9.28515625" style="259" bestFit="1" customWidth="1"/>
    <col min="8724" max="8724" width="11.5703125" style="259" bestFit="1" customWidth="1"/>
    <col min="8725" max="8725" width="9.28515625" style="259" bestFit="1" customWidth="1"/>
    <col min="8726" max="8726" width="11.5703125" style="259" bestFit="1" customWidth="1"/>
    <col min="8727" max="8727" width="9.28515625" style="259" bestFit="1" customWidth="1"/>
    <col min="8728" max="8728" width="11.5703125" style="259" bestFit="1" customWidth="1"/>
    <col min="8729" max="8729" width="9.28515625" style="259" bestFit="1" customWidth="1"/>
    <col min="8730" max="8730" width="11.5703125" style="259" bestFit="1" customWidth="1"/>
    <col min="8731" max="8731" width="9.28515625" style="259" bestFit="1" customWidth="1"/>
    <col min="8732" max="8732" width="11.5703125" style="259" bestFit="1" customWidth="1"/>
    <col min="8733" max="8733" width="9.28515625" style="259" bestFit="1" customWidth="1"/>
    <col min="8734" max="8734" width="11.5703125" style="259" bestFit="1" customWidth="1"/>
    <col min="8735" max="8735" width="9.28515625" style="259" bestFit="1" customWidth="1"/>
    <col min="8736" max="8736" width="11.5703125" style="259" bestFit="1" customWidth="1"/>
    <col min="8737" max="8737" width="9.28515625" style="259" bestFit="1" customWidth="1"/>
    <col min="8738" max="8738" width="11.5703125" style="259" bestFit="1" customWidth="1"/>
    <col min="8739" max="8739" width="9.28515625" style="259" bestFit="1" customWidth="1"/>
    <col min="8740" max="8740" width="11.5703125" style="259" bestFit="1" customWidth="1"/>
    <col min="8741" max="8741" width="9.28515625" style="259" bestFit="1" customWidth="1"/>
    <col min="8742" max="8742" width="11.5703125" style="259" bestFit="1" customWidth="1"/>
    <col min="8743" max="8743" width="9.28515625" style="259" bestFit="1" customWidth="1"/>
    <col min="8744" max="8744" width="11.5703125" style="259" bestFit="1" customWidth="1"/>
    <col min="8745" max="8745" width="9.28515625" style="259" bestFit="1" customWidth="1"/>
    <col min="8746" max="8746" width="11.5703125" style="259" bestFit="1" customWidth="1"/>
    <col min="8747" max="8747" width="9.28515625" style="259" bestFit="1" customWidth="1"/>
    <col min="8748" max="8748" width="11.5703125" style="259" bestFit="1" customWidth="1"/>
    <col min="8749" max="8749" width="9.28515625" style="259" bestFit="1" customWidth="1"/>
    <col min="8750" max="8750" width="11.5703125" style="259" bestFit="1" customWidth="1"/>
    <col min="8751" max="8751" width="9.28515625" style="259" bestFit="1" customWidth="1"/>
    <col min="8752" max="8752" width="11.5703125" style="259" bestFit="1" customWidth="1"/>
    <col min="8753" max="8753" width="9.28515625" style="259" bestFit="1" customWidth="1"/>
    <col min="8754" max="8754" width="11.5703125" style="259" bestFit="1" customWidth="1"/>
    <col min="8755" max="8755" width="9.28515625" style="259" bestFit="1" customWidth="1"/>
    <col min="8756" max="8962" width="9.140625" style="259"/>
    <col min="8963" max="8963" width="29.42578125" style="259" bestFit="1" customWidth="1"/>
    <col min="8964" max="8964" width="11.5703125" style="259" bestFit="1" customWidth="1"/>
    <col min="8965" max="8965" width="9.28515625" style="259" bestFit="1" customWidth="1"/>
    <col min="8966" max="8966" width="11.5703125" style="259" bestFit="1" customWidth="1"/>
    <col min="8967" max="8967" width="9.28515625" style="259" bestFit="1" customWidth="1"/>
    <col min="8968" max="8968" width="11.5703125" style="259" bestFit="1" customWidth="1"/>
    <col min="8969" max="8969" width="9.28515625" style="259" bestFit="1" customWidth="1"/>
    <col min="8970" max="8970" width="11.5703125" style="259" bestFit="1" customWidth="1"/>
    <col min="8971" max="8971" width="9.28515625" style="259" bestFit="1" customWidth="1"/>
    <col min="8972" max="8972" width="11.5703125" style="259" bestFit="1" customWidth="1"/>
    <col min="8973" max="8973" width="9.28515625" style="259" bestFit="1" customWidth="1"/>
    <col min="8974" max="8974" width="11.5703125" style="259" bestFit="1" customWidth="1"/>
    <col min="8975" max="8975" width="9.28515625" style="259" bestFit="1" customWidth="1"/>
    <col min="8976" max="8976" width="11.5703125" style="259" bestFit="1" customWidth="1"/>
    <col min="8977" max="8977" width="9.28515625" style="259" bestFit="1" customWidth="1"/>
    <col min="8978" max="8978" width="11.5703125" style="259" bestFit="1" customWidth="1"/>
    <col min="8979" max="8979" width="9.28515625" style="259" bestFit="1" customWidth="1"/>
    <col min="8980" max="8980" width="11.5703125" style="259" bestFit="1" customWidth="1"/>
    <col min="8981" max="8981" width="9.28515625" style="259" bestFit="1" customWidth="1"/>
    <col min="8982" max="8982" width="11.5703125" style="259" bestFit="1" customWidth="1"/>
    <col min="8983" max="8983" width="9.28515625" style="259" bestFit="1" customWidth="1"/>
    <col min="8984" max="8984" width="11.5703125" style="259" bestFit="1" customWidth="1"/>
    <col min="8985" max="8985" width="9.28515625" style="259" bestFit="1" customWidth="1"/>
    <col min="8986" max="8986" width="11.5703125" style="259" bestFit="1" customWidth="1"/>
    <col min="8987" max="8987" width="9.28515625" style="259" bestFit="1" customWidth="1"/>
    <col min="8988" max="8988" width="11.5703125" style="259" bestFit="1" customWidth="1"/>
    <col min="8989" max="8989" width="9.28515625" style="259" bestFit="1" customWidth="1"/>
    <col min="8990" max="8990" width="11.5703125" style="259" bestFit="1" customWidth="1"/>
    <col min="8991" max="8991" width="9.28515625" style="259" bestFit="1" customWidth="1"/>
    <col min="8992" max="8992" width="11.5703125" style="259" bestFit="1" customWidth="1"/>
    <col min="8993" max="8993" width="9.28515625" style="259" bestFit="1" customWidth="1"/>
    <col min="8994" max="8994" width="11.5703125" style="259" bestFit="1" customWidth="1"/>
    <col min="8995" max="8995" width="9.28515625" style="259" bestFit="1" customWidth="1"/>
    <col min="8996" max="8996" width="11.5703125" style="259" bestFit="1" customWidth="1"/>
    <col min="8997" max="8997" width="9.28515625" style="259" bestFit="1" customWidth="1"/>
    <col min="8998" max="8998" width="11.5703125" style="259" bestFit="1" customWidth="1"/>
    <col min="8999" max="8999" width="9.28515625" style="259" bestFit="1" customWidth="1"/>
    <col min="9000" max="9000" width="11.5703125" style="259" bestFit="1" customWidth="1"/>
    <col min="9001" max="9001" width="9.28515625" style="259" bestFit="1" customWidth="1"/>
    <col min="9002" max="9002" width="11.5703125" style="259" bestFit="1" customWidth="1"/>
    <col min="9003" max="9003" width="9.28515625" style="259" bestFit="1" customWidth="1"/>
    <col min="9004" max="9004" width="11.5703125" style="259" bestFit="1" customWidth="1"/>
    <col min="9005" max="9005" width="9.28515625" style="259" bestFit="1" customWidth="1"/>
    <col min="9006" max="9006" width="11.5703125" style="259" bestFit="1" customWidth="1"/>
    <col min="9007" max="9007" width="9.28515625" style="259" bestFit="1" customWidth="1"/>
    <col min="9008" max="9008" width="11.5703125" style="259" bestFit="1" customWidth="1"/>
    <col min="9009" max="9009" width="9.28515625" style="259" bestFit="1" customWidth="1"/>
    <col min="9010" max="9010" width="11.5703125" style="259" bestFit="1" customWidth="1"/>
    <col min="9011" max="9011" width="9.28515625" style="259" bestFit="1" customWidth="1"/>
    <col min="9012" max="9218" width="9.140625" style="259"/>
    <col min="9219" max="9219" width="29.42578125" style="259" bestFit="1" customWidth="1"/>
    <col min="9220" max="9220" width="11.5703125" style="259" bestFit="1" customWidth="1"/>
    <col min="9221" max="9221" width="9.28515625" style="259" bestFit="1" customWidth="1"/>
    <col min="9222" max="9222" width="11.5703125" style="259" bestFit="1" customWidth="1"/>
    <col min="9223" max="9223" width="9.28515625" style="259" bestFit="1" customWidth="1"/>
    <col min="9224" max="9224" width="11.5703125" style="259" bestFit="1" customWidth="1"/>
    <col min="9225" max="9225" width="9.28515625" style="259" bestFit="1" customWidth="1"/>
    <col min="9226" max="9226" width="11.5703125" style="259" bestFit="1" customWidth="1"/>
    <col min="9227" max="9227" width="9.28515625" style="259" bestFit="1" customWidth="1"/>
    <col min="9228" max="9228" width="11.5703125" style="259" bestFit="1" customWidth="1"/>
    <col min="9229" max="9229" width="9.28515625" style="259" bestFit="1" customWidth="1"/>
    <col min="9230" max="9230" width="11.5703125" style="259" bestFit="1" customWidth="1"/>
    <col min="9231" max="9231" width="9.28515625" style="259" bestFit="1" customWidth="1"/>
    <col min="9232" max="9232" width="11.5703125" style="259" bestFit="1" customWidth="1"/>
    <col min="9233" max="9233" width="9.28515625" style="259" bestFit="1" customWidth="1"/>
    <col min="9234" max="9234" width="11.5703125" style="259" bestFit="1" customWidth="1"/>
    <col min="9235" max="9235" width="9.28515625" style="259" bestFit="1" customWidth="1"/>
    <col min="9236" max="9236" width="11.5703125" style="259" bestFit="1" customWidth="1"/>
    <col min="9237" max="9237" width="9.28515625" style="259" bestFit="1" customWidth="1"/>
    <col min="9238" max="9238" width="11.5703125" style="259" bestFit="1" customWidth="1"/>
    <col min="9239" max="9239" width="9.28515625" style="259" bestFit="1" customWidth="1"/>
    <col min="9240" max="9240" width="11.5703125" style="259" bestFit="1" customWidth="1"/>
    <col min="9241" max="9241" width="9.28515625" style="259" bestFit="1" customWidth="1"/>
    <col min="9242" max="9242" width="11.5703125" style="259" bestFit="1" customWidth="1"/>
    <col min="9243" max="9243" width="9.28515625" style="259" bestFit="1" customWidth="1"/>
    <col min="9244" max="9244" width="11.5703125" style="259" bestFit="1" customWidth="1"/>
    <col min="9245" max="9245" width="9.28515625" style="259" bestFit="1" customWidth="1"/>
    <col min="9246" max="9246" width="11.5703125" style="259" bestFit="1" customWidth="1"/>
    <col min="9247" max="9247" width="9.28515625" style="259" bestFit="1" customWidth="1"/>
    <col min="9248" max="9248" width="11.5703125" style="259" bestFit="1" customWidth="1"/>
    <col min="9249" max="9249" width="9.28515625" style="259" bestFit="1" customWidth="1"/>
    <col min="9250" max="9250" width="11.5703125" style="259" bestFit="1" customWidth="1"/>
    <col min="9251" max="9251" width="9.28515625" style="259" bestFit="1" customWidth="1"/>
    <col min="9252" max="9252" width="11.5703125" style="259" bestFit="1" customWidth="1"/>
    <col min="9253" max="9253" width="9.28515625" style="259" bestFit="1" customWidth="1"/>
    <col min="9254" max="9254" width="11.5703125" style="259" bestFit="1" customWidth="1"/>
    <col min="9255" max="9255" width="9.28515625" style="259" bestFit="1" customWidth="1"/>
    <col min="9256" max="9256" width="11.5703125" style="259" bestFit="1" customWidth="1"/>
    <col min="9257" max="9257" width="9.28515625" style="259" bestFit="1" customWidth="1"/>
    <col min="9258" max="9258" width="11.5703125" style="259" bestFit="1" customWidth="1"/>
    <col min="9259" max="9259" width="9.28515625" style="259" bestFit="1" customWidth="1"/>
    <col min="9260" max="9260" width="11.5703125" style="259" bestFit="1" customWidth="1"/>
    <col min="9261" max="9261" width="9.28515625" style="259" bestFit="1" customWidth="1"/>
    <col min="9262" max="9262" width="11.5703125" style="259" bestFit="1" customWidth="1"/>
    <col min="9263" max="9263" width="9.28515625" style="259" bestFit="1" customWidth="1"/>
    <col min="9264" max="9264" width="11.5703125" style="259" bestFit="1" customWidth="1"/>
    <col min="9265" max="9265" width="9.28515625" style="259" bestFit="1" customWidth="1"/>
    <col min="9266" max="9266" width="11.5703125" style="259" bestFit="1" customWidth="1"/>
    <col min="9267" max="9267" width="9.28515625" style="259" bestFit="1" customWidth="1"/>
    <col min="9268" max="9474" width="9.140625" style="259"/>
    <col min="9475" max="9475" width="29.42578125" style="259" bestFit="1" customWidth="1"/>
    <col min="9476" max="9476" width="11.5703125" style="259" bestFit="1" customWidth="1"/>
    <col min="9477" max="9477" width="9.28515625" style="259" bestFit="1" customWidth="1"/>
    <col min="9478" max="9478" width="11.5703125" style="259" bestFit="1" customWidth="1"/>
    <col min="9479" max="9479" width="9.28515625" style="259" bestFit="1" customWidth="1"/>
    <col min="9480" max="9480" width="11.5703125" style="259" bestFit="1" customWidth="1"/>
    <col min="9481" max="9481" width="9.28515625" style="259" bestFit="1" customWidth="1"/>
    <col min="9482" max="9482" width="11.5703125" style="259" bestFit="1" customWidth="1"/>
    <col min="9483" max="9483" width="9.28515625" style="259" bestFit="1" customWidth="1"/>
    <col min="9484" max="9484" width="11.5703125" style="259" bestFit="1" customWidth="1"/>
    <col min="9485" max="9485" width="9.28515625" style="259" bestFit="1" customWidth="1"/>
    <col min="9486" max="9486" width="11.5703125" style="259" bestFit="1" customWidth="1"/>
    <col min="9487" max="9487" width="9.28515625" style="259" bestFit="1" customWidth="1"/>
    <col min="9488" max="9488" width="11.5703125" style="259" bestFit="1" customWidth="1"/>
    <col min="9489" max="9489" width="9.28515625" style="259" bestFit="1" customWidth="1"/>
    <col min="9490" max="9490" width="11.5703125" style="259" bestFit="1" customWidth="1"/>
    <col min="9491" max="9491" width="9.28515625" style="259" bestFit="1" customWidth="1"/>
    <col min="9492" max="9492" width="11.5703125" style="259" bestFit="1" customWidth="1"/>
    <col min="9493" max="9493" width="9.28515625" style="259" bestFit="1" customWidth="1"/>
    <col min="9494" max="9494" width="11.5703125" style="259" bestFit="1" customWidth="1"/>
    <col min="9495" max="9495" width="9.28515625" style="259" bestFit="1" customWidth="1"/>
    <col min="9496" max="9496" width="11.5703125" style="259" bestFit="1" customWidth="1"/>
    <col min="9497" max="9497" width="9.28515625" style="259" bestFit="1" customWidth="1"/>
    <col min="9498" max="9498" width="11.5703125" style="259" bestFit="1" customWidth="1"/>
    <col min="9499" max="9499" width="9.28515625" style="259" bestFit="1" customWidth="1"/>
    <col min="9500" max="9500" width="11.5703125" style="259" bestFit="1" customWidth="1"/>
    <col min="9501" max="9501" width="9.28515625" style="259" bestFit="1" customWidth="1"/>
    <col min="9502" max="9502" width="11.5703125" style="259" bestFit="1" customWidth="1"/>
    <col min="9503" max="9503" width="9.28515625" style="259" bestFit="1" customWidth="1"/>
    <col min="9504" max="9504" width="11.5703125" style="259" bestFit="1" customWidth="1"/>
    <col min="9505" max="9505" width="9.28515625" style="259" bestFit="1" customWidth="1"/>
    <col min="9506" max="9506" width="11.5703125" style="259" bestFit="1" customWidth="1"/>
    <col min="9507" max="9507" width="9.28515625" style="259" bestFit="1" customWidth="1"/>
    <col min="9508" max="9508" width="11.5703125" style="259" bestFit="1" customWidth="1"/>
    <col min="9509" max="9509" width="9.28515625" style="259" bestFit="1" customWidth="1"/>
    <col min="9510" max="9510" width="11.5703125" style="259" bestFit="1" customWidth="1"/>
    <col min="9511" max="9511" width="9.28515625" style="259" bestFit="1" customWidth="1"/>
    <col min="9512" max="9512" width="11.5703125" style="259" bestFit="1" customWidth="1"/>
    <col min="9513" max="9513" width="9.28515625" style="259" bestFit="1" customWidth="1"/>
    <col min="9514" max="9514" width="11.5703125" style="259" bestFit="1" customWidth="1"/>
    <col min="9515" max="9515" width="9.28515625" style="259" bestFit="1" customWidth="1"/>
    <col min="9516" max="9516" width="11.5703125" style="259" bestFit="1" customWidth="1"/>
    <col min="9517" max="9517" width="9.28515625" style="259" bestFit="1" customWidth="1"/>
    <col min="9518" max="9518" width="11.5703125" style="259" bestFit="1" customWidth="1"/>
    <col min="9519" max="9519" width="9.28515625" style="259" bestFit="1" customWidth="1"/>
    <col min="9520" max="9520" width="11.5703125" style="259" bestFit="1" customWidth="1"/>
    <col min="9521" max="9521" width="9.28515625" style="259" bestFit="1" customWidth="1"/>
    <col min="9522" max="9522" width="11.5703125" style="259" bestFit="1" customWidth="1"/>
    <col min="9523" max="9523" width="9.28515625" style="259" bestFit="1" customWidth="1"/>
    <col min="9524" max="9730" width="9.140625" style="259"/>
    <col min="9731" max="9731" width="29.42578125" style="259" bestFit="1" customWidth="1"/>
    <col min="9732" max="9732" width="11.5703125" style="259" bestFit="1" customWidth="1"/>
    <col min="9733" max="9733" width="9.28515625" style="259" bestFit="1" customWidth="1"/>
    <col min="9734" max="9734" width="11.5703125" style="259" bestFit="1" customWidth="1"/>
    <col min="9735" max="9735" width="9.28515625" style="259" bestFit="1" customWidth="1"/>
    <col min="9736" max="9736" width="11.5703125" style="259" bestFit="1" customWidth="1"/>
    <col min="9737" max="9737" width="9.28515625" style="259" bestFit="1" customWidth="1"/>
    <col min="9738" max="9738" width="11.5703125" style="259" bestFit="1" customWidth="1"/>
    <col min="9739" max="9739" width="9.28515625" style="259" bestFit="1" customWidth="1"/>
    <col min="9740" max="9740" width="11.5703125" style="259" bestFit="1" customWidth="1"/>
    <col min="9741" max="9741" width="9.28515625" style="259" bestFit="1" customWidth="1"/>
    <col min="9742" max="9742" width="11.5703125" style="259" bestFit="1" customWidth="1"/>
    <col min="9743" max="9743" width="9.28515625" style="259" bestFit="1" customWidth="1"/>
    <col min="9744" max="9744" width="11.5703125" style="259" bestFit="1" customWidth="1"/>
    <col min="9745" max="9745" width="9.28515625" style="259" bestFit="1" customWidth="1"/>
    <col min="9746" max="9746" width="11.5703125" style="259" bestFit="1" customWidth="1"/>
    <col min="9747" max="9747" width="9.28515625" style="259" bestFit="1" customWidth="1"/>
    <col min="9748" max="9748" width="11.5703125" style="259" bestFit="1" customWidth="1"/>
    <col min="9749" max="9749" width="9.28515625" style="259" bestFit="1" customWidth="1"/>
    <col min="9750" max="9750" width="11.5703125" style="259" bestFit="1" customWidth="1"/>
    <col min="9751" max="9751" width="9.28515625" style="259" bestFit="1" customWidth="1"/>
    <col min="9752" max="9752" width="11.5703125" style="259" bestFit="1" customWidth="1"/>
    <col min="9753" max="9753" width="9.28515625" style="259" bestFit="1" customWidth="1"/>
    <col min="9754" max="9754" width="11.5703125" style="259" bestFit="1" customWidth="1"/>
    <col min="9755" max="9755" width="9.28515625" style="259" bestFit="1" customWidth="1"/>
    <col min="9756" max="9756" width="11.5703125" style="259" bestFit="1" customWidth="1"/>
    <col min="9757" max="9757" width="9.28515625" style="259" bestFit="1" customWidth="1"/>
    <col min="9758" max="9758" width="11.5703125" style="259" bestFit="1" customWidth="1"/>
    <col min="9759" max="9759" width="9.28515625" style="259" bestFit="1" customWidth="1"/>
    <col min="9760" max="9760" width="11.5703125" style="259" bestFit="1" customWidth="1"/>
    <col min="9761" max="9761" width="9.28515625" style="259" bestFit="1" customWidth="1"/>
    <col min="9762" max="9762" width="11.5703125" style="259" bestFit="1" customWidth="1"/>
    <col min="9763" max="9763" width="9.28515625" style="259" bestFit="1" customWidth="1"/>
    <col min="9764" max="9764" width="11.5703125" style="259" bestFit="1" customWidth="1"/>
    <col min="9765" max="9765" width="9.28515625" style="259" bestFit="1" customWidth="1"/>
    <col min="9766" max="9766" width="11.5703125" style="259" bestFit="1" customWidth="1"/>
    <col min="9767" max="9767" width="9.28515625" style="259" bestFit="1" customWidth="1"/>
    <col min="9768" max="9768" width="11.5703125" style="259" bestFit="1" customWidth="1"/>
    <col min="9769" max="9769" width="9.28515625" style="259" bestFit="1" customWidth="1"/>
    <col min="9770" max="9770" width="11.5703125" style="259" bestFit="1" customWidth="1"/>
    <col min="9771" max="9771" width="9.28515625" style="259" bestFit="1" customWidth="1"/>
    <col min="9772" max="9772" width="11.5703125" style="259" bestFit="1" customWidth="1"/>
    <col min="9773" max="9773" width="9.28515625" style="259" bestFit="1" customWidth="1"/>
    <col min="9774" max="9774" width="11.5703125" style="259" bestFit="1" customWidth="1"/>
    <col min="9775" max="9775" width="9.28515625" style="259" bestFit="1" customWidth="1"/>
    <col min="9776" max="9776" width="11.5703125" style="259" bestFit="1" customWidth="1"/>
    <col min="9777" max="9777" width="9.28515625" style="259" bestFit="1" customWidth="1"/>
    <col min="9778" max="9778" width="11.5703125" style="259" bestFit="1" customWidth="1"/>
    <col min="9779" max="9779" width="9.28515625" style="259" bestFit="1" customWidth="1"/>
    <col min="9780" max="9986" width="9.140625" style="259"/>
    <col min="9987" max="9987" width="29.42578125" style="259" bestFit="1" customWidth="1"/>
    <col min="9988" max="9988" width="11.5703125" style="259" bestFit="1" customWidth="1"/>
    <col min="9989" max="9989" width="9.28515625" style="259" bestFit="1" customWidth="1"/>
    <col min="9990" max="9990" width="11.5703125" style="259" bestFit="1" customWidth="1"/>
    <col min="9991" max="9991" width="9.28515625" style="259" bestFit="1" customWidth="1"/>
    <col min="9992" max="9992" width="11.5703125" style="259" bestFit="1" customWidth="1"/>
    <col min="9993" max="9993" width="9.28515625" style="259" bestFit="1" customWidth="1"/>
    <col min="9994" max="9994" width="11.5703125" style="259" bestFit="1" customWidth="1"/>
    <col min="9995" max="9995" width="9.28515625" style="259" bestFit="1" customWidth="1"/>
    <col min="9996" max="9996" width="11.5703125" style="259" bestFit="1" customWidth="1"/>
    <col min="9997" max="9997" width="9.28515625" style="259" bestFit="1" customWidth="1"/>
    <col min="9998" max="9998" width="11.5703125" style="259" bestFit="1" customWidth="1"/>
    <col min="9999" max="9999" width="9.28515625" style="259" bestFit="1" customWidth="1"/>
    <col min="10000" max="10000" width="11.5703125" style="259" bestFit="1" customWidth="1"/>
    <col min="10001" max="10001" width="9.28515625" style="259" bestFit="1" customWidth="1"/>
    <col min="10002" max="10002" width="11.5703125" style="259" bestFit="1" customWidth="1"/>
    <col min="10003" max="10003" width="9.28515625" style="259" bestFit="1" customWidth="1"/>
    <col min="10004" max="10004" width="11.5703125" style="259" bestFit="1" customWidth="1"/>
    <col min="10005" max="10005" width="9.28515625" style="259" bestFit="1" customWidth="1"/>
    <col min="10006" max="10006" width="11.5703125" style="259" bestFit="1" customWidth="1"/>
    <col min="10007" max="10007" width="9.28515625" style="259" bestFit="1" customWidth="1"/>
    <col min="10008" max="10008" width="11.5703125" style="259" bestFit="1" customWidth="1"/>
    <col min="10009" max="10009" width="9.28515625" style="259" bestFit="1" customWidth="1"/>
    <col min="10010" max="10010" width="11.5703125" style="259" bestFit="1" customWidth="1"/>
    <col min="10011" max="10011" width="9.28515625" style="259" bestFit="1" customWidth="1"/>
    <col min="10012" max="10012" width="11.5703125" style="259" bestFit="1" customWidth="1"/>
    <col min="10013" max="10013" width="9.28515625" style="259" bestFit="1" customWidth="1"/>
    <col min="10014" max="10014" width="11.5703125" style="259" bestFit="1" customWidth="1"/>
    <col min="10015" max="10015" width="9.28515625" style="259" bestFit="1" customWidth="1"/>
    <col min="10016" max="10016" width="11.5703125" style="259" bestFit="1" customWidth="1"/>
    <col min="10017" max="10017" width="9.28515625" style="259" bestFit="1" customWidth="1"/>
    <col min="10018" max="10018" width="11.5703125" style="259" bestFit="1" customWidth="1"/>
    <col min="10019" max="10019" width="9.28515625" style="259" bestFit="1" customWidth="1"/>
    <col min="10020" max="10020" width="11.5703125" style="259" bestFit="1" customWidth="1"/>
    <col min="10021" max="10021" width="9.28515625" style="259" bestFit="1" customWidth="1"/>
    <col min="10022" max="10022" width="11.5703125" style="259" bestFit="1" customWidth="1"/>
    <col min="10023" max="10023" width="9.28515625" style="259" bestFit="1" customWidth="1"/>
    <col min="10024" max="10024" width="11.5703125" style="259" bestFit="1" customWidth="1"/>
    <col min="10025" max="10025" width="9.28515625" style="259" bestFit="1" customWidth="1"/>
    <col min="10026" max="10026" width="11.5703125" style="259" bestFit="1" customWidth="1"/>
    <col min="10027" max="10027" width="9.28515625" style="259" bestFit="1" customWidth="1"/>
    <col min="10028" max="10028" width="11.5703125" style="259" bestFit="1" customWidth="1"/>
    <col min="10029" max="10029" width="9.28515625" style="259" bestFit="1" customWidth="1"/>
    <col min="10030" max="10030" width="11.5703125" style="259" bestFit="1" customWidth="1"/>
    <col min="10031" max="10031" width="9.28515625" style="259" bestFit="1" customWidth="1"/>
    <col min="10032" max="10032" width="11.5703125" style="259" bestFit="1" customWidth="1"/>
    <col min="10033" max="10033" width="9.28515625" style="259" bestFit="1" customWidth="1"/>
    <col min="10034" max="10034" width="11.5703125" style="259" bestFit="1" customWidth="1"/>
    <col min="10035" max="10035" width="9.28515625" style="259" bestFit="1" customWidth="1"/>
    <col min="10036" max="10242" width="9.140625" style="259"/>
    <col min="10243" max="10243" width="29.42578125" style="259" bestFit="1" customWidth="1"/>
    <col min="10244" max="10244" width="11.5703125" style="259" bestFit="1" customWidth="1"/>
    <col min="10245" max="10245" width="9.28515625" style="259" bestFit="1" customWidth="1"/>
    <col min="10246" max="10246" width="11.5703125" style="259" bestFit="1" customWidth="1"/>
    <col min="10247" max="10247" width="9.28515625" style="259" bestFit="1" customWidth="1"/>
    <col min="10248" max="10248" width="11.5703125" style="259" bestFit="1" customWidth="1"/>
    <col min="10249" max="10249" width="9.28515625" style="259" bestFit="1" customWidth="1"/>
    <col min="10250" max="10250" width="11.5703125" style="259" bestFit="1" customWidth="1"/>
    <col min="10251" max="10251" width="9.28515625" style="259" bestFit="1" customWidth="1"/>
    <col min="10252" max="10252" width="11.5703125" style="259" bestFit="1" customWidth="1"/>
    <col min="10253" max="10253" width="9.28515625" style="259" bestFit="1" customWidth="1"/>
    <col min="10254" max="10254" width="11.5703125" style="259" bestFit="1" customWidth="1"/>
    <col min="10255" max="10255" width="9.28515625" style="259" bestFit="1" customWidth="1"/>
    <col min="10256" max="10256" width="11.5703125" style="259" bestFit="1" customWidth="1"/>
    <col min="10257" max="10257" width="9.28515625" style="259" bestFit="1" customWidth="1"/>
    <col min="10258" max="10258" width="11.5703125" style="259" bestFit="1" customWidth="1"/>
    <col min="10259" max="10259" width="9.28515625" style="259" bestFit="1" customWidth="1"/>
    <col min="10260" max="10260" width="11.5703125" style="259" bestFit="1" customWidth="1"/>
    <col min="10261" max="10261" width="9.28515625" style="259" bestFit="1" customWidth="1"/>
    <col min="10262" max="10262" width="11.5703125" style="259" bestFit="1" customWidth="1"/>
    <col min="10263" max="10263" width="9.28515625" style="259" bestFit="1" customWidth="1"/>
    <col min="10264" max="10264" width="11.5703125" style="259" bestFit="1" customWidth="1"/>
    <col min="10265" max="10265" width="9.28515625" style="259" bestFit="1" customWidth="1"/>
    <col min="10266" max="10266" width="11.5703125" style="259" bestFit="1" customWidth="1"/>
    <col min="10267" max="10267" width="9.28515625" style="259" bestFit="1" customWidth="1"/>
    <col min="10268" max="10268" width="11.5703125" style="259" bestFit="1" customWidth="1"/>
    <col min="10269" max="10269" width="9.28515625" style="259" bestFit="1" customWidth="1"/>
    <col min="10270" max="10270" width="11.5703125" style="259" bestFit="1" customWidth="1"/>
    <col min="10271" max="10271" width="9.28515625" style="259" bestFit="1" customWidth="1"/>
    <col min="10272" max="10272" width="11.5703125" style="259" bestFit="1" customWidth="1"/>
    <col min="10273" max="10273" width="9.28515625" style="259" bestFit="1" customWidth="1"/>
    <col min="10274" max="10274" width="11.5703125" style="259" bestFit="1" customWidth="1"/>
    <col min="10275" max="10275" width="9.28515625" style="259" bestFit="1" customWidth="1"/>
    <col min="10276" max="10276" width="11.5703125" style="259" bestFit="1" customWidth="1"/>
    <col min="10277" max="10277" width="9.28515625" style="259" bestFit="1" customWidth="1"/>
    <col min="10278" max="10278" width="11.5703125" style="259" bestFit="1" customWidth="1"/>
    <col min="10279" max="10279" width="9.28515625" style="259" bestFit="1" customWidth="1"/>
    <col min="10280" max="10280" width="11.5703125" style="259" bestFit="1" customWidth="1"/>
    <col min="10281" max="10281" width="9.28515625" style="259" bestFit="1" customWidth="1"/>
    <col min="10282" max="10282" width="11.5703125" style="259" bestFit="1" customWidth="1"/>
    <col min="10283" max="10283" width="9.28515625" style="259" bestFit="1" customWidth="1"/>
    <col min="10284" max="10284" width="11.5703125" style="259" bestFit="1" customWidth="1"/>
    <col min="10285" max="10285" width="9.28515625" style="259" bestFit="1" customWidth="1"/>
    <col min="10286" max="10286" width="11.5703125" style="259" bestFit="1" customWidth="1"/>
    <col min="10287" max="10287" width="9.28515625" style="259" bestFit="1" customWidth="1"/>
    <col min="10288" max="10288" width="11.5703125" style="259" bestFit="1" customWidth="1"/>
    <col min="10289" max="10289" width="9.28515625" style="259" bestFit="1" customWidth="1"/>
    <col min="10290" max="10290" width="11.5703125" style="259" bestFit="1" customWidth="1"/>
    <col min="10291" max="10291" width="9.28515625" style="259" bestFit="1" customWidth="1"/>
    <col min="10292" max="10498" width="9.140625" style="259"/>
    <col min="10499" max="10499" width="29.42578125" style="259" bestFit="1" customWidth="1"/>
    <col min="10500" max="10500" width="11.5703125" style="259" bestFit="1" customWidth="1"/>
    <col min="10501" max="10501" width="9.28515625" style="259" bestFit="1" customWidth="1"/>
    <col min="10502" max="10502" width="11.5703125" style="259" bestFit="1" customWidth="1"/>
    <col min="10503" max="10503" width="9.28515625" style="259" bestFit="1" customWidth="1"/>
    <col min="10504" max="10504" width="11.5703125" style="259" bestFit="1" customWidth="1"/>
    <col min="10505" max="10505" width="9.28515625" style="259" bestFit="1" customWidth="1"/>
    <col min="10506" max="10506" width="11.5703125" style="259" bestFit="1" customWidth="1"/>
    <col min="10507" max="10507" width="9.28515625" style="259" bestFit="1" customWidth="1"/>
    <col min="10508" max="10508" width="11.5703125" style="259" bestFit="1" customWidth="1"/>
    <col min="10509" max="10509" width="9.28515625" style="259" bestFit="1" customWidth="1"/>
    <col min="10510" max="10510" width="11.5703125" style="259" bestFit="1" customWidth="1"/>
    <col min="10511" max="10511" width="9.28515625" style="259" bestFit="1" customWidth="1"/>
    <col min="10512" max="10512" width="11.5703125" style="259" bestFit="1" customWidth="1"/>
    <col min="10513" max="10513" width="9.28515625" style="259" bestFit="1" customWidth="1"/>
    <col min="10514" max="10514" width="11.5703125" style="259" bestFit="1" customWidth="1"/>
    <col min="10515" max="10515" width="9.28515625" style="259" bestFit="1" customWidth="1"/>
    <col min="10516" max="10516" width="11.5703125" style="259" bestFit="1" customWidth="1"/>
    <col min="10517" max="10517" width="9.28515625" style="259" bestFit="1" customWidth="1"/>
    <col min="10518" max="10518" width="11.5703125" style="259" bestFit="1" customWidth="1"/>
    <col min="10519" max="10519" width="9.28515625" style="259" bestFit="1" customWidth="1"/>
    <col min="10520" max="10520" width="11.5703125" style="259" bestFit="1" customWidth="1"/>
    <col min="10521" max="10521" width="9.28515625" style="259" bestFit="1" customWidth="1"/>
    <col min="10522" max="10522" width="11.5703125" style="259" bestFit="1" customWidth="1"/>
    <col min="10523" max="10523" width="9.28515625" style="259" bestFit="1" customWidth="1"/>
    <col min="10524" max="10524" width="11.5703125" style="259" bestFit="1" customWidth="1"/>
    <col min="10525" max="10525" width="9.28515625" style="259" bestFit="1" customWidth="1"/>
    <col min="10526" max="10526" width="11.5703125" style="259" bestFit="1" customWidth="1"/>
    <col min="10527" max="10527" width="9.28515625" style="259" bestFit="1" customWidth="1"/>
    <col min="10528" max="10528" width="11.5703125" style="259" bestFit="1" customWidth="1"/>
    <col min="10529" max="10529" width="9.28515625" style="259" bestFit="1" customWidth="1"/>
    <col min="10530" max="10530" width="11.5703125" style="259" bestFit="1" customWidth="1"/>
    <col min="10531" max="10531" width="9.28515625" style="259" bestFit="1" customWidth="1"/>
    <col min="10532" max="10532" width="11.5703125" style="259" bestFit="1" customWidth="1"/>
    <col min="10533" max="10533" width="9.28515625" style="259" bestFit="1" customWidth="1"/>
    <col min="10534" max="10534" width="11.5703125" style="259" bestFit="1" customWidth="1"/>
    <col min="10535" max="10535" width="9.28515625" style="259" bestFit="1" customWidth="1"/>
    <col min="10536" max="10536" width="11.5703125" style="259" bestFit="1" customWidth="1"/>
    <col min="10537" max="10537" width="9.28515625" style="259" bestFit="1" customWidth="1"/>
    <col min="10538" max="10538" width="11.5703125" style="259" bestFit="1" customWidth="1"/>
    <col min="10539" max="10539" width="9.28515625" style="259" bestFit="1" customWidth="1"/>
    <col min="10540" max="10540" width="11.5703125" style="259" bestFit="1" customWidth="1"/>
    <col min="10541" max="10541" width="9.28515625" style="259" bestFit="1" customWidth="1"/>
    <col min="10542" max="10542" width="11.5703125" style="259" bestFit="1" customWidth="1"/>
    <col min="10543" max="10543" width="9.28515625" style="259" bestFit="1" customWidth="1"/>
    <col min="10544" max="10544" width="11.5703125" style="259" bestFit="1" customWidth="1"/>
    <col min="10545" max="10545" width="9.28515625" style="259" bestFit="1" customWidth="1"/>
    <col min="10546" max="10546" width="11.5703125" style="259" bestFit="1" customWidth="1"/>
    <col min="10547" max="10547" width="9.28515625" style="259" bestFit="1" customWidth="1"/>
    <col min="10548" max="10754" width="9.140625" style="259"/>
    <col min="10755" max="10755" width="29.42578125" style="259" bestFit="1" customWidth="1"/>
    <col min="10756" max="10756" width="11.5703125" style="259" bestFit="1" customWidth="1"/>
    <col min="10757" max="10757" width="9.28515625" style="259" bestFit="1" customWidth="1"/>
    <col min="10758" max="10758" width="11.5703125" style="259" bestFit="1" customWidth="1"/>
    <col min="10759" max="10759" width="9.28515625" style="259" bestFit="1" customWidth="1"/>
    <col min="10760" max="10760" width="11.5703125" style="259" bestFit="1" customWidth="1"/>
    <col min="10761" max="10761" width="9.28515625" style="259" bestFit="1" customWidth="1"/>
    <col min="10762" max="10762" width="11.5703125" style="259" bestFit="1" customWidth="1"/>
    <col min="10763" max="10763" width="9.28515625" style="259" bestFit="1" customWidth="1"/>
    <col min="10764" max="10764" width="11.5703125" style="259" bestFit="1" customWidth="1"/>
    <col min="10765" max="10765" width="9.28515625" style="259" bestFit="1" customWidth="1"/>
    <col min="10766" max="10766" width="11.5703125" style="259" bestFit="1" customWidth="1"/>
    <col min="10767" max="10767" width="9.28515625" style="259" bestFit="1" customWidth="1"/>
    <col min="10768" max="10768" width="11.5703125" style="259" bestFit="1" customWidth="1"/>
    <col min="10769" max="10769" width="9.28515625" style="259" bestFit="1" customWidth="1"/>
    <col min="10770" max="10770" width="11.5703125" style="259" bestFit="1" customWidth="1"/>
    <col min="10771" max="10771" width="9.28515625" style="259" bestFit="1" customWidth="1"/>
    <col min="10772" max="10772" width="11.5703125" style="259" bestFit="1" customWidth="1"/>
    <col min="10773" max="10773" width="9.28515625" style="259" bestFit="1" customWidth="1"/>
    <col min="10774" max="10774" width="11.5703125" style="259" bestFit="1" customWidth="1"/>
    <col min="10775" max="10775" width="9.28515625" style="259" bestFit="1" customWidth="1"/>
    <col min="10776" max="10776" width="11.5703125" style="259" bestFit="1" customWidth="1"/>
    <col min="10777" max="10777" width="9.28515625" style="259" bestFit="1" customWidth="1"/>
    <col min="10778" max="10778" width="11.5703125" style="259" bestFit="1" customWidth="1"/>
    <col min="10779" max="10779" width="9.28515625" style="259" bestFit="1" customWidth="1"/>
    <col min="10780" max="10780" width="11.5703125" style="259" bestFit="1" customWidth="1"/>
    <col min="10781" max="10781" width="9.28515625" style="259" bestFit="1" customWidth="1"/>
    <col min="10782" max="10782" width="11.5703125" style="259" bestFit="1" customWidth="1"/>
    <col min="10783" max="10783" width="9.28515625" style="259" bestFit="1" customWidth="1"/>
    <col min="10784" max="10784" width="11.5703125" style="259" bestFit="1" customWidth="1"/>
    <col min="10785" max="10785" width="9.28515625" style="259" bestFit="1" customWidth="1"/>
    <col min="10786" max="10786" width="11.5703125" style="259" bestFit="1" customWidth="1"/>
    <col min="10787" max="10787" width="9.28515625" style="259" bestFit="1" customWidth="1"/>
    <col min="10788" max="10788" width="11.5703125" style="259" bestFit="1" customWidth="1"/>
    <col min="10789" max="10789" width="9.28515625" style="259" bestFit="1" customWidth="1"/>
    <col min="10790" max="10790" width="11.5703125" style="259" bestFit="1" customWidth="1"/>
    <col min="10791" max="10791" width="9.28515625" style="259" bestFit="1" customWidth="1"/>
    <col min="10792" max="10792" width="11.5703125" style="259" bestFit="1" customWidth="1"/>
    <col min="10793" max="10793" width="9.28515625" style="259" bestFit="1" customWidth="1"/>
    <col min="10794" max="10794" width="11.5703125" style="259" bestFit="1" customWidth="1"/>
    <col min="10795" max="10795" width="9.28515625" style="259" bestFit="1" customWidth="1"/>
    <col min="10796" max="10796" width="11.5703125" style="259" bestFit="1" customWidth="1"/>
    <col min="10797" max="10797" width="9.28515625" style="259" bestFit="1" customWidth="1"/>
    <col min="10798" max="10798" width="11.5703125" style="259" bestFit="1" customWidth="1"/>
    <col min="10799" max="10799" width="9.28515625" style="259" bestFit="1" customWidth="1"/>
    <col min="10800" max="10800" width="11.5703125" style="259" bestFit="1" customWidth="1"/>
    <col min="10801" max="10801" width="9.28515625" style="259" bestFit="1" customWidth="1"/>
    <col min="10802" max="10802" width="11.5703125" style="259" bestFit="1" customWidth="1"/>
    <col min="10803" max="10803" width="9.28515625" style="259" bestFit="1" customWidth="1"/>
    <col min="10804" max="11010" width="9.140625" style="259"/>
    <col min="11011" max="11011" width="29.42578125" style="259" bestFit="1" customWidth="1"/>
    <col min="11012" max="11012" width="11.5703125" style="259" bestFit="1" customWidth="1"/>
    <col min="11013" max="11013" width="9.28515625" style="259" bestFit="1" customWidth="1"/>
    <col min="11014" max="11014" width="11.5703125" style="259" bestFit="1" customWidth="1"/>
    <col min="11015" max="11015" width="9.28515625" style="259" bestFit="1" customWidth="1"/>
    <col min="11016" max="11016" width="11.5703125" style="259" bestFit="1" customWidth="1"/>
    <col min="11017" max="11017" width="9.28515625" style="259" bestFit="1" customWidth="1"/>
    <col min="11018" max="11018" width="11.5703125" style="259" bestFit="1" customWidth="1"/>
    <col min="11019" max="11019" width="9.28515625" style="259" bestFit="1" customWidth="1"/>
    <col min="11020" max="11020" width="11.5703125" style="259" bestFit="1" customWidth="1"/>
    <col min="11021" max="11021" width="9.28515625" style="259" bestFit="1" customWidth="1"/>
    <col min="11022" max="11022" width="11.5703125" style="259" bestFit="1" customWidth="1"/>
    <col min="11023" max="11023" width="9.28515625" style="259" bestFit="1" customWidth="1"/>
    <col min="11024" max="11024" width="11.5703125" style="259" bestFit="1" customWidth="1"/>
    <col min="11025" max="11025" width="9.28515625" style="259" bestFit="1" customWidth="1"/>
    <col min="11026" max="11026" width="11.5703125" style="259" bestFit="1" customWidth="1"/>
    <col min="11027" max="11027" width="9.28515625" style="259" bestFit="1" customWidth="1"/>
    <col min="11028" max="11028" width="11.5703125" style="259" bestFit="1" customWidth="1"/>
    <col min="11029" max="11029" width="9.28515625" style="259" bestFit="1" customWidth="1"/>
    <col min="11030" max="11030" width="11.5703125" style="259" bestFit="1" customWidth="1"/>
    <col min="11031" max="11031" width="9.28515625" style="259" bestFit="1" customWidth="1"/>
    <col min="11032" max="11032" width="11.5703125" style="259" bestFit="1" customWidth="1"/>
    <col min="11033" max="11033" width="9.28515625" style="259" bestFit="1" customWidth="1"/>
    <col min="11034" max="11034" width="11.5703125" style="259" bestFit="1" customWidth="1"/>
    <col min="11035" max="11035" width="9.28515625" style="259" bestFit="1" customWidth="1"/>
    <col min="11036" max="11036" width="11.5703125" style="259" bestFit="1" customWidth="1"/>
    <col min="11037" max="11037" width="9.28515625" style="259" bestFit="1" customWidth="1"/>
    <col min="11038" max="11038" width="11.5703125" style="259" bestFit="1" customWidth="1"/>
    <col min="11039" max="11039" width="9.28515625" style="259" bestFit="1" customWidth="1"/>
    <col min="11040" max="11040" width="11.5703125" style="259" bestFit="1" customWidth="1"/>
    <col min="11041" max="11041" width="9.28515625" style="259" bestFit="1" customWidth="1"/>
    <col min="11042" max="11042" width="11.5703125" style="259" bestFit="1" customWidth="1"/>
    <col min="11043" max="11043" width="9.28515625" style="259" bestFit="1" customWidth="1"/>
    <col min="11044" max="11044" width="11.5703125" style="259" bestFit="1" customWidth="1"/>
    <col min="11045" max="11045" width="9.28515625" style="259" bestFit="1" customWidth="1"/>
    <col min="11046" max="11046" width="11.5703125" style="259" bestFit="1" customWidth="1"/>
    <col min="11047" max="11047" width="9.28515625" style="259" bestFit="1" customWidth="1"/>
    <col min="11048" max="11048" width="11.5703125" style="259" bestFit="1" customWidth="1"/>
    <col min="11049" max="11049" width="9.28515625" style="259" bestFit="1" customWidth="1"/>
    <col min="11050" max="11050" width="11.5703125" style="259" bestFit="1" customWidth="1"/>
    <col min="11051" max="11051" width="9.28515625" style="259" bestFit="1" customWidth="1"/>
    <col min="11052" max="11052" width="11.5703125" style="259" bestFit="1" customWidth="1"/>
    <col min="11053" max="11053" width="9.28515625" style="259" bestFit="1" customWidth="1"/>
    <col min="11054" max="11054" width="11.5703125" style="259" bestFit="1" customWidth="1"/>
    <col min="11055" max="11055" width="9.28515625" style="259" bestFit="1" customWidth="1"/>
    <col min="11056" max="11056" width="11.5703125" style="259" bestFit="1" customWidth="1"/>
    <col min="11057" max="11057" width="9.28515625" style="259" bestFit="1" customWidth="1"/>
    <col min="11058" max="11058" width="11.5703125" style="259" bestFit="1" customWidth="1"/>
    <col min="11059" max="11059" width="9.28515625" style="259" bestFit="1" customWidth="1"/>
    <col min="11060" max="11266" width="9.140625" style="259"/>
    <col min="11267" max="11267" width="29.42578125" style="259" bestFit="1" customWidth="1"/>
    <col min="11268" max="11268" width="11.5703125" style="259" bestFit="1" customWidth="1"/>
    <col min="11269" max="11269" width="9.28515625" style="259" bestFit="1" customWidth="1"/>
    <col min="11270" max="11270" width="11.5703125" style="259" bestFit="1" customWidth="1"/>
    <col min="11271" max="11271" width="9.28515625" style="259" bestFit="1" customWidth="1"/>
    <col min="11272" max="11272" width="11.5703125" style="259" bestFit="1" customWidth="1"/>
    <col min="11273" max="11273" width="9.28515625" style="259" bestFit="1" customWidth="1"/>
    <col min="11274" max="11274" width="11.5703125" style="259" bestFit="1" customWidth="1"/>
    <col min="11275" max="11275" width="9.28515625" style="259" bestFit="1" customWidth="1"/>
    <col min="11276" max="11276" width="11.5703125" style="259" bestFit="1" customWidth="1"/>
    <col min="11277" max="11277" width="9.28515625" style="259" bestFit="1" customWidth="1"/>
    <col min="11278" max="11278" width="11.5703125" style="259" bestFit="1" customWidth="1"/>
    <col min="11279" max="11279" width="9.28515625" style="259" bestFit="1" customWidth="1"/>
    <col min="11280" max="11280" width="11.5703125" style="259" bestFit="1" customWidth="1"/>
    <col min="11281" max="11281" width="9.28515625" style="259" bestFit="1" customWidth="1"/>
    <col min="11282" max="11282" width="11.5703125" style="259" bestFit="1" customWidth="1"/>
    <col min="11283" max="11283" width="9.28515625" style="259" bestFit="1" customWidth="1"/>
    <col min="11284" max="11284" width="11.5703125" style="259" bestFit="1" customWidth="1"/>
    <col min="11285" max="11285" width="9.28515625" style="259" bestFit="1" customWidth="1"/>
    <col min="11286" max="11286" width="11.5703125" style="259" bestFit="1" customWidth="1"/>
    <col min="11287" max="11287" width="9.28515625" style="259" bestFit="1" customWidth="1"/>
    <col min="11288" max="11288" width="11.5703125" style="259" bestFit="1" customWidth="1"/>
    <col min="11289" max="11289" width="9.28515625" style="259" bestFit="1" customWidth="1"/>
    <col min="11290" max="11290" width="11.5703125" style="259" bestFit="1" customWidth="1"/>
    <col min="11291" max="11291" width="9.28515625" style="259" bestFit="1" customWidth="1"/>
    <col min="11292" max="11292" width="11.5703125" style="259" bestFit="1" customWidth="1"/>
    <col min="11293" max="11293" width="9.28515625" style="259" bestFit="1" customWidth="1"/>
    <col min="11294" max="11294" width="11.5703125" style="259" bestFit="1" customWidth="1"/>
    <col min="11295" max="11295" width="9.28515625" style="259" bestFit="1" customWidth="1"/>
    <col min="11296" max="11296" width="11.5703125" style="259" bestFit="1" customWidth="1"/>
    <col min="11297" max="11297" width="9.28515625" style="259" bestFit="1" customWidth="1"/>
    <col min="11298" max="11298" width="11.5703125" style="259" bestFit="1" customWidth="1"/>
    <col min="11299" max="11299" width="9.28515625" style="259" bestFit="1" customWidth="1"/>
    <col min="11300" max="11300" width="11.5703125" style="259" bestFit="1" customWidth="1"/>
    <col min="11301" max="11301" width="9.28515625" style="259" bestFit="1" customWidth="1"/>
    <col min="11302" max="11302" width="11.5703125" style="259" bestFit="1" customWidth="1"/>
    <col min="11303" max="11303" width="9.28515625" style="259" bestFit="1" customWidth="1"/>
    <col min="11304" max="11304" width="11.5703125" style="259" bestFit="1" customWidth="1"/>
    <col min="11305" max="11305" width="9.28515625" style="259" bestFit="1" customWidth="1"/>
    <col min="11306" max="11306" width="11.5703125" style="259" bestFit="1" customWidth="1"/>
    <col min="11307" max="11307" width="9.28515625" style="259" bestFit="1" customWidth="1"/>
    <col min="11308" max="11308" width="11.5703125" style="259" bestFit="1" customWidth="1"/>
    <col min="11309" max="11309" width="9.28515625" style="259" bestFit="1" customWidth="1"/>
    <col min="11310" max="11310" width="11.5703125" style="259" bestFit="1" customWidth="1"/>
    <col min="11311" max="11311" width="9.28515625" style="259" bestFit="1" customWidth="1"/>
    <col min="11312" max="11312" width="11.5703125" style="259" bestFit="1" customWidth="1"/>
    <col min="11313" max="11313" width="9.28515625" style="259" bestFit="1" customWidth="1"/>
    <col min="11314" max="11314" width="11.5703125" style="259" bestFit="1" customWidth="1"/>
    <col min="11315" max="11315" width="9.28515625" style="259" bestFit="1" customWidth="1"/>
    <col min="11316" max="11522" width="9.140625" style="259"/>
    <col min="11523" max="11523" width="29.42578125" style="259" bestFit="1" customWidth="1"/>
    <col min="11524" max="11524" width="11.5703125" style="259" bestFit="1" customWidth="1"/>
    <col min="11525" max="11525" width="9.28515625" style="259" bestFit="1" customWidth="1"/>
    <col min="11526" max="11526" width="11.5703125" style="259" bestFit="1" customWidth="1"/>
    <col min="11527" max="11527" width="9.28515625" style="259" bestFit="1" customWidth="1"/>
    <col min="11528" max="11528" width="11.5703125" style="259" bestFit="1" customWidth="1"/>
    <col min="11529" max="11529" width="9.28515625" style="259" bestFit="1" customWidth="1"/>
    <col min="11530" max="11530" width="11.5703125" style="259" bestFit="1" customWidth="1"/>
    <col min="11531" max="11531" width="9.28515625" style="259" bestFit="1" customWidth="1"/>
    <col min="11532" max="11532" width="11.5703125" style="259" bestFit="1" customWidth="1"/>
    <col min="11533" max="11533" width="9.28515625" style="259" bestFit="1" customWidth="1"/>
    <col min="11534" max="11534" width="11.5703125" style="259" bestFit="1" customWidth="1"/>
    <col min="11535" max="11535" width="9.28515625" style="259" bestFit="1" customWidth="1"/>
    <col min="11536" max="11536" width="11.5703125" style="259" bestFit="1" customWidth="1"/>
    <col min="11537" max="11537" width="9.28515625" style="259" bestFit="1" customWidth="1"/>
    <col min="11538" max="11538" width="11.5703125" style="259" bestFit="1" customWidth="1"/>
    <col min="11539" max="11539" width="9.28515625" style="259" bestFit="1" customWidth="1"/>
    <col min="11540" max="11540" width="11.5703125" style="259" bestFit="1" customWidth="1"/>
    <col min="11541" max="11541" width="9.28515625" style="259" bestFit="1" customWidth="1"/>
    <col min="11542" max="11542" width="11.5703125" style="259" bestFit="1" customWidth="1"/>
    <col min="11543" max="11543" width="9.28515625" style="259" bestFit="1" customWidth="1"/>
    <col min="11544" max="11544" width="11.5703125" style="259" bestFit="1" customWidth="1"/>
    <col min="11545" max="11545" width="9.28515625" style="259" bestFit="1" customWidth="1"/>
    <col min="11546" max="11546" width="11.5703125" style="259" bestFit="1" customWidth="1"/>
    <col min="11547" max="11547" width="9.28515625" style="259" bestFit="1" customWidth="1"/>
    <col min="11548" max="11548" width="11.5703125" style="259" bestFit="1" customWidth="1"/>
    <col min="11549" max="11549" width="9.28515625" style="259" bestFit="1" customWidth="1"/>
    <col min="11550" max="11550" width="11.5703125" style="259" bestFit="1" customWidth="1"/>
    <col min="11551" max="11551" width="9.28515625" style="259" bestFit="1" customWidth="1"/>
    <col min="11552" max="11552" width="11.5703125" style="259" bestFit="1" customWidth="1"/>
    <col min="11553" max="11553" width="9.28515625" style="259" bestFit="1" customWidth="1"/>
    <col min="11554" max="11554" width="11.5703125" style="259" bestFit="1" customWidth="1"/>
    <col min="11555" max="11555" width="9.28515625" style="259" bestFit="1" customWidth="1"/>
    <col min="11556" max="11556" width="11.5703125" style="259" bestFit="1" customWidth="1"/>
    <col min="11557" max="11557" width="9.28515625" style="259" bestFit="1" customWidth="1"/>
    <col min="11558" max="11558" width="11.5703125" style="259" bestFit="1" customWidth="1"/>
    <col min="11559" max="11559" width="9.28515625" style="259" bestFit="1" customWidth="1"/>
    <col min="11560" max="11560" width="11.5703125" style="259" bestFit="1" customWidth="1"/>
    <col min="11561" max="11561" width="9.28515625" style="259" bestFit="1" customWidth="1"/>
    <col min="11562" max="11562" width="11.5703125" style="259" bestFit="1" customWidth="1"/>
    <col min="11563" max="11563" width="9.28515625" style="259" bestFit="1" customWidth="1"/>
    <col min="11564" max="11564" width="11.5703125" style="259" bestFit="1" customWidth="1"/>
    <col min="11565" max="11565" width="9.28515625" style="259" bestFit="1" customWidth="1"/>
    <col min="11566" max="11566" width="11.5703125" style="259" bestFit="1" customWidth="1"/>
    <col min="11567" max="11567" width="9.28515625" style="259" bestFit="1" customWidth="1"/>
    <col min="11568" max="11568" width="11.5703125" style="259" bestFit="1" customWidth="1"/>
    <col min="11569" max="11569" width="9.28515625" style="259" bestFit="1" customWidth="1"/>
    <col min="11570" max="11570" width="11.5703125" style="259" bestFit="1" customWidth="1"/>
    <col min="11571" max="11571" width="9.28515625" style="259" bestFit="1" customWidth="1"/>
    <col min="11572" max="11778" width="9.140625" style="259"/>
    <col min="11779" max="11779" width="29.42578125" style="259" bestFit="1" customWidth="1"/>
    <col min="11780" max="11780" width="11.5703125" style="259" bestFit="1" customWidth="1"/>
    <col min="11781" max="11781" width="9.28515625" style="259" bestFit="1" customWidth="1"/>
    <col min="11782" max="11782" width="11.5703125" style="259" bestFit="1" customWidth="1"/>
    <col min="11783" max="11783" width="9.28515625" style="259" bestFit="1" customWidth="1"/>
    <col min="11784" max="11784" width="11.5703125" style="259" bestFit="1" customWidth="1"/>
    <col min="11785" max="11785" width="9.28515625" style="259" bestFit="1" customWidth="1"/>
    <col min="11786" max="11786" width="11.5703125" style="259" bestFit="1" customWidth="1"/>
    <col min="11787" max="11787" width="9.28515625" style="259" bestFit="1" customWidth="1"/>
    <col min="11788" max="11788" width="11.5703125" style="259" bestFit="1" customWidth="1"/>
    <col min="11789" max="11789" width="9.28515625" style="259" bestFit="1" customWidth="1"/>
    <col min="11790" max="11790" width="11.5703125" style="259" bestFit="1" customWidth="1"/>
    <col min="11791" max="11791" width="9.28515625" style="259" bestFit="1" customWidth="1"/>
    <col min="11792" max="11792" width="11.5703125" style="259" bestFit="1" customWidth="1"/>
    <col min="11793" max="11793" width="9.28515625" style="259" bestFit="1" customWidth="1"/>
    <col min="11794" max="11794" width="11.5703125" style="259" bestFit="1" customWidth="1"/>
    <col min="11795" max="11795" width="9.28515625" style="259" bestFit="1" customWidth="1"/>
    <col min="11796" max="11796" width="11.5703125" style="259" bestFit="1" customWidth="1"/>
    <col min="11797" max="11797" width="9.28515625" style="259" bestFit="1" customWidth="1"/>
    <col min="11798" max="11798" width="11.5703125" style="259" bestFit="1" customWidth="1"/>
    <col min="11799" max="11799" width="9.28515625" style="259" bestFit="1" customWidth="1"/>
    <col min="11800" max="11800" width="11.5703125" style="259" bestFit="1" customWidth="1"/>
    <col min="11801" max="11801" width="9.28515625" style="259" bestFit="1" customWidth="1"/>
    <col min="11802" max="11802" width="11.5703125" style="259" bestFit="1" customWidth="1"/>
    <col min="11803" max="11803" width="9.28515625" style="259" bestFit="1" customWidth="1"/>
    <col min="11804" max="11804" width="11.5703125" style="259" bestFit="1" customWidth="1"/>
    <col min="11805" max="11805" width="9.28515625" style="259" bestFit="1" customWidth="1"/>
    <col min="11806" max="11806" width="11.5703125" style="259" bestFit="1" customWidth="1"/>
    <col min="11807" max="11807" width="9.28515625" style="259" bestFit="1" customWidth="1"/>
    <col min="11808" max="11808" width="11.5703125" style="259" bestFit="1" customWidth="1"/>
    <col min="11809" max="11809" width="9.28515625" style="259" bestFit="1" customWidth="1"/>
    <col min="11810" max="11810" width="11.5703125" style="259" bestFit="1" customWidth="1"/>
    <col min="11811" max="11811" width="9.28515625" style="259" bestFit="1" customWidth="1"/>
    <col min="11812" max="11812" width="11.5703125" style="259" bestFit="1" customWidth="1"/>
    <col min="11813" max="11813" width="9.28515625" style="259" bestFit="1" customWidth="1"/>
    <col min="11814" max="11814" width="11.5703125" style="259" bestFit="1" customWidth="1"/>
    <col min="11815" max="11815" width="9.28515625" style="259" bestFit="1" customWidth="1"/>
    <col min="11816" max="11816" width="11.5703125" style="259" bestFit="1" customWidth="1"/>
    <col min="11817" max="11817" width="9.28515625" style="259" bestFit="1" customWidth="1"/>
    <col min="11818" max="11818" width="11.5703125" style="259" bestFit="1" customWidth="1"/>
    <col min="11819" max="11819" width="9.28515625" style="259" bestFit="1" customWidth="1"/>
    <col min="11820" max="11820" width="11.5703125" style="259" bestFit="1" customWidth="1"/>
    <col min="11821" max="11821" width="9.28515625" style="259" bestFit="1" customWidth="1"/>
    <col min="11822" max="11822" width="11.5703125" style="259" bestFit="1" customWidth="1"/>
    <col min="11823" max="11823" width="9.28515625" style="259" bestFit="1" customWidth="1"/>
    <col min="11824" max="11824" width="11.5703125" style="259" bestFit="1" customWidth="1"/>
    <col min="11825" max="11825" width="9.28515625" style="259" bestFit="1" customWidth="1"/>
    <col min="11826" max="11826" width="11.5703125" style="259" bestFit="1" customWidth="1"/>
    <col min="11827" max="11827" width="9.28515625" style="259" bestFit="1" customWidth="1"/>
    <col min="11828" max="12034" width="9.140625" style="259"/>
    <col min="12035" max="12035" width="29.42578125" style="259" bestFit="1" customWidth="1"/>
    <col min="12036" max="12036" width="11.5703125" style="259" bestFit="1" customWidth="1"/>
    <col min="12037" max="12037" width="9.28515625" style="259" bestFit="1" customWidth="1"/>
    <col min="12038" max="12038" width="11.5703125" style="259" bestFit="1" customWidth="1"/>
    <col min="12039" max="12039" width="9.28515625" style="259" bestFit="1" customWidth="1"/>
    <col min="12040" max="12040" width="11.5703125" style="259" bestFit="1" customWidth="1"/>
    <col min="12041" max="12041" width="9.28515625" style="259" bestFit="1" customWidth="1"/>
    <col min="12042" max="12042" width="11.5703125" style="259" bestFit="1" customWidth="1"/>
    <col min="12043" max="12043" width="9.28515625" style="259" bestFit="1" customWidth="1"/>
    <col min="12044" max="12044" width="11.5703125" style="259" bestFit="1" customWidth="1"/>
    <col min="12045" max="12045" width="9.28515625" style="259" bestFit="1" customWidth="1"/>
    <col min="12046" max="12046" width="11.5703125" style="259" bestFit="1" customWidth="1"/>
    <col min="12047" max="12047" width="9.28515625" style="259" bestFit="1" customWidth="1"/>
    <col min="12048" max="12048" width="11.5703125" style="259" bestFit="1" customWidth="1"/>
    <col min="12049" max="12049" width="9.28515625" style="259" bestFit="1" customWidth="1"/>
    <col min="12050" max="12050" width="11.5703125" style="259" bestFit="1" customWidth="1"/>
    <col min="12051" max="12051" width="9.28515625" style="259" bestFit="1" customWidth="1"/>
    <col min="12052" max="12052" width="11.5703125" style="259" bestFit="1" customWidth="1"/>
    <col min="12053" max="12053" width="9.28515625" style="259" bestFit="1" customWidth="1"/>
    <col min="12054" max="12054" width="11.5703125" style="259" bestFit="1" customWidth="1"/>
    <col min="12055" max="12055" width="9.28515625" style="259" bestFit="1" customWidth="1"/>
    <col min="12056" max="12056" width="11.5703125" style="259" bestFit="1" customWidth="1"/>
    <col min="12057" max="12057" width="9.28515625" style="259" bestFit="1" customWidth="1"/>
    <col min="12058" max="12058" width="11.5703125" style="259" bestFit="1" customWidth="1"/>
    <col min="12059" max="12059" width="9.28515625" style="259" bestFit="1" customWidth="1"/>
    <col min="12060" max="12060" width="11.5703125" style="259" bestFit="1" customWidth="1"/>
    <col min="12061" max="12061" width="9.28515625" style="259" bestFit="1" customWidth="1"/>
    <col min="12062" max="12062" width="11.5703125" style="259" bestFit="1" customWidth="1"/>
    <col min="12063" max="12063" width="9.28515625" style="259" bestFit="1" customWidth="1"/>
    <col min="12064" max="12064" width="11.5703125" style="259" bestFit="1" customWidth="1"/>
    <col min="12065" max="12065" width="9.28515625" style="259" bestFit="1" customWidth="1"/>
    <col min="12066" max="12066" width="11.5703125" style="259" bestFit="1" customWidth="1"/>
    <col min="12067" max="12067" width="9.28515625" style="259" bestFit="1" customWidth="1"/>
    <col min="12068" max="12068" width="11.5703125" style="259" bestFit="1" customWidth="1"/>
    <col min="12069" max="12069" width="9.28515625" style="259" bestFit="1" customWidth="1"/>
    <col min="12070" max="12070" width="11.5703125" style="259" bestFit="1" customWidth="1"/>
    <col min="12071" max="12071" width="9.28515625" style="259" bestFit="1" customWidth="1"/>
    <col min="12072" max="12072" width="11.5703125" style="259" bestFit="1" customWidth="1"/>
    <col min="12073" max="12073" width="9.28515625" style="259" bestFit="1" customWidth="1"/>
    <col min="12074" max="12074" width="11.5703125" style="259" bestFit="1" customWidth="1"/>
    <col min="12075" max="12075" width="9.28515625" style="259" bestFit="1" customWidth="1"/>
    <col min="12076" max="12076" width="11.5703125" style="259" bestFit="1" customWidth="1"/>
    <col min="12077" max="12077" width="9.28515625" style="259" bestFit="1" customWidth="1"/>
    <col min="12078" max="12078" width="11.5703125" style="259" bestFit="1" customWidth="1"/>
    <col min="12079" max="12079" width="9.28515625" style="259" bestFit="1" customWidth="1"/>
    <col min="12080" max="12080" width="11.5703125" style="259" bestFit="1" customWidth="1"/>
    <col min="12081" max="12081" width="9.28515625" style="259" bestFit="1" customWidth="1"/>
    <col min="12082" max="12082" width="11.5703125" style="259" bestFit="1" customWidth="1"/>
    <col min="12083" max="12083" width="9.28515625" style="259" bestFit="1" customWidth="1"/>
    <col min="12084" max="12290" width="9.140625" style="259"/>
    <col min="12291" max="12291" width="29.42578125" style="259" bestFit="1" customWidth="1"/>
    <col min="12292" max="12292" width="11.5703125" style="259" bestFit="1" customWidth="1"/>
    <col min="12293" max="12293" width="9.28515625" style="259" bestFit="1" customWidth="1"/>
    <col min="12294" max="12294" width="11.5703125" style="259" bestFit="1" customWidth="1"/>
    <col min="12295" max="12295" width="9.28515625" style="259" bestFit="1" customWidth="1"/>
    <col min="12296" max="12296" width="11.5703125" style="259" bestFit="1" customWidth="1"/>
    <col min="12297" max="12297" width="9.28515625" style="259" bestFit="1" customWidth="1"/>
    <col min="12298" max="12298" width="11.5703125" style="259" bestFit="1" customWidth="1"/>
    <col min="12299" max="12299" width="9.28515625" style="259" bestFit="1" customWidth="1"/>
    <col min="12300" max="12300" width="11.5703125" style="259" bestFit="1" customWidth="1"/>
    <col min="12301" max="12301" width="9.28515625" style="259" bestFit="1" customWidth="1"/>
    <col min="12302" max="12302" width="11.5703125" style="259" bestFit="1" customWidth="1"/>
    <col min="12303" max="12303" width="9.28515625" style="259" bestFit="1" customWidth="1"/>
    <col min="12304" max="12304" width="11.5703125" style="259" bestFit="1" customWidth="1"/>
    <col min="12305" max="12305" width="9.28515625" style="259" bestFit="1" customWidth="1"/>
    <col min="12306" max="12306" width="11.5703125" style="259" bestFit="1" customWidth="1"/>
    <col min="12307" max="12307" width="9.28515625" style="259" bestFit="1" customWidth="1"/>
    <col min="12308" max="12308" width="11.5703125" style="259" bestFit="1" customWidth="1"/>
    <col min="12309" max="12309" width="9.28515625" style="259" bestFit="1" customWidth="1"/>
    <col min="12310" max="12310" width="11.5703125" style="259" bestFit="1" customWidth="1"/>
    <col min="12311" max="12311" width="9.28515625" style="259" bestFit="1" customWidth="1"/>
    <col min="12312" max="12312" width="11.5703125" style="259" bestFit="1" customWidth="1"/>
    <col min="12313" max="12313" width="9.28515625" style="259" bestFit="1" customWidth="1"/>
    <col min="12314" max="12314" width="11.5703125" style="259" bestFit="1" customWidth="1"/>
    <col min="12315" max="12315" width="9.28515625" style="259" bestFit="1" customWidth="1"/>
    <col min="12316" max="12316" width="11.5703125" style="259" bestFit="1" customWidth="1"/>
    <col min="12317" max="12317" width="9.28515625" style="259" bestFit="1" customWidth="1"/>
    <col min="12318" max="12318" width="11.5703125" style="259" bestFit="1" customWidth="1"/>
    <col min="12319" max="12319" width="9.28515625" style="259" bestFit="1" customWidth="1"/>
    <col min="12320" max="12320" width="11.5703125" style="259" bestFit="1" customWidth="1"/>
    <col min="12321" max="12321" width="9.28515625" style="259" bestFit="1" customWidth="1"/>
    <col min="12322" max="12322" width="11.5703125" style="259" bestFit="1" customWidth="1"/>
    <col min="12323" max="12323" width="9.28515625" style="259" bestFit="1" customWidth="1"/>
    <col min="12324" max="12324" width="11.5703125" style="259" bestFit="1" customWidth="1"/>
    <col min="12325" max="12325" width="9.28515625" style="259" bestFit="1" customWidth="1"/>
    <col min="12326" max="12326" width="11.5703125" style="259" bestFit="1" customWidth="1"/>
    <col min="12327" max="12327" width="9.28515625" style="259" bestFit="1" customWidth="1"/>
    <col min="12328" max="12328" width="11.5703125" style="259" bestFit="1" customWidth="1"/>
    <col min="12329" max="12329" width="9.28515625" style="259" bestFit="1" customWidth="1"/>
    <col min="12330" max="12330" width="11.5703125" style="259" bestFit="1" customWidth="1"/>
    <col min="12331" max="12331" width="9.28515625" style="259" bestFit="1" customWidth="1"/>
    <col min="12332" max="12332" width="11.5703125" style="259" bestFit="1" customWidth="1"/>
    <col min="12333" max="12333" width="9.28515625" style="259" bestFit="1" customWidth="1"/>
    <col min="12334" max="12334" width="11.5703125" style="259" bestFit="1" customWidth="1"/>
    <col min="12335" max="12335" width="9.28515625" style="259" bestFit="1" customWidth="1"/>
    <col min="12336" max="12336" width="11.5703125" style="259" bestFit="1" customWidth="1"/>
    <col min="12337" max="12337" width="9.28515625" style="259" bestFit="1" customWidth="1"/>
    <col min="12338" max="12338" width="11.5703125" style="259" bestFit="1" customWidth="1"/>
    <col min="12339" max="12339" width="9.28515625" style="259" bestFit="1" customWidth="1"/>
    <col min="12340" max="12546" width="9.140625" style="259"/>
    <col min="12547" max="12547" width="29.42578125" style="259" bestFit="1" customWidth="1"/>
    <col min="12548" max="12548" width="11.5703125" style="259" bestFit="1" customWidth="1"/>
    <col min="12549" max="12549" width="9.28515625" style="259" bestFit="1" customWidth="1"/>
    <col min="12550" max="12550" width="11.5703125" style="259" bestFit="1" customWidth="1"/>
    <col min="12551" max="12551" width="9.28515625" style="259" bestFit="1" customWidth="1"/>
    <col min="12552" max="12552" width="11.5703125" style="259" bestFit="1" customWidth="1"/>
    <col min="12553" max="12553" width="9.28515625" style="259" bestFit="1" customWidth="1"/>
    <col min="12554" max="12554" width="11.5703125" style="259" bestFit="1" customWidth="1"/>
    <col min="12555" max="12555" width="9.28515625" style="259" bestFit="1" customWidth="1"/>
    <col min="12556" max="12556" width="11.5703125" style="259" bestFit="1" customWidth="1"/>
    <col min="12557" max="12557" width="9.28515625" style="259" bestFit="1" customWidth="1"/>
    <col min="12558" max="12558" width="11.5703125" style="259" bestFit="1" customWidth="1"/>
    <col min="12559" max="12559" width="9.28515625" style="259" bestFit="1" customWidth="1"/>
    <col min="12560" max="12560" width="11.5703125" style="259" bestFit="1" customWidth="1"/>
    <col min="12561" max="12561" width="9.28515625" style="259" bestFit="1" customWidth="1"/>
    <col min="12562" max="12562" width="11.5703125" style="259" bestFit="1" customWidth="1"/>
    <col min="12563" max="12563" width="9.28515625" style="259" bestFit="1" customWidth="1"/>
    <col min="12564" max="12564" width="11.5703125" style="259" bestFit="1" customWidth="1"/>
    <col min="12565" max="12565" width="9.28515625" style="259" bestFit="1" customWidth="1"/>
    <col min="12566" max="12566" width="11.5703125" style="259" bestFit="1" customWidth="1"/>
    <col min="12567" max="12567" width="9.28515625" style="259" bestFit="1" customWidth="1"/>
    <col min="12568" max="12568" width="11.5703125" style="259" bestFit="1" customWidth="1"/>
    <col min="12569" max="12569" width="9.28515625" style="259" bestFit="1" customWidth="1"/>
    <col min="12570" max="12570" width="11.5703125" style="259" bestFit="1" customWidth="1"/>
    <col min="12571" max="12571" width="9.28515625" style="259" bestFit="1" customWidth="1"/>
    <col min="12572" max="12572" width="11.5703125" style="259" bestFit="1" customWidth="1"/>
    <col min="12573" max="12573" width="9.28515625" style="259" bestFit="1" customWidth="1"/>
    <col min="12574" max="12574" width="11.5703125" style="259" bestFit="1" customWidth="1"/>
    <col min="12575" max="12575" width="9.28515625" style="259" bestFit="1" customWidth="1"/>
    <col min="12576" max="12576" width="11.5703125" style="259" bestFit="1" customWidth="1"/>
    <col min="12577" max="12577" width="9.28515625" style="259" bestFit="1" customWidth="1"/>
    <col min="12578" max="12578" width="11.5703125" style="259" bestFit="1" customWidth="1"/>
    <col min="12579" max="12579" width="9.28515625" style="259" bestFit="1" customWidth="1"/>
    <col min="12580" max="12580" width="11.5703125" style="259" bestFit="1" customWidth="1"/>
    <col min="12581" max="12581" width="9.28515625" style="259" bestFit="1" customWidth="1"/>
    <col min="12582" max="12582" width="11.5703125" style="259" bestFit="1" customWidth="1"/>
    <col min="12583" max="12583" width="9.28515625" style="259" bestFit="1" customWidth="1"/>
    <col min="12584" max="12584" width="11.5703125" style="259" bestFit="1" customWidth="1"/>
    <col min="12585" max="12585" width="9.28515625" style="259" bestFit="1" customWidth="1"/>
    <col min="12586" max="12586" width="11.5703125" style="259" bestFit="1" customWidth="1"/>
    <col min="12587" max="12587" width="9.28515625" style="259" bestFit="1" customWidth="1"/>
    <col min="12588" max="12588" width="11.5703125" style="259" bestFit="1" customWidth="1"/>
    <col min="12589" max="12589" width="9.28515625" style="259" bestFit="1" customWidth="1"/>
    <col min="12590" max="12590" width="11.5703125" style="259" bestFit="1" customWidth="1"/>
    <col min="12591" max="12591" width="9.28515625" style="259" bestFit="1" customWidth="1"/>
    <col min="12592" max="12592" width="11.5703125" style="259" bestFit="1" customWidth="1"/>
    <col min="12593" max="12593" width="9.28515625" style="259" bestFit="1" customWidth="1"/>
    <col min="12594" max="12594" width="11.5703125" style="259" bestFit="1" customWidth="1"/>
    <col min="12595" max="12595" width="9.28515625" style="259" bestFit="1" customWidth="1"/>
    <col min="12596" max="12802" width="9.140625" style="259"/>
    <col min="12803" max="12803" width="29.42578125" style="259" bestFit="1" customWidth="1"/>
    <col min="12804" max="12804" width="11.5703125" style="259" bestFit="1" customWidth="1"/>
    <col min="12805" max="12805" width="9.28515625" style="259" bestFit="1" customWidth="1"/>
    <col min="12806" max="12806" width="11.5703125" style="259" bestFit="1" customWidth="1"/>
    <col min="12807" max="12807" width="9.28515625" style="259" bestFit="1" customWidth="1"/>
    <col min="12808" max="12808" width="11.5703125" style="259" bestFit="1" customWidth="1"/>
    <col min="12809" max="12809" width="9.28515625" style="259" bestFit="1" customWidth="1"/>
    <col min="12810" max="12810" width="11.5703125" style="259" bestFit="1" customWidth="1"/>
    <col min="12811" max="12811" width="9.28515625" style="259" bestFit="1" customWidth="1"/>
    <col min="12812" max="12812" width="11.5703125" style="259" bestFit="1" customWidth="1"/>
    <col min="12813" max="12813" width="9.28515625" style="259" bestFit="1" customWidth="1"/>
    <col min="12814" max="12814" width="11.5703125" style="259" bestFit="1" customWidth="1"/>
    <col min="12815" max="12815" width="9.28515625" style="259" bestFit="1" customWidth="1"/>
    <col min="12816" max="12816" width="11.5703125" style="259" bestFit="1" customWidth="1"/>
    <col min="12817" max="12817" width="9.28515625" style="259" bestFit="1" customWidth="1"/>
    <col min="12818" max="12818" width="11.5703125" style="259" bestFit="1" customWidth="1"/>
    <col min="12819" max="12819" width="9.28515625" style="259" bestFit="1" customWidth="1"/>
    <col min="12820" max="12820" width="11.5703125" style="259" bestFit="1" customWidth="1"/>
    <col min="12821" max="12821" width="9.28515625" style="259" bestFit="1" customWidth="1"/>
    <col min="12822" max="12822" width="11.5703125" style="259" bestFit="1" customWidth="1"/>
    <col min="12823" max="12823" width="9.28515625" style="259" bestFit="1" customWidth="1"/>
    <col min="12824" max="12824" width="11.5703125" style="259" bestFit="1" customWidth="1"/>
    <col min="12825" max="12825" width="9.28515625" style="259" bestFit="1" customWidth="1"/>
    <col min="12826" max="12826" width="11.5703125" style="259" bestFit="1" customWidth="1"/>
    <col min="12827" max="12827" width="9.28515625" style="259" bestFit="1" customWidth="1"/>
    <col min="12828" max="12828" width="11.5703125" style="259" bestFit="1" customWidth="1"/>
    <col min="12829" max="12829" width="9.28515625" style="259" bestFit="1" customWidth="1"/>
    <col min="12830" max="12830" width="11.5703125" style="259" bestFit="1" customWidth="1"/>
    <col min="12831" max="12831" width="9.28515625" style="259" bestFit="1" customWidth="1"/>
    <col min="12832" max="12832" width="11.5703125" style="259" bestFit="1" customWidth="1"/>
    <col min="12833" max="12833" width="9.28515625" style="259" bestFit="1" customWidth="1"/>
    <col min="12834" max="12834" width="11.5703125" style="259" bestFit="1" customWidth="1"/>
    <col min="12835" max="12835" width="9.28515625" style="259" bestFit="1" customWidth="1"/>
    <col min="12836" max="12836" width="11.5703125" style="259" bestFit="1" customWidth="1"/>
    <col min="12837" max="12837" width="9.28515625" style="259" bestFit="1" customWidth="1"/>
    <col min="12838" max="12838" width="11.5703125" style="259" bestFit="1" customWidth="1"/>
    <col min="12839" max="12839" width="9.28515625" style="259" bestFit="1" customWidth="1"/>
    <col min="12840" max="12840" width="11.5703125" style="259" bestFit="1" customWidth="1"/>
    <col min="12841" max="12841" width="9.28515625" style="259" bestFit="1" customWidth="1"/>
    <col min="12842" max="12842" width="11.5703125" style="259" bestFit="1" customWidth="1"/>
    <col min="12843" max="12843" width="9.28515625" style="259" bestFit="1" customWidth="1"/>
    <col min="12844" max="12844" width="11.5703125" style="259" bestFit="1" customWidth="1"/>
    <col min="12845" max="12845" width="9.28515625" style="259" bestFit="1" customWidth="1"/>
    <col min="12846" max="12846" width="11.5703125" style="259" bestFit="1" customWidth="1"/>
    <col min="12847" max="12847" width="9.28515625" style="259" bestFit="1" customWidth="1"/>
    <col min="12848" max="12848" width="11.5703125" style="259" bestFit="1" customWidth="1"/>
    <col min="12849" max="12849" width="9.28515625" style="259" bestFit="1" customWidth="1"/>
    <col min="12850" max="12850" width="11.5703125" style="259" bestFit="1" customWidth="1"/>
    <col min="12851" max="12851" width="9.28515625" style="259" bestFit="1" customWidth="1"/>
    <col min="12852" max="13058" width="9.140625" style="259"/>
    <col min="13059" max="13059" width="29.42578125" style="259" bestFit="1" customWidth="1"/>
    <col min="13060" max="13060" width="11.5703125" style="259" bestFit="1" customWidth="1"/>
    <col min="13061" max="13061" width="9.28515625" style="259" bestFit="1" customWidth="1"/>
    <col min="13062" max="13062" width="11.5703125" style="259" bestFit="1" customWidth="1"/>
    <col min="13063" max="13063" width="9.28515625" style="259" bestFit="1" customWidth="1"/>
    <col min="13064" max="13064" width="11.5703125" style="259" bestFit="1" customWidth="1"/>
    <col min="13065" max="13065" width="9.28515625" style="259" bestFit="1" customWidth="1"/>
    <col min="13066" max="13066" width="11.5703125" style="259" bestFit="1" customWidth="1"/>
    <col min="13067" max="13067" width="9.28515625" style="259" bestFit="1" customWidth="1"/>
    <col min="13068" max="13068" width="11.5703125" style="259" bestFit="1" customWidth="1"/>
    <col min="13069" max="13069" width="9.28515625" style="259" bestFit="1" customWidth="1"/>
    <col min="13070" max="13070" width="11.5703125" style="259" bestFit="1" customWidth="1"/>
    <col min="13071" max="13071" width="9.28515625" style="259" bestFit="1" customWidth="1"/>
    <col min="13072" max="13072" width="11.5703125" style="259" bestFit="1" customWidth="1"/>
    <col min="13073" max="13073" width="9.28515625" style="259" bestFit="1" customWidth="1"/>
    <col min="13074" max="13074" width="11.5703125" style="259" bestFit="1" customWidth="1"/>
    <col min="13075" max="13075" width="9.28515625" style="259" bestFit="1" customWidth="1"/>
    <col min="13076" max="13076" width="11.5703125" style="259" bestFit="1" customWidth="1"/>
    <col min="13077" max="13077" width="9.28515625" style="259" bestFit="1" customWidth="1"/>
    <col min="13078" max="13078" width="11.5703125" style="259" bestFit="1" customWidth="1"/>
    <col min="13079" max="13079" width="9.28515625" style="259" bestFit="1" customWidth="1"/>
    <col min="13080" max="13080" width="11.5703125" style="259" bestFit="1" customWidth="1"/>
    <col min="13081" max="13081" width="9.28515625" style="259" bestFit="1" customWidth="1"/>
    <col min="13082" max="13082" width="11.5703125" style="259" bestFit="1" customWidth="1"/>
    <col min="13083" max="13083" width="9.28515625" style="259" bestFit="1" customWidth="1"/>
    <col min="13084" max="13084" width="11.5703125" style="259" bestFit="1" customWidth="1"/>
    <col min="13085" max="13085" width="9.28515625" style="259" bestFit="1" customWidth="1"/>
    <col min="13086" max="13086" width="11.5703125" style="259" bestFit="1" customWidth="1"/>
    <col min="13087" max="13087" width="9.28515625" style="259" bestFit="1" customWidth="1"/>
    <col min="13088" max="13088" width="11.5703125" style="259" bestFit="1" customWidth="1"/>
    <col min="13089" max="13089" width="9.28515625" style="259" bestFit="1" customWidth="1"/>
    <col min="13090" max="13090" width="11.5703125" style="259" bestFit="1" customWidth="1"/>
    <col min="13091" max="13091" width="9.28515625" style="259" bestFit="1" customWidth="1"/>
    <col min="13092" max="13092" width="11.5703125" style="259" bestFit="1" customWidth="1"/>
    <col min="13093" max="13093" width="9.28515625" style="259" bestFit="1" customWidth="1"/>
    <col min="13094" max="13094" width="11.5703125" style="259" bestFit="1" customWidth="1"/>
    <col min="13095" max="13095" width="9.28515625" style="259" bestFit="1" customWidth="1"/>
    <col min="13096" max="13096" width="11.5703125" style="259" bestFit="1" customWidth="1"/>
    <col min="13097" max="13097" width="9.28515625" style="259" bestFit="1" customWidth="1"/>
    <col min="13098" max="13098" width="11.5703125" style="259" bestFit="1" customWidth="1"/>
    <col min="13099" max="13099" width="9.28515625" style="259" bestFit="1" customWidth="1"/>
    <col min="13100" max="13100" width="11.5703125" style="259" bestFit="1" customWidth="1"/>
    <col min="13101" max="13101" width="9.28515625" style="259" bestFit="1" customWidth="1"/>
    <col min="13102" max="13102" width="11.5703125" style="259" bestFit="1" customWidth="1"/>
    <col min="13103" max="13103" width="9.28515625" style="259" bestFit="1" customWidth="1"/>
    <col min="13104" max="13104" width="11.5703125" style="259" bestFit="1" customWidth="1"/>
    <col min="13105" max="13105" width="9.28515625" style="259" bestFit="1" customWidth="1"/>
    <col min="13106" max="13106" width="11.5703125" style="259" bestFit="1" customWidth="1"/>
    <col min="13107" max="13107" width="9.28515625" style="259" bestFit="1" customWidth="1"/>
    <col min="13108" max="13314" width="9.140625" style="259"/>
    <col min="13315" max="13315" width="29.42578125" style="259" bestFit="1" customWidth="1"/>
    <col min="13316" max="13316" width="11.5703125" style="259" bestFit="1" customWidth="1"/>
    <col min="13317" max="13317" width="9.28515625" style="259" bestFit="1" customWidth="1"/>
    <col min="13318" max="13318" width="11.5703125" style="259" bestFit="1" customWidth="1"/>
    <col min="13319" max="13319" width="9.28515625" style="259" bestFit="1" customWidth="1"/>
    <col min="13320" max="13320" width="11.5703125" style="259" bestFit="1" customWidth="1"/>
    <col min="13321" max="13321" width="9.28515625" style="259" bestFit="1" customWidth="1"/>
    <col min="13322" max="13322" width="11.5703125" style="259" bestFit="1" customWidth="1"/>
    <col min="13323" max="13323" width="9.28515625" style="259" bestFit="1" customWidth="1"/>
    <col min="13324" max="13324" width="11.5703125" style="259" bestFit="1" customWidth="1"/>
    <col min="13325" max="13325" width="9.28515625" style="259" bestFit="1" customWidth="1"/>
    <col min="13326" max="13326" width="11.5703125" style="259" bestFit="1" customWidth="1"/>
    <col min="13327" max="13327" width="9.28515625" style="259" bestFit="1" customWidth="1"/>
    <col min="13328" max="13328" width="11.5703125" style="259" bestFit="1" customWidth="1"/>
    <col min="13329" max="13329" width="9.28515625" style="259" bestFit="1" customWidth="1"/>
    <col min="13330" max="13330" width="11.5703125" style="259" bestFit="1" customWidth="1"/>
    <col min="13331" max="13331" width="9.28515625" style="259" bestFit="1" customWidth="1"/>
    <col min="13332" max="13332" width="11.5703125" style="259" bestFit="1" customWidth="1"/>
    <col min="13333" max="13333" width="9.28515625" style="259" bestFit="1" customWidth="1"/>
    <col min="13334" max="13334" width="11.5703125" style="259" bestFit="1" customWidth="1"/>
    <col min="13335" max="13335" width="9.28515625" style="259" bestFit="1" customWidth="1"/>
    <col min="13336" max="13336" width="11.5703125" style="259" bestFit="1" customWidth="1"/>
    <col min="13337" max="13337" width="9.28515625" style="259" bestFit="1" customWidth="1"/>
    <col min="13338" max="13338" width="11.5703125" style="259" bestFit="1" customWidth="1"/>
    <col min="13339" max="13339" width="9.28515625" style="259" bestFit="1" customWidth="1"/>
    <col min="13340" max="13340" width="11.5703125" style="259" bestFit="1" customWidth="1"/>
    <col min="13341" max="13341" width="9.28515625" style="259" bestFit="1" customWidth="1"/>
    <col min="13342" max="13342" width="11.5703125" style="259" bestFit="1" customWidth="1"/>
    <col min="13343" max="13343" width="9.28515625" style="259" bestFit="1" customWidth="1"/>
    <col min="13344" max="13344" width="11.5703125" style="259" bestFit="1" customWidth="1"/>
    <col min="13345" max="13345" width="9.28515625" style="259" bestFit="1" customWidth="1"/>
    <col min="13346" max="13346" width="11.5703125" style="259" bestFit="1" customWidth="1"/>
    <col min="13347" max="13347" width="9.28515625" style="259" bestFit="1" customWidth="1"/>
    <col min="13348" max="13348" width="11.5703125" style="259" bestFit="1" customWidth="1"/>
    <col min="13349" max="13349" width="9.28515625" style="259" bestFit="1" customWidth="1"/>
    <col min="13350" max="13350" width="11.5703125" style="259" bestFit="1" customWidth="1"/>
    <col min="13351" max="13351" width="9.28515625" style="259" bestFit="1" customWidth="1"/>
    <col min="13352" max="13352" width="11.5703125" style="259" bestFit="1" customWidth="1"/>
    <col min="13353" max="13353" width="9.28515625" style="259" bestFit="1" customWidth="1"/>
    <col min="13354" max="13354" width="11.5703125" style="259" bestFit="1" customWidth="1"/>
    <col min="13355" max="13355" width="9.28515625" style="259" bestFit="1" customWidth="1"/>
    <col min="13356" max="13356" width="11.5703125" style="259" bestFit="1" customWidth="1"/>
    <col min="13357" max="13357" width="9.28515625" style="259" bestFit="1" customWidth="1"/>
    <col min="13358" max="13358" width="11.5703125" style="259" bestFit="1" customWidth="1"/>
    <col min="13359" max="13359" width="9.28515625" style="259" bestFit="1" customWidth="1"/>
    <col min="13360" max="13360" width="11.5703125" style="259" bestFit="1" customWidth="1"/>
    <col min="13361" max="13361" width="9.28515625" style="259" bestFit="1" customWidth="1"/>
    <col min="13362" max="13362" width="11.5703125" style="259" bestFit="1" customWidth="1"/>
    <col min="13363" max="13363" width="9.28515625" style="259" bestFit="1" customWidth="1"/>
    <col min="13364" max="13570" width="9.140625" style="259"/>
    <col min="13571" max="13571" width="29.42578125" style="259" bestFit="1" customWidth="1"/>
    <col min="13572" max="13572" width="11.5703125" style="259" bestFit="1" customWidth="1"/>
    <col min="13573" max="13573" width="9.28515625" style="259" bestFit="1" customWidth="1"/>
    <col min="13574" max="13574" width="11.5703125" style="259" bestFit="1" customWidth="1"/>
    <col min="13575" max="13575" width="9.28515625" style="259" bestFit="1" customWidth="1"/>
    <col min="13576" max="13576" width="11.5703125" style="259" bestFit="1" customWidth="1"/>
    <col min="13577" max="13577" width="9.28515625" style="259" bestFit="1" customWidth="1"/>
    <col min="13578" max="13578" width="11.5703125" style="259" bestFit="1" customWidth="1"/>
    <col min="13579" max="13579" width="9.28515625" style="259" bestFit="1" customWidth="1"/>
    <col min="13580" max="13580" width="11.5703125" style="259" bestFit="1" customWidth="1"/>
    <col min="13581" max="13581" width="9.28515625" style="259" bestFit="1" customWidth="1"/>
    <col min="13582" max="13582" width="11.5703125" style="259" bestFit="1" customWidth="1"/>
    <col min="13583" max="13583" width="9.28515625" style="259" bestFit="1" customWidth="1"/>
    <col min="13584" max="13584" width="11.5703125" style="259" bestFit="1" customWidth="1"/>
    <col min="13585" max="13585" width="9.28515625" style="259" bestFit="1" customWidth="1"/>
    <col min="13586" max="13586" width="11.5703125" style="259" bestFit="1" customWidth="1"/>
    <col min="13587" max="13587" width="9.28515625" style="259" bestFit="1" customWidth="1"/>
    <col min="13588" max="13588" width="11.5703125" style="259" bestFit="1" customWidth="1"/>
    <col min="13589" max="13589" width="9.28515625" style="259" bestFit="1" customWidth="1"/>
    <col min="13590" max="13590" width="11.5703125" style="259" bestFit="1" customWidth="1"/>
    <col min="13591" max="13591" width="9.28515625" style="259" bestFit="1" customWidth="1"/>
    <col min="13592" max="13592" width="11.5703125" style="259" bestFit="1" customWidth="1"/>
    <col min="13593" max="13593" width="9.28515625" style="259" bestFit="1" customWidth="1"/>
    <col min="13594" max="13594" width="11.5703125" style="259" bestFit="1" customWidth="1"/>
    <col min="13595" max="13595" width="9.28515625" style="259" bestFit="1" customWidth="1"/>
    <col min="13596" max="13596" width="11.5703125" style="259" bestFit="1" customWidth="1"/>
    <col min="13597" max="13597" width="9.28515625" style="259" bestFit="1" customWidth="1"/>
    <col min="13598" max="13598" width="11.5703125" style="259" bestFit="1" customWidth="1"/>
    <col min="13599" max="13599" width="9.28515625" style="259" bestFit="1" customWidth="1"/>
    <col min="13600" max="13600" width="11.5703125" style="259" bestFit="1" customWidth="1"/>
    <col min="13601" max="13601" width="9.28515625" style="259" bestFit="1" customWidth="1"/>
    <col min="13602" max="13602" width="11.5703125" style="259" bestFit="1" customWidth="1"/>
    <col min="13603" max="13603" width="9.28515625" style="259" bestFit="1" customWidth="1"/>
    <col min="13604" max="13604" width="11.5703125" style="259" bestFit="1" customWidth="1"/>
    <col min="13605" max="13605" width="9.28515625" style="259" bestFit="1" customWidth="1"/>
    <col min="13606" max="13606" width="11.5703125" style="259" bestFit="1" customWidth="1"/>
    <col min="13607" max="13607" width="9.28515625" style="259" bestFit="1" customWidth="1"/>
    <col min="13608" max="13608" width="11.5703125" style="259" bestFit="1" customWidth="1"/>
    <col min="13609" max="13609" width="9.28515625" style="259" bestFit="1" customWidth="1"/>
    <col min="13610" max="13610" width="11.5703125" style="259" bestFit="1" customWidth="1"/>
    <col min="13611" max="13611" width="9.28515625" style="259" bestFit="1" customWidth="1"/>
    <col min="13612" max="13612" width="11.5703125" style="259" bestFit="1" customWidth="1"/>
    <col min="13613" max="13613" width="9.28515625" style="259" bestFit="1" customWidth="1"/>
    <col min="13614" max="13614" width="11.5703125" style="259" bestFit="1" customWidth="1"/>
    <col min="13615" max="13615" width="9.28515625" style="259" bestFit="1" customWidth="1"/>
    <col min="13616" max="13616" width="11.5703125" style="259" bestFit="1" customWidth="1"/>
    <col min="13617" max="13617" width="9.28515625" style="259" bestFit="1" customWidth="1"/>
    <col min="13618" max="13618" width="11.5703125" style="259" bestFit="1" customWidth="1"/>
    <col min="13619" max="13619" width="9.28515625" style="259" bestFit="1" customWidth="1"/>
    <col min="13620" max="13826" width="9.140625" style="259"/>
    <col min="13827" max="13827" width="29.42578125" style="259" bestFit="1" customWidth="1"/>
    <col min="13828" max="13828" width="11.5703125" style="259" bestFit="1" customWidth="1"/>
    <col min="13829" max="13829" width="9.28515625" style="259" bestFit="1" customWidth="1"/>
    <col min="13830" max="13830" width="11.5703125" style="259" bestFit="1" customWidth="1"/>
    <col min="13831" max="13831" width="9.28515625" style="259" bestFit="1" customWidth="1"/>
    <col min="13832" max="13832" width="11.5703125" style="259" bestFit="1" customWidth="1"/>
    <col min="13833" max="13833" width="9.28515625" style="259" bestFit="1" customWidth="1"/>
    <col min="13834" max="13834" width="11.5703125" style="259" bestFit="1" customWidth="1"/>
    <col min="13835" max="13835" width="9.28515625" style="259" bestFit="1" customWidth="1"/>
    <col min="13836" max="13836" width="11.5703125" style="259" bestFit="1" customWidth="1"/>
    <col min="13837" max="13837" width="9.28515625" style="259" bestFit="1" customWidth="1"/>
    <col min="13838" max="13838" width="11.5703125" style="259" bestFit="1" customWidth="1"/>
    <col min="13839" max="13839" width="9.28515625" style="259" bestFit="1" customWidth="1"/>
    <col min="13840" max="13840" width="11.5703125" style="259" bestFit="1" customWidth="1"/>
    <col min="13841" max="13841" width="9.28515625" style="259" bestFit="1" customWidth="1"/>
    <col min="13842" max="13842" width="11.5703125" style="259" bestFit="1" customWidth="1"/>
    <col min="13843" max="13843" width="9.28515625" style="259" bestFit="1" customWidth="1"/>
    <col min="13844" max="13844" width="11.5703125" style="259" bestFit="1" customWidth="1"/>
    <col min="13845" max="13845" width="9.28515625" style="259" bestFit="1" customWidth="1"/>
    <col min="13846" max="13846" width="11.5703125" style="259" bestFit="1" customWidth="1"/>
    <col min="13847" max="13847" width="9.28515625" style="259" bestFit="1" customWidth="1"/>
    <col min="13848" max="13848" width="11.5703125" style="259" bestFit="1" customWidth="1"/>
    <col min="13849" max="13849" width="9.28515625" style="259" bestFit="1" customWidth="1"/>
    <col min="13850" max="13850" width="11.5703125" style="259" bestFit="1" customWidth="1"/>
    <col min="13851" max="13851" width="9.28515625" style="259" bestFit="1" customWidth="1"/>
    <col min="13852" max="13852" width="11.5703125" style="259" bestFit="1" customWidth="1"/>
    <col min="13853" max="13853" width="9.28515625" style="259" bestFit="1" customWidth="1"/>
    <col min="13854" max="13854" width="11.5703125" style="259" bestFit="1" customWidth="1"/>
    <col min="13855" max="13855" width="9.28515625" style="259" bestFit="1" customWidth="1"/>
    <col min="13856" max="13856" width="11.5703125" style="259" bestFit="1" customWidth="1"/>
    <col min="13857" max="13857" width="9.28515625" style="259" bestFit="1" customWidth="1"/>
    <col min="13858" max="13858" width="11.5703125" style="259" bestFit="1" customWidth="1"/>
    <col min="13859" max="13859" width="9.28515625" style="259" bestFit="1" customWidth="1"/>
    <col min="13860" max="13860" width="11.5703125" style="259" bestFit="1" customWidth="1"/>
    <col min="13861" max="13861" width="9.28515625" style="259" bestFit="1" customWidth="1"/>
    <col min="13862" max="13862" width="11.5703125" style="259" bestFit="1" customWidth="1"/>
    <col min="13863" max="13863" width="9.28515625" style="259" bestFit="1" customWidth="1"/>
    <col min="13864" max="13864" width="11.5703125" style="259" bestFit="1" customWidth="1"/>
    <col min="13865" max="13865" width="9.28515625" style="259" bestFit="1" customWidth="1"/>
    <col min="13866" max="13866" width="11.5703125" style="259" bestFit="1" customWidth="1"/>
    <col min="13867" max="13867" width="9.28515625" style="259" bestFit="1" customWidth="1"/>
    <col min="13868" max="13868" width="11.5703125" style="259" bestFit="1" customWidth="1"/>
    <col min="13869" max="13869" width="9.28515625" style="259" bestFit="1" customWidth="1"/>
    <col min="13870" max="13870" width="11.5703125" style="259" bestFit="1" customWidth="1"/>
    <col min="13871" max="13871" width="9.28515625" style="259" bestFit="1" customWidth="1"/>
    <col min="13872" max="13872" width="11.5703125" style="259" bestFit="1" customWidth="1"/>
    <col min="13873" max="13873" width="9.28515625" style="259" bestFit="1" customWidth="1"/>
    <col min="13874" max="13874" width="11.5703125" style="259" bestFit="1" customWidth="1"/>
    <col min="13875" max="13875" width="9.28515625" style="259" bestFit="1" customWidth="1"/>
    <col min="13876" max="14082" width="9.140625" style="259"/>
    <col min="14083" max="14083" width="29.42578125" style="259" bestFit="1" customWidth="1"/>
    <col min="14084" max="14084" width="11.5703125" style="259" bestFit="1" customWidth="1"/>
    <col min="14085" max="14085" width="9.28515625" style="259" bestFit="1" customWidth="1"/>
    <col min="14086" max="14086" width="11.5703125" style="259" bestFit="1" customWidth="1"/>
    <col min="14087" max="14087" width="9.28515625" style="259" bestFit="1" customWidth="1"/>
    <col min="14088" max="14088" width="11.5703125" style="259" bestFit="1" customWidth="1"/>
    <col min="14089" max="14089" width="9.28515625" style="259" bestFit="1" customWidth="1"/>
    <col min="14090" max="14090" width="11.5703125" style="259" bestFit="1" customWidth="1"/>
    <col min="14091" max="14091" width="9.28515625" style="259" bestFit="1" customWidth="1"/>
    <col min="14092" max="14092" width="11.5703125" style="259" bestFit="1" customWidth="1"/>
    <col min="14093" max="14093" width="9.28515625" style="259" bestFit="1" customWidth="1"/>
    <col min="14094" max="14094" width="11.5703125" style="259" bestFit="1" customWidth="1"/>
    <col min="14095" max="14095" width="9.28515625" style="259" bestFit="1" customWidth="1"/>
    <col min="14096" max="14096" width="11.5703125" style="259" bestFit="1" customWidth="1"/>
    <col min="14097" max="14097" width="9.28515625" style="259" bestFit="1" customWidth="1"/>
    <col min="14098" max="14098" width="11.5703125" style="259" bestFit="1" customWidth="1"/>
    <col min="14099" max="14099" width="9.28515625" style="259" bestFit="1" customWidth="1"/>
    <col min="14100" max="14100" width="11.5703125" style="259" bestFit="1" customWidth="1"/>
    <col min="14101" max="14101" width="9.28515625" style="259" bestFit="1" customWidth="1"/>
    <col min="14102" max="14102" width="11.5703125" style="259" bestFit="1" customWidth="1"/>
    <col min="14103" max="14103" width="9.28515625" style="259" bestFit="1" customWidth="1"/>
    <col min="14104" max="14104" width="11.5703125" style="259" bestFit="1" customWidth="1"/>
    <col min="14105" max="14105" width="9.28515625" style="259" bestFit="1" customWidth="1"/>
    <col min="14106" max="14106" width="11.5703125" style="259" bestFit="1" customWidth="1"/>
    <col min="14107" max="14107" width="9.28515625" style="259" bestFit="1" customWidth="1"/>
    <col min="14108" max="14108" width="11.5703125" style="259" bestFit="1" customWidth="1"/>
    <col min="14109" max="14109" width="9.28515625" style="259" bestFit="1" customWidth="1"/>
    <col min="14110" max="14110" width="11.5703125" style="259" bestFit="1" customWidth="1"/>
    <col min="14111" max="14111" width="9.28515625" style="259" bestFit="1" customWidth="1"/>
    <col min="14112" max="14112" width="11.5703125" style="259" bestFit="1" customWidth="1"/>
    <col min="14113" max="14113" width="9.28515625" style="259" bestFit="1" customWidth="1"/>
    <col min="14114" max="14114" width="11.5703125" style="259" bestFit="1" customWidth="1"/>
    <col min="14115" max="14115" width="9.28515625" style="259" bestFit="1" customWidth="1"/>
    <col min="14116" max="14116" width="11.5703125" style="259" bestFit="1" customWidth="1"/>
    <col min="14117" max="14117" width="9.28515625" style="259" bestFit="1" customWidth="1"/>
    <col min="14118" max="14118" width="11.5703125" style="259" bestFit="1" customWidth="1"/>
    <col min="14119" max="14119" width="9.28515625" style="259" bestFit="1" customWidth="1"/>
    <col min="14120" max="14120" width="11.5703125" style="259" bestFit="1" customWidth="1"/>
    <col min="14121" max="14121" width="9.28515625" style="259" bestFit="1" customWidth="1"/>
    <col min="14122" max="14122" width="11.5703125" style="259" bestFit="1" customWidth="1"/>
    <col min="14123" max="14123" width="9.28515625" style="259" bestFit="1" customWidth="1"/>
    <col min="14124" max="14124" width="11.5703125" style="259" bestFit="1" customWidth="1"/>
    <col min="14125" max="14125" width="9.28515625" style="259" bestFit="1" customWidth="1"/>
    <col min="14126" max="14126" width="11.5703125" style="259" bestFit="1" customWidth="1"/>
    <col min="14127" max="14127" width="9.28515625" style="259" bestFit="1" customWidth="1"/>
    <col min="14128" max="14128" width="11.5703125" style="259" bestFit="1" customWidth="1"/>
    <col min="14129" max="14129" width="9.28515625" style="259" bestFit="1" customWidth="1"/>
    <col min="14130" max="14130" width="11.5703125" style="259" bestFit="1" customWidth="1"/>
    <col min="14131" max="14131" width="9.28515625" style="259" bestFit="1" customWidth="1"/>
    <col min="14132" max="14338" width="9.140625" style="259"/>
    <col min="14339" max="14339" width="29.42578125" style="259" bestFit="1" customWidth="1"/>
    <col min="14340" max="14340" width="11.5703125" style="259" bestFit="1" customWidth="1"/>
    <col min="14341" max="14341" width="9.28515625" style="259" bestFit="1" customWidth="1"/>
    <col min="14342" max="14342" width="11.5703125" style="259" bestFit="1" customWidth="1"/>
    <col min="14343" max="14343" width="9.28515625" style="259" bestFit="1" customWidth="1"/>
    <col min="14344" max="14344" width="11.5703125" style="259" bestFit="1" customWidth="1"/>
    <col min="14345" max="14345" width="9.28515625" style="259" bestFit="1" customWidth="1"/>
    <col min="14346" max="14346" width="11.5703125" style="259" bestFit="1" customWidth="1"/>
    <col min="14347" max="14347" width="9.28515625" style="259" bestFit="1" customWidth="1"/>
    <col min="14348" max="14348" width="11.5703125" style="259" bestFit="1" customWidth="1"/>
    <col min="14349" max="14349" width="9.28515625" style="259" bestFit="1" customWidth="1"/>
    <col min="14350" max="14350" width="11.5703125" style="259" bestFit="1" customWidth="1"/>
    <col min="14351" max="14351" width="9.28515625" style="259" bestFit="1" customWidth="1"/>
    <col min="14352" max="14352" width="11.5703125" style="259" bestFit="1" customWidth="1"/>
    <col min="14353" max="14353" width="9.28515625" style="259" bestFit="1" customWidth="1"/>
    <col min="14354" max="14354" width="11.5703125" style="259" bestFit="1" customWidth="1"/>
    <col min="14355" max="14355" width="9.28515625" style="259" bestFit="1" customWidth="1"/>
    <col min="14356" max="14356" width="11.5703125" style="259" bestFit="1" customWidth="1"/>
    <col min="14357" max="14357" width="9.28515625" style="259" bestFit="1" customWidth="1"/>
    <col min="14358" max="14358" width="11.5703125" style="259" bestFit="1" customWidth="1"/>
    <col min="14359" max="14359" width="9.28515625" style="259" bestFit="1" customWidth="1"/>
    <col min="14360" max="14360" width="11.5703125" style="259" bestFit="1" customWidth="1"/>
    <col min="14361" max="14361" width="9.28515625" style="259" bestFit="1" customWidth="1"/>
    <col min="14362" max="14362" width="11.5703125" style="259" bestFit="1" customWidth="1"/>
    <col min="14363" max="14363" width="9.28515625" style="259" bestFit="1" customWidth="1"/>
    <col min="14364" max="14364" width="11.5703125" style="259" bestFit="1" customWidth="1"/>
    <col min="14365" max="14365" width="9.28515625" style="259" bestFit="1" customWidth="1"/>
    <col min="14366" max="14366" width="11.5703125" style="259" bestFit="1" customWidth="1"/>
    <col min="14367" max="14367" width="9.28515625" style="259" bestFit="1" customWidth="1"/>
    <col min="14368" max="14368" width="11.5703125" style="259" bestFit="1" customWidth="1"/>
    <col min="14369" max="14369" width="9.28515625" style="259" bestFit="1" customWidth="1"/>
    <col min="14370" max="14370" width="11.5703125" style="259" bestFit="1" customWidth="1"/>
    <col min="14371" max="14371" width="9.28515625" style="259" bestFit="1" customWidth="1"/>
    <col min="14372" max="14372" width="11.5703125" style="259" bestFit="1" customWidth="1"/>
    <col min="14373" max="14373" width="9.28515625" style="259" bestFit="1" customWidth="1"/>
    <col min="14374" max="14374" width="11.5703125" style="259" bestFit="1" customWidth="1"/>
    <col min="14375" max="14375" width="9.28515625" style="259" bestFit="1" customWidth="1"/>
    <col min="14376" max="14376" width="11.5703125" style="259" bestFit="1" customWidth="1"/>
    <col min="14377" max="14377" width="9.28515625" style="259" bestFit="1" customWidth="1"/>
    <col min="14378" max="14378" width="11.5703125" style="259" bestFit="1" customWidth="1"/>
    <col min="14379" max="14379" width="9.28515625" style="259" bestFit="1" customWidth="1"/>
    <col min="14380" max="14380" width="11.5703125" style="259" bestFit="1" customWidth="1"/>
    <col min="14381" max="14381" width="9.28515625" style="259" bestFit="1" customWidth="1"/>
    <col min="14382" max="14382" width="11.5703125" style="259" bestFit="1" customWidth="1"/>
    <col min="14383" max="14383" width="9.28515625" style="259" bestFit="1" customWidth="1"/>
    <col min="14384" max="14384" width="11.5703125" style="259" bestFit="1" customWidth="1"/>
    <col min="14385" max="14385" width="9.28515625" style="259" bestFit="1" customWidth="1"/>
    <col min="14386" max="14386" width="11.5703125" style="259" bestFit="1" customWidth="1"/>
    <col min="14387" max="14387" width="9.28515625" style="259" bestFit="1" customWidth="1"/>
    <col min="14388" max="14594" width="9.140625" style="259"/>
    <col min="14595" max="14595" width="29.42578125" style="259" bestFit="1" customWidth="1"/>
    <col min="14596" max="14596" width="11.5703125" style="259" bestFit="1" customWidth="1"/>
    <col min="14597" max="14597" width="9.28515625" style="259" bestFit="1" customWidth="1"/>
    <col min="14598" max="14598" width="11.5703125" style="259" bestFit="1" customWidth="1"/>
    <col min="14599" max="14599" width="9.28515625" style="259" bestFit="1" customWidth="1"/>
    <col min="14600" max="14600" width="11.5703125" style="259" bestFit="1" customWidth="1"/>
    <col min="14601" max="14601" width="9.28515625" style="259" bestFit="1" customWidth="1"/>
    <col min="14602" max="14602" width="11.5703125" style="259" bestFit="1" customWidth="1"/>
    <col min="14603" max="14603" width="9.28515625" style="259" bestFit="1" customWidth="1"/>
    <col min="14604" max="14604" width="11.5703125" style="259" bestFit="1" customWidth="1"/>
    <col min="14605" max="14605" width="9.28515625" style="259" bestFit="1" customWidth="1"/>
    <col min="14606" max="14606" width="11.5703125" style="259" bestFit="1" customWidth="1"/>
    <col min="14607" max="14607" width="9.28515625" style="259" bestFit="1" customWidth="1"/>
    <col min="14608" max="14608" width="11.5703125" style="259" bestFit="1" customWidth="1"/>
    <col min="14609" max="14609" width="9.28515625" style="259" bestFit="1" customWidth="1"/>
    <col min="14610" max="14610" width="11.5703125" style="259" bestFit="1" customWidth="1"/>
    <col min="14611" max="14611" width="9.28515625" style="259" bestFit="1" customWidth="1"/>
    <col min="14612" max="14612" width="11.5703125" style="259" bestFit="1" customWidth="1"/>
    <col min="14613" max="14613" width="9.28515625" style="259" bestFit="1" customWidth="1"/>
    <col min="14614" max="14614" width="11.5703125" style="259" bestFit="1" customWidth="1"/>
    <col min="14615" max="14615" width="9.28515625" style="259" bestFit="1" customWidth="1"/>
    <col min="14616" max="14616" width="11.5703125" style="259" bestFit="1" customWidth="1"/>
    <col min="14617" max="14617" width="9.28515625" style="259" bestFit="1" customWidth="1"/>
    <col min="14618" max="14618" width="11.5703125" style="259" bestFit="1" customWidth="1"/>
    <col min="14619" max="14619" width="9.28515625" style="259" bestFit="1" customWidth="1"/>
    <col min="14620" max="14620" width="11.5703125" style="259" bestFit="1" customWidth="1"/>
    <col min="14621" max="14621" width="9.28515625" style="259" bestFit="1" customWidth="1"/>
    <col min="14622" max="14622" width="11.5703125" style="259" bestFit="1" customWidth="1"/>
    <col min="14623" max="14623" width="9.28515625" style="259" bestFit="1" customWidth="1"/>
    <col min="14624" max="14624" width="11.5703125" style="259" bestFit="1" customWidth="1"/>
    <col min="14625" max="14625" width="9.28515625" style="259" bestFit="1" customWidth="1"/>
    <col min="14626" max="14626" width="11.5703125" style="259" bestFit="1" customWidth="1"/>
    <col min="14627" max="14627" width="9.28515625" style="259" bestFit="1" customWidth="1"/>
    <col min="14628" max="14628" width="11.5703125" style="259" bestFit="1" customWidth="1"/>
    <col min="14629" max="14629" width="9.28515625" style="259" bestFit="1" customWidth="1"/>
    <col min="14630" max="14630" width="11.5703125" style="259" bestFit="1" customWidth="1"/>
    <col min="14631" max="14631" width="9.28515625" style="259" bestFit="1" customWidth="1"/>
    <col min="14632" max="14632" width="11.5703125" style="259" bestFit="1" customWidth="1"/>
    <col min="14633" max="14633" width="9.28515625" style="259" bestFit="1" customWidth="1"/>
    <col min="14634" max="14634" width="11.5703125" style="259" bestFit="1" customWidth="1"/>
    <col min="14635" max="14635" width="9.28515625" style="259" bestFit="1" customWidth="1"/>
    <col min="14636" max="14636" width="11.5703125" style="259" bestFit="1" customWidth="1"/>
    <col min="14637" max="14637" width="9.28515625" style="259" bestFit="1" customWidth="1"/>
    <col min="14638" max="14638" width="11.5703125" style="259" bestFit="1" customWidth="1"/>
    <col min="14639" max="14639" width="9.28515625" style="259" bestFit="1" customWidth="1"/>
    <col min="14640" max="14640" width="11.5703125" style="259" bestFit="1" customWidth="1"/>
    <col min="14641" max="14641" width="9.28515625" style="259" bestFit="1" customWidth="1"/>
    <col min="14642" max="14642" width="11.5703125" style="259" bestFit="1" customWidth="1"/>
    <col min="14643" max="14643" width="9.28515625" style="259" bestFit="1" customWidth="1"/>
    <col min="14644" max="14850" width="9.140625" style="259"/>
    <col min="14851" max="14851" width="29.42578125" style="259" bestFit="1" customWidth="1"/>
    <col min="14852" max="14852" width="11.5703125" style="259" bestFit="1" customWidth="1"/>
    <col min="14853" max="14853" width="9.28515625" style="259" bestFit="1" customWidth="1"/>
    <col min="14854" max="14854" width="11.5703125" style="259" bestFit="1" customWidth="1"/>
    <col min="14855" max="14855" width="9.28515625" style="259" bestFit="1" customWidth="1"/>
    <col min="14856" max="14856" width="11.5703125" style="259" bestFit="1" customWidth="1"/>
    <col min="14857" max="14857" width="9.28515625" style="259" bestFit="1" customWidth="1"/>
    <col min="14858" max="14858" width="11.5703125" style="259" bestFit="1" customWidth="1"/>
    <col min="14859" max="14859" width="9.28515625" style="259" bestFit="1" customWidth="1"/>
    <col min="14860" max="14860" width="11.5703125" style="259" bestFit="1" customWidth="1"/>
    <col min="14861" max="14861" width="9.28515625" style="259" bestFit="1" customWidth="1"/>
    <col min="14862" max="14862" width="11.5703125" style="259" bestFit="1" customWidth="1"/>
    <col min="14863" max="14863" width="9.28515625" style="259" bestFit="1" customWidth="1"/>
    <col min="14864" max="14864" width="11.5703125" style="259" bestFit="1" customWidth="1"/>
    <col min="14865" max="14865" width="9.28515625" style="259" bestFit="1" customWidth="1"/>
    <col min="14866" max="14866" width="11.5703125" style="259" bestFit="1" customWidth="1"/>
    <col min="14867" max="14867" width="9.28515625" style="259" bestFit="1" customWidth="1"/>
    <col min="14868" max="14868" width="11.5703125" style="259" bestFit="1" customWidth="1"/>
    <col min="14869" max="14869" width="9.28515625" style="259" bestFit="1" customWidth="1"/>
    <col min="14870" max="14870" width="11.5703125" style="259" bestFit="1" customWidth="1"/>
    <col min="14871" max="14871" width="9.28515625" style="259" bestFit="1" customWidth="1"/>
    <col min="14872" max="14872" width="11.5703125" style="259" bestFit="1" customWidth="1"/>
    <col min="14873" max="14873" width="9.28515625" style="259" bestFit="1" customWidth="1"/>
    <col min="14874" max="14874" width="11.5703125" style="259" bestFit="1" customWidth="1"/>
    <col min="14875" max="14875" width="9.28515625" style="259" bestFit="1" customWidth="1"/>
    <col min="14876" max="14876" width="11.5703125" style="259" bestFit="1" customWidth="1"/>
    <col min="14877" max="14877" width="9.28515625" style="259" bestFit="1" customWidth="1"/>
    <col min="14878" max="14878" width="11.5703125" style="259" bestFit="1" customWidth="1"/>
    <col min="14879" max="14879" width="9.28515625" style="259" bestFit="1" customWidth="1"/>
    <col min="14880" max="14880" width="11.5703125" style="259" bestFit="1" customWidth="1"/>
    <col min="14881" max="14881" width="9.28515625" style="259" bestFit="1" customWidth="1"/>
    <col min="14882" max="14882" width="11.5703125" style="259" bestFit="1" customWidth="1"/>
    <col min="14883" max="14883" width="9.28515625" style="259" bestFit="1" customWidth="1"/>
    <col min="14884" max="14884" width="11.5703125" style="259" bestFit="1" customWidth="1"/>
    <col min="14885" max="14885" width="9.28515625" style="259" bestFit="1" customWidth="1"/>
    <col min="14886" max="14886" width="11.5703125" style="259" bestFit="1" customWidth="1"/>
    <col min="14887" max="14887" width="9.28515625" style="259" bestFit="1" customWidth="1"/>
    <col min="14888" max="14888" width="11.5703125" style="259" bestFit="1" customWidth="1"/>
    <col min="14889" max="14889" width="9.28515625" style="259" bestFit="1" customWidth="1"/>
    <col min="14890" max="14890" width="11.5703125" style="259" bestFit="1" customWidth="1"/>
    <col min="14891" max="14891" width="9.28515625" style="259" bestFit="1" customWidth="1"/>
    <col min="14892" max="14892" width="11.5703125" style="259" bestFit="1" customWidth="1"/>
    <col min="14893" max="14893" width="9.28515625" style="259" bestFit="1" customWidth="1"/>
    <col min="14894" max="14894" width="11.5703125" style="259" bestFit="1" customWidth="1"/>
    <col min="14895" max="14895" width="9.28515625" style="259" bestFit="1" customWidth="1"/>
    <col min="14896" max="14896" width="11.5703125" style="259" bestFit="1" customWidth="1"/>
    <col min="14897" max="14897" width="9.28515625" style="259" bestFit="1" customWidth="1"/>
    <col min="14898" max="14898" width="11.5703125" style="259" bestFit="1" customWidth="1"/>
    <col min="14899" max="14899" width="9.28515625" style="259" bestFit="1" customWidth="1"/>
    <col min="14900" max="15106" width="9.140625" style="259"/>
    <col min="15107" max="15107" width="29.42578125" style="259" bestFit="1" customWidth="1"/>
    <col min="15108" max="15108" width="11.5703125" style="259" bestFit="1" customWidth="1"/>
    <col min="15109" max="15109" width="9.28515625" style="259" bestFit="1" customWidth="1"/>
    <col min="15110" max="15110" width="11.5703125" style="259" bestFit="1" customWidth="1"/>
    <col min="15111" max="15111" width="9.28515625" style="259" bestFit="1" customWidth="1"/>
    <col min="15112" max="15112" width="11.5703125" style="259" bestFit="1" customWidth="1"/>
    <col min="15113" max="15113" width="9.28515625" style="259" bestFit="1" customWidth="1"/>
    <col min="15114" max="15114" width="11.5703125" style="259" bestFit="1" customWidth="1"/>
    <col min="15115" max="15115" width="9.28515625" style="259" bestFit="1" customWidth="1"/>
    <col min="15116" max="15116" width="11.5703125" style="259" bestFit="1" customWidth="1"/>
    <col min="15117" max="15117" width="9.28515625" style="259" bestFit="1" customWidth="1"/>
    <col min="15118" max="15118" width="11.5703125" style="259" bestFit="1" customWidth="1"/>
    <col min="15119" max="15119" width="9.28515625" style="259" bestFit="1" customWidth="1"/>
    <col min="15120" max="15120" width="11.5703125" style="259" bestFit="1" customWidth="1"/>
    <col min="15121" max="15121" width="9.28515625" style="259" bestFit="1" customWidth="1"/>
    <col min="15122" max="15122" width="11.5703125" style="259" bestFit="1" customWidth="1"/>
    <col min="15123" max="15123" width="9.28515625" style="259" bestFit="1" customWidth="1"/>
    <col min="15124" max="15124" width="11.5703125" style="259" bestFit="1" customWidth="1"/>
    <col min="15125" max="15125" width="9.28515625" style="259" bestFit="1" customWidth="1"/>
    <col min="15126" max="15126" width="11.5703125" style="259" bestFit="1" customWidth="1"/>
    <col min="15127" max="15127" width="9.28515625" style="259" bestFit="1" customWidth="1"/>
    <col min="15128" max="15128" width="11.5703125" style="259" bestFit="1" customWidth="1"/>
    <col min="15129" max="15129" width="9.28515625" style="259" bestFit="1" customWidth="1"/>
    <col min="15130" max="15130" width="11.5703125" style="259" bestFit="1" customWidth="1"/>
    <col min="15131" max="15131" width="9.28515625" style="259" bestFit="1" customWidth="1"/>
    <col min="15132" max="15132" width="11.5703125" style="259" bestFit="1" customWidth="1"/>
    <col min="15133" max="15133" width="9.28515625" style="259" bestFit="1" customWidth="1"/>
    <col min="15134" max="15134" width="11.5703125" style="259" bestFit="1" customWidth="1"/>
    <col min="15135" max="15135" width="9.28515625" style="259" bestFit="1" customWidth="1"/>
    <col min="15136" max="15136" width="11.5703125" style="259" bestFit="1" customWidth="1"/>
    <col min="15137" max="15137" width="9.28515625" style="259" bestFit="1" customWidth="1"/>
    <col min="15138" max="15138" width="11.5703125" style="259" bestFit="1" customWidth="1"/>
    <col min="15139" max="15139" width="9.28515625" style="259" bestFit="1" customWidth="1"/>
    <col min="15140" max="15140" width="11.5703125" style="259" bestFit="1" customWidth="1"/>
    <col min="15141" max="15141" width="9.28515625" style="259" bestFit="1" customWidth="1"/>
    <col min="15142" max="15142" width="11.5703125" style="259" bestFit="1" customWidth="1"/>
    <col min="15143" max="15143" width="9.28515625" style="259" bestFit="1" customWidth="1"/>
    <col min="15144" max="15144" width="11.5703125" style="259" bestFit="1" customWidth="1"/>
    <col min="15145" max="15145" width="9.28515625" style="259" bestFit="1" customWidth="1"/>
    <col min="15146" max="15146" width="11.5703125" style="259" bestFit="1" customWidth="1"/>
    <col min="15147" max="15147" width="9.28515625" style="259" bestFit="1" customWidth="1"/>
    <col min="15148" max="15148" width="11.5703125" style="259" bestFit="1" customWidth="1"/>
    <col min="15149" max="15149" width="9.28515625" style="259" bestFit="1" customWidth="1"/>
    <col min="15150" max="15150" width="11.5703125" style="259" bestFit="1" customWidth="1"/>
    <col min="15151" max="15151" width="9.28515625" style="259" bestFit="1" customWidth="1"/>
    <col min="15152" max="15152" width="11.5703125" style="259" bestFit="1" customWidth="1"/>
    <col min="15153" max="15153" width="9.28515625" style="259" bestFit="1" customWidth="1"/>
    <col min="15154" max="15154" width="11.5703125" style="259" bestFit="1" customWidth="1"/>
    <col min="15155" max="15155" width="9.28515625" style="259" bestFit="1" customWidth="1"/>
    <col min="15156" max="15362" width="9.140625" style="259"/>
    <col min="15363" max="15363" width="29.42578125" style="259" bestFit="1" customWidth="1"/>
    <col min="15364" max="15364" width="11.5703125" style="259" bestFit="1" customWidth="1"/>
    <col min="15365" max="15365" width="9.28515625" style="259" bestFit="1" customWidth="1"/>
    <col min="15366" max="15366" width="11.5703125" style="259" bestFit="1" customWidth="1"/>
    <col min="15367" max="15367" width="9.28515625" style="259" bestFit="1" customWidth="1"/>
    <col min="15368" max="15368" width="11.5703125" style="259" bestFit="1" customWidth="1"/>
    <col min="15369" max="15369" width="9.28515625" style="259" bestFit="1" customWidth="1"/>
    <col min="15370" max="15370" width="11.5703125" style="259" bestFit="1" customWidth="1"/>
    <col min="15371" max="15371" width="9.28515625" style="259" bestFit="1" customWidth="1"/>
    <col min="15372" max="15372" width="11.5703125" style="259" bestFit="1" customWidth="1"/>
    <col min="15373" max="15373" width="9.28515625" style="259" bestFit="1" customWidth="1"/>
    <col min="15374" max="15374" width="11.5703125" style="259" bestFit="1" customWidth="1"/>
    <col min="15375" max="15375" width="9.28515625" style="259" bestFit="1" customWidth="1"/>
    <col min="15376" max="15376" width="11.5703125" style="259" bestFit="1" customWidth="1"/>
    <col min="15377" max="15377" width="9.28515625" style="259" bestFit="1" customWidth="1"/>
    <col min="15378" max="15378" width="11.5703125" style="259" bestFit="1" customWidth="1"/>
    <col min="15379" max="15379" width="9.28515625" style="259" bestFit="1" customWidth="1"/>
    <col min="15380" max="15380" width="11.5703125" style="259" bestFit="1" customWidth="1"/>
    <col min="15381" max="15381" width="9.28515625" style="259" bestFit="1" customWidth="1"/>
    <col min="15382" max="15382" width="11.5703125" style="259" bestFit="1" customWidth="1"/>
    <col min="15383" max="15383" width="9.28515625" style="259" bestFit="1" customWidth="1"/>
    <col min="15384" max="15384" width="11.5703125" style="259" bestFit="1" customWidth="1"/>
    <col min="15385" max="15385" width="9.28515625" style="259" bestFit="1" customWidth="1"/>
    <col min="15386" max="15386" width="11.5703125" style="259" bestFit="1" customWidth="1"/>
    <col min="15387" max="15387" width="9.28515625" style="259" bestFit="1" customWidth="1"/>
    <col min="15388" max="15388" width="11.5703125" style="259" bestFit="1" customWidth="1"/>
    <col min="15389" max="15389" width="9.28515625" style="259" bestFit="1" customWidth="1"/>
    <col min="15390" max="15390" width="11.5703125" style="259" bestFit="1" customWidth="1"/>
    <col min="15391" max="15391" width="9.28515625" style="259" bestFit="1" customWidth="1"/>
    <col min="15392" max="15392" width="11.5703125" style="259" bestFit="1" customWidth="1"/>
    <col min="15393" max="15393" width="9.28515625" style="259" bestFit="1" customWidth="1"/>
    <col min="15394" max="15394" width="11.5703125" style="259" bestFit="1" customWidth="1"/>
    <col min="15395" max="15395" width="9.28515625" style="259" bestFit="1" customWidth="1"/>
    <col min="15396" max="15396" width="11.5703125" style="259" bestFit="1" customWidth="1"/>
    <col min="15397" max="15397" width="9.28515625" style="259" bestFit="1" customWidth="1"/>
    <col min="15398" max="15398" width="11.5703125" style="259" bestFit="1" customWidth="1"/>
    <col min="15399" max="15399" width="9.28515625" style="259" bestFit="1" customWidth="1"/>
    <col min="15400" max="15400" width="11.5703125" style="259" bestFit="1" customWidth="1"/>
    <col min="15401" max="15401" width="9.28515625" style="259" bestFit="1" customWidth="1"/>
    <col min="15402" max="15402" width="11.5703125" style="259" bestFit="1" customWidth="1"/>
    <col min="15403" max="15403" width="9.28515625" style="259" bestFit="1" customWidth="1"/>
    <col min="15404" max="15404" width="11.5703125" style="259" bestFit="1" customWidth="1"/>
    <col min="15405" max="15405" width="9.28515625" style="259" bestFit="1" customWidth="1"/>
    <col min="15406" max="15406" width="11.5703125" style="259" bestFit="1" customWidth="1"/>
    <col min="15407" max="15407" width="9.28515625" style="259" bestFit="1" customWidth="1"/>
    <col min="15408" max="15408" width="11.5703125" style="259" bestFit="1" customWidth="1"/>
    <col min="15409" max="15409" width="9.28515625" style="259" bestFit="1" customWidth="1"/>
    <col min="15410" max="15410" width="11.5703125" style="259" bestFit="1" customWidth="1"/>
    <col min="15411" max="15411" width="9.28515625" style="259" bestFit="1" customWidth="1"/>
    <col min="15412" max="15618" width="9.140625" style="259"/>
    <col min="15619" max="15619" width="29.42578125" style="259" bestFit="1" customWidth="1"/>
    <col min="15620" max="15620" width="11.5703125" style="259" bestFit="1" customWidth="1"/>
    <col min="15621" max="15621" width="9.28515625" style="259" bestFit="1" customWidth="1"/>
    <col min="15622" max="15622" width="11.5703125" style="259" bestFit="1" customWidth="1"/>
    <col min="15623" max="15623" width="9.28515625" style="259" bestFit="1" customWidth="1"/>
    <col min="15624" max="15624" width="11.5703125" style="259" bestFit="1" customWidth="1"/>
    <col min="15625" max="15625" width="9.28515625" style="259" bestFit="1" customWidth="1"/>
    <col min="15626" max="15626" width="11.5703125" style="259" bestFit="1" customWidth="1"/>
    <col min="15627" max="15627" width="9.28515625" style="259" bestFit="1" customWidth="1"/>
    <col min="15628" max="15628" width="11.5703125" style="259" bestFit="1" customWidth="1"/>
    <col min="15629" max="15629" width="9.28515625" style="259" bestFit="1" customWidth="1"/>
    <col min="15630" max="15630" width="11.5703125" style="259" bestFit="1" customWidth="1"/>
    <col min="15631" max="15631" width="9.28515625" style="259" bestFit="1" customWidth="1"/>
    <col min="15632" max="15632" width="11.5703125" style="259" bestFit="1" customWidth="1"/>
    <col min="15633" max="15633" width="9.28515625" style="259" bestFit="1" customWidth="1"/>
    <col min="15634" max="15634" width="11.5703125" style="259" bestFit="1" customWidth="1"/>
    <col min="15635" max="15635" width="9.28515625" style="259" bestFit="1" customWidth="1"/>
    <col min="15636" max="15636" width="11.5703125" style="259" bestFit="1" customWidth="1"/>
    <col min="15637" max="15637" width="9.28515625" style="259" bestFit="1" customWidth="1"/>
    <col min="15638" max="15638" width="11.5703125" style="259" bestFit="1" customWidth="1"/>
    <col min="15639" max="15639" width="9.28515625" style="259" bestFit="1" customWidth="1"/>
    <col min="15640" max="15640" width="11.5703125" style="259" bestFit="1" customWidth="1"/>
    <col min="15641" max="15641" width="9.28515625" style="259" bestFit="1" customWidth="1"/>
    <col min="15642" max="15642" width="11.5703125" style="259" bestFit="1" customWidth="1"/>
    <col min="15643" max="15643" width="9.28515625" style="259" bestFit="1" customWidth="1"/>
    <col min="15644" max="15644" width="11.5703125" style="259" bestFit="1" customWidth="1"/>
    <col min="15645" max="15645" width="9.28515625" style="259" bestFit="1" customWidth="1"/>
    <col min="15646" max="15646" width="11.5703125" style="259" bestFit="1" customWidth="1"/>
    <col min="15647" max="15647" width="9.28515625" style="259" bestFit="1" customWidth="1"/>
    <col min="15648" max="15648" width="11.5703125" style="259" bestFit="1" customWidth="1"/>
    <col min="15649" max="15649" width="9.28515625" style="259" bestFit="1" customWidth="1"/>
    <col min="15650" max="15650" width="11.5703125" style="259" bestFit="1" customWidth="1"/>
    <col min="15651" max="15651" width="9.28515625" style="259" bestFit="1" customWidth="1"/>
    <col min="15652" max="15652" width="11.5703125" style="259" bestFit="1" customWidth="1"/>
    <col min="15653" max="15653" width="9.28515625" style="259" bestFit="1" customWidth="1"/>
    <col min="15654" max="15654" width="11.5703125" style="259" bestFit="1" customWidth="1"/>
    <col min="15655" max="15655" width="9.28515625" style="259" bestFit="1" customWidth="1"/>
    <col min="15656" max="15656" width="11.5703125" style="259" bestFit="1" customWidth="1"/>
    <col min="15657" max="15657" width="9.28515625" style="259" bestFit="1" customWidth="1"/>
    <col min="15658" max="15658" width="11.5703125" style="259" bestFit="1" customWidth="1"/>
    <col min="15659" max="15659" width="9.28515625" style="259" bestFit="1" customWidth="1"/>
    <col min="15660" max="15660" width="11.5703125" style="259" bestFit="1" customWidth="1"/>
    <col min="15661" max="15661" width="9.28515625" style="259" bestFit="1" customWidth="1"/>
    <col min="15662" max="15662" width="11.5703125" style="259" bestFit="1" customWidth="1"/>
    <col min="15663" max="15663" width="9.28515625" style="259" bestFit="1" customWidth="1"/>
    <col min="15664" max="15664" width="11.5703125" style="259" bestFit="1" customWidth="1"/>
    <col min="15665" max="15665" width="9.28515625" style="259" bestFit="1" customWidth="1"/>
    <col min="15666" max="15666" width="11.5703125" style="259" bestFit="1" customWidth="1"/>
    <col min="15667" max="15667" width="9.28515625" style="259" bestFit="1" customWidth="1"/>
    <col min="15668" max="15874" width="9.140625" style="259"/>
    <col min="15875" max="15875" width="29.42578125" style="259" bestFit="1" customWidth="1"/>
    <col min="15876" max="15876" width="11.5703125" style="259" bestFit="1" customWidth="1"/>
    <col min="15877" max="15877" width="9.28515625" style="259" bestFit="1" customWidth="1"/>
    <col min="15878" max="15878" width="11.5703125" style="259" bestFit="1" customWidth="1"/>
    <col min="15879" max="15879" width="9.28515625" style="259" bestFit="1" customWidth="1"/>
    <col min="15880" max="15880" width="11.5703125" style="259" bestFit="1" customWidth="1"/>
    <col min="15881" max="15881" width="9.28515625" style="259" bestFit="1" customWidth="1"/>
    <col min="15882" max="15882" width="11.5703125" style="259" bestFit="1" customWidth="1"/>
    <col min="15883" max="15883" width="9.28515625" style="259" bestFit="1" customWidth="1"/>
    <col min="15884" max="15884" width="11.5703125" style="259" bestFit="1" customWidth="1"/>
    <col min="15885" max="15885" width="9.28515625" style="259" bestFit="1" customWidth="1"/>
    <col min="15886" max="15886" width="11.5703125" style="259" bestFit="1" customWidth="1"/>
    <col min="15887" max="15887" width="9.28515625" style="259" bestFit="1" customWidth="1"/>
    <col min="15888" max="15888" width="11.5703125" style="259" bestFit="1" customWidth="1"/>
    <col min="15889" max="15889" width="9.28515625" style="259" bestFit="1" customWidth="1"/>
    <col min="15890" max="15890" width="11.5703125" style="259" bestFit="1" customWidth="1"/>
    <col min="15891" max="15891" width="9.28515625" style="259" bestFit="1" customWidth="1"/>
    <col min="15892" max="15892" width="11.5703125" style="259" bestFit="1" customWidth="1"/>
    <col min="15893" max="15893" width="9.28515625" style="259" bestFit="1" customWidth="1"/>
    <col min="15894" max="15894" width="11.5703125" style="259" bestFit="1" customWidth="1"/>
    <col min="15895" max="15895" width="9.28515625" style="259" bestFit="1" customWidth="1"/>
    <col min="15896" max="15896" width="11.5703125" style="259" bestFit="1" customWidth="1"/>
    <col min="15897" max="15897" width="9.28515625" style="259" bestFit="1" customWidth="1"/>
    <col min="15898" max="15898" width="11.5703125" style="259" bestFit="1" customWidth="1"/>
    <col min="15899" max="15899" width="9.28515625" style="259" bestFit="1" customWidth="1"/>
    <col min="15900" max="15900" width="11.5703125" style="259" bestFit="1" customWidth="1"/>
    <col min="15901" max="15901" width="9.28515625" style="259" bestFit="1" customWidth="1"/>
    <col min="15902" max="15902" width="11.5703125" style="259" bestFit="1" customWidth="1"/>
    <col min="15903" max="15903" width="9.28515625" style="259" bestFit="1" customWidth="1"/>
    <col min="15904" max="15904" width="11.5703125" style="259" bestFit="1" customWidth="1"/>
    <col min="15905" max="15905" width="9.28515625" style="259" bestFit="1" customWidth="1"/>
    <col min="15906" max="15906" width="11.5703125" style="259" bestFit="1" customWidth="1"/>
    <col min="15907" max="15907" width="9.28515625" style="259" bestFit="1" customWidth="1"/>
    <col min="15908" max="15908" width="11.5703125" style="259" bestFit="1" customWidth="1"/>
    <col min="15909" max="15909" width="9.28515625" style="259" bestFit="1" customWidth="1"/>
    <col min="15910" max="15910" width="11.5703125" style="259" bestFit="1" customWidth="1"/>
    <col min="15911" max="15911" width="9.28515625" style="259" bestFit="1" customWidth="1"/>
    <col min="15912" max="15912" width="11.5703125" style="259" bestFit="1" customWidth="1"/>
    <col min="15913" max="15913" width="9.28515625" style="259" bestFit="1" customWidth="1"/>
    <col min="15914" max="15914" width="11.5703125" style="259" bestFit="1" customWidth="1"/>
    <col min="15915" max="15915" width="9.28515625" style="259" bestFit="1" customWidth="1"/>
    <col min="15916" max="15916" width="11.5703125" style="259" bestFit="1" customWidth="1"/>
    <col min="15917" max="15917" width="9.28515625" style="259" bestFit="1" customWidth="1"/>
    <col min="15918" max="15918" width="11.5703125" style="259" bestFit="1" customWidth="1"/>
    <col min="15919" max="15919" width="9.28515625" style="259" bestFit="1" customWidth="1"/>
    <col min="15920" max="15920" width="11.5703125" style="259" bestFit="1" customWidth="1"/>
    <col min="15921" max="15921" width="9.28515625" style="259" bestFit="1" customWidth="1"/>
    <col min="15922" max="15922" width="11.5703125" style="259" bestFit="1" customWidth="1"/>
    <col min="15923" max="15923" width="9.28515625" style="259" bestFit="1" customWidth="1"/>
    <col min="15924" max="16130" width="9.140625" style="259"/>
    <col min="16131" max="16131" width="29.42578125" style="259" bestFit="1" customWidth="1"/>
    <col min="16132" max="16132" width="11.5703125" style="259" bestFit="1" customWidth="1"/>
    <col min="16133" max="16133" width="9.28515625" style="259" bestFit="1" customWidth="1"/>
    <col min="16134" max="16134" width="11.5703125" style="259" bestFit="1" customWidth="1"/>
    <col min="16135" max="16135" width="9.28515625" style="259" bestFit="1" customWidth="1"/>
    <col min="16136" max="16136" width="11.5703125" style="259" bestFit="1" customWidth="1"/>
    <col min="16137" max="16137" width="9.28515625" style="259" bestFit="1" customWidth="1"/>
    <col min="16138" max="16138" width="11.5703125" style="259" bestFit="1" customWidth="1"/>
    <col min="16139" max="16139" width="9.28515625" style="259" bestFit="1" customWidth="1"/>
    <col min="16140" max="16140" width="11.5703125" style="259" bestFit="1" customWidth="1"/>
    <col min="16141" max="16141" width="9.28515625" style="259" bestFit="1" customWidth="1"/>
    <col min="16142" max="16142" width="11.5703125" style="259" bestFit="1" customWidth="1"/>
    <col min="16143" max="16143" width="9.28515625" style="259" bestFit="1" customWidth="1"/>
    <col min="16144" max="16144" width="11.5703125" style="259" bestFit="1" customWidth="1"/>
    <col min="16145" max="16145" width="9.28515625" style="259" bestFit="1" customWidth="1"/>
    <col min="16146" max="16146" width="11.5703125" style="259" bestFit="1" customWidth="1"/>
    <col min="16147" max="16147" width="9.28515625" style="259" bestFit="1" customWidth="1"/>
    <col min="16148" max="16148" width="11.5703125" style="259" bestFit="1" customWidth="1"/>
    <col min="16149" max="16149" width="9.28515625" style="259" bestFit="1" customWidth="1"/>
    <col min="16150" max="16150" width="11.5703125" style="259" bestFit="1" customWidth="1"/>
    <col min="16151" max="16151" width="9.28515625" style="259" bestFit="1" customWidth="1"/>
    <col min="16152" max="16152" width="11.5703125" style="259" bestFit="1" customWidth="1"/>
    <col min="16153" max="16153" width="9.28515625" style="259" bestFit="1" customWidth="1"/>
    <col min="16154" max="16154" width="11.5703125" style="259" bestFit="1" customWidth="1"/>
    <col min="16155" max="16155" width="9.28515625" style="259" bestFit="1" customWidth="1"/>
    <col min="16156" max="16156" width="11.5703125" style="259" bestFit="1" customWidth="1"/>
    <col min="16157" max="16157" width="9.28515625" style="259" bestFit="1" customWidth="1"/>
    <col min="16158" max="16158" width="11.5703125" style="259" bestFit="1" customWidth="1"/>
    <col min="16159" max="16159" width="9.28515625" style="259" bestFit="1" customWidth="1"/>
    <col min="16160" max="16160" width="11.5703125" style="259" bestFit="1" customWidth="1"/>
    <col min="16161" max="16161" width="9.28515625" style="259" bestFit="1" customWidth="1"/>
    <col min="16162" max="16162" width="11.5703125" style="259" bestFit="1" customWidth="1"/>
    <col min="16163" max="16163" width="9.28515625" style="259" bestFit="1" customWidth="1"/>
    <col min="16164" max="16164" width="11.5703125" style="259" bestFit="1" customWidth="1"/>
    <col min="16165" max="16165" width="9.28515625" style="259" bestFit="1" customWidth="1"/>
    <col min="16166" max="16166" width="11.5703125" style="259" bestFit="1" customWidth="1"/>
    <col min="16167" max="16167" width="9.28515625" style="259" bestFit="1" customWidth="1"/>
    <col min="16168" max="16168" width="11.5703125" style="259" bestFit="1" customWidth="1"/>
    <col min="16169" max="16169" width="9.28515625" style="259" bestFit="1" customWidth="1"/>
    <col min="16170" max="16170" width="11.5703125" style="259" bestFit="1" customWidth="1"/>
    <col min="16171" max="16171" width="9.28515625" style="259" bestFit="1" customWidth="1"/>
    <col min="16172" max="16172" width="11.5703125" style="259" bestFit="1" customWidth="1"/>
    <col min="16173" max="16173" width="9.28515625" style="259" bestFit="1" customWidth="1"/>
    <col min="16174" max="16174" width="11.5703125" style="259" bestFit="1" customWidth="1"/>
    <col min="16175" max="16175" width="9.28515625" style="259" bestFit="1" customWidth="1"/>
    <col min="16176" max="16176" width="11.5703125" style="259" bestFit="1" customWidth="1"/>
    <col min="16177" max="16177" width="9.28515625" style="259" bestFit="1" customWidth="1"/>
    <col min="16178" max="16178" width="11.5703125" style="259" bestFit="1" customWidth="1"/>
    <col min="16179" max="16179" width="9.28515625" style="259" bestFit="1" customWidth="1"/>
    <col min="16180" max="16384" width="9.140625" style="259"/>
  </cols>
  <sheetData>
    <row r="1" spans="1:51" s="25" customFormat="1">
      <c r="A1" s="259"/>
      <c r="B1" s="266" t="s">
        <v>145</v>
      </c>
      <c r="C1" s="259"/>
      <c r="D1" s="259">
        <v>3</v>
      </c>
      <c r="E1" s="259">
        <f>D1+1</f>
        <v>4</v>
      </c>
      <c r="F1" s="432">
        <f t="shared" ref="F1:AY1" si="0">E1+1</f>
        <v>5</v>
      </c>
      <c r="G1" s="432">
        <f t="shared" si="0"/>
        <v>6</v>
      </c>
      <c r="H1" s="432">
        <f t="shared" si="0"/>
        <v>7</v>
      </c>
      <c r="I1" s="432">
        <f t="shared" si="0"/>
        <v>8</v>
      </c>
      <c r="J1" s="432">
        <f t="shared" si="0"/>
        <v>9</v>
      </c>
      <c r="K1" s="432">
        <f t="shared" si="0"/>
        <v>10</v>
      </c>
      <c r="L1" s="432">
        <f t="shared" si="0"/>
        <v>11</v>
      </c>
      <c r="M1" s="432">
        <f t="shared" si="0"/>
        <v>12</v>
      </c>
      <c r="N1" s="432">
        <f t="shared" si="0"/>
        <v>13</v>
      </c>
      <c r="O1" s="432">
        <f t="shared" si="0"/>
        <v>14</v>
      </c>
      <c r="P1" s="432">
        <f t="shared" si="0"/>
        <v>15</v>
      </c>
      <c r="Q1" s="432">
        <f t="shared" si="0"/>
        <v>16</v>
      </c>
      <c r="R1" s="432">
        <f t="shared" si="0"/>
        <v>17</v>
      </c>
      <c r="S1" s="432">
        <f t="shared" si="0"/>
        <v>18</v>
      </c>
      <c r="T1" s="432">
        <f t="shared" si="0"/>
        <v>19</v>
      </c>
      <c r="U1" s="432">
        <f t="shared" si="0"/>
        <v>20</v>
      </c>
      <c r="V1" s="432">
        <f t="shared" si="0"/>
        <v>21</v>
      </c>
      <c r="W1" s="432">
        <f t="shared" si="0"/>
        <v>22</v>
      </c>
      <c r="X1" s="432">
        <f t="shared" si="0"/>
        <v>23</v>
      </c>
      <c r="Y1" s="432">
        <f t="shared" si="0"/>
        <v>24</v>
      </c>
      <c r="Z1" s="432">
        <f t="shared" si="0"/>
        <v>25</v>
      </c>
      <c r="AA1" s="432">
        <f t="shared" si="0"/>
        <v>26</v>
      </c>
      <c r="AB1" s="432">
        <f t="shared" si="0"/>
        <v>27</v>
      </c>
      <c r="AC1" s="432">
        <f t="shared" si="0"/>
        <v>28</v>
      </c>
      <c r="AD1" s="432">
        <f t="shared" si="0"/>
        <v>29</v>
      </c>
      <c r="AE1" s="432">
        <f t="shared" si="0"/>
        <v>30</v>
      </c>
      <c r="AF1" s="432">
        <f t="shared" si="0"/>
        <v>31</v>
      </c>
      <c r="AG1" s="432">
        <f t="shared" si="0"/>
        <v>32</v>
      </c>
      <c r="AH1" s="432">
        <f t="shared" si="0"/>
        <v>33</v>
      </c>
      <c r="AI1" s="432">
        <f t="shared" si="0"/>
        <v>34</v>
      </c>
      <c r="AJ1" s="432">
        <f t="shared" si="0"/>
        <v>35</v>
      </c>
      <c r="AK1" s="432">
        <f t="shared" si="0"/>
        <v>36</v>
      </c>
      <c r="AL1" s="432">
        <f t="shared" si="0"/>
        <v>37</v>
      </c>
      <c r="AM1" s="432">
        <f t="shared" si="0"/>
        <v>38</v>
      </c>
      <c r="AN1" s="432">
        <f t="shared" si="0"/>
        <v>39</v>
      </c>
      <c r="AO1" s="432">
        <f t="shared" si="0"/>
        <v>40</v>
      </c>
      <c r="AP1" s="432">
        <f t="shared" si="0"/>
        <v>41</v>
      </c>
      <c r="AQ1" s="432">
        <f t="shared" si="0"/>
        <v>42</v>
      </c>
      <c r="AR1" s="432">
        <f t="shared" si="0"/>
        <v>43</v>
      </c>
      <c r="AS1" s="432">
        <f t="shared" si="0"/>
        <v>44</v>
      </c>
      <c r="AT1" s="432">
        <f t="shared" si="0"/>
        <v>45</v>
      </c>
      <c r="AU1" s="432">
        <f t="shared" si="0"/>
        <v>46</v>
      </c>
      <c r="AV1" s="432">
        <f t="shared" si="0"/>
        <v>47</v>
      </c>
      <c r="AW1" s="432">
        <f t="shared" si="0"/>
        <v>48</v>
      </c>
      <c r="AX1" s="432">
        <f t="shared" si="0"/>
        <v>49</v>
      </c>
      <c r="AY1" s="432">
        <f t="shared" si="0"/>
        <v>50</v>
      </c>
    </row>
    <row r="2" spans="1:51" s="25" customFormat="1">
      <c r="A2" s="259"/>
      <c r="B2" s="260"/>
      <c r="C2" s="260"/>
      <c r="D2" s="326">
        <v>42278</v>
      </c>
      <c r="E2" s="323">
        <v>42278</v>
      </c>
      <c r="F2" s="326">
        <v>42309</v>
      </c>
      <c r="G2" s="323">
        <v>42309</v>
      </c>
      <c r="H2" s="326">
        <v>42339</v>
      </c>
      <c r="I2" s="323">
        <v>42339</v>
      </c>
      <c r="J2" s="326">
        <v>42370</v>
      </c>
      <c r="K2" s="323">
        <v>42370</v>
      </c>
      <c r="L2" s="326">
        <v>42401</v>
      </c>
      <c r="M2" s="323">
        <v>42401</v>
      </c>
      <c r="N2" s="326">
        <v>42430</v>
      </c>
      <c r="O2" s="323">
        <v>42430</v>
      </c>
      <c r="P2" s="326">
        <v>42461</v>
      </c>
      <c r="Q2" s="323">
        <v>42461</v>
      </c>
      <c r="R2" s="326">
        <v>42491</v>
      </c>
      <c r="S2" s="323">
        <v>42491</v>
      </c>
      <c r="T2" s="326">
        <v>42522</v>
      </c>
      <c r="U2" s="323">
        <v>42522</v>
      </c>
      <c r="V2" s="326">
        <v>42552</v>
      </c>
      <c r="W2" s="323">
        <v>42552</v>
      </c>
      <c r="X2" s="326">
        <v>42583</v>
      </c>
      <c r="Y2" s="323">
        <v>42583</v>
      </c>
      <c r="Z2" s="326">
        <v>42614</v>
      </c>
      <c r="AA2" s="323">
        <v>42614</v>
      </c>
      <c r="AB2" s="326">
        <v>42644</v>
      </c>
      <c r="AC2" s="323">
        <v>42644</v>
      </c>
      <c r="AD2" s="326">
        <v>42675</v>
      </c>
      <c r="AE2" s="323">
        <v>42675</v>
      </c>
      <c r="AF2" s="326">
        <v>42705</v>
      </c>
      <c r="AG2" s="323">
        <v>42705</v>
      </c>
      <c r="AH2" s="326">
        <v>42736</v>
      </c>
      <c r="AI2" s="323">
        <v>42736</v>
      </c>
      <c r="AJ2" s="326">
        <v>42767</v>
      </c>
      <c r="AK2" s="323">
        <v>42767</v>
      </c>
      <c r="AL2" s="326">
        <v>42795</v>
      </c>
      <c r="AM2" s="323">
        <v>42795</v>
      </c>
      <c r="AN2" s="326">
        <v>42826</v>
      </c>
      <c r="AO2" s="323">
        <v>42826</v>
      </c>
      <c r="AP2" s="326">
        <v>42856</v>
      </c>
      <c r="AQ2" s="323">
        <v>42856</v>
      </c>
      <c r="AR2" s="326">
        <v>42887</v>
      </c>
      <c r="AS2" s="323">
        <v>42887</v>
      </c>
      <c r="AT2" s="326">
        <v>42917</v>
      </c>
      <c r="AU2" s="323">
        <v>42917</v>
      </c>
      <c r="AV2" s="326">
        <v>42948</v>
      </c>
      <c r="AW2" s="323">
        <v>42948</v>
      </c>
      <c r="AX2" s="326">
        <v>42979</v>
      </c>
      <c r="AY2" s="323">
        <v>42979</v>
      </c>
    </row>
    <row r="3" spans="1:51" s="25" customFormat="1">
      <c r="A3" s="259"/>
      <c r="B3" s="318" t="s">
        <v>2</v>
      </c>
      <c r="C3" s="318" t="s">
        <v>147</v>
      </c>
      <c r="D3" s="324" t="s">
        <v>143</v>
      </c>
      <c r="E3" s="325" t="s">
        <v>144</v>
      </c>
      <c r="F3" s="324" t="s">
        <v>143</v>
      </c>
      <c r="G3" s="325" t="s">
        <v>144</v>
      </c>
      <c r="H3" s="324" t="s">
        <v>143</v>
      </c>
      <c r="I3" s="325" t="s">
        <v>144</v>
      </c>
      <c r="J3" s="324" t="s">
        <v>143</v>
      </c>
      <c r="K3" s="325" t="s">
        <v>144</v>
      </c>
      <c r="L3" s="324" t="s">
        <v>143</v>
      </c>
      <c r="M3" s="325" t="s">
        <v>144</v>
      </c>
      <c r="N3" s="324" t="s">
        <v>143</v>
      </c>
      <c r="O3" s="325" t="s">
        <v>144</v>
      </c>
      <c r="P3" s="324" t="s">
        <v>143</v>
      </c>
      <c r="Q3" s="325" t="s">
        <v>144</v>
      </c>
      <c r="R3" s="324" t="s">
        <v>143</v>
      </c>
      <c r="S3" s="325" t="s">
        <v>144</v>
      </c>
      <c r="T3" s="324" t="s">
        <v>143</v>
      </c>
      <c r="U3" s="325" t="s">
        <v>144</v>
      </c>
      <c r="V3" s="324" t="s">
        <v>143</v>
      </c>
      <c r="W3" s="325" t="s">
        <v>144</v>
      </c>
      <c r="X3" s="324" t="s">
        <v>143</v>
      </c>
      <c r="Y3" s="325" t="s">
        <v>144</v>
      </c>
      <c r="Z3" s="324" t="s">
        <v>143</v>
      </c>
      <c r="AA3" s="325" t="s">
        <v>144</v>
      </c>
      <c r="AB3" s="324" t="s">
        <v>143</v>
      </c>
      <c r="AC3" s="325" t="s">
        <v>144</v>
      </c>
      <c r="AD3" s="324" t="s">
        <v>143</v>
      </c>
      <c r="AE3" s="325" t="s">
        <v>144</v>
      </c>
      <c r="AF3" s="324" t="s">
        <v>143</v>
      </c>
      <c r="AG3" s="325" t="s">
        <v>144</v>
      </c>
      <c r="AH3" s="324" t="s">
        <v>143</v>
      </c>
      <c r="AI3" s="325" t="s">
        <v>144</v>
      </c>
      <c r="AJ3" s="324" t="s">
        <v>143</v>
      </c>
      <c r="AK3" s="325" t="s">
        <v>144</v>
      </c>
      <c r="AL3" s="324" t="s">
        <v>143</v>
      </c>
      <c r="AM3" s="325" t="s">
        <v>144</v>
      </c>
      <c r="AN3" s="324" t="s">
        <v>143</v>
      </c>
      <c r="AO3" s="325" t="s">
        <v>144</v>
      </c>
      <c r="AP3" s="324" t="s">
        <v>143</v>
      </c>
      <c r="AQ3" s="325" t="s">
        <v>144</v>
      </c>
      <c r="AR3" s="324" t="s">
        <v>143</v>
      </c>
      <c r="AS3" s="325" t="s">
        <v>144</v>
      </c>
      <c r="AT3" s="324" t="s">
        <v>143</v>
      </c>
      <c r="AU3" s="325" t="s">
        <v>144</v>
      </c>
      <c r="AV3" s="324" t="s">
        <v>143</v>
      </c>
      <c r="AW3" s="325" t="s">
        <v>144</v>
      </c>
      <c r="AX3" s="324" t="s">
        <v>143</v>
      </c>
      <c r="AY3" s="325" t="s">
        <v>144</v>
      </c>
    </row>
    <row r="4" spans="1:51">
      <c r="B4" s="259">
        <v>10005</v>
      </c>
      <c r="C4" s="259" t="s">
        <v>7</v>
      </c>
      <c r="D4" s="395">
        <v>116.63194444444441</v>
      </c>
      <c r="E4" s="435">
        <v>0</v>
      </c>
      <c r="F4" s="435">
        <v>108.90885416666657</v>
      </c>
      <c r="G4" s="435">
        <v>0</v>
      </c>
      <c r="H4" s="435">
        <v>148.16826923076925</v>
      </c>
      <c r="I4" s="435">
        <v>0</v>
      </c>
      <c r="J4" s="435">
        <v>130.27750000000003</v>
      </c>
      <c r="K4" s="435">
        <v>0</v>
      </c>
      <c r="L4" s="435">
        <v>175.44499999999985</v>
      </c>
      <c r="M4" s="435">
        <v>0</v>
      </c>
      <c r="N4" s="435">
        <v>121.65046296296289</v>
      </c>
      <c r="O4" s="435">
        <v>0</v>
      </c>
      <c r="P4" s="435">
        <v>31.973557692307754</v>
      </c>
      <c r="Q4" s="435">
        <v>0</v>
      </c>
      <c r="R4" s="435">
        <v>29.285000000000004</v>
      </c>
      <c r="S4" s="435">
        <v>0</v>
      </c>
      <c r="T4" s="435">
        <v>67.266826923076877</v>
      </c>
      <c r="U4" s="435">
        <v>0</v>
      </c>
      <c r="V4" s="435">
        <v>39.437499999999986</v>
      </c>
      <c r="W4" s="435">
        <v>0</v>
      </c>
      <c r="X4" s="435">
        <v>57.407407407407405</v>
      </c>
      <c r="Y4" s="435">
        <v>0</v>
      </c>
      <c r="Z4" s="435">
        <v>43.067500000000038</v>
      </c>
      <c r="AA4" s="435">
        <v>0</v>
      </c>
      <c r="AB4" s="435">
        <v>97.425480769230745</v>
      </c>
      <c r="AC4" s="435">
        <v>0</v>
      </c>
      <c r="AD4" s="435">
        <v>139.19249999999988</v>
      </c>
      <c r="AE4" s="435">
        <v>0</v>
      </c>
      <c r="AF4" s="435">
        <v>148.16826923076925</v>
      </c>
      <c r="AG4" s="435">
        <v>0</v>
      </c>
      <c r="AH4" s="435">
        <v>130.27750000000003</v>
      </c>
      <c r="AI4" s="435">
        <v>0</v>
      </c>
      <c r="AJ4" s="435">
        <v>146.13020833333312</v>
      </c>
      <c r="AK4" s="435">
        <v>0</v>
      </c>
      <c r="AL4" s="435">
        <v>121.65046296296289</v>
      </c>
      <c r="AM4" s="435">
        <v>0</v>
      </c>
      <c r="AN4" s="435">
        <v>10.252500000000053</v>
      </c>
      <c r="AO4" s="435">
        <v>0</v>
      </c>
      <c r="AP4" s="435">
        <v>47.504807692307693</v>
      </c>
      <c r="AQ4" s="435">
        <v>0</v>
      </c>
      <c r="AR4" s="435">
        <v>67.266826923076877</v>
      </c>
      <c r="AS4" s="435">
        <v>0</v>
      </c>
      <c r="AT4" s="435">
        <v>39.437499999999986</v>
      </c>
      <c r="AU4" s="435">
        <v>0</v>
      </c>
      <c r="AV4" s="435">
        <v>57.407407407407405</v>
      </c>
      <c r="AW4" s="435">
        <v>0</v>
      </c>
      <c r="AX4" s="435">
        <v>43.067500000000038</v>
      </c>
      <c r="AY4" s="435">
        <v>0</v>
      </c>
    </row>
    <row r="5" spans="1:51">
      <c r="B5" s="259">
        <v>10015</v>
      </c>
      <c r="C5" s="259" t="s">
        <v>8</v>
      </c>
      <c r="D5" s="435">
        <v>559.86574074074065</v>
      </c>
      <c r="E5" s="435">
        <v>0</v>
      </c>
      <c r="F5" s="435">
        <v>0</v>
      </c>
      <c r="G5" s="435">
        <v>0</v>
      </c>
      <c r="H5" s="435">
        <v>0</v>
      </c>
      <c r="I5" s="435">
        <v>0</v>
      </c>
      <c r="J5" s="435">
        <v>236.70999999999998</v>
      </c>
      <c r="K5" s="435">
        <v>0</v>
      </c>
      <c r="L5" s="435">
        <v>160.48000000000008</v>
      </c>
      <c r="M5" s="435">
        <v>0</v>
      </c>
      <c r="N5" s="435">
        <v>253.51620370370364</v>
      </c>
      <c r="O5" s="435">
        <v>0</v>
      </c>
      <c r="P5" s="435">
        <v>725.78846153846155</v>
      </c>
      <c r="Q5" s="435">
        <v>0</v>
      </c>
      <c r="R5" s="435">
        <v>596.17499999999995</v>
      </c>
      <c r="S5" s="435">
        <v>0</v>
      </c>
      <c r="T5" s="435">
        <v>549.62980769230785</v>
      </c>
      <c r="U5" s="435">
        <v>0</v>
      </c>
      <c r="V5" s="435">
        <v>614.63999999999987</v>
      </c>
      <c r="W5" s="435">
        <v>0</v>
      </c>
      <c r="X5" s="435">
        <v>354.05092592592615</v>
      </c>
      <c r="Y5" s="435">
        <v>0</v>
      </c>
      <c r="Z5" s="435">
        <v>576.40750000000014</v>
      </c>
      <c r="AA5" s="435">
        <v>0</v>
      </c>
      <c r="AB5" s="435">
        <v>543.51442307692298</v>
      </c>
      <c r="AC5" s="435">
        <v>0</v>
      </c>
      <c r="AD5" s="435">
        <v>0</v>
      </c>
      <c r="AE5" s="435">
        <v>0</v>
      </c>
      <c r="AF5" s="435">
        <v>0</v>
      </c>
      <c r="AG5" s="435">
        <v>0</v>
      </c>
      <c r="AH5" s="435">
        <v>236.70999999999998</v>
      </c>
      <c r="AI5" s="435">
        <v>0</v>
      </c>
      <c r="AJ5" s="435">
        <v>150.25000000000011</v>
      </c>
      <c r="AK5" s="435">
        <v>0</v>
      </c>
      <c r="AL5" s="435">
        <v>253.51620370370364</v>
      </c>
      <c r="AM5" s="435">
        <v>0</v>
      </c>
      <c r="AN5" s="435">
        <v>707.18000000000018</v>
      </c>
      <c r="AO5" s="435">
        <v>0</v>
      </c>
      <c r="AP5" s="435">
        <v>628.24519230769238</v>
      </c>
      <c r="AQ5" s="435">
        <v>0</v>
      </c>
      <c r="AR5" s="435">
        <v>549.62980769230785</v>
      </c>
      <c r="AS5" s="435">
        <v>0</v>
      </c>
      <c r="AT5" s="435">
        <v>614.63999999999987</v>
      </c>
      <c r="AU5" s="435">
        <v>0</v>
      </c>
      <c r="AV5" s="435">
        <v>354.05092592592615</v>
      </c>
      <c r="AW5" s="435">
        <v>0</v>
      </c>
      <c r="AX5" s="435">
        <v>576.40750000000014</v>
      </c>
      <c r="AY5" s="435">
        <v>0</v>
      </c>
    </row>
    <row r="6" spans="1:51">
      <c r="B6" s="259">
        <v>10024</v>
      </c>
      <c r="C6" s="259" t="s">
        <v>9</v>
      </c>
      <c r="D6" s="435">
        <v>0</v>
      </c>
      <c r="E6" s="435">
        <v>0</v>
      </c>
      <c r="F6" s="435">
        <v>0</v>
      </c>
      <c r="G6" s="435">
        <v>0</v>
      </c>
      <c r="H6" s="435">
        <v>0</v>
      </c>
      <c r="I6" s="435">
        <v>0</v>
      </c>
      <c r="J6" s="435">
        <v>0</v>
      </c>
      <c r="K6" s="435">
        <v>0</v>
      </c>
      <c r="L6" s="435">
        <v>0</v>
      </c>
      <c r="M6" s="435">
        <v>0</v>
      </c>
      <c r="N6" s="435">
        <v>0</v>
      </c>
      <c r="O6" s="435">
        <v>0</v>
      </c>
      <c r="P6" s="435">
        <v>0</v>
      </c>
      <c r="Q6" s="435">
        <v>0</v>
      </c>
      <c r="R6" s="435">
        <v>0</v>
      </c>
      <c r="S6" s="435">
        <v>0</v>
      </c>
      <c r="T6" s="435">
        <v>0</v>
      </c>
      <c r="U6" s="435">
        <v>0</v>
      </c>
      <c r="V6" s="435">
        <v>0</v>
      </c>
      <c r="W6" s="435">
        <v>0</v>
      </c>
      <c r="X6" s="435">
        <v>0</v>
      </c>
      <c r="Y6" s="435">
        <v>0</v>
      </c>
      <c r="Z6" s="435">
        <v>0</v>
      </c>
      <c r="AA6" s="435">
        <v>0</v>
      </c>
      <c r="AB6" s="435">
        <v>0</v>
      </c>
      <c r="AC6" s="435">
        <v>0</v>
      </c>
      <c r="AD6" s="435">
        <v>0</v>
      </c>
      <c r="AE6" s="435">
        <v>0</v>
      </c>
      <c r="AF6" s="435">
        <v>0</v>
      </c>
      <c r="AG6" s="435">
        <v>0</v>
      </c>
      <c r="AH6" s="435">
        <v>0</v>
      </c>
      <c r="AI6" s="435">
        <v>0</v>
      </c>
      <c r="AJ6" s="435">
        <v>0</v>
      </c>
      <c r="AK6" s="435">
        <v>0</v>
      </c>
      <c r="AL6" s="435">
        <v>0</v>
      </c>
      <c r="AM6" s="435">
        <v>0</v>
      </c>
      <c r="AN6" s="435">
        <v>0</v>
      </c>
      <c r="AO6" s="435">
        <v>0</v>
      </c>
      <c r="AP6" s="435">
        <v>0</v>
      </c>
      <c r="AQ6" s="435">
        <v>0</v>
      </c>
      <c r="AR6" s="435">
        <v>0</v>
      </c>
      <c r="AS6" s="435">
        <v>0</v>
      </c>
      <c r="AT6" s="435">
        <v>0</v>
      </c>
      <c r="AU6" s="435">
        <v>0</v>
      </c>
      <c r="AV6" s="435">
        <v>0</v>
      </c>
      <c r="AW6" s="435">
        <v>0</v>
      </c>
      <c r="AX6" s="435">
        <v>0</v>
      </c>
      <c r="AY6" s="435">
        <v>0</v>
      </c>
    </row>
    <row r="7" spans="1:51">
      <c r="B7" s="259">
        <v>10025</v>
      </c>
      <c r="C7" s="259" t="s">
        <v>10</v>
      </c>
      <c r="D7" s="435">
        <v>4509.5555555555593</v>
      </c>
      <c r="E7" s="435">
        <v>0</v>
      </c>
      <c r="F7" s="435">
        <v>0</v>
      </c>
      <c r="G7" s="435">
        <v>0</v>
      </c>
      <c r="H7" s="435">
        <v>11521.884615384626</v>
      </c>
      <c r="I7" s="435">
        <v>0</v>
      </c>
      <c r="J7" s="435">
        <v>5648.5174999999972</v>
      </c>
      <c r="K7" s="435">
        <v>0</v>
      </c>
      <c r="L7" s="435">
        <v>6253.3625000000047</v>
      </c>
      <c r="M7" s="435">
        <v>0</v>
      </c>
      <c r="N7" s="435">
        <v>3764.4560185185119</v>
      </c>
      <c r="O7" s="435">
        <v>0</v>
      </c>
      <c r="P7" s="435">
        <v>0</v>
      </c>
      <c r="Q7" s="435">
        <v>0</v>
      </c>
      <c r="R7" s="435">
        <v>0</v>
      </c>
      <c r="S7" s="435">
        <v>0</v>
      </c>
      <c r="T7" s="435">
        <v>9287.954326923078</v>
      </c>
      <c r="U7" s="435">
        <v>0</v>
      </c>
      <c r="V7" s="435">
        <v>7087.2700000000023</v>
      </c>
      <c r="W7" s="435">
        <v>0</v>
      </c>
      <c r="X7" s="435">
        <v>7770.9074074074142</v>
      </c>
      <c r="Y7" s="435">
        <v>0</v>
      </c>
      <c r="Z7" s="435">
        <v>13767.5625</v>
      </c>
      <c r="AA7" s="435">
        <v>0</v>
      </c>
      <c r="AB7" s="435">
        <v>2079.8846153846162</v>
      </c>
      <c r="AC7" s="435">
        <v>0</v>
      </c>
      <c r="AD7" s="435">
        <v>0</v>
      </c>
      <c r="AE7" s="435">
        <v>0</v>
      </c>
      <c r="AF7" s="435">
        <v>11521.884615384626</v>
      </c>
      <c r="AG7" s="435">
        <v>0</v>
      </c>
      <c r="AH7" s="435">
        <v>5648.5174999999972</v>
      </c>
      <c r="AI7" s="435">
        <v>0</v>
      </c>
      <c r="AJ7" s="435">
        <v>3922.335937500005</v>
      </c>
      <c r="AK7" s="435">
        <v>0</v>
      </c>
      <c r="AL7" s="435">
        <v>3764.4560185185119</v>
      </c>
      <c r="AM7" s="435">
        <v>0</v>
      </c>
      <c r="AN7" s="435">
        <v>0</v>
      </c>
      <c r="AO7" s="435">
        <v>0</v>
      </c>
      <c r="AP7" s="435">
        <v>1306.8389423076994</v>
      </c>
      <c r="AQ7" s="435">
        <v>0</v>
      </c>
      <c r="AR7" s="435">
        <v>9287.954326923078</v>
      </c>
      <c r="AS7" s="435">
        <v>0</v>
      </c>
      <c r="AT7" s="435">
        <v>7087.2700000000023</v>
      </c>
      <c r="AU7" s="435">
        <v>0</v>
      </c>
      <c r="AV7" s="435">
        <v>7770.9074074074142</v>
      </c>
      <c r="AW7" s="435">
        <v>0</v>
      </c>
      <c r="AX7" s="435">
        <v>13767.5625</v>
      </c>
      <c r="AY7" s="435">
        <v>0</v>
      </c>
    </row>
    <row r="8" spans="1:51">
      <c r="B8" s="259">
        <v>10027</v>
      </c>
      <c r="C8" s="259" t="s">
        <v>11</v>
      </c>
      <c r="D8" s="435">
        <v>9292.6180555555638</v>
      </c>
      <c r="E8" s="435">
        <v>0</v>
      </c>
      <c r="F8" s="435">
        <v>2929.7343749999991</v>
      </c>
      <c r="G8" s="435">
        <v>0</v>
      </c>
      <c r="H8" s="435">
        <v>7634.3293269230826</v>
      </c>
      <c r="I8" s="435">
        <v>0</v>
      </c>
      <c r="J8" s="435">
        <v>7183.4675000000025</v>
      </c>
      <c r="K8" s="435">
        <v>0</v>
      </c>
      <c r="L8" s="435">
        <v>2949.757499999997</v>
      </c>
      <c r="M8" s="435">
        <v>0</v>
      </c>
      <c r="N8" s="435">
        <v>3975.2106481481419</v>
      </c>
      <c r="O8" s="435">
        <v>0</v>
      </c>
      <c r="P8" s="435">
        <v>8332.8774038461579</v>
      </c>
      <c r="Q8" s="435">
        <v>0</v>
      </c>
      <c r="R8" s="435">
        <v>0</v>
      </c>
      <c r="S8" s="435">
        <v>0</v>
      </c>
      <c r="T8" s="435">
        <v>12751.173076923071</v>
      </c>
      <c r="U8" s="435">
        <v>0</v>
      </c>
      <c r="V8" s="435">
        <v>10692.789999999995</v>
      </c>
      <c r="W8" s="435">
        <v>0</v>
      </c>
      <c r="X8" s="435">
        <v>17429.020833333336</v>
      </c>
      <c r="Y8" s="435">
        <v>0</v>
      </c>
      <c r="Z8" s="435">
        <v>10737.872500000007</v>
      </c>
      <c r="AA8" s="435">
        <v>0</v>
      </c>
      <c r="AB8" s="435">
        <v>7260.6802884615436</v>
      </c>
      <c r="AC8" s="435">
        <v>0</v>
      </c>
      <c r="AD8" s="435">
        <v>4452.8649999999989</v>
      </c>
      <c r="AE8" s="435">
        <v>0</v>
      </c>
      <c r="AF8" s="435">
        <v>7634.3293269230826</v>
      </c>
      <c r="AG8" s="435">
        <v>0</v>
      </c>
      <c r="AH8" s="435">
        <v>7183.4675000000025</v>
      </c>
      <c r="AI8" s="435">
        <v>0</v>
      </c>
      <c r="AJ8" s="435">
        <v>1475.9557291666638</v>
      </c>
      <c r="AK8" s="435">
        <v>0</v>
      </c>
      <c r="AL8" s="435">
        <v>3975.2106481481419</v>
      </c>
      <c r="AM8" s="435">
        <v>0</v>
      </c>
      <c r="AN8" s="435">
        <v>5991.2325000000055</v>
      </c>
      <c r="AO8" s="435">
        <v>0</v>
      </c>
      <c r="AP8" s="435">
        <v>0</v>
      </c>
      <c r="AQ8" s="435">
        <v>0</v>
      </c>
      <c r="AR8" s="435">
        <v>12751.173076923071</v>
      </c>
      <c r="AS8" s="435">
        <v>0</v>
      </c>
      <c r="AT8" s="435">
        <v>10692.789999999995</v>
      </c>
      <c r="AU8" s="435">
        <v>0</v>
      </c>
      <c r="AV8" s="435">
        <v>17429.020833333336</v>
      </c>
      <c r="AW8" s="435">
        <v>0</v>
      </c>
      <c r="AX8" s="435">
        <v>10737.872500000007</v>
      </c>
      <c r="AY8" s="435">
        <v>0</v>
      </c>
    </row>
    <row r="9" spans="1:51">
      <c r="B9" s="259">
        <v>10029</v>
      </c>
      <c r="C9" s="259" t="s">
        <v>12</v>
      </c>
      <c r="D9" s="435">
        <v>0</v>
      </c>
      <c r="E9" s="435">
        <v>0</v>
      </c>
      <c r="F9" s="435">
        <v>0</v>
      </c>
      <c r="G9" s="435">
        <v>0</v>
      </c>
      <c r="H9" s="435">
        <v>0</v>
      </c>
      <c r="I9" s="435">
        <v>0</v>
      </c>
      <c r="J9" s="435">
        <v>0</v>
      </c>
      <c r="K9" s="435">
        <v>0</v>
      </c>
      <c r="L9" s="435">
        <v>0</v>
      </c>
      <c r="M9" s="435">
        <v>0</v>
      </c>
      <c r="N9" s="435">
        <v>0</v>
      </c>
      <c r="O9" s="435">
        <v>0</v>
      </c>
      <c r="P9" s="435">
        <v>0</v>
      </c>
      <c r="Q9" s="435">
        <v>0</v>
      </c>
      <c r="R9" s="435">
        <v>0</v>
      </c>
      <c r="S9" s="435">
        <v>0</v>
      </c>
      <c r="T9" s="435">
        <v>0</v>
      </c>
      <c r="U9" s="435">
        <v>0</v>
      </c>
      <c r="V9" s="435">
        <v>0</v>
      </c>
      <c r="W9" s="435">
        <v>0</v>
      </c>
      <c r="X9" s="435">
        <v>0</v>
      </c>
      <c r="Y9" s="435">
        <v>0</v>
      </c>
      <c r="Z9" s="435">
        <v>0</v>
      </c>
      <c r="AA9" s="435">
        <v>0</v>
      </c>
      <c r="AB9" s="435">
        <v>0</v>
      </c>
      <c r="AC9" s="435">
        <v>0</v>
      </c>
      <c r="AD9" s="435">
        <v>0</v>
      </c>
      <c r="AE9" s="435">
        <v>0</v>
      </c>
      <c r="AF9" s="435">
        <v>0</v>
      </c>
      <c r="AG9" s="435">
        <v>0</v>
      </c>
      <c r="AH9" s="435">
        <v>0</v>
      </c>
      <c r="AI9" s="435">
        <v>0</v>
      </c>
      <c r="AJ9" s="435">
        <v>0</v>
      </c>
      <c r="AK9" s="435">
        <v>0</v>
      </c>
      <c r="AL9" s="435">
        <v>0</v>
      </c>
      <c r="AM9" s="435">
        <v>0</v>
      </c>
      <c r="AN9" s="435">
        <v>0</v>
      </c>
      <c r="AO9" s="435">
        <v>0</v>
      </c>
      <c r="AP9" s="435">
        <v>0</v>
      </c>
      <c r="AQ9" s="435">
        <v>0</v>
      </c>
      <c r="AR9" s="435">
        <v>0</v>
      </c>
      <c r="AS9" s="435">
        <v>0</v>
      </c>
      <c r="AT9" s="435">
        <v>0</v>
      </c>
      <c r="AU9" s="435">
        <v>0</v>
      </c>
      <c r="AV9" s="435">
        <v>0</v>
      </c>
      <c r="AW9" s="435">
        <v>0</v>
      </c>
      <c r="AX9" s="435">
        <v>0</v>
      </c>
      <c r="AY9" s="435">
        <v>0</v>
      </c>
    </row>
    <row r="10" spans="1:51">
      <c r="B10" s="259">
        <v>10044</v>
      </c>
      <c r="C10" s="259" t="s">
        <v>13</v>
      </c>
      <c r="D10" s="435">
        <v>2659.5069444444462</v>
      </c>
      <c r="E10" s="435">
        <v>0</v>
      </c>
      <c r="F10" s="435">
        <v>0</v>
      </c>
      <c r="G10" s="435">
        <v>0</v>
      </c>
      <c r="H10" s="435">
        <v>2822.3004807692319</v>
      </c>
      <c r="I10" s="435">
        <v>0</v>
      </c>
      <c r="J10" s="435">
        <v>2842.8949999999977</v>
      </c>
      <c r="K10" s="435">
        <v>0</v>
      </c>
      <c r="L10" s="435">
        <v>2539.2549999999965</v>
      </c>
      <c r="M10" s="435">
        <v>0</v>
      </c>
      <c r="N10" s="435">
        <v>3310.0185185185201</v>
      </c>
      <c r="O10" s="435">
        <v>0</v>
      </c>
      <c r="P10" s="435">
        <v>2710.0384615384605</v>
      </c>
      <c r="Q10" s="435">
        <v>0</v>
      </c>
      <c r="R10" s="435">
        <v>478.81999999999937</v>
      </c>
      <c r="S10" s="435">
        <v>0</v>
      </c>
      <c r="T10" s="435">
        <v>1704.5024038461554</v>
      </c>
      <c r="U10" s="435">
        <v>0</v>
      </c>
      <c r="V10" s="435">
        <v>1379.0849999999998</v>
      </c>
      <c r="W10" s="435">
        <v>0</v>
      </c>
      <c r="X10" s="435">
        <v>3021.7592592592578</v>
      </c>
      <c r="Y10" s="435">
        <v>0</v>
      </c>
      <c r="Z10" s="435">
        <v>3880.5474999999997</v>
      </c>
      <c r="AA10" s="435">
        <v>0</v>
      </c>
      <c r="AB10" s="435">
        <v>1879.8725961538501</v>
      </c>
      <c r="AC10" s="435">
        <v>0</v>
      </c>
      <c r="AD10" s="435">
        <v>637.96000000000049</v>
      </c>
      <c r="AE10" s="435">
        <v>0</v>
      </c>
      <c r="AF10" s="435">
        <v>2822.3004807692319</v>
      </c>
      <c r="AG10" s="435">
        <v>0</v>
      </c>
      <c r="AH10" s="435">
        <v>2842.8949999999977</v>
      </c>
      <c r="AI10" s="435">
        <v>0</v>
      </c>
      <c r="AJ10" s="435">
        <v>1515.2239583333323</v>
      </c>
      <c r="AK10" s="435">
        <v>0</v>
      </c>
      <c r="AL10" s="435">
        <v>3310.0185185185164</v>
      </c>
      <c r="AM10" s="435">
        <v>0</v>
      </c>
      <c r="AN10" s="435">
        <v>1871.2799999999995</v>
      </c>
      <c r="AO10" s="435">
        <v>0</v>
      </c>
      <c r="AP10" s="435">
        <v>1306.865384615382</v>
      </c>
      <c r="AQ10" s="435">
        <v>0</v>
      </c>
      <c r="AR10" s="435">
        <v>1704.5024038461554</v>
      </c>
      <c r="AS10" s="435">
        <v>0</v>
      </c>
      <c r="AT10" s="435">
        <v>1379.0849999999998</v>
      </c>
      <c r="AU10" s="435">
        <v>0</v>
      </c>
      <c r="AV10" s="435">
        <v>3021.7592592592578</v>
      </c>
      <c r="AW10" s="435">
        <v>0</v>
      </c>
      <c r="AX10" s="435">
        <v>3880.5474999999997</v>
      </c>
      <c r="AY10" s="435">
        <v>0</v>
      </c>
    </row>
    <row r="11" spans="1:51">
      <c r="B11" s="259">
        <v>10046</v>
      </c>
      <c r="C11" s="259" t="s">
        <v>14</v>
      </c>
      <c r="D11" s="435">
        <v>0</v>
      </c>
      <c r="E11" s="435">
        <v>0</v>
      </c>
      <c r="F11" s="435">
        <v>0</v>
      </c>
      <c r="G11" s="435">
        <v>0</v>
      </c>
      <c r="H11" s="435">
        <v>0</v>
      </c>
      <c r="I11" s="435">
        <v>0</v>
      </c>
      <c r="J11" s="435">
        <v>0</v>
      </c>
      <c r="K11" s="435">
        <v>0</v>
      </c>
      <c r="L11" s="435">
        <v>0</v>
      </c>
      <c r="M11" s="435">
        <v>0</v>
      </c>
      <c r="N11" s="435">
        <v>0</v>
      </c>
      <c r="O11" s="435">
        <v>0</v>
      </c>
      <c r="P11" s="435">
        <v>0</v>
      </c>
      <c r="Q11" s="435">
        <v>0</v>
      </c>
      <c r="R11" s="435">
        <v>0</v>
      </c>
      <c r="S11" s="435">
        <v>0</v>
      </c>
      <c r="T11" s="435">
        <v>0</v>
      </c>
      <c r="U11" s="435">
        <v>0</v>
      </c>
      <c r="V11" s="435">
        <v>0</v>
      </c>
      <c r="W11" s="435">
        <v>0</v>
      </c>
      <c r="X11" s="435">
        <v>0</v>
      </c>
      <c r="Y11" s="435">
        <v>0</v>
      </c>
      <c r="Z11" s="435">
        <v>0</v>
      </c>
      <c r="AA11" s="435">
        <v>0</v>
      </c>
      <c r="AB11" s="435">
        <v>0</v>
      </c>
      <c r="AC11" s="435">
        <v>0</v>
      </c>
      <c r="AD11" s="435">
        <v>0</v>
      </c>
      <c r="AE11" s="435">
        <v>0</v>
      </c>
      <c r="AF11" s="435">
        <v>0</v>
      </c>
      <c r="AG11" s="435">
        <v>0</v>
      </c>
      <c r="AH11" s="435">
        <v>0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</row>
    <row r="12" spans="1:51">
      <c r="B12" s="259">
        <v>10047</v>
      </c>
      <c r="C12" s="259" t="s">
        <v>15</v>
      </c>
      <c r="D12" s="435">
        <v>18731.393518518515</v>
      </c>
      <c r="E12" s="435">
        <v>0</v>
      </c>
      <c r="F12" s="435">
        <v>0</v>
      </c>
      <c r="G12" s="435">
        <v>0</v>
      </c>
      <c r="H12" s="435">
        <v>34009.396634615368</v>
      </c>
      <c r="I12" s="435">
        <v>0</v>
      </c>
      <c r="J12" s="435">
        <v>12084.980000000016</v>
      </c>
      <c r="K12" s="435">
        <v>0</v>
      </c>
      <c r="L12" s="435">
        <v>25297.915000000019</v>
      </c>
      <c r="M12" s="435">
        <v>0</v>
      </c>
      <c r="N12" s="435">
        <v>27259.435185185197</v>
      </c>
      <c r="O12" s="435">
        <v>0</v>
      </c>
      <c r="P12" s="435">
        <v>34365.848557692312</v>
      </c>
      <c r="Q12" s="435">
        <v>0</v>
      </c>
      <c r="R12" s="435">
        <v>0</v>
      </c>
      <c r="S12" s="435">
        <v>0</v>
      </c>
      <c r="T12" s="435">
        <v>7463.7740384615445</v>
      </c>
      <c r="U12" s="435">
        <v>0</v>
      </c>
      <c r="V12" s="435">
        <v>9974.9600000000028</v>
      </c>
      <c r="W12" s="435">
        <v>0</v>
      </c>
      <c r="X12" s="435">
        <v>11758.995370370372</v>
      </c>
      <c r="Y12" s="435">
        <v>0</v>
      </c>
      <c r="Z12" s="435">
        <v>313.1049999999824</v>
      </c>
      <c r="AA12" s="435">
        <v>0</v>
      </c>
      <c r="AB12" s="435">
        <v>12863.716346153851</v>
      </c>
      <c r="AC12" s="435">
        <v>0</v>
      </c>
      <c r="AD12" s="435">
        <v>5756.50000000001</v>
      </c>
      <c r="AE12" s="435">
        <v>0</v>
      </c>
      <c r="AF12" s="435">
        <v>34009.396634615368</v>
      </c>
      <c r="AG12" s="435">
        <v>0</v>
      </c>
      <c r="AH12" s="435">
        <v>12084.980000000016</v>
      </c>
      <c r="AI12" s="435">
        <v>0</v>
      </c>
      <c r="AJ12" s="435">
        <v>18281.536458333336</v>
      </c>
      <c r="AK12" s="435">
        <v>0</v>
      </c>
      <c r="AL12" s="435">
        <v>27259.435185185197</v>
      </c>
      <c r="AM12" s="435">
        <v>0</v>
      </c>
      <c r="AN12" s="435">
        <v>28563.522499999999</v>
      </c>
      <c r="AO12" s="435">
        <v>0</v>
      </c>
      <c r="AP12" s="435">
        <v>1627.2139423076801</v>
      </c>
      <c r="AQ12" s="435">
        <v>0</v>
      </c>
      <c r="AR12" s="435">
        <v>7463.7740384615445</v>
      </c>
      <c r="AS12" s="435">
        <v>0</v>
      </c>
      <c r="AT12" s="435">
        <v>9974.9600000000028</v>
      </c>
      <c r="AU12" s="435">
        <v>0</v>
      </c>
      <c r="AV12" s="435">
        <v>11758.995370370372</v>
      </c>
      <c r="AW12" s="435">
        <v>0</v>
      </c>
      <c r="AX12" s="435">
        <v>313.1049999999824</v>
      </c>
      <c r="AY12" s="435">
        <v>0</v>
      </c>
    </row>
    <row r="13" spans="1:51">
      <c r="B13" s="259">
        <v>10055</v>
      </c>
      <c r="C13" s="259" t="s">
        <v>16</v>
      </c>
      <c r="D13" s="435">
        <v>133.98842592592592</v>
      </c>
      <c r="E13" s="435">
        <v>0</v>
      </c>
      <c r="F13" s="435">
        <v>96.596354166666728</v>
      </c>
      <c r="G13" s="435">
        <v>0</v>
      </c>
      <c r="H13" s="435">
        <v>296.93749999999983</v>
      </c>
      <c r="I13" s="435">
        <v>0</v>
      </c>
      <c r="J13" s="435">
        <v>238.48249999999987</v>
      </c>
      <c r="K13" s="435">
        <v>0</v>
      </c>
      <c r="L13" s="435">
        <v>145.36999999999998</v>
      </c>
      <c r="M13" s="435">
        <v>0</v>
      </c>
      <c r="N13" s="435">
        <v>172.04398148148147</v>
      </c>
      <c r="O13" s="435">
        <v>0</v>
      </c>
      <c r="P13" s="435">
        <v>23.716346153846214</v>
      </c>
      <c r="Q13" s="435">
        <v>0</v>
      </c>
      <c r="R13" s="435">
        <v>30.317500000000052</v>
      </c>
      <c r="S13" s="435">
        <v>0</v>
      </c>
      <c r="T13" s="435">
        <v>45.468749999999972</v>
      </c>
      <c r="U13" s="435">
        <v>0</v>
      </c>
      <c r="V13" s="435">
        <v>75.945000000000036</v>
      </c>
      <c r="W13" s="435">
        <v>0</v>
      </c>
      <c r="X13" s="435">
        <v>75.824074074074105</v>
      </c>
      <c r="Y13" s="435">
        <v>0</v>
      </c>
      <c r="Z13" s="435">
        <v>0</v>
      </c>
      <c r="AA13" s="435">
        <v>0</v>
      </c>
      <c r="AB13" s="435">
        <v>122.21874999999999</v>
      </c>
      <c r="AC13" s="435">
        <v>0</v>
      </c>
      <c r="AD13" s="435">
        <v>114.57250000000002</v>
      </c>
      <c r="AE13" s="435">
        <v>0</v>
      </c>
      <c r="AF13" s="435">
        <v>296.93749999999983</v>
      </c>
      <c r="AG13" s="435">
        <v>0</v>
      </c>
      <c r="AH13" s="435">
        <v>238.48249999999987</v>
      </c>
      <c r="AI13" s="435">
        <v>0</v>
      </c>
      <c r="AJ13" s="435">
        <v>124.96874999999993</v>
      </c>
      <c r="AK13" s="435">
        <v>0</v>
      </c>
      <c r="AL13" s="435">
        <v>172.04398148148147</v>
      </c>
      <c r="AM13" s="435">
        <v>0</v>
      </c>
      <c r="AN13" s="435">
        <v>10.425000000000074</v>
      </c>
      <c r="AO13" s="435">
        <v>0</v>
      </c>
      <c r="AP13" s="435">
        <v>42.151442307692356</v>
      </c>
      <c r="AQ13" s="435">
        <v>0</v>
      </c>
      <c r="AR13" s="435">
        <v>45.468749999999972</v>
      </c>
      <c r="AS13" s="435">
        <v>0</v>
      </c>
      <c r="AT13" s="435">
        <v>75.945000000000036</v>
      </c>
      <c r="AU13" s="435">
        <v>0</v>
      </c>
      <c r="AV13" s="435">
        <v>75.824074074074105</v>
      </c>
      <c r="AW13" s="435">
        <v>0</v>
      </c>
      <c r="AX13" s="435">
        <v>0</v>
      </c>
      <c r="AY13" s="435">
        <v>0</v>
      </c>
    </row>
    <row r="14" spans="1:51">
      <c r="B14" s="259">
        <v>10057</v>
      </c>
      <c r="C14" s="259" t="s">
        <v>17</v>
      </c>
      <c r="D14" s="435">
        <v>2297.805555555552</v>
      </c>
      <c r="E14" s="435">
        <v>0</v>
      </c>
      <c r="F14" s="435">
        <v>0</v>
      </c>
      <c r="G14" s="435">
        <v>0</v>
      </c>
      <c r="H14" s="435">
        <v>5145.5625000000009</v>
      </c>
      <c r="I14" s="435">
        <v>0</v>
      </c>
      <c r="J14" s="435">
        <v>2913.0974999999967</v>
      </c>
      <c r="K14" s="435">
        <v>0</v>
      </c>
      <c r="L14" s="435">
        <v>3598.0325000000021</v>
      </c>
      <c r="M14" s="435">
        <v>0</v>
      </c>
      <c r="N14" s="435">
        <v>5231.2824074074051</v>
      </c>
      <c r="O14" s="435">
        <v>0</v>
      </c>
      <c r="P14" s="435">
        <v>4492.5312500000027</v>
      </c>
      <c r="Q14" s="435">
        <v>0</v>
      </c>
      <c r="R14" s="435">
        <v>0</v>
      </c>
      <c r="S14" s="435">
        <v>0</v>
      </c>
      <c r="T14" s="435">
        <v>1589.5913461538473</v>
      </c>
      <c r="U14" s="435">
        <v>0</v>
      </c>
      <c r="V14" s="435">
        <v>3506.2025000000003</v>
      </c>
      <c r="W14" s="435">
        <v>0</v>
      </c>
      <c r="X14" s="435">
        <v>3839.7685185185164</v>
      </c>
      <c r="Y14" s="435">
        <v>0</v>
      </c>
      <c r="Z14" s="435">
        <v>5707.2349999999969</v>
      </c>
      <c r="AA14" s="435">
        <v>0</v>
      </c>
      <c r="AB14" s="435">
        <v>1530.682692307689</v>
      </c>
      <c r="AC14" s="435">
        <v>0</v>
      </c>
      <c r="AD14" s="435">
        <v>844.03750000000332</v>
      </c>
      <c r="AE14" s="435">
        <v>0</v>
      </c>
      <c r="AF14" s="435">
        <v>5145.5625000000009</v>
      </c>
      <c r="AG14" s="435">
        <v>0</v>
      </c>
      <c r="AH14" s="435">
        <v>2913.0974999999967</v>
      </c>
      <c r="AI14" s="435">
        <v>0</v>
      </c>
      <c r="AJ14" s="435">
        <v>2590.9505208333348</v>
      </c>
      <c r="AK14" s="435">
        <v>0</v>
      </c>
      <c r="AL14" s="435">
        <v>5231.2824074074051</v>
      </c>
      <c r="AM14" s="435">
        <v>0</v>
      </c>
      <c r="AN14" s="435">
        <v>3668.1125000000029</v>
      </c>
      <c r="AO14" s="435">
        <v>0</v>
      </c>
      <c r="AP14" s="435">
        <v>0</v>
      </c>
      <c r="AQ14" s="435">
        <v>0</v>
      </c>
      <c r="AR14" s="435">
        <v>1589.5913461538473</v>
      </c>
      <c r="AS14" s="435">
        <v>0</v>
      </c>
      <c r="AT14" s="435">
        <v>3506.2025000000003</v>
      </c>
      <c r="AU14" s="435">
        <v>0</v>
      </c>
      <c r="AV14" s="435">
        <v>3839.7685185185164</v>
      </c>
      <c r="AW14" s="435">
        <v>0</v>
      </c>
      <c r="AX14" s="435">
        <v>5707.2349999999969</v>
      </c>
      <c r="AY14" s="435">
        <v>0</v>
      </c>
    </row>
    <row r="15" spans="1:51">
      <c r="B15" s="259">
        <v>10059</v>
      </c>
      <c r="C15" s="259" t="s">
        <v>18</v>
      </c>
      <c r="D15" s="435">
        <v>1088.9282407407404</v>
      </c>
      <c r="E15" s="435">
        <v>0</v>
      </c>
      <c r="F15" s="435">
        <v>274.08072916666629</v>
      </c>
      <c r="G15" s="435">
        <v>0</v>
      </c>
      <c r="H15" s="435">
        <v>1869.6298076923078</v>
      </c>
      <c r="I15" s="435">
        <v>0</v>
      </c>
      <c r="J15" s="435">
        <v>2282.642499999999</v>
      </c>
      <c r="K15" s="435">
        <v>0</v>
      </c>
      <c r="L15" s="435">
        <v>1503.2574999999993</v>
      </c>
      <c r="M15" s="435">
        <v>0</v>
      </c>
      <c r="N15" s="435">
        <v>3646.3125000000005</v>
      </c>
      <c r="O15" s="435">
        <v>0</v>
      </c>
      <c r="P15" s="435">
        <v>2004.5673076923065</v>
      </c>
      <c r="Q15" s="435">
        <v>0</v>
      </c>
      <c r="R15" s="435">
        <v>0</v>
      </c>
      <c r="S15" s="435">
        <v>0</v>
      </c>
      <c r="T15" s="435">
        <v>81.449519230769596</v>
      </c>
      <c r="U15" s="435">
        <v>0</v>
      </c>
      <c r="V15" s="435">
        <v>573.1500000000002</v>
      </c>
      <c r="W15" s="435">
        <v>0</v>
      </c>
      <c r="X15" s="435">
        <v>498.91898148148118</v>
      </c>
      <c r="Y15" s="435">
        <v>0</v>
      </c>
      <c r="Z15" s="435">
        <v>0</v>
      </c>
      <c r="AA15" s="435">
        <v>0</v>
      </c>
      <c r="AB15" s="435">
        <v>808.27163461538464</v>
      </c>
      <c r="AC15" s="435">
        <v>0</v>
      </c>
      <c r="AD15" s="435">
        <v>673.67750000000012</v>
      </c>
      <c r="AE15" s="435">
        <v>0</v>
      </c>
      <c r="AF15" s="435">
        <v>1869.6298076923078</v>
      </c>
      <c r="AG15" s="435">
        <v>0</v>
      </c>
      <c r="AH15" s="435">
        <v>2282.642499999999</v>
      </c>
      <c r="AI15" s="435">
        <v>0</v>
      </c>
      <c r="AJ15" s="435">
        <v>1116.5182291666663</v>
      </c>
      <c r="AK15" s="435">
        <v>0</v>
      </c>
      <c r="AL15" s="435">
        <v>3646.3125000000005</v>
      </c>
      <c r="AM15" s="435">
        <v>0</v>
      </c>
      <c r="AN15" s="435">
        <v>1687.7499999999998</v>
      </c>
      <c r="AO15" s="435">
        <v>0</v>
      </c>
      <c r="AP15" s="435">
        <v>0</v>
      </c>
      <c r="AQ15" s="435">
        <v>0</v>
      </c>
      <c r="AR15" s="435">
        <v>81.449519230769596</v>
      </c>
      <c r="AS15" s="435">
        <v>0</v>
      </c>
      <c r="AT15" s="435">
        <v>573.1500000000002</v>
      </c>
      <c r="AU15" s="435">
        <v>0</v>
      </c>
      <c r="AV15" s="435">
        <v>498.91898148148118</v>
      </c>
      <c r="AW15" s="435">
        <v>0</v>
      </c>
      <c r="AX15" s="435">
        <v>0</v>
      </c>
      <c r="AY15" s="435">
        <v>0</v>
      </c>
    </row>
    <row r="16" spans="1:51">
      <c r="B16" s="259">
        <v>10061</v>
      </c>
      <c r="C16" s="259" t="s">
        <v>19</v>
      </c>
      <c r="D16" s="435">
        <v>1075.1249999999991</v>
      </c>
      <c r="E16" s="435">
        <v>0</v>
      </c>
      <c r="F16" s="435">
        <v>341.51041666666606</v>
      </c>
      <c r="G16" s="435">
        <v>0</v>
      </c>
      <c r="H16" s="435">
        <v>2030.9807692307684</v>
      </c>
      <c r="I16" s="435">
        <v>0</v>
      </c>
      <c r="J16" s="435">
        <v>840.8100000000012</v>
      </c>
      <c r="K16" s="435">
        <v>0</v>
      </c>
      <c r="L16" s="435">
        <v>1523.7725000000009</v>
      </c>
      <c r="M16" s="435">
        <v>0</v>
      </c>
      <c r="N16" s="435">
        <v>1259.2708333333333</v>
      </c>
      <c r="O16" s="435">
        <v>0</v>
      </c>
      <c r="P16" s="435">
        <v>1363.6730769230765</v>
      </c>
      <c r="Q16" s="435">
        <v>0</v>
      </c>
      <c r="R16" s="435">
        <v>350.07500000000044</v>
      </c>
      <c r="S16" s="435">
        <v>0</v>
      </c>
      <c r="T16" s="435">
        <v>883.3557692307694</v>
      </c>
      <c r="U16" s="435">
        <v>0</v>
      </c>
      <c r="V16" s="435">
        <v>821.06249999999932</v>
      </c>
      <c r="W16" s="435">
        <v>0</v>
      </c>
      <c r="X16" s="435">
        <v>1086.4745370370376</v>
      </c>
      <c r="Y16" s="435">
        <v>0</v>
      </c>
      <c r="Z16" s="435">
        <v>1199.4149999999995</v>
      </c>
      <c r="AA16" s="435">
        <v>0</v>
      </c>
      <c r="AB16" s="435">
        <v>731.39903846153857</v>
      </c>
      <c r="AC16" s="435">
        <v>0</v>
      </c>
      <c r="AD16" s="435">
        <v>783.60999999999854</v>
      </c>
      <c r="AE16" s="435">
        <v>0</v>
      </c>
      <c r="AF16" s="435">
        <v>2030.9807692307684</v>
      </c>
      <c r="AG16" s="435">
        <v>0</v>
      </c>
      <c r="AH16" s="435">
        <v>840.8100000000012</v>
      </c>
      <c r="AI16" s="435">
        <v>0</v>
      </c>
      <c r="AJ16" s="435">
        <v>1087.346354166667</v>
      </c>
      <c r="AK16" s="435">
        <v>0</v>
      </c>
      <c r="AL16" s="435">
        <v>1259.2708333333333</v>
      </c>
      <c r="AM16" s="435">
        <v>0</v>
      </c>
      <c r="AN16" s="435">
        <v>1018.7399999999996</v>
      </c>
      <c r="AO16" s="435">
        <v>0</v>
      </c>
      <c r="AP16" s="435">
        <v>682.61057692307691</v>
      </c>
      <c r="AQ16" s="435">
        <v>0</v>
      </c>
      <c r="AR16" s="435">
        <v>883.3557692307694</v>
      </c>
      <c r="AS16" s="435">
        <v>0</v>
      </c>
      <c r="AT16" s="435">
        <v>821.06249999999932</v>
      </c>
      <c r="AU16" s="435">
        <v>0</v>
      </c>
      <c r="AV16" s="435">
        <v>1086.4745370370376</v>
      </c>
      <c r="AW16" s="435">
        <v>0</v>
      </c>
      <c r="AX16" s="435">
        <v>1199.4149999999995</v>
      </c>
      <c r="AY16" s="435">
        <v>0</v>
      </c>
    </row>
    <row r="17" spans="2:51">
      <c r="B17" s="259">
        <v>10062</v>
      </c>
      <c r="C17" s="259" t="s">
        <v>20</v>
      </c>
      <c r="D17" s="435">
        <v>1077.0370370370385</v>
      </c>
      <c r="E17" s="435">
        <v>0</v>
      </c>
      <c r="F17" s="435">
        <v>1210.2526041666658</v>
      </c>
      <c r="G17" s="435">
        <v>0</v>
      </c>
      <c r="H17" s="435">
        <v>1857.8028846153852</v>
      </c>
      <c r="I17" s="435">
        <v>0</v>
      </c>
      <c r="J17" s="435">
        <v>1203.7499999999998</v>
      </c>
      <c r="K17" s="435">
        <v>0</v>
      </c>
      <c r="L17" s="435">
        <v>1679.0074999999999</v>
      </c>
      <c r="M17" s="435">
        <v>0</v>
      </c>
      <c r="N17" s="435">
        <v>1314.0092592592587</v>
      </c>
      <c r="O17" s="435">
        <v>0</v>
      </c>
      <c r="P17" s="435">
        <v>1264.2043269230774</v>
      </c>
      <c r="Q17" s="435">
        <v>0</v>
      </c>
      <c r="R17" s="435">
        <v>275.86499999999978</v>
      </c>
      <c r="S17" s="435">
        <v>0</v>
      </c>
      <c r="T17" s="435">
        <v>703.15384615384539</v>
      </c>
      <c r="U17" s="435">
        <v>0</v>
      </c>
      <c r="V17" s="435">
        <v>1036.7824999999993</v>
      </c>
      <c r="W17" s="435">
        <v>0</v>
      </c>
      <c r="X17" s="435">
        <v>1114.2800925925928</v>
      </c>
      <c r="Y17" s="435">
        <v>0</v>
      </c>
      <c r="Z17" s="435">
        <v>999.64750000000072</v>
      </c>
      <c r="AA17" s="435">
        <v>0</v>
      </c>
      <c r="AB17" s="435">
        <v>735.53846153846212</v>
      </c>
      <c r="AC17" s="435">
        <v>0</v>
      </c>
      <c r="AD17" s="435">
        <v>1657.7225000000005</v>
      </c>
      <c r="AE17" s="435">
        <v>0</v>
      </c>
      <c r="AF17" s="435">
        <v>1857.8028846153852</v>
      </c>
      <c r="AG17" s="435">
        <v>0</v>
      </c>
      <c r="AH17" s="435">
        <v>1203.7499999999998</v>
      </c>
      <c r="AI17" s="435">
        <v>0</v>
      </c>
      <c r="AJ17" s="435">
        <v>1232.6328124999995</v>
      </c>
      <c r="AK17" s="435">
        <v>0</v>
      </c>
      <c r="AL17" s="435">
        <v>1314.0092592592587</v>
      </c>
      <c r="AM17" s="435">
        <v>0</v>
      </c>
      <c r="AN17" s="435">
        <v>898.09249999999975</v>
      </c>
      <c r="AO17" s="435">
        <v>0</v>
      </c>
      <c r="AP17" s="435">
        <v>610.67788461538464</v>
      </c>
      <c r="AQ17" s="435">
        <v>0</v>
      </c>
      <c r="AR17" s="435">
        <v>703.15384615384539</v>
      </c>
      <c r="AS17" s="435">
        <v>0</v>
      </c>
      <c r="AT17" s="435">
        <v>1036.7824999999993</v>
      </c>
      <c r="AU17" s="435">
        <v>0</v>
      </c>
      <c r="AV17" s="435">
        <v>1114.2800925925928</v>
      </c>
      <c r="AW17" s="435">
        <v>0</v>
      </c>
      <c r="AX17" s="435">
        <v>999.64750000000072</v>
      </c>
      <c r="AY17" s="435">
        <v>0</v>
      </c>
    </row>
    <row r="18" spans="2:51">
      <c r="B18" s="259">
        <v>10064</v>
      </c>
      <c r="C18" s="259" t="s">
        <v>21</v>
      </c>
      <c r="D18" s="435">
        <v>2191.3333333333326</v>
      </c>
      <c r="E18" s="435">
        <v>0</v>
      </c>
      <c r="F18" s="435">
        <v>231.31770833333266</v>
      </c>
      <c r="G18" s="435">
        <v>0</v>
      </c>
      <c r="H18" s="435">
        <v>2160.5576923076942</v>
      </c>
      <c r="I18" s="435">
        <v>0</v>
      </c>
      <c r="J18" s="435">
        <v>1197.0474999999976</v>
      </c>
      <c r="K18" s="435">
        <v>0</v>
      </c>
      <c r="L18" s="435">
        <v>1414.6925000000006</v>
      </c>
      <c r="M18" s="435">
        <v>0</v>
      </c>
      <c r="N18" s="435">
        <v>2043.9375000000016</v>
      </c>
      <c r="O18" s="435">
        <v>0</v>
      </c>
      <c r="P18" s="435">
        <v>1415.6105769230769</v>
      </c>
      <c r="Q18" s="435">
        <v>0</v>
      </c>
      <c r="R18" s="435">
        <v>816.71000000000049</v>
      </c>
      <c r="S18" s="435">
        <v>0</v>
      </c>
      <c r="T18" s="435">
        <v>2062.4783653846162</v>
      </c>
      <c r="U18" s="435">
        <v>0</v>
      </c>
      <c r="V18" s="435">
        <v>2288.3850000000007</v>
      </c>
      <c r="W18" s="435">
        <v>0</v>
      </c>
      <c r="X18" s="435">
        <v>1739.1296296296296</v>
      </c>
      <c r="Y18" s="435">
        <v>0</v>
      </c>
      <c r="Z18" s="435">
        <v>2322.1600000000003</v>
      </c>
      <c r="AA18" s="435">
        <v>0</v>
      </c>
      <c r="AB18" s="435">
        <v>1703.3846153846139</v>
      </c>
      <c r="AC18" s="435">
        <v>0</v>
      </c>
      <c r="AD18" s="435">
        <v>875.70500000000038</v>
      </c>
      <c r="AE18" s="435">
        <v>0</v>
      </c>
      <c r="AF18" s="435">
        <v>2160.5576923076942</v>
      </c>
      <c r="AG18" s="435">
        <v>0</v>
      </c>
      <c r="AH18" s="435">
        <v>1197.0474999999976</v>
      </c>
      <c r="AI18" s="435">
        <v>0</v>
      </c>
      <c r="AJ18" s="435">
        <v>730.55468749999932</v>
      </c>
      <c r="AK18" s="435">
        <v>0</v>
      </c>
      <c r="AL18" s="435">
        <v>2043.9375000000016</v>
      </c>
      <c r="AM18" s="435">
        <v>0</v>
      </c>
      <c r="AN18" s="435">
        <v>876.91499999999985</v>
      </c>
      <c r="AO18" s="435">
        <v>0</v>
      </c>
      <c r="AP18" s="435">
        <v>1342.3365384615381</v>
      </c>
      <c r="AQ18" s="435">
        <v>0</v>
      </c>
      <c r="AR18" s="435">
        <v>2062.4783653846162</v>
      </c>
      <c r="AS18" s="435">
        <v>0</v>
      </c>
      <c r="AT18" s="435">
        <v>2288.3850000000007</v>
      </c>
      <c r="AU18" s="435">
        <v>0</v>
      </c>
      <c r="AV18" s="435">
        <v>1739.1296296296296</v>
      </c>
      <c r="AW18" s="435">
        <v>0</v>
      </c>
      <c r="AX18" s="435">
        <v>2322.1600000000003</v>
      </c>
      <c r="AY18" s="435">
        <v>0</v>
      </c>
    </row>
    <row r="19" spans="2:51">
      <c r="B19" s="259">
        <v>10065</v>
      </c>
      <c r="C19" s="259" t="s">
        <v>22</v>
      </c>
      <c r="D19" s="435">
        <v>565.5625</v>
      </c>
      <c r="E19" s="435">
        <v>0</v>
      </c>
      <c r="F19" s="435">
        <v>421.27864583333366</v>
      </c>
      <c r="G19" s="435">
        <v>0</v>
      </c>
      <c r="H19" s="435">
        <v>791.16586538461559</v>
      </c>
      <c r="I19" s="435">
        <v>0</v>
      </c>
      <c r="J19" s="435">
        <v>641.38750000000027</v>
      </c>
      <c r="K19" s="435">
        <v>0</v>
      </c>
      <c r="L19" s="435">
        <v>653.98999999999978</v>
      </c>
      <c r="M19" s="435">
        <v>0</v>
      </c>
      <c r="N19" s="435">
        <v>844.51157407407379</v>
      </c>
      <c r="O19" s="435">
        <v>0</v>
      </c>
      <c r="P19" s="435">
        <v>601.32692307692309</v>
      </c>
      <c r="Q19" s="435">
        <v>0</v>
      </c>
      <c r="R19" s="435">
        <v>257.21249999999998</v>
      </c>
      <c r="S19" s="435">
        <v>0</v>
      </c>
      <c r="T19" s="435">
        <v>270.52163461538458</v>
      </c>
      <c r="U19" s="435">
        <v>0</v>
      </c>
      <c r="V19" s="435">
        <v>244.05749999999975</v>
      </c>
      <c r="W19" s="435">
        <v>0</v>
      </c>
      <c r="X19" s="435">
        <v>352.05324074074082</v>
      </c>
      <c r="Y19" s="435">
        <v>0</v>
      </c>
      <c r="Z19" s="435">
        <v>318.59749999999963</v>
      </c>
      <c r="AA19" s="435">
        <v>0</v>
      </c>
      <c r="AB19" s="435">
        <v>482.39182692307651</v>
      </c>
      <c r="AC19" s="435">
        <v>0</v>
      </c>
      <c r="AD19" s="435">
        <v>541.42750000000024</v>
      </c>
      <c r="AE19" s="435">
        <v>0</v>
      </c>
      <c r="AF19" s="435">
        <v>791.16586538461559</v>
      </c>
      <c r="AG19" s="435">
        <v>0</v>
      </c>
      <c r="AH19" s="435">
        <v>641.38750000000027</v>
      </c>
      <c r="AI19" s="435">
        <v>0</v>
      </c>
      <c r="AJ19" s="435">
        <v>526.65624999999966</v>
      </c>
      <c r="AK19" s="435">
        <v>0</v>
      </c>
      <c r="AL19" s="435">
        <v>844.51157407407379</v>
      </c>
      <c r="AM19" s="435">
        <v>0</v>
      </c>
      <c r="AN19" s="435">
        <v>507.89999999999981</v>
      </c>
      <c r="AO19" s="435">
        <v>0</v>
      </c>
      <c r="AP19" s="435">
        <v>342.39663461538447</v>
      </c>
      <c r="AQ19" s="435">
        <v>0</v>
      </c>
      <c r="AR19" s="435">
        <v>270.52163461538458</v>
      </c>
      <c r="AS19" s="435">
        <v>0</v>
      </c>
      <c r="AT19" s="435">
        <v>244.05749999999975</v>
      </c>
      <c r="AU19" s="435">
        <v>0</v>
      </c>
      <c r="AV19" s="435">
        <v>352.05324074074082</v>
      </c>
      <c r="AW19" s="435">
        <v>0</v>
      </c>
      <c r="AX19" s="435">
        <v>318.59749999999963</v>
      </c>
      <c r="AY19" s="435">
        <v>0</v>
      </c>
    </row>
    <row r="20" spans="2:51">
      <c r="B20" s="259">
        <v>10066</v>
      </c>
      <c r="C20" s="259" t="s">
        <v>23</v>
      </c>
      <c r="D20" s="435">
        <v>889.45138888888664</v>
      </c>
      <c r="E20" s="435">
        <v>0</v>
      </c>
      <c r="F20" s="435">
        <v>2647.5859375000005</v>
      </c>
      <c r="G20" s="435">
        <v>0</v>
      </c>
      <c r="H20" s="435">
        <v>9686.6346153846189</v>
      </c>
      <c r="I20" s="435">
        <v>0</v>
      </c>
      <c r="J20" s="435">
        <v>2042.1274999999976</v>
      </c>
      <c r="K20" s="435">
        <v>0</v>
      </c>
      <c r="L20" s="435">
        <v>5013.5950000000003</v>
      </c>
      <c r="M20" s="435">
        <v>0</v>
      </c>
      <c r="N20" s="435">
        <v>5313.6759259259261</v>
      </c>
      <c r="O20" s="435">
        <v>0</v>
      </c>
      <c r="P20" s="435">
        <v>3081.829326923078</v>
      </c>
      <c r="Q20" s="435">
        <v>0</v>
      </c>
      <c r="R20" s="435">
        <v>0</v>
      </c>
      <c r="S20" s="435">
        <v>0</v>
      </c>
      <c r="T20" s="435">
        <v>2374.9711538461479</v>
      </c>
      <c r="U20" s="435">
        <v>0</v>
      </c>
      <c r="V20" s="435">
        <v>638.51000000000454</v>
      </c>
      <c r="W20" s="435">
        <v>0</v>
      </c>
      <c r="X20" s="435">
        <v>4244.4236111111086</v>
      </c>
      <c r="Y20" s="435">
        <v>0</v>
      </c>
      <c r="Z20" s="435">
        <v>564.1650000000036</v>
      </c>
      <c r="AA20" s="435">
        <v>0</v>
      </c>
      <c r="AB20" s="435">
        <v>0</v>
      </c>
      <c r="AC20" s="435">
        <v>0</v>
      </c>
      <c r="AD20" s="435">
        <v>4254.2824999999984</v>
      </c>
      <c r="AE20" s="435">
        <v>0</v>
      </c>
      <c r="AF20" s="435">
        <v>9686.6346153846189</v>
      </c>
      <c r="AG20" s="435">
        <v>0</v>
      </c>
      <c r="AH20" s="435">
        <v>2042.1274999999976</v>
      </c>
      <c r="AI20" s="435">
        <v>0</v>
      </c>
      <c r="AJ20" s="435">
        <v>3363.4114583333298</v>
      </c>
      <c r="AK20" s="435">
        <v>0</v>
      </c>
      <c r="AL20" s="435">
        <v>5313.6759259259261</v>
      </c>
      <c r="AM20" s="435">
        <v>0</v>
      </c>
      <c r="AN20" s="435">
        <v>1810.0224999999987</v>
      </c>
      <c r="AO20" s="435">
        <v>0</v>
      </c>
      <c r="AP20" s="435">
        <v>280.49278846154289</v>
      </c>
      <c r="AQ20" s="435">
        <v>0</v>
      </c>
      <c r="AR20" s="435">
        <v>2374.9711538461479</v>
      </c>
      <c r="AS20" s="435">
        <v>0</v>
      </c>
      <c r="AT20" s="435">
        <v>638.51000000000454</v>
      </c>
      <c r="AU20" s="435">
        <v>0</v>
      </c>
      <c r="AV20" s="435">
        <v>4244.4236111111086</v>
      </c>
      <c r="AW20" s="435">
        <v>0</v>
      </c>
      <c r="AX20" s="435">
        <v>564.1650000000036</v>
      </c>
      <c r="AY20" s="435">
        <v>0</v>
      </c>
    </row>
    <row r="21" spans="2:51">
      <c r="B21" s="259">
        <v>10067</v>
      </c>
      <c r="C21" s="259" t="s">
        <v>24</v>
      </c>
      <c r="D21" s="435">
        <v>2858.8078703703718</v>
      </c>
      <c r="E21" s="435">
        <v>0</v>
      </c>
      <c r="F21" s="435">
        <v>2442.8723958333348</v>
      </c>
      <c r="G21" s="435">
        <v>0</v>
      </c>
      <c r="H21" s="435">
        <v>3709.0937500000014</v>
      </c>
      <c r="I21" s="435">
        <v>0</v>
      </c>
      <c r="J21" s="435">
        <v>3957.9799999999959</v>
      </c>
      <c r="K21" s="435">
        <v>0</v>
      </c>
      <c r="L21" s="435">
        <v>2295.4625000000001</v>
      </c>
      <c r="M21" s="435">
        <v>0</v>
      </c>
      <c r="N21" s="435">
        <v>4276.9583333333321</v>
      </c>
      <c r="O21" s="435">
        <v>0</v>
      </c>
      <c r="P21" s="435">
        <v>4452.257211538461</v>
      </c>
      <c r="Q21" s="435">
        <v>0</v>
      </c>
      <c r="R21" s="435">
        <v>2603.5425000000018</v>
      </c>
      <c r="S21" s="435">
        <v>0</v>
      </c>
      <c r="T21" s="435">
        <v>2726.6322115384628</v>
      </c>
      <c r="U21" s="435">
        <v>0</v>
      </c>
      <c r="V21" s="435">
        <v>3251.762500000003</v>
      </c>
      <c r="W21" s="435">
        <v>0</v>
      </c>
      <c r="X21" s="435">
        <v>3907.6550925925908</v>
      </c>
      <c r="Y21" s="435">
        <v>0</v>
      </c>
      <c r="Z21" s="435">
        <v>4759.6599999999989</v>
      </c>
      <c r="AA21" s="435">
        <v>0</v>
      </c>
      <c r="AB21" s="435">
        <v>2210.4158653846166</v>
      </c>
      <c r="AC21" s="435">
        <v>0</v>
      </c>
      <c r="AD21" s="435">
        <v>3250.237500000002</v>
      </c>
      <c r="AE21" s="435">
        <v>0</v>
      </c>
      <c r="AF21" s="435">
        <v>3709.0937500000014</v>
      </c>
      <c r="AG21" s="435">
        <v>0</v>
      </c>
      <c r="AH21" s="435">
        <v>3957.9799999999959</v>
      </c>
      <c r="AI21" s="435">
        <v>0</v>
      </c>
      <c r="AJ21" s="435">
        <v>1445.3151041666645</v>
      </c>
      <c r="AK21" s="435">
        <v>0</v>
      </c>
      <c r="AL21" s="435">
        <v>4276.9583333333321</v>
      </c>
      <c r="AM21" s="435">
        <v>0</v>
      </c>
      <c r="AN21" s="435">
        <v>3761.7075000000018</v>
      </c>
      <c r="AO21" s="435">
        <v>0</v>
      </c>
      <c r="AP21" s="435">
        <v>3261.867788461539</v>
      </c>
      <c r="AQ21" s="435">
        <v>0</v>
      </c>
      <c r="AR21" s="435">
        <v>2726.6322115384628</v>
      </c>
      <c r="AS21" s="435">
        <v>0</v>
      </c>
      <c r="AT21" s="435">
        <v>3251.762500000003</v>
      </c>
      <c r="AU21" s="435">
        <v>0</v>
      </c>
      <c r="AV21" s="435">
        <v>3907.6550925925908</v>
      </c>
      <c r="AW21" s="435">
        <v>0</v>
      </c>
      <c r="AX21" s="435">
        <v>4759.6599999999989</v>
      </c>
      <c r="AY21" s="435">
        <v>0</v>
      </c>
    </row>
    <row r="22" spans="2:51">
      <c r="B22" s="259">
        <v>10068</v>
      </c>
      <c r="C22" s="259" t="s">
        <v>25</v>
      </c>
      <c r="D22" s="435">
        <v>0</v>
      </c>
      <c r="E22" s="435">
        <v>0</v>
      </c>
      <c r="F22" s="435">
        <v>157.08854166666652</v>
      </c>
      <c r="G22" s="435">
        <v>0</v>
      </c>
      <c r="H22" s="435">
        <v>354.09134615384676</v>
      </c>
      <c r="I22" s="435">
        <v>0</v>
      </c>
      <c r="J22" s="435">
        <v>379.61999999999938</v>
      </c>
      <c r="K22" s="435">
        <v>0</v>
      </c>
      <c r="L22" s="435">
        <v>683.2025000000001</v>
      </c>
      <c r="M22" s="435">
        <v>0</v>
      </c>
      <c r="N22" s="435">
        <v>507.97453703703724</v>
      </c>
      <c r="O22" s="435">
        <v>0</v>
      </c>
      <c r="P22" s="435">
        <v>436.14182692307679</v>
      </c>
      <c r="Q22" s="435">
        <v>0</v>
      </c>
      <c r="R22" s="435">
        <v>131.5</v>
      </c>
      <c r="S22" s="435">
        <v>0</v>
      </c>
      <c r="T22" s="435">
        <v>59.391826923076763</v>
      </c>
      <c r="U22" s="435">
        <v>0</v>
      </c>
      <c r="V22" s="435">
        <v>573.34750000000031</v>
      </c>
      <c r="W22" s="435">
        <v>0</v>
      </c>
      <c r="X22" s="435">
        <v>463.84722222222246</v>
      </c>
      <c r="Y22" s="435">
        <v>0</v>
      </c>
      <c r="Z22" s="435">
        <v>74.492499999999794</v>
      </c>
      <c r="AA22" s="435">
        <v>0</v>
      </c>
      <c r="AB22" s="435">
        <v>0</v>
      </c>
      <c r="AC22" s="435">
        <v>0</v>
      </c>
      <c r="AD22" s="435">
        <v>290.16499999999957</v>
      </c>
      <c r="AE22" s="435">
        <v>0</v>
      </c>
      <c r="AF22" s="435">
        <v>354.09134615384676</v>
      </c>
      <c r="AG22" s="435">
        <v>0</v>
      </c>
      <c r="AH22" s="435">
        <v>379.61999999999938</v>
      </c>
      <c r="AI22" s="435">
        <v>0</v>
      </c>
      <c r="AJ22" s="435">
        <v>553.12760416666686</v>
      </c>
      <c r="AK22" s="435">
        <v>0</v>
      </c>
      <c r="AL22" s="435">
        <v>507.97453703703724</v>
      </c>
      <c r="AM22" s="435">
        <v>0</v>
      </c>
      <c r="AN22" s="435">
        <v>336.94749999999954</v>
      </c>
      <c r="AO22" s="435">
        <v>0</v>
      </c>
      <c r="AP22" s="435">
        <v>221.44230769230739</v>
      </c>
      <c r="AQ22" s="435">
        <v>0</v>
      </c>
      <c r="AR22" s="435">
        <v>59.391826923076763</v>
      </c>
      <c r="AS22" s="435">
        <v>0</v>
      </c>
      <c r="AT22" s="435">
        <v>573.34750000000031</v>
      </c>
      <c r="AU22" s="435">
        <v>0</v>
      </c>
      <c r="AV22" s="435">
        <v>463.84722222222246</v>
      </c>
      <c r="AW22" s="435">
        <v>0</v>
      </c>
      <c r="AX22" s="435">
        <v>74.492499999999794</v>
      </c>
      <c r="AY22" s="435">
        <v>0</v>
      </c>
    </row>
    <row r="23" spans="2:51">
      <c r="B23" s="259">
        <v>10070</v>
      </c>
      <c r="C23" s="259" t="s">
        <v>26</v>
      </c>
      <c r="D23" s="435">
        <v>77.546296296296333</v>
      </c>
      <c r="E23" s="435">
        <v>0</v>
      </c>
      <c r="F23" s="435">
        <v>21.682291666666657</v>
      </c>
      <c r="G23" s="435">
        <v>0</v>
      </c>
      <c r="H23" s="435">
        <v>119.79567307692307</v>
      </c>
      <c r="I23" s="435">
        <v>0</v>
      </c>
      <c r="J23" s="435">
        <v>60.65999999999994</v>
      </c>
      <c r="K23" s="435">
        <v>0</v>
      </c>
      <c r="L23" s="435">
        <v>88.394999999999968</v>
      </c>
      <c r="M23" s="435">
        <v>0</v>
      </c>
      <c r="N23" s="435">
        <v>68.787037037036981</v>
      </c>
      <c r="O23" s="435">
        <v>0</v>
      </c>
      <c r="P23" s="435">
        <v>47.747596153846075</v>
      </c>
      <c r="Q23" s="435">
        <v>0</v>
      </c>
      <c r="R23" s="435">
        <v>1.8550000000000788</v>
      </c>
      <c r="S23" s="435">
        <v>0</v>
      </c>
      <c r="T23" s="435">
        <v>28.637019230769194</v>
      </c>
      <c r="U23" s="435">
        <v>0</v>
      </c>
      <c r="V23" s="435">
        <v>55.509999999999991</v>
      </c>
      <c r="W23" s="435">
        <v>0</v>
      </c>
      <c r="X23" s="435">
        <v>68.770833333333329</v>
      </c>
      <c r="Y23" s="435">
        <v>0</v>
      </c>
      <c r="Z23" s="435">
        <v>71.16500000000002</v>
      </c>
      <c r="AA23" s="435">
        <v>0</v>
      </c>
      <c r="AB23" s="435">
        <v>64.298076923076991</v>
      </c>
      <c r="AC23" s="435">
        <v>0</v>
      </c>
      <c r="AD23" s="435">
        <v>40.014999999999993</v>
      </c>
      <c r="AE23" s="435">
        <v>0</v>
      </c>
      <c r="AF23" s="435">
        <v>119.79567307692307</v>
      </c>
      <c r="AG23" s="435">
        <v>0</v>
      </c>
      <c r="AH23" s="435">
        <v>60.65999999999994</v>
      </c>
      <c r="AI23" s="435">
        <v>0</v>
      </c>
      <c r="AJ23" s="435">
        <v>69.161458333333286</v>
      </c>
      <c r="AK23" s="435">
        <v>0</v>
      </c>
      <c r="AL23" s="435">
        <v>68.787037037036981</v>
      </c>
      <c r="AM23" s="435">
        <v>0</v>
      </c>
      <c r="AN23" s="435">
        <v>32.977499999999907</v>
      </c>
      <c r="AO23" s="435">
        <v>0</v>
      </c>
      <c r="AP23" s="435">
        <v>16.475961538461565</v>
      </c>
      <c r="AQ23" s="435">
        <v>0</v>
      </c>
      <c r="AR23" s="435">
        <v>28.637019230769194</v>
      </c>
      <c r="AS23" s="435">
        <v>0</v>
      </c>
      <c r="AT23" s="435">
        <v>55.509999999999991</v>
      </c>
      <c r="AU23" s="435">
        <v>0</v>
      </c>
      <c r="AV23" s="435">
        <v>68.770833333333329</v>
      </c>
      <c r="AW23" s="435">
        <v>0</v>
      </c>
      <c r="AX23" s="435">
        <v>71.16500000000002</v>
      </c>
      <c r="AY23" s="435">
        <v>0</v>
      </c>
    </row>
    <row r="24" spans="2:51">
      <c r="B24" s="259">
        <v>10071</v>
      </c>
      <c r="C24" s="259" t="s">
        <v>27</v>
      </c>
      <c r="D24" s="435">
        <v>217.50000000000014</v>
      </c>
      <c r="E24" s="435">
        <v>0</v>
      </c>
      <c r="F24" s="435">
        <v>0</v>
      </c>
      <c r="G24" s="435">
        <v>0</v>
      </c>
      <c r="H24" s="435">
        <v>508.15144230769204</v>
      </c>
      <c r="I24" s="435">
        <v>0</v>
      </c>
      <c r="J24" s="435">
        <v>408.43749999999977</v>
      </c>
      <c r="K24" s="435">
        <v>0</v>
      </c>
      <c r="L24" s="435">
        <v>135.20500000000013</v>
      </c>
      <c r="M24" s="435">
        <v>0</v>
      </c>
      <c r="N24" s="435">
        <v>471.35648148148169</v>
      </c>
      <c r="O24" s="435">
        <v>0</v>
      </c>
      <c r="P24" s="435">
        <v>313.6778846153847</v>
      </c>
      <c r="Q24" s="435">
        <v>0</v>
      </c>
      <c r="R24" s="435">
        <v>0</v>
      </c>
      <c r="S24" s="435">
        <v>0</v>
      </c>
      <c r="T24" s="435">
        <v>100.98798076923077</v>
      </c>
      <c r="U24" s="435">
        <v>0</v>
      </c>
      <c r="V24" s="435">
        <v>175.38499999999979</v>
      </c>
      <c r="W24" s="435">
        <v>0</v>
      </c>
      <c r="X24" s="435">
        <v>248.11342592592607</v>
      </c>
      <c r="Y24" s="435">
        <v>0</v>
      </c>
      <c r="Z24" s="435">
        <v>66.860000000000028</v>
      </c>
      <c r="AA24" s="435">
        <v>0</v>
      </c>
      <c r="AB24" s="435">
        <v>150.01923076923086</v>
      </c>
      <c r="AC24" s="435">
        <v>0</v>
      </c>
      <c r="AD24" s="435">
        <v>0</v>
      </c>
      <c r="AE24" s="435">
        <v>0</v>
      </c>
      <c r="AF24" s="435">
        <v>508.15144230769204</v>
      </c>
      <c r="AG24" s="435">
        <v>0</v>
      </c>
      <c r="AH24" s="435">
        <v>408.43749999999977</v>
      </c>
      <c r="AI24" s="435">
        <v>0</v>
      </c>
      <c r="AJ24" s="435">
        <v>32.421874999999936</v>
      </c>
      <c r="AK24" s="435">
        <v>0</v>
      </c>
      <c r="AL24" s="435">
        <v>471.35648148148169</v>
      </c>
      <c r="AM24" s="435">
        <v>0</v>
      </c>
      <c r="AN24" s="435">
        <v>233.86499999999998</v>
      </c>
      <c r="AO24" s="435">
        <v>0</v>
      </c>
      <c r="AP24" s="435">
        <v>0</v>
      </c>
      <c r="AQ24" s="435">
        <v>0</v>
      </c>
      <c r="AR24" s="435">
        <v>100.98798076923077</v>
      </c>
      <c r="AS24" s="435">
        <v>0</v>
      </c>
      <c r="AT24" s="435">
        <v>175.38499999999979</v>
      </c>
      <c r="AU24" s="435">
        <v>0</v>
      </c>
      <c r="AV24" s="435">
        <v>248.11342592592607</v>
      </c>
      <c r="AW24" s="435">
        <v>0</v>
      </c>
      <c r="AX24" s="435">
        <v>66.860000000000028</v>
      </c>
      <c r="AY24" s="435">
        <v>0</v>
      </c>
    </row>
    <row r="25" spans="2:51">
      <c r="B25" s="259">
        <v>10072</v>
      </c>
      <c r="C25" s="259" t="s">
        <v>28</v>
      </c>
      <c r="D25" s="435">
        <v>3530.0185185185146</v>
      </c>
      <c r="E25" s="435">
        <v>0</v>
      </c>
      <c r="F25" s="435">
        <v>635.63281249999909</v>
      </c>
      <c r="G25" s="435">
        <v>0</v>
      </c>
      <c r="H25" s="435">
        <v>3087.4615384615399</v>
      </c>
      <c r="I25" s="435">
        <v>0</v>
      </c>
      <c r="J25" s="435">
        <v>2882.5225000000014</v>
      </c>
      <c r="K25" s="435">
        <v>0</v>
      </c>
      <c r="L25" s="435">
        <v>4956.41</v>
      </c>
      <c r="M25" s="435">
        <v>0</v>
      </c>
      <c r="N25" s="435">
        <v>4521.8842592592609</v>
      </c>
      <c r="O25" s="435">
        <v>0</v>
      </c>
      <c r="P25" s="435">
        <v>3353.1201923076951</v>
      </c>
      <c r="Q25" s="435">
        <v>0</v>
      </c>
      <c r="R25" s="435">
        <v>800.56250000000296</v>
      </c>
      <c r="S25" s="435">
        <v>0</v>
      </c>
      <c r="T25" s="435">
        <v>2960.0576923076919</v>
      </c>
      <c r="U25" s="435">
        <v>0</v>
      </c>
      <c r="V25" s="435">
        <v>2007.7674999999954</v>
      </c>
      <c r="W25" s="435">
        <v>0</v>
      </c>
      <c r="X25" s="435">
        <v>4249.6319444444443</v>
      </c>
      <c r="Y25" s="435">
        <v>0</v>
      </c>
      <c r="Z25" s="435">
        <v>5011.9475000000011</v>
      </c>
      <c r="AA25" s="435">
        <v>0</v>
      </c>
      <c r="AB25" s="435">
        <v>2537.557692307691</v>
      </c>
      <c r="AC25" s="435">
        <v>0</v>
      </c>
      <c r="AD25" s="435">
        <v>1803.0475000000017</v>
      </c>
      <c r="AE25" s="435">
        <v>0</v>
      </c>
      <c r="AF25" s="435">
        <v>3087.4615384615399</v>
      </c>
      <c r="AG25" s="435">
        <v>0</v>
      </c>
      <c r="AH25" s="435">
        <v>2882.5225000000014</v>
      </c>
      <c r="AI25" s="435">
        <v>0</v>
      </c>
      <c r="AJ25" s="435">
        <v>3765.0520833333358</v>
      </c>
      <c r="AK25" s="435">
        <v>0</v>
      </c>
      <c r="AL25" s="435">
        <v>4521.8842592592609</v>
      </c>
      <c r="AM25" s="435">
        <v>0</v>
      </c>
      <c r="AN25" s="435">
        <v>2399.8450000000021</v>
      </c>
      <c r="AO25" s="435">
        <v>0</v>
      </c>
      <c r="AP25" s="435">
        <v>1684.0024038461556</v>
      </c>
      <c r="AQ25" s="435">
        <v>0</v>
      </c>
      <c r="AR25" s="435">
        <v>2960.0576923076919</v>
      </c>
      <c r="AS25" s="435">
        <v>0</v>
      </c>
      <c r="AT25" s="435">
        <v>2007.7674999999954</v>
      </c>
      <c r="AU25" s="435">
        <v>0</v>
      </c>
      <c r="AV25" s="435">
        <v>4249.6319444444443</v>
      </c>
      <c r="AW25" s="435">
        <v>0</v>
      </c>
      <c r="AX25" s="435">
        <v>5011.9475000000011</v>
      </c>
      <c r="AY25" s="435">
        <v>0</v>
      </c>
    </row>
    <row r="26" spans="2:51">
      <c r="B26" s="259">
        <v>10074</v>
      </c>
      <c r="C26" s="259" t="s">
        <v>29</v>
      </c>
      <c r="D26" s="435">
        <v>5874.6157407407436</v>
      </c>
      <c r="E26" s="435">
        <v>0</v>
      </c>
      <c r="F26" s="435">
        <v>2489.4479166666647</v>
      </c>
      <c r="G26" s="435">
        <v>0</v>
      </c>
      <c r="H26" s="435">
        <v>8995.2211538461506</v>
      </c>
      <c r="I26" s="435">
        <v>0</v>
      </c>
      <c r="J26" s="435">
        <v>6580.9849999999997</v>
      </c>
      <c r="K26" s="435">
        <v>0</v>
      </c>
      <c r="L26" s="435">
        <v>6476.7425000000021</v>
      </c>
      <c r="M26" s="435">
        <v>0</v>
      </c>
      <c r="N26" s="435">
        <v>5697.1134259259261</v>
      </c>
      <c r="O26" s="435">
        <v>0</v>
      </c>
      <c r="P26" s="435">
        <v>5545.3677884615363</v>
      </c>
      <c r="Q26" s="435">
        <v>0</v>
      </c>
      <c r="R26" s="435">
        <v>1602.6599999999994</v>
      </c>
      <c r="S26" s="435">
        <v>0</v>
      </c>
      <c r="T26" s="435">
        <v>4336.2884615384592</v>
      </c>
      <c r="U26" s="435">
        <v>0</v>
      </c>
      <c r="V26" s="435">
        <v>5586.0650000000014</v>
      </c>
      <c r="W26" s="435">
        <v>0</v>
      </c>
      <c r="X26" s="435">
        <v>5755.8518518518504</v>
      </c>
      <c r="Y26" s="435">
        <v>0</v>
      </c>
      <c r="Z26" s="435">
        <v>8280.2500000000036</v>
      </c>
      <c r="AA26" s="435">
        <v>0</v>
      </c>
      <c r="AB26" s="435">
        <v>4777.7163461538485</v>
      </c>
      <c r="AC26" s="435">
        <v>0</v>
      </c>
      <c r="AD26" s="435">
        <v>4071.8300000000004</v>
      </c>
      <c r="AE26" s="435">
        <v>0</v>
      </c>
      <c r="AF26" s="435">
        <v>8995.2211538461506</v>
      </c>
      <c r="AG26" s="435">
        <v>0</v>
      </c>
      <c r="AH26" s="435">
        <v>6580.9849999999997</v>
      </c>
      <c r="AI26" s="435">
        <v>0</v>
      </c>
      <c r="AJ26" s="435">
        <v>4885.3567708333348</v>
      </c>
      <c r="AK26" s="435">
        <v>0</v>
      </c>
      <c r="AL26" s="435">
        <v>5697.1134259259261</v>
      </c>
      <c r="AM26" s="435">
        <v>0</v>
      </c>
      <c r="AN26" s="435">
        <v>4252.222499999998</v>
      </c>
      <c r="AO26" s="435">
        <v>0</v>
      </c>
      <c r="AP26" s="435">
        <v>2823.1346153846166</v>
      </c>
      <c r="AQ26" s="435">
        <v>0</v>
      </c>
      <c r="AR26" s="435">
        <v>4336.2884615384592</v>
      </c>
      <c r="AS26" s="435">
        <v>0</v>
      </c>
      <c r="AT26" s="435">
        <v>5586.0650000000014</v>
      </c>
      <c r="AU26" s="435">
        <v>0</v>
      </c>
      <c r="AV26" s="435">
        <v>5755.8518518518504</v>
      </c>
      <c r="AW26" s="435">
        <v>0</v>
      </c>
      <c r="AX26" s="435">
        <v>8280.2500000000036</v>
      </c>
      <c r="AY26" s="435">
        <v>0</v>
      </c>
    </row>
    <row r="27" spans="2:51">
      <c r="B27" s="259">
        <v>10076</v>
      </c>
      <c r="C27" s="259" t="s">
        <v>30</v>
      </c>
      <c r="D27" s="435">
        <v>678.43287037037044</v>
      </c>
      <c r="E27" s="435">
        <v>0</v>
      </c>
      <c r="F27" s="435">
        <v>0</v>
      </c>
      <c r="G27" s="435">
        <v>0</v>
      </c>
      <c r="H27" s="435">
        <v>801.65625000000023</v>
      </c>
      <c r="I27" s="435">
        <v>0</v>
      </c>
      <c r="J27" s="435">
        <v>417.38000000000062</v>
      </c>
      <c r="K27" s="435">
        <v>0</v>
      </c>
      <c r="L27" s="435">
        <v>171.38249999999999</v>
      </c>
      <c r="M27" s="435">
        <v>0</v>
      </c>
      <c r="N27" s="435">
        <v>467.12499999999932</v>
      </c>
      <c r="O27" s="435">
        <v>0</v>
      </c>
      <c r="P27" s="435">
        <v>566.75721153846098</v>
      </c>
      <c r="Q27" s="435">
        <v>0</v>
      </c>
      <c r="R27" s="435">
        <v>0</v>
      </c>
      <c r="S27" s="435">
        <v>0</v>
      </c>
      <c r="T27" s="435">
        <v>567.67788461538544</v>
      </c>
      <c r="U27" s="435">
        <v>0</v>
      </c>
      <c r="V27" s="435">
        <v>612.91999999999985</v>
      </c>
      <c r="W27" s="435">
        <v>0</v>
      </c>
      <c r="X27" s="435">
        <v>346.20833333333411</v>
      </c>
      <c r="Y27" s="435">
        <v>0</v>
      </c>
      <c r="Z27" s="435">
        <v>448.99749999999972</v>
      </c>
      <c r="AA27" s="435">
        <v>0</v>
      </c>
      <c r="AB27" s="435">
        <v>427.29567307692315</v>
      </c>
      <c r="AC27" s="435">
        <v>0</v>
      </c>
      <c r="AD27" s="435">
        <v>184.35499999999982</v>
      </c>
      <c r="AE27" s="435">
        <v>0</v>
      </c>
      <c r="AF27" s="435">
        <v>801.65625000000023</v>
      </c>
      <c r="AG27" s="435">
        <v>0</v>
      </c>
      <c r="AH27" s="435">
        <v>417.38000000000062</v>
      </c>
      <c r="AI27" s="435">
        <v>0</v>
      </c>
      <c r="AJ27" s="435">
        <v>0</v>
      </c>
      <c r="AK27" s="435">
        <v>0</v>
      </c>
      <c r="AL27" s="435">
        <v>467.12499999999932</v>
      </c>
      <c r="AM27" s="435">
        <v>0</v>
      </c>
      <c r="AN27" s="435">
        <v>298.907499999999</v>
      </c>
      <c r="AO27" s="435">
        <v>0</v>
      </c>
      <c r="AP27" s="435">
        <v>244.35576923076835</v>
      </c>
      <c r="AQ27" s="435">
        <v>0</v>
      </c>
      <c r="AR27" s="435">
        <v>567.67788461538544</v>
      </c>
      <c r="AS27" s="435">
        <v>0</v>
      </c>
      <c r="AT27" s="435">
        <v>612.91999999999985</v>
      </c>
      <c r="AU27" s="435">
        <v>0</v>
      </c>
      <c r="AV27" s="435">
        <v>346.20833333333411</v>
      </c>
      <c r="AW27" s="435">
        <v>0</v>
      </c>
      <c r="AX27" s="435">
        <v>448.99749999999972</v>
      </c>
      <c r="AY27" s="435">
        <v>0</v>
      </c>
    </row>
    <row r="28" spans="2:51">
      <c r="B28" s="259">
        <v>10078</v>
      </c>
      <c r="C28" s="259" t="s">
        <v>31</v>
      </c>
      <c r="D28" s="435">
        <v>1001.5509259259256</v>
      </c>
      <c r="E28" s="435">
        <v>0</v>
      </c>
      <c r="F28" s="435">
        <v>1053.7343750000007</v>
      </c>
      <c r="G28" s="435">
        <v>0</v>
      </c>
      <c r="H28" s="435">
        <v>1607.694711538461</v>
      </c>
      <c r="I28" s="435">
        <v>0</v>
      </c>
      <c r="J28" s="435">
        <v>1279.9775000000004</v>
      </c>
      <c r="K28" s="435">
        <v>0</v>
      </c>
      <c r="L28" s="435">
        <v>881.38500000000033</v>
      </c>
      <c r="M28" s="435">
        <v>0</v>
      </c>
      <c r="N28" s="435">
        <v>1176.1736111111106</v>
      </c>
      <c r="O28" s="435">
        <v>0</v>
      </c>
      <c r="P28" s="435">
        <v>1459.7427884615386</v>
      </c>
      <c r="Q28" s="435">
        <v>0</v>
      </c>
      <c r="R28" s="435">
        <v>262.29500000000081</v>
      </c>
      <c r="S28" s="435">
        <v>0</v>
      </c>
      <c r="T28" s="435">
        <v>36.081730769230269</v>
      </c>
      <c r="U28" s="435">
        <v>0</v>
      </c>
      <c r="V28" s="435">
        <v>69.684999999999775</v>
      </c>
      <c r="W28" s="435">
        <v>0</v>
      </c>
      <c r="X28" s="435">
        <v>726.73148148148164</v>
      </c>
      <c r="Y28" s="435">
        <v>0</v>
      </c>
      <c r="Z28" s="435">
        <v>0</v>
      </c>
      <c r="AA28" s="435">
        <v>0</v>
      </c>
      <c r="AB28" s="435">
        <v>853.07211538461524</v>
      </c>
      <c r="AC28" s="435">
        <v>0</v>
      </c>
      <c r="AD28" s="435">
        <v>1255.7050000000004</v>
      </c>
      <c r="AE28" s="435">
        <v>0</v>
      </c>
      <c r="AF28" s="435">
        <v>1607.694711538461</v>
      </c>
      <c r="AG28" s="435">
        <v>0</v>
      </c>
      <c r="AH28" s="435">
        <v>1279.9775000000004</v>
      </c>
      <c r="AI28" s="435">
        <v>0</v>
      </c>
      <c r="AJ28" s="435">
        <v>675.10937500000034</v>
      </c>
      <c r="AK28" s="435">
        <v>0</v>
      </c>
      <c r="AL28" s="435">
        <v>1176.1736111111106</v>
      </c>
      <c r="AM28" s="435">
        <v>0</v>
      </c>
      <c r="AN28" s="435">
        <v>1298.2525000000007</v>
      </c>
      <c r="AO28" s="435">
        <v>0</v>
      </c>
      <c r="AP28" s="435">
        <v>401.5528846153851</v>
      </c>
      <c r="AQ28" s="435">
        <v>0</v>
      </c>
      <c r="AR28" s="435">
        <v>36.081730769230269</v>
      </c>
      <c r="AS28" s="435">
        <v>0</v>
      </c>
      <c r="AT28" s="435">
        <v>69.684999999999775</v>
      </c>
      <c r="AU28" s="435">
        <v>0</v>
      </c>
      <c r="AV28" s="435">
        <v>726.73148148148164</v>
      </c>
      <c r="AW28" s="435">
        <v>0</v>
      </c>
      <c r="AX28" s="435">
        <v>0</v>
      </c>
      <c r="AY28" s="435">
        <v>0</v>
      </c>
    </row>
    <row r="29" spans="2:51">
      <c r="B29" s="259">
        <v>10079</v>
      </c>
      <c r="C29" s="259" t="s">
        <v>32</v>
      </c>
      <c r="D29" s="435">
        <v>17773.789351851832</v>
      </c>
      <c r="E29" s="435">
        <v>0</v>
      </c>
      <c r="F29" s="435">
        <v>9362.6692708333358</v>
      </c>
      <c r="G29" s="435">
        <v>0</v>
      </c>
      <c r="H29" s="435">
        <v>22698.100961538479</v>
      </c>
      <c r="I29" s="435">
        <v>0</v>
      </c>
      <c r="J29" s="435">
        <v>11227.445000000003</v>
      </c>
      <c r="K29" s="435">
        <v>0</v>
      </c>
      <c r="L29" s="435">
        <v>6378.1574999999793</v>
      </c>
      <c r="M29" s="435">
        <v>0</v>
      </c>
      <c r="N29" s="435">
        <v>21557.217592592595</v>
      </c>
      <c r="O29" s="435">
        <v>0</v>
      </c>
      <c r="P29" s="435">
        <v>15008.29086538461</v>
      </c>
      <c r="Q29" s="435">
        <v>0</v>
      </c>
      <c r="R29" s="435">
        <v>8933.6324999999943</v>
      </c>
      <c r="S29" s="435">
        <v>0</v>
      </c>
      <c r="T29" s="435">
        <v>14943.08894230769</v>
      </c>
      <c r="U29" s="435">
        <v>0</v>
      </c>
      <c r="V29" s="435">
        <v>14264.33250000001</v>
      </c>
      <c r="W29" s="435">
        <v>0</v>
      </c>
      <c r="X29" s="435">
        <v>16187.331018518535</v>
      </c>
      <c r="Y29" s="435">
        <v>0</v>
      </c>
      <c r="Z29" s="435">
        <v>10409.779999999984</v>
      </c>
      <c r="AA29" s="435">
        <v>0</v>
      </c>
      <c r="AB29" s="435">
        <v>14311.74278846153</v>
      </c>
      <c r="AC29" s="435">
        <v>0</v>
      </c>
      <c r="AD29" s="435">
        <v>13929.202500000003</v>
      </c>
      <c r="AE29" s="435">
        <v>0</v>
      </c>
      <c r="AF29" s="435">
        <v>22698.100961538479</v>
      </c>
      <c r="AG29" s="435">
        <v>0</v>
      </c>
      <c r="AH29" s="435">
        <v>11227.445000000003</v>
      </c>
      <c r="AI29" s="435">
        <v>0</v>
      </c>
      <c r="AJ29" s="435">
        <v>2011.3723958333126</v>
      </c>
      <c r="AK29" s="435">
        <v>0</v>
      </c>
      <c r="AL29" s="435">
        <v>21557.217592592595</v>
      </c>
      <c r="AM29" s="435">
        <v>0</v>
      </c>
      <c r="AN29" s="435">
        <v>11077.26249999999</v>
      </c>
      <c r="AO29" s="435">
        <v>0</v>
      </c>
      <c r="AP29" s="435">
        <v>12815.223557692314</v>
      </c>
      <c r="AQ29" s="435">
        <v>0</v>
      </c>
      <c r="AR29" s="435">
        <v>14943.08894230769</v>
      </c>
      <c r="AS29" s="435">
        <v>0</v>
      </c>
      <c r="AT29" s="435">
        <v>14264.33250000001</v>
      </c>
      <c r="AU29" s="435">
        <v>0</v>
      </c>
      <c r="AV29" s="435">
        <v>16187.331018518535</v>
      </c>
      <c r="AW29" s="435">
        <v>0</v>
      </c>
      <c r="AX29" s="435">
        <v>10409.779999999984</v>
      </c>
      <c r="AY29" s="435">
        <v>0</v>
      </c>
    </row>
    <row r="30" spans="2:51">
      <c r="B30" s="259">
        <v>10080</v>
      </c>
      <c r="C30" s="259" t="s">
        <v>33</v>
      </c>
      <c r="D30" s="435">
        <v>663.22453703703707</v>
      </c>
      <c r="E30" s="435">
        <v>0</v>
      </c>
      <c r="F30" s="435">
        <v>0</v>
      </c>
      <c r="G30" s="435">
        <v>0</v>
      </c>
      <c r="H30" s="435">
        <v>2553.7836538461524</v>
      </c>
      <c r="I30" s="435">
        <v>0</v>
      </c>
      <c r="J30" s="435">
        <v>1139.7099999999987</v>
      </c>
      <c r="K30" s="435">
        <v>0</v>
      </c>
      <c r="L30" s="435">
        <v>503.58000000000123</v>
      </c>
      <c r="M30" s="435">
        <v>0</v>
      </c>
      <c r="N30" s="435">
        <v>704.24537037036953</v>
      </c>
      <c r="O30" s="435">
        <v>0</v>
      </c>
      <c r="P30" s="435">
        <v>518.13221153846121</v>
      </c>
      <c r="Q30" s="435">
        <v>0</v>
      </c>
      <c r="R30" s="435">
        <v>637.10249999999985</v>
      </c>
      <c r="S30" s="435">
        <v>0</v>
      </c>
      <c r="T30" s="435">
        <v>646.62740384615358</v>
      </c>
      <c r="U30" s="435">
        <v>0</v>
      </c>
      <c r="V30" s="435">
        <v>936.24750000000097</v>
      </c>
      <c r="W30" s="435">
        <v>0</v>
      </c>
      <c r="X30" s="435">
        <v>1444.7060185185201</v>
      </c>
      <c r="Y30" s="435">
        <v>0</v>
      </c>
      <c r="Z30" s="435">
        <v>1078.1575</v>
      </c>
      <c r="AA30" s="435">
        <v>0</v>
      </c>
      <c r="AB30" s="435">
        <v>411.34855769230813</v>
      </c>
      <c r="AC30" s="435">
        <v>0</v>
      </c>
      <c r="AD30" s="435">
        <v>37.402499999999783</v>
      </c>
      <c r="AE30" s="435">
        <v>0</v>
      </c>
      <c r="AF30" s="435">
        <v>2553.7836538461524</v>
      </c>
      <c r="AG30" s="435">
        <v>0</v>
      </c>
      <c r="AH30" s="435">
        <v>1139.7099999999987</v>
      </c>
      <c r="AI30" s="435">
        <v>0</v>
      </c>
      <c r="AJ30" s="435">
        <v>149.47916666666748</v>
      </c>
      <c r="AK30" s="435">
        <v>0</v>
      </c>
      <c r="AL30" s="435">
        <v>704.24537037036953</v>
      </c>
      <c r="AM30" s="435">
        <v>0</v>
      </c>
      <c r="AN30" s="435">
        <v>244.81749999999926</v>
      </c>
      <c r="AO30" s="435">
        <v>0</v>
      </c>
      <c r="AP30" s="435">
        <v>886.94471153846132</v>
      </c>
      <c r="AQ30" s="435">
        <v>0</v>
      </c>
      <c r="AR30" s="435">
        <v>646.62740384615358</v>
      </c>
      <c r="AS30" s="435">
        <v>0</v>
      </c>
      <c r="AT30" s="435">
        <v>936.24750000000097</v>
      </c>
      <c r="AU30" s="435">
        <v>0</v>
      </c>
      <c r="AV30" s="435">
        <v>1444.7060185185201</v>
      </c>
      <c r="AW30" s="435">
        <v>0</v>
      </c>
      <c r="AX30" s="435">
        <v>1078.1575</v>
      </c>
      <c r="AY30" s="435">
        <v>0</v>
      </c>
    </row>
    <row r="31" spans="2:51">
      <c r="B31" s="259">
        <v>10081</v>
      </c>
      <c r="C31" s="259" t="s">
        <v>34</v>
      </c>
      <c r="D31" s="435">
        <v>1082.3310185185192</v>
      </c>
      <c r="E31" s="435">
        <v>0</v>
      </c>
      <c r="F31" s="435">
        <v>527.29427083333121</v>
      </c>
      <c r="G31" s="435">
        <v>0</v>
      </c>
      <c r="H31" s="435">
        <v>3680.1322115384605</v>
      </c>
      <c r="I31" s="435">
        <v>0</v>
      </c>
      <c r="J31" s="435">
        <v>2039.2549999999999</v>
      </c>
      <c r="K31" s="435">
        <v>0</v>
      </c>
      <c r="L31" s="435">
        <v>1845.5349999999989</v>
      </c>
      <c r="M31" s="435">
        <v>0</v>
      </c>
      <c r="N31" s="435">
        <v>2071.0949074074074</v>
      </c>
      <c r="O31" s="435">
        <v>0</v>
      </c>
      <c r="P31" s="435">
        <v>588.98557692307827</v>
      </c>
      <c r="Q31" s="435">
        <v>0</v>
      </c>
      <c r="R31" s="435">
        <v>636.02750000000037</v>
      </c>
      <c r="S31" s="435">
        <v>0</v>
      </c>
      <c r="T31" s="435">
        <v>1072.7668269230771</v>
      </c>
      <c r="U31" s="435">
        <v>0</v>
      </c>
      <c r="V31" s="435">
        <v>2039.2099999999998</v>
      </c>
      <c r="W31" s="435">
        <v>0</v>
      </c>
      <c r="X31" s="435">
        <v>992.91203703703877</v>
      </c>
      <c r="Y31" s="435">
        <v>0</v>
      </c>
      <c r="Z31" s="435">
        <v>2780.7049999999986</v>
      </c>
      <c r="AA31" s="435">
        <v>0</v>
      </c>
      <c r="AB31" s="435">
        <v>686.72836538461638</v>
      </c>
      <c r="AC31" s="435">
        <v>0</v>
      </c>
      <c r="AD31" s="435">
        <v>1143.6824999999978</v>
      </c>
      <c r="AE31" s="435">
        <v>0</v>
      </c>
      <c r="AF31" s="435">
        <v>3680.1322115384605</v>
      </c>
      <c r="AG31" s="435">
        <v>0</v>
      </c>
      <c r="AH31" s="435">
        <v>2039.2549999999999</v>
      </c>
      <c r="AI31" s="435">
        <v>0</v>
      </c>
      <c r="AJ31" s="435">
        <v>1245.5572916666649</v>
      </c>
      <c r="AK31" s="435">
        <v>0</v>
      </c>
      <c r="AL31" s="435">
        <v>2071.0949074074074</v>
      </c>
      <c r="AM31" s="435">
        <v>0</v>
      </c>
      <c r="AN31" s="435">
        <v>168.50500000000056</v>
      </c>
      <c r="AO31" s="435">
        <v>0</v>
      </c>
      <c r="AP31" s="435">
        <v>1070.5264423076915</v>
      </c>
      <c r="AQ31" s="435">
        <v>0</v>
      </c>
      <c r="AR31" s="435">
        <v>1072.7668269230771</v>
      </c>
      <c r="AS31" s="435">
        <v>0</v>
      </c>
      <c r="AT31" s="435">
        <v>2039.2099999999998</v>
      </c>
      <c r="AU31" s="435">
        <v>0</v>
      </c>
      <c r="AV31" s="435">
        <v>992.91203703703877</v>
      </c>
      <c r="AW31" s="435">
        <v>0</v>
      </c>
      <c r="AX31" s="435">
        <v>2780.7049999999986</v>
      </c>
      <c r="AY31" s="435">
        <v>0</v>
      </c>
    </row>
    <row r="32" spans="2:51">
      <c r="B32" s="259">
        <v>10082</v>
      </c>
      <c r="C32" s="259" t="s">
        <v>35</v>
      </c>
      <c r="D32" s="435">
        <v>25.090277777777782</v>
      </c>
      <c r="E32" s="435">
        <v>0</v>
      </c>
      <c r="F32" s="435">
        <v>35.24739583333335</v>
      </c>
      <c r="G32" s="435">
        <v>0</v>
      </c>
      <c r="H32" s="435">
        <v>46.490384615384592</v>
      </c>
      <c r="I32" s="435">
        <v>0</v>
      </c>
      <c r="J32" s="435">
        <v>47.765000000000015</v>
      </c>
      <c r="K32" s="435">
        <v>0</v>
      </c>
      <c r="L32" s="435">
        <v>37.560000000000009</v>
      </c>
      <c r="M32" s="435">
        <v>0</v>
      </c>
      <c r="N32" s="435">
        <v>22.435185185185183</v>
      </c>
      <c r="O32" s="435">
        <v>0</v>
      </c>
      <c r="P32" s="435">
        <v>19.60336538461538</v>
      </c>
      <c r="Q32" s="435">
        <v>0</v>
      </c>
      <c r="R32" s="435">
        <v>9.129999999999999</v>
      </c>
      <c r="S32" s="435">
        <v>0</v>
      </c>
      <c r="T32" s="435">
        <v>17.867788461538449</v>
      </c>
      <c r="U32" s="435">
        <v>0</v>
      </c>
      <c r="V32" s="435">
        <v>31.567499999999999</v>
      </c>
      <c r="W32" s="435">
        <v>0</v>
      </c>
      <c r="X32" s="435">
        <v>30.312499999999993</v>
      </c>
      <c r="Y32" s="435">
        <v>0</v>
      </c>
      <c r="Z32" s="435">
        <v>24.1325</v>
      </c>
      <c r="AA32" s="435">
        <v>0</v>
      </c>
      <c r="AB32" s="435">
        <v>22.324519230769223</v>
      </c>
      <c r="AC32" s="435">
        <v>0</v>
      </c>
      <c r="AD32" s="435">
        <v>40.197500000000012</v>
      </c>
      <c r="AE32" s="435">
        <v>0</v>
      </c>
      <c r="AF32" s="435">
        <v>46.490384615384592</v>
      </c>
      <c r="AG32" s="435">
        <v>0</v>
      </c>
      <c r="AH32" s="435">
        <v>47.765000000000015</v>
      </c>
      <c r="AI32" s="435">
        <v>0</v>
      </c>
      <c r="AJ32" s="435">
        <v>32.166666666666679</v>
      </c>
      <c r="AK32" s="435">
        <v>0</v>
      </c>
      <c r="AL32" s="435">
        <v>22.435185185185183</v>
      </c>
      <c r="AM32" s="435">
        <v>0</v>
      </c>
      <c r="AN32" s="435">
        <v>16.227499999999992</v>
      </c>
      <c r="AO32" s="435">
        <v>0</v>
      </c>
      <c r="AP32" s="435">
        <v>11.93269230769231</v>
      </c>
      <c r="AQ32" s="435">
        <v>0</v>
      </c>
      <c r="AR32" s="435">
        <v>17.867788461538449</v>
      </c>
      <c r="AS32" s="435">
        <v>0</v>
      </c>
      <c r="AT32" s="435">
        <v>31.567499999999999</v>
      </c>
      <c r="AU32" s="435">
        <v>0</v>
      </c>
      <c r="AV32" s="435">
        <v>30.312499999999993</v>
      </c>
      <c r="AW32" s="435">
        <v>0</v>
      </c>
      <c r="AX32" s="435">
        <v>24.1325</v>
      </c>
      <c r="AY32" s="435">
        <v>0</v>
      </c>
    </row>
    <row r="33" spans="2:51">
      <c r="B33" s="259">
        <v>10083</v>
      </c>
      <c r="C33" s="259" t="s">
        <v>36</v>
      </c>
      <c r="D33" s="435">
        <v>1152.3842592592591</v>
      </c>
      <c r="E33" s="435">
        <v>0</v>
      </c>
      <c r="F33" s="435">
        <v>0</v>
      </c>
      <c r="G33" s="435">
        <v>0</v>
      </c>
      <c r="H33" s="435">
        <v>1930.3653846153845</v>
      </c>
      <c r="I33" s="435">
        <v>0</v>
      </c>
      <c r="J33" s="435">
        <v>1264.1925000000006</v>
      </c>
      <c r="K33" s="435">
        <v>0</v>
      </c>
      <c r="L33" s="435">
        <v>1181.0049999999994</v>
      </c>
      <c r="M33" s="435">
        <v>0</v>
      </c>
      <c r="N33" s="435">
        <v>1867.1388888888885</v>
      </c>
      <c r="O33" s="435">
        <v>0</v>
      </c>
      <c r="P33" s="435">
        <v>1545.8341346153843</v>
      </c>
      <c r="Q33" s="435">
        <v>0</v>
      </c>
      <c r="R33" s="435">
        <v>0</v>
      </c>
      <c r="S33" s="435">
        <v>0</v>
      </c>
      <c r="T33" s="435">
        <v>246.69471153846166</v>
      </c>
      <c r="U33" s="435">
        <v>0</v>
      </c>
      <c r="V33" s="435">
        <v>861.74250000000006</v>
      </c>
      <c r="W33" s="435">
        <v>0</v>
      </c>
      <c r="X33" s="435">
        <v>1640.5555555555554</v>
      </c>
      <c r="Y33" s="435">
        <v>0</v>
      </c>
      <c r="Z33" s="435">
        <v>1690.0075000000011</v>
      </c>
      <c r="AA33" s="435">
        <v>0</v>
      </c>
      <c r="AB33" s="435">
        <v>836.36057692307736</v>
      </c>
      <c r="AC33" s="435">
        <v>0</v>
      </c>
      <c r="AD33" s="435">
        <v>394.53500000000031</v>
      </c>
      <c r="AE33" s="435">
        <v>0</v>
      </c>
      <c r="AF33" s="435">
        <v>1930.3653846153845</v>
      </c>
      <c r="AG33" s="435">
        <v>0</v>
      </c>
      <c r="AH33" s="435">
        <v>1264.1925000000006</v>
      </c>
      <c r="AI33" s="435">
        <v>0</v>
      </c>
      <c r="AJ33" s="435">
        <v>717.75520833333189</v>
      </c>
      <c r="AK33" s="435">
        <v>0</v>
      </c>
      <c r="AL33" s="435">
        <v>1867.1388888888885</v>
      </c>
      <c r="AM33" s="435">
        <v>0</v>
      </c>
      <c r="AN33" s="435">
        <v>1197.2675000000002</v>
      </c>
      <c r="AO33" s="435">
        <v>0</v>
      </c>
      <c r="AP33" s="435">
        <v>108.50000000000004</v>
      </c>
      <c r="AQ33" s="435">
        <v>0</v>
      </c>
      <c r="AR33" s="435">
        <v>246.69471153846166</v>
      </c>
      <c r="AS33" s="435">
        <v>0</v>
      </c>
      <c r="AT33" s="435">
        <v>861.74250000000006</v>
      </c>
      <c r="AU33" s="435">
        <v>0</v>
      </c>
      <c r="AV33" s="435">
        <v>1640.5555555555554</v>
      </c>
      <c r="AW33" s="435">
        <v>0</v>
      </c>
      <c r="AX33" s="435">
        <v>1690.0075000000011</v>
      </c>
      <c r="AY33" s="435">
        <v>0</v>
      </c>
    </row>
    <row r="34" spans="2:51">
      <c r="B34" s="259">
        <v>10086</v>
      </c>
      <c r="C34" s="259" t="s">
        <v>37</v>
      </c>
      <c r="D34" s="435">
        <v>898.70370370370335</v>
      </c>
      <c r="E34" s="435">
        <v>0</v>
      </c>
      <c r="F34" s="435">
        <v>282.77604166666691</v>
      </c>
      <c r="G34" s="435">
        <v>0</v>
      </c>
      <c r="H34" s="435">
        <v>783.73076923076997</v>
      </c>
      <c r="I34" s="435">
        <v>0</v>
      </c>
      <c r="J34" s="435">
        <v>814.02750000000015</v>
      </c>
      <c r="K34" s="435">
        <v>0</v>
      </c>
      <c r="L34" s="435">
        <v>1067.3074999999997</v>
      </c>
      <c r="M34" s="435">
        <v>0</v>
      </c>
      <c r="N34" s="435">
        <v>872.53009259259227</v>
      </c>
      <c r="O34" s="435">
        <v>0</v>
      </c>
      <c r="P34" s="435">
        <v>1035.521634615385</v>
      </c>
      <c r="Q34" s="435">
        <v>0</v>
      </c>
      <c r="R34" s="435">
        <v>0</v>
      </c>
      <c r="S34" s="435">
        <v>0</v>
      </c>
      <c r="T34" s="435">
        <v>278.54807692307679</v>
      </c>
      <c r="U34" s="435">
        <v>0</v>
      </c>
      <c r="V34" s="435">
        <v>316.39000000000061</v>
      </c>
      <c r="W34" s="435">
        <v>0</v>
      </c>
      <c r="X34" s="435">
        <v>382.71064814814792</v>
      </c>
      <c r="Y34" s="435">
        <v>0</v>
      </c>
      <c r="Z34" s="435">
        <v>364.85500000000047</v>
      </c>
      <c r="AA34" s="435">
        <v>0</v>
      </c>
      <c r="AB34" s="435">
        <v>753.69230769230739</v>
      </c>
      <c r="AC34" s="435">
        <v>0</v>
      </c>
      <c r="AD34" s="435">
        <v>478.14499999999981</v>
      </c>
      <c r="AE34" s="435">
        <v>0</v>
      </c>
      <c r="AF34" s="435">
        <v>783.73076923076997</v>
      </c>
      <c r="AG34" s="435">
        <v>0</v>
      </c>
      <c r="AH34" s="435">
        <v>814.02750000000015</v>
      </c>
      <c r="AI34" s="435">
        <v>0</v>
      </c>
      <c r="AJ34" s="435">
        <v>871.94531249999989</v>
      </c>
      <c r="AK34" s="435">
        <v>0</v>
      </c>
      <c r="AL34" s="435">
        <v>872.53009259259227</v>
      </c>
      <c r="AM34" s="435">
        <v>0</v>
      </c>
      <c r="AN34" s="435">
        <v>882.66250000000014</v>
      </c>
      <c r="AO34" s="435">
        <v>0</v>
      </c>
      <c r="AP34" s="435">
        <v>90.149038461538439</v>
      </c>
      <c r="AQ34" s="435">
        <v>0</v>
      </c>
      <c r="AR34" s="435">
        <v>278.54807692307679</v>
      </c>
      <c r="AS34" s="435">
        <v>0</v>
      </c>
      <c r="AT34" s="435">
        <v>316.39000000000061</v>
      </c>
      <c r="AU34" s="435">
        <v>0</v>
      </c>
      <c r="AV34" s="435">
        <v>382.71064814814792</v>
      </c>
      <c r="AW34" s="435">
        <v>0</v>
      </c>
      <c r="AX34" s="435">
        <v>364.85500000000047</v>
      </c>
      <c r="AY34" s="435">
        <v>0</v>
      </c>
    </row>
    <row r="35" spans="2:51">
      <c r="B35" s="259">
        <v>10087</v>
      </c>
      <c r="C35" s="259" t="s">
        <v>38</v>
      </c>
      <c r="D35" s="435">
        <v>0</v>
      </c>
      <c r="E35" s="435">
        <v>0</v>
      </c>
      <c r="F35" s="435">
        <v>0</v>
      </c>
      <c r="G35" s="435">
        <v>0</v>
      </c>
      <c r="H35" s="435">
        <v>2221.1201923076978</v>
      </c>
      <c r="I35" s="435">
        <v>0</v>
      </c>
      <c r="J35" s="435">
        <v>0</v>
      </c>
      <c r="K35" s="435">
        <v>0</v>
      </c>
      <c r="L35" s="435">
        <v>9249.2225000000053</v>
      </c>
      <c r="M35" s="435">
        <v>0</v>
      </c>
      <c r="N35" s="435">
        <v>0</v>
      </c>
      <c r="O35" s="435">
        <v>0</v>
      </c>
      <c r="P35" s="435">
        <v>0</v>
      </c>
      <c r="Q35" s="435">
        <v>0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2221.1201923076978</v>
      </c>
      <c r="AG35" s="435">
        <v>0</v>
      </c>
      <c r="AH35" s="435">
        <v>0</v>
      </c>
      <c r="AI35" s="435">
        <v>0</v>
      </c>
      <c r="AJ35" s="435">
        <v>7772.6901041666742</v>
      </c>
      <c r="AK35" s="435">
        <v>0</v>
      </c>
      <c r="AL35" s="435">
        <v>0</v>
      </c>
      <c r="AM35" s="435">
        <v>0</v>
      </c>
      <c r="AN35" s="435">
        <v>0</v>
      </c>
      <c r="AO35" s="435">
        <v>0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</row>
    <row r="36" spans="2:51">
      <c r="B36" s="259">
        <v>10089</v>
      </c>
      <c r="C36" s="259" t="s">
        <v>39</v>
      </c>
      <c r="D36" s="435">
        <v>10242.162037037029</v>
      </c>
      <c r="E36" s="435">
        <v>0</v>
      </c>
      <c r="F36" s="435">
        <v>0</v>
      </c>
      <c r="G36" s="435">
        <v>0</v>
      </c>
      <c r="H36" s="435">
        <v>27113.699519230766</v>
      </c>
      <c r="I36" s="435">
        <v>0</v>
      </c>
      <c r="J36" s="435">
        <v>12441.3025</v>
      </c>
      <c r="K36" s="435">
        <v>0</v>
      </c>
      <c r="L36" s="435">
        <v>16482.559999999998</v>
      </c>
      <c r="M36" s="435">
        <v>0</v>
      </c>
      <c r="N36" s="435">
        <v>18457.699074074077</v>
      </c>
      <c r="O36" s="435">
        <v>0</v>
      </c>
      <c r="P36" s="435">
        <v>14298.298076923093</v>
      </c>
      <c r="Q36" s="435">
        <v>0</v>
      </c>
      <c r="R36" s="435">
        <v>1099.0149999999978</v>
      </c>
      <c r="S36" s="435">
        <v>0</v>
      </c>
      <c r="T36" s="435">
        <v>8478.319711538461</v>
      </c>
      <c r="U36" s="435">
        <v>0</v>
      </c>
      <c r="V36" s="435">
        <v>17801.092500000013</v>
      </c>
      <c r="W36" s="435">
        <v>0</v>
      </c>
      <c r="X36" s="435">
        <v>22379.282407407409</v>
      </c>
      <c r="Y36" s="435">
        <v>0</v>
      </c>
      <c r="Z36" s="435">
        <v>25303.107500000013</v>
      </c>
      <c r="AA36" s="435">
        <v>0</v>
      </c>
      <c r="AB36" s="435">
        <v>6310.9759615384564</v>
      </c>
      <c r="AC36" s="435">
        <v>0</v>
      </c>
      <c r="AD36" s="435">
        <v>4706.5024999999987</v>
      </c>
      <c r="AE36" s="435">
        <v>0</v>
      </c>
      <c r="AF36" s="435">
        <v>27113.699519230766</v>
      </c>
      <c r="AG36" s="435">
        <v>0</v>
      </c>
      <c r="AH36" s="435">
        <v>12441.3025</v>
      </c>
      <c r="AI36" s="435">
        <v>0</v>
      </c>
      <c r="AJ36" s="435">
        <v>11179.833333333341</v>
      </c>
      <c r="AK36" s="435">
        <v>0</v>
      </c>
      <c r="AL36" s="435">
        <v>18457.699074074077</v>
      </c>
      <c r="AM36" s="435">
        <v>0</v>
      </c>
      <c r="AN36" s="435">
        <v>10110.270000000017</v>
      </c>
      <c r="AO36" s="435">
        <v>0</v>
      </c>
      <c r="AP36" s="435">
        <v>5645.3221153846052</v>
      </c>
      <c r="AQ36" s="435">
        <v>0</v>
      </c>
      <c r="AR36" s="435">
        <v>8478.319711538461</v>
      </c>
      <c r="AS36" s="435">
        <v>0</v>
      </c>
      <c r="AT36" s="435">
        <v>17801.092500000013</v>
      </c>
      <c r="AU36" s="435">
        <v>0</v>
      </c>
      <c r="AV36" s="435">
        <v>22379.282407407409</v>
      </c>
      <c r="AW36" s="435">
        <v>0</v>
      </c>
      <c r="AX36" s="435">
        <v>25303.107500000013</v>
      </c>
      <c r="AY36" s="435">
        <v>0</v>
      </c>
    </row>
    <row r="37" spans="2:51">
      <c r="B37" s="259">
        <v>10091</v>
      </c>
      <c r="C37" s="259" t="s">
        <v>40</v>
      </c>
      <c r="D37" s="435">
        <v>1180.3958333333319</v>
      </c>
      <c r="E37" s="435">
        <v>0</v>
      </c>
      <c r="F37" s="435">
        <v>1497.4609375000005</v>
      </c>
      <c r="G37" s="435">
        <v>0</v>
      </c>
      <c r="H37" s="435">
        <v>2234.8701923076924</v>
      </c>
      <c r="I37" s="435">
        <v>0</v>
      </c>
      <c r="J37" s="435">
        <v>1680.7575000000008</v>
      </c>
      <c r="K37" s="435">
        <v>0</v>
      </c>
      <c r="L37" s="435">
        <v>2272.5475000000001</v>
      </c>
      <c r="M37" s="435">
        <v>0</v>
      </c>
      <c r="N37" s="435">
        <v>906.45833333333621</v>
      </c>
      <c r="O37" s="435">
        <v>0</v>
      </c>
      <c r="P37" s="435">
        <v>2286.8365384615381</v>
      </c>
      <c r="Q37" s="435">
        <v>0</v>
      </c>
      <c r="R37" s="435">
        <v>1670.422500000001</v>
      </c>
      <c r="S37" s="435">
        <v>0</v>
      </c>
      <c r="T37" s="435">
        <v>1943.0072115384612</v>
      </c>
      <c r="U37" s="435">
        <v>0</v>
      </c>
      <c r="V37" s="435">
        <v>1840.8474999999999</v>
      </c>
      <c r="W37" s="435">
        <v>0</v>
      </c>
      <c r="X37" s="435">
        <v>2086.8194444444434</v>
      </c>
      <c r="Y37" s="435">
        <v>0</v>
      </c>
      <c r="Z37" s="435">
        <v>967.92000000000007</v>
      </c>
      <c r="AA37" s="435">
        <v>0</v>
      </c>
      <c r="AB37" s="435">
        <v>860.37259615384437</v>
      </c>
      <c r="AC37" s="435">
        <v>0</v>
      </c>
      <c r="AD37" s="435">
        <v>1933.4025000000006</v>
      </c>
      <c r="AE37" s="435">
        <v>0</v>
      </c>
      <c r="AF37" s="435">
        <v>2234.8701923076924</v>
      </c>
      <c r="AG37" s="435">
        <v>0</v>
      </c>
      <c r="AH37" s="435">
        <v>1680.7575000000008</v>
      </c>
      <c r="AI37" s="435">
        <v>0</v>
      </c>
      <c r="AJ37" s="435">
        <v>1791.6953125</v>
      </c>
      <c r="AK37" s="435">
        <v>0</v>
      </c>
      <c r="AL37" s="435">
        <v>906.45833333333621</v>
      </c>
      <c r="AM37" s="435">
        <v>0</v>
      </c>
      <c r="AN37" s="435">
        <v>1920.6699999999998</v>
      </c>
      <c r="AO37" s="435">
        <v>0</v>
      </c>
      <c r="AP37" s="435">
        <v>2009.5216346153854</v>
      </c>
      <c r="AQ37" s="435">
        <v>0</v>
      </c>
      <c r="AR37" s="435">
        <v>1943.0072115384612</v>
      </c>
      <c r="AS37" s="435">
        <v>0</v>
      </c>
      <c r="AT37" s="435">
        <v>1840.8474999999999</v>
      </c>
      <c r="AU37" s="435">
        <v>0</v>
      </c>
      <c r="AV37" s="435">
        <v>2086.8194444444434</v>
      </c>
      <c r="AW37" s="435">
        <v>0</v>
      </c>
      <c r="AX37" s="435">
        <v>967.92000000000007</v>
      </c>
      <c r="AY37" s="435">
        <v>0</v>
      </c>
    </row>
    <row r="38" spans="2:51">
      <c r="B38" s="259">
        <v>10094</v>
      </c>
      <c r="C38" s="259" t="s">
        <v>41</v>
      </c>
      <c r="D38" s="435">
        <v>626.05324074074076</v>
      </c>
      <c r="E38" s="435">
        <v>0</v>
      </c>
      <c r="F38" s="435">
        <v>135.07552083333374</v>
      </c>
      <c r="G38" s="435">
        <v>0</v>
      </c>
      <c r="H38" s="435">
        <v>458.92788461538493</v>
      </c>
      <c r="I38" s="435">
        <v>0</v>
      </c>
      <c r="J38" s="435">
        <v>518.82750000000044</v>
      </c>
      <c r="K38" s="435">
        <v>0</v>
      </c>
      <c r="L38" s="435">
        <v>588.52249999999981</v>
      </c>
      <c r="M38" s="435">
        <v>0</v>
      </c>
      <c r="N38" s="435">
        <v>590.74999999999977</v>
      </c>
      <c r="O38" s="435">
        <v>0</v>
      </c>
      <c r="P38" s="435">
        <v>577.31490384615336</v>
      </c>
      <c r="Q38" s="435">
        <v>0</v>
      </c>
      <c r="R38" s="435">
        <v>435.81999999999971</v>
      </c>
      <c r="S38" s="435">
        <v>0</v>
      </c>
      <c r="T38" s="435">
        <v>429.00000000000051</v>
      </c>
      <c r="U38" s="435">
        <v>0</v>
      </c>
      <c r="V38" s="435">
        <v>433.51500000000021</v>
      </c>
      <c r="W38" s="435">
        <v>0</v>
      </c>
      <c r="X38" s="435">
        <v>531.05324074074133</v>
      </c>
      <c r="Y38" s="435">
        <v>0</v>
      </c>
      <c r="Z38" s="435">
        <v>446.41250000000042</v>
      </c>
      <c r="AA38" s="435">
        <v>0</v>
      </c>
      <c r="AB38" s="435">
        <v>502.09374999999966</v>
      </c>
      <c r="AC38" s="435">
        <v>0</v>
      </c>
      <c r="AD38" s="435">
        <v>290.47250000000071</v>
      </c>
      <c r="AE38" s="435">
        <v>0</v>
      </c>
      <c r="AF38" s="435">
        <v>458.92788461538493</v>
      </c>
      <c r="AG38" s="435">
        <v>0</v>
      </c>
      <c r="AH38" s="435">
        <v>518.82750000000044</v>
      </c>
      <c r="AI38" s="435">
        <v>0</v>
      </c>
      <c r="AJ38" s="435">
        <v>426.96093750000006</v>
      </c>
      <c r="AK38" s="435">
        <v>0</v>
      </c>
      <c r="AL38" s="435">
        <v>590.74999999999977</v>
      </c>
      <c r="AM38" s="435">
        <v>0</v>
      </c>
      <c r="AN38" s="435">
        <v>445.0074999999996</v>
      </c>
      <c r="AO38" s="435">
        <v>0</v>
      </c>
      <c r="AP38" s="435">
        <v>559.63461538461524</v>
      </c>
      <c r="AQ38" s="435">
        <v>0</v>
      </c>
      <c r="AR38" s="435">
        <v>429.00000000000051</v>
      </c>
      <c r="AS38" s="435">
        <v>0</v>
      </c>
      <c r="AT38" s="435">
        <v>433.51500000000021</v>
      </c>
      <c r="AU38" s="435">
        <v>0</v>
      </c>
      <c r="AV38" s="435">
        <v>531.05324074074133</v>
      </c>
      <c r="AW38" s="435">
        <v>0</v>
      </c>
      <c r="AX38" s="435">
        <v>446.41250000000042</v>
      </c>
      <c r="AY38" s="435">
        <v>0</v>
      </c>
    </row>
    <row r="39" spans="2:51">
      <c r="B39" s="259">
        <v>10095</v>
      </c>
      <c r="C39" s="259" t="s">
        <v>42</v>
      </c>
      <c r="D39" s="435">
        <v>892.72685185185151</v>
      </c>
      <c r="E39" s="435">
        <v>0</v>
      </c>
      <c r="F39" s="435">
        <v>309.01562500000068</v>
      </c>
      <c r="G39" s="435">
        <v>0</v>
      </c>
      <c r="H39" s="435">
        <v>688.80288461538441</v>
      </c>
      <c r="I39" s="435">
        <v>0</v>
      </c>
      <c r="J39" s="435">
        <v>351.23250000000007</v>
      </c>
      <c r="K39" s="435">
        <v>0</v>
      </c>
      <c r="L39" s="435">
        <v>689.23750000000018</v>
      </c>
      <c r="M39" s="435">
        <v>0</v>
      </c>
      <c r="N39" s="435">
        <v>506.7430555555552</v>
      </c>
      <c r="O39" s="435">
        <v>0</v>
      </c>
      <c r="P39" s="435">
        <v>611.13461538461524</v>
      </c>
      <c r="Q39" s="435">
        <v>0</v>
      </c>
      <c r="R39" s="435">
        <v>184.83499999999964</v>
      </c>
      <c r="S39" s="435">
        <v>0</v>
      </c>
      <c r="T39" s="435">
        <v>435.83653846153834</v>
      </c>
      <c r="U39" s="435">
        <v>0</v>
      </c>
      <c r="V39" s="435">
        <v>408.67499999999944</v>
      </c>
      <c r="W39" s="435">
        <v>0</v>
      </c>
      <c r="X39" s="435">
        <v>523.60879629629642</v>
      </c>
      <c r="Y39" s="435">
        <v>0</v>
      </c>
      <c r="Z39" s="435">
        <v>596.92499999999973</v>
      </c>
      <c r="AA39" s="435">
        <v>0</v>
      </c>
      <c r="AB39" s="435">
        <v>741.44711538461479</v>
      </c>
      <c r="AC39" s="435">
        <v>0</v>
      </c>
      <c r="AD39" s="435">
        <v>484.25500000000011</v>
      </c>
      <c r="AE39" s="435">
        <v>0</v>
      </c>
      <c r="AF39" s="435">
        <v>688.80288461538441</v>
      </c>
      <c r="AG39" s="435">
        <v>0</v>
      </c>
      <c r="AH39" s="435">
        <v>351.23250000000007</v>
      </c>
      <c r="AI39" s="435">
        <v>0</v>
      </c>
      <c r="AJ39" s="435">
        <v>507.5390624999996</v>
      </c>
      <c r="AK39" s="435">
        <v>0</v>
      </c>
      <c r="AL39" s="435">
        <v>506.7430555555552</v>
      </c>
      <c r="AM39" s="435">
        <v>0</v>
      </c>
      <c r="AN39" s="435">
        <v>455.09999999999997</v>
      </c>
      <c r="AO39" s="435">
        <v>0</v>
      </c>
      <c r="AP39" s="435">
        <v>342.64903846153862</v>
      </c>
      <c r="AQ39" s="435">
        <v>0</v>
      </c>
      <c r="AR39" s="435">
        <v>435.83653846153834</v>
      </c>
      <c r="AS39" s="435">
        <v>0</v>
      </c>
      <c r="AT39" s="435">
        <v>408.67499999999944</v>
      </c>
      <c r="AU39" s="435">
        <v>0</v>
      </c>
      <c r="AV39" s="435">
        <v>523.60879629629642</v>
      </c>
      <c r="AW39" s="435">
        <v>0</v>
      </c>
      <c r="AX39" s="435">
        <v>596.92499999999973</v>
      </c>
      <c r="AY39" s="435">
        <v>0</v>
      </c>
    </row>
    <row r="40" spans="2:51">
      <c r="B40" s="259">
        <v>10097</v>
      </c>
      <c r="C40" s="259" t="s">
        <v>43</v>
      </c>
      <c r="D40" s="435">
        <v>295.53935185185196</v>
      </c>
      <c r="E40" s="435">
        <v>0</v>
      </c>
      <c r="F40" s="435">
        <v>325.99479166666686</v>
      </c>
      <c r="G40" s="435">
        <v>0</v>
      </c>
      <c r="H40" s="435">
        <v>402.14182692307634</v>
      </c>
      <c r="I40" s="435">
        <v>0</v>
      </c>
      <c r="J40" s="435">
        <v>383.93500000000034</v>
      </c>
      <c r="K40" s="435">
        <v>0</v>
      </c>
      <c r="L40" s="435">
        <v>559.8625000000003</v>
      </c>
      <c r="M40" s="435">
        <v>0</v>
      </c>
      <c r="N40" s="435">
        <v>391.4444444444444</v>
      </c>
      <c r="O40" s="435">
        <v>0</v>
      </c>
      <c r="P40" s="435">
        <v>422.61057692307679</v>
      </c>
      <c r="Q40" s="435">
        <v>0</v>
      </c>
      <c r="R40" s="435">
        <v>204.75749999999994</v>
      </c>
      <c r="S40" s="435">
        <v>0</v>
      </c>
      <c r="T40" s="435">
        <v>281.94711538461519</v>
      </c>
      <c r="U40" s="435">
        <v>0</v>
      </c>
      <c r="V40" s="435">
        <v>133.50500000000002</v>
      </c>
      <c r="W40" s="435">
        <v>0</v>
      </c>
      <c r="X40" s="435">
        <v>211.11111111111137</v>
      </c>
      <c r="Y40" s="435">
        <v>0</v>
      </c>
      <c r="Z40" s="435">
        <v>215.69999999999956</v>
      </c>
      <c r="AA40" s="435">
        <v>0</v>
      </c>
      <c r="AB40" s="435">
        <v>220.59855769230762</v>
      </c>
      <c r="AC40" s="435">
        <v>0</v>
      </c>
      <c r="AD40" s="435">
        <v>431.63499999999982</v>
      </c>
      <c r="AE40" s="435">
        <v>0</v>
      </c>
      <c r="AF40" s="435">
        <v>402.14182692307634</v>
      </c>
      <c r="AG40" s="435">
        <v>0</v>
      </c>
      <c r="AH40" s="435">
        <v>383.93500000000034</v>
      </c>
      <c r="AI40" s="435">
        <v>0</v>
      </c>
      <c r="AJ40" s="435">
        <v>441.73177083333337</v>
      </c>
      <c r="AK40" s="435">
        <v>0</v>
      </c>
      <c r="AL40" s="435">
        <v>391.4444444444444</v>
      </c>
      <c r="AM40" s="435">
        <v>0</v>
      </c>
      <c r="AN40" s="435">
        <v>339.95499999999998</v>
      </c>
      <c r="AO40" s="435">
        <v>0</v>
      </c>
      <c r="AP40" s="435">
        <v>271.80528846153828</v>
      </c>
      <c r="AQ40" s="435">
        <v>0</v>
      </c>
      <c r="AR40" s="435">
        <v>281.94711538461519</v>
      </c>
      <c r="AS40" s="435">
        <v>0</v>
      </c>
      <c r="AT40" s="435">
        <v>133.50500000000002</v>
      </c>
      <c r="AU40" s="435">
        <v>0</v>
      </c>
      <c r="AV40" s="435">
        <v>211.11111111111137</v>
      </c>
      <c r="AW40" s="435">
        <v>0</v>
      </c>
      <c r="AX40" s="435">
        <v>215.69999999999956</v>
      </c>
      <c r="AY40" s="435">
        <v>0</v>
      </c>
    </row>
    <row r="41" spans="2:51">
      <c r="B41" s="259">
        <v>10101</v>
      </c>
      <c r="C41" s="259" t="s">
        <v>44</v>
      </c>
      <c r="D41" s="435">
        <v>9597.5995370370347</v>
      </c>
      <c r="E41" s="435">
        <v>0</v>
      </c>
      <c r="F41" s="435">
        <v>4377.81249999999</v>
      </c>
      <c r="G41" s="435">
        <v>0</v>
      </c>
      <c r="H41" s="435">
        <v>34841.000000000015</v>
      </c>
      <c r="I41" s="435">
        <v>0</v>
      </c>
      <c r="J41" s="435">
        <v>34035.590000000004</v>
      </c>
      <c r="K41" s="435">
        <v>0</v>
      </c>
      <c r="L41" s="435">
        <v>35289.475000000006</v>
      </c>
      <c r="M41" s="435">
        <v>0</v>
      </c>
      <c r="N41" s="435">
        <v>32049.703703703693</v>
      </c>
      <c r="O41" s="435">
        <v>0</v>
      </c>
      <c r="P41" s="435">
        <v>23818.884615384617</v>
      </c>
      <c r="Q41" s="435">
        <v>0</v>
      </c>
      <c r="R41" s="435">
        <v>9997.1975000000057</v>
      </c>
      <c r="S41" s="435">
        <v>0</v>
      </c>
      <c r="T41" s="435">
        <v>7848.956730769235</v>
      </c>
      <c r="U41" s="435">
        <v>0</v>
      </c>
      <c r="V41" s="435">
        <v>11619.310000000003</v>
      </c>
      <c r="W41" s="435">
        <v>0</v>
      </c>
      <c r="X41" s="435">
        <v>15817.185185185182</v>
      </c>
      <c r="Y41" s="435">
        <v>0</v>
      </c>
      <c r="Z41" s="435">
        <v>5997.4774999999954</v>
      </c>
      <c r="AA41" s="435">
        <v>0</v>
      </c>
      <c r="AB41" s="435">
        <v>6671.2764423076933</v>
      </c>
      <c r="AC41" s="435">
        <v>0</v>
      </c>
      <c r="AD41" s="435">
        <v>8587.6199999999862</v>
      </c>
      <c r="AE41" s="435">
        <v>0</v>
      </c>
      <c r="AF41" s="435">
        <v>34841.000000000015</v>
      </c>
      <c r="AG41" s="435">
        <v>0</v>
      </c>
      <c r="AH41" s="435">
        <v>34035.590000000004</v>
      </c>
      <c r="AI41" s="435">
        <v>0</v>
      </c>
      <c r="AJ41" s="435">
        <v>30964.953125</v>
      </c>
      <c r="AK41" s="435">
        <v>0</v>
      </c>
      <c r="AL41" s="435">
        <v>32049.703703703693</v>
      </c>
      <c r="AM41" s="435">
        <v>0</v>
      </c>
      <c r="AN41" s="435">
        <v>20677.000000000007</v>
      </c>
      <c r="AO41" s="435">
        <v>0</v>
      </c>
      <c r="AP41" s="435">
        <v>12557.843749999996</v>
      </c>
      <c r="AQ41" s="435">
        <v>0</v>
      </c>
      <c r="AR41" s="435">
        <v>7848.956730769235</v>
      </c>
      <c r="AS41" s="435">
        <v>0</v>
      </c>
      <c r="AT41" s="435">
        <v>11619.310000000003</v>
      </c>
      <c r="AU41" s="435">
        <v>0</v>
      </c>
      <c r="AV41" s="435">
        <v>15817.185185185182</v>
      </c>
      <c r="AW41" s="435">
        <v>0</v>
      </c>
      <c r="AX41" s="435">
        <v>5997.4774999999954</v>
      </c>
      <c r="AY41" s="435">
        <v>0</v>
      </c>
    </row>
    <row r="42" spans="2:51">
      <c r="B42" s="259">
        <v>10103</v>
      </c>
      <c r="C42" s="259" t="s">
        <v>45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0</v>
      </c>
      <c r="J42" s="435">
        <v>0</v>
      </c>
      <c r="K42" s="435">
        <v>0</v>
      </c>
      <c r="L42" s="435">
        <v>0</v>
      </c>
      <c r="M42" s="435">
        <v>0</v>
      </c>
      <c r="N42" s="435">
        <v>0</v>
      </c>
      <c r="O42" s="435">
        <v>0</v>
      </c>
      <c r="P42" s="435">
        <v>0</v>
      </c>
      <c r="Q42" s="435">
        <v>0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</v>
      </c>
      <c r="AN42" s="435">
        <v>0</v>
      </c>
      <c r="AO42" s="435">
        <v>0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</row>
    <row r="43" spans="2:51">
      <c r="B43" s="259">
        <v>10105</v>
      </c>
      <c r="C43" s="259" t="s">
        <v>46</v>
      </c>
      <c r="D43" s="435">
        <v>0</v>
      </c>
      <c r="E43" s="435">
        <v>0</v>
      </c>
      <c r="F43" s="435">
        <v>0</v>
      </c>
      <c r="G43" s="435">
        <v>0</v>
      </c>
      <c r="H43" s="435">
        <v>0</v>
      </c>
      <c r="I43" s="435">
        <v>0</v>
      </c>
      <c r="J43" s="435">
        <v>0</v>
      </c>
      <c r="K43" s="435">
        <v>0</v>
      </c>
      <c r="L43" s="435">
        <v>0</v>
      </c>
      <c r="M43" s="435">
        <v>0</v>
      </c>
      <c r="N43" s="435">
        <v>0</v>
      </c>
      <c r="O43" s="435">
        <v>0</v>
      </c>
      <c r="P43" s="435">
        <v>0</v>
      </c>
      <c r="Q43" s="435">
        <v>0</v>
      </c>
      <c r="R43" s="435">
        <v>0</v>
      </c>
      <c r="S43" s="435">
        <v>0</v>
      </c>
      <c r="T43" s="435">
        <v>0</v>
      </c>
      <c r="U43" s="435">
        <v>0</v>
      </c>
      <c r="V43" s="435">
        <v>0</v>
      </c>
      <c r="W43" s="435">
        <v>0</v>
      </c>
      <c r="X43" s="435">
        <v>0</v>
      </c>
      <c r="Y43" s="435">
        <v>0</v>
      </c>
      <c r="Z43" s="435">
        <v>0</v>
      </c>
      <c r="AA43" s="435">
        <v>0</v>
      </c>
      <c r="AB43" s="435">
        <v>0</v>
      </c>
      <c r="AC43" s="435">
        <v>0</v>
      </c>
      <c r="AD43" s="435">
        <v>0</v>
      </c>
      <c r="AE43" s="435">
        <v>0</v>
      </c>
      <c r="AF43" s="435">
        <v>0</v>
      </c>
      <c r="AG43" s="435">
        <v>0</v>
      </c>
      <c r="AH43" s="435">
        <v>0</v>
      </c>
      <c r="AI43" s="435">
        <v>0</v>
      </c>
      <c r="AJ43" s="435">
        <v>0</v>
      </c>
      <c r="AK43" s="435">
        <v>0</v>
      </c>
      <c r="AL43" s="435">
        <v>0</v>
      </c>
      <c r="AM43" s="435">
        <v>0</v>
      </c>
      <c r="AN43" s="435">
        <v>0</v>
      </c>
      <c r="AO43" s="435">
        <v>0</v>
      </c>
      <c r="AP43" s="435">
        <v>0</v>
      </c>
      <c r="AQ43" s="435">
        <v>0</v>
      </c>
      <c r="AR43" s="435">
        <v>0</v>
      </c>
      <c r="AS43" s="435">
        <v>0</v>
      </c>
      <c r="AT43" s="435">
        <v>0</v>
      </c>
      <c r="AU43" s="435">
        <v>0</v>
      </c>
      <c r="AV43" s="435">
        <v>0</v>
      </c>
      <c r="AW43" s="435">
        <v>0</v>
      </c>
      <c r="AX43" s="435">
        <v>0</v>
      </c>
      <c r="AY43" s="435">
        <v>0</v>
      </c>
    </row>
    <row r="44" spans="2:51">
      <c r="B44" s="259">
        <v>10106</v>
      </c>
      <c r="C44" s="259" t="s">
        <v>47</v>
      </c>
      <c r="D44" s="435">
        <v>0</v>
      </c>
      <c r="E44" s="435">
        <v>0</v>
      </c>
      <c r="F44" s="435">
        <v>0</v>
      </c>
      <c r="G44" s="435">
        <v>0</v>
      </c>
      <c r="H44" s="435">
        <v>0</v>
      </c>
      <c r="I44" s="435">
        <v>0</v>
      </c>
      <c r="J44" s="435">
        <v>0</v>
      </c>
      <c r="K44" s="435">
        <v>0</v>
      </c>
      <c r="L44" s="435">
        <v>0</v>
      </c>
      <c r="M44" s="435">
        <v>0</v>
      </c>
      <c r="N44" s="435">
        <v>0</v>
      </c>
      <c r="O44" s="435">
        <v>0</v>
      </c>
      <c r="P44" s="435">
        <v>0</v>
      </c>
      <c r="Q44" s="435">
        <v>0</v>
      </c>
      <c r="R44" s="435">
        <v>0</v>
      </c>
      <c r="S44" s="435">
        <v>0</v>
      </c>
      <c r="T44" s="435">
        <v>0</v>
      </c>
      <c r="U44" s="435">
        <v>0</v>
      </c>
      <c r="V44" s="435">
        <v>0</v>
      </c>
      <c r="W44" s="435">
        <v>0</v>
      </c>
      <c r="X44" s="435">
        <v>0</v>
      </c>
      <c r="Y44" s="435">
        <v>0</v>
      </c>
      <c r="Z44" s="435">
        <v>0</v>
      </c>
      <c r="AA44" s="435">
        <v>0</v>
      </c>
      <c r="AB44" s="435">
        <v>0</v>
      </c>
      <c r="AC44" s="435">
        <v>0</v>
      </c>
      <c r="AD44" s="435">
        <v>0</v>
      </c>
      <c r="AE44" s="435">
        <v>0</v>
      </c>
      <c r="AF44" s="435">
        <v>0</v>
      </c>
      <c r="AG44" s="435">
        <v>0</v>
      </c>
      <c r="AH44" s="435">
        <v>0</v>
      </c>
      <c r="AI44" s="435">
        <v>0</v>
      </c>
      <c r="AJ44" s="435">
        <v>0</v>
      </c>
      <c r="AK44" s="435">
        <v>0</v>
      </c>
      <c r="AL44" s="435">
        <v>0</v>
      </c>
      <c r="AM44" s="435">
        <v>0</v>
      </c>
      <c r="AN44" s="435">
        <v>0</v>
      </c>
      <c r="AO44" s="435">
        <v>0</v>
      </c>
      <c r="AP44" s="435">
        <v>0</v>
      </c>
      <c r="AQ44" s="435">
        <v>0</v>
      </c>
      <c r="AR44" s="435">
        <v>0</v>
      </c>
      <c r="AS44" s="435">
        <v>0</v>
      </c>
      <c r="AT44" s="435">
        <v>0</v>
      </c>
      <c r="AU44" s="435">
        <v>0</v>
      </c>
      <c r="AV44" s="435">
        <v>0</v>
      </c>
      <c r="AW44" s="435">
        <v>0</v>
      </c>
      <c r="AX44" s="435">
        <v>0</v>
      </c>
      <c r="AY44" s="435">
        <v>0</v>
      </c>
    </row>
    <row r="45" spans="2:51">
      <c r="B45" s="259">
        <v>10109</v>
      </c>
      <c r="C45" s="259" t="s">
        <v>48</v>
      </c>
      <c r="D45" s="435">
        <v>3885.9722222222226</v>
      </c>
      <c r="E45" s="435">
        <v>0</v>
      </c>
      <c r="F45" s="435">
        <v>1432.4010416666661</v>
      </c>
      <c r="G45" s="435">
        <v>0</v>
      </c>
      <c r="H45" s="435">
        <v>4478.8100961538439</v>
      </c>
      <c r="I45" s="435">
        <v>0</v>
      </c>
      <c r="J45" s="435">
        <v>2362.0125000000003</v>
      </c>
      <c r="K45" s="435">
        <v>0</v>
      </c>
      <c r="L45" s="435">
        <v>2996.4175000000005</v>
      </c>
      <c r="M45" s="435">
        <v>0</v>
      </c>
      <c r="N45" s="435">
        <v>2271.2962962962965</v>
      </c>
      <c r="O45" s="435">
        <v>0</v>
      </c>
      <c r="P45" s="435">
        <v>3088.3870192307691</v>
      </c>
      <c r="Q45" s="435">
        <v>0</v>
      </c>
      <c r="R45" s="435">
        <v>1051.6350000000023</v>
      </c>
      <c r="S45" s="435">
        <v>0</v>
      </c>
      <c r="T45" s="435">
        <v>2436.117788461539</v>
      </c>
      <c r="U45" s="435">
        <v>0</v>
      </c>
      <c r="V45" s="435">
        <v>3513.5174999999981</v>
      </c>
      <c r="W45" s="435">
        <v>0</v>
      </c>
      <c r="X45" s="435">
        <v>2643.837962962963</v>
      </c>
      <c r="Y45" s="435">
        <v>0</v>
      </c>
      <c r="Z45" s="435">
        <v>3806.4575000000004</v>
      </c>
      <c r="AA45" s="435">
        <v>0</v>
      </c>
      <c r="AB45" s="435">
        <v>3467.5096153846148</v>
      </c>
      <c r="AC45" s="435">
        <v>0</v>
      </c>
      <c r="AD45" s="435">
        <v>1885.2649999999994</v>
      </c>
      <c r="AE45" s="435">
        <v>0</v>
      </c>
      <c r="AF45" s="435">
        <v>4478.8100961538439</v>
      </c>
      <c r="AG45" s="435">
        <v>0</v>
      </c>
      <c r="AH45" s="435">
        <v>2362.0125000000003</v>
      </c>
      <c r="AI45" s="435">
        <v>0</v>
      </c>
      <c r="AJ45" s="435">
        <v>2547.893229166667</v>
      </c>
      <c r="AK45" s="435">
        <v>0</v>
      </c>
      <c r="AL45" s="435">
        <v>2271.2962962962965</v>
      </c>
      <c r="AM45" s="435">
        <v>0</v>
      </c>
      <c r="AN45" s="435">
        <v>2535.8024999999989</v>
      </c>
      <c r="AO45" s="435">
        <v>0</v>
      </c>
      <c r="AP45" s="435">
        <v>1691.5336538461552</v>
      </c>
      <c r="AQ45" s="435">
        <v>0</v>
      </c>
      <c r="AR45" s="435">
        <v>2436.117788461539</v>
      </c>
      <c r="AS45" s="435">
        <v>0</v>
      </c>
      <c r="AT45" s="435">
        <v>3513.5174999999981</v>
      </c>
      <c r="AU45" s="435">
        <v>0</v>
      </c>
      <c r="AV45" s="435">
        <v>2643.837962962963</v>
      </c>
      <c r="AW45" s="435">
        <v>0</v>
      </c>
      <c r="AX45" s="435">
        <v>3806.4575000000004</v>
      </c>
      <c r="AY45" s="435">
        <v>0</v>
      </c>
    </row>
    <row r="46" spans="2:51">
      <c r="B46" s="259">
        <v>10111</v>
      </c>
      <c r="C46" s="259" t="s">
        <v>49</v>
      </c>
      <c r="D46" s="435">
        <v>729.63425925925935</v>
      </c>
      <c r="E46" s="435">
        <v>0</v>
      </c>
      <c r="F46" s="435">
        <v>329.21875000000011</v>
      </c>
      <c r="G46" s="435">
        <v>0</v>
      </c>
      <c r="H46" s="435">
        <v>1202.1466346153843</v>
      </c>
      <c r="I46" s="435">
        <v>0</v>
      </c>
      <c r="J46" s="435">
        <v>928.64499999999975</v>
      </c>
      <c r="K46" s="435">
        <v>0</v>
      </c>
      <c r="L46" s="435">
        <v>656.1950000000005</v>
      </c>
      <c r="M46" s="435">
        <v>0</v>
      </c>
      <c r="N46" s="435">
        <v>814.26157407407368</v>
      </c>
      <c r="O46" s="435">
        <v>0</v>
      </c>
      <c r="P46" s="435">
        <v>514.35096153846177</v>
      </c>
      <c r="Q46" s="435">
        <v>0</v>
      </c>
      <c r="R46" s="435">
        <v>112.65000000000003</v>
      </c>
      <c r="S46" s="435">
        <v>0</v>
      </c>
      <c r="T46" s="435">
        <v>373.78846153846143</v>
      </c>
      <c r="U46" s="435">
        <v>0</v>
      </c>
      <c r="V46" s="435">
        <v>757.51000000000045</v>
      </c>
      <c r="W46" s="435">
        <v>0</v>
      </c>
      <c r="X46" s="435">
        <v>767.55787037037089</v>
      </c>
      <c r="Y46" s="435">
        <v>0</v>
      </c>
      <c r="Z46" s="435">
        <v>783.2474999999996</v>
      </c>
      <c r="AA46" s="435">
        <v>0</v>
      </c>
      <c r="AB46" s="435">
        <v>647.19711538461559</v>
      </c>
      <c r="AC46" s="435">
        <v>0</v>
      </c>
      <c r="AD46" s="435">
        <v>454.12999999999994</v>
      </c>
      <c r="AE46" s="435">
        <v>0</v>
      </c>
      <c r="AF46" s="435">
        <v>1202.1466346153843</v>
      </c>
      <c r="AG46" s="435">
        <v>0</v>
      </c>
      <c r="AH46" s="435">
        <v>928.64499999999975</v>
      </c>
      <c r="AI46" s="435">
        <v>0</v>
      </c>
      <c r="AJ46" s="435">
        <v>532.57812500000034</v>
      </c>
      <c r="AK46" s="435">
        <v>0</v>
      </c>
      <c r="AL46" s="435">
        <v>814.26157407407368</v>
      </c>
      <c r="AM46" s="435">
        <v>0</v>
      </c>
      <c r="AN46" s="435">
        <v>411.9250000000003</v>
      </c>
      <c r="AO46" s="435">
        <v>0</v>
      </c>
      <c r="AP46" s="435">
        <v>234.31730769230762</v>
      </c>
      <c r="AQ46" s="435">
        <v>0</v>
      </c>
      <c r="AR46" s="435">
        <v>373.78846153846143</v>
      </c>
      <c r="AS46" s="435">
        <v>0</v>
      </c>
      <c r="AT46" s="435">
        <v>757.51000000000045</v>
      </c>
      <c r="AU46" s="435">
        <v>0</v>
      </c>
      <c r="AV46" s="435">
        <v>767.55787037037089</v>
      </c>
      <c r="AW46" s="435">
        <v>0</v>
      </c>
      <c r="AX46" s="435">
        <v>783.2474999999996</v>
      </c>
      <c r="AY46" s="435">
        <v>0</v>
      </c>
    </row>
    <row r="47" spans="2:51">
      <c r="B47" s="259">
        <v>10112</v>
      </c>
      <c r="C47" s="259" t="s">
        <v>50</v>
      </c>
      <c r="D47" s="435">
        <v>11231.050925925927</v>
      </c>
      <c r="E47" s="435">
        <v>0</v>
      </c>
      <c r="F47" s="435">
        <v>6268.1354166666752</v>
      </c>
      <c r="G47" s="435">
        <v>0</v>
      </c>
      <c r="H47" s="435">
        <v>13986.257211538463</v>
      </c>
      <c r="I47" s="435">
        <v>0</v>
      </c>
      <c r="J47" s="435">
        <v>10480.450000000003</v>
      </c>
      <c r="K47" s="435">
        <v>0</v>
      </c>
      <c r="L47" s="435">
        <v>11370.535000000005</v>
      </c>
      <c r="M47" s="435">
        <v>0</v>
      </c>
      <c r="N47" s="435">
        <v>6618.3773148148111</v>
      </c>
      <c r="O47" s="435">
        <v>0</v>
      </c>
      <c r="P47" s="435">
        <v>12595.995192307695</v>
      </c>
      <c r="Q47" s="435">
        <v>0</v>
      </c>
      <c r="R47" s="435">
        <v>6937.9299999999912</v>
      </c>
      <c r="S47" s="435">
        <v>0</v>
      </c>
      <c r="T47" s="435">
        <v>8631.6658653846116</v>
      </c>
      <c r="U47" s="435">
        <v>0</v>
      </c>
      <c r="V47" s="435">
        <v>9632.8200000000052</v>
      </c>
      <c r="W47" s="435">
        <v>0</v>
      </c>
      <c r="X47" s="435">
        <v>15228.557870370376</v>
      </c>
      <c r="Y47" s="435">
        <v>0</v>
      </c>
      <c r="Z47" s="435">
        <v>12528.475000000008</v>
      </c>
      <c r="AA47" s="435">
        <v>0</v>
      </c>
      <c r="AB47" s="435">
        <v>9053.9374999999964</v>
      </c>
      <c r="AC47" s="435">
        <v>0</v>
      </c>
      <c r="AD47" s="435">
        <v>9011.5300000000025</v>
      </c>
      <c r="AE47" s="435">
        <v>0</v>
      </c>
      <c r="AF47" s="435">
        <v>13986.257211538463</v>
      </c>
      <c r="AG47" s="435">
        <v>0</v>
      </c>
      <c r="AH47" s="435">
        <v>10480.450000000003</v>
      </c>
      <c r="AI47" s="435">
        <v>0</v>
      </c>
      <c r="AJ47" s="435">
        <v>8666.3489583333321</v>
      </c>
      <c r="AK47" s="435">
        <v>0</v>
      </c>
      <c r="AL47" s="435">
        <v>6618.3773148148111</v>
      </c>
      <c r="AM47" s="435">
        <v>0</v>
      </c>
      <c r="AN47" s="435">
        <v>10272.115000000005</v>
      </c>
      <c r="AO47" s="435">
        <v>0</v>
      </c>
      <c r="AP47" s="435">
        <v>9146.6249999999964</v>
      </c>
      <c r="AQ47" s="435">
        <v>0</v>
      </c>
      <c r="AR47" s="435">
        <v>8631.6658653846116</v>
      </c>
      <c r="AS47" s="435">
        <v>0</v>
      </c>
      <c r="AT47" s="435">
        <v>9632.8200000000052</v>
      </c>
      <c r="AU47" s="435">
        <v>0</v>
      </c>
      <c r="AV47" s="435">
        <v>15228.557870370376</v>
      </c>
      <c r="AW47" s="435">
        <v>0</v>
      </c>
      <c r="AX47" s="435">
        <v>12528.475000000008</v>
      </c>
      <c r="AY47" s="435">
        <v>0</v>
      </c>
    </row>
    <row r="48" spans="2:51">
      <c r="B48" s="259">
        <v>10113</v>
      </c>
      <c r="C48" s="259" t="s">
        <v>51</v>
      </c>
      <c r="D48" s="435">
        <v>7100.7291666666706</v>
      </c>
      <c r="E48" s="435">
        <v>0</v>
      </c>
      <c r="F48" s="435">
        <v>945.51302083333155</v>
      </c>
      <c r="G48" s="435">
        <v>0</v>
      </c>
      <c r="H48" s="435">
        <v>4810.9182692307686</v>
      </c>
      <c r="I48" s="435">
        <v>0</v>
      </c>
      <c r="J48" s="435">
        <v>1371.4074999999989</v>
      </c>
      <c r="K48" s="435">
        <v>0</v>
      </c>
      <c r="L48" s="435">
        <v>1351.339999999997</v>
      </c>
      <c r="M48" s="435">
        <v>0</v>
      </c>
      <c r="N48" s="435">
        <v>2998.9768518518504</v>
      </c>
      <c r="O48" s="435">
        <v>0</v>
      </c>
      <c r="P48" s="435">
        <v>3441.3677884615408</v>
      </c>
      <c r="Q48" s="435">
        <v>0</v>
      </c>
      <c r="R48" s="435">
        <v>520.39499999998998</v>
      </c>
      <c r="S48" s="435">
        <v>0</v>
      </c>
      <c r="T48" s="435">
        <v>11750.99278846153</v>
      </c>
      <c r="U48" s="435">
        <v>0</v>
      </c>
      <c r="V48" s="435">
        <v>15022.442499999994</v>
      </c>
      <c r="W48" s="435">
        <v>0</v>
      </c>
      <c r="X48" s="435">
        <v>14184.247685185184</v>
      </c>
      <c r="Y48" s="435">
        <v>0</v>
      </c>
      <c r="Z48" s="435">
        <v>18755.529999999992</v>
      </c>
      <c r="AA48" s="435">
        <v>0</v>
      </c>
      <c r="AB48" s="435">
        <v>5757.4879807692305</v>
      </c>
      <c r="AC48" s="435">
        <v>0</v>
      </c>
      <c r="AD48" s="435">
        <v>2068.1724999999992</v>
      </c>
      <c r="AE48" s="435">
        <v>0</v>
      </c>
      <c r="AF48" s="435">
        <v>4810.9182692307686</v>
      </c>
      <c r="AG48" s="435">
        <v>0</v>
      </c>
      <c r="AH48" s="435">
        <v>1371.4074999999989</v>
      </c>
      <c r="AI48" s="435">
        <v>0</v>
      </c>
      <c r="AJ48" s="435">
        <v>365.18749999999756</v>
      </c>
      <c r="AK48" s="435">
        <v>0</v>
      </c>
      <c r="AL48" s="435">
        <v>2998.9768518518504</v>
      </c>
      <c r="AM48" s="435">
        <v>0</v>
      </c>
      <c r="AN48" s="435">
        <v>1895.9825000000023</v>
      </c>
      <c r="AO48" s="435">
        <v>0</v>
      </c>
      <c r="AP48" s="435">
        <v>2761.9182692307581</v>
      </c>
      <c r="AQ48" s="435">
        <v>0</v>
      </c>
      <c r="AR48" s="435">
        <v>11750.99278846153</v>
      </c>
      <c r="AS48" s="435">
        <v>0</v>
      </c>
      <c r="AT48" s="435">
        <v>15022.442499999994</v>
      </c>
      <c r="AU48" s="435">
        <v>0</v>
      </c>
      <c r="AV48" s="435">
        <v>14184.247685185184</v>
      </c>
      <c r="AW48" s="435">
        <v>0</v>
      </c>
      <c r="AX48" s="435">
        <v>18755.529999999992</v>
      </c>
      <c r="AY48" s="435">
        <v>0</v>
      </c>
    </row>
    <row r="49" spans="2:51">
      <c r="B49" s="259">
        <v>10116</v>
      </c>
      <c r="C49" s="259" t="s">
        <v>52</v>
      </c>
      <c r="D49" s="435">
        <v>251.96296296296293</v>
      </c>
      <c r="E49" s="435">
        <v>0</v>
      </c>
      <c r="F49" s="435">
        <v>0</v>
      </c>
      <c r="G49" s="435">
        <v>0</v>
      </c>
      <c r="H49" s="435">
        <v>60.233173076923052</v>
      </c>
      <c r="I49" s="435">
        <v>0</v>
      </c>
      <c r="J49" s="435">
        <v>41.385000000000034</v>
      </c>
      <c r="K49" s="435">
        <v>0</v>
      </c>
      <c r="L49" s="435">
        <v>65.884999999999962</v>
      </c>
      <c r="M49" s="435">
        <v>0</v>
      </c>
      <c r="N49" s="435">
        <v>178.53240740740745</v>
      </c>
      <c r="O49" s="435">
        <v>0</v>
      </c>
      <c r="P49" s="435">
        <v>739.67307692307691</v>
      </c>
      <c r="Q49" s="435">
        <v>0</v>
      </c>
      <c r="R49" s="435">
        <v>527.65249999999992</v>
      </c>
      <c r="S49" s="435">
        <v>0</v>
      </c>
      <c r="T49" s="435">
        <v>445.26923076923077</v>
      </c>
      <c r="U49" s="435">
        <v>0</v>
      </c>
      <c r="V49" s="435">
        <v>459.29749999999996</v>
      </c>
      <c r="W49" s="435">
        <v>0</v>
      </c>
      <c r="X49" s="435">
        <v>394.48379629629625</v>
      </c>
      <c r="Y49" s="435">
        <v>0</v>
      </c>
      <c r="Z49" s="435">
        <v>245.51749999999996</v>
      </c>
      <c r="AA49" s="435">
        <v>0</v>
      </c>
      <c r="AB49" s="435">
        <v>243.2692307692308</v>
      </c>
      <c r="AC49" s="435">
        <v>0</v>
      </c>
      <c r="AD49" s="435">
        <v>0</v>
      </c>
      <c r="AE49" s="435">
        <v>0</v>
      </c>
      <c r="AF49" s="435">
        <v>60.233173076923052</v>
      </c>
      <c r="AG49" s="435">
        <v>0</v>
      </c>
      <c r="AH49" s="435">
        <v>41.385000000000034</v>
      </c>
      <c r="AI49" s="435">
        <v>0</v>
      </c>
      <c r="AJ49" s="435">
        <v>55.463541666666657</v>
      </c>
      <c r="AK49" s="435">
        <v>0</v>
      </c>
      <c r="AL49" s="435">
        <v>178.53240740740745</v>
      </c>
      <c r="AM49" s="435">
        <v>0</v>
      </c>
      <c r="AN49" s="435">
        <v>729.42</v>
      </c>
      <c r="AO49" s="435">
        <v>0</v>
      </c>
      <c r="AP49" s="435">
        <v>535.43509615384608</v>
      </c>
      <c r="AQ49" s="435">
        <v>0</v>
      </c>
      <c r="AR49" s="435">
        <v>445.26923076923077</v>
      </c>
      <c r="AS49" s="435">
        <v>0</v>
      </c>
      <c r="AT49" s="435">
        <v>459.29749999999996</v>
      </c>
      <c r="AU49" s="435">
        <v>0</v>
      </c>
      <c r="AV49" s="435">
        <v>394.48379629629625</v>
      </c>
      <c r="AW49" s="435">
        <v>0</v>
      </c>
      <c r="AX49" s="435">
        <v>245.51749999999996</v>
      </c>
      <c r="AY49" s="435">
        <v>0</v>
      </c>
    </row>
    <row r="50" spans="2:51">
      <c r="B50" s="259">
        <v>10118</v>
      </c>
      <c r="C50" s="259" t="s">
        <v>53</v>
      </c>
      <c r="D50" s="435">
        <v>0</v>
      </c>
      <c r="E50" s="435">
        <v>0</v>
      </c>
      <c r="F50" s="435">
        <v>0</v>
      </c>
      <c r="G50" s="435">
        <v>0</v>
      </c>
      <c r="H50" s="435">
        <v>0</v>
      </c>
      <c r="I50" s="435">
        <v>0</v>
      </c>
      <c r="J50" s="435">
        <v>0</v>
      </c>
      <c r="K50" s="435">
        <v>0</v>
      </c>
      <c r="L50" s="435">
        <v>0</v>
      </c>
      <c r="M50" s="435">
        <v>0</v>
      </c>
      <c r="N50" s="435">
        <v>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5">
        <v>0</v>
      </c>
      <c r="Y50" s="435">
        <v>0</v>
      </c>
      <c r="Z50" s="435">
        <v>0</v>
      </c>
      <c r="AA50" s="435">
        <v>0</v>
      </c>
      <c r="AB50" s="435">
        <v>0</v>
      </c>
      <c r="AC50" s="435">
        <v>0</v>
      </c>
      <c r="AD50" s="435">
        <v>0</v>
      </c>
      <c r="AE50" s="435">
        <v>0</v>
      </c>
      <c r="AF50" s="435">
        <v>0</v>
      </c>
      <c r="AG50" s="435">
        <v>0</v>
      </c>
      <c r="AH50" s="435">
        <v>0</v>
      </c>
      <c r="AI50" s="435">
        <v>0</v>
      </c>
      <c r="AJ50" s="435">
        <v>0</v>
      </c>
      <c r="AK50" s="435">
        <v>0</v>
      </c>
      <c r="AL50" s="435">
        <v>0</v>
      </c>
      <c r="AM50" s="435">
        <v>0</v>
      </c>
      <c r="AN50" s="435">
        <v>0</v>
      </c>
      <c r="AO50" s="435">
        <v>0</v>
      </c>
      <c r="AP50" s="435">
        <v>0</v>
      </c>
      <c r="AQ50" s="435">
        <v>0</v>
      </c>
      <c r="AR50" s="435">
        <v>0</v>
      </c>
      <c r="AS50" s="435">
        <v>0</v>
      </c>
      <c r="AT50" s="435">
        <v>0</v>
      </c>
      <c r="AU50" s="435">
        <v>0</v>
      </c>
      <c r="AV50" s="435">
        <v>0</v>
      </c>
      <c r="AW50" s="435">
        <v>0</v>
      </c>
      <c r="AX50" s="435">
        <v>0</v>
      </c>
      <c r="AY50" s="435">
        <v>0</v>
      </c>
    </row>
    <row r="51" spans="2:51">
      <c r="B51" s="259">
        <v>10121</v>
      </c>
      <c r="C51" s="259" t="s">
        <v>54</v>
      </c>
      <c r="D51" s="435">
        <v>0</v>
      </c>
      <c r="E51" s="435">
        <v>0</v>
      </c>
      <c r="F51" s="435">
        <v>0</v>
      </c>
      <c r="G51" s="435">
        <v>0</v>
      </c>
      <c r="H51" s="435">
        <v>0</v>
      </c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5">
        <v>0</v>
      </c>
      <c r="Y51" s="435">
        <v>0</v>
      </c>
      <c r="Z51" s="435">
        <v>0</v>
      </c>
      <c r="AA51" s="435">
        <v>0</v>
      </c>
      <c r="AB51" s="435">
        <v>0</v>
      </c>
      <c r="AC51" s="435">
        <v>0</v>
      </c>
      <c r="AD51" s="435">
        <v>0</v>
      </c>
      <c r="AE51" s="435">
        <v>0</v>
      </c>
      <c r="AF51" s="435">
        <v>0</v>
      </c>
      <c r="AG51" s="435">
        <v>0</v>
      </c>
      <c r="AH51" s="435">
        <v>0</v>
      </c>
      <c r="AI51" s="435">
        <v>0</v>
      </c>
      <c r="AJ51" s="435">
        <v>0</v>
      </c>
      <c r="AK51" s="435">
        <v>0</v>
      </c>
      <c r="AL51" s="435">
        <v>0</v>
      </c>
      <c r="AM51" s="435">
        <v>0</v>
      </c>
      <c r="AN51" s="435">
        <v>0</v>
      </c>
      <c r="AO51" s="435">
        <v>0</v>
      </c>
      <c r="AP51" s="435">
        <v>0</v>
      </c>
      <c r="AQ51" s="435">
        <v>0</v>
      </c>
      <c r="AR51" s="435">
        <v>0</v>
      </c>
      <c r="AS51" s="435">
        <v>0</v>
      </c>
      <c r="AT51" s="435">
        <v>0</v>
      </c>
      <c r="AU51" s="435">
        <v>0</v>
      </c>
      <c r="AV51" s="435">
        <v>0</v>
      </c>
      <c r="AW51" s="435">
        <v>0</v>
      </c>
      <c r="AX51" s="435">
        <v>0</v>
      </c>
      <c r="AY51" s="435">
        <v>0</v>
      </c>
    </row>
    <row r="52" spans="2:51">
      <c r="B52" s="259">
        <v>10123</v>
      </c>
      <c r="C52" s="259" t="s">
        <v>55</v>
      </c>
      <c r="D52" s="435">
        <v>0</v>
      </c>
      <c r="E52" s="435">
        <v>0</v>
      </c>
      <c r="F52" s="435">
        <v>0</v>
      </c>
      <c r="G52" s="435">
        <v>0</v>
      </c>
      <c r="H52" s="435">
        <v>0</v>
      </c>
      <c r="I52" s="435">
        <v>0</v>
      </c>
      <c r="J52" s="435">
        <v>0</v>
      </c>
      <c r="K52" s="435">
        <v>0</v>
      </c>
      <c r="L52" s="435">
        <v>0</v>
      </c>
      <c r="M52" s="435">
        <v>0</v>
      </c>
      <c r="N52" s="435">
        <v>0</v>
      </c>
      <c r="O52" s="435">
        <v>0</v>
      </c>
      <c r="P52" s="435">
        <v>0</v>
      </c>
      <c r="Q52" s="435">
        <v>0</v>
      </c>
      <c r="R52" s="435">
        <v>0</v>
      </c>
      <c r="S52" s="435">
        <v>0</v>
      </c>
      <c r="T52" s="435">
        <v>0</v>
      </c>
      <c r="U52" s="435">
        <v>0</v>
      </c>
      <c r="V52" s="435">
        <v>0</v>
      </c>
      <c r="W52" s="435">
        <v>0</v>
      </c>
      <c r="X52" s="435">
        <v>0</v>
      </c>
      <c r="Y52" s="435">
        <v>0</v>
      </c>
      <c r="Z52" s="435">
        <v>0</v>
      </c>
      <c r="AA52" s="435">
        <v>0</v>
      </c>
      <c r="AB52" s="435">
        <v>0</v>
      </c>
      <c r="AC52" s="435">
        <v>0</v>
      </c>
      <c r="AD52" s="435">
        <v>0</v>
      </c>
      <c r="AE52" s="435">
        <v>0</v>
      </c>
      <c r="AF52" s="435">
        <v>0</v>
      </c>
      <c r="AG52" s="435">
        <v>0</v>
      </c>
      <c r="AH52" s="435">
        <v>0</v>
      </c>
      <c r="AI52" s="435">
        <v>0</v>
      </c>
      <c r="AJ52" s="435">
        <v>0</v>
      </c>
      <c r="AK52" s="435">
        <v>0</v>
      </c>
      <c r="AL52" s="435">
        <v>0</v>
      </c>
      <c r="AM52" s="435">
        <v>0</v>
      </c>
      <c r="AN52" s="435">
        <v>0</v>
      </c>
      <c r="AO52" s="435">
        <v>0</v>
      </c>
      <c r="AP52" s="435">
        <v>0</v>
      </c>
      <c r="AQ52" s="435">
        <v>0</v>
      </c>
      <c r="AR52" s="435">
        <v>0</v>
      </c>
      <c r="AS52" s="435">
        <v>0</v>
      </c>
      <c r="AT52" s="435">
        <v>0</v>
      </c>
      <c r="AU52" s="435">
        <v>0</v>
      </c>
      <c r="AV52" s="435">
        <v>0</v>
      </c>
      <c r="AW52" s="435">
        <v>0</v>
      </c>
      <c r="AX52" s="435">
        <v>0</v>
      </c>
      <c r="AY52" s="435">
        <v>0</v>
      </c>
    </row>
    <row r="53" spans="2:51">
      <c r="B53" s="259">
        <v>10136</v>
      </c>
      <c r="C53" s="259" t="s">
        <v>56</v>
      </c>
      <c r="D53" s="435">
        <v>0</v>
      </c>
      <c r="E53" s="435">
        <v>0</v>
      </c>
      <c r="F53" s="435">
        <v>0</v>
      </c>
      <c r="G53" s="435">
        <v>0</v>
      </c>
      <c r="H53" s="435">
        <v>0</v>
      </c>
      <c r="I53" s="435">
        <v>0</v>
      </c>
      <c r="J53" s="435">
        <v>0</v>
      </c>
      <c r="K53" s="435">
        <v>0</v>
      </c>
      <c r="L53" s="435">
        <v>0</v>
      </c>
      <c r="M53" s="435">
        <v>0</v>
      </c>
      <c r="N53" s="435">
        <v>0</v>
      </c>
      <c r="O53" s="435">
        <v>0</v>
      </c>
      <c r="P53" s="435">
        <v>0</v>
      </c>
      <c r="Q53" s="435">
        <v>0</v>
      </c>
      <c r="R53" s="435">
        <v>0</v>
      </c>
      <c r="S53" s="435">
        <v>0</v>
      </c>
      <c r="T53" s="435">
        <v>0</v>
      </c>
      <c r="U53" s="435">
        <v>0</v>
      </c>
      <c r="V53" s="435">
        <v>0</v>
      </c>
      <c r="W53" s="435">
        <v>0</v>
      </c>
      <c r="X53" s="435">
        <v>0</v>
      </c>
      <c r="Y53" s="435">
        <v>0</v>
      </c>
      <c r="Z53" s="435">
        <v>0</v>
      </c>
      <c r="AA53" s="435">
        <v>0</v>
      </c>
      <c r="AB53" s="435">
        <v>0</v>
      </c>
      <c r="AC53" s="435">
        <v>0</v>
      </c>
      <c r="AD53" s="435">
        <v>0</v>
      </c>
      <c r="AE53" s="435">
        <v>0</v>
      </c>
      <c r="AF53" s="435">
        <v>0</v>
      </c>
      <c r="AG53" s="435">
        <v>0</v>
      </c>
      <c r="AH53" s="435">
        <v>0</v>
      </c>
      <c r="AI53" s="435">
        <v>0</v>
      </c>
      <c r="AJ53" s="435">
        <v>0</v>
      </c>
      <c r="AK53" s="435">
        <v>0</v>
      </c>
      <c r="AL53" s="435">
        <v>0</v>
      </c>
      <c r="AM53" s="435">
        <v>0</v>
      </c>
      <c r="AN53" s="435">
        <v>0</v>
      </c>
      <c r="AO53" s="435">
        <v>0</v>
      </c>
      <c r="AP53" s="435">
        <v>0</v>
      </c>
      <c r="AQ53" s="435">
        <v>0</v>
      </c>
      <c r="AR53" s="435">
        <v>0</v>
      </c>
      <c r="AS53" s="435">
        <v>0</v>
      </c>
      <c r="AT53" s="435">
        <v>0</v>
      </c>
      <c r="AU53" s="435">
        <v>0</v>
      </c>
      <c r="AV53" s="435">
        <v>0</v>
      </c>
      <c r="AW53" s="435">
        <v>0</v>
      </c>
      <c r="AX53" s="435">
        <v>0</v>
      </c>
      <c r="AY53" s="435">
        <v>0</v>
      </c>
    </row>
    <row r="54" spans="2:51">
      <c r="B54" s="259">
        <v>10142</v>
      </c>
      <c r="C54" s="259" t="s">
        <v>57</v>
      </c>
      <c r="D54" s="435">
        <v>915.97685185185185</v>
      </c>
      <c r="E54" s="435">
        <v>0</v>
      </c>
      <c r="F54" s="435">
        <v>582.08593749999989</v>
      </c>
      <c r="G54" s="435">
        <v>0</v>
      </c>
      <c r="H54" s="435">
        <v>930.35817307692287</v>
      </c>
      <c r="I54" s="435">
        <v>0</v>
      </c>
      <c r="J54" s="435">
        <v>540.03250000000037</v>
      </c>
      <c r="K54" s="435">
        <v>0</v>
      </c>
      <c r="L54" s="435">
        <v>592.46250000000009</v>
      </c>
      <c r="M54" s="435">
        <v>0</v>
      </c>
      <c r="N54" s="435">
        <v>632.57407407407413</v>
      </c>
      <c r="O54" s="435">
        <v>0</v>
      </c>
      <c r="P54" s="435">
        <v>759.61057692307725</v>
      </c>
      <c r="Q54" s="435">
        <v>0</v>
      </c>
      <c r="R54" s="435">
        <v>234.33000000000015</v>
      </c>
      <c r="S54" s="435">
        <v>0</v>
      </c>
      <c r="T54" s="435">
        <v>987.79567307692355</v>
      </c>
      <c r="U54" s="435">
        <v>0</v>
      </c>
      <c r="V54" s="435">
        <v>976.8850000000001</v>
      </c>
      <c r="W54" s="435">
        <v>0</v>
      </c>
      <c r="X54" s="435">
        <v>775.11574074074053</v>
      </c>
      <c r="Y54" s="435">
        <v>0</v>
      </c>
      <c r="Z54" s="435">
        <v>456.93499999999989</v>
      </c>
      <c r="AA54" s="435">
        <v>0</v>
      </c>
      <c r="AB54" s="435">
        <v>837.05288461538441</v>
      </c>
      <c r="AC54" s="435">
        <v>0</v>
      </c>
      <c r="AD54" s="435">
        <v>681.52250000000015</v>
      </c>
      <c r="AE54" s="435">
        <v>0</v>
      </c>
      <c r="AF54" s="435">
        <v>930.35817307692287</v>
      </c>
      <c r="AG54" s="435">
        <v>0</v>
      </c>
      <c r="AH54" s="435">
        <v>540.03250000000037</v>
      </c>
      <c r="AI54" s="435">
        <v>0</v>
      </c>
      <c r="AJ54" s="435">
        <v>489.06510416666669</v>
      </c>
      <c r="AK54" s="435">
        <v>0</v>
      </c>
      <c r="AL54" s="435">
        <v>632.57407407407413</v>
      </c>
      <c r="AM54" s="435">
        <v>0</v>
      </c>
      <c r="AN54" s="435">
        <v>673.83500000000038</v>
      </c>
      <c r="AO54" s="435">
        <v>0</v>
      </c>
      <c r="AP54" s="435">
        <v>367.97115384615364</v>
      </c>
      <c r="AQ54" s="435">
        <v>0</v>
      </c>
      <c r="AR54" s="435">
        <v>987.79567307692355</v>
      </c>
      <c r="AS54" s="435">
        <v>0</v>
      </c>
      <c r="AT54" s="435">
        <v>976.8850000000001</v>
      </c>
      <c r="AU54" s="435">
        <v>0</v>
      </c>
      <c r="AV54" s="435">
        <v>775.11574074074053</v>
      </c>
      <c r="AW54" s="435">
        <v>0</v>
      </c>
      <c r="AX54" s="435">
        <v>456.93499999999989</v>
      </c>
      <c r="AY54" s="435">
        <v>0</v>
      </c>
    </row>
    <row r="55" spans="2:51">
      <c r="B55" s="259">
        <v>10144</v>
      </c>
      <c r="C55" s="259" t="s">
        <v>58</v>
      </c>
      <c r="D55" s="435">
        <v>577.52083333333326</v>
      </c>
      <c r="E55" s="435">
        <v>0</v>
      </c>
      <c r="F55" s="435">
        <v>148.0052083333332</v>
      </c>
      <c r="G55" s="435">
        <v>0</v>
      </c>
      <c r="H55" s="435">
        <v>1832.1971153846146</v>
      </c>
      <c r="I55" s="435">
        <v>0</v>
      </c>
      <c r="J55" s="435">
        <v>1341.63</v>
      </c>
      <c r="K55" s="435">
        <v>0</v>
      </c>
      <c r="L55" s="435">
        <v>711.21000000000015</v>
      </c>
      <c r="M55" s="435">
        <v>0</v>
      </c>
      <c r="N55" s="435">
        <v>952.86574074074042</v>
      </c>
      <c r="O55" s="435">
        <v>0</v>
      </c>
      <c r="P55" s="435">
        <v>59.653846153846061</v>
      </c>
      <c r="Q55" s="435">
        <v>0</v>
      </c>
      <c r="R55" s="435">
        <v>83.364999999999696</v>
      </c>
      <c r="S55" s="435">
        <v>0</v>
      </c>
      <c r="T55" s="435">
        <v>271.06971153846132</v>
      </c>
      <c r="U55" s="435">
        <v>0</v>
      </c>
      <c r="V55" s="435">
        <v>196.77500000000049</v>
      </c>
      <c r="W55" s="435">
        <v>0</v>
      </c>
      <c r="X55" s="435">
        <v>440.52314814814827</v>
      </c>
      <c r="Y55" s="435">
        <v>0</v>
      </c>
      <c r="Z55" s="435">
        <v>0</v>
      </c>
      <c r="AA55" s="435">
        <v>0</v>
      </c>
      <c r="AB55" s="435">
        <v>458.46394230769238</v>
      </c>
      <c r="AC55" s="435">
        <v>0</v>
      </c>
      <c r="AD55" s="435">
        <v>337.92500000000024</v>
      </c>
      <c r="AE55" s="435">
        <v>0</v>
      </c>
      <c r="AF55" s="435">
        <v>1832.1971153846146</v>
      </c>
      <c r="AG55" s="435">
        <v>0</v>
      </c>
      <c r="AH55" s="435">
        <v>1341.63</v>
      </c>
      <c r="AI55" s="435">
        <v>0</v>
      </c>
      <c r="AJ55" s="435">
        <v>523.01041666666652</v>
      </c>
      <c r="AK55" s="435">
        <v>0</v>
      </c>
      <c r="AL55" s="435">
        <v>952.86574074074042</v>
      </c>
      <c r="AM55" s="435">
        <v>0</v>
      </c>
      <c r="AN55" s="435">
        <v>0</v>
      </c>
      <c r="AO55" s="435">
        <v>0</v>
      </c>
      <c r="AP55" s="435">
        <v>195.92788461538424</v>
      </c>
      <c r="AQ55" s="435">
        <v>0</v>
      </c>
      <c r="AR55" s="435">
        <v>271.06971153846132</v>
      </c>
      <c r="AS55" s="435">
        <v>0</v>
      </c>
      <c r="AT55" s="435">
        <v>196.77500000000049</v>
      </c>
      <c r="AU55" s="435">
        <v>0</v>
      </c>
      <c r="AV55" s="435">
        <v>440.52314814814827</v>
      </c>
      <c r="AW55" s="435">
        <v>0</v>
      </c>
      <c r="AX55" s="435">
        <v>0</v>
      </c>
      <c r="AY55" s="435">
        <v>0</v>
      </c>
    </row>
    <row r="56" spans="2:51">
      <c r="B56" s="259">
        <v>10156</v>
      </c>
      <c r="C56" s="259" t="s">
        <v>59</v>
      </c>
      <c r="D56" s="435">
        <v>0</v>
      </c>
      <c r="E56" s="435">
        <v>0</v>
      </c>
      <c r="F56" s="435">
        <v>2163.1666666666583</v>
      </c>
      <c r="G56" s="435">
        <v>0</v>
      </c>
      <c r="H56" s="435">
        <v>16174.415865384617</v>
      </c>
      <c r="I56" s="435">
        <v>0</v>
      </c>
      <c r="J56" s="435">
        <v>13626.137500000004</v>
      </c>
      <c r="K56" s="435">
        <v>0</v>
      </c>
      <c r="L56" s="435">
        <v>9692.5500000000029</v>
      </c>
      <c r="M56" s="435">
        <v>0</v>
      </c>
      <c r="N56" s="435">
        <v>8894.9097222222172</v>
      </c>
      <c r="O56" s="435">
        <v>0</v>
      </c>
      <c r="P56" s="435">
        <v>0</v>
      </c>
      <c r="Q56" s="435">
        <v>0</v>
      </c>
      <c r="R56" s="435">
        <v>0</v>
      </c>
      <c r="S56" s="435">
        <v>0</v>
      </c>
      <c r="T56" s="435">
        <v>3664.6418269230785</v>
      </c>
      <c r="U56" s="435">
        <v>0</v>
      </c>
      <c r="V56" s="435">
        <v>3747.1450000000023</v>
      </c>
      <c r="W56" s="435">
        <v>0</v>
      </c>
      <c r="X56" s="435">
        <v>6783.3541666666688</v>
      </c>
      <c r="Y56" s="435">
        <v>0</v>
      </c>
      <c r="Z56" s="435">
        <v>2213.8875000000003</v>
      </c>
      <c r="AA56" s="435">
        <v>0</v>
      </c>
      <c r="AB56" s="435">
        <v>0</v>
      </c>
      <c r="AC56" s="435">
        <v>0</v>
      </c>
      <c r="AD56" s="435">
        <v>3907.9999999999905</v>
      </c>
      <c r="AE56" s="435">
        <v>0</v>
      </c>
      <c r="AF56" s="435">
        <v>16174.415865384617</v>
      </c>
      <c r="AG56" s="435">
        <v>0</v>
      </c>
      <c r="AH56" s="435">
        <v>13626.137500000004</v>
      </c>
      <c r="AI56" s="435">
        <v>0</v>
      </c>
      <c r="AJ56" s="435">
        <v>7940.197916666667</v>
      </c>
      <c r="AK56" s="435">
        <v>0</v>
      </c>
      <c r="AL56" s="435">
        <v>8894.9097222222172</v>
      </c>
      <c r="AM56" s="435">
        <v>0</v>
      </c>
      <c r="AN56" s="435">
        <v>0</v>
      </c>
      <c r="AO56" s="435">
        <v>0</v>
      </c>
      <c r="AP56" s="435">
        <v>56.675480769227349</v>
      </c>
      <c r="AQ56" s="435">
        <v>0</v>
      </c>
      <c r="AR56" s="435">
        <v>3664.6418269230785</v>
      </c>
      <c r="AS56" s="435">
        <v>0</v>
      </c>
      <c r="AT56" s="435">
        <v>3747.1450000000023</v>
      </c>
      <c r="AU56" s="435">
        <v>0</v>
      </c>
      <c r="AV56" s="435">
        <v>6783.3541666666688</v>
      </c>
      <c r="AW56" s="435">
        <v>0</v>
      </c>
      <c r="AX56" s="435">
        <v>2213.8875000000003</v>
      </c>
      <c r="AY56" s="435">
        <v>0</v>
      </c>
    </row>
    <row r="57" spans="2:51">
      <c r="B57" s="259">
        <v>10157</v>
      </c>
      <c r="C57" s="259" t="s">
        <v>60</v>
      </c>
      <c r="D57" s="435">
        <v>0</v>
      </c>
      <c r="E57" s="435">
        <v>0</v>
      </c>
      <c r="F57" s="435">
        <v>0</v>
      </c>
      <c r="G57" s="435">
        <v>0</v>
      </c>
      <c r="H57" s="435">
        <v>0</v>
      </c>
      <c r="I57" s="435">
        <v>0</v>
      </c>
      <c r="J57" s="435">
        <v>0</v>
      </c>
      <c r="K57" s="435">
        <v>0</v>
      </c>
      <c r="L57" s="435">
        <v>0</v>
      </c>
      <c r="M57" s="435">
        <v>0</v>
      </c>
      <c r="N57" s="435">
        <v>0</v>
      </c>
      <c r="O57" s="435">
        <v>0</v>
      </c>
      <c r="P57" s="435">
        <v>0</v>
      </c>
      <c r="Q57" s="435">
        <v>0</v>
      </c>
      <c r="R57" s="435">
        <v>0</v>
      </c>
      <c r="S57" s="435">
        <v>0</v>
      </c>
      <c r="T57" s="435">
        <v>0</v>
      </c>
      <c r="U57" s="435">
        <v>0</v>
      </c>
      <c r="V57" s="435">
        <v>0</v>
      </c>
      <c r="W57" s="435">
        <v>0</v>
      </c>
      <c r="X57" s="435">
        <v>0</v>
      </c>
      <c r="Y57" s="435">
        <v>0</v>
      </c>
      <c r="Z57" s="435">
        <v>0</v>
      </c>
      <c r="AA57" s="435">
        <v>0</v>
      </c>
      <c r="AB57" s="435">
        <v>0</v>
      </c>
      <c r="AC57" s="435">
        <v>0</v>
      </c>
      <c r="AD57" s="435">
        <v>0</v>
      </c>
      <c r="AE57" s="435">
        <v>0</v>
      </c>
      <c r="AF57" s="435">
        <v>0</v>
      </c>
      <c r="AG57" s="435">
        <v>0</v>
      </c>
      <c r="AH57" s="435">
        <v>0</v>
      </c>
      <c r="AI57" s="435">
        <v>0</v>
      </c>
      <c r="AJ57" s="435">
        <v>0</v>
      </c>
      <c r="AK57" s="435">
        <v>0</v>
      </c>
      <c r="AL57" s="435">
        <v>0</v>
      </c>
      <c r="AM57" s="435">
        <v>0</v>
      </c>
      <c r="AN57" s="435">
        <v>0</v>
      </c>
      <c r="AO57" s="435">
        <v>0</v>
      </c>
      <c r="AP57" s="435">
        <v>0</v>
      </c>
      <c r="AQ57" s="435">
        <v>0</v>
      </c>
      <c r="AR57" s="435">
        <v>0</v>
      </c>
      <c r="AS57" s="435">
        <v>0</v>
      </c>
      <c r="AT57" s="435">
        <v>0</v>
      </c>
      <c r="AU57" s="435">
        <v>0</v>
      </c>
      <c r="AV57" s="435">
        <v>0</v>
      </c>
      <c r="AW57" s="435">
        <v>0</v>
      </c>
      <c r="AX57" s="435">
        <v>0</v>
      </c>
      <c r="AY57" s="435">
        <v>0</v>
      </c>
    </row>
    <row r="58" spans="2:51">
      <c r="B58" s="259">
        <v>10158</v>
      </c>
      <c r="C58" s="259" t="s">
        <v>61</v>
      </c>
      <c r="D58" s="435">
        <v>0</v>
      </c>
      <c r="E58" s="435">
        <v>0</v>
      </c>
      <c r="F58" s="435">
        <v>0</v>
      </c>
      <c r="G58" s="435">
        <v>0</v>
      </c>
      <c r="H58" s="435">
        <v>708.91346153846132</v>
      </c>
      <c r="I58" s="435">
        <v>0</v>
      </c>
      <c r="J58" s="435">
        <v>516.62249999999938</v>
      </c>
      <c r="K58" s="435">
        <v>0</v>
      </c>
      <c r="L58" s="435">
        <v>539.65000000000055</v>
      </c>
      <c r="M58" s="435">
        <v>0</v>
      </c>
      <c r="N58" s="435">
        <v>363.13657407407453</v>
      </c>
      <c r="O58" s="435">
        <v>0</v>
      </c>
      <c r="P58" s="435">
        <v>236.74038461538473</v>
      </c>
      <c r="Q58" s="435">
        <v>0</v>
      </c>
      <c r="R58" s="435">
        <v>68.060000000000059</v>
      </c>
      <c r="S58" s="435">
        <v>0</v>
      </c>
      <c r="T58" s="435">
        <v>120.77644230769241</v>
      </c>
      <c r="U58" s="435">
        <v>0</v>
      </c>
      <c r="V58" s="435">
        <v>145.21999999999991</v>
      </c>
      <c r="W58" s="435">
        <v>0</v>
      </c>
      <c r="X58" s="435">
        <v>127.26157407407402</v>
      </c>
      <c r="Y58" s="435">
        <v>0</v>
      </c>
      <c r="Z58" s="435">
        <v>0</v>
      </c>
      <c r="AA58" s="435">
        <v>0</v>
      </c>
      <c r="AB58" s="435">
        <v>0</v>
      </c>
      <c r="AC58" s="435">
        <v>0</v>
      </c>
      <c r="AD58" s="435">
        <v>43.495000000000061</v>
      </c>
      <c r="AE58" s="435">
        <v>0</v>
      </c>
      <c r="AF58" s="435">
        <v>708.91346153846132</v>
      </c>
      <c r="AG58" s="435">
        <v>0</v>
      </c>
      <c r="AH58" s="435">
        <v>516.62249999999938</v>
      </c>
      <c r="AI58" s="435">
        <v>0</v>
      </c>
      <c r="AJ58" s="435">
        <v>420.42708333333377</v>
      </c>
      <c r="AK58" s="435">
        <v>0</v>
      </c>
      <c r="AL58" s="435">
        <v>363.13657407407453</v>
      </c>
      <c r="AM58" s="435">
        <v>0</v>
      </c>
      <c r="AN58" s="435">
        <v>154.44999999999987</v>
      </c>
      <c r="AO58" s="435">
        <v>0</v>
      </c>
      <c r="AP58" s="435">
        <v>151.09615384615356</v>
      </c>
      <c r="AQ58" s="435">
        <v>0</v>
      </c>
      <c r="AR58" s="435">
        <v>120.77644230769241</v>
      </c>
      <c r="AS58" s="435">
        <v>0</v>
      </c>
      <c r="AT58" s="435">
        <v>145.21999999999991</v>
      </c>
      <c r="AU58" s="435">
        <v>0</v>
      </c>
      <c r="AV58" s="435">
        <v>127.26157407407402</v>
      </c>
      <c r="AW58" s="435">
        <v>0</v>
      </c>
      <c r="AX58" s="435">
        <v>0</v>
      </c>
      <c r="AY58" s="435">
        <v>0</v>
      </c>
    </row>
    <row r="59" spans="2:51">
      <c r="B59" s="259">
        <v>10170</v>
      </c>
      <c r="C59" s="259" t="s">
        <v>62</v>
      </c>
      <c r="D59" s="435">
        <v>0</v>
      </c>
      <c r="E59" s="435">
        <v>0</v>
      </c>
      <c r="F59" s="435">
        <v>0</v>
      </c>
      <c r="G59" s="435">
        <v>0</v>
      </c>
      <c r="H59" s="435">
        <v>0</v>
      </c>
      <c r="I59" s="435">
        <v>0</v>
      </c>
      <c r="J59" s="435">
        <v>0</v>
      </c>
      <c r="K59" s="435">
        <v>0</v>
      </c>
      <c r="L59" s="435">
        <v>0</v>
      </c>
      <c r="M59" s="435">
        <v>0</v>
      </c>
      <c r="N59" s="435">
        <v>0</v>
      </c>
      <c r="O59" s="435">
        <v>0</v>
      </c>
      <c r="P59" s="435">
        <v>0</v>
      </c>
      <c r="Q59" s="435">
        <v>0</v>
      </c>
      <c r="R59" s="435">
        <v>0</v>
      </c>
      <c r="S59" s="435">
        <v>0</v>
      </c>
      <c r="T59" s="435">
        <v>0</v>
      </c>
      <c r="U59" s="435">
        <v>0</v>
      </c>
      <c r="V59" s="435">
        <v>0</v>
      </c>
      <c r="W59" s="435">
        <v>0</v>
      </c>
      <c r="X59" s="435">
        <v>0</v>
      </c>
      <c r="Y59" s="435">
        <v>0</v>
      </c>
      <c r="Z59" s="435">
        <v>0</v>
      </c>
      <c r="AA59" s="435">
        <v>0</v>
      </c>
      <c r="AB59" s="435">
        <v>0</v>
      </c>
      <c r="AC59" s="435">
        <v>0</v>
      </c>
      <c r="AD59" s="435">
        <v>0</v>
      </c>
      <c r="AE59" s="435">
        <v>0</v>
      </c>
      <c r="AF59" s="435">
        <v>0</v>
      </c>
      <c r="AG59" s="435">
        <v>0</v>
      </c>
      <c r="AH59" s="435">
        <v>0</v>
      </c>
      <c r="AI59" s="435">
        <v>0</v>
      </c>
      <c r="AJ59" s="435">
        <v>0</v>
      </c>
      <c r="AK59" s="435">
        <v>0</v>
      </c>
      <c r="AL59" s="435">
        <v>0</v>
      </c>
      <c r="AM59" s="435">
        <v>0</v>
      </c>
      <c r="AN59" s="435">
        <v>0</v>
      </c>
      <c r="AO59" s="435">
        <v>0</v>
      </c>
      <c r="AP59" s="435">
        <v>0</v>
      </c>
      <c r="AQ59" s="435">
        <v>0</v>
      </c>
      <c r="AR59" s="435">
        <v>0</v>
      </c>
      <c r="AS59" s="435">
        <v>0</v>
      </c>
      <c r="AT59" s="435">
        <v>0</v>
      </c>
      <c r="AU59" s="435">
        <v>0</v>
      </c>
      <c r="AV59" s="435">
        <v>0</v>
      </c>
      <c r="AW59" s="435">
        <v>0</v>
      </c>
      <c r="AX59" s="435">
        <v>0</v>
      </c>
      <c r="AY59" s="435">
        <v>0</v>
      </c>
    </row>
    <row r="60" spans="2:51">
      <c r="B60" s="259">
        <v>10172</v>
      </c>
      <c r="C60" s="259" t="s">
        <v>63</v>
      </c>
      <c r="D60" s="435">
        <v>877.06712962962956</v>
      </c>
      <c r="E60" s="435">
        <v>0</v>
      </c>
      <c r="F60" s="435">
        <v>849.26822916666697</v>
      </c>
      <c r="G60" s="435">
        <v>0</v>
      </c>
      <c r="H60" s="435">
        <v>1111.8942307692309</v>
      </c>
      <c r="I60" s="435">
        <v>0</v>
      </c>
      <c r="J60" s="435">
        <v>900.77999999999952</v>
      </c>
      <c r="K60" s="435">
        <v>0</v>
      </c>
      <c r="L60" s="435">
        <v>1361.607500000001</v>
      </c>
      <c r="M60" s="435">
        <v>0</v>
      </c>
      <c r="N60" s="435">
        <v>1088.1944444444439</v>
      </c>
      <c r="O60" s="435">
        <v>0</v>
      </c>
      <c r="P60" s="435">
        <v>916.01201923076826</v>
      </c>
      <c r="Q60" s="435">
        <v>0</v>
      </c>
      <c r="R60" s="435">
        <v>1040.2049999999997</v>
      </c>
      <c r="S60" s="435">
        <v>0</v>
      </c>
      <c r="T60" s="435">
        <v>1025.7139423076919</v>
      </c>
      <c r="U60" s="435">
        <v>0</v>
      </c>
      <c r="V60" s="435">
        <v>627.1599999999986</v>
      </c>
      <c r="W60" s="435">
        <v>0</v>
      </c>
      <c r="X60" s="435">
        <v>973.57175925926026</v>
      </c>
      <c r="Y60" s="435">
        <v>0</v>
      </c>
      <c r="Z60" s="435">
        <v>903.60500000000047</v>
      </c>
      <c r="AA60" s="435">
        <v>0</v>
      </c>
      <c r="AB60" s="435">
        <v>663.87740384615461</v>
      </c>
      <c r="AC60" s="435">
        <v>0</v>
      </c>
      <c r="AD60" s="435">
        <v>1085.6574999999996</v>
      </c>
      <c r="AE60" s="435">
        <v>0</v>
      </c>
      <c r="AF60" s="435">
        <v>1111.8942307692309</v>
      </c>
      <c r="AG60" s="435">
        <v>0</v>
      </c>
      <c r="AH60" s="435">
        <v>900.77999999999952</v>
      </c>
      <c r="AI60" s="435">
        <v>0</v>
      </c>
      <c r="AJ60" s="435">
        <v>1112.3828125000011</v>
      </c>
      <c r="AK60" s="435">
        <v>0</v>
      </c>
      <c r="AL60" s="435">
        <v>1088.1944444444439</v>
      </c>
      <c r="AM60" s="435">
        <v>0</v>
      </c>
      <c r="AN60" s="435">
        <v>691.37249999999983</v>
      </c>
      <c r="AO60" s="435">
        <v>0</v>
      </c>
      <c r="AP60" s="435">
        <v>1259.7355769230767</v>
      </c>
      <c r="AQ60" s="435">
        <v>0</v>
      </c>
      <c r="AR60" s="435">
        <v>1025.7139423076919</v>
      </c>
      <c r="AS60" s="435">
        <v>0</v>
      </c>
      <c r="AT60" s="435">
        <v>627.1599999999986</v>
      </c>
      <c r="AU60" s="435">
        <v>0</v>
      </c>
      <c r="AV60" s="435">
        <v>973.57175925926026</v>
      </c>
      <c r="AW60" s="435">
        <v>0</v>
      </c>
      <c r="AX60" s="435">
        <v>903.60500000000047</v>
      </c>
      <c r="AY60" s="435">
        <v>0</v>
      </c>
    </row>
    <row r="61" spans="2:51">
      <c r="B61" s="259">
        <v>10173</v>
      </c>
      <c r="C61" s="259" t="s">
        <v>64</v>
      </c>
      <c r="D61" s="435">
        <v>0</v>
      </c>
      <c r="E61" s="435">
        <v>0</v>
      </c>
      <c r="F61" s="435">
        <v>0</v>
      </c>
      <c r="G61" s="435">
        <v>0</v>
      </c>
      <c r="H61" s="435">
        <v>0</v>
      </c>
      <c r="I61" s="435">
        <v>0</v>
      </c>
      <c r="J61" s="435">
        <v>0</v>
      </c>
      <c r="K61" s="435">
        <v>0</v>
      </c>
      <c r="L61" s="435">
        <v>0</v>
      </c>
      <c r="M61" s="435">
        <v>0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5">
        <v>0</v>
      </c>
      <c r="Y61" s="435">
        <v>0</v>
      </c>
      <c r="Z61" s="435">
        <v>0</v>
      </c>
      <c r="AA61" s="435">
        <v>0</v>
      </c>
      <c r="AB61" s="435">
        <v>0</v>
      </c>
      <c r="AC61" s="435">
        <v>0</v>
      </c>
      <c r="AD61" s="435">
        <v>0</v>
      </c>
      <c r="AE61" s="435">
        <v>0</v>
      </c>
      <c r="AF61" s="435">
        <v>0</v>
      </c>
      <c r="AG61" s="435">
        <v>0</v>
      </c>
      <c r="AH61" s="435">
        <v>0</v>
      </c>
      <c r="AI61" s="435">
        <v>0</v>
      </c>
      <c r="AJ61" s="435">
        <v>0</v>
      </c>
      <c r="AK61" s="435">
        <v>0</v>
      </c>
      <c r="AL61" s="435">
        <v>0</v>
      </c>
      <c r="AM61" s="435">
        <v>0</v>
      </c>
      <c r="AN61" s="435">
        <v>0</v>
      </c>
      <c r="AO61" s="435">
        <v>0</v>
      </c>
      <c r="AP61" s="435">
        <v>0</v>
      </c>
      <c r="AQ61" s="435">
        <v>0</v>
      </c>
      <c r="AR61" s="435">
        <v>0</v>
      </c>
      <c r="AS61" s="435">
        <v>0</v>
      </c>
      <c r="AT61" s="435">
        <v>0</v>
      </c>
      <c r="AU61" s="435">
        <v>0</v>
      </c>
      <c r="AV61" s="435">
        <v>0</v>
      </c>
      <c r="AW61" s="435">
        <v>0</v>
      </c>
      <c r="AX61" s="435">
        <v>0</v>
      </c>
      <c r="AY61" s="435">
        <v>0</v>
      </c>
    </row>
    <row r="62" spans="2:51">
      <c r="B62" s="259">
        <v>10174</v>
      </c>
      <c r="C62" s="259" t="s">
        <v>65</v>
      </c>
      <c r="D62" s="435">
        <v>113.09027777777777</v>
      </c>
      <c r="E62" s="435">
        <v>0</v>
      </c>
      <c r="F62" s="435">
        <v>35.861979166666671</v>
      </c>
      <c r="G62" s="435">
        <v>0</v>
      </c>
      <c r="H62" s="435">
        <v>224.43509615384622</v>
      </c>
      <c r="I62" s="435">
        <v>0</v>
      </c>
      <c r="J62" s="435">
        <v>173.21999999999989</v>
      </c>
      <c r="K62" s="435">
        <v>0</v>
      </c>
      <c r="L62" s="435">
        <v>103.04999999999994</v>
      </c>
      <c r="M62" s="435">
        <v>0</v>
      </c>
      <c r="N62" s="435">
        <v>149.14814814814812</v>
      </c>
      <c r="O62" s="435">
        <v>0</v>
      </c>
      <c r="P62" s="435">
        <v>81.704326923076948</v>
      </c>
      <c r="Q62" s="435">
        <v>0</v>
      </c>
      <c r="R62" s="435">
        <v>50.994999999999955</v>
      </c>
      <c r="S62" s="435">
        <v>0</v>
      </c>
      <c r="T62" s="435">
        <v>78.850961538461533</v>
      </c>
      <c r="U62" s="435">
        <v>0</v>
      </c>
      <c r="V62" s="435">
        <v>65.400000000000006</v>
      </c>
      <c r="W62" s="435">
        <v>0</v>
      </c>
      <c r="X62" s="435">
        <v>45.863425925925959</v>
      </c>
      <c r="Y62" s="435">
        <v>0</v>
      </c>
      <c r="Z62" s="435">
        <v>18.255000000000049</v>
      </c>
      <c r="AA62" s="435">
        <v>0</v>
      </c>
      <c r="AB62" s="435">
        <v>98.43990384615384</v>
      </c>
      <c r="AC62" s="435">
        <v>0</v>
      </c>
      <c r="AD62" s="435">
        <v>58.387499999999925</v>
      </c>
      <c r="AE62" s="435">
        <v>0</v>
      </c>
      <c r="AF62" s="435">
        <v>224.43509615384622</v>
      </c>
      <c r="AG62" s="435">
        <v>0</v>
      </c>
      <c r="AH62" s="435">
        <v>173.21999999999989</v>
      </c>
      <c r="AI62" s="435">
        <v>0</v>
      </c>
      <c r="AJ62" s="435">
        <v>77.927083333333286</v>
      </c>
      <c r="AK62" s="435">
        <v>0</v>
      </c>
      <c r="AL62" s="435">
        <v>149.14814814814812</v>
      </c>
      <c r="AM62" s="435">
        <v>0</v>
      </c>
      <c r="AN62" s="435">
        <v>64.972499999999982</v>
      </c>
      <c r="AO62" s="435">
        <v>0</v>
      </c>
      <c r="AP62" s="435">
        <v>67.879807692307665</v>
      </c>
      <c r="AQ62" s="435">
        <v>0</v>
      </c>
      <c r="AR62" s="435">
        <v>78.850961538461533</v>
      </c>
      <c r="AS62" s="435">
        <v>0</v>
      </c>
      <c r="AT62" s="435">
        <v>65.400000000000006</v>
      </c>
      <c r="AU62" s="435">
        <v>0</v>
      </c>
      <c r="AV62" s="435">
        <v>45.863425925925959</v>
      </c>
      <c r="AW62" s="435">
        <v>0</v>
      </c>
      <c r="AX62" s="435">
        <v>18.255000000000049</v>
      </c>
      <c r="AY62" s="435">
        <v>0</v>
      </c>
    </row>
    <row r="63" spans="2:51">
      <c r="B63" s="259">
        <v>10177</v>
      </c>
      <c r="C63" s="259" t="s">
        <v>66</v>
      </c>
      <c r="D63" s="435">
        <v>693.53009259259397</v>
      </c>
      <c r="E63" s="435">
        <v>0</v>
      </c>
      <c r="F63" s="435">
        <v>164.96354166666637</v>
      </c>
      <c r="G63" s="435">
        <v>0</v>
      </c>
      <c r="H63" s="435">
        <v>1981.2644230769235</v>
      </c>
      <c r="I63" s="435">
        <v>0</v>
      </c>
      <c r="J63" s="435">
        <v>1236.8724999999999</v>
      </c>
      <c r="K63" s="435">
        <v>0</v>
      </c>
      <c r="L63" s="435">
        <v>743.63000000000136</v>
      </c>
      <c r="M63" s="435">
        <v>0</v>
      </c>
      <c r="N63" s="435">
        <v>902.88657407407368</v>
      </c>
      <c r="O63" s="435">
        <v>0</v>
      </c>
      <c r="P63" s="435">
        <v>735.75240384615495</v>
      </c>
      <c r="Q63" s="435">
        <v>0</v>
      </c>
      <c r="R63" s="435">
        <v>678.90750000000025</v>
      </c>
      <c r="S63" s="435">
        <v>0</v>
      </c>
      <c r="T63" s="435">
        <v>958.71634615384528</v>
      </c>
      <c r="U63" s="435">
        <v>0</v>
      </c>
      <c r="V63" s="435">
        <v>173.40999999999963</v>
      </c>
      <c r="W63" s="435">
        <v>0</v>
      </c>
      <c r="X63" s="435">
        <v>985.56944444444446</v>
      </c>
      <c r="Y63" s="435">
        <v>0</v>
      </c>
      <c r="Z63" s="435">
        <v>208.13249999999917</v>
      </c>
      <c r="AA63" s="435">
        <v>0</v>
      </c>
      <c r="AB63" s="435">
        <v>297.55048076923174</v>
      </c>
      <c r="AC63" s="435">
        <v>0</v>
      </c>
      <c r="AD63" s="435">
        <v>685.36500000000001</v>
      </c>
      <c r="AE63" s="435">
        <v>0</v>
      </c>
      <c r="AF63" s="435">
        <v>1981.2644230769235</v>
      </c>
      <c r="AG63" s="435">
        <v>0</v>
      </c>
      <c r="AH63" s="435">
        <v>1236.8724999999999</v>
      </c>
      <c r="AI63" s="435">
        <v>0</v>
      </c>
      <c r="AJ63" s="435">
        <v>262.19791666666833</v>
      </c>
      <c r="AK63" s="435">
        <v>0</v>
      </c>
      <c r="AL63" s="435">
        <v>902.88657407407368</v>
      </c>
      <c r="AM63" s="435">
        <v>0</v>
      </c>
      <c r="AN63" s="435">
        <v>366.10250000000065</v>
      </c>
      <c r="AO63" s="435">
        <v>0</v>
      </c>
      <c r="AP63" s="435">
        <v>1001.6802884615386</v>
      </c>
      <c r="AQ63" s="435">
        <v>0</v>
      </c>
      <c r="AR63" s="435">
        <v>958.71634615384528</v>
      </c>
      <c r="AS63" s="435">
        <v>0</v>
      </c>
      <c r="AT63" s="435">
        <v>173.40999999999963</v>
      </c>
      <c r="AU63" s="435">
        <v>0</v>
      </c>
      <c r="AV63" s="435">
        <v>985.56944444444446</v>
      </c>
      <c r="AW63" s="435">
        <v>0</v>
      </c>
      <c r="AX63" s="435">
        <v>208.13249999999917</v>
      </c>
      <c r="AY63" s="435">
        <v>0</v>
      </c>
    </row>
    <row r="64" spans="2:51">
      <c r="B64" s="259">
        <v>10179</v>
      </c>
      <c r="C64" s="259" t="s">
        <v>67</v>
      </c>
      <c r="D64" s="435">
        <v>45171.187500000015</v>
      </c>
      <c r="E64" s="435">
        <v>0</v>
      </c>
      <c r="F64" s="435">
        <v>36269.260416666686</v>
      </c>
      <c r="G64" s="435">
        <v>0</v>
      </c>
      <c r="H64" s="435">
        <v>45337.620192307673</v>
      </c>
      <c r="I64" s="435">
        <v>0</v>
      </c>
      <c r="J64" s="435">
        <v>44663.070000000022</v>
      </c>
      <c r="K64" s="435">
        <v>0</v>
      </c>
      <c r="L64" s="435">
        <v>43480.479999999989</v>
      </c>
      <c r="M64" s="435">
        <v>0</v>
      </c>
      <c r="N64" s="435">
        <v>40174.662037037036</v>
      </c>
      <c r="O64" s="435">
        <v>0</v>
      </c>
      <c r="P64" s="435">
        <v>47766.1394230769</v>
      </c>
      <c r="Q64" s="435">
        <v>0</v>
      </c>
      <c r="R64" s="435">
        <v>31145.077499999974</v>
      </c>
      <c r="S64" s="435">
        <v>0</v>
      </c>
      <c r="T64" s="435">
        <v>36643.016826923071</v>
      </c>
      <c r="U64" s="435">
        <v>0</v>
      </c>
      <c r="V64" s="435">
        <v>30050.699999999975</v>
      </c>
      <c r="W64" s="435">
        <v>0</v>
      </c>
      <c r="X64" s="435">
        <v>35841.935185185168</v>
      </c>
      <c r="Y64" s="435">
        <v>0</v>
      </c>
      <c r="Z64" s="435">
        <v>36617.252500000002</v>
      </c>
      <c r="AA64" s="435">
        <v>0</v>
      </c>
      <c r="AB64" s="435">
        <v>38566.540865384624</v>
      </c>
      <c r="AC64" s="435">
        <v>0</v>
      </c>
      <c r="AD64" s="435">
        <v>44800.530000000021</v>
      </c>
      <c r="AE64" s="435">
        <v>0</v>
      </c>
      <c r="AF64" s="435">
        <v>45337.620192307673</v>
      </c>
      <c r="AG64" s="435">
        <v>0</v>
      </c>
      <c r="AH64" s="435">
        <v>44663.070000000022</v>
      </c>
      <c r="AI64" s="435">
        <v>0</v>
      </c>
      <c r="AJ64" s="435">
        <v>34301</v>
      </c>
      <c r="AK64" s="435">
        <v>0</v>
      </c>
      <c r="AL64" s="435">
        <v>40174.662037037036</v>
      </c>
      <c r="AM64" s="435">
        <v>0</v>
      </c>
      <c r="AN64" s="435">
        <v>40550.584999999977</v>
      </c>
      <c r="AO64" s="435">
        <v>0</v>
      </c>
      <c r="AP64" s="435">
        <v>37563.920673076937</v>
      </c>
      <c r="AQ64" s="435">
        <v>0</v>
      </c>
      <c r="AR64" s="435">
        <v>36643.016826923071</v>
      </c>
      <c r="AS64" s="435">
        <v>0</v>
      </c>
      <c r="AT64" s="435">
        <v>30050.699999999975</v>
      </c>
      <c r="AU64" s="435">
        <v>0</v>
      </c>
      <c r="AV64" s="435">
        <v>35841.935185185168</v>
      </c>
      <c r="AW64" s="435">
        <v>0</v>
      </c>
      <c r="AX64" s="435">
        <v>36617.252500000002</v>
      </c>
      <c r="AY64" s="435">
        <v>0</v>
      </c>
    </row>
    <row r="65" spans="2:51">
      <c r="B65" s="259">
        <v>10183</v>
      </c>
      <c r="C65" s="259" t="s">
        <v>68</v>
      </c>
      <c r="D65" s="435">
        <v>0</v>
      </c>
      <c r="E65" s="435">
        <v>0</v>
      </c>
      <c r="F65" s="435">
        <v>0</v>
      </c>
      <c r="G65" s="435">
        <v>0</v>
      </c>
      <c r="H65" s="435">
        <v>0</v>
      </c>
      <c r="I65" s="435">
        <v>0</v>
      </c>
      <c r="J65" s="435">
        <v>0</v>
      </c>
      <c r="K65" s="435">
        <v>0</v>
      </c>
      <c r="L65" s="435">
        <v>0</v>
      </c>
      <c r="M65" s="435">
        <v>0</v>
      </c>
      <c r="N65" s="435">
        <v>0</v>
      </c>
      <c r="O65" s="435">
        <v>0</v>
      </c>
      <c r="P65" s="435">
        <v>0</v>
      </c>
      <c r="Q65" s="435">
        <v>0</v>
      </c>
      <c r="R65" s="435">
        <v>0</v>
      </c>
      <c r="S65" s="435">
        <v>0</v>
      </c>
      <c r="T65" s="435">
        <v>0</v>
      </c>
      <c r="U65" s="435">
        <v>0</v>
      </c>
      <c r="V65" s="435">
        <v>0</v>
      </c>
      <c r="W65" s="435">
        <v>0</v>
      </c>
      <c r="X65" s="435">
        <v>0</v>
      </c>
      <c r="Y65" s="435">
        <v>0</v>
      </c>
      <c r="Z65" s="435">
        <v>0</v>
      </c>
      <c r="AA65" s="435">
        <v>0</v>
      </c>
      <c r="AB65" s="435">
        <v>0</v>
      </c>
      <c r="AC65" s="435">
        <v>0</v>
      </c>
      <c r="AD65" s="435">
        <v>0</v>
      </c>
      <c r="AE65" s="435">
        <v>0</v>
      </c>
      <c r="AF65" s="435">
        <v>0</v>
      </c>
      <c r="AG65" s="435">
        <v>0</v>
      </c>
      <c r="AH65" s="435">
        <v>0</v>
      </c>
      <c r="AI65" s="435">
        <v>0</v>
      </c>
      <c r="AJ65" s="435">
        <v>0</v>
      </c>
      <c r="AK65" s="435">
        <v>0</v>
      </c>
      <c r="AL65" s="435">
        <v>0</v>
      </c>
      <c r="AM65" s="435">
        <v>0</v>
      </c>
      <c r="AN65" s="435">
        <v>0</v>
      </c>
      <c r="AO65" s="435">
        <v>0</v>
      </c>
      <c r="AP65" s="435">
        <v>0</v>
      </c>
      <c r="AQ65" s="435">
        <v>0</v>
      </c>
      <c r="AR65" s="435">
        <v>0</v>
      </c>
      <c r="AS65" s="435">
        <v>0</v>
      </c>
      <c r="AT65" s="435">
        <v>0</v>
      </c>
      <c r="AU65" s="435">
        <v>0</v>
      </c>
      <c r="AV65" s="435">
        <v>0</v>
      </c>
      <c r="AW65" s="435">
        <v>0</v>
      </c>
      <c r="AX65" s="435">
        <v>0</v>
      </c>
      <c r="AY65" s="435">
        <v>0</v>
      </c>
    </row>
    <row r="66" spans="2:51">
      <c r="B66" s="259">
        <v>10186</v>
      </c>
      <c r="C66" s="259" t="s">
        <v>69</v>
      </c>
      <c r="D66" s="435">
        <v>2827.4861111111113</v>
      </c>
      <c r="E66" s="435">
        <v>0</v>
      </c>
      <c r="F66" s="435">
        <v>1119.8723958333351</v>
      </c>
      <c r="G66" s="435">
        <v>0</v>
      </c>
      <c r="H66" s="435">
        <v>3824.6899038461543</v>
      </c>
      <c r="I66" s="435">
        <v>0</v>
      </c>
      <c r="J66" s="435">
        <v>3071.2550000000015</v>
      </c>
      <c r="K66" s="435">
        <v>0</v>
      </c>
      <c r="L66" s="435">
        <v>5548.7674999999999</v>
      </c>
      <c r="M66" s="435">
        <v>0</v>
      </c>
      <c r="N66" s="435">
        <v>4937.9768518518522</v>
      </c>
      <c r="O66" s="435">
        <v>0</v>
      </c>
      <c r="P66" s="435">
        <v>3745.9615384615399</v>
      </c>
      <c r="Q66" s="435">
        <v>0</v>
      </c>
      <c r="R66" s="435">
        <v>2201.1374999999971</v>
      </c>
      <c r="S66" s="435">
        <v>0</v>
      </c>
      <c r="T66" s="435">
        <v>3142.2451923076906</v>
      </c>
      <c r="U66" s="435">
        <v>0</v>
      </c>
      <c r="V66" s="435">
        <v>1789.2449999999983</v>
      </c>
      <c r="W66" s="435">
        <v>0</v>
      </c>
      <c r="X66" s="435">
        <v>2498.1203703703713</v>
      </c>
      <c r="Y66" s="435">
        <v>0</v>
      </c>
      <c r="Z66" s="435">
        <v>2908.3025000000002</v>
      </c>
      <c r="AA66" s="435">
        <v>0</v>
      </c>
      <c r="AB66" s="435">
        <v>2056.3125000000018</v>
      </c>
      <c r="AC66" s="435">
        <v>0</v>
      </c>
      <c r="AD66" s="435">
        <v>2106.0375000000013</v>
      </c>
      <c r="AE66" s="435">
        <v>0</v>
      </c>
      <c r="AF66" s="435">
        <v>3824.6899038461543</v>
      </c>
      <c r="AG66" s="435">
        <v>0</v>
      </c>
      <c r="AH66" s="435">
        <v>3071.2550000000015</v>
      </c>
      <c r="AI66" s="435">
        <v>0</v>
      </c>
      <c r="AJ66" s="435">
        <v>4489.799479166667</v>
      </c>
      <c r="AK66" s="435">
        <v>0</v>
      </c>
      <c r="AL66" s="435">
        <v>4937.9768518518522</v>
      </c>
      <c r="AM66" s="435">
        <v>0</v>
      </c>
      <c r="AN66" s="435">
        <v>2897.3200000000011</v>
      </c>
      <c r="AO66" s="435">
        <v>0</v>
      </c>
      <c r="AP66" s="435">
        <v>2987.7860576923067</v>
      </c>
      <c r="AQ66" s="435">
        <v>0</v>
      </c>
      <c r="AR66" s="435">
        <v>3142.2451923076906</v>
      </c>
      <c r="AS66" s="435">
        <v>0</v>
      </c>
      <c r="AT66" s="435">
        <v>1789.2449999999983</v>
      </c>
      <c r="AU66" s="435">
        <v>0</v>
      </c>
      <c r="AV66" s="435">
        <v>2498.1203703703713</v>
      </c>
      <c r="AW66" s="435">
        <v>0</v>
      </c>
      <c r="AX66" s="435">
        <v>2908.3025000000002</v>
      </c>
      <c r="AY66" s="435">
        <v>0</v>
      </c>
    </row>
    <row r="67" spans="2:51">
      <c r="B67" s="259">
        <v>10190</v>
      </c>
      <c r="C67" s="259" t="s">
        <v>70</v>
      </c>
      <c r="D67" s="435">
        <v>56.58796296296309</v>
      </c>
      <c r="E67" s="435">
        <v>0</v>
      </c>
      <c r="F67" s="435">
        <v>1227.7838541666667</v>
      </c>
      <c r="G67" s="435">
        <v>0</v>
      </c>
      <c r="H67" s="435">
        <v>2892.2211538461543</v>
      </c>
      <c r="I67" s="435">
        <v>0</v>
      </c>
      <c r="J67" s="435">
        <v>1407.3175000000001</v>
      </c>
      <c r="K67" s="435">
        <v>0</v>
      </c>
      <c r="L67" s="435">
        <v>360.12750000000085</v>
      </c>
      <c r="M67" s="435">
        <v>0</v>
      </c>
      <c r="N67" s="435">
        <v>1063.4027777777781</v>
      </c>
      <c r="O67" s="435">
        <v>0</v>
      </c>
      <c r="P67" s="435">
        <v>835.03846153846212</v>
      </c>
      <c r="Q67" s="435">
        <v>0</v>
      </c>
      <c r="R67" s="435">
        <v>888.59500000000025</v>
      </c>
      <c r="S67" s="435">
        <v>0</v>
      </c>
      <c r="T67" s="435">
        <v>528.50240384615392</v>
      </c>
      <c r="U67" s="435">
        <v>0</v>
      </c>
      <c r="V67" s="435">
        <v>640.07499999999948</v>
      </c>
      <c r="W67" s="435">
        <v>0</v>
      </c>
      <c r="X67" s="435">
        <v>954.70138888888914</v>
      </c>
      <c r="Y67" s="435">
        <v>0</v>
      </c>
      <c r="Z67" s="435">
        <v>865.83999999999958</v>
      </c>
      <c r="AA67" s="435">
        <v>0</v>
      </c>
      <c r="AB67" s="435">
        <v>0</v>
      </c>
      <c r="AC67" s="435">
        <v>0</v>
      </c>
      <c r="AD67" s="435">
        <v>1530.4324999999999</v>
      </c>
      <c r="AE67" s="435">
        <v>0</v>
      </c>
      <c r="AF67" s="435">
        <v>2892.2211538461543</v>
      </c>
      <c r="AG67" s="435">
        <v>0</v>
      </c>
      <c r="AH67" s="435">
        <v>1407.3175000000001</v>
      </c>
      <c r="AI67" s="435">
        <v>0</v>
      </c>
      <c r="AJ67" s="435">
        <v>69.757812500000682</v>
      </c>
      <c r="AK67" s="435">
        <v>0</v>
      </c>
      <c r="AL67" s="435">
        <v>1063.4027777777781</v>
      </c>
      <c r="AM67" s="435">
        <v>0</v>
      </c>
      <c r="AN67" s="435">
        <v>651.00000000000023</v>
      </c>
      <c r="AO67" s="435">
        <v>0</v>
      </c>
      <c r="AP67" s="435">
        <v>1053.2259615384614</v>
      </c>
      <c r="AQ67" s="435">
        <v>0</v>
      </c>
      <c r="AR67" s="435">
        <v>528.50240384615392</v>
      </c>
      <c r="AS67" s="435">
        <v>0</v>
      </c>
      <c r="AT67" s="435">
        <v>640.07499999999948</v>
      </c>
      <c r="AU67" s="435">
        <v>0</v>
      </c>
      <c r="AV67" s="435">
        <v>954.70138888888914</v>
      </c>
      <c r="AW67" s="435">
        <v>0</v>
      </c>
      <c r="AX67" s="435">
        <v>865.83999999999958</v>
      </c>
      <c r="AY67" s="435">
        <v>0</v>
      </c>
    </row>
    <row r="68" spans="2:51">
      <c r="B68" s="259">
        <v>10191</v>
      </c>
      <c r="C68" s="259" t="s">
        <v>71</v>
      </c>
      <c r="D68" s="435">
        <v>0</v>
      </c>
      <c r="E68" s="435">
        <v>0</v>
      </c>
      <c r="F68" s="435">
        <v>0</v>
      </c>
      <c r="G68" s="435">
        <v>0</v>
      </c>
      <c r="H68" s="435">
        <v>0</v>
      </c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5">
        <v>0</v>
      </c>
      <c r="Y68" s="435">
        <v>0</v>
      </c>
      <c r="Z68" s="435">
        <v>0</v>
      </c>
      <c r="AA68" s="435">
        <v>0</v>
      </c>
      <c r="AB68" s="435">
        <v>0</v>
      </c>
      <c r="AC68" s="435">
        <v>0</v>
      </c>
      <c r="AD68" s="435">
        <v>0</v>
      </c>
      <c r="AE68" s="435">
        <v>0</v>
      </c>
      <c r="AF68" s="435">
        <v>0</v>
      </c>
      <c r="AG68" s="435">
        <v>0</v>
      </c>
      <c r="AH68" s="435">
        <v>0</v>
      </c>
      <c r="AI68" s="435">
        <v>0</v>
      </c>
      <c r="AJ68" s="435">
        <v>0</v>
      </c>
      <c r="AK68" s="435">
        <v>0</v>
      </c>
      <c r="AL68" s="435">
        <v>0</v>
      </c>
      <c r="AM68" s="435">
        <v>0</v>
      </c>
      <c r="AN68" s="435">
        <v>0</v>
      </c>
      <c r="AO68" s="435">
        <v>0</v>
      </c>
      <c r="AP68" s="435">
        <v>0</v>
      </c>
      <c r="AQ68" s="435">
        <v>0</v>
      </c>
      <c r="AR68" s="435">
        <v>0</v>
      </c>
      <c r="AS68" s="435">
        <v>0</v>
      </c>
      <c r="AT68" s="435">
        <v>0</v>
      </c>
      <c r="AU68" s="435">
        <v>0</v>
      </c>
      <c r="AV68" s="435">
        <v>0</v>
      </c>
      <c r="AW68" s="435">
        <v>0</v>
      </c>
      <c r="AX68" s="435">
        <v>0</v>
      </c>
      <c r="AY68" s="435">
        <v>0</v>
      </c>
    </row>
    <row r="69" spans="2:51">
      <c r="B69" s="259">
        <v>10197</v>
      </c>
      <c r="C69" s="259" t="s">
        <v>72</v>
      </c>
      <c r="D69" s="435">
        <v>5042.3310185185173</v>
      </c>
      <c r="E69" s="435">
        <v>0</v>
      </c>
      <c r="F69" s="435">
        <v>0</v>
      </c>
      <c r="G69" s="435">
        <v>0</v>
      </c>
      <c r="H69" s="435">
        <v>2178.6778846153829</v>
      </c>
      <c r="I69" s="435">
        <v>0</v>
      </c>
      <c r="J69" s="435">
        <v>1503.2399999999986</v>
      </c>
      <c r="K69" s="435">
        <v>0</v>
      </c>
      <c r="L69" s="435">
        <v>543.05499999999938</v>
      </c>
      <c r="M69" s="435">
        <v>0</v>
      </c>
      <c r="N69" s="435">
        <v>1551.2476851851859</v>
      </c>
      <c r="O69" s="435">
        <v>0</v>
      </c>
      <c r="P69" s="435">
        <v>10958.822115384619</v>
      </c>
      <c r="Q69" s="435">
        <v>0</v>
      </c>
      <c r="R69" s="435">
        <v>0</v>
      </c>
      <c r="S69" s="435">
        <v>0</v>
      </c>
      <c r="T69" s="435">
        <v>7932.0192307692332</v>
      </c>
      <c r="U69" s="435">
        <v>0</v>
      </c>
      <c r="V69" s="435">
        <v>6082.9475000000002</v>
      </c>
      <c r="W69" s="435">
        <v>0</v>
      </c>
      <c r="X69" s="435">
        <v>3262.7824074074142</v>
      </c>
      <c r="Y69" s="435">
        <v>0</v>
      </c>
      <c r="Z69" s="435">
        <v>2060.1174999999935</v>
      </c>
      <c r="AA69" s="435">
        <v>0</v>
      </c>
      <c r="AB69" s="435">
        <v>4534.920673076922</v>
      </c>
      <c r="AC69" s="435">
        <v>0</v>
      </c>
      <c r="AD69" s="435">
        <v>329.16999999999996</v>
      </c>
      <c r="AE69" s="435">
        <v>0</v>
      </c>
      <c r="AF69" s="435">
        <v>2178.6778846153829</v>
      </c>
      <c r="AG69" s="435">
        <v>0</v>
      </c>
      <c r="AH69" s="435">
        <v>1503.2399999999986</v>
      </c>
      <c r="AI69" s="435">
        <v>0</v>
      </c>
      <c r="AJ69" s="435">
        <v>182.3489583333342</v>
      </c>
      <c r="AK69" s="435">
        <v>0</v>
      </c>
      <c r="AL69" s="435">
        <v>1551.2476851851859</v>
      </c>
      <c r="AM69" s="435">
        <v>0</v>
      </c>
      <c r="AN69" s="435">
        <v>9941.5350000000035</v>
      </c>
      <c r="AO69" s="435">
        <v>0</v>
      </c>
      <c r="AP69" s="435">
        <v>405.50480769230649</v>
      </c>
      <c r="AQ69" s="435">
        <v>0</v>
      </c>
      <c r="AR69" s="435">
        <v>7932.0192307692332</v>
      </c>
      <c r="AS69" s="435">
        <v>0</v>
      </c>
      <c r="AT69" s="435">
        <v>6082.9475000000002</v>
      </c>
      <c r="AU69" s="435">
        <v>0</v>
      </c>
      <c r="AV69" s="435">
        <v>3262.7824074074142</v>
      </c>
      <c r="AW69" s="435">
        <v>0</v>
      </c>
      <c r="AX69" s="435">
        <v>2060.1174999999935</v>
      </c>
      <c r="AY69" s="435">
        <v>0</v>
      </c>
    </row>
    <row r="70" spans="2:51">
      <c r="B70" s="259">
        <v>10202</v>
      </c>
      <c r="C70" s="259" t="s">
        <v>73</v>
      </c>
      <c r="D70" s="435">
        <v>2896.8379629629635</v>
      </c>
      <c r="E70" s="435">
        <v>0</v>
      </c>
      <c r="F70" s="435">
        <v>1513.9479166666656</v>
      </c>
      <c r="G70" s="435">
        <v>0</v>
      </c>
      <c r="H70" s="435">
        <v>3887.63701923077</v>
      </c>
      <c r="I70" s="435">
        <v>0</v>
      </c>
      <c r="J70" s="435">
        <v>2170.8324999999995</v>
      </c>
      <c r="K70" s="435">
        <v>0</v>
      </c>
      <c r="L70" s="435">
        <v>2751.8249999999994</v>
      </c>
      <c r="M70" s="435">
        <v>0</v>
      </c>
      <c r="N70" s="435">
        <v>3274.3495370370351</v>
      </c>
      <c r="O70" s="435">
        <v>0</v>
      </c>
      <c r="P70" s="435">
        <v>0</v>
      </c>
      <c r="Q70" s="435">
        <v>0</v>
      </c>
      <c r="R70" s="435">
        <v>772.9625000000002</v>
      </c>
      <c r="S70" s="435">
        <v>0</v>
      </c>
      <c r="T70" s="435">
        <v>367.39182692307605</v>
      </c>
      <c r="U70" s="435">
        <v>0</v>
      </c>
      <c r="V70" s="435">
        <v>1072.0249999999987</v>
      </c>
      <c r="W70" s="435">
        <v>0</v>
      </c>
      <c r="X70" s="435">
        <v>1671.3981481481462</v>
      </c>
      <c r="Y70" s="435">
        <v>0</v>
      </c>
      <c r="Z70" s="435">
        <v>1950.3325000000002</v>
      </c>
      <c r="AA70" s="435">
        <v>0</v>
      </c>
      <c r="AB70" s="435">
        <v>2249.1009615384646</v>
      </c>
      <c r="AC70" s="435">
        <v>0</v>
      </c>
      <c r="AD70" s="435">
        <v>2292.6700000000005</v>
      </c>
      <c r="AE70" s="435">
        <v>0</v>
      </c>
      <c r="AF70" s="435">
        <v>3887.63701923077</v>
      </c>
      <c r="AG70" s="435">
        <v>0</v>
      </c>
      <c r="AH70" s="435">
        <v>2170.8324999999995</v>
      </c>
      <c r="AI70" s="435">
        <v>0</v>
      </c>
      <c r="AJ70" s="435">
        <v>2035.4010416666658</v>
      </c>
      <c r="AK70" s="435">
        <v>0</v>
      </c>
      <c r="AL70" s="435">
        <v>3274.3495370370351</v>
      </c>
      <c r="AM70" s="435">
        <v>0</v>
      </c>
      <c r="AN70" s="435">
        <v>0</v>
      </c>
      <c r="AO70" s="435">
        <v>0</v>
      </c>
      <c r="AP70" s="435">
        <v>1263.6947115384628</v>
      </c>
      <c r="AQ70" s="435">
        <v>0</v>
      </c>
      <c r="AR70" s="435">
        <v>367.39182692307605</v>
      </c>
      <c r="AS70" s="435">
        <v>0</v>
      </c>
      <c r="AT70" s="435">
        <v>1072.0249999999987</v>
      </c>
      <c r="AU70" s="435">
        <v>0</v>
      </c>
      <c r="AV70" s="435">
        <v>1671.3981481481462</v>
      </c>
      <c r="AW70" s="435">
        <v>0</v>
      </c>
      <c r="AX70" s="435">
        <v>1950.3325000000002</v>
      </c>
      <c r="AY70" s="435">
        <v>0</v>
      </c>
    </row>
    <row r="71" spans="2:51">
      <c r="B71" s="259">
        <v>10203</v>
      </c>
      <c r="C71" s="259" t="s">
        <v>74</v>
      </c>
      <c r="D71" s="435">
        <v>741.25462962962854</v>
      </c>
      <c r="E71" s="435">
        <v>0</v>
      </c>
      <c r="F71" s="435">
        <v>934.35416666666617</v>
      </c>
      <c r="G71" s="435">
        <v>0</v>
      </c>
      <c r="H71" s="435">
        <v>1464.9855769230765</v>
      </c>
      <c r="I71" s="435">
        <v>0</v>
      </c>
      <c r="J71" s="435">
        <v>1379.7349999999988</v>
      </c>
      <c r="K71" s="435">
        <v>0</v>
      </c>
      <c r="L71" s="435">
        <v>881.69499999999925</v>
      </c>
      <c r="M71" s="435">
        <v>0</v>
      </c>
      <c r="N71" s="435">
        <v>1392.6805555555547</v>
      </c>
      <c r="O71" s="435">
        <v>0</v>
      </c>
      <c r="P71" s="435">
        <v>996.0961538461537</v>
      </c>
      <c r="Q71" s="435">
        <v>0</v>
      </c>
      <c r="R71" s="435">
        <v>1260.2975000000006</v>
      </c>
      <c r="S71" s="435">
        <v>0</v>
      </c>
      <c r="T71" s="435">
        <v>1194.9831730769233</v>
      </c>
      <c r="U71" s="435">
        <v>0</v>
      </c>
      <c r="V71" s="435">
        <v>1169.3350000000005</v>
      </c>
      <c r="W71" s="435">
        <v>0</v>
      </c>
      <c r="X71" s="435">
        <v>1106.9490740740741</v>
      </c>
      <c r="Y71" s="435">
        <v>0</v>
      </c>
      <c r="Z71" s="435">
        <v>1176.5349999999999</v>
      </c>
      <c r="AA71" s="435">
        <v>0</v>
      </c>
      <c r="AB71" s="435">
        <v>510.22596153846098</v>
      </c>
      <c r="AC71" s="435">
        <v>0</v>
      </c>
      <c r="AD71" s="435">
        <v>1262.3399999999992</v>
      </c>
      <c r="AE71" s="435">
        <v>0</v>
      </c>
      <c r="AF71" s="435">
        <v>1464.9855769230765</v>
      </c>
      <c r="AG71" s="435">
        <v>0</v>
      </c>
      <c r="AH71" s="435">
        <v>1379.7349999999988</v>
      </c>
      <c r="AI71" s="435">
        <v>0</v>
      </c>
      <c r="AJ71" s="435">
        <v>546.97395833333258</v>
      </c>
      <c r="AK71" s="435">
        <v>0</v>
      </c>
      <c r="AL71" s="435">
        <v>1392.6805555555547</v>
      </c>
      <c r="AM71" s="435">
        <v>0</v>
      </c>
      <c r="AN71" s="435">
        <v>748.37999999999965</v>
      </c>
      <c r="AO71" s="435">
        <v>0</v>
      </c>
      <c r="AP71" s="435">
        <v>1476.5937500000007</v>
      </c>
      <c r="AQ71" s="435">
        <v>0</v>
      </c>
      <c r="AR71" s="435">
        <v>1194.9831730769233</v>
      </c>
      <c r="AS71" s="435">
        <v>0</v>
      </c>
      <c r="AT71" s="435">
        <v>1169.3350000000005</v>
      </c>
      <c r="AU71" s="435">
        <v>0</v>
      </c>
      <c r="AV71" s="435">
        <v>1106.9490740740741</v>
      </c>
      <c r="AW71" s="435">
        <v>0</v>
      </c>
      <c r="AX71" s="435">
        <v>1176.5349999999999</v>
      </c>
      <c r="AY71" s="435">
        <v>0</v>
      </c>
    </row>
    <row r="72" spans="2:51">
      <c r="B72" s="259">
        <v>10204</v>
      </c>
      <c r="C72" s="259" t="s">
        <v>75</v>
      </c>
      <c r="D72" s="435">
        <v>0</v>
      </c>
      <c r="E72" s="435">
        <v>0</v>
      </c>
      <c r="F72" s="435">
        <v>0</v>
      </c>
      <c r="G72" s="435">
        <v>0</v>
      </c>
      <c r="H72" s="435">
        <v>0</v>
      </c>
      <c r="I72" s="435">
        <v>0</v>
      </c>
      <c r="J72" s="435">
        <v>0</v>
      </c>
      <c r="K72" s="435">
        <v>0</v>
      </c>
      <c r="L72" s="435">
        <v>0</v>
      </c>
      <c r="M72" s="435">
        <v>0</v>
      </c>
      <c r="N72" s="435">
        <v>0</v>
      </c>
      <c r="O72" s="435">
        <v>0</v>
      </c>
      <c r="P72" s="435">
        <v>0</v>
      </c>
      <c r="Q72" s="435">
        <v>0</v>
      </c>
      <c r="R72" s="435">
        <v>0</v>
      </c>
      <c r="S72" s="435">
        <v>0</v>
      </c>
      <c r="T72" s="435">
        <v>0</v>
      </c>
      <c r="U72" s="435">
        <v>0</v>
      </c>
      <c r="V72" s="435">
        <v>0</v>
      </c>
      <c r="W72" s="435">
        <v>0</v>
      </c>
      <c r="X72" s="435">
        <v>0</v>
      </c>
      <c r="Y72" s="435">
        <v>0</v>
      </c>
      <c r="Z72" s="435">
        <v>0</v>
      </c>
      <c r="AA72" s="435">
        <v>0</v>
      </c>
      <c r="AB72" s="435">
        <v>0</v>
      </c>
      <c r="AC72" s="435">
        <v>0</v>
      </c>
      <c r="AD72" s="435">
        <v>0</v>
      </c>
      <c r="AE72" s="435">
        <v>0</v>
      </c>
      <c r="AF72" s="435">
        <v>0</v>
      </c>
      <c r="AG72" s="435">
        <v>0</v>
      </c>
      <c r="AH72" s="435">
        <v>0</v>
      </c>
      <c r="AI72" s="435">
        <v>0</v>
      </c>
      <c r="AJ72" s="435">
        <v>0</v>
      </c>
      <c r="AK72" s="435">
        <v>0</v>
      </c>
      <c r="AL72" s="435">
        <v>0</v>
      </c>
      <c r="AM72" s="435">
        <v>0</v>
      </c>
      <c r="AN72" s="435">
        <v>0</v>
      </c>
      <c r="AO72" s="435">
        <v>0</v>
      </c>
      <c r="AP72" s="435">
        <v>0</v>
      </c>
      <c r="AQ72" s="435">
        <v>0</v>
      </c>
      <c r="AR72" s="435">
        <v>0</v>
      </c>
      <c r="AS72" s="435">
        <v>0</v>
      </c>
      <c r="AT72" s="435">
        <v>0</v>
      </c>
      <c r="AU72" s="435">
        <v>0</v>
      </c>
      <c r="AV72" s="435">
        <v>0</v>
      </c>
      <c r="AW72" s="435">
        <v>0</v>
      </c>
      <c r="AX72" s="435">
        <v>0</v>
      </c>
      <c r="AY72" s="435">
        <v>0</v>
      </c>
    </row>
    <row r="73" spans="2:51">
      <c r="B73" s="259">
        <v>10209</v>
      </c>
      <c r="C73" s="259" t="s">
        <v>76</v>
      </c>
      <c r="D73" s="435">
        <v>19097.284722222204</v>
      </c>
      <c r="E73" s="435">
        <v>0</v>
      </c>
      <c r="F73" s="435">
        <v>16193.270833333336</v>
      </c>
      <c r="G73" s="435">
        <v>0</v>
      </c>
      <c r="H73" s="435">
        <v>26575.492788461561</v>
      </c>
      <c r="I73" s="435">
        <v>0</v>
      </c>
      <c r="J73" s="435">
        <v>17449.47750000003</v>
      </c>
      <c r="K73" s="435">
        <v>0</v>
      </c>
      <c r="L73" s="435">
        <v>14229.112500000014</v>
      </c>
      <c r="M73" s="435">
        <v>0</v>
      </c>
      <c r="N73" s="435">
        <v>23370.113425925916</v>
      </c>
      <c r="O73" s="435">
        <v>0</v>
      </c>
      <c r="P73" s="435">
        <v>28326.064903846131</v>
      </c>
      <c r="Q73" s="435">
        <v>0</v>
      </c>
      <c r="R73" s="435">
        <v>25665.430000000011</v>
      </c>
      <c r="S73" s="435">
        <v>0</v>
      </c>
      <c r="T73" s="435">
        <v>19417.286057692312</v>
      </c>
      <c r="U73" s="435">
        <v>0</v>
      </c>
      <c r="V73" s="435">
        <v>20681.442500000005</v>
      </c>
      <c r="W73" s="435">
        <v>0</v>
      </c>
      <c r="X73" s="435">
        <v>20688.287037037026</v>
      </c>
      <c r="Y73" s="435">
        <v>0</v>
      </c>
      <c r="Z73" s="435">
        <v>29272.9</v>
      </c>
      <c r="AA73" s="435">
        <v>0</v>
      </c>
      <c r="AB73" s="435">
        <v>15391.834134615372</v>
      </c>
      <c r="AC73" s="435">
        <v>0</v>
      </c>
      <c r="AD73" s="435">
        <v>21050.3</v>
      </c>
      <c r="AE73" s="435">
        <v>0</v>
      </c>
      <c r="AF73" s="435">
        <v>26575.492788461561</v>
      </c>
      <c r="AG73" s="435">
        <v>0</v>
      </c>
      <c r="AH73" s="435">
        <v>17449.47750000003</v>
      </c>
      <c r="AI73" s="435">
        <v>0</v>
      </c>
      <c r="AJ73" s="435">
        <v>9100.2005208333394</v>
      </c>
      <c r="AK73" s="435">
        <v>0</v>
      </c>
      <c r="AL73" s="435">
        <v>23370.113425925916</v>
      </c>
      <c r="AM73" s="435">
        <v>0</v>
      </c>
      <c r="AN73" s="435">
        <v>24445.42749999998</v>
      </c>
      <c r="AO73" s="435">
        <v>0</v>
      </c>
      <c r="AP73" s="435">
        <v>29530.413461538468</v>
      </c>
      <c r="AQ73" s="435">
        <v>0</v>
      </c>
      <c r="AR73" s="435">
        <v>19417.286057692312</v>
      </c>
      <c r="AS73" s="435">
        <v>0</v>
      </c>
      <c r="AT73" s="435">
        <v>20681.442500000005</v>
      </c>
      <c r="AU73" s="435">
        <v>0</v>
      </c>
      <c r="AV73" s="435">
        <v>20688.287037037026</v>
      </c>
      <c r="AW73" s="435">
        <v>0</v>
      </c>
      <c r="AX73" s="435">
        <v>29272.9</v>
      </c>
      <c r="AY73" s="435">
        <v>0</v>
      </c>
    </row>
    <row r="74" spans="2:51">
      <c r="B74" s="259">
        <v>10230</v>
      </c>
      <c r="C74" s="259" t="s">
        <v>77</v>
      </c>
      <c r="D74" s="435">
        <v>1667.775462962961</v>
      </c>
      <c r="E74" s="435">
        <v>0</v>
      </c>
      <c r="F74" s="435">
        <v>3291.432291666667</v>
      </c>
      <c r="G74" s="435">
        <v>0</v>
      </c>
      <c r="H74" s="435">
        <v>4529.6322115384592</v>
      </c>
      <c r="I74" s="435">
        <v>0</v>
      </c>
      <c r="J74" s="435">
        <v>3354.9724999999999</v>
      </c>
      <c r="K74" s="435">
        <v>0</v>
      </c>
      <c r="L74" s="435">
        <v>4243.4225000000024</v>
      </c>
      <c r="M74" s="435">
        <v>0</v>
      </c>
      <c r="N74" s="435">
        <v>2663.8472222222235</v>
      </c>
      <c r="O74" s="435">
        <v>0</v>
      </c>
      <c r="P74" s="435">
        <v>917.96875</v>
      </c>
      <c r="Q74" s="435">
        <v>0</v>
      </c>
      <c r="R74" s="435">
        <v>1764.5749999999989</v>
      </c>
      <c r="S74" s="435">
        <v>0</v>
      </c>
      <c r="T74" s="435">
        <v>1833.9927884615377</v>
      </c>
      <c r="U74" s="435">
        <v>0</v>
      </c>
      <c r="V74" s="435">
        <v>1658.5675000000006</v>
      </c>
      <c r="W74" s="435">
        <v>0</v>
      </c>
      <c r="X74" s="435">
        <v>1787.6273148148152</v>
      </c>
      <c r="Y74" s="435">
        <v>0</v>
      </c>
      <c r="Z74" s="435">
        <v>1486.5650000000005</v>
      </c>
      <c r="AA74" s="435">
        <v>0</v>
      </c>
      <c r="AB74" s="435">
        <v>1264.6129807692291</v>
      </c>
      <c r="AC74" s="435">
        <v>0</v>
      </c>
      <c r="AD74" s="435">
        <v>3849.6150000000007</v>
      </c>
      <c r="AE74" s="435">
        <v>0</v>
      </c>
      <c r="AF74" s="435">
        <v>4529.6322115384592</v>
      </c>
      <c r="AG74" s="435">
        <v>0</v>
      </c>
      <c r="AH74" s="435">
        <v>3354.9724999999999</v>
      </c>
      <c r="AI74" s="435">
        <v>0</v>
      </c>
      <c r="AJ74" s="435">
        <v>3675.5651041666679</v>
      </c>
      <c r="AK74" s="435">
        <v>0</v>
      </c>
      <c r="AL74" s="435">
        <v>2663.8472222222235</v>
      </c>
      <c r="AM74" s="435">
        <v>0</v>
      </c>
      <c r="AN74" s="435">
        <v>496.24750000000085</v>
      </c>
      <c r="AO74" s="435">
        <v>0</v>
      </c>
      <c r="AP74" s="435">
        <v>2196.014423076921</v>
      </c>
      <c r="AQ74" s="435">
        <v>0</v>
      </c>
      <c r="AR74" s="435">
        <v>1833.9927884615377</v>
      </c>
      <c r="AS74" s="435">
        <v>0</v>
      </c>
      <c r="AT74" s="435">
        <v>1658.5675000000006</v>
      </c>
      <c r="AU74" s="435">
        <v>0</v>
      </c>
      <c r="AV74" s="435">
        <v>1787.6273148148152</v>
      </c>
      <c r="AW74" s="435">
        <v>0</v>
      </c>
      <c r="AX74" s="435">
        <v>1486.5650000000005</v>
      </c>
      <c r="AY74" s="435">
        <v>0</v>
      </c>
    </row>
    <row r="75" spans="2:51">
      <c r="B75" s="259">
        <v>10231</v>
      </c>
      <c r="C75" s="259" t="s">
        <v>78</v>
      </c>
      <c r="D75" s="435">
        <v>4610.2708333333312</v>
      </c>
      <c r="E75" s="435">
        <v>0</v>
      </c>
      <c r="F75" s="435">
        <v>842.80729166665401</v>
      </c>
      <c r="G75" s="435">
        <v>0</v>
      </c>
      <c r="H75" s="435">
        <v>13426.747596153855</v>
      </c>
      <c r="I75" s="435">
        <v>0</v>
      </c>
      <c r="J75" s="435">
        <v>4417.2450000000063</v>
      </c>
      <c r="K75" s="435">
        <v>0</v>
      </c>
      <c r="L75" s="435">
        <v>2122.3700000000035</v>
      </c>
      <c r="M75" s="435">
        <v>0</v>
      </c>
      <c r="N75" s="435">
        <v>6515.2546296296241</v>
      </c>
      <c r="O75" s="435">
        <v>0</v>
      </c>
      <c r="P75" s="435">
        <v>3841.0745192307731</v>
      </c>
      <c r="Q75" s="435">
        <v>0</v>
      </c>
      <c r="R75" s="435">
        <v>8536.3675000000003</v>
      </c>
      <c r="S75" s="435">
        <v>0</v>
      </c>
      <c r="T75" s="435">
        <v>5647.5000000000018</v>
      </c>
      <c r="U75" s="435">
        <v>0</v>
      </c>
      <c r="V75" s="435">
        <v>2853.8349999999932</v>
      </c>
      <c r="W75" s="435">
        <v>0</v>
      </c>
      <c r="X75" s="435">
        <v>7987.8124999999964</v>
      </c>
      <c r="Y75" s="435">
        <v>0</v>
      </c>
      <c r="Z75" s="435">
        <v>9088.4474999999929</v>
      </c>
      <c r="AA75" s="435">
        <v>0</v>
      </c>
      <c r="AB75" s="435">
        <v>2791.7812499999927</v>
      </c>
      <c r="AC75" s="435">
        <v>0</v>
      </c>
      <c r="AD75" s="435">
        <v>3066.4549999999995</v>
      </c>
      <c r="AE75" s="435">
        <v>0</v>
      </c>
      <c r="AF75" s="435">
        <v>13426.747596153855</v>
      </c>
      <c r="AG75" s="435">
        <v>0</v>
      </c>
      <c r="AH75" s="435">
        <v>4417.2450000000063</v>
      </c>
      <c r="AI75" s="435">
        <v>0</v>
      </c>
      <c r="AJ75" s="435">
        <v>0</v>
      </c>
      <c r="AK75" s="435">
        <v>0</v>
      </c>
      <c r="AL75" s="435">
        <v>6515.2546296296241</v>
      </c>
      <c r="AM75" s="435">
        <v>0</v>
      </c>
      <c r="AN75" s="435">
        <v>2090.8775000000051</v>
      </c>
      <c r="AO75" s="435">
        <v>0</v>
      </c>
      <c r="AP75" s="435">
        <v>10330.737980769232</v>
      </c>
      <c r="AQ75" s="435">
        <v>0</v>
      </c>
      <c r="AR75" s="435">
        <v>5647.5000000000018</v>
      </c>
      <c r="AS75" s="435">
        <v>0</v>
      </c>
      <c r="AT75" s="435">
        <v>2853.8349999999932</v>
      </c>
      <c r="AU75" s="435">
        <v>0</v>
      </c>
      <c r="AV75" s="435">
        <v>7987.8124999999964</v>
      </c>
      <c r="AW75" s="435">
        <v>0</v>
      </c>
      <c r="AX75" s="435">
        <v>9088.4474999999929</v>
      </c>
      <c r="AY75" s="435">
        <v>0</v>
      </c>
    </row>
    <row r="76" spans="2:51">
      <c r="B76" s="259">
        <v>10234</v>
      </c>
      <c r="C76" s="259" t="s">
        <v>79</v>
      </c>
      <c r="D76" s="435">
        <v>5105.1828703703668</v>
      </c>
      <c r="E76" s="435">
        <v>0</v>
      </c>
      <c r="F76" s="435">
        <v>4552.9557291666761</v>
      </c>
      <c r="G76" s="435">
        <v>0</v>
      </c>
      <c r="H76" s="435">
        <v>14007.336538461544</v>
      </c>
      <c r="I76" s="435">
        <v>0</v>
      </c>
      <c r="J76" s="435">
        <v>7388.6249999999973</v>
      </c>
      <c r="K76" s="435">
        <v>0</v>
      </c>
      <c r="L76" s="435">
        <v>1368.4499999999994</v>
      </c>
      <c r="M76" s="435">
        <v>0</v>
      </c>
      <c r="N76" s="435">
        <v>4417.3750000000036</v>
      </c>
      <c r="O76" s="435">
        <v>0</v>
      </c>
      <c r="P76" s="435">
        <v>5362.4158653846071</v>
      </c>
      <c r="Q76" s="435">
        <v>0</v>
      </c>
      <c r="R76" s="435">
        <v>8239.8374999999996</v>
      </c>
      <c r="S76" s="435">
        <v>0</v>
      </c>
      <c r="T76" s="435">
        <v>5896.4687499999982</v>
      </c>
      <c r="U76" s="435">
        <v>0</v>
      </c>
      <c r="V76" s="435">
        <v>7520.4924999999957</v>
      </c>
      <c r="W76" s="435">
        <v>0</v>
      </c>
      <c r="X76" s="435">
        <v>7559.9444444444434</v>
      </c>
      <c r="Y76" s="435">
        <v>0</v>
      </c>
      <c r="Z76" s="435">
        <v>8130.7325000000037</v>
      </c>
      <c r="AA76" s="435">
        <v>0</v>
      </c>
      <c r="AB76" s="435">
        <v>3223.6129807692287</v>
      </c>
      <c r="AC76" s="435">
        <v>0</v>
      </c>
      <c r="AD76" s="435">
        <v>7259.1575000000075</v>
      </c>
      <c r="AE76" s="435">
        <v>0</v>
      </c>
      <c r="AF76" s="435">
        <v>14007.336538461544</v>
      </c>
      <c r="AG76" s="435">
        <v>0</v>
      </c>
      <c r="AH76" s="435">
        <v>7388.6249999999973</v>
      </c>
      <c r="AI76" s="435">
        <v>0</v>
      </c>
      <c r="AJ76" s="435">
        <v>0</v>
      </c>
      <c r="AK76" s="435">
        <v>0</v>
      </c>
      <c r="AL76" s="435">
        <v>4417.3750000000036</v>
      </c>
      <c r="AM76" s="435">
        <v>0</v>
      </c>
      <c r="AN76" s="435">
        <v>3319.2324999999928</v>
      </c>
      <c r="AO76" s="435">
        <v>0</v>
      </c>
      <c r="AP76" s="435">
        <v>10065.49759615384</v>
      </c>
      <c r="AQ76" s="435">
        <v>0</v>
      </c>
      <c r="AR76" s="435">
        <v>5896.4687499999982</v>
      </c>
      <c r="AS76" s="435">
        <v>0</v>
      </c>
      <c r="AT76" s="435">
        <v>7520.4924999999957</v>
      </c>
      <c r="AU76" s="435">
        <v>0</v>
      </c>
      <c r="AV76" s="435">
        <v>7559.9444444444434</v>
      </c>
      <c r="AW76" s="435">
        <v>0</v>
      </c>
      <c r="AX76" s="435">
        <v>8130.7325000000037</v>
      </c>
      <c r="AY76" s="435">
        <v>0</v>
      </c>
    </row>
    <row r="77" spans="2:51">
      <c r="B77" s="259">
        <v>10235</v>
      </c>
      <c r="C77" s="259" t="s">
        <v>80</v>
      </c>
      <c r="D77" s="435">
        <v>5031.5370370370365</v>
      </c>
      <c r="E77" s="435">
        <v>0</v>
      </c>
      <c r="F77" s="435">
        <v>779.16666666666322</v>
      </c>
      <c r="G77" s="435">
        <v>0</v>
      </c>
      <c r="H77" s="435">
        <v>9355.0072115384646</v>
      </c>
      <c r="I77" s="435">
        <v>0</v>
      </c>
      <c r="J77" s="435">
        <v>5304.2124999999978</v>
      </c>
      <c r="K77" s="435">
        <v>0</v>
      </c>
      <c r="L77" s="435">
        <v>5446.875</v>
      </c>
      <c r="M77" s="435">
        <v>0</v>
      </c>
      <c r="N77" s="435">
        <v>5964.1296296296277</v>
      </c>
      <c r="O77" s="435">
        <v>0</v>
      </c>
      <c r="P77" s="435">
        <v>5658.596153846157</v>
      </c>
      <c r="Q77" s="435">
        <v>0</v>
      </c>
      <c r="R77" s="435">
        <v>0</v>
      </c>
      <c r="S77" s="435">
        <v>0</v>
      </c>
      <c r="T77" s="435">
        <v>3037.4975961538471</v>
      </c>
      <c r="U77" s="435">
        <v>0</v>
      </c>
      <c r="V77" s="435">
        <v>3375.985000000001</v>
      </c>
      <c r="W77" s="435">
        <v>0</v>
      </c>
      <c r="X77" s="435">
        <v>4144.8310185185128</v>
      </c>
      <c r="Y77" s="435">
        <v>0</v>
      </c>
      <c r="Z77" s="435">
        <v>4345.8575000000037</v>
      </c>
      <c r="AA77" s="435">
        <v>0</v>
      </c>
      <c r="AB77" s="435">
        <v>3841.7884615384601</v>
      </c>
      <c r="AC77" s="435">
        <v>0</v>
      </c>
      <c r="AD77" s="435">
        <v>2432.3599999999974</v>
      </c>
      <c r="AE77" s="435">
        <v>0</v>
      </c>
      <c r="AF77" s="435">
        <v>9355.0072115384646</v>
      </c>
      <c r="AG77" s="435">
        <v>0</v>
      </c>
      <c r="AH77" s="435">
        <v>5304.2124999999978</v>
      </c>
      <c r="AI77" s="435">
        <v>0</v>
      </c>
      <c r="AJ77" s="435">
        <v>3807.2031250000027</v>
      </c>
      <c r="AK77" s="435">
        <v>0</v>
      </c>
      <c r="AL77" s="435">
        <v>5964.1296296296277</v>
      </c>
      <c r="AM77" s="435">
        <v>0</v>
      </c>
      <c r="AN77" s="435">
        <v>4373.4600000000037</v>
      </c>
      <c r="AO77" s="435">
        <v>0</v>
      </c>
      <c r="AP77" s="435">
        <v>1155.4086538461563</v>
      </c>
      <c r="AQ77" s="435">
        <v>0</v>
      </c>
      <c r="AR77" s="435">
        <v>3037.4975961538471</v>
      </c>
      <c r="AS77" s="435">
        <v>0</v>
      </c>
      <c r="AT77" s="435">
        <v>3375.985000000001</v>
      </c>
      <c r="AU77" s="435">
        <v>0</v>
      </c>
      <c r="AV77" s="435">
        <v>4144.8310185185128</v>
      </c>
      <c r="AW77" s="435">
        <v>0</v>
      </c>
      <c r="AX77" s="435">
        <v>4345.8575000000037</v>
      </c>
      <c r="AY77" s="435">
        <v>0</v>
      </c>
    </row>
    <row r="78" spans="2:51">
      <c r="B78" s="259">
        <v>10236</v>
      </c>
      <c r="C78" s="259" t="s">
        <v>81</v>
      </c>
      <c r="D78" s="435">
        <v>0</v>
      </c>
      <c r="E78" s="435">
        <v>0</v>
      </c>
      <c r="F78" s="435">
        <v>0</v>
      </c>
      <c r="G78" s="435">
        <v>0</v>
      </c>
      <c r="H78" s="435">
        <v>0</v>
      </c>
      <c r="I78" s="435">
        <v>0</v>
      </c>
      <c r="J78" s="435">
        <v>0</v>
      </c>
      <c r="K78" s="435">
        <v>0</v>
      </c>
      <c r="L78" s="435">
        <v>0</v>
      </c>
      <c r="M78" s="435">
        <v>0</v>
      </c>
      <c r="N78" s="435">
        <v>0</v>
      </c>
      <c r="O78" s="435">
        <v>0</v>
      </c>
      <c r="P78" s="435">
        <v>0</v>
      </c>
      <c r="Q78" s="435">
        <v>0</v>
      </c>
      <c r="R78" s="435">
        <v>0</v>
      </c>
      <c r="S78" s="435">
        <v>0</v>
      </c>
      <c r="T78" s="435">
        <v>0</v>
      </c>
      <c r="U78" s="435">
        <v>0</v>
      </c>
      <c r="V78" s="435">
        <v>0</v>
      </c>
      <c r="W78" s="435">
        <v>0</v>
      </c>
      <c r="X78" s="435">
        <v>0</v>
      </c>
      <c r="Y78" s="435">
        <v>0</v>
      </c>
      <c r="Z78" s="435">
        <v>0</v>
      </c>
      <c r="AA78" s="435">
        <v>0</v>
      </c>
      <c r="AB78" s="435">
        <v>0</v>
      </c>
      <c r="AC78" s="435">
        <v>0</v>
      </c>
      <c r="AD78" s="435">
        <v>0</v>
      </c>
      <c r="AE78" s="435">
        <v>0</v>
      </c>
      <c r="AF78" s="435">
        <v>0</v>
      </c>
      <c r="AG78" s="435">
        <v>0</v>
      </c>
      <c r="AH78" s="435">
        <v>0</v>
      </c>
      <c r="AI78" s="435">
        <v>0</v>
      </c>
      <c r="AJ78" s="435">
        <v>0</v>
      </c>
      <c r="AK78" s="435">
        <v>0</v>
      </c>
      <c r="AL78" s="435">
        <v>0</v>
      </c>
      <c r="AM78" s="435">
        <v>0</v>
      </c>
      <c r="AN78" s="435">
        <v>0</v>
      </c>
      <c r="AO78" s="435">
        <v>0</v>
      </c>
      <c r="AP78" s="435">
        <v>0</v>
      </c>
      <c r="AQ78" s="435">
        <v>0</v>
      </c>
      <c r="AR78" s="435">
        <v>0</v>
      </c>
      <c r="AS78" s="435">
        <v>0</v>
      </c>
      <c r="AT78" s="435">
        <v>0</v>
      </c>
      <c r="AU78" s="435">
        <v>0</v>
      </c>
      <c r="AV78" s="435">
        <v>0</v>
      </c>
      <c r="AW78" s="435">
        <v>0</v>
      </c>
      <c r="AX78" s="435">
        <v>0</v>
      </c>
      <c r="AY78" s="435">
        <v>0</v>
      </c>
    </row>
    <row r="79" spans="2:51">
      <c r="B79" s="259">
        <v>10237</v>
      </c>
      <c r="C79" s="259" t="s">
        <v>82</v>
      </c>
      <c r="D79" s="435">
        <v>0</v>
      </c>
      <c r="E79" s="435">
        <v>0</v>
      </c>
      <c r="F79" s="435">
        <v>0</v>
      </c>
      <c r="G79" s="435">
        <v>0</v>
      </c>
      <c r="H79" s="435">
        <v>0</v>
      </c>
      <c r="I79" s="435">
        <v>0</v>
      </c>
      <c r="J79" s="435">
        <v>0</v>
      </c>
      <c r="K79" s="435">
        <v>0</v>
      </c>
      <c r="L79" s="435">
        <v>0</v>
      </c>
      <c r="M79" s="435">
        <v>0</v>
      </c>
      <c r="N79" s="435">
        <v>0</v>
      </c>
      <c r="O79" s="435">
        <v>0</v>
      </c>
      <c r="P79" s="435">
        <v>0</v>
      </c>
      <c r="Q79" s="435">
        <v>0</v>
      </c>
      <c r="R79" s="435">
        <v>0</v>
      </c>
      <c r="S79" s="435">
        <v>0</v>
      </c>
      <c r="T79" s="435">
        <v>0</v>
      </c>
      <c r="U79" s="435">
        <v>0</v>
      </c>
      <c r="V79" s="435">
        <v>0</v>
      </c>
      <c r="W79" s="435">
        <v>0</v>
      </c>
      <c r="X79" s="435">
        <v>0</v>
      </c>
      <c r="Y79" s="435">
        <v>0</v>
      </c>
      <c r="Z79" s="435">
        <v>0</v>
      </c>
      <c r="AA79" s="435">
        <v>0</v>
      </c>
      <c r="AB79" s="435">
        <v>0</v>
      </c>
      <c r="AC79" s="435">
        <v>0</v>
      </c>
      <c r="AD79" s="435">
        <v>0</v>
      </c>
      <c r="AE79" s="435">
        <v>0</v>
      </c>
      <c r="AF79" s="435">
        <v>0</v>
      </c>
      <c r="AG79" s="435">
        <v>0</v>
      </c>
      <c r="AH79" s="435">
        <v>0</v>
      </c>
      <c r="AI79" s="435">
        <v>0</v>
      </c>
      <c r="AJ79" s="435">
        <v>0</v>
      </c>
      <c r="AK79" s="435">
        <v>0</v>
      </c>
      <c r="AL79" s="435">
        <v>0</v>
      </c>
      <c r="AM79" s="435">
        <v>0</v>
      </c>
      <c r="AN79" s="435">
        <v>0</v>
      </c>
      <c r="AO79" s="435">
        <v>0</v>
      </c>
      <c r="AP79" s="435">
        <v>0</v>
      </c>
      <c r="AQ79" s="435">
        <v>0</v>
      </c>
      <c r="AR79" s="435">
        <v>0</v>
      </c>
      <c r="AS79" s="435">
        <v>0</v>
      </c>
      <c r="AT79" s="435">
        <v>0</v>
      </c>
      <c r="AU79" s="435">
        <v>0</v>
      </c>
      <c r="AV79" s="435">
        <v>0</v>
      </c>
      <c r="AW79" s="435">
        <v>0</v>
      </c>
      <c r="AX79" s="435">
        <v>0</v>
      </c>
      <c r="AY79" s="435">
        <v>0</v>
      </c>
    </row>
    <row r="80" spans="2:51">
      <c r="B80" s="259">
        <v>10239</v>
      </c>
      <c r="C80" s="259" t="s">
        <v>83</v>
      </c>
      <c r="D80" s="435">
        <v>0</v>
      </c>
      <c r="E80" s="435">
        <v>0</v>
      </c>
      <c r="F80" s="435">
        <v>0</v>
      </c>
      <c r="G80" s="435">
        <v>0</v>
      </c>
      <c r="H80" s="435">
        <v>0</v>
      </c>
      <c r="I80" s="435">
        <v>0</v>
      </c>
      <c r="J80" s="435">
        <v>0</v>
      </c>
      <c r="K80" s="435">
        <v>0</v>
      </c>
      <c r="L80" s="435">
        <v>0</v>
      </c>
      <c r="M80" s="435">
        <v>0</v>
      </c>
      <c r="N80" s="435">
        <v>0</v>
      </c>
      <c r="O80" s="435">
        <v>0</v>
      </c>
      <c r="P80" s="435">
        <v>0</v>
      </c>
      <c r="Q80" s="435">
        <v>0</v>
      </c>
      <c r="R80" s="435">
        <v>0</v>
      </c>
      <c r="S80" s="435">
        <v>0</v>
      </c>
      <c r="T80" s="435">
        <v>0</v>
      </c>
      <c r="U80" s="435">
        <v>0</v>
      </c>
      <c r="V80" s="435">
        <v>0</v>
      </c>
      <c r="W80" s="435">
        <v>0</v>
      </c>
      <c r="X80" s="435">
        <v>0</v>
      </c>
      <c r="Y80" s="435">
        <v>0</v>
      </c>
      <c r="Z80" s="435">
        <v>0</v>
      </c>
      <c r="AA80" s="435">
        <v>0</v>
      </c>
      <c r="AB80" s="435">
        <v>0</v>
      </c>
      <c r="AC80" s="435">
        <v>0</v>
      </c>
      <c r="AD80" s="435">
        <v>0</v>
      </c>
      <c r="AE80" s="435">
        <v>0</v>
      </c>
      <c r="AF80" s="435">
        <v>0</v>
      </c>
      <c r="AG80" s="435">
        <v>0</v>
      </c>
      <c r="AH80" s="435">
        <v>0</v>
      </c>
      <c r="AI80" s="435">
        <v>0</v>
      </c>
      <c r="AJ80" s="435">
        <v>0</v>
      </c>
      <c r="AK80" s="435">
        <v>0</v>
      </c>
      <c r="AL80" s="435">
        <v>0</v>
      </c>
      <c r="AM80" s="435">
        <v>0</v>
      </c>
      <c r="AN80" s="435">
        <v>0</v>
      </c>
      <c r="AO80" s="435">
        <v>0</v>
      </c>
      <c r="AP80" s="435">
        <v>0</v>
      </c>
      <c r="AQ80" s="435">
        <v>0</v>
      </c>
      <c r="AR80" s="435">
        <v>0</v>
      </c>
      <c r="AS80" s="435">
        <v>0</v>
      </c>
      <c r="AT80" s="435">
        <v>0</v>
      </c>
      <c r="AU80" s="435">
        <v>0</v>
      </c>
      <c r="AV80" s="435">
        <v>0</v>
      </c>
      <c r="AW80" s="435">
        <v>0</v>
      </c>
      <c r="AX80" s="435">
        <v>0</v>
      </c>
      <c r="AY80" s="435">
        <v>0</v>
      </c>
    </row>
    <row r="81" spans="2:51">
      <c r="B81" s="259">
        <v>10242</v>
      </c>
      <c r="C81" s="259" t="s">
        <v>84</v>
      </c>
      <c r="D81" s="435">
        <v>2072</v>
      </c>
      <c r="E81" s="435">
        <v>0</v>
      </c>
      <c r="F81" s="435">
        <v>571.05729166666606</v>
      </c>
      <c r="G81" s="435">
        <v>0</v>
      </c>
      <c r="H81" s="435">
        <v>1204.1682692307688</v>
      </c>
      <c r="I81" s="435">
        <v>0</v>
      </c>
      <c r="J81" s="435">
        <v>1229.2624999999998</v>
      </c>
      <c r="K81" s="435">
        <v>0</v>
      </c>
      <c r="L81" s="435">
        <v>1178.0750000000007</v>
      </c>
      <c r="M81" s="435">
        <v>0</v>
      </c>
      <c r="N81" s="435">
        <v>1022.4745370370379</v>
      </c>
      <c r="O81" s="435">
        <v>0</v>
      </c>
      <c r="P81" s="435">
        <v>1723.9519230769226</v>
      </c>
      <c r="Q81" s="435">
        <v>0</v>
      </c>
      <c r="R81" s="435">
        <v>0</v>
      </c>
      <c r="S81" s="435">
        <v>0</v>
      </c>
      <c r="T81" s="435">
        <v>3414.2524038461524</v>
      </c>
      <c r="U81" s="435">
        <v>0</v>
      </c>
      <c r="V81" s="435">
        <v>2008.3825000000002</v>
      </c>
      <c r="W81" s="435">
        <v>0</v>
      </c>
      <c r="X81" s="435">
        <v>3752.8078703703727</v>
      </c>
      <c r="Y81" s="435">
        <v>0</v>
      </c>
      <c r="Z81" s="435">
        <v>1633.7150000000004</v>
      </c>
      <c r="AA81" s="435">
        <v>0</v>
      </c>
      <c r="AB81" s="435">
        <v>1877.8461538461545</v>
      </c>
      <c r="AC81" s="435">
        <v>0</v>
      </c>
      <c r="AD81" s="435">
        <v>791.81499999999926</v>
      </c>
      <c r="AE81" s="435">
        <v>0</v>
      </c>
      <c r="AF81" s="435">
        <v>1204.1682692307688</v>
      </c>
      <c r="AG81" s="435">
        <v>0</v>
      </c>
      <c r="AH81" s="435">
        <v>1229.2624999999998</v>
      </c>
      <c r="AI81" s="435">
        <v>0</v>
      </c>
      <c r="AJ81" s="435">
        <v>937.07812500000023</v>
      </c>
      <c r="AK81" s="435">
        <v>0</v>
      </c>
      <c r="AL81" s="435">
        <v>1022.4745370370379</v>
      </c>
      <c r="AM81" s="435">
        <v>0</v>
      </c>
      <c r="AN81" s="435">
        <v>1536.55</v>
      </c>
      <c r="AO81" s="435">
        <v>0</v>
      </c>
      <c r="AP81" s="435">
        <v>0</v>
      </c>
      <c r="AQ81" s="435">
        <v>0</v>
      </c>
      <c r="AR81" s="435">
        <v>3414.2524038461524</v>
      </c>
      <c r="AS81" s="435">
        <v>0</v>
      </c>
      <c r="AT81" s="435">
        <v>2008.3825000000002</v>
      </c>
      <c r="AU81" s="435">
        <v>0</v>
      </c>
      <c r="AV81" s="435">
        <v>3752.8078703703727</v>
      </c>
      <c r="AW81" s="435">
        <v>0</v>
      </c>
      <c r="AX81" s="435">
        <v>1633.7150000000004</v>
      </c>
      <c r="AY81" s="435">
        <v>0</v>
      </c>
    </row>
    <row r="82" spans="2:51">
      <c r="B82" s="259">
        <v>10244</v>
      </c>
      <c r="C82" s="259" t="s">
        <v>85</v>
      </c>
      <c r="D82" s="435">
        <v>14616.958333333319</v>
      </c>
      <c r="E82" s="435">
        <v>0</v>
      </c>
      <c r="F82" s="435">
        <v>3847.5885416666742</v>
      </c>
      <c r="G82" s="435">
        <v>0</v>
      </c>
      <c r="H82" s="435">
        <v>23126.45432692306</v>
      </c>
      <c r="I82" s="435">
        <v>0</v>
      </c>
      <c r="J82" s="435">
        <v>36599.592500000013</v>
      </c>
      <c r="K82" s="435">
        <v>0</v>
      </c>
      <c r="L82" s="435">
        <v>18278.552500000005</v>
      </c>
      <c r="M82" s="435">
        <v>0</v>
      </c>
      <c r="N82" s="435">
        <v>13163.435185185193</v>
      </c>
      <c r="O82" s="435">
        <v>0</v>
      </c>
      <c r="P82" s="435">
        <v>17642.593749999996</v>
      </c>
      <c r="Q82" s="435">
        <v>0</v>
      </c>
      <c r="R82" s="435">
        <v>16723.205000000002</v>
      </c>
      <c r="S82" s="435">
        <v>0</v>
      </c>
      <c r="T82" s="435">
        <v>6616.0769230769247</v>
      </c>
      <c r="U82" s="435">
        <v>0</v>
      </c>
      <c r="V82" s="435">
        <v>7841.3650000000061</v>
      </c>
      <c r="W82" s="435">
        <v>0</v>
      </c>
      <c r="X82" s="435">
        <v>8158.9120370370392</v>
      </c>
      <c r="Y82" s="435">
        <v>0</v>
      </c>
      <c r="Z82" s="435">
        <v>8540.8124999999982</v>
      </c>
      <c r="AA82" s="435">
        <v>0</v>
      </c>
      <c r="AB82" s="435">
        <v>11558.918269230762</v>
      </c>
      <c r="AC82" s="435">
        <v>0</v>
      </c>
      <c r="AD82" s="435">
        <v>8267.2850000000089</v>
      </c>
      <c r="AE82" s="435">
        <v>0</v>
      </c>
      <c r="AF82" s="435">
        <v>23126.45432692306</v>
      </c>
      <c r="AG82" s="435">
        <v>0</v>
      </c>
      <c r="AH82" s="435">
        <v>36599.592500000013</v>
      </c>
      <c r="AI82" s="435">
        <v>0</v>
      </c>
      <c r="AJ82" s="435">
        <v>12898.408854166675</v>
      </c>
      <c r="AK82" s="435">
        <v>0</v>
      </c>
      <c r="AL82" s="435">
        <v>13163.435185185193</v>
      </c>
      <c r="AM82" s="435">
        <v>0</v>
      </c>
      <c r="AN82" s="435">
        <v>14320.337500000001</v>
      </c>
      <c r="AO82" s="435">
        <v>0</v>
      </c>
      <c r="AP82" s="435">
        <v>19696.312499999996</v>
      </c>
      <c r="AQ82" s="435">
        <v>0</v>
      </c>
      <c r="AR82" s="435">
        <v>6616.0769230769247</v>
      </c>
      <c r="AS82" s="435">
        <v>0</v>
      </c>
      <c r="AT82" s="435">
        <v>7841.3650000000061</v>
      </c>
      <c r="AU82" s="435">
        <v>0</v>
      </c>
      <c r="AV82" s="435">
        <v>8158.9120370370392</v>
      </c>
      <c r="AW82" s="435">
        <v>0</v>
      </c>
      <c r="AX82" s="435">
        <v>8540.8124999999982</v>
      </c>
      <c r="AY82" s="435">
        <v>0</v>
      </c>
    </row>
    <row r="83" spans="2:51">
      <c r="B83" s="259">
        <v>10246</v>
      </c>
      <c r="C83" s="259" t="s">
        <v>86</v>
      </c>
      <c r="D83" s="435">
        <v>760.96296296296373</v>
      </c>
      <c r="E83" s="435">
        <v>0</v>
      </c>
      <c r="F83" s="435">
        <v>495.76041666666714</v>
      </c>
      <c r="G83" s="435">
        <v>0</v>
      </c>
      <c r="H83" s="435">
        <v>2746.4567307692305</v>
      </c>
      <c r="I83" s="435">
        <v>0</v>
      </c>
      <c r="J83" s="435">
        <v>2362.8424999999988</v>
      </c>
      <c r="K83" s="435">
        <v>0</v>
      </c>
      <c r="L83" s="435">
        <v>607.12500000000171</v>
      </c>
      <c r="M83" s="435">
        <v>0</v>
      </c>
      <c r="N83" s="435">
        <v>2962.2731481481469</v>
      </c>
      <c r="O83" s="435">
        <v>0</v>
      </c>
      <c r="P83" s="435">
        <v>0</v>
      </c>
      <c r="Q83" s="435">
        <v>0</v>
      </c>
      <c r="R83" s="435">
        <v>881.05999999999972</v>
      </c>
      <c r="S83" s="435">
        <v>0</v>
      </c>
      <c r="T83" s="435">
        <v>778.84615384615336</v>
      </c>
      <c r="U83" s="435">
        <v>0</v>
      </c>
      <c r="V83" s="435">
        <v>716.13000000000034</v>
      </c>
      <c r="W83" s="435">
        <v>0</v>
      </c>
      <c r="X83" s="435">
        <v>1032.1296296296302</v>
      </c>
      <c r="Y83" s="435">
        <v>0</v>
      </c>
      <c r="Z83" s="435">
        <v>524.84000000000151</v>
      </c>
      <c r="AA83" s="435">
        <v>0</v>
      </c>
      <c r="AB83" s="435">
        <v>437.42307692307668</v>
      </c>
      <c r="AC83" s="435">
        <v>0</v>
      </c>
      <c r="AD83" s="435">
        <v>998.33000000000015</v>
      </c>
      <c r="AE83" s="435">
        <v>0</v>
      </c>
      <c r="AF83" s="435">
        <v>2746.4567307692305</v>
      </c>
      <c r="AG83" s="435">
        <v>0</v>
      </c>
      <c r="AH83" s="435">
        <v>2362.8424999999988</v>
      </c>
      <c r="AI83" s="435">
        <v>0</v>
      </c>
      <c r="AJ83" s="435">
        <v>89.130208333335403</v>
      </c>
      <c r="AK83" s="435">
        <v>0</v>
      </c>
      <c r="AL83" s="435">
        <v>2962.2731481481469</v>
      </c>
      <c r="AM83" s="435">
        <v>0</v>
      </c>
      <c r="AN83" s="435">
        <v>0</v>
      </c>
      <c r="AO83" s="435">
        <v>0</v>
      </c>
      <c r="AP83" s="435">
        <v>1188.01923076923</v>
      </c>
      <c r="AQ83" s="435">
        <v>0</v>
      </c>
      <c r="AR83" s="435">
        <v>778.84615384615336</v>
      </c>
      <c r="AS83" s="435">
        <v>0</v>
      </c>
      <c r="AT83" s="435">
        <v>716.13000000000034</v>
      </c>
      <c r="AU83" s="435">
        <v>0</v>
      </c>
      <c r="AV83" s="435">
        <v>1032.1296296296302</v>
      </c>
      <c r="AW83" s="435">
        <v>0</v>
      </c>
      <c r="AX83" s="435">
        <v>524.84000000000151</v>
      </c>
      <c r="AY83" s="435">
        <v>0</v>
      </c>
    </row>
    <row r="84" spans="2:51">
      <c r="B84" s="259">
        <v>10247</v>
      </c>
      <c r="C84" s="259" t="s">
        <v>87</v>
      </c>
      <c r="D84" s="435">
        <v>8824.1342592592664</v>
      </c>
      <c r="E84" s="435">
        <v>0</v>
      </c>
      <c r="F84" s="435">
        <v>0</v>
      </c>
      <c r="G84" s="435">
        <v>0</v>
      </c>
      <c r="H84" s="435">
        <v>28503.048076923093</v>
      </c>
      <c r="I84" s="435">
        <v>0</v>
      </c>
      <c r="J84" s="435">
        <v>11780.344999999979</v>
      </c>
      <c r="K84" s="435">
        <v>0</v>
      </c>
      <c r="L84" s="435">
        <v>13947.477499999981</v>
      </c>
      <c r="M84" s="435">
        <v>0</v>
      </c>
      <c r="N84" s="435">
        <v>21358.363425925923</v>
      </c>
      <c r="O84" s="435">
        <v>0</v>
      </c>
      <c r="P84" s="435">
        <v>13659.346153846151</v>
      </c>
      <c r="Q84" s="435">
        <v>0</v>
      </c>
      <c r="R84" s="435">
        <v>9683.9025000000092</v>
      </c>
      <c r="S84" s="435">
        <v>0</v>
      </c>
      <c r="T84" s="435">
        <v>2637.6850961538462</v>
      </c>
      <c r="U84" s="435">
        <v>0</v>
      </c>
      <c r="V84" s="435">
        <v>5723.3149999999978</v>
      </c>
      <c r="W84" s="435">
        <v>0</v>
      </c>
      <c r="X84" s="435">
        <v>10098.370370370369</v>
      </c>
      <c r="Y84" s="435">
        <v>0</v>
      </c>
      <c r="Z84" s="435">
        <v>0</v>
      </c>
      <c r="AA84" s="435">
        <v>0</v>
      </c>
      <c r="AB84" s="435">
        <v>5765.4855769230835</v>
      </c>
      <c r="AC84" s="435">
        <v>0</v>
      </c>
      <c r="AD84" s="435">
        <v>0</v>
      </c>
      <c r="AE84" s="435">
        <v>0</v>
      </c>
      <c r="AF84" s="435">
        <v>28503.048076923093</v>
      </c>
      <c r="AG84" s="435">
        <v>0</v>
      </c>
      <c r="AH84" s="435">
        <v>11780.344999999979</v>
      </c>
      <c r="AI84" s="435">
        <v>0</v>
      </c>
      <c r="AJ84" s="435">
        <v>9447.91406249998</v>
      </c>
      <c r="AK84" s="435">
        <v>0</v>
      </c>
      <c r="AL84" s="435">
        <v>21358.363425925923</v>
      </c>
      <c r="AM84" s="435">
        <v>0</v>
      </c>
      <c r="AN84" s="435">
        <v>10244.199999999999</v>
      </c>
      <c r="AO84" s="435">
        <v>0</v>
      </c>
      <c r="AP84" s="435">
        <v>12541.752403846167</v>
      </c>
      <c r="AQ84" s="435">
        <v>0</v>
      </c>
      <c r="AR84" s="435">
        <v>2637.6850961538462</v>
      </c>
      <c r="AS84" s="435">
        <v>0</v>
      </c>
      <c r="AT84" s="435">
        <v>5723.3149999999978</v>
      </c>
      <c r="AU84" s="435">
        <v>0</v>
      </c>
      <c r="AV84" s="435">
        <v>10098.370370370369</v>
      </c>
      <c r="AW84" s="435">
        <v>0</v>
      </c>
      <c r="AX84" s="435">
        <v>0</v>
      </c>
      <c r="AY84" s="435">
        <v>0</v>
      </c>
    </row>
    <row r="85" spans="2:51">
      <c r="B85" s="259">
        <v>10256</v>
      </c>
      <c r="C85" s="259" t="s">
        <v>88</v>
      </c>
      <c r="D85" s="435">
        <v>0</v>
      </c>
      <c r="E85" s="435">
        <v>0</v>
      </c>
      <c r="F85" s="435">
        <v>0</v>
      </c>
      <c r="G85" s="435">
        <v>0</v>
      </c>
      <c r="H85" s="435">
        <v>0</v>
      </c>
      <c r="I85" s="435">
        <v>0</v>
      </c>
      <c r="J85" s="435">
        <v>24276.387499999997</v>
      </c>
      <c r="K85" s="435">
        <v>0</v>
      </c>
      <c r="L85" s="435">
        <v>13871.570000000002</v>
      </c>
      <c r="M85" s="435">
        <v>0</v>
      </c>
      <c r="N85" s="435">
        <v>20450.391203703708</v>
      </c>
      <c r="O85" s="435">
        <v>0</v>
      </c>
      <c r="P85" s="435">
        <v>13316.788461538465</v>
      </c>
      <c r="Q85" s="435">
        <v>0</v>
      </c>
      <c r="R85" s="435">
        <v>12624.890000000005</v>
      </c>
      <c r="S85" s="435">
        <v>0</v>
      </c>
      <c r="T85" s="435">
        <v>6212.194711538461</v>
      </c>
      <c r="U85" s="435">
        <v>0</v>
      </c>
      <c r="V85" s="435">
        <v>0</v>
      </c>
      <c r="W85" s="435">
        <v>0</v>
      </c>
      <c r="X85" s="435">
        <v>9801.3356481481424</v>
      </c>
      <c r="Y85" s="435">
        <v>0</v>
      </c>
      <c r="Z85" s="435">
        <v>5727.8975000000028</v>
      </c>
      <c r="AA85" s="435">
        <v>0</v>
      </c>
      <c r="AB85" s="435">
        <v>0</v>
      </c>
      <c r="AC85" s="435">
        <v>0</v>
      </c>
      <c r="AD85" s="435">
        <v>0</v>
      </c>
      <c r="AE85" s="435">
        <v>0</v>
      </c>
      <c r="AF85" s="435">
        <v>0</v>
      </c>
      <c r="AG85" s="435">
        <v>0</v>
      </c>
      <c r="AH85" s="435">
        <v>24276.387499999997</v>
      </c>
      <c r="AI85" s="435">
        <v>0</v>
      </c>
      <c r="AJ85" s="435">
        <v>11814.843749999998</v>
      </c>
      <c r="AK85" s="435">
        <v>0</v>
      </c>
      <c r="AL85" s="435">
        <v>20450.391203703708</v>
      </c>
      <c r="AM85" s="435">
        <v>0</v>
      </c>
      <c r="AN85" s="435">
        <v>11645.740000000003</v>
      </c>
      <c r="AO85" s="435">
        <v>0</v>
      </c>
      <c r="AP85" s="435">
        <v>14463.048076923076</v>
      </c>
      <c r="AQ85" s="435">
        <v>0</v>
      </c>
      <c r="AR85" s="435">
        <v>6212.194711538461</v>
      </c>
      <c r="AS85" s="435">
        <v>0</v>
      </c>
      <c r="AT85" s="435">
        <v>0</v>
      </c>
      <c r="AU85" s="435">
        <v>0</v>
      </c>
      <c r="AV85" s="435">
        <v>9801.3356481481424</v>
      </c>
      <c r="AW85" s="435">
        <v>0</v>
      </c>
      <c r="AX85" s="435">
        <v>5727.8975000000028</v>
      </c>
      <c r="AY85" s="435">
        <v>0</v>
      </c>
    </row>
    <row r="86" spans="2:51">
      <c r="B86" s="259">
        <v>10258</v>
      </c>
      <c r="C86" s="259" t="s">
        <v>89</v>
      </c>
      <c r="D86" s="435">
        <v>8162.3611111111195</v>
      </c>
      <c r="E86" s="435">
        <v>0</v>
      </c>
      <c r="F86" s="435">
        <v>5840.4791666666615</v>
      </c>
      <c r="G86" s="435">
        <v>0</v>
      </c>
      <c r="H86" s="435">
        <v>10299.045673076931</v>
      </c>
      <c r="I86" s="435">
        <v>0</v>
      </c>
      <c r="J86" s="435">
        <v>9820.0875000000033</v>
      </c>
      <c r="K86" s="435">
        <v>0</v>
      </c>
      <c r="L86" s="435">
        <v>6361.1024999999945</v>
      </c>
      <c r="M86" s="435">
        <v>0</v>
      </c>
      <c r="N86" s="435">
        <v>10817.465277777779</v>
      </c>
      <c r="O86" s="435">
        <v>0</v>
      </c>
      <c r="P86" s="435">
        <v>7815.2740384615317</v>
      </c>
      <c r="Q86" s="435">
        <v>0</v>
      </c>
      <c r="R86" s="435">
        <v>3145.4050000000002</v>
      </c>
      <c r="S86" s="435">
        <v>0</v>
      </c>
      <c r="T86" s="435">
        <v>9533.5600961538494</v>
      </c>
      <c r="U86" s="435">
        <v>0</v>
      </c>
      <c r="V86" s="435">
        <v>6708.7774999999929</v>
      </c>
      <c r="W86" s="435">
        <v>0</v>
      </c>
      <c r="X86" s="435">
        <v>5797.7083333333321</v>
      </c>
      <c r="Y86" s="435">
        <v>0</v>
      </c>
      <c r="Z86" s="435">
        <v>8550.534999999998</v>
      </c>
      <c r="AA86" s="435">
        <v>0</v>
      </c>
      <c r="AB86" s="435">
        <v>6533.2211538461579</v>
      </c>
      <c r="AC86" s="435">
        <v>0</v>
      </c>
      <c r="AD86" s="435">
        <v>8170.3399999999956</v>
      </c>
      <c r="AE86" s="435">
        <v>0</v>
      </c>
      <c r="AF86" s="435">
        <v>10299.045673076931</v>
      </c>
      <c r="AG86" s="435">
        <v>0</v>
      </c>
      <c r="AH86" s="435">
        <v>9820.0875000000033</v>
      </c>
      <c r="AI86" s="435">
        <v>0</v>
      </c>
      <c r="AJ86" s="435">
        <v>3908.8151041666633</v>
      </c>
      <c r="AK86" s="435">
        <v>0</v>
      </c>
      <c r="AL86" s="435">
        <v>10817.465277777779</v>
      </c>
      <c r="AM86" s="435">
        <v>0</v>
      </c>
      <c r="AN86" s="435">
        <v>6077.8049999999976</v>
      </c>
      <c r="AO86" s="435">
        <v>0</v>
      </c>
      <c r="AP86" s="435">
        <v>4803.4663461538439</v>
      </c>
      <c r="AQ86" s="435">
        <v>0</v>
      </c>
      <c r="AR86" s="435">
        <v>9533.5600961538494</v>
      </c>
      <c r="AS86" s="435">
        <v>0</v>
      </c>
      <c r="AT86" s="435">
        <v>6708.7774999999929</v>
      </c>
      <c r="AU86" s="435">
        <v>0</v>
      </c>
      <c r="AV86" s="435">
        <v>5797.7083333333321</v>
      </c>
      <c r="AW86" s="435">
        <v>0</v>
      </c>
      <c r="AX86" s="435">
        <v>8550.534999999998</v>
      </c>
      <c r="AY86" s="435">
        <v>0</v>
      </c>
    </row>
    <row r="87" spans="2:51">
      <c r="B87" s="259">
        <v>10259</v>
      </c>
      <c r="C87" s="259" t="s">
        <v>90</v>
      </c>
      <c r="D87" s="435">
        <v>4445.0115740740748</v>
      </c>
      <c r="E87" s="435">
        <v>0</v>
      </c>
      <c r="F87" s="435">
        <v>4845.1458333333303</v>
      </c>
      <c r="G87" s="435">
        <v>0</v>
      </c>
      <c r="H87" s="435">
        <v>6681.4615384615317</v>
      </c>
      <c r="I87" s="435">
        <v>0</v>
      </c>
      <c r="J87" s="435">
        <v>6271.0899999999983</v>
      </c>
      <c r="K87" s="435">
        <v>0</v>
      </c>
      <c r="L87" s="435">
        <v>4286.6974999999948</v>
      </c>
      <c r="M87" s="435">
        <v>0</v>
      </c>
      <c r="N87" s="435">
        <v>6462.3750000000018</v>
      </c>
      <c r="O87" s="435">
        <v>0</v>
      </c>
      <c r="P87" s="435">
        <v>5052.3581730769192</v>
      </c>
      <c r="Q87" s="435">
        <v>0</v>
      </c>
      <c r="R87" s="435">
        <v>4895.4850000000033</v>
      </c>
      <c r="S87" s="435">
        <v>0</v>
      </c>
      <c r="T87" s="435">
        <v>6557.3365384615399</v>
      </c>
      <c r="U87" s="435">
        <v>0</v>
      </c>
      <c r="V87" s="435">
        <v>5060.9299999999976</v>
      </c>
      <c r="W87" s="435">
        <v>0</v>
      </c>
      <c r="X87" s="435">
        <v>5773.541666666667</v>
      </c>
      <c r="Y87" s="435">
        <v>0</v>
      </c>
      <c r="Z87" s="435">
        <v>7616.867500000003</v>
      </c>
      <c r="AA87" s="435">
        <v>0</v>
      </c>
      <c r="AB87" s="435">
        <v>3491.165865384618</v>
      </c>
      <c r="AC87" s="435">
        <v>0</v>
      </c>
      <c r="AD87" s="435">
        <v>6121.9399999999951</v>
      </c>
      <c r="AE87" s="435">
        <v>0</v>
      </c>
      <c r="AF87" s="435">
        <v>6681.4615384615317</v>
      </c>
      <c r="AG87" s="435">
        <v>0</v>
      </c>
      <c r="AH87" s="435">
        <v>6271.0899999999983</v>
      </c>
      <c r="AI87" s="435">
        <v>0</v>
      </c>
      <c r="AJ87" s="435">
        <v>2981.8515624999932</v>
      </c>
      <c r="AK87" s="435">
        <v>0</v>
      </c>
      <c r="AL87" s="435">
        <v>6462.3750000000018</v>
      </c>
      <c r="AM87" s="435">
        <v>0</v>
      </c>
      <c r="AN87" s="435">
        <v>4055.0124999999975</v>
      </c>
      <c r="AO87" s="435">
        <v>0</v>
      </c>
      <c r="AP87" s="435">
        <v>5868.9663461538466</v>
      </c>
      <c r="AQ87" s="435">
        <v>0</v>
      </c>
      <c r="AR87" s="435">
        <v>6557.3365384615399</v>
      </c>
      <c r="AS87" s="435">
        <v>0</v>
      </c>
      <c r="AT87" s="435">
        <v>5060.9299999999976</v>
      </c>
      <c r="AU87" s="435">
        <v>0</v>
      </c>
      <c r="AV87" s="435">
        <v>5773.541666666667</v>
      </c>
      <c r="AW87" s="435">
        <v>0</v>
      </c>
      <c r="AX87" s="435">
        <v>7616.867500000003</v>
      </c>
      <c r="AY87" s="435">
        <v>0</v>
      </c>
    </row>
    <row r="88" spans="2:51">
      <c r="B88" s="259">
        <v>10260</v>
      </c>
      <c r="C88" s="259" t="s">
        <v>91</v>
      </c>
      <c r="D88" s="435">
        <v>4245.3148148148166</v>
      </c>
      <c r="E88" s="435">
        <v>0</v>
      </c>
      <c r="F88" s="435">
        <v>1548.1223958333335</v>
      </c>
      <c r="G88" s="435">
        <v>0</v>
      </c>
      <c r="H88" s="435">
        <v>6251.4927884615372</v>
      </c>
      <c r="I88" s="435">
        <v>0</v>
      </c>
      <c r="J88" s="435">
        <v>3547.1100000000019</v>
      </c>
      <c r="K88" s="435">
        <v>0</v>
      </c>
      <c r="L88" s="435">
        <v>3168.9249999999997</v>
      </c>
      <c r="M88" s="435">
        <v>0</v>
      </c>
      <c r="N88" s="435">
        <v>4253.3055555555602</v>
      </c>
      <c r="O88" s="435">
        <v>0</v>
      </c>
      <c r="P88" s="435">
        <v>3816.4206730769251</v>
      </c>
      <c r="Q88" s="435">
        <v>0</v>
      </c>
      <c r="R88" s="435">
        <v>1401.9549999999988</v>
      </c>
      <c r="S88" s="435">
        <v>0</v>
      </c>
      <c r="T88" s="435">
        <v>3911.1225961538498</v>
      </c>
      <c r="U88" s="435">
        <v>0</v>
      </c>
      <c r="V88" s="435">
        <v>3931.7149999999951</v>
      </c>
      <c r="W88" s="435">
        <v>0</v>
      </c>
      <c r="X88" s="435">
        <v>4804.3611111111049</v>
      </c>
      <c r="Y88" s="435">
        <v>0</v>
      </c>
      <c r="Z88" s="435">
        <v>4663.5200000000013</v>
      </c>
      <c r="AA88" s="435">
        <v>0</v>
      </c>
      <c r="AB88" s="435">
        <v>3116.4038461538494</v>
      </c>
      <c r="AC88" s="435">
        <v>0</v>
      </c>
      <c r="AD88" s="435">
        <v>2838.8775000000041</v>
      </c>
      <c r="AE88" s="435">
        <v>0</v>
      </c>
      <c r="AF88" s="435">
        <v>6251.4927884615372</v>
      </c>
      <c r="AG88" s="435">
        <v>0</v>
      </c>
      <c r="AH88" s="435">
        <v>3547.1100000000019</v>
      </c>
      <c r="AI88" s="435">
        <v>0</v>
      </c>
      <c r="AJ88" s="435">
        <v>1816.3802083333333</v>
      </c>
      <c r="AK88" s="435">
        <v>0</v>
      </c>
      <c r="AL88" s="435">
        <v>4253.3055555555602</v>
      </c>
      <c r="AM88" s="435">
        <v>0</v>
      </c>
      <c r="AN88" s="435">
        <v>2730.0375000000004</v>
      </c>
      <c r="AO88" s="435">
        <v>0</v>
      </c>
      <c r="AP88" s="435">
        <v>2436.6874999999991</v>
      </c>
      <c r="AQ88" s="435">
        <v>0</v>
      </c>
      <c r="AR88" s="435">
        <v>3911.1225961538498</v>
      </c>
      <c r="AS88" s="435">
        <v>0</v>
      </c>
      <c r="AT88" s="435">
        <v>3931.7149999999951</v>
      </c>
      <c r="AU88" s="435">
        <v>0</v>
      </c>
      <c r="AV88" s="435">
        <v>4804.3611111111049</v>
      </c>
      <c r="AW88" s="435">
        <v>0</v>
      </c>
      <c r="AX88" s="435">
        <v>4663.5200000000013</v>
      </c>
      <c r="AY88" s="435">
        <v>0</v>
      </c>
    </row>
    <row r="89" spans="2:51">
      <c r="B89" s="259">
        <v>10273</v>
      </c>
      <c r="C89" s="259" t="s">
        <v>92</v>
      </c>
      <c r="D89" s="435">
        <v>1054.3379629629635</v>
      </c>
      <c r="E89" s="435">
        <v>0</v>
      </c>
      <c r="F89" s="435">
        <v>311.19010416666805</v>
      </c>
      <c r="G89" s="435">
        <v>0</v>
      </c>
      <c r="H89" s="435">
        <v>2229.0985576923072</v>
      </c>
      <c r="I89" s="435">
        <v>0</v>
      </c>
      <c r="J89" s="435">
        <v>582.46000000000197</v>
      </c>
      <c r="K89" s="435">
        <v>0</v>
      </c>
      <c r="L89" s="435">
        <v>1092.5025000000001</v>
      </c>
      <c r="M89" s="435">
        <v>0</v>
      </c>
      <c r="N89" s="435">
        <v>631.72453703703718</v>
      </c>
      <c r="O89" s="435">
        <v>0</v>
      </c>
      <c r="P89" s="435">
        <v>523.7307692307711</v>
      </c>
      <c r="Q89" s="435">
        <v>0</v>
      </c>
      <c r="R89" s="435">
        <v>54.520000000000124</v>
      </c>
      <c r="S89" s="435">
        <v>0</v>
      </c>
      <c r="T89" s="435">
        <v>1404.8605769230783</v>
      </c>
      <c r="U89" s="435">
        <v>0</v>
      </c>
      <c r="V89" s="435">
        <v>385.28249999999906</v>
      </c>
      <c r="W89" s="435">
        <v>0</v>
      </c>
      <c r="X89" s="435">
        <v>1848.0879629629637</v>
      </c>
      <c r="Y89" s="435">
        <v>0</v>
      </c>
      <c r="Z89" s="435">
        <v>1102.7300000000016</v>
      </c>
      <c r="AA89" s="435">
        <v>0</v>
      </c>
      <c r="AB89" s="435">
        <v>787.77403846153902</v>
      </c>
      <c r="AC89" s="435">
        <v>0</v>
      </c>
      <c r="AD89" s="435">
        <v>554.02250000000117</v>
      </c>
      <c r="AE89" s="435">
        <v>0</v>
      </c>
      <c r="AF89" s="435">
        <v>2229.0985576923072</v>
      </c>
      <c r="AG89" s="435">
        <v>0</v>
      </c>
      <c r="AH89" s="435">
        <v>582.46000000000197</v>
      </c>
      <c r="AI89" s="435">
        <v>0</v>
      </c>
      <c r="AJ89" s="435">
        <v>872.98177083333337</v>
      </c>
      <c r="AK89" s="435">
        <v>0</v>
      </c>
      <c r="AL89" s="435">
        <v>631.72453703703718</v>
      </c>
      <c r="AM89" s="435">
        <v>0</v>
      </c>
      <c r="AN89" s="435">
        <v>264.88000000000159</v>
      </c>
      <c r="AO89" s="435">
        <v>0</v>
      </c>
      <c r="AP89" s="435">
        <v>403.00000000000045</v>
      </c>
      <c r="AQ89" s="435">
        <v>0</v>
      </c>
      <c r="AR89" s="435">
        <v>1404.8605769230783</v>
      </c>
      <c r="AS89" s="435">
        <v>0</v>
      </c>
      <c r="AT89" s="435">
        <v>385.28249999999906</v>
      </c>
      <c r="AU89" s="435">
        <v>0</v>
      </c>
      <c r="AV89" s="435">
        <v>1848.0879629629637</v>
      </c>
      <c r="AW89" s="435">
        <v>0</v>
      </c>
      <c r="AX89" s="435">
        <v>1102.7300000000016</v>
      </c>
      <c r="AY89" s="435">
        <v>0</v>
      </c>
    </row>
    <row r="90" spans="2:51">
      <c r="B90" s="259">
        <v>10278</v>
      </c>
      <c r="C90" s="259" t="s">
        <v>93</v>
      </c>
      <c r="D90" s="435">
        <v>0</v>
      </c>
      <c r="E90" s="435">
        <v>0</v>
      </c>
      <c r="F90" s="435">
        <v>0</v>
      </c>
      <c r="G90" s="435">
        <v>0</v>
      </c>
      <c r="H90" s="435">
        <v>0</v>
      </c>
      <c r="I90" s="435">
        <v>0</v>
      </c>
      <c r="J90" s="435">
        <v>0</v>
      </c>
      <c r="K90" s="435">
        <v>0</v>
      </c>
      <c r="L90" s="435">
        <v>0</v>
      </c>
      <c r="M90" s="435">
        <v>0</v>
      </c>
      <c r="N90" s="435">
        <v>0</v>
      </c>
      <c r="O90" s="435">
        <v>0</v>
      </c>
      <c r="P90" s="435">
        <v>0</v>
      </c>
      <c r="Q90" s="435">
        <v>0</v>
      </c>
      <c r="R90" s="435">
        <v>0</v>
      </c>
      <c r="S90" s="435">
        <v>0</v>
      </c>
      <c r="T90" s="435">
        <v>0</v>
      </c>
      <c r="U90" s="435">
        <v>0</v>
      </c>
      <c r="V90" s="435">
        <v>0</v>
      </c>
      <c r="W90" s="435">
        <v>0</v>
      </c>
      <c r="X90" s="435">
        <v>0</v>
      </c>
      <c r="Y90" s="435">
        <v>0</v>
      </c>
      <c r="Z90" s="435">
        <v>0</v>
      </c>
      <c r="AA90" s="435">
        <v>0</v>
      </c>
      <c r="AB90" s="435">
        <v>0</v>
      </c>
      <c r="AC90" s="435">
        <v>0</v>
      </c>
      <c r="AD90" s="435">
        <v>0</v>
      </c>
      <c r="AE90" s="435">
        <v>0</v>
      </c>
      <c r="AF90" s="435">
        <v>0</v>
      </c>
      <c r="AG90" s="435">
        <v>0</v>
      </c>
      <c r="AH90" s="435">
        <v>0</v>
      </c>
      <c r="AI90" s="435">
        <v>0</v>
      </c>
      <c r="AJ90" s="435">
        <v>0</v>
      </c>
      <c r="AK90" s="435">
        <v>0</v>
      </c>
      <c r="AL90" s="435">
        <v>0</v>
      </c>
      <c r="AM90" s="435">
        <v>0</v>
      </c>
      <c r="AN90" s="435">
        <v>0</v>
      </c>
      <c r="AO90" s="435">
        <v>0</v>
      </c>
      <c r="AP90" s="435">
        <v>0</v>
      </c>
      <c r="AQ90" s="435">
        <v>0</v>
      </c>
      <c r="AR90" s="435">
        <v>0</v>
      </c>
      <c r="AS90" s="435">
        <v>0</v>
      </c>
      <c r="AT90" s="435">
        <v>0</v>
      </c>
      <c r="AU90" s="435">
        <v>0</v>
      </c>
      <c r="AV90" s="435">
        <v>0</v>
      </c>
      <c r="AW90" s="435">
        <v>0</v>
      </c>
      <c r="AX90" s="435">
        <v>0</v>
      </c>
      <c r="AY90" s="435">
        <v>0</v>
      </c>
    </row>
    <row r="91" spans="2:51">
      <c r="B91" s="259">
        <v>10279</v>
      </c>
      <c r="C91" s="259" t="s">
        <v>94</v>
      </c>
      <c r="D91" s="435">
        <v>0</v>
      </c>
      <c r="E91" s="435">
        <v>0</v>
      </c>
      <c r="F91" s="435">
        <v>0</v>
      </c>
      <c r="G91" s="435">
        <v>0</v>
      </c>
      <c r="H91" s="435">
        <v>0</v>
      </c>
      <c r="I91" s="435">
        <v>0</v>
      </c>
      <c r="J91" s="435">
        <v>0</v>
      </c>
      <c r="K91" s="435">
        <v>0</v>
      </c>
      <c r="L91" s="435">
        <v>0</v>
      </c>
      <c r="M91" s="435">
        <v>0</v>
      </c>
      <c r="N91" s="435">
        <v>0</v>
      </c>
      <c r="O91" s="435">
        <v>0</v>
      </c>
      <c r="P91" s="435">
        <v>0</v>
      </c>
      <c r="Q91" s="435">
        <v>0</v>
      </c>
      <c r="R91" s="435">
        <v>0</v>
      </c>
      <c r="S91" s="435">
        <v>0</v>
      </c>
      <c r="T91" s="435">
        <v>0</v>
      </c>
      <c r="U91" s="435">
        <v>0</v>
      </c>
      <c r="V91" s="435">
        <v>0</v>
      </c>
      <c r="W91" s="435">
        <v>0</v>
      </c>
      <c r="X91" s="435">
        <v>0</v>
      </c>
      <c r="Y91" s="435">
        <v>0</v>
      </c>
      <c r="Z91" s="435">
        <v>0</v>
      </c>
      <c r="AA91" s="435">
        <v>0</v>
      </c>
      <c r="AB91" s="435">
        <v>0</v>
      </c>
      <c r="AC91" s="435">
        <v>0</v>
      </c>
      <c r="AD91" s="435">
        <v>0</v>
      </c>
      <c r="AE91" s="435">
        <v>0</v>
      </c>
      <c r="AF91" s="435">
        <v>0</v>
      </c>
      <c r="AG91" s="435">
        <v>0</v>
      </c>
      <c r="AH91" s="435">
        <v>0</v>
      </c>
      <c r="AI91" s="435">
        <v>0</v>
      </c>
      <c r="AJ91" s="435">
        <v>0</v>
      </c>
      <c r="AK91" s="435">
        <v>0</v>
      </c>
      <c r="AL91" s="435">
        <v>0</v>
      </c>
      <c r="AM91" s="435">
        <v>0</v>
      </c>
      <c r="AN91" s="435">
        <v>0</v>
      </c>
      <c r="AO91" s="435">
        <v>0</v>
      </c>
      <c r="AP91" s="435">
        <v>0</v>
      </c>
      <c r="AQ91" s="435">
        <v>0</v>
      </c>
      <c r="AR91" s="435">
        <v>0</v>
      </c>
      <c r="AS91" s="435">
        <v>0</v>
      </c>
      <c r="AT91" s="435">
        <v>0</v>
      </c>
      <c r="AU91" s="435">
        <v>0</v>
      </c>
      <c r="AV91" s="435">
        <v>0</v>
      </c>
      <c r="AW91" s="435">
        <v>0</v>
      </c>
      <c r="AX91" s="435">
        <v>0</v>
      </c>
      <c r="AY91" s="435">
        <v>0</v>
      </c>
    </row>
    <row r="92" spans="2:51">
      <c r="B92" s="259">
        <v>10284</v>
      </c>
      <c r="C92" s="259" t="s">
        <v>95</v>
      </c>
      <c r="D92" s="435">
        <v>1228.1620370370367</v>
      </c>
      <c r="E92" s="435">
        <v>0</v>
      </c>
      <c r="F92" s="435">
        <v>57.583333333332654</v>
      </c>
      <c r="G92" s="435">
        <v>0</v>
      </c>
      <c r="H92" s="435">
        <v>4564.6682692307695</v>
      </c>
      <c r="I92" s="435">
        <v>0</v>
      </c>
      <c r="J92" s="435">
        <v>2251.6925000000006</v>
      </c>
      <c r="K92" s="435">
        <v>0</v>
      </c>
      <c r="L92" s="435">
        <v>2118.6024999999995</v>
      </c>
      <c r="M92" s="435">
        <v>0</v>
      </c>
      <c r="N92" s="435">
        <v>2933.4490740740725</v>
      </c>
      <c r="O92" s="435">
        <v>0</v>
      </c>
      <c r="P92" s="435">
        <v>2720.6923076923076</v>
      </c>
      <c r="Q92" s="435">
        <v>0</v>
      </c>
      <c r="R92" s="435">
        <v>0</v>
      </c>
      <c r="S92" s="435">
        <v>0</v>
      </c>
      <c r="T92" s="435">
        <v>0</v>
      </c>
      <c r="U92" s="435">
        <v>0</v>
      </c>
      <c r="V92" s="435">
        <v>862.69499999999994</v>
      </c>
      <c r="W92" s="435">
        <v>0</v>
      </c>
      <c r="X92" s="435">
        <v>1264.8587962962963</v>
      </c>
      <c r="Y92" s="435">
        <v>0</v>
      </c>
      <c r="Z92" s="435">
        <v>0</v>
      </c>
      <c r="AA92" s="435">
        <v>0</v>
      </c>
      <c r="AB92" s="435">
        <v>878.01442307692218</v>
      </c>
      <c r="AC92" s="435">
        <v>0</v>
      </c>
      <c r="AD92" s="435">
        <v>610.3599999999991</v>
      </c>
      <c r="AE92" s="435">
        <v>0</v>
      </c>
      <c r="AF92" s="435">
        <v>4564.6682692307695</v>
      </c>
      <c r="AG92" s="435">
        <v>0</v>
      </c>
      <c r="AH92" s="435">
        <v>2251.6925000000006</v>
      </c>
      <c r="AI92" s="435">
        <v>0</v>
      </c>
      <c r="AJ92" s="435">
        <v>1560.1692708333328</v>
      </c>
      <c r="AK92" s="435">
        <v>0</v>
      </c>
      <c r="AL92" s="435">
        <v>2933.4490740740725</v>
      </c>
      <c r="AM92" s="435">
        <v>0</v>
      </c>
      <c r="AN92" s="435">
        <v>2337.5600000000009</v>
      </c>
      <c r="AO92" s="435">
        <v>0</v>
      </c>
      <c r="AP92" s="435">
        <v>0</v>
      </c>
      <c r="AQ92" s="435">
        <v>0</v>
      </c>
      <c r="AR92" s="435">
        <v>0</v>
      </c>
      <c r="AS92" s="435">
        <v>0</v>
      </c>
      <c r="AT92" s="435">
        <v>862.69499999999994</v>
      </c>
      <c r="AU92" s="435">
        <v>0</v>
      </c>
      <c r="AV92" s="435">
        <v>1264.8587962962963</v>
      </c>
      <c r="AW92" s="435">
        <v>0</v>
      </c>
      <c r="AX92" s="435">
        <v>0</v>
      </c>
      <c r="AY92" s="435">
        <v>0</v>
      </c>
    </row>
    <row r="93" spans="2:51">
      <c r="B93" s="259">
        <v>10285</v>
      </c>
      <c r="C93" s="259" t="s">
        <v>96</v>
      </c>
      <c r="D93" s="435">
        <v>0</v>
      </c>
      <c r="E93" s="435">
        <v>0</v>
      </c>
      <c r="F93" s="435">
        <v>0</v>
      </c>
      <c r="G93" s="435">
        <v>0</v>
      </c>
      <c r="H93" s="435">
        <v>0</v>
      </c>
      <c r="I93" s="435">
        <v>0</v>
      </c>
      <c r="J93" s="435">
        <v>0</v>
      </c>
      <c r="K93" s="435">
        <v>0</v>
      </c>
      <c r="L93" s="435">
        <v>0</v>
      </c>
      <c r="M93" s="435">
        <v>0</v>
      </c>
      <c r="N93" s="435">
        <v>0</v>
      </c>
      <c r="O93" s="435">
        <v>0</v>
      </c>
      <c r="P93" s="435">
        <v>0</v>
      </c>
      <c r="Q93" s="435">
        <v>0</v>
      </c>
      <c r="R93" s="435">
        <v>0</v>
      </c>
      <c r="S93" s="435">
        <v>0</v>
      </c>
      <c r="T93" s="435">
        <v>0</v>
      </c>
      <c r="U93" s="435">
        <v>0</v>
      </c>
      <c r="V93" s="435">
        <v>0</v>
      </c>
      <c r="W93" s="435">
        <v>0</v>
      </c>
      <c r="X93" s="435">
        <v>0</v>
      </c>
      <c r="Y93" s="435">
        <v>0</v>
      </c>
      <c r="Z93" s="435">
        <v>0</v>
      </c>
      <c r="AA93" s="435">
        <v>0</v>
      </c>
      <c r="AB93" s="435">
        <v>0</v>
      </c>
      <c r="AC93" s="435">
        <v>0</v>
      </c>
      <c r="AD93" s="435">
        <v>0</v>
      </c>
      <c r="AE93" s="435">
        <v>0</v>
      </c>
      <c r="AF93" s="435">
        <v>0</v>
      </c>
      <c r="AG93" s="435">
        <v>0</v>
      </c>
      <c r="AH93" s="435">
        <v>0</v>
      </c>
      <c r="AI93" s="435">
        <v>0</v>
      </c>
      <c r="AJ93" s="435">
        <v>0</v>
      </c>
      <c r="AK93" s="435">
        <v>0</v>
      </c>
      <c r="AL93" s="435">
        <v>0</v>
      </c>
      <c r="AM93" s="435">
        <v>0</v>
      </c>
      <c r="AN93" s="435">
        <v>0</v>
      </c>
      <c r="AO93" s="435">
        <v>0</v>
      </c>
      <c r="AP93" s="435">
        <v>0</v>
      </c>
      <c r="AQ93" s="435">
        <v>0</v>
      </c>
      <c r="AR93" s="435">
        <v>0</v>
      </c>
      <c r="AS93" s="435">
        <v>0</v>
      </c>
      <c r="AT93" s="435">
        <v>0</v>
      </c>
      <c r="AU93" s="435">
        <v>0</v>
      </c>
      <c r="AV93" s="435">
        <v>0</v>
      </c>
      <c r="AW93" s="435">
        <v>0</v>
      </c>
      <c r="AX93" s="435">
        <v>0</v>
      </c>
      <c r="AY93" s="435">
        <v>0</v>
      </c>
    </row>
    <row r="94" spans="2:51">
      <c r="B94" s="259">
        <v>10286</v>
      </c>
      <c r="C94" s="259" t="s">
        <v>97</v>
      </c>
      <c r="D94" s="435">
        <v>0</v>
      </c>
      <c r="E94" s="435">
        <v>0</v>
      </c>
      <c r="F94" s="435">
        <v>0</v>
      </c>
      <c r="G94" s="435">
        <v>0</v>
      </c>
      <c r="H94" s="435">
        <v>0</v>
      </c>
      <c r="I94" s="435">
        <v>0</v>
      </c>
      <c r="J94" s="435">
        <v>0</v>
      </c>
      <c r="K94" s="435">
        <v>0</v>
      </c>
      <c r="L94" s="435">
        <v>0</v>
      </c>
      <c r="M94" s="435">
        <v>0</v>
      </c>
      <c r="N94" s="435">
        <v>0</v>
      </c>
      <c r="O94" s="435">
        <v>0</v>
      </c>
      <c r="P94" s="435">
        <v>0</v>
      </c>
      <c r="Q94" s="435">
        <v>0</v>
      </c>
      <c r="R94" s="435">
        <v>0</v>
      </c>
      <c r="S94" s="435">
        <v>0</v>
      </c>
      <c r="T94" s="435">
        <v>0</v>
      </c>
      <c r="U94" s="435">
        <v>0</v>
      </c>
      <c r="V94" s="435">
        <v>0</v>
      </c>
      <c r="W94" s="435">
        <v>0</v>
      </c>
      <c r="X94" s="435">
        <v>0</v>
      </c>
      <c r="Y94" s="435">
        <v>0</v>
      </c>
      <c r="Z94" s="435">
        <v>0</v>
      </c>
      <c r="AA94" s="435">
        <v>0</v>
      </c>
      <c r="AB94" s="435">
        <v>0</v>
      </c>
      <c r="AC94" s="435">
        <v>0</v>
      </c>
      <c r="AD94" s="435">
        <v>0</v>
      </c>
      <c r="AE94" s="435">
        <v>0</v>
      </c>
      <c r="AF94" s="435">
        <v>0</v>
      </c>
      <c r="AG94" s="435">
        <v>0</v>
      </c>
      <c r="AH94" s="435">
        <v>0</v>
      </c>
      <c r="AI94" s="435">
        <v>0</v>
      </c>
      <c r="AJ94" s="435">
        <v>0</v>
      </c>
      <c r="AK94" s="435">
        <v>0</v>
      </c>
      <c r="AL94" s="435">
        <v>0</v>
      </c>
      <c r="AM94" s="435">
        <v>0</v>
      </c>
      <c r="AN94" s="435">
        <v>0</v>
      </c>
      <c r="AO94" s="435">
        <v>0</v>
      </c>
      <c r="AP94" s="435">
        <v>0</v>
      </c>
      <c r="AQ94" s="435">
        <v>0</v>
      </c>
      <c r="AR94" s="435">
        <v>0</v>
      </c>
      <c r="AS94" s="435">
        <v>0</v>
      </c>
      <c r="AT94" s="435">
        <v>0</v>
      </c>
      <c r="AU94" s="435">
        <v>0</v>
      </c>
      <c r="AV94" s="435">
        <v>0</v>
      </c>
      <c r="AW94" s="435">
        <v>0</v>
      </c>
      <c r="AX94" s="435">
        <v>0</v>
      </c>
      <c r="AY94" s="435">
        <v>0</v>
      </c>
    </row>
    <row r="95" spans="2:51">
      <c r="B95" s="259">
        <v>10288</v>
      </c>
      <c r="C95" s="259" t="s">
        <v>98</v>
      </c>
      <c r="D95" s="435">
        <v>0</v>
      </c>
      <c r="E95" s="435">
        <v>0</v>
      </c>
      <c r="F95" s="435">
        <v>0</v>
      </c>
      <c r="G95" s="435">
        <v>0</v>
      </c>
      <c r="H95" s="435">
        <v>0</v>
      </c>
      <c r="I95" s="435">
        <v>0</v>
      </c>
      <c r="J95" s="435">
        <v>0</v>
      </c>
      <c r="K95" s="435">
        <v>0</v>
      </c>
      <c r="L95" s="435">
        <v>0</v>
      </c>
      <c r="M95" s="435">
        <v>0</v>
      </c>
      <c r="N95" s="435">
        <v>0</v>
      </c>
      <c r="O95" s="435">
        <v>0</v>
      </c>
      <c r="P95" s="435">
        <v>0</v>
      </c>
      <c r="Q95" s="435">
        <v>0</v>
      </c>
      <c r="R95" s="435">
        <v>0</v>
      </c>
      <c r="S95" s="435">
        <v>0</v>
      </c>
      <c r="T95" s="435">
        <v>0</v>
      </c>
      <c r="U95" s="435">
        <v>0</v>
      </c>
      <c r="V95" s="435">
        <v>0</v>
      </c>
      <c r="W95" s="435">
        <v>0</v>
      </c>
      <c r="X95" s="435">
        <v>0</v>
      </c>
      <c r="Y95" s="435">
        <v>0</v>
      </c>
      <c r="Z95" s="435">
        <v>0</v>
      </c>
      <c r="AA95" s="435">
        <v>0</v>
      </c>
      <c r="AB95" s="435">
        <v>0</v>
      </c>
      <c r="AC95" s="435">
        <v>0</v>
      </c>
      <c r="AD95" s="435">
        <v>0</v>
      </c>
      <c r="AE95" s="435">
        <v>0</v>
      </c>
      <c r="AF95" s="435">
        <v>0</v>
      </c>
      <c r="AG95" s="435">
        <v>0</v>
      </c>
      <c r="AH95" s="435">
        <v>0</v>
      </c>
      <c r="AI95" s="435">
        <v>0</v>
      </c>
      <c r="AJ95" s="435">
        <v>0</v>
      </c>
      <c r="AK95" s="435">
        <v>0</v>
      </c>
      <c r="AL95" s="435">
        <v>0</v>
      </c>
      <c r="AM95" s="435">
        <v>0</v>
      </c>
      <c r="AN95" s="435">
        <v>0</v>
      </c>
      <c r="AO95" s="435">
        <v>0</v>
      </c>
      <c r="AP95" s="435">
        <v>0</v>
      </c>
      <c r="AQ95" s="435">
        <v>0</v>
      </c>
      <c r="AR95" s="435">
        <v>0</v>
      </c>
      <c r="AS95" s="435">
        <v>0</v>
      </c>
      <c r="AT95" s="435">
        <v>0</v>
      </c>
      <c r="AU95" s="435">
        <v>0</v>
      </c>
      <c r="AV95" s="435">
        <v>0</v>
      </c>
      <c r="AW95" s="435">
        <v>0</v>
      </c>
      <c r="AX95" s="435">
        <v>0</v>
      </c>
      <c r="AY95" s="435">
        <v>0</v>
      </c>
    </row>
    <row r="96" spans="2:51">
      <c r="B96" s="259">
        <v>10291</v>
      </c>
      <c r="C96" s="259" t="s">
        <v>99</v>
      </c>
      <c r="D96" s="435">
        <v>12239.041666666659</v>
      </c>
      <c r="E96" s="435">
        <v>0</v>
      </c>
      <c r="F96" s="435">
        <v>4238.2656250000109</v>
      </c>
      <c r="G96" s="435">
        <v>0</v>
      </c>
      <c r="H96" s="435">
        <v>19967.853365384613</v>
      </c>
      <c r="I96" s="435">
        <v>0</v>
      </c>
      <c r="J96" s="435">
        <v>11518.062500000009</v>
      </c>
      <c r="K96" s="435">
        <v>0</v>
      </c>
      <c r="L96" s="435">
        <v>15674.59499999999</v>
      </c>
      <c r="M96" s="435">
        <v>0</v>
      </c>
      <c r="N96" s="435">
        <v>13266.497685185186</v>
      </c>
      <c r="O96" s="435">
        <v>0</v>
      </c>
      <c r="P96" s="435">
        <v>15293.396634615381</v>
      </c>
      <c r="Q96" s="435">
        <v>0</v>
      </c>
      <c r="R96" s="435">
        <v>6983.3749999999936</v>
      </c>
      <c r="S96" s="435">
        <v>0</v>
      </c>
      <c r="T96" s="435">
        <v>12095.394230769229</v>
      </c>
      <c r="U96" s="435">
        <v>0</v>
      </c>
      <c r="V96" s="435">
        <v>12069.097499999989</v>
      </c>
      <c r="W96" s="435">
        <v>0</v>
      </c>
      <c r="X96" s="435">
        <v>15406.817129629631</v>
      </c>
      <c r="Y96" s="435">
        <v>0</v>
      </c>
      <c r="Z96" s="435">
        <v>13190.237500000003</v>
      </c>
      <c r="AA96" s="435">
        <v>0</v>
      </c>
      <c r="AB96" s="435">
        <v>9426.6971153846061</v>
      </c>
      <c r="AC96" s="435">
        <v>0</v>
      </c>
      <c r="AD96" s="435">
        <v>7803.6550000000061</v>
      </c>
      <c r="AE96" s="435">
        <v>0</v>
      </c>
      <c r="AF96" s="435">
        <v>19967.853365384613</v>
      </c>
      <c r="AG96" s="435">
        <v>0</v>
      </c>
      <c r="AH96" s="435">
        <v>11518.062500000009</v>
      </c>
      <c r="AI96" s="435">
        <v>0</v>
      </c>
      <c r="AJ96" s="435">
        <v>11876.494791666666</v>
      </c>
      <c r="AK96" s="435">
        <v>0</v>
      </c>
      <c r="AL96" s="435">
        <v>13266.497685185186</v>
      </c>
      <c r="AM96" s="435">
        <v>0</v>
      </c>
      <c r="AN96" s="435">
        <v>12295.212499999994</v>
      </c>
      <c r="AO96" s="435">
        <v>0</v>
      </c>
      <c r="AP96" s="435">
        <v>10219.360576923078</v>
      </c>
      <c r="AQ96" s="435">
        <v>0</v>
      </c>
      <c r="AR96" s="435">
        <v>12095.394230769229</v>
      </c>
      <c r="AS96" s="435">
        <v>0</v>
      </c>
      <c r="AT96" s="435">
        <v>12069.097499999989</v>
      </c>
      <c r="AU96" s="435">
        <v>0</v>
      </c>
      <c r="AV96" s="435">
        <v>15406.817129629631</v>
      </c>
      <c r="AW96" s="435">
        <v>0</v>
      </c>
      <c r="AX96" s="435">
        <v>13190.237500000003</v>
      </c>
      <c r="AY96" s="435">
        <v>0</v>
      </c>
    </row>
    <row r="97" spans="2:51">
      <c r="B97" s="259">
        <v>10294</v>
      </c>
      <c r="C97" s="259" t="s">
        <v>100</v>
      </c>
      <c r="D97" s="435">
        <v>0</v>
      </c>
      <c r="E97" s="435">
        <v>0</v>
      </c>
      <c r="F97" s="435">
        <v>0</v>
      </c>
      <c r="G97" s="435">
        <v>0</v>
      </c>
      <c r="H97" s="435">
        <v>0</v>
      </c>
      <c r="I97" s="435">
        <v>0</v>
      </c>
      <c r="J97" s="435">
        <v>0</v>
      </c>
      <c r="K97" s="435">
        <v>0</v>
      </c>
      <c r="L97" s="435">
        <v>0</v>
      </c>
      <c r="M97" s="435">
        <v>0</v>
      </c>
      <c r="N97" s="435">
        <v>0</v>
      </c>
      <c r="O97" s="435">
        <v>0</v>
      </c>
      <c r="P97" s="435">
        <v>0</v>
      </c>
      <c r="Q97" s="435">
        <v>0</v>
      </c>
      <c r="R97" s="435">
        <v>0</v>
      </c>
      <c r="S97" s="435">
        <v>0</v>
      </c>
      <c r="T97" s="435">
        <v>0</v>
      </c>
      <c r="U97" s="435">
        <v>0</v>
      </c>
      <c r="V97" s="435">
        <v>0</v>
      </c>
      <c r="W97" s="435">
        <v>0</v>
      </c>
      <c r="X97" s="435">
        <v>0</v>
      </c>
      <c r="Y97" s="435">
        <v>0</v>
      </c>
      <c r="Z97" s="435">
        <v>0</v>
      </c>
      <c r="AA97" s="435">
        <v>0</v>
      </c>
      <c r="AB97" s="435">
        <v>0</v>
      </c>
      <c r="AC97" s="435">
        <v>0</v>
      </c>
      <c r="AD97" s="435">
        <v>0</v>
      </c>
      <c r="AE97" s="435">
        <v>0</v>
      </c>
      <c r="AF97" s="435">
        <v>0</v>
      </c>
      <c r="AG97" s="435">
        <v>0</v>
      </c>
      <c r="AH97" s="435">
        <v>0</v>
      </c>
      <c r="AI97" s="435">
        <v>0</v>
      </c>
      <c r="AJ97" s="435">
        <v>0</v>
      </c>
      <c r="AK97" s="435">
        <v>0</v>
      </c>
      <c r="AL97" s="435">
        <v>0</v>
      </c>
      <c r="AM97" s="435">
        <v>0</v>
      </c>
      <c r="AN97" s="435">
        <v>0</v>
      </c>
      <c r="AO97" s="435">
        <v>0</v>
      </c>
      <c r="AP97" s="435">
        <v>0</v>
      </c>
      <c r="AQ97" s="435">
        <v>0</v>
      </c>
      <c r="AR97" s="435">
        <v>0</v>
      </c>
      <c r="AS97" s="435">
        <v>0</v>
      </c>
      <c r="AT97" s="435">
        <v>0</v>
      </c>
      <c r="AU97" s="435">
        <v>0</v>
      </c>
      <c r="AV97" s="435">
        <v>0</v>
      </c>
      <c r="AW97" s="435">
        <v>0</v>
      </c>
      <c r="AX97" s="435">
        <v>0</v>
      </c>
      <c r="AY97" s="435">
        <v>0</v>
      </c>
    </row>
    <row r="98" spans="2:51">
      <c r="B98" s="259">
        <v>10304</v>
      </c>
      <c r="C98" s="259" t="s">
        <v>101</v>
      </c>
      <c r="D98" s="435">
        <v>0</v>
      </c>
      <c r="E98" s="435">
        <v>0</v>
      </c>
      <c r="F98" s="435">
        <v>0</v>
      </c>
      <c r="G98" s="435">
        <v>0</v>
      </c>
      <c r="H98" s="435">
        <v>5255.3317307692314</v>
      </c>
      <c r="I98" s="435">
        <v>0</v>
      </c>
      <c r="J98" s="435">
        <v>4213.3125000000009</v>
      </c>
      <c r="K98" s="435">
        <v>0</v>
      </c>
      <c r="L98" s="435">
        <v>3436.7124999999987</v>
      </c>
      <c r="M98" s="435">
        <v>0</v>
      </c>
      <c r="N98" s="435">
        <v>1693.7199074074094</v>
      </c>
      <c r="O98" s="435">
        <v>0</v>
      </c>
      <c r="P98" s="435">
        <v>506.69711538461382</v>
      </c>
      <c r="Q98" s="435">
        <v>0</v>
      </c>
      <c r="R98" s="435">
        <v>314.45999999999907</v>
      </c>
      <c r="S98" s="435">
        <v>0</v>
      </c>
      <c r="T98" s="435">
        <v>1933.5697115384612</v>
      </c>
      <c r="U98" s="435">
        <v>0</v>
      </c>
      <c r="V98" s="435">
        <v>1376.5975000000001</v>
      </c>
      <c r="W98" s="435">
        <v>0</v>
      </c>
      <c r="X98" s="435">
        <v>2293.0810185185182</v>
      </c>
      <c r="Y98" s="435">
        <v>0</v>
      </c>
      <c r="Z98" s="435">
        <v>2057.8624999999997</v>
      </c>
      <c r="AA98" s="435">
        <v>0</v>
      </c>
      <c r="AB98" s="435">
        <v>0</v>
      </c>
      <c r="AC98" s="435">
        <v>0</v>
      </c>
      <c r="AD98" s="435">
        <v>728.10249999999769</v>
      </c>
      <c r="AE98" s="435">
        <v>0</v>
      </c>
      <c r="AF98" s="435">
        <v>5255.3317307692314</v>
      </c>
      <c r="AG98" s="435">
        <v>0</v>
      </c>
      <c r="AH98" s="435">
        <v>4213.3125000000009</v>
      </c>
      <c r="AI98" s="435">
        <v>0</v>
      </c>
      <c r="AJ98" s="435">
        <v>2711.0338541666652</v>
      </c>
      <c r="AK98" s="435">
        <v>0</v>
      </c>
      <c r="AL98" s="435">
        <v>1693.7199074074094</v>
      </c>
      <c r="AM98" s="435">
        <v>0</v>
      </c>
      <c r="AN98" s="435">
        <v>0</v>
      </c>
      <c r="AO98" s="435">
        <v>0</v>
      </c>
      <c r="AP98" s="435">
        <v>798.24999999999818</v>
      </c>
      <c r="AQ98" s="435">
        <v>0</v>
      </c>
      <c r="AR98" s="435">
        <v>1933.5697115384612</v>
      </c>
      <c r="AS98" s="435">
        <v>0</v>
      </c>
      <c r="AT98" s="435">
        <v>1376.5975000000001</v>
      </c>
      <c r="AU98" s="435">
        <v>0</v>
      </c>
      <c r="AV98" s="435">
        <v>2293.0810185185182</v>
      </c>
      <c r="AW98" s="435">
        <v>0</v>
      </c>
      <c r="AX98" s="435">
        <v>2057.8624999999997</v>
      </c>
      <c r="AY98" s="435">
        <v>0</v>
      </c>
    </row>
    <row r="99" spans="2:51">
      <c r="B99" s="259">
        <v>10306</v>
      </c>
      <c r="C99" s="259" t="s">
        <v>102</v>
      </c>
      <c r="D99" s="435">
        <v>0</v>
      </c>
      <c r="E99" s="435">
        <v>0</v>
      </c>
      <c r="F99" s="435">
        <v>0</v>
      </c>
      <c r="G99" s="435">
        <v>0</v>
      </c>
      <c r="H99" s="435">
        <v>0</v>
      </c>
      <c r="I99" s="435">
        <v>0</v>
      </c>
      <c r="J99" s="435">
        <v>0</v>
      </c>
      <c r="K99" s="435">
        <v>0</v>
      </c>
      <c r="L99" s="435">
        <v>0</v>
      </c>
      <c r="M99" s="435">
        <v>0</v>
      </c>
      <c r="N99" s="435">
        <v>0</v>
      </c>
      <c r="O99" s="435">
        <v>0</v>
      </c>
      <c r="P99" s="435">
        <v>0</v>
      </c>
      <c r="Q99" s="435">
        <v>0</v>
      </c>
      <c r="R99" s="435">
        <v>0</v>
      </c>
      <c r="S99" s="435">
        <v>0</v>
      </c>
      <c r="T99" s="435">
        <v>0</v>
      </c>
      <c r="U99" s="435">
        <v>0</v>
      </c>
      <c r="V99" s="435">
        <v>0</v>
      </c>
      <c r="W99" s="435">
        <v>0</v>
      </c>
      <c r="X99" s="435">
        <v>0</v>
      </c>
      <c r="Y99" s="435">
        <v>0</v>
      </c>
      <c r="Z99" s="435">
        <v>0</v>
      </c>
      <c r="AA99" s="435">
        <v>0</v>
      </c>
      <c r="AB99" s="435">
        <v>0</v>
      </c>
      <c r="AC99" s="435">
        <v>0</v>
      </c>
      <c r="AD99" s="435">
        <v>0</v>
      </c>
      <c r="AE99" s="435">
        <v>0</v>
      </c>
      <c r="AF99" s="435">
        <v>0</v>
      </c>
      <c r="AG99" s="435">
        <v>0</v>
      </c>
      <c r="AH99" s="435">
        <v>0</v>
      </c>
      <c r="AI99" s="435">
        <v>0</v>
      </c>
      <c r="AJ99" s="435">
        <v>0</v>
      </c>
      <c r="AK99" s="435">
        <v>0</v>
      </c>
      <c r="AL99" s="435">
        <v>0</v>
      </c>
      <c r="AM99" s="435">
        <v>0</v>
      </c>
      <c r="AN99" s="435">
        <v>0</v>
      </c>
      <c r="AO99" s="435">
        <v>0</v>
      </c>
      <c r="AP99" s="435">
        <v>0</v>
      </c>
      <c r="AQ99" s="435">
        <v>0</v>
      </c>
      <c r="AR99" s="435">
        <v>0</v>
      </c>
      <c r="AS99" s="435">
        <v>0</v>
      </c>
      <c r="AT99" s="435">
        <v>0</v>
      </c>
      <c r="AU99" s="435">
        <v>0</v>
      </c>
      <c r="AV99" s="435">
        <v>0</v>
      </c>
      <c r="AW99" s="435">
        <v>0</v>
      </c>
      <c r="AX99" s="435">
        <v>0</v>
      </c>
      <c r="AY99" s="435">
        <v>0</v>
      </c>
    </row>
    <row r="100" spans="2:51">
      <c r="B100" s="259">
        <v>10307</v>
      </c>
      <c r="C100" s="259" t="s">
        <v>103</v>
      </c>
      <c r="D100" s="435">
        <v>12634.162037037033</v>
      </c>
      <c r="E100" s="435">
        <v>0</v>
      </c>
      <c r="F100" s="435">
        <v>0</v>
      </c>
      <c r="G100" s="435">
        <v>0</v>
      </c>
      <c r="H100" s="435">
        <v>35216.699519230773</v>
      </c>
      <c r="I100" s="435">
        <v>0</v>
      </c>
      <c r="J100" s="435">
        <v>24034.317500000008</v>
      </c>
      <c r="K100" s="435">
        <v>0</v>
      </c>
      <c r="L100" s="435">
        <v>16510.895000000008</v>
      </c>
      <c r="M100" s="435">
        <v>0</v>
      </c>
      <c r="N100" s="435">
        <v>18250.916666666672</v>
      </c>
      <c r="O100" s="435">
        <v>0</v>
      </c>
      <c r="P100" s="435">
        <v>10524.487980769238</v>
      </c>
      <c r="Q100" s="435">
        <v>0</v>
      </c>
      <c r="R100" s="435">
        <v>2546.6849999999931</v>
      </c>
      <c r="S100" s="435">
        <v>0</v>
      </c>
      <c r="T100" s="435">
        <v>12311.980769230779</v>
      </c>
      <c r="U100" s="435">
        <v>0</v>
      </c>
      <c r="V100" s="435">
        <v>13068.317499999996</v>
      </c>
      <c r="W100" s="435">
        <v>0</v>
      </c>
      <c r="X100" s="435">
        <v>15070.951388888894</v>
      </c>
      <c r="Y100" s="435">
        <v>0</v>
      </c>
      <c r="Z100" s="435">
        <v>12129.954999999996</v>
      </c>
      <c r="AA100" s="435">
        <v>0</v>
      </c>
      <c r="AB100" s="435">
        <v>10106.860576923073</v>
      </c>
      <c r="AC100" s="435">
        <v>0</v>
      </c>
      <c r="AD100" s="435">
        <v>1136.6800000000055</v>
      </c>
      <c r="AE100" s="435">
        <v>0</v>
      </c>
      <c r="AF100" s="435">
        <v>35216.699519230773</v>
      </c>
      <c r="AG100" s="435">
        <v>0</v>
      </c>
      <c r="AH100" s="435">
        <v>24034.317500000008</v>
      </c>
      <c r="AI100" s="435">
        <v>0</v>
      </c>
      <c r="AJ100" s="435">
        <v>12783.473958333336</v>
      </c>
      <c r="AK100" s="435">
        <v>0</v>
      </c>
      <c r="AL100" s="435">
        <v>18250.916666666672</v>
      </c>
      <c r="AM100" s="435">
        <v>0</v>
      </c>
      <c r="AN100" s="435">
        <v>7778.7475000000086</v>
      </c>
      <c r="AO100" s="435">
        <v>0</v>
      </c>
      <c r="AP100" s="435">
        <v>4986.7740384615363</v>
      </c>
      <c r="AQ100" s="435">
        <v>0</v>
      </c>
      <c r="AR100" s="435">
        <v>12311.980769230779</v>
      </c>
      <c r="AS100" s="435">
        <v>0</v>
      </c>
      <c r="AT100" s="435">
        <v>13068.317499999996</v>
      </c>
      <c r="AU100" s="435">
        <v>0</v>
      </c>
      <c r="AV100" s="435">
        <v>15070.951388888894</v>
      </c>
      <c r="AW100" s="435">
        <v>0</v>
      </c>
      <c r="AX100" s="435">
        <v>12129.954999999996</v>
      </c>
      <c r="AY100" s="435">
        <v>0</v>
      </c>
    </row>
    <row r="101" spans="2:51">
      <c r="B101" s="259">
        <v>10326</v>
      </c>
      <c r="C101" s="259" t="s">
        <v>104</v>
      </c>
      <c r="D101" s="435">
        <v>456.72916666666373</v>
      </c>
      <c r="E101" s="435">
        <v>0</v>
      </c>
      <c r="F101" s="435">
        <v>0</v>
      </c>
      <c r="G101" s="435">
        <v>0</v>
      </c>
      <c r="H101" s="435">
        <v>7581.1081730769201</v>
      </c>
      <c r="I101" s="435">
        <v>0</v>
      </c>
      <c r="J101" s="435">
        <v>0</v>
      </c>
      <c r="K101" s="435">
        <v>0</v>
      </c>
      <c r="L101" s="435">
        <v>4383.8999999999978</v>
      </c>
      <c r="M101" s="435">
        <v>0</v>
      </c>
      <c r="N101" s="435">
        <v>4667.1620370370338</v>
      </c>
      <c r="O101" s="435">
        <v>0</v>
      </c>
      <c r="P101" s="435">
        <v>1299.8509615384571</v>
      </c>
      <c r="Q101" s="435">
        <v>0</v>
      </c>
      <c r="R101" s="435">
        <v>0</v>
      </c>
      <c r="S101" s="435">
        <v>0</v>
      </c>
      <c r="T101" s="435">
        <v>5184.0865384615408</v>
      </c>
      <c r="U101" s="435">
        <v>0</v>
      </c>
      <c r="V101" s="435">
        <v>1965.4524999999978</v>
      </c>
      <c r="W101" s="435">
        <v>0</v>
      </c>
      <c r="X101" s="435">
        <v>1619.2615740740735</v>
      </c>
      <c r="Y101" s="435">
        <v>0</v>
      </c>
      <c r="Z101" s="435">
        <v>2744.5100000000007</v>
      </c>
      <c r="AA101" s="435">
        <v>0</v>
      </c>
      <c r="AB101" s="435">
        <v>0</v>
      </c>
      <c r="AC101" s="435">
        <v>0</v>
      </c>
      <c r="AD101" s="435">
        <v>0</v>
      </c>
      <c r="AE101" s="435">
        <v>0</v>
      </c>
      <c r="AF101" s="435">
        <v>7581.1081730769201</v>
      </c>
      <c r="AG101" s="435">
        <v>0</v>
      </c>
      <c r="AH101" s="435">
        <v>0</v>
      </c>
      <c r="AI101" s="435">
        <v>0</v>
      </c>
      <c r="AJ101" s="435">
        <v>3214.2708333333312</v>
      </c>
      <c r="AK101" s="435">
        <v>0</v>
      </c>
      <c r="AL101" s="435">
        <v>4667.1620370370338</v>
      </c>
      <c r="AM101" s="435">
        <v>0</v>
      </c>
      <c r="AN101" s="435">
        <v>257.2449999999975</v>
      </c>
      <c r="AO101" s="435">
        <v>0</v>
      </c>
      <c r="AP101" s="435">
        <v>186.40384615384596</v>
      </c>
      <c r="AQ101" s="435">
        <v>0</v>
      </c>
      <c r="AR101" s="435">
        <v>5184.0865384615408</v>
      </c>
      <c r="AS101" s="435">
        <v>0</v>
      </c>
      <c r="AT101" s="435">
        <v>1965.4524999999978</v>
      </c>
      <c r="AU101" s="435">
        <v>0</v>
      </c>
      <c r="AV101" s="435">
        <v>1619.2615740740735</v>
      </c>
      <c r="AW101" s="435">
        <v>0</v>
      </c>
      <c r="AX101" s="435">
        <v>2744.5100000000007</v>
      </c>
      <c r="AY101" s="435">
        <v>0</v>
      </c>
    </row>
    <row r="102" spans="2:51">
      <c r="B102" s="259">
        <v>10331</v>
      </c>
      <c r="C102" s="259" t="s">
        <v>105</v>
      </c>
      <c r="D102" s="435">
        <v>0</v>
      </c>
      <c r="E102" s="435">
        <v>0</v>
      </c>
      <c r="F102" s="435">
        <v>0</v>
      </c>
      <c r="G102" s="435">
        <v>0</v>
      </c>
      <c r="H102" s="435">
        <v>0</v>
      </c>
      <c r="I102" s="435">
        <v>0</v>
      </c>
      <c r="J102" s="435">
        <v>0</v>
      </c>
      <c r="K102" s="435">
        <v>0</v>
      </c>
      <c r="L102" s="435">
        <v>0</v>
      </c>
      <c r="M102" s="435">
        <v>0</v>
      </c>
      <c r="N102" s="435">
        <v>0</v>
      </c>
      <c r="O102" s="435">
        <v>0</v>
      </c>
      <c r="P102" s="435">
        <v>0</v>
      </c>
      <c r="Q102" s="435">
        <v>0</v>
      </c>
      <c r="R102" s="435">
        <v>0</v>
      </c>
      <c r="S102" s="435">
        <v>0</v>
      </c>
      <c r="T102" s="435">
        <v>0</v>
      </c>
      <c r="U102" s="435">
        <v>0</v>
      </c>
      <c r="V102" s="435">
        <v>0</v>
      </c>
      <c r="W102" s="435">
        <v>0</v>
      </c>
      <c r="X102" s="435">
        <v>0</v>
      </c>
      <c r="Y102" s="435">
        <v>0</v>
      </c>
      <c r="Z102" s="435">
        <v>0</v>
      </c>
      <c r="AA102" s="435">
        <v>0</v>
      </c>
      <c r="AB102" s="435">
        <v>0</v>
      </c>
      <c r="AC102" s="435">
        <v>0</v>
      </c>
      <c r="AD102" s="435">
        <v>0</v>
      </c>
      <c r="AE102" s="435">
        <v>0</v>
      </c>
      <c r="AF102" s="435">
        <v>0</v>
      </c>
      <c r="AG102" s="435">
        <v>0</v>
      </c>
      <c r="AH102" s="435">
        <v>0</v>
      </c>
      <c r="AI102" s="435">
        <v>0</v>
      </c>
      <c r="AJ102" s="435">
        <v>0</v>
      </c>
      <c r="AK102" s="435">
        <v>0</v>
      </c>
      <c r="AL102" s="435">
        <v>0</v>
      </c>
      <c r="AM102" s="435">
        <v>0</v>
      </c>
      <c r="AN102" s="435">
        <v>0</v>
      </c>
      <c r="AO102" s="435">
        <v>0</v>
      </c>
      <c r="AP102" s="435">
        <v>0</v>
      </c>
      <c r="AQ102" s="435">
        <v>0</v>
      </c>
      <c r="AR102" s="435">
        <v>0</v>
      </c>
      <c r="AS102" s="435">
        <v>0</v>
      </c>
      <c r="AT102" s="435">
        <v>0</v>
      </c>
      <c r="AU102" s="435">
        <v>0</v>
      </c>
      <c r="AV102" s="435">
        <v>0</v>
      </c>
      <c r="AW102" s="435">
        <v>0</v>
      </c>
      <c r="AX102" s="435">
        <v>0</v>
      </c>
      <c r="AY102" s="435">
        <v>0</v>
      </c>
    </row>
    <row r="103" spans="2:51">
      <c r="B103" s="259">
        <v>10333</v>
      </c>
      <c r="C103" s="259" t="s">
        <v>106</v>
      </c>
      <c r="D103" s="435">
        <v>1717.7523148148168</v>
      </c>
      <c r="E103" s="435">
        <v>0</v>
      </c>
      <c r="F103" s="435">
        <v>2735.9479166666683</v>
      </c>
      <c r="G103" s="435">
        <v>0</v>
      </c>
      <c r="H103" s="435">
        <v>4800.1754807692287</v>
      </c>
      <c r="I103" s="435">
        <v>0</v>
      </c>
      <c r="J103" s="435">
        <v>3292.7124999999996</v>
      </c>
      <c r="K103" s="435">
        <v>0</v>
      </c>
      <c r="L103" s="435">
        <v>1811.2800000000018</v>
      </c>
      <c r="M103" s="435">
        <v>0</v>
      </c>
      <c r="N103" s="435">
        <v>3035.9791666666674</v>
      </c>
      <c r="O103" s="435">
        <v>0</v>
      </c>
      <c r="P103" s="435">
        <v>4291.5889423076933</v>
      </c>
      <c r="Q103" s="435">
        <v>0</v>
      </c>
      <c r="R103" s="435">
        <v>3116.862500000002</v>
      </c>
      <c r="S103" s="435">
        <v>0</v>
      </c>
      <c r="T103" s="435">
        <v>4170.3485576923067</v>
      </c>
      <c r="U103" s="435">
        <v>0</v>
      </c>
      <c r="V103" s="435">
        <v>2229.7074999999982</v>
      </c>
      <c r="W103" s="435">
        <v>0</v>
      </c>
      <c r="X103" s="435">
        <v>3927.9282407407427</v>
      </c>
      <c r="Y103" s="435">
        <v>0</v>
      </c>
      <c r="Z103" s="435">
        <v>3031.0725000000025</v>
      </c>
      <c r="AA103" s="435">
        <v>0</v>
      </c>
      <c r="AB103" s="435">
        <v>1122.7043269230794</v>
      </c>
      <c r="AC103" s="435">
        <v>0</v>
      </c>
      <c r="AD103" s="435">
        <v>3644.3500000000035</v>
      </c>
      <c r="AE103" s="435">
        <v>0</v>
      </c>
      <c r="AF103" s="435">
        <v>4800.1754807692287</v>
      </c>
      <c r="AG103" s="435">
        <v>0</v>
      </c>
      <c r="AH103" s="435">
        <v>3292.7124999999996</v>
      </c>
      <c r="AI103" s="435">
        <v>0</v>
      </c>
      <c r="AJ103" s="435">
        <v>982.83333333333371</v>
      </c>
      <c r="AK103" s="435">
        <v>0</v>
      </c>
      <c r="AL103" s="435">
        <v>3035.9791666666674</v>
      </c>
      <c r="AM103" s="435">
        <v>0</v>
      </c>
      <c r="AN103" s="435">
        <v>3617.5725000000007</v>
      </c>
      <c r="AO103" s="435">
        <v>0</v>
      </c>
      <c r="AP103" s="435">
        <v>3814.9062500000023</v>
      </c>
      <c r="AQ103" s="435">
        <v>0</v>
      </c>
      <c r="AR103" s="435">
        <v>4170.3485576923067</v>
      </c>
      <c r="AS103" s="435">
        <v>0</v>
      </c>
      <c r="AT103" s="435">
        <v>2229.7074999999982</v>
      </c>
      <c r="AU103" s="435">
        <v>0</v>
      </c>
      <c r="AV103" s="435">
        <v>3927.9282407407427</v>
      </c>
      <c r="AW103" s="435">
        <v>0</v>
      </c>
      <c r="AX103" s="435">
        <v>3031.0725000000025</v>
      </c>
      <c r="AY103" s="435">
        <v>0</v>
      </c>
    </row>
    <row r="104" spans="2:51">
      <c r="B104" s="259">
        <v>10338</v>
      </c>
      <c r="C104" s="259" t="s">
        <v>107</v>
      </c>
      <c r="D104" s="435">
        <v>14.812499999999895</v>
      </c>
      <c r="E104" s="435">
        <v>0</v>
      </c>
      <c r="F104" s="435">
        <v>22.546874999999964</v>
      </c>
      <c r="G104" s="435">
        <v>0</v>
      </c>
      <c r="H104" s="435">
        <v>417.75961538461593</v>
      </c>
      <c r="I104" s="435">
        <v>0</v>
      </c>
      <c r="J104" s="435">
        <v>197.85999999999993</v>
      </c>
      <c r="K104" s="435">
        <v>0</v>
      </c>
      <c r="L104" s="435">
        <v>184.39499999999964</v>
      </c>
      <c r="M104" s="435">
        <v>0</v>
      </c>
      <c r="N104" s="435">
        <v>359.29398148148152</v>
      </c>
      <c r="O104" s="435">
        <v>0</v>
      </c>
      <c r="P104" s="435">
        <v>638.24278846153868</v>
      </c>
      <c r="Q104" s="435">
        <v>0</v>
      </c>
      <c r="R104" s="435">
        <v>562.70249999999999</v>
      </c>
      <c r="S104" s="435">
        <v>0</v>
      </c>
      <c r="T104" s="435">
        <v>646.85576923076906</v>
      </c>
      <c r="U104" s="435">
        <v>0</v>
      </c>
      <c r="V104" s="435">
        <v>458.2775000000002</v>
      </c>
      <c r="W104" s="435">
        <v>0</v>
      </c>
      <c r="X104" s="435">
        <v>449.94675925925952</v>
      </c>
      <c r="Y104" s="435">
        <v>0</v>
      </c>
      <c r="Z104" s="435">
        <v>104.70249999999947</v>
      </c>
      <c r="AA104" s="435">
        <v>0</v>
      </c>
      <c r="AB104" s="435">
        <v>0</v>
      </c>
      <c r="AC104" s="435">
        <v>0</v>
      </c>
      <c r="AD104" s="435">
        <v>105.08500000000009</v>
      </c>
      <c r="AE104" s="435">
        <v>0</v>
      </c>
      <c r="AF104" s="435">
        <v>417.75961538461593</v>
      </c>
      <c r="AG104" s="435">
        <v>0</v>
      </c>
      <c r="AH104" s="435">
        <v>197.85999999999993</v>
      </c>
      <c r="AI104" s="435">
        <v>0</v>
      </c>
      <c r="AJ104" s="435">
        <v>89.911458333333144</v>
      </c>
      <c r="AK104" s="435">
        <v>0</v>
      </c>
      <c r="AL104" s="435">
        <v>359.29398148148152</v>
      </c>
      <c r="AM104" s="435">
        <v>0</v>
      </c>
      <c r="AN104" s="435">
        <v>559.01250000000016</v>
      </c>
      <c r="AO104" s="435">
        <v>0</v>
      </c>
      <c r="AP104" s="435">
        <v>673.79086538461513</v>
      </c>
      <c r="AQ104" s="435">
        <v>0</v>
      </c>
      <c r="AR104" s="435">
        <v>646.85576923076906</v>
      </c>
      <c r="AS104" s="435">
        <v>0</v>
      </c>
      <c r="AT104" s="435">
        <v>458.2775000000002</v>
      </c>
      <c r="AU104" s="435">
        <v>0</v>
      </c>
      <c r="AV104" s="435">
        <v>449.94675925925952</v>
      </c>
      <c r="AW104" s="435">
        <v>0</v>
      </c>
      <c r="AX104" s="435">
        <v>104.70249999999947</v>
      </c>
      <c r="AY104" s="435">
        <v>0</v>
      </c>
    </row>
    <row r="105" spans="2:51">
      <c r="B105" s="259">
        <v>10342</v>
      </c>
      <c r="C105" s="259" t="s">
        <v>108</v>
      </c>
      <c r="D105" s="435">
        <v>7642.4074074074088</v>
      </c>
      <c r="E105" s="435">
        <v>0</v>
      </c>
      <c r="F105" s="435">
        <v>500.74218749999665</v>
      </c>
      <c r="G105" s="435">
        <v>0</v>
      </c>
      <c r="H105" s="435">
        <v>11531.723557692316</v>
      </c>
      <c r="I105" s="435">
        <v>0</v>
      </c>
      <c r="J105" s="435">
        <v>4425.8899999999903</v>
      </c>
      <c r="K105" s="435">
        <v>0</v>
      </c>
      <c r="L105" s="435">
        <v>0</v>
      </c>
      <c r="M105" s="435">
        <v>0</v>
      </c>
      <c r="N105" s="435">
        <v>4355.5902777777792</v>
      </c>
      <c r="O105" s="435">
        <v>0</v>
      </c>
      <c r="P105" s="435">
        <v>3619.0769230769247</v>
      </c>
      <c r="Q105" s="435">
        <v>0</v>
      </c>
      <c r="R105" s="435">
        <v>2474.2400000000016</v>
      </c>
      <c r="S105" s="435">
        <v>0</v>
      </c>
      <c r="T105" s="435">
        <v>2542.2187500000073</v>
      </c>
      <c r="U105" s="435">
        <v>0</v>
      </c>
      <c r="V105" s="435">
        <v>7824.2099999999991</v>
      </c>
      <c r="W105" s="435">
        <v>0</v>
      </c>
      <c r="X105" s="435">
        <v>11773.979166666666</v>
      </c>
      <c r="Y105" s="435">
        <v>0</v>
      </c>
      <c r="Z105" s="435">
        <v>11942.842500000001</v>
      </c>
      <c r="AA105" s="435">
        <v>0</v>
      </c>
      <c r="AB105" s="435">
        <v>6230.7692307692305</v>
      </c>
      <c r="AC105" s="435">
        <v>0</v>
      </c>
      <c r="AD105" s="435">
        <v>2458.1924999999974</v>
      </c>
      <c r="AE105" s="435">
        <v>0</v>
      </c>
      <c r="AF105" s="435">
        <v>11531.723557692316</v>
      </c>
      <c r="AG105" s="435">
        <v>0</v>
      </c>
      <c r="AH105" s="435">
        <v>4425.8899999999903</v>
      </c>
      <c r="AI105" s="435">
        <v>0</v>
      </c>
      <c r="AJ105" s="435">
        <v>0</v>
      </c>
      <c r="AK105" s="435">
        <v>0</v>
      </c>
      <c r="AL105" s="435">
        <v>4355.5902777777792</v>
      </c>
      <c r="AM105" s="435">
        <v>0</v>
      </c>
      <c r="AN105" s="435">
        <v>2101.0399999999977</v>
      </c>
      <c r="AO105" s="435">
        <v>0</v>
      </c>
      <c r="AP105" s="435">
        <v>3924.6923076923113</v>
      </c>
      <c r="AQ105" s="435">
        <v>0</v>
      </c>
      <c r="AR105" s="435">
        <v>2542.2187500000073</v>
      </c>
      <c r="AS105" s="435">
        <v>0</v>
      </c>
      <c r="AT105" s="435">
        <v>7824.2099999999991</v>
      </c>
      <c r="AU105" s="435">
        <v>0</v>
      </c>
      <c r="AV105" s="435">
        <v>11773.979166666666</v>
      </c>
      <c r="AW105" s="435">
        <v>0</v>
      </c>
      <c r="AX105" s="435">
        <v>11942.842500000001</v>
      </c>
      <c r="AY105" s="435">
        <v>0</v>
      </c>
    </row>
    <row r="106" spans="2:51">
      <c r="B106" s="259">
        <v>10343</v>
      </c>
      <c r="C106" s="259" t="s">
        <v>109</v>
      </c>
      <c r="D106" s="435">
        <v>0</v>
      </c>
      <c r="E106" s="435">
        <v>0</v>
      </c>
      <c r="F106" s="435">
        <v>0</v>
      </c>
      <c r="G106" s="435">
        <v>0</v>
      </c>
      <c r="H106" s="435">
        <v>0</v>
      </c>
      <c r="I106" s="435">
        <v>0</v>
      </c>
      <c r="J106" s="435">
        <v>0</v>
      </c>
      <c r="K106" s="435">
        <v>0</v>
      </c>
      <c r="L106" s="435">
        <v>0</v>
      </c>
      <c r="M106" s="435">
        <v>0</v>
      </c>
      <c r="N106" s="435">
        <v>0</v>
      </c>
      <c r="O106" s="435">
        <v>0</v>
      </c>
      <c r="P106" s="435">
        <v>0</v>
      </c>
      <c r="Q106" s="435">
        <v>0</v>
      </c>
      <c r="R106" s="435">
        <v>0</v>
      </c>
      <c r="S106" s="435">
        <v>0</v>
      </c>
      <c r="T106" s="435">
        <v>0</v>
      </c>
      <c r="U106" s="435">
        <v>0</v>
      </c>
      <c r="V106" s="435">
        <v>0</v>
      </c>
      <c r="W106" s="435">
        <v>0</v>
      </c>
      <c r="X106" s="435">
        <v>0</v>
      </c>
      <c r="Y106" s="435">
        <v>0</v>
      </c>
      <c r="Z106" s="435">
        <v>0</v>
      </c>
      <c r="AA106" s="435">
        <v>0</v>
      </c>
      <c r="AB106" s="435">
        <v>0</v>
      </c>
      <c r="AC106" s="435">
        <v>0</v>
      </c>
      <c r="AD106" s="435">
        <v>0</v>
      </c>
      <c r="AE106" s="435">
        <v>0</v>
      </c>
      <c r="AF106" s="435">
        <v>0</v>
      </c>
      <c r="AG106" s="435">
        <v>0</v>
      </c>
      <c r="AH106" s="435">
        <v>0</v>
      </c>
      <c r="AI106" s="435">
        <v>0</v>
      </c>
      <c r="AJ106" s="435">
        <v>0</v>
      </c>
      <c r="AK106" s="435">
        <v>0</v>
      </c>
      <c r="AL106" s="435">
        <v>0</v>
      </c>
      <c r="AM106" s="435">
        <v>0</v>
      </c>
      <c r="AN106" s="435">
        <v>0</v>
      </c>
      <c r="AO106" s="435">
        <v>0</v>
      </c>
      <c r="AP106" s="435">
        <v>0</v>
      </c>
      <c r="AQ106" s="435">
        <v>0</v>
      </c>
      <c r="AR106" s="435">
        <v>0</v>
      </c>
      <c r="AS106" s="435">
        <v>0</v>
      </c>
      <c r="AT106" s="435">
        <v>0</v>
      </c>
      <c r="AU106" s="435">
        <v>0</v>
      </c>
      <c r="AV106" s="435">
        <v>0</v>
      </c>
      <c r="AW106" s="435">
        <v>0</v>
      </c>
      <c r="AX106" s="435">
        <v>0</v>
      </c>
      <c r="AY106" s="435">
        <v>0</v>
      </c>
    </row>
    <row r="107" spans="2:51">
      <c r="B107" s="259">
        <v>10349</v>
      </c>
      <c r="C107" s="259" t="s">
        <v>110</v>
      </c>
      <c r="D107" s="435">
        <v>0</v>
      </c>
      <c r="E107" s="435">
        <v>0</v>
      </c>
      <c r="F107" s="435">
        <v>0</v>
      </c>
      <c r="G107" s="435">
        <v>0</v>
      </c>
      <c r="H107" s="435">
        <v>0</v>
      </c>
      <c r="I107" s="435">
        <v>0</v>
      </c>
      <c r="J107" s="435">
        <v>0</v>
      </c>
      <c r="K107" s="435">
        <v>0</v>
      </c>
      <c r="L107" s="435">
        <v>0</v>
      </c>
      <c r="M107" s="435">
        <v>0</v>
      </c>
      <c r="N107" s="435">
        <v>0</v>
      </c>
      <c r="O107" s="435">
        <v>0</v>
      </c>
      <c r="P107" s="435">
        <v>0</v>
      </c>
      <c r="Q107" s="435">
        <v>0</v>
      </c>
      <c r="R107" s="435">
        <v>0</v>
      </c>
      <c r="S107" s="435">
        <v>0</v>
      </c>
      <c r="T107" s="435">
        <v>0</v>
      </c>
      <c r="U107" s="435">
        <v>0</v>
      </c>
      <c r="V107" s="435">
        <v>0</v>
      </c>
      <c r="W107" s="435">
        <v>0</v>
      </c>
      <c r="X107" s="435">
        <v>0</v>
      </c>
      <c r="Y107" s="435">
        <v>0</v>
      </c>
      <c r="Z107" s="435">
        <v>0</v>
      </c>
      <c r="AA107" s="435">
        <v>0</v>
      </c>
      <c r="AB107" s="435">
        <v>0</v>
      </c>
      <c r="AC107" s="435">
        <v>0</v>
      </c>
      <c r="AD107" s="435">
        <v>0</v>
      </c>
      <c r="AE107" s="435">
        <v>0</v>
      </c>
      <c r="AF107" s="435">
        <v>0</v>
      </c>
      <c r="AG107" s="435">
        <v>0</v>
      </c>
      <c r="AH107" s="435">
        <v>0</v>
      </c>
      <c r="AI107" s="435">
        <v>0</v>
      </c>
      <c r="AJ107" s="435">
        <v>0</v>
      </c>
      <c r="AK107" s="435">
        <v>0</v>
      </c>
      <c r="AL107" s="435">
        <v>0</v>
      </c>
      <c r="AM107" s="435">
        <v>0</v>
      </c>
      <c r="AN107" s="435">
        <v>0</v>
      </c>
      <c r="AO107" s="435">
        <v>0</v>
      </c>
      <c r="AP107" s="435">
        <v>0</v>
      </c>
      <c r="AQ107" s="435">
        <v>0</v>
      </c>
      <c r="AR107" s="435">
        <v>0</v>
      </c>
      <c r="AS107" s="435">
        <v>0</v>
      </c>
      <c r="AT107" s="435">
        <v>0</v>
      </c>
      <c r="AU107" s="435">
        <v>0</v>
      </c>
      <c r="AV107" s="435">
        <v>0</v>
      </c>
      <c r="AW107" s="435">
        <v>0</v>
      </c>
      <c r="AX107" s="435">
        <v>0</v>
      </c>
      <c r="AY107" s="435">
        <v>0</v>
      </c>
    </row>
    <row r="108" spans="2:51">
      <c r="B108" s="259">
        <v>10352</v>
      </c>
      <c r="C108" s="259" t="s">
        <v>111</v>
      </c>
      <c r="D108" s="435">
        <v>2715.5648148148161</v>
      </c>
      <c r="E108" s="435">
        <v>0</v>
      </c>
      <c r="F108" s="435">
        <v>917.41666666666526</v>
      </c>
      <c r="G108" s="435">
        <v>0</v>
      </c>
      <c r="H108" s="435">
        <v>2583.8581730769242</v>
      </c>
      <c r="I108" s="435">
        <v>0</v>
      </c>
      <c r="J108" s="435">
        <v>3578.4774999999981</v>
      </c>
      <c r="K108" s="435">
        <v>0</v>
      </c>
      <c r="L108" s="435">
        <v>1322.1749999999979</v>
      </c>
      <c r="M108" s="435">
        <v>0</v>
      </c>
      <c r="N108" s="435">
        <v>5052.5532407407418</v>
      </c>
      <c r="O108" s="435">
        <v>0</v>
      </c>
      <c r="P108" s="435">
        <v>2543.7331730769238</v>
      </c>
      <c r="Q108" s="435">
        <v>0</v>
      </c>
      <c r="R108" s="435">
        <v>0</v>
      </c>
      <c r="S108" s="435">
        <v>0</v>
      </c>
      <c r="T108" s="435">
        <v>1611.15625</v>
      </c>
      <c r="U108" s="435">
        <v>0</v>
      </c>
      <c r="V108" s="435">
        <v>1390.9975000000006</v>
      </c>
      <c r="W108" s="435">
        <v>0</v>
      </c>
      <c r="X108" s="435">
        <v>2177.3310185185187</v>
      </c>
      <c r="Y108" s="435">
        <v>0</v>
      </c>
      <c r="Z108" s="435">
        <v>1766.2799999999993</v>
      </c>
      <c r="AA108" s="435">
        <v>0</v>
      </c>
      <c r="AB108" s="435">
        <v>2145.5480769230785</v>
      </c>
      <c r="AC108" s="435">
        <v>0</v>
      </c>
      <c r="AD108" s="435">
        <v>1711.36</v>
      </c>
      <c r="AE108" s="435">
        <v>0</v>
      </c>
      <c r="AF108" s="435">
        <v>2583.8581730769242</v>
      </c>
      <c r="AG108" s="435">
        <v>0</v>
      </c>
      <c r="AH108" s="435">
        <v>3578.4774999999981</v>
      </c>
      <c r="AI108" s="435">
        <v>0</v>
      </c>
      <c r="AJ108" s="435">
        <v>498.01562500000074</v>
      </c>
      <c r="AK108" s="435">
        <v>0</v>
      </c>
      <c r="AL108" s="435">
        <v>5052.5532407407418</v>
      </c>
      <c r="AM108" s="435">
        <v>0</v>
      </c>
      <c r="AN108" s="435">
        <v>1915.9625000000001</v>
      </c>
      <c r="AO108" s="435">
        <v>0</v>
      </c>
      <c r="AP108" s="435">
        <v>0</v>
      </c>
      <c r="AQ108" s="435">
        <v>0</v>
      </c>
      <c r="AR108" s="435">
        <v>1611.15625</v>
      </c>
      <c r="AS108" s="435">
        <v>0</v>
      </c>
      <c r="AT108" s="435">
        <v>1390.9975000000006</v>
      </c>
      <c r="AU108" s="435">
        <v>0</v>
      </c>
      <c r="AV108" s="435">
        <v>2177.3310185185187</v>
      </c>
      <c r="AW108" s="435">
        <v>0</v>
      </c>
      <c r="AX108" s="435">
        <v>1766.2799999999993</v>
      </c>
      <c r="AY108" s="435">
        <v>0</v>
      </c>
    </row>
    <row r="109" spans="2:51">
      <c r="B109" s="259">
        <v>10354</v>
      </c>
      <c r="C109" s="259" t="s">
        <v>112</v>
      </c>
      <c r="D109" s="435">
        <v>0</v>
      </c>
      <c r="E109" s="435">
        <v>0</v>
      </c>
      <c r="F109" s="435">
        <v>0</v>
      </c>
      <c r="G109" s="435">
        <v>0</v>
      </c>
      <c r="H109" s="435">
        <v>0</v>
      </c>
      <c r="I109" s="435">
        <v>0</v>
      </c>
      <c r="J109" s="435">
        <v>0</v>
      </c>
      <c r="K109" s="435">
        <v>0</v>
      </c>
      <c r="L109" s="435">
        <v>0</v>
      </c>
      <c r="M109" s="435">
        <v>0</v>
      </c>
      <c r="N109" s="435">
        <v>0</v>
      </c>
      <c r="O109" s="435">
        <v>0</v>
      </c>
      <c r="P109" s="435">
        <v>0</v>
      </c>
      <c r="Q109" s="435">
        <v>0</v>
      </c>
      <c r="R109" s="435">
        <v>0</v>
      </c>
      <c r="S109" s="435">
        <v>0</v>
      </c>
      <c r="T109" s="435">
        <v>0</v>
      </c>
      <c r="U109" s="435">
        <v>0</v>
      </c>
      <c r="V109" s="435">
        <v>0</v>
      </c>
      <c r="W109" s="435">
        <v>0</v>
      </c>
      <c r="X109" s="435">
        <v>0</v>
      </c>
      <c r="Y109" s="435">
        <v>0</v>
      </c>
      <c r="Z109" s="435">
        <v>0</v>
      </c>
      <c r="AA109" s="435">
        <v>0</v>
      </c>
      <c r="AB109" s="435">
        <v>0</v>
      </c>
      <c r="AC109" s="435">
        <v>0</v>
      </c>
      <c r="AD109" s="435">
        <v>0</v>
      </c>
      <c r="AE109" s="435">
        <v>0</v>
      </c>
      <c r="AF109" s="435">
        <v>0</v>
      </c>
      <c r="AG109" s="435">
        <v>0</v>
      </c>
      <c r="AH109" s="435">
        <v>0</v>
      </c>
      <c r="AI109" s="435">
        <v>0</v>
      </c>
      <c r="AJ109" s="435">
        <v>0</v>
      </c>
      <c r="AK109" s="435">
        <v>0</v>
      </c>
      <c r="AL109" s="435">
        <v>0</v>
      </c>
      <c r="AM109" s="435">
        <v>0</v>
      </c>
      <c r="AN109" s="435">
        <v>0</v>
      </c>
      <c r="AO109" s="435">
        <v>0</v>
      </c>
      <c r="AP109" s="435">
        <v>0</v>
      </c>
      <c r="AQ109" s="435">
        <v>0</v>
      </c>
      <c r="AR109" s="435">
        <v>0</v>
      </c>
      <c r="AS109" s="435">
        <v>0</v>
      </c>
      <c r="AT109" s="435">
        <v>0</v>
      </c>
      <c r="AU109" s="435">
        <v>0</v>
      </c>
      <c r="AV109" s="435">
        <v>0</v>
      </c>
      <c r="AW109" s="435">
        <v>0</v>
      </c>
      <c r="AX109" s="435">
        <v>0</v>
      </c>
      <c r="AY109" s="435">
        <v>0</v>
      </c>
    </row>
    <row r="110" spans="2:51">
      <c r="B110" s="259">
        <v>10360</v>
      </c>
      <c r="C110" s="259" t="s">
        <v>113</v>
      </c>
      <c r="D110" s="435">
        <v>2486.7916666666661</v>
      </c>
      <c r="E110" s="435">
        <v>0</v>
      </c>
      <c r="F110" s="435">
        <v>543.48958333333371</v>
      </c>
      <c r="G110" s="435">
        <v>0</v>
      </c>
      <c r="H110" s="435">
        <v>821.00961538461513</v>
      </c>
      <c r="I110" s="435">
        <v>0</v>
      </c>
      <c r="J110" s="435">
        <v>607.36999999999978</v>
      </c>
      <c r="K110" s="435">
        <v>0</v>
      </c>
      <c r="L110" s="435">
        <v>761.69749999999988</v>
      </c>
      <c r="M110" s="435">
        <v>0</v>
      </c>
      <c r="N110" s="435">
        <v>854.70833333333337</v>
      </c>
      <c r="O110" s="435">
        <v>0</v>
      </c>
      <c r="P110" s="435">
        <v>2861.7403846153838</v>
      </c>
      <c r="Q110" s="435">
        <v>0</v>
      </c>
      <c r="R110" s="435">
        <v>114.73999999999896</v>
      </c>
      <c r="S110" s="435">
        <v>0</v>
      </c>
      <c r="T110" s="435">
        <v>989.74759615384801</v>
      </c>
      <c r="U110" s="435">
        <v>0</v>
      </c>
      <c r="V110" s="435">
        <v>1584.3700000000008</v>
      </c>
      <c r="W110" s="435">
        <v>0</v>
      </c>
      <c r="X110" s="435">
        <v>856.24537037037146</v>
      </c>
      <c r="Y110" s="435">
        <v>0</v>
      </c>
      <c r="Z110" s="435">
        <v>771.90499999999986</v>
      </c>
      <c r="AA110" s="435">
        <v>0</v>
      </c>
      <c r="AB110" s="435">
        <v>2338.2836538461538</v>
      </c>
      <c r="AC110" s="435">
        <v>0</v>
      </c>
      <c r="AD110" s="435">
        <v>713.79000000000042</v>
      </c>
      <c r="AE110" s="435">
        <v>0</v>
      </c>
      <c r="AF110" s="435">
        <v>821.00961538461513</v>
      </c>
      <c r="AG110" s="435">
        <v>0</v>
      </c>
      <c r="AH110" s="435">
        <v>607.36999999999978</v>
      </c>
      <c r="AI110" s="435">
        <v>0</v>
      </c>
      <c r="AJ110" s="435">
        <v>573.9765625</v>
      </c>
      <c r="AK110" s="435">
        <v>0</v>
      </c>
      <c r="AL110" s="435">
        <v>854.70833333333337</v>
      </c>
      <c r="AM110" s="435">
        <v>0</v>
      </c>
      <c r="AN110" s="435">
        <v>2654.7699999999986</v>
      </c>
      <c r="AO110" s="435">
        <v>0</v>
      </c>
      <c r="AP110" s="435">
        <v>467.0961538461529</v>
      </c>
      <c r="AQ110" s="435">
        <v>0</v>
      </c>
      <c r="AR110" s="435">
        <v>989.74759615384801</v>
      </c>
      <c r="AS110" s="435">
        <v>0</v>
      </c>
      <c r="AT110" s="435">
        <v>1584.3700000000008</v>
      </c>
      <c r="AU110" s="435">
        <v>0</v>
      </c>
      <c r="AV110" s="435">
        <v>856.24537037037146</v>
      </c>
      <c r="AW110" s="435">
        <v>0</v>
      </c>
      <c r="AX110" s="435">
        <v>771.90499999999986</v>
      </c>
      <c r="AY110" s="435">
        <v>0</v>
      </c>
    </row>
    <row r="111" spans="2:51">
      <c r="B111" s="259">
        <v>10363</v>
      </c>
      <c r="C111" s="259" t="s">
        <v>114</v>
      </c>
      <c r="D111" s="435">
        <v>12175.379629629624</v>
      </c>
      <c r="E111" s="435">
        <v>0</v>
      </c>
      <c r="F111" s="435">
        <v>1192.1874999999923</v>
      </c>
      <c r="G111" s="435">
        <v>0</v>
      </c>
      <c r="H111" s="435">
        <v>26218.749999999996</v>
      </c>
      <c r="I111" s="435">
        <v>0</v>
      </c>
      <c r="J111" s="435">
        <v>12069.797500000017</v>
      </c>
      <c r="K111" s="435">
        <v>0</v>
      </c>
      <c r="L111" s="435">
        <v>12747.837500000023</v>
      </c>
      <c r="M111" s="435">
        <v>0</v>
      </c>
      <c r="N111" s="435">
        <v>15107.518518518504</v>
      </c>
      <c r="O111" s="435">
        <v>0</v>
      </c>
      <c r="P111" s="435">
        <v>14983.019230769241</v>
      </c>
      <c r="Q111" s="435">
        <v>0</v>
      </c>
      <c r="R111" s="435">
        <v>0</v>
      </c>
      <c r="S111" s="435">
        <v>0</v>
      </c>
      <c r="T111" s="435">
        <v>7942.81249999999</v>
      </c>
      <c r="U111" s="435">
        <v>0</v>
      </c>
      <c r="V111" s="435">
        <v>6137.7224999999917</v>
      </c>
      <c r="W111" s="435">
        <v>0</v>
      </c>
      <c r="X111" s="435">
        <v>13059.356481481485</v>
      </c>
      <c r="Y111" s="435">
        <v>0</v>
      </c>
      <c r="Z111" s="435">
        <v>17787.459999999988</v>
      </c>
      <c r="AA111" s="435">
        <v>0</v>
      </c>
      <c r="AB111" s="435">
        <v>8716.9711538461524</v>
      </c>
      <c r="AC111" s="435">
        <v>0</v>
      </c>
      <c r="AD111" s="435">
        <v>6125.3799999999965</v>
      </c>
      <c r="AE111" s="435">
        <v>0</v>
      </c>
      <c r="AF111" s="435">
        <v>26218.749999999996</v>
      </c>
      <c r="AG111" s="435">
        <v>0</v>
      </c>
      <c r="AH111" s="435">
        <v>12069.797500000017</v>
      </c>
      <c r="AI111" s="435">
        <v>0</v>
      </c>
      <c r="AJ111" s="435">
        <v>7849.0390625000191</v>
      </c>
      <c r="AK111" s="435">
        <v>0</v>
      </c>
      <c r="AL111" s="435">
        <v>15107.518518518504</v>
      </c>
      <c r="AM111" s="435">
        <v>0</v>
      </c>
      <c r="AN111" s="435">
        <v>11119.060000000001</v>
      </c>
      <c r="AO111" s="435">
        <v>0</v>
      </c>
      <c r="AP111" s="435">
        <v>0</v>
      </c>
      <c r="AQ111" s="435">
        <v>0</v>
      </c>
      <c r="AR111" s="435">
        <v>7942.81249999999</v>
      </c>
      <c r="AS111" s="435">
        <v>0</v>
      </c>
      <c r="AT111" s="435">
        <v>6137.7224999999917</v>
      </c>
      <c r="AU111" s="435">
        <v>0</v>
      </c>
      <c r="AV111" s="435">
        <v>13059.356481481485</v>
      </c>
      <c r="AW111" s="435">
        <v>0</v>
      </c>
      <c r="AX111" s="435">
        <v>17787.459999999988</v>
      </c>
      <c r="AY111" s="435">
        <v>0</v>
      </c>
    </row>
    <row r="112" spans="2:51">
      <c r="B112" s="259">
        <v>10369</v>
      </c>
      <c r="C112" s="259" t="s">
        <v>115</v>
      </c>
      <c r="D112" s="435">
        <v>3466.6064814814818</v>
      </c>
      <c r="E112" s="435">
        <v>0</v>
      </c>
      <c r="F112" s="435">
        <v>299.96093749999898</v>
      </c>
      <c r="G112" s="435">
        <v>0</v>
      </c>
      <c r="H112" s="435">
        <v>3076.1490384615399</v>
      </c>
      <c r="I112" s="435">
        <v>0</v>
      </c>
      <c r="J112" s="435">
        <v>1836.9475000000004</v>
      </c>
      <c r="K112" s="435">
        <v>0</v>
      </c>
      <c r="L112" s="435">
        <v>1891.3450000000003</v>
      </c>
      <c r="M112" s="435">
        <v>0</v>
      </c>
      <c r="N112" s="435">
        <v>1859.6944444444418</v>
      </c>
      <c r="O112" s="435">
        <v>0</v>
      </c>
      <c r="P112" s="435">
        <v>6806.0408653846125</v>
      </c>
      <c r="Q112" s="435">
        <v>0</v>
      </c>
      <c r="R112" s="435">
        <v>2048.2549999999965</v>
      </c>
      <c r="S112" s="435">
        <v>0</v>
      </c>
      <c r="T112" s="435">
        <v>3782.538461538466</v>
      </c>
      <c r="U112" s="435">
        <v>0</v>
      </c>
      <c r="V112" s="435">
        <v>4750.5474999999997</v>
      </c>
      <c r="W112" s="435">
        <v>0</v>
      </c>
      <c r="X112" s="435">
        <v>4251.5000000000018</v>
      </c>
      <c r="Y112" s="435">
        <v>0</v>
      </c>
      <c r="Z112" s="435">
        <v>2539.7200000000016</v>
      </c>
      <c r="AA112" s="435">
        <v>0</v>
      </c>
      <c r="AB112" s="435">
        <v>2999.0913461538462</v>
      </c>
      <c r="AC112" s="435">
        <v>0</v>
      </c>
      <c r="AD112" s="435">
        <v>774.6024999999994</v>
      </c>
      <c r="AE112" s="435">
        <v>0</v>
      </c>
      <c r="AF112" s="435">
        <v>3076.1490384615399</v>
      </c>
      <c r="AG112" s="435">
        <v>0</v>
      </c>
      <c r="AH112" s="435">
        <v>1836.9475000000004</v>
      </c>
      <c r="AI112" s="435">
        <v>0</v>
      </c>
      <c r="AJ112" s="435">
        <v>1411.4427083333335</v>
      </c>
      <c r="AK112" s="435">
        <v>0</v>
      </c>
      <c r="AL112" s="435">
        <v>1859.6944444444418</v>
      </c>
      <c r="AM112" s="435">
        <v>0</v>
      </c>
      <c r="AN112" s="435">
        <v>6241.2024999999976</v>
      </c>
      <c r="AO112" s="435">
        <v>0</v>
      </c>
      <c r="AP112" s="435">
        <v>2962.3221153846116</v>
      </c>
      <c r="AQ112" s="435">
        <v>0</v>
      </c>
      <c r="AR112" s="435">
        <v>3782.538461538466</v>
      </c>
      <c r="AS112" s="435">
        <v>0</v>
      </c>
      <c r="AT112" s="435">
        <v>4750.5474999999997</v>
      </c>
      <c r="AU112" s="435">
        <v>0</v>
      </c>
      <c r="AV112" s="435">
        <v>4251.5000000000018</v>
      </c>
      <c r="AW112" s="435">
        <v>0</v>
      </c>
      <c r="AX112" s="435">
        <v>2539.7200000000016</v>
      </c>
      <c r="AY112" s="435">
        <v>0</v>
      </c>
    </row>
    <row r="113" spans="2:51">
      <c r="B113" s="259">
        <v>10370</v>
      </c>
      <c r="C113" s="259" t="s">
        <v>116</v>
      </c>
      <c r="D113" s="435">
        <v>0</v>
      </c>
      <c r="E113" s="435">
        <v>0</v>
      </c>
      <c r="F113" s="435">
        <v>0</v>
      </c>
      <c r="G113" s="435">
        <v>0</v>
      </c>
      <c r="H113" s="435">
        <v>0</v>
      </c>
      <c r="I113" s="435">
        <v>0</v>
      </c>
      <c r="J113" s="435">
        <v>0</v>
      </c>
      <c r="K113" s="435">
        <v>0</v>
      </c>
      <c r="L113" s="435">
        <v>0</v>
      </c>
      <c r="M113" s="435">
        <v>0</v>
      </c>
      <c r="N113" s="435">
        <v>0</v>
      </c>
      <c r="O113" s="435">
        <v>0</v>
      </c>
      <c r="P113" s="435">
        <v>0</v>
      </c>
      <c r="Q113" s="435">
        <v>0</v>
      </c>
      <c r="R113" s="435">
        <v>0</v>
      </c>
      <c r="S113" s="435">
        <v>0</v>
      </c>
      <c r="T113" s="435">
        <v>0</v>
      </c>
      <c r="U113" s="435">
        <v>0</v>
      </c>
      <c r="V113" s="435">
        <v>0</v>
      </c>
      <c r="W113" s="435">
        <v>0</v>
      </c>
      <c r="X113" s="435">
        <v>0</v>
      </c>
      <c r="Y113" s="435">
        <v>0</v>
      </c>
      <c r="Z113" s="435">
        <v>0</v>
      </c>
      <c r="AA113" s="435">
        <v>0</v>
      </c>
      <c r="AB113" s="435">
        <v>0</v>
      </c>
      <c r="AC113" s="435">
        <v>0</v>
      </c>
      <c r="AD113" s="435">
        <v>0</v>
      </c>
      <c r="AE113" s="435">
        <v>0</v>
      </c>
      <c r="AF113" s="435">
        <v>0</v>
      </c>
      <c r="AG113" s="435">
        <v>0</v>
      </c>
      <c r="AH113" s="435">
        <v>0</v>
      </c>
      <c r="AI113" s="435">
        <v>0</v>
      </c>
      <c r="AJ113" s="435">
        <v>0</v>
      </c>
      <c r="AK113" s="435">
        <v>0</v>
      </c>
      <c r="AL113" s="435">
        <v>0</v>
      </c>
      <c r="AM113" s="435">
        <v>0</v>
      </c>
      <c r="AN113" s="435">
        <v>0</v>
      </c>
      <c r="AO113" s="435">
        <v>0</v>
      </c>
      <c r="AP113" s="435">
        <v>0</v>
      </c>
      <c r="AQ113" s="435">
        <v>0</v>
      </c>
      <c r="AR113" s="435">
        <v>0</v>
      </c>
      <c r="AS113" s="435">
        <v>0</v>
      </c>
      <c r="AT113" s="435">
        <v>0</v>
      </c>
      <c r="AU113" s="435">
        <v>0</v>
      </c>
      <c r="AV113" s="435">
        <v>0</v>
      </c>
      <c r="AW113" s="435">
        <v>0</v>
      </c>
      <c r="AX113" s="435">
        <v>0</v>
      </c>
      <c r="AY113" s="435">
        <v>0</v>
      </c>
    </row>
    <row r="114" spans="2:51">
      <c r="B114" s="259">
        <v>10371</v>
      </c>
      <c r="C114" s="259" t="s">
        <v>117</v>
      </c>
      <c r="D114" s="435">
        <v>170.23611111111057</v>
      </c>
      <c r="E114" s="435">
        <v>0</v>
      </c>
      <c r="F114" s="435">
        <v>670.25781249999966</v>
      </c>
      <c r="G114" s="435">
        <v>0</v>
      </c>
      <c r="H114" s="435">
        <v>1902.6875000000016</v>
      </c>
      <c r="I114" s="435">
        <v>0</v>
      </c>
      <c r="J114" s="435">
        <v>1722.8299999999992</v>
      </c>
      <c r="K114" s="435">
        <v>0</v>
      </c>
      <c r="L114" s="435">
        <v>1766.7599999999998</v>
      </c>
      <c r="M114" s="435">
        <v>0</v>
      </c>
      <c r="N114" s="435">
        <v>801.05324074073985</v>
      </c>
      <c r="O114" s="435">
        <v>0</v>
      </c>
      <c r="P114" s="435">
        <v>0</v>
      </c>
      <c r="Q114" s="435">
        <v>0</v>
      </c>
      <c r="R114" s="435">
        <v>0</v>
      </c>
      <c r="S114" s="435">
        <v>0</v>
      </c>
      <c r="T114" s="435">
        <v>1285.2283653846166</v>
      </c>
      <c r="U114" s="435">
        <v>0</v>
      </c>
      <c r="V114" s="435">
        <v>1054.224999999999</v>
      </c>
      <c r="W114" s="435">
        <v>0</v>
      </c>
      <c r="X114" s="435">
        <v>1382.9976851851852</v>
      </c>
      <c r="Y114" s="435">
        <v>0</v>
      </c>
      <c r="Z114" s="435">
        <v>881.79000000000053</v>
      </c>
      <c r="AA114" s="435">
        <v>0</v>
      </c>
      <c r="AB114" s="435">
        <v>0</v>
      </c>
      <c r="AC114" s="435">
        <v>0</v>
      </c>
      <c r="AD114" s="435">
        <v>1252.2474999999997</v>
      </c>
      <c r="AE114" s="435">
        <v>0</v>
      </c>
      <c r="AF114" s="435">
        <v>1902.6875000000016</v>
      </c>
      <c r="AG114" s="435">
        <v>0</v>
      </c>
      <c r="AH114" s="435">
        <v>1722.8299999999992</v>
      </c>
      <c r="AI114" s="435">
        <v>0</v>
      </c>
      <c r="AJ114" s="435">
        <v>1197.9166666666661</v>
      </c>
      <c r="AK114" s="435">
        <v>0</v>
      </c>
      <c r="AL114" s="435">
        <v>801.05324074073985</v>
      </c>
      <c r="AM114" s="435">
        <v>0</v>
      </c>
      <c r="AN114" s="435">
        <v>0</v>
      </c>
      <c r="AO114" s="435">
        <v>0</v>
      </c>
      <c r="AP114" s="435">
        <v>232.88221153846013</v>
      </c>
      <c r="AQ114" s="435">
        <v>0</v>
      </c>
      <c r="AR114" s="435">
        <v>1285.2283653846166</v>
      </c>
      <c r="AS114" s="435">
        <v>0</v>
      </c>
      <c r="AT114" s="435">
        <v>1054.224999999999</v>
      </c>
      <c r="AU114" s="435">
        <v>0</v>
      </c>
      <c r="AV114" s="435">
        <v>1382.9976851851852</v>
      </c>
      <c r="AW114" s="435">
        <v>0</v>
      </c>
      <c r="AX114" s="435">
        <v>881.79000000000053</v>
      </c>
      <c r="AY114" s="435">
        <v>0</v>
      </c>
    </row>
    <row r="115" spans="2:51">
      <c r="B115" s="259">
        <v>10376</v>
      </c>
      <c r="C115" s="259" t="s">
        <v>118</v>
      </c>
      <c r="D115" s="435">
        <v>9550.0740740740675</v>
      </c>
      <c r="E115" s="435">
        <v>0</v>
      </c>
      <c r="F115" s="435">
        <v>1685.9192708333276</v>
      </c>
      <c r="G115" s="435">
        <v>0</v>
      </c>
      <c r="H115" s="435">
        <v>13807.721153846156</v>
      </c>
      <c r="I115" s="435">
        <v>0</v>
      </c>
      <c r="J115" s="435">
        <v>12001.999999999995</v>
      </c>
      <c r="K115" s="435">
        <v>0</v>
      </c>
      <c r="L115" s="435">
        <v>10004.012500000003</v>
      </c>
      <c r="M115" s="435">
        <v>0</v>
      </c>
      <c r="N115" s="435">
        <v>12260.009259259259</v>
      </c>
      <c r="O115" s="435">
        <v>0</v>
      </c>
      <c r="P115" s="435">
        <v>10902.057692307686</v>
      </c>
      <c r="Q115" s="435">
        <v>0</v>
      </c>
      <c r="R115" s="435">
        <v>2472.4074999999957</v>
      </c>
      <c r="S115" s="435">
        <v>0</v>
      </c>
      <c r="T115" s="435">
        <v>2493.7475961538498</v>
      </c>
      <c r="U115" s="435">
        <v>0</v>
      </c>
      <c r="V115" s="435">
        <v>4876.2349999999942</v>
      </c>
      <c r="W115" s="435">
        <v>0</v>
      </c>
      <c r="X115" s="435">
        <v>4104.4768518518531</v>
      </c>
      <c r="Y115" s="435">
        <v>0</v>
      </c>
      <c r="Z115" s="435">
        <v>0</v>
      </c>
      <c r="AA115" s="435">
        <v>0</v>
      </c>
      <c r="AB115" s="435">
        <v>7478.038461538461</v>
      </c>
      <c r="AC115" s="435">
        <v>0</v>
      </c>
      <c r="AD115" s="435">
        <v>4539.762499999998</v>
      </c>
      <c r="AE115" s="435">
        <v>0</v>
      </c>
      <c r="AF115" s="435">
        <v>13807.721153846156</v>
      </c>
      <c r="AG115" s="435">
        <v>0</v>
      </c>
      <c r="AH115" s="435">
        <v>12001.999999999995</v>
      </c>
      <c r="AI115" s="435">
        <v>0</v>
      </c>
      <c r="AJ115" s="435">
        <v>7256.3880208333412</v>
      </c>
      <c r="AK115" s="435">
        <v>0</v>
      </c>
      <c r="AL115" s="435">
        <v>12260.009259259259</v>
      </c>
      <c r="AM115" s="435">
        <v>0</v>
      </c>
      <c r="AN115" s="435">
        <v>8647.9399999999914</v>
      </c>
      <c r="AO115" s="435">
        <v>0</v>
      </c>
      <c r="AP115" s="435">
        <v>4494.4302884615299</v>
      </c>
      <c r="AQ115" s="435">
        <v>0</v>
      </c>
      <c r="AR115" s="435">
        <v>2493.7475961538498</v>
      </c>
      <c r="AS115" s="435">
        <v>0</v>
      </c>
      <c r="AT115" s="435">
        <v>4876.2349999999942</v>
      </c>
      <c r="AU115" s="435">
        <v>0</v>
      </c>
      <c r="AV115" s="435">
        <v>4104.4768518518531</v>
      </c>
      <c r="AW115" s="435">
        <v>0</v>
      </c>
      <c r="AX115" s="435">
        <v>0</v>
      </c>
      <c r="AY115" s="435">
        <v>0</v>
      </c>
    </row>
    <row r="116" spans="2:51">
      <c r="B116" s="259">
        <v>10378</v>
      </c>
      <c r="C116" s="259" t="s">
        <v>119</v>
      </c>
      <c r="D116" s="435">
        <v>0</v>
      </c>
      <c r="E116" s="435">
        <v>0</v>
      </c>
      <c r="F116" s="435">
        <v>0</v>
      </c>
      <c r="G116" s="435">
        <v>0</v>
      </c>
      <c r="H116" s="435">
        <v>427.57211538461513</v>
      </c>
      <c r="I116" s="435">
        <v>0</v>
      </c>
      <c r="J116" s="435">
        <v>130.14499999999961</v>
      </c>
      <c r="K116" s="435">
        <v>0</v>
      </c>
      <c r="L116" s="435">
        <v>149.75750000000022</v>
      </c>
      <c r="M116" s="435">
        <v>0</v>
      </c>
      <c r="N116" s="435">
        <v>147.01851851851833</v>
      </c>
      <c r="O116" s="435">
        <v>0</v>
      </c>
      <c r="P116" s="435">
        <v>9.6394230769232259</v>
      </c>
      <c r="Q116" s="435">
        <v>0</v>
      </c>
      <c r="R116" s="435">
        <v>80.612499999999585</v>
      </c>
      <c r="S116" s="435">
        <v>0</v>
      </c>
      <c r="T116" s="435">
        <v>28.117788461538453</v>
      </c>
      <c r="U116" s="435">
        <v>0</v>
      </c>
      <c r="V116" s="435">
        <v>86.492499999999808</v>
      </c>
      <c r="W116" s="435">
        <v>0</v>
      </c>
      <c r="X116" s="435">
        <v>172.65509259259261</v>
      </c>
      <c r="Y116" s="435">
        <v>0</v>
      </c>
      <c r="Z116" s="435">
        <v>154.40250000000006</v>
      </c>
      <c r="AA116" s="435">
        <v>0</v>
      </c>
      <c r="AB116" s="435">
        <v>0</v>
      </c>
      <c r="AC116" s="435">
        <v>0</v>
      </c>
      <c r="AD116" s="435">
        <v>0</v>
      </c>
      <c r="AE116" s="435">
        <v>0</v>
      </c>
      <c r="AF116" s="435">
        <v>427.57211538461513</v>
      </c>
      <c r="AG116" s="435">
        <v>0</v>
      </c>
      <c r="AH116" s="435">
        <v>130.14499999999961</v>
      </c>
      <c r="AI116" s="435">
        <v>0</v>
      </c>
      <c r="AJ116" s="435">
        <v>33.080729166667041</v>
      </c>
      <c r="AK116" s="435">
        <v>0</v>
      </c>
      <c r="AL116" s="435">
        <v>147.01851851851833</v>
      </c>
      <c r="AM116" s="435">
        <v>0</v>
      </c>
      <c r="AN116" s="435">
        <v>0</v>
      </c>
      <c r="AO116" s="435">
        <v>0</v>
      </c>
      <c r="AP116" s="435">
        <v>138.39663461538427</v>
      </c>
      <c r="AQ116" s="435">
        <v>0</v>
      </c>
      <c r="AR116" s="435">
        <v>28.117788461538453</v>
      </c>
      <c r="AS116" s="435">
        <v>0</v>
      </c>
      <c r="AT116" s="435">
        <v>86.492499999999808</v>
      </c>
      <c r="AU116" s="435">
        <v>0</v>
      </c>
      <c r="AV116" s="435">
        <v>172.65509259259261</v>
      </c>
      <c r="AW116" s="435">
        <v>0</v>
      </c>
      <c r="AX116" s="435">
        <v>154.40250000000006</v>
      </c>
      <c r="AY116" s="435">
        <v>0</v>
      </c>
    </row>
    <row r="117" spans="2:51">
      <c r="B117" s="259">
        <v>10379</v>
      </c>
      <c r="C117" s="259" t="s">
        <v>120</v>
      </c>
      <c r="D117" s="435">
        <v>988.1898148148158</v>
      </c>
      <c r="E117" s="435">
        <v>0</v>
      </c>
      <c r="F117" s="435">
        <v>657.70312500000023</v>
      </c>
      <c r="G117" s="435">
        <v>0</v>
      </c>
      <c r="H117" s="435">
        <v>2060.3870192307695</v>
      </c>
      <c r="I117" s="435">
        <v>0</v>
      </c>
      <c r="J117" s="435">
        <v>1632.6249999999998</v>
      </c>
      <c r="K117" s="435">
        <v>0</v>
      </c>
      <c r="L117" s="435">
        <v>1712.9725000000003</v>
      </c>
      <c r="M117" s="435">
        <v>0</v>
      </c>
      <c r="N117" s="435">
        <v>1078.7546296296307</v>
      </c>
      <c r="O117" s="435">
        <v>0</v>
      </c>
      <c r="P117" s="435">
        <v>225.37259615384642</v>
      </c>
      <c r="Q117" s="435">
        <v>0</v>
      </c>
      <c r="R117" s="435">
        <v>734.44000000000062</v>
      </c>
      <c r="S117" s="435">
        <v>0</v>
      </c>
      <c r="T117" s="435">
        <v>912.10096153846143</v>
      </c>
      <c r="U117" s="435">
        <v>0</v>
      </c>
      <c r="V117" s="435">
        <v>721.92499999999927</v>
      </c>
      <c r="W117" s="435">
        <v>0</v>
      </c>
      <c r="X117" s="435">
        <v>1018.388888888889</v>
      </c>
      <c r="Y117" s="435">
        <v>0</v>
      </c>
      <c r="Z117" s="435">
        <v>950.48999999999933</v>
      </c>
      <c r="AA117" s="435">
        <v>0</v>
      </c>
      <c r="AB117" s="435">
        <v>810.19711538461615</v>
      </c>
      <c r="AC117" s="435">
        <v>0</v>
      </c>
      <c r="AD117" s="435">
        <v>916.23500000000035</v>
      </c>
      <c r="AE117" s="435">
        <v>0</v>
      </c>
      <c r="AF117" s="435">
        <v>2060.3870192307695</v>
      </c>
      <c r="AG117" s="435">
        <v>0</v>
      </c>
      <c r="AH117" s="435">
        <v>1632.6249999999998</v>
      </c>
      <c r="AI117" s="435">
        <v>0</v>
      </c>
      <c r="AJ117" s="435">
        <v>1454.8880208333337</v>
      </c>
      <c r="AK117" s="435">
        <v>0</v>
      </c>
      <c r="AL117" s="435">
        <v>1078.7546296296307</v>
      </c>
      <c r="AM117" s="435">
        <v>0</v>
      </c>
      <c r="AN117" s="435">
        <v>28.427500000000272</v>
      </c>
      <c r="AO117" s="435">
        <v>0</v>
      </c>
      <c r="AP117" s="435">
        <v>899.42307692307691</v>
      </c>
      <c r="AQ117" s="435">
        <v>0</v>
      </c>
      <c r="AR117" s="435">
        <v>912.10096153846143</v>
      </c>
      <c r="AS117" s="435">
        <v>0</v>
      </c>
      <c r="AT117" s="435">
        <v>721.92499999999927</v>
      </c>
      <c r="AU117" s="435">
        <v>0</v>
      </c>
      <c r="AV117" s="435">
        <v>1018.388888888889</v>
      </c>
      <c r="AW117" s="435">
        <v>0</v>
      </c>
      <c r="AX117" s="435">
        <v>950.48999999999933</v>
      </c>
      <c r="AY117" s="435">
        <v>0</v>
      </c>
    </row>
    <row r="118" spans="2:51">
      <c r="B118" s="259">
        <v>10388</v>
      </c>
      <c r="C118" s="259" t="s">
        <v>121</v>
      </c>
      <c r="D118" s="435">
        <v>0</v>
      </c>
      <c r="E118" s="435">
        <v>0</v>
      </c>
      <c r="F118" s="435">
        <v>0</v>
      </c>
      <c r="G118" s="435">
        <v>0</v>
      </c>
      <c r="H118" s="435">
        <v>0</v>
      </c>
      <c r="I118" s="435">
        <v>0</v>
      </c>
      <c r="J118" s="435">
        <v>0</v>
      </c>
      <c r="K118" s="435">
        <v>0</v>
      </c>
      <c r="L118" s="435">
        <v>0</v>
      </c>
      <c r="M118" s="435">
        <v>0</v>
      </c>
      <c r="N118" s="435">
        <v>0</v>
      </c>
      <c r="O118" s="435">
        <v>0</v>
      </c>
      <c r="P118" s="435">
        <v>0</v>
      </c>
      <c r="Q118" s="435">
        <v>0</v>
      </c>
      <c r="R118" s="435">
        <v>0</v>
      </c>
      <c r="S118" s="435">
        <v>0</v>
      </c>
      <c r="T118" s="435">
        <v>0</v>
      </c>
      <c r="U118" s="435">
        <v>0</v>
      </c>
      <c r="V118" s="435">
        <v>0</v>
      </c>
      <c r="W118" s="435">
        <v>0</v>
      </c>
      <c r="X118" s="435">
        <v>0</v>
      </c>
      <c r="Y118" s="435">
        <v>0</v>
      </c>
      <c r="Z118" s="435">
        <v>0</v>
      </c>
      <c r="AA118" s="435">
        <v>0</v>
      </c>
      <c r="AB118" s="435">
        <v>0</v>
      </c>
      <c r="AC118" s="435">
        <v>0</v>
      </c>
      <c r="AD118" s="435">
        <v>0</v>
      </c>
      <c r="AE118" s="435">
        <v>0</v>
      </c>
      <c r="AF118" s="435">
        <v>0</v>
      </c>
      <c r="AG118" s="435">
        <v>0</v>
      </c>
      <c r="AH118" s="435">
        <v>0</v>
      </c>
      <c r="AI118" s="435">
        <v>0</v>
      </c>
      <c r="AJ118" s="435">
        <v>0</v>
      </c>
      <c r="AK118" s="435">
        <v>0</v>
      </c>
      <c r="AL118" s="435">
        <v>0</v>
      </c>
      <c r="AM118" s="435">
        <v>0</v>
      </c>
      <c r="AN118" s="435">
        <v>0</v>
      </c>
      <c r="AO118" s="435">
        <v>0</v>
      </c>
      <c r="AP118" s="435">
        <v>0</v>
      </c>
      <c r="AQ118" s="435">
        <v>0</v>
      </c>
      <c r="AR118" s="435">
        <v>0</v>
      </c>
      <c r="AS118" s="435">
        <v>0</v>
      </c>
      <c r="AT118" s="435">
        <v>0</v>
      </c>
      <c r="AU118" s="435">
        <v>0</v>
      </c>
      <c r="AV118" s="435">
        <v>0</v>
      </c>
      <c r="AW118" s="435">
        <v>0</v>
      </c>
      <c r="AX118" s="435">
        <v>0</v>
      </c>
      <c r="AY118" s="435">
        <v>0</v>
      </c>
    </row>
    <row r="119" spans="2:51">
      <c r="B119" s="259">
        <v>10391</v>
      </c>
      <c r="C119" s="259" t="s">
        <v>122</v>
      </c>
      <c r="D119" s="435">
        <v>2512.8819444444489</v>
      </c>
      <c r="E119" s="435">
        <v>0</v>
      </c>
      <c r="F119" s="435">
        <v>2717.1015624999927</v>
      </c>
      <c r="G119" s="435">
        <v>0</v>
      </c>
      <c r="H119" s="435">
        <v>9239.7788461538494</v>
      </c>
      <c r="I119" s="435">
        <v>0</v>
      </c>
      <c r="J119" s="435">
        <v>3889.6224999999999</v>
      </c>
      <c r="K119" s="435">
        <v>0</v>
      </c>
      <c r="L119" s="435">
        <v>4579.3625000000038</v>
      </c>
      <c r="M119" s="435">
        <v>0</v>
      </c>
      <c r="N119" s="435">
        <v>2268.5555555555547</v>
      </c>
      <c r="O119" s="435">
        <v>0</v>
      </c>
      <c r="P119" s="435">
        <v>1914.5168269230749</v>
      </c>
      <c r="Q119" s="435">
        <v>0</v>
      </c>
      <c r="R119" s="435">
        <v>3712.68</v>
      </c>
      <c r="S119" s="435">
        <v>0</v>
      </c>
      <c r="T119" s="435">
        <v>4209.1706730769256</v>
      </c>
      <c r="U119" s="435">
        <v>0</v>
      </c>
      <c r="V119" s="435">
        <v>8615.0750000000007</v>
      </c>
      <c r="W119" s="435">
        <v>0</v>
      </c>
      <c r="X119" s="435">
        <v>8603.4745370370329</v>
      </c>
      <c r="Y119" s="435">
        <v>0</v>
      </c>
      <c r="Z119" s="435">
        <v>0</v>
      </c>
      <c r="AA119" s="435">
        <v>0</v>
      </c>
      <c r="AB119" s="435">
        <v>1407.8774038461584</v>
      </c>
      <c r="AC119" s="435">
        <v>0</v>
      </c>
      <c r="AD119" s="435">
        <v>3996.2974999999988</v>
      </c>
      <c r="AE119" s="435">
        <v>0</v>
      </c>
      <c r="AF119" s="435">
        <v>9239.7788461538494</v>
      </c>
      <c r="AG119" s="435">
        <v>0</v>
      </c>
      <c r="AH119" s="435">
        <v>3889.6224999999999</v>
      </c>
      <c r="AI119" s="435">
        <v>0</v>
      </c>
      <c r="AJ119" s="435">
        <v>3242.7526041666697</v>
      </c>
      <c r="AK119" s="435">
        <v>0</v>
      </c>
      <c r="AL119" s="435">
        <v>2268.5555555555547</v>
      </c>
      <c r="AM119" s="435">
        <v>0</v>
      </c>
      <c r="AN119" s="435">
        <v>588.09750000000167</v>
      </c>
      <c r="AO119" s="435">
        <v>0</v>
      </c>
      <c r="AP119" s="435">
        <v>5268.3461538461534</v>
      </c>
      <c r="AQ119" s="435">
        <v>0</v>
      </c>
      <c r="AR119" s="435">
        <v>4209.1706730769256</v>
      </c>
      <c r="AS119" s="435">
        <v>0</v>
      </c>
      <c r="AT119" s="435">
        <v>8615.0750000000007</v>
      </c>
      <c r="AU119" s="435">
        <v>0</v>
      </c>
      <c r="AV119" s="435">
        <v>8603.4745370370329</v>
      </c>
      <c r="AW119" s="435">
        <v>0</v>
      </c>
      <c r="AX119" s="435">
        <v>0</v>
      </c>
      <c r="AY119" s="435">
        <v>0</v>
      </c>
    </row>
    <row r="120" spans="2:51">
      <c r="B120" s="259">
        <v>10406</v>
      </c>
      <c r="C120" s="259" t="s">
        <v>123</v>
      </c>
      <c r="D120" s="435">
        <v>159.64814814814812</v>
      </c>
      <c r="E120" s="435">
        <v>0</v>
      </c>
      <c r="F120" s="435">
        <v>142.84375</v>
      </c>
      <c r="G120" s="435">
        <v>0</v>
      </c>
      <c r="H120" s="435">
        <v>96.461538461538325</v>
      </c>
      <c r="I120" s="435">
        <v>0</v>
      </c>
      <c r="J120" s="435">
        <v>147.31500000000017</v>
      </c>
      <c r="K120" s="435">
        <v>0</v>
      </c>
      <c r="L120" s="435">
        <v>135.88749999999982</v>
      </c>
      <c r="M120" s="435">
        <v>0</v>
      </c>
      <c r="N120" s="435">
        <v>262.08796296296305</v>
      </c>
      <c r="O120" s="435">
        <v>0</v>
      </c>
      <c r="P120" s="435">
        <v>62.875000000000071</v>
      </c>
      <c r="Q120" s="435">
        <v>0</v>
      </c>
      <c r="R120" s="435">
        <v>0</v>
      </c>
      <c r="S120" s="435">
        <v>0</v>
      </c>
      <c r="T120" s="435">
        <v>65.956730769230703</v>
      </c>
      <c r="U120" s="435">
        <v>0</v>
      </c>
      <c r="V120" s="435">
        <v>0</v>
      </c>
      <c r="W120" s="435">
        <v>0</v>
      </c>
      <c r="X120" s="435">
        <v>25.511574074074144</v>
      </c>
      <c r="Y120" s="435">
        <v>0</v>
      </c>
      <c r="Z120" s="435">
        <v>36.522499999999958</v>
      </c>
      <c r="AA120" s="435">
        <v>0</v>
      </c>
      <c r="AB120" s="435">
        <v>142.24999999999997</v>
      </c>
      <c r="AC120" s="435">
        <v>0</v>
      </c>
      <c r="AD120" s="435">
        <v>171.68999999999994</v>
      </c>
      <c r="AE120" s="435">
        <v>0</v>
      </c>
      <c r="AF120" s="435">
        <v>96.461538461538325</v>
      </c>
      <c r="AG120" s="435">
        <v>0</v>
      </c>
      <c r="AH120" s="435">
        <v>147.31500000000017</v>
      </c>
      <c r="AI120" s="435">
        <v>0</v>
      </c>
      <c r="AJ120" s="435">
        <v>103.50781249999986</v>
      </c>
      <c r="AK120" s="435">
        <v>0</v>
      </c>
      <c r="AL120" s="435">
        <v>262.08796296296305</v>
      </c>
      <c r="AM120" s="435">
        <v>0</v>
      </c>
      <c r="AN120" s="435">
        <v>40.310000000000123</v>
      </c>
      <c r="AO120" s="435">
        <v>0</v>
      </c>
      <c r="AP120" s="435">
        <v>17.670673076923048</v>
      </c>
      <c r="AQ120" s="435">
        <v>0</v>
      </c>
      <c r="AR120" s="435">
        <v>65.956730769230703</v>
      </c>
      <c r="AS120" s="435">
        <v>0</v>
      </c>
      <c r="AT120" s="435">
        <v>0</v>
      </c>
      <c r="AU120" s="435">
        <v>0</v>
      </c>
      <c r="AV120" s="435">
        <v>25.511574074074144</v>
      </c>
      <c r="AW120" s="435">
        <v>0</v>
      </c>
      <c r="AX120" s="435">
        <v>36.522499999999958</v>
      </c>
      <c r="AY120" s="435">
        <v>0</v>
      </c>
    </row>
    <row r="121" spans="2:51">
      <c r="B121" s="259">
        <v>10408</v>
      </c>
      <c r="C121" s="259" t="s">
        <v>124</v>
      </c>
      <c r="D121" s="435">
        <v>156.89120370370367</v>
      </c>
      <c r="E121" s="435">
        <v>0</v>
      </c>
      <c r="F121" s="435">
        <v>22.893229166666806</v>
      </c>
      <c r="G121" s="435">
        <v>0</v>
      </c>
      <c r="H121" s="435">
        <v>209.58653846153848</v>
      </c>
      <c r="I121" s="435">
        <v>0</v>
      </c>
      <c r="J121" s="435">
        <v>119.51999999999984</v>
      </c>
      <c r="K121" s="435">
        <v>0</v>
      </c>
      <c r="L121" s="435">
        <v>178.61250000000001</v>
      </c>
      <c r="M121" s="435">
        <v>0</v>
      </c>
      <c r="N121" s="435">
        <v>264.96527777777811</v>
      </c>
      <c r="O121" s="435">
        <v>0</v>
      </c>
      <c r="P121" s="435">
        <v>180.68750000000023</v>
      </c>
      <c r="Q121" s="435">
        <v>0</v>
      </c>
      <c r="R121" s="435">
        <v>148.7299999999999</v>
      </c>
      <c r="S121" s="435">
        <v>0</v>
      </c>
      <c r="T121" s="435">
        <v>183.04326923076937</v>
      </c>
      <c r="U121" s="435">
        <v>0</v>
      </c>
      <c r="V121" s="435">
        <v>351.48249999999996</v>
      </c>
      <c r="W121" s="435">
        <v>0</v>
      </c>
      <c r="X121" s="435">
        <v>1094.8402777777776</v>
      </c>
      <c r="Y121" s="435">
        <v>0</v>
      </c>
      <c r="Z121" s="435">
        <v>0</v>
      </c>
      <c r="AA121" s="435">
        <v>0</v>
      </c>
      <c r="AB121" s="435">
        <v>101.23317307692322</v>
      </c>
      <c r="AC121" s="435">
        <v>0</v>
      </c>
      <c r="AD121" s="435">
        <v>86.417500000000032</v>
      </c>
      <c r="AE121" s="435">
        <v>0</v>
      </c>
      <c r="AF121" s="435">
        <v>209.58653846153848</v>
      </c>
      <c r="AG121" s="435">
        <v>0</v>
      </c>
      <c r="AH121" s="435">
        <v>119.51999999999984</v>
      </c>
      <c r="AI121" s="435">
        <v>0</v>
      </c>
      <c r="AJ121" s="435">
        <v>114.01302083333339</v>
      </c>
      <c r="AK121" s="435">
        <v>0</v>
      </c>
      <c r="AL121" s="435">
        <v>264.96527777777811</v>
      </c>
      <c r="AM121" s="435">
        <v>0</v>
      </c>
      <c r="AN121" s="435">
        <v>120.79500000000009</v>
      </c>
      <c r="AO121" s="435">
        <v>0</v>
      </c>
      <c r="AP121" s="435">
        <v>202.24038461538453</v>
      </c>
      <c r="AQ121" s="435">
        <v>0</v>
      </c>
      <c r="AR121" s="435">
        <v>183.04326923076937</v>
      </c>
      <c r="AS121" s="435">
        <v>0</v>
      </c>
      <c r="AT121" s="435">
        <v>351.48249999999996</v>
      </c>
      <c r="AU121" s="435">
        <v>0</v>
      </c>
      <c r="AV121" s="435">
        <v>1094.8402777777776</v>
      </c>
      <c r="AW121" s="435">
        <v>0</v>
      </c>
      <c r="AX121" s="435">
        <v>0</v>
      </c>
      <c r="AY121" s="435">
        <v>0</v>
      </c>
    </row>
    <row r="122" spans="2:51">
      <c r="B122" s="259">
        <v>10409</v>
      </c>
      <c r="C122" s="259" t="s">
        <v>125</v>
      </c>
      <c r="D122" s="435">
        <v>2127.212962962963</v>
      </c>
      <c r="E122" s="435">
        <v>0</v>
      </c>
      <c r="F122" s="435">
        <v>0</v>
      </c>
      <c r="G122" s="435">
        <v>0</v>
      </c>
      <c r="H122" s="435">
        <v>3179.2716346153857</v>
      </c>
      <c r="I122" s="435">
        <v>0</v>
      </c>
      <c r="J122" s="435">
        <v>540.86249999999939</v>
      </c>
      <c r="K122" s="435">
        <v>0</v>
      </c>
      <c r="L122" s="435">
        <v>3038.7500000000005</v>
      </c>
      <c r="M122" s="435">
        <v>0</v>
      </c>
      <c r="N122" s="435">
        <v>1525.7129629629653</v>
      </c>
      <c r="O122" s="435">
        <v>0</v>
      </c>
      <c r="P122" s="435">
        <v>1744.6346153846152</v>
      </c>
      <c r="Q122" s="435">
        <v>0</v>
      </c>
      <c r="R122" s="435">
        <v>0</v>
      </c>
      <c r="S122" s="435">
        <v>0</v>
      </c>
      <c r="T122" s="435">
        <v>1648.5192307692296</v>
      </c>
      <c r="U122" s="435">
        <v>0</v>
      </c>
      <c r="V122" s="435">
        <v>1553.8424999999982</v>
      </c>
      <c r="W122" s="435">
        <v>0</v>
      </c>
      <c r="X122" s="435">
        <v>1357.7662037037037</v>
      </c>
      <c r="Y122" s="435">
        <v>0</v>
      </c>
      <c r="Z122" s="435">
        <v>1389.3924999999974</v>
      </c>
      <c r="AA122" s="435">
        <v>0</v>
      </c>
      <c r="AB122" s="435">
        <v>1410.221153846154</v>
      </c>
      <c r="AC122" s="435">
        <v>0</v>
      </c>
      <c r="AD122" s="435">
        <v>641.59500000000151</v>
      </c>
      <c r="AE122" s="435">
        <v>0</v>
      </c>
      <c r="AF122" s="435">
        <v>3179.2716346153857</v>
      </c>
      <c r="AG122" s="435">
        <v>0</v>
      </c>
      <c r="AH122" s="435">
        <v>540.86249999999939</v>
      </c>
      <c r="AI122" s="435">
        <v>0</v>
      </c>
      <c r="AJ122" s="435">
        <v>2146.3645833333339</v>
      </c>
      <c r="AK122" s="435">
        <v>0</v>
      </c>
      <c r="AL122" s="435">
        <v>1525.7129629629653</v>
      </c>
      <c r="AM122" s="435">
        <v>0</v>
      </c>
      <c r="AN122" s="435">
        <v>1014.8199999999998</v>
      </c>
      <c r="AO122" s="435">
        <v>0</v>
      </c>
      <c r="AP122" s="435">
        <v>704.45913461538362</v>
      </c>
      <c r="AQ122" s="435">
        <v>0</v>
      </c>
      <c r="AR122" s="435">
        <v>1648.5192307692296</v>
      </c>
      <c r="AS122" s="435">
        <v>0</v>
      </c>
      <c r="AT122" s="435">
        <v>1553.8424999999982</v>
      </c>
      <c r="AU122" s="435">
        <v>0</v>
      </c>
      <c r="AV122" s="435">
        <v>1357.7662037037037</v>
      </c>
      <c r="AW122" s="435">
        <v>0</v>
      </c>
      <c r="AX122" s="435">
        <v>1389.3924999999974</v>
      </c>
      <c r="AY122" s="435">
        <v>0</v>
      </c>
    </row>
    <row r="123" spans="2:51">
      <c r="B123" s="259">
        <v>10426</v>
      </c>
      <c r="C123" s="259" t="s">
        <v>126</v>
      </c>
      <c r="D123" s="435">
        <v>0</v>
      </c>
      <c r="E123" s="435">
        <v>0</v>
      </c>
      <c r="F123" s="435">
        <v>0</v>
      </c>
      <c r="G123" s="435">
        <v>0</v>
      </c>
      <c r="H123" s="435">
        <v>0</v>
      </c>
      <c r="I123" s="435">
        <v>0</v>
      </c>
      <c r="J123" s="435">
        <v>0</v>
      </c>
      <c r="K123" s="435">
        <v>0</v>
      </c>
      <c r="L123" s="435">
        <v>778.99000000000206</v>
      </c>
      <c r="M123" s="435">
        <v>0</v>
      </c>
      <c r="N123" s="435">
        <v>3596.9791666666656</v>
      </c>
      <c r="O123" s="435">
        <v>0</v>
      </c>
      <c r="P123" s="435">
        <v>0</v>
      </c>
      <c r="Q123" s="435">
        <v>0</v>
      </c>
      <c r="R123" s="435">
        <v>0</v>
      </c>
      <c r="S123" s="435">
        <v>0</v>
      </c>
      <c r="T123" s="435">
        <v>0</v>
      </c>
      <c r="U123" s="435">
        <v>0</v>
      </c>
      <c r="V123" s="435">
        <v>0</v>
      </c>
      <c r="W123" s="435">
        <v>0</v>
      </c>
      <c r="X123" s="435">
        <v>0</v>
      </c>
      <c r="Y123" s="435">
        <v>0</v>
      </c>
      <c r="Z123" s="435">
        <v>0</v>
      </c>
      <c r="AA123" s="435">
        <v>0</v>
      </c>
      <c r="AB123" s="435">
        <v>0</v>
      </c>
      <c r="AC123" s="435">
        <v>0</v>
      </c>
      <c r="AD123" s="435">
        <v>258.26499999999885</v>
      </c>
      <c r="AE123" s="435">
        <v>0</v>
      </c>
      <c r="AF123" s="435">
        <v>0</v>
      </c>
      <c r="AG123" s="435">
        <v>0</v>
      </c>
      <c r="AH123" s="435">
        <v>0</v>
      </c>
      <c r="AI123" s="435">
        <v>0</v>
      </c>
      <c r="AJ123" s="435">
        <v>0</v>
      </c>
      <c r="AK123" s="435">
        <v>0</v>
      </c>
      <c r="AL123" s="435">
        <v>3596.9791666666656</v>
      </c>
      <c r="AM123" s="435">
        <v>0</v>
      </c>
      <c r="AN123" s="435">
        <v>0</v>
      </c>
      <c r="AO123" s="435">
        <v>0</v>
      </c>
      <c r="AP123" s="435">
        <v>0</v>
      </c>
      <c r="AQ123" s="435">
        <v>0</v>
      </c>
      <c r="AR123" s="435">
        <v>0</v>
      </c>
      <c r="AS123" s="435">
        <v>0</v>
      </c>
      <c r="AT123" s="435">
        <v>0</v>
      </c>
      <c r="AU123" s="435">
        <v>0</v>
      </c>
      <c r="AV123" s="435">
        <v>0</v>
      </c>
      <c r="AW123" s="435">
        <v>0</v>
      </c>
      <c r="AX123" s="435">
        <v>0</v>
      </c>
      <c r="AY123" s="435">
        <v>0</v>
      </c>
    </row>
    <row r="124" spans="2:51">
      <c r="B124" s="259">
        <v>10434</v>
      </c>
      <c r="C124" s="259" t="s">
        <v>127</v>
      </c>
      <c r="D124" s="435">
        <v>5225.4745370370401</v>
      </c>
      <c r="E124" s="435">
        <v>0</v>
      </c>
      <c r="F124" s="435">
        <v>2843.7890624999991</v>
      </c>
      <c r="G124" s="435">
        <v>0</v>
      </c>
      <c r="H124" s="435">
        <v>6334.3509615384601</v>
      </c>
      <c r="I124" s="435">
        <v>0</v>
      </c>
      <c r="J124" s="435">
        <v>2316.3674999999985</v>
      </c>
      <c r="K124" s="435">
        <v>0</v>
      </c>
      <c r="L124" s="435">
        <v>4624.9324999999981</v>
      </c>
      <c r="M124" s="435">
        <v>0</v>
      </c>
      <c r="N124" s="435">
        <v>6190.5370370370365</v>
      </c>
      <c r="O124" s="435">
        <v>0</v>
      </c>
      <c r="P124" s="435">
        <v>5656.9447115384592</v>
      </c>
      <c r="Q124" s="435">
        <v>0</v>
      </c>
      <c r="R124" s="435">
        <v>2654.6200000000003</v>
      </c>
      <c r="S124" s="435">
        <v>0</v>
      </c>
      <c r="T124" s="435">
        <v>3389.1394230769229</v>
      </c>
      <c r="U124" s="435">
        <v>0</v>
      </c>
      <c r="V124" s="435">
        <v>4448.4350000000022</v>
      </c>
      <c r="W124" s="435">
        <v>0</v>
      </c>
      <c r="X124" s="435">
        <v>4701.1990740740739</v>
      </c>
      <c r="Y124" s="435">
        <v>0</v>
      </c>
      <c r="Z124" s="435">
        <v>7304.4000000000005</v>
      </c>
      <c r="AA124" s="435">
        <v>0</v>
      </c>
      <c r="AB124" s="435">
        <v>4186.6466346153884</v>
      </c>
      <c r="AC124" s="435">
        <v>0</v>
      </c>
      <c r="AD124" s="435">
        <v>4245.6374999999989</v>
      </c>
      <c r="AE124" s="435">
        <v>0</v>
      </c>
      <c r="AF124" s="435">
        <v>6334.3509615384601</v>
      </c>
      <c r="AG124" s="435">
        <v>0</v>
      </c>
      <c r="AH124" s="435">
        <v>2316.3674999999985</v>
      </c>
      <c r="AI124" s="435">
        <v>0</v>
      </c>
      <c r="AJ124" s="435">
        <v>3115.2213541666692</v>
      </c>
      <c r="AK124" s="435">
        <v>0</v>
      </c>
      <c r="AL124" s="435">
        <v>6190.5370370370365</v>
      </c>
      <c r="AM124" s="435">
        <v>0</v>
      </c>
      <c r="AN124" s="435">
        <v>4530.1424999999981</v>
      </c>
      <c r="AO124" s="435">
        <v>0</v>
      </c>
      <c r="AP124" s="435">
        <v>3694.3653846153834</v>
      </c>
      <c r="AQ124" s="435">
        <v>0</v>
      </c>
      <c r="AR124" s="435">
        <v>3389.1394230769229</v>
      </c>
      <c r="AS124" s="435">
        <v>0</v>
      </c>
      <c r="AT124" s="435">
        <v>4448.4350000000022</v>
      </c>
      <c r="AU124" s="435">
        <v>0</v>
      </c>
      <c r="AV124" s="435">
        <v>4701.1990740740739</v>
      </c>
      <c r="AW124" s="435">
        <v>0</v>
      </c>
      <c r="AX124" s="435">
        <v>7304.4000000000005</v>
      </c>
      <c r="AY124" s="435">
        <v>0</v>
      </c>
    </row>
    <row r="125" spans="2:51">
      <c r="B125" s="259">
        <v>10436</v>
      </c>
      <c r="C125" s="259" t="s">
        <v>128</v>
      </c>
      <c r="D125" s="435">
        <v>3047.4722222222208</v>
      </c>
      <c r="E125" s="435">
        <v>0</v>
      </c>
      <c r="F125" s="435">
        <v>2204.3177083333303</v>
      </c>
      <c r="G125" s="435">
        <v>0</v>
      </c>
      <c r="H125" s="435">
        <v>2618.7139423076937</v>
      </c>
      <c r="I125" s="435">
        <v>0</v>
      </c>
      <c r="J125" s="435">
        <v>3271.6349999999979</v>
      </c>
      <c r="K125" s="435">
        <v>0</v>
      </c>
      <c r="L125" s="435">
        <v>2128.3550000000027</v>
      </c>
      <c r="M125" s="435">
        <v>0</v>
      </c>
      <c r="N125" s="435">
        <v>2803.537037037036</v>
      </c>
      <c r="O125" s="435">
        <v>0</v>
      </c>
      <c r="P125" s="435">
        <v>4132.545673076922</v>
      </c>
      <c r="Q125" s="435">
        <v>0</v>
      </c>
      <c r="R125" s="435">
        <v>4431.1900000000041</v>
      </c>
      <c r="S125" s="435">
        <v>0</v>
      </c>
      <c r="T125" s="435">
        <v>6750.1009615384655</v>
      </c>
      <c r="U125" s="435">
        <v>0</v>
      </c>
      <c r="V125" s="435">
        <v>4729.6899999999923</v>
      </c>
      <c r="W125" s="435">
        <v>0</v>
      </c>
      <c r="X125" s="435">
        <v>6245.1273148148111</v>
      </c>
      <c r="Y125" s="435">
        <v>0</v>
      </c>
      <c r="Z125" s="435">
        <v>4499.6925000000001</v>
      </c>
      <c r="AA125" s="435">
        <v>0</v>
      </c>
      <c r="AB125" s="435">
        <v>2487.6442307692282</v>
      </c>
      <c r="AC125" s="435">
        <v>0</v>
      </c>
      <c r="AD125" s="435">
        <v>2937.8649999999975</v>
      </c>
      <c r="AE125" s="435">
        <v>0</v>
      </c>
      <c r="AF125" s="435">
        <v>2618.7139423076937</v>
      </c>
      <c r="AG125" s="435">
        <v>0</v>
      </c>
      <c r="AH125" s="435">
        <v>3271.6349999999979</v>
      </c>
      <c r="AI125" s="435">
        <v>0</v>
      </c>
      <c r="AJ125" s="435">
        <v>1366.0781250000014</v>
      </c>
      <c r="AK125" s="435">
        <v>0</v>
      </c>
      <c r="AL125" s="435">
        <v>2803.537037037036</v>
      </c>
      <c r="AM125" s="435">
        <v>0</v>
      </c>
      <c r="AN125" s="435">
        <v>3509.6874999999973</v>
      </c>
      <c r="AO125" s="435">
        <v>0</v>
      </c>
      <c r="AP125" s="435">
        <v>5400.5673076923094</v>
      </c>
      <c r="AQ125" s="435">
        <v>0</v>
      </c>
      <c r="AR125" s="435">
        <v>6750.1009615384655</v>
      </c>
      <c r="AS125" s="435">
        <v>0</v>
      </c>
      <c r="AT125" s="435">
        <v>4729.6899999999923</v>
      </c>
      <c r="AU125" s="435">
        <v>0</v>
      </c>
      <c r="AV125" s="435">
        <v>6245.1273148148111</v>
      </c>
      <c r="AW125" s="435">
        <v>0</v>
      </c>
      <c r="AX125" s="435">
        <v>4499.6925000000001</v>
      </c>
      <c r="AY125" s="435">
        <v>0</v>
      </c>
    </row>
    <row r="126" spans="2:51">
      <c r="B126" s="259">
        <v>10440</v>
      </c>
      <c r="C126" s="259" t="s">
        <v>129</v>
      </c>
      <c r="D126" s="435">
        <v>512.1828703703701</v>
      </c>
      <c r="E126" s="435">
        <v>0</v>
      </c>
      <c r="F126" s="435">
        <v>530.74218750000091</v>
      </c>
      <c r="G126" s="435">
        <v>0</v>
      </c>
      <c r="H126" s="435">
        <v>1728.7908653846148</v>
      </c>
      <c r="I126" s="435">
        <v>0</v>
      </c>
      <c r="J126" s="435">
        <v>1127.4350000000011</v>
      </c>
      <c r="K126" s="435">
        <v>0</v>
      </c>
      <c r="L126" s="435">
        <v>1305.0624999999995</v>
      </c>
      <c r="M126" s="435">
        <v>0</v>
      </c>
      <c r="N126" s="435">
        <v>1625.9398148148141</v>
      </c>
      <c r="O126" s="435">
        <v>0</v>
      </c>
      <c r="P126" s="435">
        <v>1022.4927884615385</v>
      </c>
      <c r="Q126" s="435">
        <v>0</v>
      </c>
      <c r="R126" s="435">
        <v>0</v>
      </c>
      <c r="S126" s="435">
        <v>0</v>
      </c>
      <c r="T126" s="435">
        <v>88.228365384615429</v>
      </c>
      <c r="U126" s="435">
        <v>0</v>
      </c>
      <c r="V126" s="435">
        <v>412.57</v>
      </c>
      <c r="W126" s="435">
        <v>0</v>
      </c>
      <c r="X126" s="435">
        <v>589.8171296296299</v>
      </c>
      <c r="Y126" s="435">
        <v>0</v>
      </c>
      <c r="Z126" s="435">
        <v>36.242499999999957</v>
      </c>
      <c r="AA126" s="435">
        <v>0</v>
      </c>
      <c r="AB126" s="435">
        <v>337.45913461538504</v>
      </c>
      <c r="AC126" s="435">
        <v>0</v>
      </c>
      <c r="AD126" s="435">
        <v>810.27250000000038</v>
      </c>
      <c r="AE126" s="435">
        <v>0</v>
      </c>
      <c r="AF126" s="435">
        <v>1728.7908653846148</v>
      </c>
      <c r="AG126" s="435">
        <v>0</v>
      </c>
      <c r="AH126" s="435">
        <v>1127.4350000000011</v>
      </c>
      <c r="AI126" s="435">
        <v>0</v>
      </c>
      <c r="AJ126" s="435">
        <v>1034.3984374999998</v>
      </c>
      <c r="AK126" s="435">
        <v>0</v>
      </c>
      <c r="AL126" s="435">
        <v>1625.9398148148141</v>
      </c>
      <c r="AM126" s="435">
        <v>0</v>
      </c>
      <c r="AN126" s="435">
        <v>820.3125</v>
      </c>
      <c r="AO126" s="435">
        <v>0</v>
      </c>
      <c r="AP126" s="435">
        <v>0</v>
      </c>
      <c r="AQ126" s="435">
        <v>0</v>
      </c>
      <c r="AR126" s="435">
        <v>88.228365384615429</v>
      </c>
      <c r="AS126" s="435">
        <v>0</v>
      </c>
      <c r="AT126" s="435">
        <v>412.57</v>
      </c>
      <c r="AU126" s="435">
        <v>0</v>
      </c>
      <c r="AV126" s="435">
        <v>589.8171296296299</v>
      </c>
      <c r="AW126" s="435">
        <v>0</v>
      </c>
      <c r="AX126" s="435">
        <v>36.242499999999957</v>
      </c>
      <c r="AY126" s="435">
        <v>0</v>
      </c>
    </row>
    <row r="127" spans="2:51">
      <c r="B127" s="259">
        <v>10442</v>
      </c>
      <c r="C127" s="259" t="s">
        <v>130</v>
      </c>
      <c r="D127" s="435">
        <v>3125.2245370370347</v>
      </c>
      <c r="E127" s="435">
        <v>0</v>
      </c>
      <c r="F127" s="435">
        <v>5123.2135416666652</v>
      </c>
      <c r="G127" s="435">
        <v>0</v>
      </c>
      <c r="H127" s="435">
        <v>6176.7235576923067</v>
      </c>
      <c r="I127" s="435">
        <v>0</v>
      </c>
      <c r="J127" s="435">
        <v>3508.5074999999979</v>
      </c>
      <c r="K127" s="435">
        <v>0</v>
      </c>
      <c r="L127" s="435">
        <v>3543.3825000000015</v>
      </c>
      <c r="M127" s="435">
        <v>0</v>
      </c>
      <c r="N127" s="435">
        <v>3349.7986111111118</v>
      </c>
      <c r="O127" s="435">
        <v>0</v>
      </c>
      <c r="P127" s="435">
        <v>2709.3918269230758</v>
      </c>
      <c r="Q127" s="435">
        <v>0</v>
      </c>
      <c r="R127" s="435">
        <v>1626.5175000000008</v>
      </c>
      <c r="S127" s="435">
        <v>0</v>
      </c>
      <c r="T127" s="435">
        <v>3052.1346153846148</v>
      </c>
      <c r="U127" s="435">
        <v>0</v>
      </c>
      <c r="V127" s="435">
        <v>3183.4625000000015</v>
      </c>
      <c r="W127" s="435">
        <v>0</v>
      </c>
      <c r="X127" s="435">
        <v>2818.9490740740725</v>
      </c>
      <c r="Y127" s="435">
        <v>0</v>
      </c>
      <c r="Z127" s="435">
        <v>1127.0225000000003</v>
      </c>
      <c r="AA127" s="435">
        <v>0</v>
      </c>
      <c r="AB127" s="435">
        <v>2749.3870192307668</v>
      </c>
      <c r="AC127" s="435">
        <v>0</v>
      </c>
      <c r="AD127" s="435">
        <v>5664.9649999999983</v>
      </c>
      <c r="AE127" s="435">
        <v>0</v>
      </c>
      <c r="AF127" s="435">
        <v>6176.7235576923067</v>
      </c>
      <c r="AG127" s="435">
        <v>0</v>
      </c>
      <c r="AH127" s="435">
        <v>3508.5074999999979</v>
      </c>
      <c r="AI127" s="435">
        <v>0</v>
      </c>
      <c r="AJ127" s="435">
        <v>2993.2317708333348</v>
      </c>
      <c r="AK127" s="435">
        <v>0</v>
      </c>
      <c r="AL127" s="435">
        <v>3349.7986111111118</v>
      </c>
      <c r="AM127" s="435">
        <v>0</v>
      </c>
      <c r="AN127" s="435">
        <v>2301.5274999999988</v>
      </c>
      <c r="AO127" s="435">
        <v>0</v>
      </c>
      <c r="AP127" s="435">
        <v>2087.5360576923085</v>
      </c>
      <c r="AQ127" s="435">
        <v>0</v>
      </c>
      <c r="AR127" s="435">
        <v>3052.1346153846148</v>
      </c>
      <c r="AS127" s="435">
        <v>0</v>
      </c>
      <c r="AT127" s="435">
        <v>3183.4625000000015</v>
      </c>
      <c r="AU127" s="435">
        <v>0</v>
      </c>
      <c r="AV127" s="435">
        <v>2818.9490740740725</v>
      </c>
      <c r="AW127" s="435">
        <v>0</v>
      </c>
      <c r="AX127" s="435">
        <v>1127.0225000000003</v>
      </c>
      <c r="AY127" s="435">
        <v>0</v>
      </c>
    </row>
    <row r="128" spans="2:51">
      <c r="B128" s="259">
        <v>10446</v>
      </c>
      <c r="C128" s="259" t="s">
        <v>131</v>
      </c>
      <c r="D128" s="435">
        <v>8428.2546296296387</v>
      </c>
      <c r="E128" s="435">
        <v>0</v>
      </c>
      <c r="F128" s="435">
        <v>4575.4192708333294</v>
      </c>
      <c r="G128" s="435">
        <v>0</v>
      </c>
      <c r="H128" s="435">
        <v>14887.262019230766</v>
      </c>
      <c r="I128" s="435">
        <v>0</v>
      </c>
      <c r="J128" s="435">
        <v>6182.1724999999933</v>
      </c>
      <c r="K128" s="435">
        <v>0</v>
      </c>
      <c r="L128" s="435">
        <v>10227.819999999998</v>
      </c>
      <c r="M128" s="435">
        <v>0</v>
      </c>
      <c r="N128" s="435">
        <v>8567.5416666666715</v>
      </c>
      <c r="O128" s="435">
        <v>0</v>
      </c>
      <c r="P128" s="435">
        <v>9603.9879807692232</v>
      </c>
      <c r="Q128" s="435">
        <v>0</v>
      </c>
      <c r="R128" s="435">
        <v>1647.607499999996</v>
      </c>
      <c r="S128" s="435">
        <v>0</v>
      </c>
      <c r="T128" s="435">
        <v>8190.2596153846034</v>
      </c>
      <c r="U128" s="435">
        <v>0</v>
      </c>
      <c r="V128" s="435">
        <v>7915.9324999999972</v>
      </c>
      <c r="W128" s="435">
        <v>0</v>
      </c>
      <c r="X128" s="435">
        <v>8232.6458333333358</v>
      </c>
      <c r="Y128" s="435">
        <v>0</v>
      </c>
      <c r="Z128" s="435">
        <v>11627.459999999997</v>
      </c>
      <c r="AA128" s="435">
        <v>0</v>
      </c>
      <c r="AB128" s="435">
        <v>5051.495192307686</v>
      </c>
      <c r="AC128" s="435">
        <v>0</v>
      </c>
      <c r="AD128" s="435">
        <v>8517.8024999999943</v>
      </c>
      <c r="AE128" s="435">
        <v>0</v>
      </c>
      <c r="AF128" s="435">
        <v>14887.262019230766</v>
      </c>
      <c r="AG128" s="435">
        <v>0</v>
      </c>
      <c r="AH128" s="435">
        <v>6182.1724999999933</v>
      </c>
      <c r="AI128" s="435">
        <v>0</v>
      </c>
      <c r="AJ128" s="435">
        <v>6324.5208333333421</v>
      </c>
      <c r="AK128" s="435">
        <v>0</v>
      </c>
      <c r="AL128" s="435">
        <v>8567.5416666666715</v>
      </c>
      <c r="AM128" s="435">
        <v>0</v>
      </c>
      <c r="AN128" s="435">
        <v>6276.4275000000025</v>
      </c>
      <c r="AO128" s="435">
        <v>0</v>
      </c>
      <c r="AP128" s="435">
        <v>4685.6225961538521</v>
      </c>
      <c r="AQ128" s="435">
        <v>0</v>
      </c>
      <c r="AR128" s="435">
        <v>8190.2596153846034</v>
      </c>
      <c r="AS128" s="435">
        <v>0</v>
      </c>
      <c r="AT128" s="435">
        <v>7915.9324999999972</v>
      </c>
      <c r="AU128" s="435">
        <v>0</v>
      </c>
      <c r="AV128" s="435">
        <v>8232.6458333333358</v>
      </c>
      <c r="AW128" s="435">
        <v>0</v>
      </c>
      <c r="AX128" s="435">
        <v>11627.459999999997</v>
      </c>
      <c r="AY128" s="435">
        <v>0</v>
      </c>
    </row>
    <row r="129" spans="2:51">
      <c r="B129" s="259">
        <v>10448</v>
      </c>
      <c r="C129" s="259" t="s">
        <v>132</v>
      </c>
      <c r="D129" s="435">
        <v>0</v>
      </c>
      <c r="E129" s="435">
        <v>0</v>
      </c>
      <c r="F129" s="435">
        <v>0</v>
      </c>
      <c r="G129" s="435">
        <v>0</v>
      </c>
      <c r="H129" s="435">
        <v>0</v>
      </c>
      <c r="I129" s="435">
        <v>0</v>
      </c>
      <c r="J129" s="435">
        <v>0</v>
      </c>
      <c r="K129" s="435">
        <v>0</v>
      </c>
      <c r="L129" s="435">
        <v>0</v>
      </c>
      <c r="M129" s="435">
        <v>0</v>
      </c>
      <c r="N129" s="435">
        <v>0</v>
      </c>
      <c r="O129" s="435">
        <v>0</v>
      </c>
      <c r="P129" s="435">
        <v>0</v>
      </c>
      <c r="Q129" s="435">
        <v>0</v>
      </c>
      <c r="R129" s="435">
        <v>0</v>
      </c>
      <c r="S129" s="435">
        <v>0</v>
      </c>
      <c r="T129" s="435">
        <v>0</v>
      </c>
      <c r="U129" s="435">
        <v>0</v>
      </c>
      <c r="V129" s="435">
        <v>0</v>
      </c>
      <c r="W129" s="435">
        <v>0</v>
      </c>
      <c r="X129" s="435">
        <v>0</v>
      </c>
      <c r="Y129" s="435">
        <v>0</v>
      </c>
      <c r="Z129" s="435">
        <v>0</v>
      </c>
      <c r="AA129" s="435">
        <v>0</v>
      </c>
      <c r="AB129" s="435">
        <v>0</v>
      </c>
      <c r="AC129" s="435">
        <v>0</v>
      </c>
      <c r="AD129" s="435">
        <v>0</v>
      </c>
      <c r="AE129" s="435">
        <v>0</v>
      </c>
      <c r="AF129" s="435">
        <v>0</v>
      </c>
      <c r="AG129" s="435">
        <v>0</v>
      </c>
      <c r="AH129" s="435">
        <v>0</v>
      </c>
      <c r="AI129" s="435">
        <v>0</v>
      </c>
      <c r="AJ129" s="435">
        <v>0</v>
      </c>
      <c r="AK129" s="435">
        <v>0</v>
      </c>
      <c r="AL129" s="435">
        <v>0</v>
      </c>
      <c r="AM129" s="435">
        <v>0</v>
      </c>
      <c r="AN129" s="435">
        <v>0</v>
      </c>
      <c r="AO129" s="435">
        <v>0</v>
      </c>
      <c r="AP129" s="435">
        <v>0</v>
      </c>
      <c r="AQ129" s="435">
        <v>0</v>
      </c>
      <c r="AR129" s="435">
        <v>0</v>
      </c>
      <c r="AS129" s="435">
        <v>0</v>
      </c>
      <c r="AT129" s="435">
        <v>0</v>
      </c>
      <c r="AU129" s="435">
        <v>0</v>
      </c>
      <c r="AV129" s="435">
        <v>0</v>
      </c>
      <c r="AW129" s="435">
        <v>0</v>
      </c>
      <c r="AX129" s="435">
        <v>0</v>
      </c>
      <c r="AY129" s="435">
        <v>0</v>
      </c>
    </row>
    <row r="130" spans="2:51">
      <c r="B130" s="259">
        <v>10451</v>
      </c>
      <c r="C130" s="259" t="s">
        <v>133</v>
      </c>
      <c r="D130" s="435">
        <v>2629.3611111111127</v>
      </c>
      <c r="E130" s="435">
        <v>0</v>
      </c>
      <c r="F130" s="435">
        <v>995.92447916666413</v>
      </c>
      <c r="G130" s="435">
        <v>0</v>
      </c>
      <c r="H130" s="435">
        <v>3233.4182692307713</v>
      </c>
      <c r="I130" s="435">
        <v>0</v>
      </c>
      <c r="J130" s="435">
        <v>832.11250000000086</v>
      </c>
      <c r="K130" s="435">
        <v>0</v>
      </c>
      <c r="L130" s="435">
        <v>0</v>
      </c>
      <c r="M130" s="435">
        <v>0</v>
      </c>
      <c r="N130" s="435">
        <v>0</v>
      </c>
      <c r="O130" s="435">
        <v>0</v>
      </c>
      <c r="P130" s="435">
        <v>2755.2427884615367</v>
      </c>
      <c r="Q130" s="435">
        <v>0</v>
      </c>
      <c r="R130" s="435">
        <v>732.71749999999975</v>
      </c>
      <c r="S130" s="435">
        <v>0</v>
      </c>
      <c r="T130" s="435">
        <v>2283.6706730769229</v>
      </c>
      <c r="U130" s="435">
        <v>0</v>
      </c>
      <c r="V130" s="435">
        <v>1480.3125000000002</v>
      </c>
      <c r="W130" s="435">
        <v>0</v>
      </c>
      <c r="X130" s="435">
        <v>1701.9166666666692</v>
      </c>
      <c r="Y130" s="435">
        <v>0</v>
      </c>
      <c r="Z130" s="435">
        <v>2646.0249999999983</v>
      </c>
      <c r="AA130" s="435">
        <v>0</v>
      </c>
      <c r="AB130" s="435">
        <v>1642.2596153846171</v>
      </c>
      <c r="AC130" s="435">
        <v>0</v>
      </c>
      <c r="AD130" s="435">
        <v>2101.8074999999994</v>
      </c>
      <c r="AE130" s="435">
        <v>0</v>
      </c>
      <c r="AF130" s="435">
        <v>3233.4182692307713</v>
      </c>
      <c r="AG130" s="435">
        <v>0</v>
      </c>
      <c r="AH130" s="435">
        <v>832.11250000000086</v>
      </c>
      <c r="AI130" s="435">
        <v>0</v>
      </c>
      <c r="AJ130" s="435">
        <v>0</v>
      </c>
      <c r="AK130" s="435">
        <v>0</v>
      </c>
      <c r="AL130" s="435">
        <v>0</v>
      </c>
      <c r="AM130" s="435">
        <v>0</v>
      </c>
      <c r="AN130" s="435">
        <v>1757.8125</v>
      </c>
      <c r="AO130" s="435">
        <v>0</v>
      </c>
      <c r="AP130" s="435">
        <v>1763.805288461537</v>
      </c>
      <c r="AQ130" s="435">
        <v>0</v>
      </c>
      <c r="AR130" s="435">
        <v>2283.6706730769229</v>
      </c>
      <c r="AS130" s="435">
        <v>0</v>
      </c>
      <c r="AT130" s="435">
        <v>1480.3125000000002</v>
      </c>
      <c r="AU130" s="435">
        <v>0</v>
      </c>
      <c r="AV130" s="435">
        <v>1701.9166666666692</v>
      </c>
      <c r="AW130" s="435">
        <v>0</v>
      </c>
      <c r="AX130" s="435">
        <v>2646.0249999999983</v>
      </c>
      <c r="AY130" s="435">
        <v>0</v>
      </c>
    </row>
    <row r="131" spans="2:51">
      <c r="B131" s="259">
        <v>10482</v>
      </c>
      <c r="C131" s="259" t="s">
        <v>134</v>
      </c>
      <c r="D131" s="435">
        <v>407.19444444444395</v>
      </c>
      <c r="E131" s="435">
        <v>0</v>
      </c>
      <c r="F131" s="435">
        <v>233.73437500000014</v>
      </c>
      <c r="G131" s="435">
        <v>0</v>
      </c>
      <c r="H131" s="435">
        <v>549.15625000000034</v>
      </c>
      <c r="I131" s="435">
        <v>0</v>
      </c>
      <c r="J131" s="435">
        <v>355.87000000000023</v>
      </c>
      <c r="K131" s="435">
        <v>0</v>
      </c>
      <c r="L131" s="435">
        <v>389.19500000000016</v>
      </c>
      <c r="M131" s="435">
        <v>0</v>
      </c>
      <c r="N131" s="435">
        <v>355.36342592592575</v>
      </c>
      <c r="O131" s="435">
        <v>0</v>
      </c>
      <c r="P131" s="435">
        <v>441.61538461538464</v>
      </c>
      <c r="Q131" s="435">
        <v>0</v>
      </c>
      <c r="R131" s="435">
        <v>335.10750000000002</v>
      </c>
      <c r="S131" s="435">
        <v>0</v>
      </c>
      <c r="T131" s="435">
        <v>436.16346153846149</v>
      </c>
      <c r="U131" s="435">
        <v>0</v>
      </c>
      <c r="V131" s="435">
        <v>548.96500000000037</v>
      </c>
      <c r="W131" s="435">
        <v>0</v>
      </c>
      <c r="X131" s="435">
        <v>815.5555555555552</v>
      </c>
      <c r="Y131" s="435">
        <v>0</v>
      </c>
      <c r="Z131" s="435">
        <v>808.95749999999953</v>
      </c>
      <c r="AA131" s="435">
        <v>0</v>
      </c>
      <c r="AB131" s="435">
        <v>309.12499999999989</v>
      </c>
      <c r="AC131" s="435">
        <v>0</v>
      </c>
      <c r="AD131" s="435">
        <v>352.02500000000038</v>
      </c>
      <c r="AE131" s="435">
        <v>0</v>
      </c>
      <c r="AF131" s="435">
        <v>549.15625000000034</v>
      </c>
      <c r="AG131" s="435">
        <v>0</v>
      </c>
      <c r="AH131" s="435">
        <v>355.87000000000023</v>
      </c>
      <c r="AI131" s="435">
        <v>0</v>
      </c>
      <c r="AJ131" s="435">
        <v>274.66145833333377</v>
      </c>
      <c r="AK131" s="435">
        <v>0</v>
      </c>
      <c r="AL131" s="435">
        <v>355.36342592592575</v>
      </c>
      <c r="AM131" s="435">
        <v>0</v>
      </c>
      <c r="AN131" s="435">
        <v>339.71999999999991</v>
      </c>
      <c r="AO131" s="435">
        <v>0</v>
      </c>
      <c r="AP131" s="435">
        <v>438.8725961538463</v>
      </c>
      <c r="AQ131" s="435">
        <v>0</v>
      </c>
      <c r="AR131" s="435">
        <v>436.16346153846149</v>
      </c>
      <c r="AS131" s="435">
        <v>0</v>
      </c>
      <c r="AT131" s="435">
        <v>548.96500000000037</v>
      </c>
      <c r="AU131" s="435">
        <v>0</v>
      </c>
      <c r="AV131" s="435">
        <v>815.5555555555552</v>
      </c>
      <c r="AW131" s="435">
        <v>0</v>
      </c>
      <c r="AX131" s="435">
        <v>808.95749999999953</v>
      </c>
      <c r="AY131" s="435">
        <v>0</v>
      </c>
    </row>
    <row r="132" spans="2:51">
      <c r="B132" s="259">
        <v>10502</v>
      </c>
      <c r="C132" s="259" t="s">
        <v>135</v>
      </c>
      <c r="D132" s="435">
        <v>4009.9606481481478</v>
      </c>
      <c r="E132" s="435">
        <v>0</v>
      </c>
      <c r="F132" s="435">
        <v>4870.036458333333</v>
      </c>
      <c r="G132" s="435">
        <v>0</v>
      </c>
      <c r="H132" s="435">
        <v>1618.4086538461534</v>
      </c>
      <c r="I132" s="435">
        <v>0</v>
      </c>
      <c r="J132" s="435">
        <v>2107.2575000000029</v>
      </c>
      <c r="K132" s="435">
        <v>0</v>
      </c>
      <c r="L132" s="435">
        <v>1827.3775000000001</v>
      </c>
      <c r="M132" s="435">
        <v>0</v>
      </c>
      <c r="N132" s="435">
        <v>3568.5324074074083</v>
      </c>
      <c r="O132" s="435">
        <v>0</v>
      </c>
      <c r="P132" s="435">
        <v>6476.3245192307704</v>
      </c>
      <c r="Q132" s="435">
        <v>0</v>
      </c>
      <c r="R132" s="435">
        <v>6621.0374999999985</v>
      </c>
      <c r="S132" s="435">
        <v>0</v>
      </c>
      <c r="T132" s="435">
        <v>5152.329326923078</v>
      </c>
      <c r="U132" s="435">
        <v>0</v>
      </c>
      <c r="V132" s="435">
        <v>3595.9100000000035</v>
      </c>
      <c r="W132" s="435">
        <v>0</v>
      </c>
      <c r="X132" s="435">
        <v>6474.9652777777774</v>
      </c>
      <c r="Y132" s="435">
        <v>0</v>
      </c>
      <c r="Z132" s="435">
        <v>7285.7374999999965</v>
      </c>
      <c r="AA132" s="435">
        <v>0</v>
      </c>
      <c r="AB132" s="435">
        <v>3362.9975961538462</v>
      </c>
      <c r="AC132" s="435">
        <v>0</v>
      </c>
      <c r="AD132" s="435">
        <v>5406.1149999999998</v>
      </c>
      <c r="AE132" s="435">
        <v>0</v>
      </c>
      <c r="AF132" s="435">
        <v>1618.4086538461534</v>
      </c>
      <c r="AG132" s="435">
        <v>0</v>
      </c>
      <c r="AH132" s="435">
        <v>2107.2575000000029</v>
      </c>
      <c r="AI132" s="435">
        <v>0</v>
      </c>
      <c r="AJ132" s="435">
        <v>1263.184895833333</v>
      </c>
      <c r="AK132" s="435">
        <v>0</v>
      </c>
      <c r="AL132" s="435">
        <v>3568.5324074074083</v>
      </c>
      <c r="AM132" s="435">
        <v>0</v>
      </c>
      <c r="AN132" s="435">
        <v>5912.5375000000013</v>
      </c>
      <c r="AO132" s="435">
        <v>0</v>
      </c>
      <c r="AP132" s="435">
        <v>7373.5745192307668</v>
      </c>
      <c r="AQ132" s="435">
        <v>0</v>
      </c>
      <c r="AR132" s="435">
        <v>5152.329326923078</v>
      </c>
      <c r="AS132" s="435">
        <v>0</v>
      </c>
      <c r="AT132" s="435">
        <v>3595.9100000000035</v>
      </c>
      <c r="AU132" s="435">
        <v>0</v>
      </c>
      <c r="AV132" s="435">
        <v>6474.9652777777774</v>
      </c>
      <c r="AW132" s="435">
        <v>0</v>
      </c>
      <c r="AX132" s="435">
        <v>7285.7374999999965</v>
      </c>
      <c r="AY132" s="435">
        <v>0</v>
      </c>
    </row>
    <row r="133" spans="2:51">
      <c r="B133" s="364">
        <v>13927</v>
      </c>
      <c r="C133" s="259" t="s">
        <v>320</v>
      </c>
      <c r="D133" s="435">
        <v>0</v>
      </c>
      <c r="E133" s="435">
        <v>0</v>
      </c>
      <c r="F133" s="435">
        <v>0</v>
      </c>
      <c r="G133" s="435">
        <v>0</v>
      </c>
      <c r="H133" s="435">
        <v>0</v>
      </c>
      <c r="I133" s="435">
        <v>0</v>
      </c>
      <c r="J133" s="435">
        <v>0</v>
      </c>
      <c r="K133" s="435">
        <v>0</v>
      </c>
      <c r="L133" s="435">
        <v>0</v>
      </c>
      <c r="M133" s="435">
        <v>0</v>
      </c>
      <c r="N133" s="435">
        <v>0</v>
      </c>
      <c r="O133" s="435">
        <v>0</v>
      </c>
      <c r="P133" s="435">
        <v>0</v>
      </c>
      <c r="Q133" s="435">
        <v>0</v>
      </c>
      <c r="R133" s="435">
        <v>0</v>
      </c>
      <c r="S133" s="435">
        <v>0</v>
      </c>
      <c r="T133" s="435">
        <v>0</v>
      </c>
      <c r="U133" s="435">
        <v>0</v>
      </c>
      <c r="V133" s="435">
        <v>0</v>
      </c>
      <c r="W133" s="435">
        <v>0</v>
      </c>
      <c r="X133" s="435">
        <v>0</v>
      </c>
      <c r="Y133" s="435">
        <v>0</v>
      </c>
      <c r="Z133" s="435">
        <v>0</v>
      </c>
      <c r="AA133" s="435">
        <v>0</v>
      </c>
      <c r="AB133" s="435">
        <v>0</v>
      </c>
      <c r="AC133" s="435">
        <v>0</v>
      </c>
      <c r="AD133" s="435">
        <v>0</v>
      </c>
      <c r="AE133" s="435">
        <v>0</v>
      </c>
      <c r="AF133" s="435">
        <v>0</v>
      </c>
      <c r="AG133" s="435">
        <v>0</v>
      </c>
      <c r="AH133" s="435">
        <v>0</v>
      </c>
      <c r="AI133" s="435">
        <v>0</v>
      </c>
      <c r="AJ133" s="435">
        <v>0</v>
      </c>
      <c r="AK133" s="435">
        <v>0</v>
      </c>
      <c r="AL133" s="435">
        <v>0</v>
      </c>
      <c r="AM133" s="435">
        <v>0</v>
      </c>
      <c r="AN133" s="435">
        <v>0</v>
      </c>
      <c r="AO133" s="435">
        <v>0</v>
      </c>
      <c r="AP133" s="435">
        <v>0</v>
      </c>
      <c r="AQ133" s="435">
        <v>0</v>
      </c>
      <c r="AR133" s="435">
        <v>0</v>
      </c>
      <c r="AS133" s="435">
        <v>0</v>
      </c>
      <c r="AT133" s="435">
        <v>0</v>
      </c>
      <c r="AU133" s="435">
        <v>0</v>
      </c>
      <c r="AV133" s="435">
        <v>0</v>
      </c>
      <c r="AW133" s="435">
        <v>0</v>
      </c>
      <c r="AX133" s="435">
        <v>0</v>
      </c>
      <c r="AY133" s="435">
        <v>0</v>
      </c>
    </row>
    <row r="134" spans="2:51">
      <c r="B134" s="259">
        <v>10597</v>
      </c>
      <c r="C134" s="259" t="s">
        <v>136</v>
      </c>
      <c r="D134" s="435">
        <v>1706.3425925925922</v>
      </c>
      <c r="E134" s="435">
        <v>0</v>
      </c>
      <c r="F134" s="435">
        <v>1201.036458333331</v>
      </c>
      <c r="G134" s="435">
        <v>0</v>
      </c>
      <c r="H134" s="435">
        <v>3234.8052884615413</v>
      </c>
      <c r="I134" s="435">
        <v>0</v>
      </c>
      <c r="J134" s="435">
        <v>1199.5050000000017</v>
      </c>
      <c r="K134" s="435">
        <v>0</v>
      </c>
      <c r="L134" s="435">
        <v>1601.0774999999971</v>
      </c>
      <c r="M134" s="435">
        <v>0</v>
      </c>
      <c r="N134" s="435">
        <v>2319.5509259259275</v>
      </c>
      <c r="O134" s="435">
        <v>0</v>
      </c>
      <c r="P134" s="435">
        <v>1803.7860576923081</v>
      </c>
      <c r="Q134" s="435">
        <v>0</v>
      </c>
      <c r="R134" s="435">
        <v>1314.7775000000026</v>
      </c>
      <c r="S134" s="435">
        <v>0</v>
      </c>
      <c r="T134" s="435">
        <v>1294.2187500000016</v>
      </c>
      <c r="U134" s="435">
        <v>0</v>
      </c>
      <c r="V134" s="435">
        <v>2005.252500000001</v>
      </c>
      <c r="W134" s="435">
        <v>0</v>
      </c>
      <c r="X134" s="435">
        <v>1895.6458333333321</v>
      </c>
      <c r="Y134" s="435">
        <v>0</v>
      </c>
      <c r="Z134" s="435">
        <v>1104.0424999999993</v>
      </c>
      <c r="AA134" s="435">
        <v>0</v>
      </c>
      <c r="AB134" s="435">
        <v>1246.3942307692309</v>
      </c>
      <c r="AC134" s="435">
        <v>0</v>
      </c>
      <c r="AD134" s="435">
        <v>1771.5949999999982</v>
      </c>
      <c r="AE134" s="435">
        <v>0</v>
      </c>
      <c r="AF134" s="435">
        <v>3234.8052884615413</v>
      </c>
      <c r="AG134" s="435">
        <v>0</v>
      </c>
      <c r="AH134" s="435">
        <v>1199.5050000000017</v>
      </c>
      <c r="AI134" s="435">
        <v>0</v>
      </c>
      <c r="AJ134" s="435">
        <v>1050.2890624999975</v>
      </c>
      <c r="AK134" s="435">
        <v>0</v>
      </c>
      <c r="AL134" s="435">
        <v>2319.5509259259275</v>
      </c>
      <c r="AM134" s="435">
        <v>0</v>
      </c>
      <c r="AN134" s="435">
        <v>1361.0974999999994</v>
      </c>
      <c r="AO134" s="435">
        <v>0</v>
      </c>
      <c r="AP134" s="435">
        <v>1789.0552884615411</v>
      </c>
      <c r="AQ134" s="435">
        <v>0</v>
      </c>
      <c r="AR134" s="435">
        <v>1294.2187500000016</v>
      </c>
      <c r="AS134" s="435">
        <v>0</v>
      </c>
      <c r="AT134" s="435">
        <v>2005.252500000001</v>
      </c>
      <c r="AU134" s="435">
        <v>0</v>
      </c>
      <c r="AV134" s="435">
        <v>1895.6458333333321</v>
      </c>
      <c r="AW134" s="435">
        <v>0</v>
      </c>
      <c r="AX134" s="435">
        <v>1104.0424999999993</v>
      </c>
      <c r="AY134" s="435">
        <v>0</v>
      </c>
    </row>
    <row r="135" spans="2:51">
      <c r="B135" s="259">
        <v>10706</v>
      </c>
      <c r="C135" s="259" t="s">
        <v>137</v>
      </c>
      <c r="D135" s="435">
        <v>1726.9236111111113</v>
      </c>
      <c r="E135" s="435">
        <v>0</v>
      </c>
      <c r="F135" s="435">
        <v>1107.9713541666649</v>
      </c>
      <c r="G135" s="435">
        <v>0</v>
      </c>
      <c r="H135" s="435">
        <v>1990.0024038461552</v>
      </c>
      <c r="I135" s="435">
        <v>0</v>
      </c>
      <c r="J135" s="435">
        <v>2025.6199999999965</v>
      </c>
      <c r="K135" s="435">
        <v>0</v>
      </c>
      <c r="L135" s="435">
        <v>3333.5650000000001</v>
      </c>
      <c r="M135" s="435">
        <v>0</v>
      </c>
      <c r="N135" s="435">
        <v>3307.4166666666647</v>
      </c>
      <c r="O135" s="435">
        <v>0</v>
      </c>
      <c r="P135" s="435">
        <v>2685.2932692307663</v>
      </c>
      <c r="Q135" s="435">
        <v>0</v>
      </c>
      <c r="R135" s="435">
        <v>1643.1400000000008</v>
      </c>
      <c r="S135" s="435">
        <v>0</v>
      </c>
      <c r="T135" s="435">
        <v>2993.7716346153857</v>
      </c>
      <c r="U135" s="435">
        <v>0</v>
      </c>
      <c r="V135" s="435">
        <v>2300.8375000000001</v>
      </c>
      <c r="W135" s="435">
        <v>0</v>
      </c>
      <c r="X135" s="435">
        <v>4426.5578703703686</v>
      </c>
      <c r="Y135" s="435">
        <v>0</v>
      </c>
      <c r="Z135" s="435">
        <v>3348.01</v>
      </c>
      <c r="AA135" s="435">
        <v>0</v>
      </c>
      <c r="AB135" s="435">
        <v>1100.6129807692312</v>
      </c>
      <c r="AC135" s="435">
        <v>0</v>
      </c>
      <c r="AD135" s="435">
        <v>1779.2924999999968</v>
      </c>
      <c r="AE135" s="435">
        <v>0</v>
      </c>
      <c r="AF135" s="435">
        <v>1990.0024038461552</v>
      </c>
      <c r="AG135" s="435">
        <v>0</v>
      </c>
      <c r="AH135" s="435">
        <v>2025.6199999999965</v>
      </c>
      <c r="AI135" s="435">
        <v>0</v>
      </c>
      <c r="AJ135" s="435">
        <v>2554.8802083333335</v>
      </c>
      <c r="AK135" s="435">
        <v>0</v>
      </c>
      <c r="AL135" s="435">
        <v>3307.4166666666647</v>
      </c>
      <c r="AM135" s="435">
        <v>0</v>
      </c>
      <c r="AN135" s="435">
        <v>1918.4649999999986</v>
      </c>
      <c r="AO135" s="435">
        <v>0</v>
      </c>
      <c r="AP135" s="435">
        <v>2412.5192307692328</v>
      </c>
      <c r="AQ135" s="435">
        <v>0</v>
      </c>
      <c r="AR135" s="435">
        <v>2993.7716346153857</v>
      </c>
      <c r="AS135" s="435">
        <v>0</v>
      </c>
      <c r="AT135" s="435">
        <v>2300.8375000000001</v>
      </c>
      <c r="AU135" s="435">
        <v>0</v>
      </c>
      <c r="AV135" s="435">
        <v>4426.5578703703686</v>
      </c>
      <c r="AW135" s="435">
        <v>0</v>
      </c>
      <c r="AX135" s="435">
        <v>3348.01</v>
      </c>
      <c r="AY135" s="435">
        <v>0</v>
      </c>
    </row>
    <row r="136" spans="2:51">
      <c r="B136" s="259">
        <v>11680</v>
      </c>
      <c r="C136" s="259" t="s">
        <v>138</v>
      </c>
      <c r="D136" s="435">
        <v>146.99999999999957</v>
      </c>
      <c r="E136" s="435">
        <v>0</v>
      </c>
      <c r="F136" s="435">
        <v>0</v>
      </c>
      <c r="G136" s="435">
        <v>0</v>
      </c>
      <c r="H136" s="435">
        <v>509.47115384615404</v>
      </c>
      <c r="I136" s="435">
        <v>0</v>
      </c>
      <c r="J136" s="435">
        <v>272.30499999999938</v>
      </c>
      <c r="K136" s="435">
        <v>0</v>
      </c>
      <c r="L136" s="435">
        <v>958.22749999999871</v>
      </c>
      <c r="M136" s="435">
        <v>0</v>
      </c>
      <c r="N136" s="435">
        <v>422.89120370370313</v>
      </c>
      <c r="O136" s="435">
        <v>0</v>
      </c>
      <c r="P136" s="435">
        <v>395.52884615384642</v>
      </c>
      <c r="Q136" s="435">
        <v>0</v>
      </c>
      <c r="R136" s="435">
        <v>0</v>
      </c>
      <c r="S136" s="435">
        <v>0</v>
      </c>
      <c r="T136" s="435">
        <v>429.44711538461667</v>
      </c>
      <c r="U136" s="435">
        <v>0</v>
      </c>
      <c r="V136" s="435">
        <v>871.21749999999975</v>
      </c>
      <c r="W136" s="435">
        <v>0</v>
      </c>
      <c r="X136" s="435">
        <v>144.23148148148181</v>
      </c>
      <c r="Y136" s="435">
        <v>0</v>
      </c>
      <c r="Z136" s="435">
        <v>510.06250000000097</v>
      </c>
      <c r="AA136" s="435">
        <v>0</v>
      </c>
      <c r="AB136" s="435">
        <v>0</v>
      </c>
      <c r="AC136" s="435">
        <v>0</v>
      </c>
      <c r="AD136" s="435">
        <v>231.53250000000014</v>
      </c>
      <c r="AE136" s="435">
        <v>0</v>
      </c>
      <c r="AF136" s="435">
        <v>509.47115384615404</v>
      </c>
      <c r="AG136" s="435">
        <v>0</v>
      </c>
      <c r="AH136" s="435">
        <v>272.30499999999938</v>
      </c>
      <c r="AI136" s="435">
        <v>0</v>
      </c>
      <c r="AJ136" s="435">
        <v>646.94531249999886</v>
      </c>
      <c r="AK136" s="435">
        <v>0</v>
      </c>
      <c r="AL136" s="435">
        <v>422.89120370370313</v>
      </c>
      <c r="AM136" s="435">
        <v>0</v>
      </c>
      <c r="AN136" s="435">
        <v>155.1900000000004</v>
      </c>
      <c r="AO136" s="435">
        <v>0</v>
      </c>
      <c r="AP136" s="435">
        <v>93.793269230769695</v>
      </c>
      <c r="AQ136" s="435">
        <v>0</v>
      </c>
      <c r="AR136" s="435">
        <v>429.44711538461667</v>
      </c>
      <c r="AS136" s="435">
        <v>0</v>
      </c>
      <c r="AT136" s="435">
        <v>871.21749999999975</v>
      </c>
      <c r="AU136" s="435">
        <v>0</v>
      </c>
      <c r="AV136" s="435">
        <v>144.23148148148181</v>
      </c>
      <c r="AW136" s="435">
        <v>0</v>
      </c>
      <c r="AX136" s="435">
        <v>510.06250000000097</v>
      </c>
      <c r="AY136" s="435">
        <v>0</v>
      </c>
    </row>
    <row r="137" spans="2:51" s="264" customFormat="1">
      <c r="B137" s="259">
        <v>12026</v>
      </c>
      <c r="C137" s="259" t="s">
        <v>139</v>
      </c>
      <c r="D137" s="435">
        <v>12367.421296296296</v>
      </c>
      <c r="E137" s="435">
        <v>0</v>
      </c>
      <c r="F137" s="435">
        <v>6651.2916666666652</v>
      </c>
      <c r="G137" s="435">
        <v>0</v>
      </c>
      <c r="H137" s="435">
        <v>9602.8822115384537</v>
      </c>
      <c r="I137" s="435">
        <v>0</v>
      </c>
      <c r="J137" s="435">
        <v>16532.159999999989</v>
      </c>
      <c r="K137" s="435">
        <v>0</v>
      </c>
      <c r="L137" s="435">
        <v>22902.869999999995</v>
      </c>
      <c r="M137" s="435">
        <v>0</v>
      </c>
      <c r="N137" s="435">
        <v>11561.289351851854</v>
      </c>
      <c r="O137" s="435">
        <v>0</v>
      </c>
      <c r="P137" s="435">
        <v>13973.786057692301</v>
      </c>
      <c r="Q137" s="435">
        <v>0</v>
      </c>
      <c r="R137" s="435">
        <v>0</v>
      </c>
      <c r="S137" s="435">
        <v>0</v>
      </c>
      <c r="T137" s="435">
        <v>2163.2235576923058</v>
      </c>
      <c r="U137" s="435">
        <v>0</v>
      </c>
      <c r="V137" s="435">
        <v>4316.5575000000017</v>
      </c>
      <c r="W137" s="435">
        <v>0</v>
      </c>
      <c r="X137" s="435">
        <v>2938.155092592594</v>
      </c>
      <c r="Y137" s="435">
        <v>0</v>
      </c>
      <c r="Z137" s="435">
        <v>2284.2125000000005</v>
      </c>
      <c r="AA137" s="435">
        <v>0</v>
      </c>
      <c r="AB137" s="435">
        <v>10800.668269230766</v>
      </c>
      <c r="AC137" s="435">
        <v>0</v>
      </c>
      <c r="AD137" s="435">
        <v>8964.7199999999993</v>
      </c>
      <c r="AE137" s="435">
        <v>0</v>
      </c>
      <c r="AF137" s="435">
        <v>9602.8822115384537</v>
      </c>
      <c r="AG137" s="435">
        <v>0</v>
      </c>
      <c r="AH137" s="435">
        <v>16532.159999999989</v>
      </c>
      <c r="AI137" s="435">
        <v>0</v>
      </c>
      <c r="AJ137" s="435">
        <v>20622.947916666664</v>
      </c>
      <c r="AK137" s="435">
        <v>0</v>
      </c>
      <c r="AL137" s="435">
        <v>11561.289351851854</v>
      </c>
      <c r="AM137" s="435">
        <v>0</v>
      </c>
      <c r="AN137" s="435">
        <v>12205.817499999996</v>
      </c>
      <c r="AO137" s="435">
        <v>0</v>
      </c>
      <c r="AP137" s="435">
        <v>0</v>
      </c>
      <c r="AQ137" s="435">
        <v>0</v>
      </c>
      <c r="AR137" s="435">
        <v>2163.2235576923058</v>
      </c>
      <c r="AS137" s="435">
        <v>0</v>
      </c>
      <c r="AT137" s="435">
        <v>4316.5575000000017</v>
      </c>
      <c r="AU137" s="435">
        <v>0</v>
      </c>
      <c r="AV137" s="435">
        <v>2938.155092592594</v>
      </c>
      <c r="AW137" s="435">
        <v>0</v>
      </c>
      <c r="AX137" s="435">
        <v>2284.2125000000005</v>
      </c>
      <c r="AY137" s="435">
        <v>0</v>
      </c>
    </row>
    <row r="138" spans="2:51">
      <c r="B138" s="397">
        <v>10298</v>
      </c>
      <c r="C138" s="397" t="s">
        <v>140</v>
      </c>
      <c r="D138" s="435">
        <v>0</v>
      </c>
      <c r="E138" s="435">
        <v>0</v>
      </c>
      <c r="F138" s="435">
        <v>0</v>
      </c>
      <c r="G138" s="435">
        <v>0</v>
      </c>
      <c r="H138" s="435">
        <v>8446.8221153845498</v>
      </c>
      <c r="I138" s="435">
        <v>0</v>
      </c>
      <c r="J138" s="435">
        <v>0</v>
      </c>
      <c r="K138" s="435">
        <v>0</v>
      </c>
      <c r="L138" s="435">
        <v>0</v>
      </c>
      <c r="M138" s="435">
        <v>0</v>
      </c>
      <c r="N138" s="435">
        <v>56919.354166666722</v>
      </c>
      <c r="O138" s="435">
        <v>0</v>
      </c>
      <c r="P138" s="435">
        <v>10044.370192307611</v>
      </c>
      <c r="Q138" s="435">
        <v>0</v>
      </c>
      <c r="R138" s="435">
        <v>5193.5050000001584</v>
      </c>
      <c r="S138" s="435">
        <v>0</v>
      </c>
      <c r="T138" s="435">
        <v>6768.9182692307313</v>
      </c>
      <c r="U138" s="435">
        <v>0</v>
      </c>
      <c r="V138" s="435">
        <v>13415.554999999969</v>
      </c>
      <c r="W138" s="435">
        <v>0</v>
      </c>
      <c r="X138" s="435">
        <v>71260.148148148059</v>
      </c>
      <c r="Y138" s="435">
        <v>0</v>
      </c>
      <c r="Z138" s="435">
        <v>51513.245000000104</v>
      </c>
      <c r="AA138" s="435">
        <v>0</v>
      </c>
      <c r="AB138" s="435">
        <v>0</v>
      </c>
      <c r="AC138" s="435">
        <v>0</v>
      </c>
      <c r="AD138" s="435">
        <v>0</v>
      </c>
      <c r="AE138" s="435">
        <v>0</v>
      </c>
      <c r="AF138" s="435">
        <v>8446.8221153845498</v>
      </c>
      <c r="AG138" s="435">
        <v>0</v>
      </c>
      <c r="AH138" s="435">
        <v>0</v>
      </c>
      <c r="AI138" s="435">
        <v>0</v>
      </c>
      <c r="AJ138" s="435">
        <v>0</v>
      </c>
      <c r="AK138" s="435">
        <v>0</v>
      </c>
      <c r="AL138" s="435">
        <v>56919.354166666722</v>
      </c>
      <c r="AM138" s="435">
        <v>0</v>
      </c>
      <c r="AN138" s="435">
        <v>0</v>
      </c>
      <c r="AO138" s="435">
        <v>0</v>
      </c>
      <c r="AP138" s="435">
        <v>30507.908653846327</v>
      </c>
      <c r="AQ138" s="435">
        <v>0</v>
      </c>
      <c r="AR138" s="435">
        <v>6768.9182692307313</v>
      </c>
      <c r="AS138" s="435">
        <v>0</v>
      </c>
      <c r="AT138" s="435">
        <v>13415.554999999969</v>
      </c>
      <c r="AU138" s="435">
        <v>0</v>
      </c>
      <c r="AV138" s="435">
        <v>71260.148148148059</v>
      </c>
      <c r="AW138" s="435">
        <v>0</v>
      </c>
      <c r="AX138" s="435">
        <v>51513.245000000104</v>
      </c>
      <c r="AY138" s="435">
        <v>0</v>
      </c>
    </row>
    <row r="139" spans="2:51">
      <c r="B139" s="26" t="s">
        <v>141</v>
      </c>
      <c r="C139" s="27" t="s">
        <v>141</v>
      </c>
      <c r="D139" s="28"/>
      <c r="E139" s="29"/>
      <c r="F139" s="28"/>
      <c r="G139" s="29"/>
      <c r="H139" s="28"/>
      <c r="I139" s="29"/>
      <c r="J139" s="28"/>
      <c r="K139" s="29"/>
      <c r="L139" s="28"/>
      <c r="M139" s="29"/>
      <c r="N139" s="28"/>
      <c r="O139" s="29"/>
      <c r="P139" s="28"/>
      <c r="Q139" s="29"/>
      <c r="R139" s="28"/>
      <c r="S139" s="29"/>
      <c r="T139" s="28"/>
      <c r="U139" s="29"/>
      <c r="V139" s="28"/>
      <c r="W139" s="29"/>
      <c r="X139" s="28"/>
      <c r="Y139" s="29"/>
      <c r="Z139" s="28"/>
      <c r="AA139" s="29"/>
      <c r="AB139" s="28"/>
      <c r="AC139" s="29"/>
      <c r="AD139" s="28"/>
      <c r="AE139" s="29"/>
      <c r="AF139" s="28"/>
      <c r="AG139" s="29"/>
      <c r="AH139" s="28"/>
      <c r="AI139" s="29"/>
      <c r="AJ139" s="28"/>
      <c r="AK139" s="29"/>
      <c r="AL139" s="28"/>
      <c r="AM139" s="29"/>
      <c r="AN139" s="28"/>
      <c r="AO139" s="29"/>
      <c r="AP139" s="28"/>
      <c r="AQ139" s="29"/>
      <c r="AR139" s="28"/>
      <c r="AS139" s="29"/>
      <c r="AT139" s="28"/>
      <c r="AU139" s="29"/>
      <c r="AV139" s="28"/>
      <c r="AW139" s="29"/>
      <c r="AX139" s="28"/>
      <c r="AY139" s="29"/>
    </row>
    <row r="140" spans="2:51">
      <c r="B140" s="26" t="s">
        <v>141</v>
      </c>
      <c r="C140" s="27" t="s">
        <v>141</v>
      </c>
      <c r="D140" s="28" t="s">
        <v>141</v>
      </c>
      <c r="E140" s="29" t="s">
        <v>141</v>
      </c>
      <c r="F140" s="28" t="s">
        <v>141</v>
      </c>
      <c r="G140" s="29" t="s">
        <v>141</v>
      </c>
      <c r="H140" s="28" t="s">
        <v>141</v>
      </c>
      <c r="I140" s="29" t="s">
        <v>141</v>
      </c>
      <c r="J140" s="28" t="s">
        <v>141</v>
      </c>
      <c r="K140" s="29" t="s">
        <v>141</v>
      </c>
      <c r="L140" s="28" t="s">
        <v>141</v>
      </c>
      <c r="M140" s="29" t="s">
        <v>141</v>
      </c>
      <c r="N140" s="28" t="s">
        <v>141</v>
      </c>
      <c r="O140" s="29" t="s">
        <v>141</v>
      </c>
      <c r="P140" s="28" t="s">
        <v>141</v>
      </c>
      <c r="Q140" s="29" t="s">
        <v>141</v>
      </c>
      <c r="R140" s="28" t="s">
        <v>141</v>
      </c>
      <c r="S140" s="29" t="s">
        <v>141</v>
      </c>
      <c r="T140" s="28" t="s">
        <v>141</v>
      </c>
      <c r="U140" s="29" t="s">
        <v>141</v>
      </c>
      <c r="V140" s="28" t="s">
        <v>141</v>
      </c>
      <c r="W140" s="29" t="s">
        <v>141</v>
      </c>
      <c r="X140" s="28" t="s">
        <v>141</v>
      </c>
      <c r="Y140" s="29" t="s">
        <v>141</v>
      </c>
      <c r="Z140" s="28" t="s">
        <v>141</v>
      </c>
      <c r="AA140" s="29" t="s">
        <v>141</v>
      </c>
      <c r="AB140" s="28" t="s">
        <v>141</v>
      </c>
      <c r="AC140" s="29" t="s">
        <v>141</v>
      </c>
      <c r="AD140" s="28" t="s">
        <v>141</v>
      </c>
      <c r="AE140" s="29" t="s">
        <v>141</v>
      </c>
      <c r="AF140" s="28" t="s">
        <v>141</v>
      </c>
      <c r="AG140" s="29" t="s">
        <v>141</v>
      </c>
      <c r="AH140" s="28" t="s">
        <v>141</v>
      </c>
      <c r="AI140" s="29" t="s">
        <v>141</v>
      </c>
      <c r="AJ140" s="28" t="s">
        <v>141</v>
      </c>
      <c r="AK140" s="29" t="s">
        <v>141</v>
      </c>
      <c r="AL140" s="28" t="s">
        <v>141</v>
      </c>
      <c r="AM140" s="29" t="s">
        <v>141</v>
      </c>
      <c r="AN140" s="28" t="s">
        <v>141</v>
      </c>
      <c r="AO140" s="29" t="s">
        <v>141</v>
      </c>
      <c r="AP140" s="28" t="s">
        <v>141</v>
      </c>
      <c r="AQ140" s="29" t="s">
        <v>141</v>
      </c>
      <c r="AR140" s="28" t="s">
        <v>141</v>
      </c>
      <c r="AS140" s="29" t="s">
        <v>141</v>
      </c>
      <c r="AT140" s="28" t="s">
        <v>141</v>
      </c>
      <c r="AU140" s="29" t="s">
        <v>141</v>
      </c>
      <c r="AV140" s="28" t="s">
        <v>141</v>
      </c>
      <c r="AW140" s="29" t="s">
        <v>141</v>
      </c>
      <c r="AX140" s="28" t="s">
        <v>141</v>
      </c>
      <c r="AY140" s="29" t="s">
        <v>141</v>
      </c>
    </row>
    <row r="141" spans="2:51">
      <c r="B141" s="26" t="s">
        <v>141</v>
      </c>
      <c r="C141" s="27" t="s">
        <v>141</v>
      </c>
      <c r="D141" s="28" t="s">
        <v>141</v>
      </c>
      <c r="E141" s="29" t="s">
        <v>141</v>
      </c>
      <c r="F141" s="28" t="s">
        <v>141</v>
      </c>
      <c r="G141" s="29" t="s">
        <v>141</v>
      </c>
      <c r="H141" s="28" t="s">
        <v>141</v>
      </c>
      <c r="I141" s="29" t="s">
        <v>141</v>
      </c>
      <c r="J141" s="28" t="s">
        <v>141</v>
      </c>
      <c r="K141" s="29" t="s">
        <v>141</v>
      </c>
      <c r="L141" s="28" t="s">
        <v>141</v>
      </c>
      <c r="M141" s="29" t="s">
        <v>141</v>
      </c>
      <c r="N141" s="28" t="s">
        <v>141</v>
      </c>
      <c r="O141" s="29" t="s">
        <v>141</v>
      </c>
      <c r="P141" s="28" t="s">
        <v>141</v>
      </c>
      <c r="Q141" s="29" t="s">
        <v>141</v>
      </c>
      <c r="R141" s="28" t="s">
        <v>141</v>
      </c>
      <c r="S141" s="29" t="s">
        <v>141</v>
      </c>
      <c r="T141" s="28" t="s">
        <v>141</v>
      </c>
      <c r="U141" s="29" t="s">
        <v>141</v>
      </c>
      <c r="V141" s="28" t="s">
        <v>141</v>
      </c>
      <c r="W141" s="29" t="s">
        <v>141</v>
      </c>
      <c r="X141" s="28" t="s">
        <v>141</v>
      </c>
      <c r="Y141" s="29" t="s">
        <v>141</v>
      </c>
      <c r="Z141" s="28" t="s">
        <v>141</v>
      </c>
      <c r="AA141" s="29" t="s">
        <v>141</v>
      </c>
      <c r="AB141" s="28" t="s">
        <v>141</v>
      </c>
      <c r="AC141" s="29" t="s">
        <v>141</v>
      </c>
      <c r="AD141" s="28" t="s">
        <v>141</v>
      </c>
      <c r="AE141" s="29" t="s">
        <v>141</v>
      </c>
      <c r="AF141" s="28" t="s">
        <v>141</v>
      </c>
      <c r="AG141" s="29" t="s">
        <v>141</v>
      </c>
      <c r="AH141" s="28" t="s">
        <v>141</v>
      </c>
      <c r="AI141" s="29" t="s">
        <v>141</v>
      </c>
      <c r="AJ141" s="28" t="s">
        <v>141</v>
      </c>
      <c r="AK141" s="29" t="s">
        <v>141</v>
      </c>
      <c r="AL141" s="28" t="s">
        <v>141</v>
      </c>
      <c r="AM141" s="29" t="s">
        <v>141</v>
      </c>
      <c r="AN141" s="28" t="s">
        <v>141</v>
      </c>
      <c r="AO141" s="29" t="s">
        <v>141</v>
      </c>
      <c r="AP141" s="28" t="s">
        <v>141</v>
      </c>
      <c r="AQ141" s="29" t="s">
        <v>141</v>
      </c>
      <c r="AR141" s="28" t="s">
        <v>141</v>
      </c>
      <c r="AS141" s="29" t="s">
        <v>141</v>
      </c>
      <c r="AT141" s="28" t="s">
        <v>141</v>
      </c>
      <c r="AU141" s="29" t="s">
        <v>141</v>
      </c>
      <c r="AV141" s="28" t="s">
        <v>141</v>
      </c>
      <c r="AW141" s="29" t="s">
        <v>141</v>
      </c>
      <c r="AX141" s="28" t="s">
        <v>141</v>
      </c>
      <c r="AY141" s="29" t="s">
        <v>141</v>
      </c>
    </row>
    <row r="142" spans="2:51">
      <c r="B142" s="26" t="s">
        <v>141</v>
      </c>
      <c r="C142" s="27" t="s">
        <v>141</v>
      </c>
      <c r="D142" s="28" t="s">
        <v>141</v>
      </c>
      <c r="E142" s="29" t="s">
        <v>141</v>
      </c>
      <c r="F142" s="28" t="s">
        <v>141</v>
      </c>
      <c r="G142" s="29" t="s">
        <v>141</v>
      </c>
      <c r="H142" s="28" t="s">
        <v>141</v>
      </c>
      <c r="I142" s="29" t="s">
        <v>141</v>
      </c>
      <c r="J142" s="28" t="s">
        <v>141</v>
      </c>
      <c r="K142" s="29" t="s">
        <v>141</v>
      </c>
      <c r="L142" s="28" t="s">
        <v>141</v>
      </c>
      <c r="M142" s="29" t="s">
        <v>141</v>
      </c>
      <c r="N142" s="28" t="s">
        <v>141</v>
      </c>
      <c r="O142" s="29" t="s">
        <v>141</v>
      </c>
      <c r="P142" s="28" t="s">
        <v>141</v>
      </c>
      <c r="Q142" s="29" t="s">
        <v>141</v>
      </c>
      <c r="R142" s="28" t="s">
        <v>141</v>
      </c>
      <c r="S142" s="29" t="s">
        <v>141</v>
      </c>
      <c r="T142" s="28" t="s">
        <v>141</v>
      </c>
      <c r="U142" s="29" t="s">
        <v>141</v>
      </c>
      <c r="V142" s="28" t="s">
        <v>141</v>
      </c>
      <c r="W142" s="29" t="s">
        <v>141</v>
      </c>
      <c r="X142" s="28" t="s">
        <v>141</v>
      </c>
      <c r="Y142" s="29" t="s">
        <v>141</v>
      </c>
      <c r="Z142" s="28" t="s">
        <v>141</v>
      </c>
      <c r="AA142" s="29" t="s">
        <v>141</v>
      </c>
      <c r="AB142" s="28" t="s">
        <v>141</v>
      </c>
      <c r="AC142" s="29" t="s">
        <v>141</v>
      </c>
      <c r="AD142" s="28" t="s">
        <v>141</v>
      </c>
      <c r="AE142" s="29" t="s">
        <v>141</v>
      </c>
      <c r="AF142" s="28" t="s">
        <v>141</v>
      </c>
      <c r="AG142" s="29" t="s">
        <v>141</v>
      </c>
      <c r="AH142" s="28" t="s">
        <v>141</v>
      </c>
      <c r="AI142" s="29" t="s">
        <v>141</v>
      </c>
      <c r="AJ142" s="28" t="s">
        <v>141</v>
      </c>
      <c r="AK142" s="29" t="s">
        <v>141</v>
      </c>
      <c r="AL142" s="28" t="s">
        <v>141</v>
      </c>
      <c r="AM142" s="29" t="s">
        <v>141</v>
      </c>
      <c r="AN142" s="28" t="s">
        <v>141</v>
      </c>
      <c r="AO142" s="29" t="s">
        <v>141</v>
      </c>
      <c r="AP142" s="28" t="s">
        <v>141</v>
      </c>
      <c r="AQ142" s="29" t="s">
        <v>141</v>
      </c>
      <c r="AR142" s="28" t="s">
        <v>141</v>
      </c>
      <c r="AS142" s="29" t="s">
        <v>141</v>
      </c>
      <c r="AT142" s="28" t="s">
        <v>141</v>
      </c>
      <c r="AU142" s="29" t="s">
        <v>141</v>
      </c>
      <c r="AV142" s="28" t="s">
        <v>141</v>
      </c>
      <c r="AW142" s="29" t="s">
        <v>141</v>
      </c>
      <c r="AX142" s="28" t="s">
        <v>141</v>
      </c>
      <c r="AY142" s="29" t="s">
        <v>141</v>
      </c>
    </row>
    <row r="143" spans="2:51">
      <c r="B143" s="26" t="s">
        <v>141</v>
      </c>
      <c r="C143" s="27" t="s">
        <v>141</v>
      </c>
      <c r="D143" s="28" t="s">
        <v>141</v>
      </c>
      <c r="E143" s="29" t="s">
        <v>141</v>
      </c>
      <c r="F143" s="28" t="s">
        <v>141</v>
      </c>
      <c r="G143" s="29" t="s">
        <v>141</v>
      </c>
      <c r="H143" s="28" t="s">
        <v>141</v>
      </c>
      <c r="I143" s="29" t="s">
        <v>141</v>
      </c>
      <c r="J143" s="28" t="s">
        <v>141</v>
      </c>
      <c r="K143" s="29" t="s">
        <v>141</v>
      </c>
      <c r="L143" s="28" t="s">
        <v>141</v>
      </c>
      <c r="M143" s="29" t="s">
        <v>141</v>
      </c>
      <c r="N143" s="28" t="s">
        <v>141</v>
      </c>
      <c r="O143" s="29" t="s">
        <v>141</v>
      </c>
      <c r="P143" s="28" t="s">
        <v>141</v>
      </c>
      <c r="Q143" s="29" t="s">
        <v>141</v>
      </c>
      <c r="R143" s="28" t="s">
        <v>141</v>
      </c>
      <c r="S143" s="29" t="s">
        <v>141</v>
      </c>
      <c r="T143" s="28" t="s">
        <v>141</v>
      </c>
      <c r="U143" s="29" t="s">
        <v>141</v>
      </c>
      <c r="V143" s="28" t="s">
        <v>141</v>
      </c>
      <c r="W143" s="29" t="s">
        <v>141</v>
      </c>
      <c r="X143" s="28" t="s">
        <v>141</v>
      </c>
      <c r="Y143" s="29" t="s">
        <v>141</v>
      </c>
      <c r="Z143" s="28" t="s">
        <v>141</v>
      </c>
      <c r="AA143" s="29" t="s">
        <v>141</v>
      </c>
      <c r="AB143" s="28" t="s">
        <v>141</v>
      </c>
      <c r="AC143" s="29" t="s">
        <v>141</v>
      </c>
      <c r="AD143" s="28" t="s">
        <v>141</v>
      </c>
      <c r="AE143" s="29" t="s">
        <v>141</v>
      </c>
      <c r="AF143" s="28" t="s">
        <v>141</v>
      </c>
      <c r="AG143" s="29" t="s">
        <v>141</v>
      </c>
      <c r="AH143" s="28" t="s">
        <v>141</v>
      </c>
      <c r="AI143" s="29" t="s">
        <v>141</v>
      </c>
      <c r="AJ143" s="28" t="s">
        <v>141</v>
      </c>
      <c r="AK143" s="29" t="s">
        <v>141</v>
      </c>
      <c r="AL143" s="28" t="s">
        <v>141</v>
      </c>
      <c r="AM143" s="29" t="s">
        <v>141</v>
      </c>
      <c r="AN143" s="28" t="s">
        <v>141</v>
      </c>
      <c r="AO143" s="29" t="s">
        <v>141</v>
      </c>
      <c r="AP143" s="28" t="s">
        <v>141</v>
      </c>
      <c r="AQ143" s="29" t="s">
        <v>141</v>
      </c>
      <c r="AR143" s="28" t="s">
        <v>141</v>
      </c>
      <c r="AS143" s="29" t="s">
        <v>141</v>
      </c>
      <c r="AT143" s="28" t="s">
        <v>141</v>
      </c>
      <c r="AU143" s="29" t="s">
        <v>141</v>
      </c>
      <c r="AV143" s="28" t="s">
        <v>141</v>
      </c>
      <c r="AW143" s="29" t="s">
        <v>141</v>
      </c>
      <c r="AX143" s="28" t="s">
        <v>141</v>
      </c>
      <c r="AY143" s="29" t="s">
        <v>141</v>
      </c>
    </row>
    <row r="144" spans="2:51">
      <c r="B144" s="26" t="s">
        <v>141</v>
      </c>
      <c r="C144" s="27" t="s">
        <v>141</v>
      </c>
      <c r="D144" s="28" t="s">
        <v>141</v>
      </c>
      <c r="E144" s="29" t="s">
        <v>141</v>
      </c>
      <c r="F144" s="28" t="s">
        <v>141</v>
      </c>
      <c r="G144" s="29" t="s">
        <v>141</v>
      </c>
      <c r="H144" s="28" t="s">
        <v>141</v>
      </c>
      <c r="I144" s="29" t="s">
        <v>141</v>
      </c>
      <c r="J144" s="28" t="s">
        <v>141</v>
      </c>
      <c r="K144" s="29" t="s">
        <v>141</v>
      </c>
      <c r="L144" s="28" t="s">
        <v>141</v>
      </c>
      <c r="M144" s="29" t="s">
        <v>141</v>
      </c>
      <c r="N144" s="28" t="s">
        <v>141</v>
      </c>
      <c r="O144" s="29" t="s">
        <v>141</v>
      </c>
      <c r="P144" s="28" t="s">
        <v>141</v>
      </c>
      <c r="Q144" s="29" t="s">
        <v>141</v>
      </c>
      <c r="R144" s="28" t="s">
        <v>141</v>
      </c>
      <c r="S144" s="29" t="s">
        <v>141</v>
      </c>
      <c r="T144" s="28" t="s">
        <v>141</v>
      </c>
      <c r="U144" s="29" t="s">
        <v>141</v>
      </c>
      <c r="V144" s="28" t="s">
        <v>141</v>
      </c>
      <c r="W144" s="29" t="s">
        <v>141</v>
      </c>
      <c r="X144" s="28" t="s">
        <v>141</v>
      </c>
      <c r="Y144" s="29" t="s">
        <v>141</v>
      </c>
      <c r="Z144" s="28" t="s">
        <v>141</v>
      </c>
      <c r="AA144" s="29" t="s">
        <v>141</v>
      </c>
      <c r="AB144" s="28" t="s">
        <v>141</v>
      </c>
      <c r="AC144" s="29" t="s">
        <v>141</v>
      </c>
      <c r="AD144" s="28" t="s">
        <v>141</v>
      </c>
      <c r="AE144" s="29" t="s">
        <v>141</v>
      </c>
      <c r="AF144" s="28" t="s">
        <v>141</v>
      </c>
      <c r="AG144" s="29" t="s">
        <v>141</v>
      </c>
      <c r="AH144" s="28" t="s">
        <v>141</v>
      </c>
      <c r="AI144" s="29" t="s">
        <v>141</v>
      </c>
      <c r="AJ144" s="28" t="s">
        <v>141</v>
      </c>
      <c r="AK144" s="29" t="s">
        <v>141</v>
      </c>
      <c r="AL144" s="28" t="s">
        <v>141</v>
      </c>
      <c r="AM144" s="29" t="s">
        <v>141</v>
      </c>
      <c r="AN144" s="28" t="s">
        <v>141</v>
      </c>
      <c r="AO144" s="29" t="s">
        <v>141</v>
      </c>
      <c r="AP144" s="28" t="s">
        <v>141</v>
      </c>
      <c r="AQ144" s="29" t="s">
        <v>141</v>
      </c>
      <c r="AR144" s="28" t="s">
        <v>141</v>
      </c>
      <c r="AS144" s="29" t="s">
        <v>141</v>
      </c>
      <c r="AT144" s="28" t="s">
        <v>141</v>
      </c>
      <c r="AU144" s="29" t="s">
        <v>141</v>
      </c>
      <c r="AV144" s="28" t="s">
        <v>141</v>
      </c>
      <c r="AW144" s="29" t="s">
        <v>141</v>
      </c>
      <c r="AX144" s="28" t="s">
        <v>141</v>
      </c>
      <c r="AY144" s="29" t="s">
        <v>141</v>
      </c>
    </row>
    <row r="145" spans="2:51">
      <c r="B145" s="26" t="s">
        <v>141</v>
      </c>
      <c r="C145" s="27" t="s">
        <v>141</v>
      </c>
      <c r="D145" s="28" t="s">
        <v>141</v>
      </c>
      <c r="E145" s="29" t="s">
        <v>141</v>
      </c>
      <c r="F145" s="28" t="s">
        <v>141</v>
      </c>
      <c r="G145" s="29" t="s">
        <v>141</v>
      </c>
      <c r="H145" s="28" t="s">
        <v>141</v>
      </c>
      <c r="I145" s="29" t="s">
        <v>141</v>
      </c>
      <c r="J145" s="28" t="s">
        <v>141</v>
      </c>
      <c r="K145" s="29" t="s">
        <v>141</v>
      </c>
      <c r="L145" s="28" t="s">
        <v>141</v>
      </c>
      <c r="M145" s="29" t="s">
        <v>141</v>
      </c>
      <c r="N145" s="28" t="s">
        <v>141</v>
      </c>
      <c r="O145" s="29" t="s">
        <v>141</v>
      </c>
      <c r="P145" s="28" t="s">
        <v>141</v>
      </c>
      <c r="Q145" s="29" t="s">
        <v>141</v>
      </c>
      <c r="R145" s="28" t="s">
        <v>141</v>
      </c>
      <c r="S145" s="29" t="s">
        <v>141</v>
      </c>
      <c r="T145" s="28" t="s">
        <v>141</v>
      </c>
      <c r="U145" s="29" t="s">
        <v>141</v>
      </c>
      <c r="V145" s="28" t="s">
        <v>141</v>
      </c>
      <c r="W145" s="29" t="s">
        <v>141</v>
      </c>
      <c r="X145" s="28" t="s">
        <v>141</v>
      </c>
      <c r="Y145" s="29" t="s">
        <v>141</v>
      </c>
      <c r="Z145" s="28" t="s">
        <v>141</v>
      </c>
      <c r="AA145" s="29" t="s">
        <v>141</v>
      </c>
      <c r="AB145" s="28" t="s">
        <v>141</v>
      </c>
      <c r="AC145" s="29" t="s">
        <v>141</v>
      </c>
      <c r="AD145" s="28" t="s">
        <v>141</v>
      </c>
      <c r="AE145" s="29" t="s">
        <v>141</v>
      </c>
      <c r="AF145" s="28" t="s">
        <v>141</v>
      </c>
      <c r="AG145" s="29" t="s">
        <v>141</v>
      </c>
      <c r="AH145" s="28" t="s">
        <v>141</v>
      </c>
      <c r="AI145" s="29" t="s">
        <v>141</v>
      </c>
      <c r="AJ145" s="28" t="s">
        <v>141</v>
      </c>
      <c r="AK145" s="29" t="s">
        <v>141</v>
      </c>
      <c r="AL145" s="28" t="s">
        <v>141</v>
      </c>
      <c r="AM145" s="29" t="s">
        <v>141</v>
      </c>
      <c r="AN145" s="28" t="s">
        <v>141</v>
      </c>
      <c r="AO145" s="29" t="s">
        <v>141</v>
      </c>
      <c r="AP145" s="28" t="s">
        <v>141</v>
      </c>
      <c r="AQ145" s="29" t="s">
        <v>141</v>
      </c>
      <c r="AR145" s="28" t="s">
        <v>141</v>
      </c>
      <c r="AS145" s="29" t="s">
        <v>141</v>
      </c>
      <c r="AT145" s="28" t="s">
        <v>141</v>
      </c>
      <c r="AU145" s="29" t="s">
        <v>141</v>
      </c>
      <c r="AV145" s="28" t="s">
        <v>141</v>
      </c>
      <c r="AW145" s="29" t="s">
        <v>141</v>
      </c>
      <c r="AX145" s="28" t="s">
        <v>141</v>
      </c>
      <c r="AY145" s="29" t="s">
        <v>141</v>
      </c>
    </row>
    <row r="146" spans="2:51">
      <c r="B146" s="26" t="s">
        <v>141</v>
      </c>
      <c r="C146" s="27" t="s">
        <v>141</v>
      </c>
      <c r="D146" s="28" t="s">
        <v>141</v>
      </c>
      <c r="E146" s="29" t="s">
        <v>141</v>
      </c>
      <c r="F146" s="28" t="s">
        <v>141</v>
      </c>
      <c r="G146" s="29" t="s">
        <v>141</v>
      </c>
      <c r="H146" s="28" t="s">
        <v>141</v>
      </c>
      <c r="I146" s="29" t="s">
        <v>141</v>
      </c>
      <c r="J146" s="28" t="s">
        <v>141</v>
      </c>
      <c r="K146" s="29" t="s">
        <v>141</v>
      </c>
      <c r="L146" s="28" t="s">
        <v>141</v>
      </c>
      <c r="M146" s="29" t="s">
        <v>141</v>
      </c>
      <c r="N146" s="28" t="s">
        <v>141</v>
      </c>
      <c r="O146" s="29" t="s">
        <v>141</v>
      </c>
      <c r="P146" s="28" t="s">
        <v>141</v>
      </c>
      <c r="Q146" s="29" t="s">
        <v>141</v>
      </c>
      <c r="R146" s="28" t="s">
        <v>141</v>
      </c>
      <c r="S146" s="29" t="s">
        <v>141</v>
      </c>
      <c r="T146" s="28" t="s">
        <v>141</v>
      </c>
      <c r="U146" s="29" t="s">
        <v>141</v>
      </c>
      <c r="V146" s="28" t="s">
        <v>141</v>
      </c>
      <c r="W146" s="29" t="s">
        <v>141</v>
      </c>
      <c r="X146" s="28" t="s">
        <v>141</v>
      </c>
      <c r="Y146" s="29" t="s">
        <v>141</v>
      </c>
      <c r="Z146" s="28" t="s">
        <v>141</v>
      </c>
      <c r="AA146" s="29" t="s">
        <v>141</v>
      </c>
      <c r="AB146" s="28" t="s">
        <v>141</v>
      </c>
      <c r="AC146" s="29" t="s">
        <v>141</v>
      </c>
      <c r="AD146" s="28" t="s">
        <v>141</v>
      </c>
      <c r="AE146" s="29" t="s">
        <v>141</v>
      </c>
      <c r="AF146" s="28" t="s">
        <v>141</v>
      </c>
      <c r="AG146" s="29" t="s">
        <v>141</v>
      </c>
      <c r="AH146" s="28" t="s">
        <v>141</v>
      </c>
      <c r="AI146" s="29" t="s">
        <v>141</v>
      </c>
      <c r="AJ146" s="28" t="s">
        <v>141</v>
      </c>
      <c r="AK146" s="29" t="s">
        <v>141</v>
      </c>
      <c r="AL146" s="28" t="s">
        <v>141</v>
      </c>
      <c r="AM146" s="29" t="s">
        <v>141</v>
      </c>
      <c r="AN146" s="28" t="s">
        <v>141</v>
      </c>
      <c r="AO146" s="29" t="s">
        <v>141</v>
      </c>
      <c r="AP146" s="28" t="s">
        <v>141</v>
      </c>
      <c r="AQ146" s="29" t="s">
        <v>141</v>
      </c>
      <c r="AR146" s="28" t="s">
        <v>141</v>
      </c>
      <c r="AS146" s="29" t="s">
        <v>141</v>
      </c>
      <c r="AT146" s="28" t="s">
        <v>141</v>
      </c>
      <c r="AU146" s="29" t="s">
        <v>141</v>
      </c>
      <c r="AV146" s="28" t="s">
        <v>141</v>
      </c>
      <c r="AW146" s="29" t="s">
        <v>141</v>
      </c>
      <c r="AX146" s="28" t="s">
        <v>141</v>
      </c>
      <c r="AY146" s="29" t="s">
        <v>141</v>
      </c>
    </row>
    <row r="147" spans="2:51">
      <c r="B147" s="26" t="s">
        <v>141</v>
      </c>
      <c r="C147" s="27" t="s">
        <v>141</v>
      </c>
      <c r="D147" s="28" t="s">
        <v>141</v>
      </c>
      <c r="E147" s="29" t="s">
        <v>141</v>
      </c>
      <c r="F147" s="28" t="s">
        <v>141</v>
      </c>
      <c r="G147" s="29" t="s">
        <v>141</v>
      </c>
      <c r="H147" s="28" t="s">
        <v>141</v>
      </c>
      <c r="I147" s="29" t="s">
        <v>141</v>
      </c>
      <c r="J147" s="28" t="s">
        <v>141</v>
      </c>
      <c r="K147" s="29" t="s">
        <v>141</v>
      </c>
      <c r="L147" s="28" t="s">
        <v>141</v>
      </c>
      <c r="M147" s="29" t="s">
        <v>141</v>
      </c>
      <c r="N147" s="28" t="s">
        <v>141</v>
      </c>
      <c r="O147" s="29" t="s">
        <v>141</v>
      </c>
      <c r="P147" s="28" t="s">
        <v>141</v>
      </c>
      <c r="Q147" s="29" t="s">
        <v>141</v>
      </c>
      <c r="R147" s="28" t="s">
        <v>141</v>
      </c>
      <c r="S147" s="29" t="s">
        <v>141</v>
      </c>
      <c r="T147" s="28" t="s">
        <v>141</v>
      </c>
      <c r="U147" s="29" t="s">
        <v>141</v>
      </c>
      <c r="V147" s="28" t="s">
        <v>141</v>
      </c>
      <c r="W147" s="29" t="s">
        <v>141</v>
      </c>
      <c r="X147" s="28" t="s">
        <v>141</v>
      </c>
      <c r="Y147" s="29" t="s">
        <v>141</v>
      </c>
      <c r="Z147" s="28" t="s">
        <v>141</v>
      </c>
      <c r="AA147" s="29" t="s">
        <v>141</v>
      </c>
      <c r="AB147" s="28" t="s">
        <v>141</v>
      </c>
      <c r="AC147" s="29" t="s">
        <v>141</v>
      </c>
      <c r="AD147" s="28" t="s">
        <v>141</v>
      </c>
      <c r="AE147" s="29" t="s">
        <v>141</v>
      </c>
      <c r="AF147" s="28" t="s">
        <v>141</v>
      </c>
      <c r="AG147" s="29" t="s">
        <v>141</v>
      </c>
      <c r="AH147" s="28" t="s">
        <v>141</v>
      </c>
      <c r="AI147" s="29" t="s">
        <v>141</v>
      </c>
      <c r="AJ147" s="28" t="s">
        <v>141</v>
      </c>
      <c r="AK147" s="29" t="s">
        <v>141</v>
      </c>
      <c r="AL147" s="28" t="s">
        <v>141</v>
      </c>
      <c r="AM147" s="29" t="s">
        <v>141</v>
      </c>
      <c r="AN147" s="28" t="s">
        <v>141</v>
      </c>
      <c r="AO147" s="29" t="s">
        <v>141</v>
      </c>
      <c r="AP147" s="28" t="s">
        <v>141</v>
      </c>
      <c r="AQ147" s="29" t="s">
        <v>141</v>
      </c>
      <c r="AR147" s="28" t="s">
        <v>141</v>
      </c>
      <c r="AS147" s="29" t="s">
        <v>141</v>
      </c>
      <c r="AT147" s="28" t="s">
        <v>141</v>
      </c>
      <c r="AU147" s="29" t="s">
        <v>141</v>
      </c>
      <c r="AV147" s="28" t="s">
        <v>141</v>
      </c>
      <c r="AW147" s="29" t="s">
        <v>141</v>
      </c>
      <c r="AX147" s="28" t="s">
        <v>141</v>
      </c>
      <c r="AY147" s="29" t="s">
        <v>141</v>
      </c>
    </row>
    <row r="148" spans="2:51">
      <c r="B148" s="26">
        <v>1</v>
      </c>
      <c r="C148" s="27">
        <v>2</v>
      </c>
      <c r="D148" s="28">
        <v>3</v>
      </c>
      <c r="E148" s="29">
        <v>4</v>
      </c>
      <c r="F148" s="28">
        <v>5</v>
      </c>
      <c r="G148" s="29">
        <v>6</v>
      </c>
      <c r="H148" s="28">
        <v>7</v>
      </c>
      <c r="I148" s="29">
        <v>8</v>
      </c>
      <c r="J148" s="28">
        <v>9</v>
      </c>
      <c r="K148" s="29">
        <v>10</v>
      </c>
      <c r="L148" s="28">
        <v>11</v>
      </c>
      <c r="M148" s="29">
        <v>12</v>
      </c>
      <c r="N148" s="28">
        <v>13</v>
      </c>
      <c r="O148" s="29">
        <v>14</v>
      </c>
      <c r="P148" s="28">
        <v>15</v>
      </c>
      <c r="Q148" s="29">
        <v>16</v>
      </c>
      <c r="R148" s="28">
        <v>17</v>
      </c>
      <c r="S148" s="29">
        <v>18</v>
      </c>
      <c r="T148" s="28">
        <v>19</v>
      </c>
      <c r="U148" s="29">
        <v>20</v>
      </c>
      <c r="V148" s="28">
        <v>21</v>
      </c>
      <c r="W148" s="29">
        <v>22</v>
      </c>
      <c r="X148" s="28">
        <v>23</v>
      </c>
      <c r="Y148" s="29">
        <v>24</v>
      </c>
      <c r="Z148" s="28">
        <v>25</v>
      </c>
      <c r="AA148" s="29">
        <v>26</v>
      </c>
      <c r="AB148" s="28">
        <v>27</v>
      </c>
      <c r="AC148" s="29">
        <v>28</v>
      </c>
      <c r="AD148" s="28">
        <v>29</v>
      </c>
      <c r="AE148" s="29">
        <v>30</v>
      </c>
      <c r="AF148" s="28">
        <v>31</v>
      </c>
      <c r="AG148" s="29">
        <v>32</v>
      </c>
      <c r="AH148" s="28">
        <v>33</v>
      </c>
      <c r="AI148" s="29">
        <v>34</v>
      </c>
      <c r="AJ148" s="28">
        <v>35</v>
      </c>
      <c r="AK148" s="29">
        <v>36</v>
      </c>
      <c r="AL148" s="28">
        <v>37</v>
      </c>
      <c r="AM148" s="29">
        <v>38</v>
      </c>
      <c r="AN148" s="28">
        <v>39</v>
      </c>
      <c r="AO148" s="29">
        <v>40</v>
      </c>
      <c r="AP148" s="28">
        <v>41</v>
      </c>
      <c r="AQ148" s="29">
        <v>42</v>
      </c>
      <c r="AR148" s="28">
        <v>43</v>
      </c>
      <c r="AS148" s="29">
        <v>44</v>
      </c>
      <c r="AT148" s="28">
        <v>45</v>
      </c>
      <c r="AU148" s="29">
        <v>46</v>
      </c>
      <c r="AV148" s="28">
        <v>47</v>
      </c>
      <c r="AW148" s="29">
        <v>48</v>
      </c>
      <c r="AX148" s="28">
        <v>49</v>
      </c>
      <c r="AY148" s="29">
        <v>50</v>
      </c>
    </row>
    <row r="149" spans="2:51">
      <c r="B149" s="26" t="s">
        <v>141</v>
      </c>
      <c r="C149" s="27" t="s">
        <v>141</v>
      </c>
      <c r="D149" s="28" t="s">
        <v>141</v>
      </c>
      <c r="E149" s="29" t="s">
        <v>141</v>
      </c>
      <c r="F149" s="28" t="s">
        <v>141</v>
      </c>
      <c r="G149" s="29" t="s">
        <v>141</v>
      </c>
      <c r="H149" s="28" t="s">
        <v>141</v>
      </c>
      <c r="I149" s="29" t="s">
        <v>141</v>
      </c>
      <c r="J149" s="28" t="s">
        <v>141</v>
      </c>
      <c r="K149" s="29" t="s">
        <v>141</v>
      </c>
      <c r="L149" s="28" t="s">
        <v>141</v>
      </c>
      <c r="M149" s="29" t="s">
        <v>141</v>
      </c>
      <c r="N149" s="28" t="s">
        <v>141</v>
      </c>
      <c r="O149" s="29" t="s">
        <v>141</v>
      </c>
      <c r="P149" s="28" t="s">
        <v>141</v>
      </c>
      <c r="Q149" s="29" t="s">
        <v>141</v>
      </c>
      <c r="R149" s="28" t="s">
        <v>141</v>
      </c>
      <c r="S149" s="29" t="s">
        <v>141</v>
      </c>
      <c r="T149" s="28" t="s">
        <v>141</v>
      </c>
      <c r="U149" s="29" t="s">
        <v>141</v>
      </c>
      <c r="V149" s="28" t="s">
        <v>141</v>
      </c>
      <c r="W149" s="29" t="s">
        <v>141</v>
      </c>
      <c r="X149" s="28" t="s">
        <v>141</v>
      </c>
      <c r="Y149" s="29" t="s">
        <v>141</v>
      </c>
      <c r="Z149" s="28" t="s">
        <v>141</v>
      </c>
      <c r="AA149" s="29" t="s">
        <v>141</v>
      </c>
      <c r="AB149" s="28" t="s">
        <v>141</v>
      </c>
      <c r="AC149" s="29" t="s">
        <v>141</v>
      </c>
      <c r="AD149" s="28" t="s">
        <v>141</v>
      </c>
      <c r="AE149" s="29" t="s">
        <v>141</v>
      </c>
      <c r="AF149" s="28" t="s">
        <v>141</v>
      </c>
      <c r="AG149" s="29" t="s">
        <v>141</v>
      </c>
      <c r="AH149" s="28" t="s">
        <v>141</v>
      </c>
      <c r="AI149" s="29" t="s">
        <v>141</v>
      </c>
      <c r="AJ149" s="28" t="s">
        <v>141</v>
      </c>
      <c r="AK149" s="29" t="s">
        <v>141</v>
      </c>
      <c r="AL149" s="28" t="s">
        <v>141</v>
      </c>
      <c r="AM149" s="29" t="s">
        <v>141</v>
      </c>
      <c r="AN149" s="28" t="s">
        <v>141</v>
      </c>
      <c r="AO149" s="29" t="s">
        <v>141</v>
      </c>
      <c r="AP149" s="28" t="s">
        <v>141</v>
      </c>
      <c r="AQ149" s="29" t="s">
        <v>141</v>
      </c>
      <c r="AR149" s="28" t="s">
        <v>141</v>
      </c>
      <c r="AS149" s="29" t="s">
        <v>141</v>
      </c>
      <c r="AT149" s="28" t="s">
        <v>141</v>
      </c>
      <c r="AU149" s="29" t="s">
        <v>141</v>
      </c>
      <c r="AV149" s="28" t="s">
        <v>141</v>
      </c>
      <c r="AW149" s="29" t="s">
        <v>141</v>
      </c>
      <c r="AX149" s="28" t="s">
        <v>141</v>
      </c>
      <c r="AY149" s="29" t="s">
        <v>141</v>
      </c>
    </row>
    <row r="150" spans="2:51">
      <c r="B150" s="26" t="s">
        <v>141</v>
      </c>
      <c r="C150" s="27" t="s">
        <v>141</v>
      </c>
      <c r="D150" s="28" t="s">
        <v>141</v>
      </c>
      <c r="E150" s="29" t="s">
        <v>141</v>
      </c>
      <c r="F150" s="28" t="s">
        <v>141</v>
      </c>
      <c r="G150" s="29" t="s">
        <v>141</v>
      </c>
      <c r="H150" s="28" t="s">
        <v>141</v>
      </c>
      <c r="I150" s="29" t="s">
        <v>141</v>
      </c>
      <c r="J150" s="28" t="s">
        <v>141</v>
      </c>
      <c r="K150" s="29" t="s">
        <v>141</v>
      </c>
      <c r="L150" s="28" t="s">
        <v>141</v>
      </c>
      <c r="M150" s="29" t="s">
        <v>141</v>
      </c>
      <c r="N150" s="28" t="s">
        <v>141</v>
      </c>
      <c r="O150" s="29" t="s">
        <v>141</v>
      </c>
      <c r="P150" s="28" t="s">
        <v>141</v>
      </c>
      <c r="Q150" s="29" t="s">
        <v>141</v>
      </c>
      <c r="R150" s="28" t="s">
        <v>141</v>
      </c>
      <c r="S150" s="29" t="s">
        <v>141</v>
      </c>
      <c r="T150" s="28" t="s">
        <v>141</v>
      </c>
      <c r="U150" s="29" t="s">
        <v>141</v>
      </c>
      <c r="V150" s="28" t="s">
        <v>141</v>
      </c>
      <c r="W150" s="29" t="s">
        <v>141</v>
      </c>
      <c r="X150" s="28" t="s">
        <v>141</v>
      </c>
      <c r="Y150" s="29" t="s">
        <v>141</v>
      </c>
      <c r="Z150" s="28" t="s">
        <v>141</v>
      </c>
      <c r="AA150" s="29" t="s">
        <v>141</v>
      </c>
      <c r="AB150" s="28" t="s">
        <v>141</v>
      </c>
      <c r="AC150" s="29" t="s">
        <v>141</v>
      </c>
      <c r="AD150" s="28" t="s">
        <v>141</v>
      </c>
      <c r="AE150" s="29" t="s">
        <v>141</v>
      </c>
      <c r="AF150" s="28" t="s">
        <v>141</v>
      </c>
      <c r="AG150" s="29" t="s">
        <v>141</v>
      </c>
      <c r="AH150" s="28" t="s">
        <v>141</v>
      </c>
      <c r="AI150" s="29" t="s">
        <v>141</v>
      </c>
      <c r="AJ150" s="28" t="s">
        <v>141</v>
      </c>
      <c r="AK150" s="29" t="s">
        <v>141</v>
      </c>
      <c r="AL150" s="28" t="s">
        <v>141</v>
      </c>
      <c r="AM150" s="29" t="s">
        <v>141</v>
      </c>
      <c r="AN150" s="28" t="s">
        <v>141</v>
      </c>
      <c r="AO150" s="29" t="s">
        <v>141</v>
      </c>
      <c r="AP150" s="28" t="s">
        <v>141</v>
      </c>
      <c r="AQ150" s="29" t="s">
        <v>141</v>
      </c>
      <c r="AR150" s="28" t="s">
        <v>141</v>
      </c>
      <c r="AS150" s="29" t="s">
        <v>141</v>
      </c>
      <c r="AT150" s="28" t="s">
        <v>141</v>
      </c>
      <c r="AU150" s="29" t="s">
        <v>141</v>
      </c>
      <c r="AV150" s="28" t="s">
        <v>141</v>
      </c>
      <c r="AW150" s="29" t="s">
        <v>141</v>
      </c>
      <c r="AX150" s="28" t="s">
        <v>141</v>
      </c>
      <c r="AY150" s="29" t="s">
        <v>141</v>
      </c>
    </row>
    <row r="151" spans="2:51">
      <c r="B151" s="26" t="s">
        <v>141</v>
      </c>
      <c r="C151" s="27" t="s">
        <v>141</v>
      </c>
      <c r="D151" s="28" t="s">
        <v>141</v>
      </c>
      <c r="E151" s="29" t="s">
        <v>141</v>
      </c>
      <c r="F151" s="28" t="s">
        <v>141</v>
      </c>
      <c r="G151" s="29" t="s">
        <v>141</v>
      </c>
      <c r="H151" s="28" t="s">
        <v>141</v>
      </c>
      <c r="I151" s="29" t="s">
        <v>141</v>
      </c>
      <c r="J151" s="28" t="s">
        <v>141</v>
      </c>
      <c r="K151" s="29" t="s">
        <v>141</v>
      </c>
      <c r="L151" s="28" t="s">
        <v>141</v>
      </c>
      <c r="M151" s="29" t="s">
        <v>141</v>
      </c>
      <c r="N151" s="28" t="s">
        <v>141</v>
      </c>
      <c r="O151" s="29" t="s">
        <v>141</v>
      </c>
      <c r="P151" s="28" t="s">
        <v>141</v>
      </c>
      <c r="Q151" s="29" t="s">
        <v>141</v>
      </c>
      <c r="R151" s="28" t="s">
        <v>141</v>
      </c>
      <c r="S151" s="29" t="s">
        <v>141</v>
      </c>
      <c r="T151" s="28" t="s">
        <v>141</v>
      </c>
      <c r="U151" s="29" t="s">
        <v>141</v>
      </c>
      <c r="V151" s="28" t="s">
        <v>141</v>
      </c>
      <c r="W151" s="29" t="s">
        <v>141</v>
      </c>
      <c r="X151" s="28" t="s">
        <v>141</v>
      </c>
      <c r="Y151" s="29" t="s">
        <v>141</v>
      </c>
      <c r="Z151" s="28" t="s">
        <v>141</v>
      </c>
      <c r="AA151" s="29" t="s">
        <v>141</v>
      </c>
      <c r="AB151" s="28" t="s">
        <v>141</v>
      </c>
      <c r="AC151" s="29" t="s">
        <v>141</v>
      </c>
      <c r="AD151" s="28" t="s">
        <v>141</v>
      </c>
      <c r="AE151" s="29" t="s">
        <v>141</v>
      </c>
      <c r="AF151" s="28" t="s">
        <v>141</v>
      </c>
      <c r="AG151" s="29" t="s">
        <v>141</v>
      </c>
      <c r="AH151" s="28" t="s">
        <v>141</v>
      </c>
      <c r="AI151" s="29" t="s">
        <v>141</v>
      </c>
      <c r="AJ151" s="28" t="s">
        <v>141</v>
      </c>
      <c r="AK151" s="29" t="s">
        <v>141</v>
      </c>
      <c r="AL151" s="28" t="s">
        <v>141</v>
      </c>
      <c r="AM151" s="29" t="s">
        <v>141</v>
      </c>
      <c r="AN151" s="28" t="s">
        <v>141</v>
      </c>
      <c r="AO151" s="29" t="s">
        <v>141</v>
      </c>
      <c r="AP151" s="28" t="s">
        <v>141</v>
      </c>
      <c r="AQ151" s="29" t="s">
        <v>141</v>
      </c>
      <c r="AR151" s="28" t="s">
        <v>141</v>
      </c>
      <c r="AS151" s="29" t="s">
        <v>141</v>
      </c>
      <c r="AT151" s="28" t="s">
        <v>141</v>
      </c>
      <c r="AU151" s="29" t="s">
        <v>141</v>
      </c>
      <c r="AV151" s="28" t="s">
        <v>141</v>
      </c>
      <c r="AW151" s="29" t="s">
        <v>141</v>
      </c>
      <c r="AX151" s="28" t="s">
        <v>141</v>
      </c>
      <c r="AY151" s="29" t="s">
        <v>141</v>
      </c>
    </row>
    <row r="152" spans="2:51">
      <c r="B152" s="26" t="s">
        <v>141</v>
      </c>
      <c r="C152" s="27" t="s">
        <v>141</v>
      </c>
      <c r="D152" s="28" t="s">
        <v>141</v>
      </c>
      <c r="E152" s="29" t="s">
        <v>141</v>
      </c>
      <c r="F152" s="28" t="s">
        <v>141</v>
      </c>
      <c r="G152" s="29" t="s">
        <v>141</v>
      </c>
      <c r="H152" s="28" t="s">
        <v>141</v>
      </c>
      <c r="I152" s="29" t="s">
        <v>141</v>
      </c>
      <c r="J152" s="28" t="s">
        <v>141</v>
      </c>
      <c r="K152" s="29" t="s">
        <v>141</v>
      </c>
      <c r="L152" s="28" t="s">
        <v>141</v>
      </c>
      <c r="M152" s="29" t="s">
        <v>141</v>
      </c>
      <c r="N152" s="28" t="s">
        <v>141</v>
      </c>
      <c r="O152" s="29" t="s">
        <v>141</v>
      </c>
      <c r="P152" s="28" t="s">
        <v>141</v>
      </c>
      <c r="Q152" s="29" t="s">
        <v>141</v>
      </c>
      <c r="R152" s="28" t="s">
        <v>141</v>
      </c>
      <c r="S152" s="29" t="s">
        <v>141</v>
      </c>
      <c r="T152" s="28" t="s">
        <v>141</v>
      </c>
      <c r="U152" s="29" t="s">
        <v>141</v>
      </c>
      <c r="V152" s="28" t="s">
        <v>141</v>
      </c>
      <c r="W152" s="29" t="s">
        <v>141</v>
      </c>
      <c r="X152" s="28" t="s">
        <v>141</v>
      </c>
      <c r="Y152" s="29" t="s">
        <v>141</v>
      </c>
      <c r="Z152" s="28" t="s">
        <v>141</v>
      </c>
      <c r="AA152" s="29" t="s">
        <v>141</v>
      </c>
      <c r="AB152" s="28" t="s">
        <v>141</v>
      </c>
      <c r="AC152" s="29" t="s">
        <v>141</v>
      </c>
      <c r="AD152" s="28" t="s">
        <v>141</v>
      </c>
      <c r="AE152" s="29" t="s">
        <v>141</v>
      </c>
      <c r="AF152" s="28" t="s">
        <v>141</v>
      </c>
      <c r="AG152" s="29" t="s">
        <v>141</v>
      </c>
      <c r="AH152" s="28" t="s">
        <v>141</v>
      </c>
      <c r="AI152" s="29" t="s">
        <v>141</v>
      </c>
      <c r="AJ152" s="28" t="s">
        <v>141</v>
      </c>
      <c r="AK152" s="29" t="s">
        <v>141</v>
      </c>
      <c r="AL152" s="28" t="s">
        <v>141</v>
      </c>
      <c r="AM152" s="29" t="s">
        <v>141</v>
      </c>
      <c r="AN152" s="28" t="s">
        <v>141</v>
      </c>
      <c r="AO152" s="29" t="s">
        <v>141</v>
      </c>
      <c r="AP152" s="28" t="s">
        <v>141</v>
      </c>
      <c r="AQ152" s="29" t="s">
        <v>141</v>
      </c>
      <c r="AR152" s="28" t="s">
        <v>141</v>
      </c>
      <c r="AS152" s="29" t="s">
        <v>141</v>
      </c>
      <c r="AT152" s="28" t="s">
        <v>141</v>
      </c>
      <c r="AU152" s="29" t="s">
        <v>141</v>
      </c>
      <c r="AV152" s="28" t="s">
        <v>141</v>
      </c>
      <c r="AW152" s="29" t="s">
        <v>141</v>
      </c>
      <c r="AX152" s="28" t="s">
        <v>141</v>
      </c>
      <c r="AY152" s="29" t="s">
        <v>141</v>
      </c>
    </row>
    <row r="153" spans="2:51">
      <c r="B153" s="26" t="s">
        <v>141</v>
      </c>
      <c r="C153" s="27" t="s">
        <v>141</v>
      </c>
      <c r="D153" s="28" t="s">
        <v>141</v>
      </c>
      <c r="E153" s="29" t="s">
        <v>141</v>
      </c>
      <c r="F153" s="28" t="s">
        <v>141</v>
      </c>
      <c r="G153" s="29" t="s">
        <v>141</v>
      </c>
      <c r="H153" s="28" t="s">
        <v>141</v>
      </c>
      <c r="I153" s="29" t="s">
        <v>141</v>
      </c>
      <c r="J153" s="28" t="s">
        <v>141</v>
      </c>
      <c r="K153" s="29" t="s">
        <v>141</v>
      </c>
      <c r="L153" s="28" t="s">
        <v>141</v>
      </c>
      <c r="M153" s="29" t="s">
        <v>141</v>
      </c>
      <c r="N153" s="28" t="s">
        <v>141</v>
      </c>
      <c r="O153" s="29" t="s">
        <v>141</v>
      </c>
      <c r="P153" s="28" t="s">
        <v>141</v>
      </c>
      <c r="Q153" s="29" t="s">
        <v>141</v>
      </c>
      <c r="R153" s="28" t="s">
        <v>141</v>
      </c>
      <c r="S153" s="29" t="s">
        <v>141</v>
      </c>
      <c r="T153" s="28" t="s">
        <v>141</v>
      </c>
      <c r="U153" s="29" t="s">
        <v>141</v>
      </c>
      <c r="V153" s="28" t="s">
        <v>141</v>
      </c>
      <c r="W153" s="29" t="s">
        <v>141</v>
      </c>
      <c r="X153" s="28" t="s">
        <v>141</v>
      </c>
      <c r="Y153" s="29" t="s">
        <v>141</v>
      </c>
      <c r="Z153" s="28" t="s">
        <v>141</v>
      </c>
      <c r="AA153" s="29" t="s">
        <v>141</v>
      </c>
      <c r="AB153" s="28" t="s">
        <v>141</v>
      </c>
      <c r="AC153" s="29" t="s">
        <v>141</v>
      </c>
      <c r="AD153" s="28" t="s">
        <v>141</v>
      </c>
      <c r="AE153" s="29" t="s">
        <v>141</v>
      </c>
      <c r="AF153" s="28" t="s">
        <v>141</v>
      </c>
      <c r="AG153" s="29" t="s">
        <v>141</v>
      </c>
      <c r="AH153" s="28" t="s">
        <v>141</v>
      </c>
      <c r="AI153" s="29" t="s">
        <v>141</v>
      </c>
      <c r="AJ153" s="28" t="s">
        <v>141</v>
      </c>
      <c r="AK153" s="29" t="s">
        <v>141</v>
      </c>
      <c r="AL153" s="28" t="s">
        <v>141</v>
      </c>
      <c r="AM153" s="29" t="s">
        <v>141</v>
      </c>
      <c r="AN153" s="28" t="s">
        <v>141</v>
      </c>
      <c r="AO153" s="29" t="s">
        <v>141</v>
      </c>
      <c r="AP153" s="28" t="s">
        <v>141</v>
      </c>
      <c r="AQ153" s="29" t="s">
        <v>141</v>
      </c>
      <c r="AR153" s="28" t="s">
        <v>141</v>
      </c>
      <c r="AS153" s="29" t="s">
        <v>141</v>
      </c>
      <c r="AT153" s="28" t="s">
        <v>141</v>
      </c>
      <c r="AU153" s="29" t="s">
        <v>141</v>
      </c>
      <c r="AV153" s="28" t="s">
        <v>141</v>
      </c>
      <c r="AW153" s="29" t="s">
        <v>141</v>
      </c>
      <c r="AX153" s="28" t="s">
        <v>141</v>
      </c>
      <c r="AY153" s="29" t="s">
        <v>141</v>
      </c>
    </row>
    <row r="154" spans="2:51">
      <c r="B154" s="26" t="s">
        <v>141</v>
      </c>
      <c r="C154" s="27" t="s">
        <v>141</v>
      </c>
      <c r="D154" s="28" t="s">
        <v>141</v>
      </c>
      <c r="E154" s="29" t="s">
        <v>141</v>
      </c>
      <c r="F154" s="28" t="s">
        <v>141</v>
      </c>
      <c r="G154" s="29" t="s">
        <v>141</v>
      </c>
      <c r="H154" s="28" t="s">
        <v>141</v>
      </c>
      <c r="I154" s="29" t="s">
        <v>141</v>
      </c>
      <c r="J154" s="28" t="s">
        <v>141</v>
      </c>
      <c r="K154" s="29" t="s">
        <v>141</v>
      </c>
      <c r="L154" s="28" t="s">
        <v>141</v>
      </c>
      <c r="M154" s="29" t="s">
        <v>141</v>
      </c>
      <c r="N154" s="28" t="s">
        <v>141</v>
      </c>
      <c r="O154" s="29" t="s">
        <v>141</v>
      </c>
      <c r="P154" s="28" t="s">
        <v>141</v>
      </c>
      <c r="Q154" s="29" t="s">
        <v>141</v>
      </c>
      <c r="R154" s="28" t="s">
        <v>141</v>
      </c>
      <c r="S154" s="29" t="s">
        <v>141</v>
      </c>
      <c r="T154" s="28" t="s">
        <v>141</v>
      </c>
      <c r="U154" s="29" t="s">
        <v>141</v>
      </c>
      <c r="V154" s="28" t="s">
        <v>141</v>
      </c>
      <c r="W154" s="29" t="s">
        <v>141</v>
      </c>
      <c r="X154" s="28" t="s">
        <v>141</v>
      </c>
      <c r="Y154" s="29" t="s">
        <v>141</v>
      </c>
      <c r="Z154" s="28" t="s">
        <v>141</v>
      </c>
      <c r="AA154" s="29" t="s">
        <v>141</v>
      </c>
      <c r="AB154" s="28" t="s">
        <v>141</v>
      </c>
      <c r="AC154" s="29" t="s">
        <v>141</v>
      </c>
      <c r="AD154" s="28" t="s">
        <v>141</v>
      </c>
      <c r="AE154" s="29" t="s">
        <v>141</v>
      </c>
      <c r="AF154" s="28" t="s">
        <v>141</v>
      </c>
      <c r="AG154" s="29" t="s">
        <v>141</v>
      </c>
      <c r="AH154" s="28" t="s">
        <v>141</v>
      </c>
      <c r="AI154" s="29" t="s">
        <v>141</v>
      </c>
      <c r="AJ154" s="28" t="s">
        <v>141</v>
      </c>
      <c r="AK154" s="29" t="s">
        <v>141</v>
      </c>
      <c r="AL154" s="28" t="s">
        <v>141</v>
      </c>
      <c r="AM154" s="29" t="s">
        <v>141</v>
      </c>
      <c r="AN154" s="28" t="s">
        <v>141</v>
      </c>
      <c r="AO154" s="29" t="s">
        <v>141</v>
      </c>
      <c r="AP154" s="28" t="s">
        <v>141</v>
      </c>
      <c r="AQ154" s="29" t="s">
        <v>141</v>
      </c>
      <c r="AR154" s="28" t="s">
        <v>141</v>
      </c>
      <c r="AS154" s="29" t="s">
        <v>141</v>
      </c>
      <c r="AT154" s="28" t="s">
        <v>141</v>
      </c>
      <c r="AU154" s="29" t="s">
        <v>141</v>
      </c>
      <c r="AV154" s="28" t="s">
        <v>141</v>
      </c>
      <c r="AW154" s="29" t="s">
        <v>141</v>
      </c>
      <c r="AX154" s="28" t="s">
        <v>141</v>
      </c>
      <c r="AY154" s="29" t="s">
        <v>141</v>
      </c>
    </row>
    <row r="155" spans="2:51">
      <c r="B155" s="26" t="s">
        <v>141</v>
      </c>
      <c r="C155" s="27" t="s">
        <v>141</v>
      </c>
      <c r="D155" s="28" t="s">
        <v>141</v>
      </c>
      <c r="E155" s="29" t="s">
        <v>141</v>
      </c>
      <c r="F155" s="28" t="s">
        <v>141</v>
      </c>
      <c r="G155" s="29" t="s">
        <v>141</v>
      </c>
      <c r="H155" s="28" t="s">
        <v>141</v>
      </c>
      <c r="I155" s="29" t="s">
        <v>141</v>
      </c>
      <c r="J155" s="28" t="s">
        <v>141</v>
      </c>
      <c r="K155" s="29" t="s">
        <v>141</v>
      </c>
      <c r="L155" s="28" t="s">
        <v>141</v>
      </c>
      <c r="M155" s="29" t="s">
        <v>141</v>
      </c>
      <c r="N155" s="28" t="s">
        <v>141</v>
      </c>
      <c r="O155" s="29" t="s">
        <v>141</v>
      </c>
      <c r="P155" s="28" t="s">
        <v>141</v>
      </c>
      <c r="Q155" s="29" t="s">
        <v>141</v>
      </c>
      <c r="R155" s="28" t="s">
        <v>141</v>
      </c>
      <c r="S155" s="29" t="s">
        <v>141</v>
      </c>
      <c r="T155" s="28" t="s">
        <v>141</v>
      </c>
      <c r="U155" s="29" t="s">
        <v>141</v>
      </c>
      <c r="V155" s="28" t="s">
        <v>141</v>
      </c>
      <c r="W155" s="29" t="s">
        <v>141</v>
      </c>
      <c r="X155" s="28" t="s">
        <v>141</v>
      </c>
      <c r="Y155" s="29" t="s">
        <v>141</v>
      </c>
      <c r="Z155" s="28" t="s">
        <v>141</v>
      </c>
      <c r="AA155" s="29" t="s">
        <v>141</v>
      </c>
      <c r="AB155" s="28" t="s">
        <v>141</v>
      </c>
      <c r="AC155" s="29" t="s">
        <v>141</v>
      </c>
      <c r="AD155" s="28" t="s">
        <v>141</v>
      </c>
      <c r="AE155" s="29" t="s">
        <v>141</v>
      </c>
      <c r="AF155" s="28" t="s">
        <v>141</v>
      </c>
      <c r="AG155" s="29" t="s">
        <v>141</v>
      </c>
      <c r="AH155" s="28" t="s">
        <v>141</v>
      </c>
      <c r="AI155" s="29" t="s">
        <v>141</v>
      </c>
      <c r="AJ155" s="28" t="s">
        <v>141</v>
      </c>
      <c r="AK155" s="29" t="s">
        <v>141</v>
      </c>
      <c r="AL155" s="28" t="s">
        <v>141</v>
      </c>
      <c r="AM155" s="29" t="s">
        <v>141</v>
      </c>
      <c r="AN155" s="28" t="s">
        <v>141</v>
      </c>
      <c r="AO155" s="29" t="s">
        <v>141</v>
      </c>
      <c r="AP155" s="28" t="s">
        <v>141</v>
      </c>
      <c r="AQ155" s="29" t="s">
        <v>141</v>
      </c>
      <c r="AR155" s="28" t="s">
        <v>141</v>
      </c>
      <c r="AS155" s="29" t="s">
        <v>141</v>
      </c>
      <c r="AT155" s="28" t="s">
        <v>141</v>
      </c>
      <c r="AU155" s="29" t="s">
        <v>141</v>
      </c>
      <c r="AV155" s="28" t="s">
        <v>141</v>
      </c>
      <c r="AW155" s="29" t="s">
        <v>141</v>
      </c>
      <c r="AX155" s="28" t="s">
        <v>141</v>
      </c>
      <c r="AY155" s="29" t="s">
        <v>141</v>
      </c>
    </row>
    <row r="156" spans="2:51">
      <c r="B156" s="26" t="s">
        <v>141</v>
      </c>
      <c r="C156" s="27" t="s">
        <v>141</v>
      </c>
      <c r="D156" s="28" t="s">
        <v>141</v>
      </c>
      <c r="E156" s="29" t="s">
        <v>141</v>
      </c>
      <c r="F156" s="28" t="s">
        <v>141</v>
      </c>
      <c r="G156" s="29" t="s">
        <v>141</v>
      </c>
      <c r="H156" s="28" t="s">
        <v>141</v>
      </c>
      <c r="I156" s="29" t="s">
        <v>141</v>
      </c>
      <c r="J156" s="28" t="s">
        <v>141</v>
      </c>
      <c r="K156" s="29" t="s">
        <v>141</v>
      </c>
      <c r="L156" s="28" t="s">
        <v>141</v>
      </c>
      <c r="M156" s="29" t="s">
        <v>141</v>
      </c>
      <c r="N156" s="28" t="s">
        <v>141</v>
      </c>
      <c r="O156" s="29" t="s">
        <v>141</v>
      </c>
      <c r="P156" s="28" t="s">
        <v>141</v>
      </c>
      <c r="Q156" s="29" t="s">
        <v>141</v>
      </c>
      <c r="R156" s="28" t="s">
        <v>141</v>
      </c>
      <c r="S156" s="29" t="s">
        <v>141</v>
      </c>
      <c r="T156" s="28" t="s">
        <v>141</v>
      </c>
      <c r="U156" s="29" t="s">
        <v>141</v>
      </c>
      <c r="V156" s="28" t="s">
        <v>141</v>
      </c>
      <c r="W156" s="29" t="s">
        <v>141</v>
      </c>
      <c r="X156" s="28" t="s">
        <v>141</v>
      </c>
      <c r="Y156" s="29" t="s">
        <v>141</v>
      </c>
      <c r="Z156" s="28" t="s">
        <v>141</v>
      </c>
      <c r="AA156" s="29" t="s">
        <v>141</v>
      </c>
      <c r="AB156" s="28" t="s">
        <v>141</v>
      </c>
      <c r="AC156" s="29" t="s">
        <v>141</v>
      </c>
      <c r="AD156" s="28" t="s">
        <v>141</v>
      </c>
      <c r="AE156" s="29" t="s">
        <v>141</v>
      </c>
      <c r="AF156" s="28" t="s">
        <v>141</v>
      </c>
      <c r="AG156" s="29" t="s">
        <v>141</v>
      </c>
      <c r="AH156" s="28" t="s">
        <v>141</v>
      </c>
      <c r="AI156" s="29" t="s">
        <v>141</v>
      </c>
      <c r="AJ156" s="28" t="s">
        <v>141</v>
      </c>
      <c r="AK156" s="29" t="s">
        <v>141</v>
      </c>
      <c r="AL156" s="28" t="s">
        <v>141</v>
      </c>
      <c r="AM156" s="29" t="s">
        <v>141</v>
      </c>
      <c r="AN156" s="28" t="s">
        <v>141</v>
      </c>
      <c r="AO156" s="29" t="s">
        <v>141</v>
      </c>
      <c r="AP156" s="28" t="s">
        <v>141</v>
      </c>
      <c r="AQ156" s="29" t="s">
        <v>141</v>
      </c>
      <c r="AR156" s="28" t="s">
        <v>141</v>
      </c>
      <c r="AS156" s="29" t="s">
        <v>141</v>
      </c>
      <c r="AT156" s="28" t="s">
        <v>141</v>
      </c>
      <c r="AU156" s="29" t="s">
        <v>141</v>
      </c>
      <c r="AV156" s="28" t="s">
        <v>141</v>
      </c>
      <c r="AW156" s="29" t="s">
        <v>141</v>
      </c>
      <c r="AX156" s="28" t="s">
        <v>141</v>
      </c>
      <c r="AY156" s="29" t="s">
        <v>141</v>
      </c>
    </row>
    <row r="157" spans="2:51">
      <c r="B157" s="26" t="s">
        <v>141</v>
      </c>
      <c r="C157" s="27" t="s">
        <v>141</v>
      </c>
      <c r="D157" s="28" t="s">
        <v>141</v>
      </c>
      <c r="E157" s="29" t="s">
        <v>141</v>
      </c>
      <c r="F157" s="28" t="s">
        <v>141</v>
      </c>
      <c r="G157" s="29" t="s">
        <v>141</v>
      </c>
      <c r="H157" s="28" t="s">
        <v>141</v>
      </c>
      <c r="I157" s="29" t="s">
        <v>141</v>
      </c>
      <c r="J157" s="28" t="s">
        <v>141</v>
      </c>
      <c r="K157" s="29" t="s">
        <v>141</v>
      </c>
      <c r="L157" s="28" t="s">
        <v>141</v>
      </c>
      <c r="M157" s="29" t="s">
        <v>141</v>
      </c>
      <c r="N157" s="28" t="s">
        <v>141</v>
      </c>
      <c r="O157" s="29" t="s">
        <v>141</v>
      </c>
      <c r="P157" s="28" t="s">
        <v>141</v>
      </c>
      <c r="Q157" s="29" t="s">
        <v>141</v>
      </c>
      <c r="R157" s="28" t="s">
        <v>141</v>
      </c>
      <c r="S157" s="29" t="s">
        <v>141</v>
      </c>
      <c r="T157" s="28" t="s">
        <v>141</v>
      </c>
      <c r="U157" s="29" t="s">
        <v>141</v>
      </c>
      <c r="V157" s="28" t="s">
        <v>141</v>
      </c>
      <c r="W157" s="29" t="s">
        <v>141</v>
      </c>
      <c r="X157" s="28" t="s">
        <v>141</v>
      </c>
      <c r="Y157" s="29" t="s">
        <v>141</v>
      </c>
      <c r="Z157" s="28" t="s">
        <v>141</v>
      </c>
      <c r="AA157" s="29" t="s">
        <v>141</v>
      </c>
      <c r="AB157" s="28" t="s">
        <v>141</v>
      </c>
      <c r="AC157" s="29" t="s">
        <v>141</v>
      </c>
      <c r="AD157" s="28" t="s">
        <v>141</v>
      </c>
      <c r="AE157" s="29" t="s">
        <v>141</v>
      </c>
      <c r="AF157" s="28" t="s">
        <v>141</v>
      </c>
      <c r="AG157" s="29" t="s">
        <v>141</v>
      </c>
      <c r="AH157" s="28" t="s">
        <v>141</v>
      </c>
      <c r="AI157" s="29" t="s">
        <v>141</v>
      </c>
      <c r="AJ157" s="28" t="s">
        <v>141</v>
      </c>
      <c r="AK157" s="29" t="s">
        <v>141</v>
      </c>
      <c r="AL157" s="28" t="s">
        <v>141</v>
      </c>
      <c r="AM157" s="29" t="s">
        <v>141</v>
      </c>
      <c r="AN157" s="28" t="s">
        <v>141</v>
      </c>
      <c r="AO157" s="29" t="s">
        <v>141</v>
      </c>
      <c r="AP157" s="28" t="s">
        <v>141</v>
      </c>
      <c r="AQ157" s="29" t="s">
        <v>141</v>
      </c>
      <c r="AR157" s="28" t="s">
        <v>141</v>
      </c>
      <c r="AS157" s="29" t="s">
        <v>141</v>
      </c>
      <c r="AT157" s="28" t="s">
        <v>141</v>
      </c>
      <c r="AU157" s="29" t="s">
        <v>141</v>
      </c>
      <c r="AV157" s="28" t="s">
        <v>141</v>
      </c>
      <c r="AW157" s="29" t="s">
        <v>141</v>
      </c>
      <c r="AX157" s="28" t="s">
        <v>141</v>
      </c>
      <c r="AY157" s="29" t="s">
        <v>141</v>
      </c>
    </row>
    <row r="158" spans="2:51">
      <c r="B158" s="26" t="s">
        <v>141</v>
      </c>
      <c r="C158" s="27" t="s">
        <v>141</v>
      </c>
      <c r="D158" s="28" t="s">
        <v>141</v>
      </c>
      <c r="E158" s="29" t="s">
        <v>141</v>
      </c>
      <c r="F158" s="28" t="s">
        <v>141</v>
      </c>
      <c r="G158" s="29" t="s">
        <v>141</v>
      </c>
      <c r="H158" s="28" t="s">
        <v>141</v>
      </c>
      <c r="I158" s="29" t="s">
        <v>141</v>
      </c>
      <c r="J158" s="28" t="s">
        <v>141</v>
      </c>
      <c r="K158" s="29" t="s">
        <v>141</v>
      </c>
      <c r="L158" s="28" t="s">
        <v>141</v>
      </c>
      <c r="M158" s="29" t="s">
        <v>141</v>
      </c>
      <c r="N158" s="28" t="s">
        <v>141</v>
      </c>
      <c r="O158" s="29" t="s">
        <v>141</v>
      </c>
      <c r="P158" s="28" t="s">
        <v>141</v>
      </c>
      <c r="Q158" s="29" t="s">
        <v>141</v>
      </c>
      <c r="R158" s="28" t="s">
        <v>141</v>
      </c>
      <c r="S158" s="29" t="s">
        <v>141</v>
      </c>
      <c r="T158" s="28" t="s">
        <v>141</v>
      </c>
      <c r="U158" s="29" t="s">
        <v>141</v>
      </c>
      <c r="V158" s="28" t="s">
        <v>141</v>
      </c>
      <c r="W158" s="29" t="s">
        <v>141</v>
      </c>
      <c r="X158" s="28" t="s">
        <v>141</v>
      </c>
      <c r="Y158" s="29" t="s">
        <v>141</v>
      </c>
      <c r="Z158" s="28" t="s">
        <v>141</v>
      </c>
      <c r="AA158" s="29" t="s">
        <v>141</v>
      </c>
      <c r="AB158" s="28" t="s">
        <v>141</v>
      </c>
      <c r="AC158" s="29" t="s">
        <v>141</v>
      </c>
      <c r="AD158" s="28" t="s">
        <v>141</v>
      </c>
      <c r="AE158" s="29" t="s">
        <v>141</v>
      </c>
      <c r="AF158" s="28" t="s">
        <v>141</v>
      </c>
      <c r="AG158" s="29" t="s">
        <v>141</v>
      </c>
      <c r="AH158" s="28" t="s">
        <v>141</v>
      </c>
      <c r="AI158" s="29" t="s">
        <v>141</v>
      </c>
      <c r="AJ158" s="28" t="s">
        <v>141</v>
      </c>
      <c r="AK158" s="29" t="s">
        <v>141</v>
      </c>
      <c r="AL158" s="28" t="s">
        <v>141</v>
      </c>
      <c r="AM158" s="29" t="s">
        <v>141</v>
      </c>
      <c r="AN158" s="28" t="s">
        <v>141</v>
      </c>
      <c r="AO158" s="29" t="s">
        <v>141</v>
      </c>
      <c r="AP158" s="28" t="s">
        <v>141</v>
      </c>
      <c r="AQ158" s="29" t="s">
        <v>141</v>
      </c>
      <c r="AR158" s="28" t="s">
        <v>141</v>
      </c>
      <c r="AS158" s="29" t="s">
        <v>141</v>
      </c>
      <c r="AT158" s="28" t="s">
        <v>141</v>
      </c>
      <c r="AU158" s="29" t="s">
        <v>141</v>
      </c>
      <c r="AV158" s="28" t="s">
        <v>141</v>
      </c>
      <c r="AW158" s="29" t="s">
        <v>141</v>
      </c>
      <c r="AX158" s="28" t="s">
        <v>141</v>
      </c>
      <c r="AY158" s="29" t="s">
        <v>141</v>
      </c>
    </row>
    <row r="159" spans="2:51">
      <c r="B159" s="26" t="s">
        <v>141</v>
      </c>
      <c r="C159" s="27" t="s">
        <v>141</v>
      </c>
      <c r="D159" s="28" t="s">
        <v>141</v>
      </c>
      <c r="E159" s="29" t="s">
        <v>141</v>
      </c>
      <c r="F159" s="28" t="s">
        <v>141</v>
      </c>
      <c r="G159" s="29" t="s">
        <v>141</v>
      </c>
      <c r="H159" s="28" t="s">
        <v>141</v>
      </c>
      <c r="I159" s="29" t="s">
        <v>141</v>
      </c>
      <c r="J159" s="28" t="s">
        <v>141</v>
      </c>
      <c r="K159" s="29" t="s">
        <v>141</v>
      </c>
      <c r="L159" s="28" t="s">
        <v>141</v>
      </c>
      <c r="M159" s="29" t="s">
        <v>141</v>
      </c>
      <c r="N159" s="28" t="s">
        <v>141</v>
      </c>
      <c r="O159" s="29" t="s">
        <v>141</v>
      </c>
      <c r="P159" s="28" t="s">
        <v>141</v>
      </c>
      <c r="Q159" s="29" t="s">
        <v>141</v>
      </c>
      <c r="R159" s="28" t="s">
        <v>141</v>
      </c>
      <c r="S159" s="29" t="s">
        <v>141</v>
      </c>
      <c r="T159" s="28" t="s">
        <v>141</v>
      </c>
      <c r="U159" s="29" t="s">
        <v>141</v>
      </c>
      <c r="V159" s="28" t="s">
        <v>141</v>
      </c>
      <c r="W159" s="29" t="s">
        <v>141</v>
      </c>
      <c r="X159" s="28" t="s">
        <v>141</v>
      </c>
      <c r="Y159" s="29" t="s">
        <v>141</v>
      </c>
      <c r="Z159" s="28" t="s">
        <v>141</v>
      </c>
      <c r="AA159" s="29" t="s">
        <v>141</v>
      </c>
      <c r="AB159" s="28" t="s">
        <v>141</v>
      </c>
      <c r="AC159" s="29" t="s">
        <v>141</v>
      </c>
      <c r="AD159" s="28" t="s">
        <v>141</v>
      </c>
      <c r="AE159" s="29" t="s">
        <v>141</v>
      </c>
      <c r="AF159" s="28" t="s">
        <v>141</v>
      </c>
      <c r="AG159" s="29" t="s">
        <v>141</v>
      </c>
      <c r="AH159" s="28" t="s">
        <v>141</v>
      </c>
      <c r="AI159" s="29" t="s">
        <v>141</v>
      </c>
      <c r="AJ159" s="28" t="s">
        <v>141</v>
      </c>
      <c r="AK159" s="29" t="s">
        <v>141</v>
      </c>
      <c r="AL159" s="28" t="s">
        <v>141</v>
      </c>
      <c r="AM159" s="29" t="s">
        <v>141</v>
      </c>
      <c r="AN159" s="28" t="s">
        <v>141</v>
      </c>
      <c r="AO159" s="29" t="s">
        <v>141</v>
      </c>
      <c r="AP159" s="28" t="s">
        <v>141</v>
      </c>
      <c r="AQ159" s="29" t="s">
        <v>141</v>
      </c>
      <c r="AR159" s="28" t="s">
        <v>141</v>
      </c>
      <c r="AS159" s="29" t="s">
        <v>141</v>
      </c>
      <c r="AT159" s="28" t="s">
        <v>141</v>
      </c>
      <c r="AU159" s="29" t="s">
        <v>141</v>
      </c>
      <c r="AV159" s="28" t="s">
        <v>141</v>
      </c>
      <c r="AW159" s="29" t="s">
        <v>141</v>
      </c>
      <c r="AX159" s="28" t="s">
        <v>141</v>
      </c>
      <c r="AY159" s="29" t="s">
        <v>141</v>
      </c>
    </row>
    <row r="160" spans="2:51">
      <c r="B160" s="26" t="s">
        <v>141</v>
      </c>
      <c r="C160" s="27" t="s">
        <v>141</v>
      </c>
      <c r="D160" s="28" t="s">
        <v>141</v>
      </c>
      <c r="E160" s="29" t="s">
        <v>141</v>
      </c>
      <c r="F160" s="28" t="s">
        <v>141</v>
      </c>
      <c r="G160" s="29" t="s">
        <v>141</v>
      </c>
      <c r="H160" s="28" t="s">
        <v>141</v>
      </c>
      <c r="I160" s="29" t="s">
        <v>141</v>
      </c>
      <c r="J160" s="28" t="s">
        <v>141</v>
      </c>
      <c r="K160" s="29" t="s">
        <v>141</v>
      </c>
      <c r="L160" s="28" t="s">
        <v>141</v>
      </c>
      <c r="M160" s="29" t="s">
        <v>141</v>
      </c>
      <c r="N160" s="28" t="s">
        <v>141</v>
      </c>
      <c r="O160" s="29" t="s">
        <v>141</v>
      </c>
      <c r="P160" s="28" t="s">
        <v>141</v>
      </c>
      <c r="Q160" s="29" t="s">
        <v>141</v>
      </c>
      <c r="R160" s="28" t="s">
        <v>141</v>
      </c>
      <c r="S160" s="29" t="s">
        <v>141</v>
      </c>
      <c r="T160" s="28" t="s">
        <v>141</v>
      </c>
      <c r="U160" s="29" t="s">
        <v>141</v>
      </c>
      <c r="V160" s="28" t="s">
        <v>141</v>
      </c>
      <c r="W160" s="29" t="s">
        <v>141</v>
      </c>
      <c r="X160" s="28" t="s">
        <v>141</v>
      </c>
      <c r="Y160" s="29" t="s">
        <v>141</v>
      </c>
      <c r="Z160" s="28" t="s">
        <v>141</v>
      </c>
      <c r="AA160" s="29" t="s">
        <v>141</v>
      </c>
      <c r="AB160" s="28" t="s">
        <v>141</v>
      </c>
      <c r="AC160" s="29" t="s">
        <v>141</v>
      </c>
      <c r="AD160" s="28" t="s">
        <v>141</v>
      </c>
      <c r="AE160" s="29" t="s">
        <v>141</v>
      </c>
      <c r="AF160" s="28" t="s">
        <v>141</v>
      </c>
      <c r="AG160" s="29" t="s">
        <v>141</v>
      </c>
      <c r="AH160" s="28" t="s">
        <v>141</v>
      </c>
      <c r="AI160" s="29" t="s">
        <v>141</v>
      </c>
      <c r="AJ160" s="28" t="s">
        <v>141</v>
      </c>
      <c r="AK160" s="29" t="s">
        <v>141</v>
      </c>
      <c r="AL160" s="28" t="s">
        <v>141</v>
      </c>
      <c r="AM160" s="29" t="s">
        <v>141</v>
      </c>
      <c r="AN160" s="28" t="s">
        <v>141</v>
      </c>
      <c r="AO160" s="29" t="s">
        <v>141</v>
      </c>
      <c r="AP160" s="28" t="s">
        <v>141</v>
      </c>
      <c r="AQ160" s="29" t="s">
        <v>141</v>
      </c>
      <c r="AR160" s="28" t="s">
        <v>141</v>
      </c>
      <c r="AS160" s="29" t="s">
        <v>141</v>
      </c>
      <c r="AT160" s="28" t="s">
        <v>141</v>
      </c>
      <c r="AU160" s="29" t="s">
        <v>141</v>
      </c>
      <c r="AV160" s="28" t="s">
        <v>141</v>
      </c>
      <c r="AW160" s="29" t="s">
        <v>141</v>
      </c>
      <c r="AX160" s="28" t="s">
        <v>141</v>
      </c>
      <c r="AY160" s="29" t="s">
        <v>141</v>
      </c>
    </row>
    <row r="161" spans="2:51">
      <c r="B161" s="26" t="s">
        <v>141</v>
      </c>
      <c r="C161" s="27" t="s">
        <v>141</v>
      </c>
      <c r="D161" s="28" t="s">
        <v>141</v>
      </c>
      <c r="E161" s="29" t="s">
        <v>141</v>
      </c>
      <c r="F161" s="28" t="s">
        <v>141</v>
      </c>
      <c r="G161" s="29" t="s">
        <v>141</v>
      </c>
      <c r="H161" s="28" t="s">
        <v>141</v>
      </c>
      <c r="I161" s="29" t="s">
        <v>141</v>
      </c>
      <c r="J161" s="28" t="s">
        <v>141</v>
      </c>
      <c r="K161" s="29" t="s">
        <v>141</v>
      </c>
      <c r="L161" s="28" t="s">
        <v>141</v>
      </c>
      <c r="M161" s="29" t="s">
        <v>141</v>
      </c>
      <c r="N161" s="28" t="s">
        <v>141</v>
      </c>
      <c r="O161" s="29" t="s">
        <v>141</v>
      </c>
      <c r="P161" s="28" t="s">
        <v>141</v>
      </c>
      <c r="Q161" s="29" t="s">
        <v>141</v>
      </c>
      <c r="R161" s="28" t="s">
        <v>141</v>
      </c>
      <c r="S161" s="29" t="s">
        <v>141</v>
      </c>
      <c r="T161" s="28" t="s">
        <v>141</v>
      </c>
      <c r="U161" s="29" t="s">
        <v>141</v>
      </c>
      <c r="V161" s="28" t="s">
        <v>141</v>
      </c>
      <c r="W161" s="29" t="s">
        <v>141</v>
      </c>
      <c r="X161" s="28" t="s">
        <v>141</v>
      </c>
      <c r="Y161" s="29" t="s">
        <v>141</v>
      </c>
      <c r="Z161" s="28" t="s">
        <v>141</v>
      </c>
      <c r="AA161" s="29" t="s">
        <v>141</v>
      </c>
      <c r="AB161" s="28" t="s">
        <v>141</v>
      </c>
      <c r="AC161" s="29" t="s">
        <v>141</v>
      </c>
      <c r="AD161" s="28" t="s">
        <v>141</v>
      </c>
      <c r="AE161" s="29" t="s">
        <v>141</v>
      </c>
      <c r="AF161" s="28" t="s">
        <v>141</v>
      </c>
      <c r="AG161" s="29" t="s">
        <v>141</v>
      </c>
      <c r="AH161" s="28" t="s">
        <v>141</v>
      </c>
      <c r="AI161" s="29" t="s">
        <v>141</v>
      </c>
      <c r="AJ161" s="28" t="s">
        <v>141</v>
      </c>
      <c r="AK161" s="29" t="s">
        <v>141</v>
      </c>
      <c r="AL161" s="28" t="s">
        <v>141</v>
      </c>
      <c r="AM161" s="29" t="s">
        <v>141</v>
      </c>
      <c r="AN161" s="28" t="s">
        <v>141</v>
      </c>
      <c r="AO161" s="29" t="s">
        <v>141</v>
      </c>
      <c r="AP161" s="28" t="s">
        <v>141</v>
      </c>
      <c r="AQ161" s="29" t="s">
        <v>141</v>
      </c>
      <c r="AR161" s="28" t="s">
        <v>141</v>
      </c>
      <c r="AS161" s="29" t="s">
        <v>141</v>
      </c>
      <c r="AT161" s="28" t="s">
        <v>141</v>
      </c>
      <c r="AU161" s="29" t="s">
        <v>141</v>
      </c>
      <c r="AV161" s="28" t="s">
        <v>141</v>
      </c>
      <c r="AW161" s="29" t="s">
        <v>141</v>
      </c>
      <c r="AX161" s="28" t="s">
        <v>141</v>
      </c>
      <c r="AY161" s="29" t="s">
        <v>141</v>
      </c>
    </row>
    <row r="162" spans="2:51">
      <c r="B162" s="26" t="s">
        <v>141</v>
      </c>
      <c r="C162" s="27" t="s">
        <v>141</v>
      </c>
      <c r="D162" s="28" t="s">
        <v>141</v>
      </c>
      <c r="E162" s="29" t="s">
        <v>141</v>
      </c>
      <c r="F162" s="28" t="s">
        <v>141</v>
      </c>
      <c r="G162" s="29" t="s">
        <v>141</v>
      </c>
      <c r="H162" s="28" t="s">
        <v>141</v>
      </c>
      <c r="I162" s="29" t="s">
        <v>141</v>
      </c>
      <c r="J162" s="28" t="s">
        <v>141</v>
      </c>
      <c r="K162" s="29" t="s">
        <v>141</v>
      </c>
      <c r="L162" s="28" t="s">
        <v>141</v>
      </c>
      <c r="M162" s="29" t="s">
        <v>141</v>
      </c>
      <c r="N162" s="28" t="s">
        <v>141</v>
      </c>
      <c r="O162" s="29" t="s">
        <v>141</v>
      </c>
      <c r="P162" s="28" t="s">
        <v>141</v>
      </c>
      <c r="Q162" s="29" t="s">
        <v>141</v>
      </c>
      <c r="R162" s="28" t="s">
        <v>141</v>
      </c>
      <c r="S162" s="29" t="s">
        <v>141</v>
      </c>
      <c r="T162" s="28" t="s">
        <v>141</v>
      </c>
      <c r="U162" s="29" t="s">
        <v>141</v>
      </c>
      <c r="V162" s="28" t="s">
        <v>141</v>
      </c>
      <c r="W162" s="29" t="s">
        <v>141</v>
      </c>
      <c r="X162" s="28" t="s">
        <v>141</v>
      </c>
      <c r="Y162" s="29" t="s">
        <v>141</v>
      </c>
      <c r="Z162" s="28" t="s">
        <v>141</v>
      </c>
      <c r="AA162" s="29" t="s">
        <v>141</v>
      </c>
      <c r="AB162" s="28" t="s">
        <v>141</v>
      </c>
      <c r="AC162" s="29" t="s">
        <v>141</v>
      </c>
      <c r="AD162" s="28" t="s">
        <v>141</v>
      </c>
      <c r="AE162" s="29" t="s">
        <v>141</v>
      </c>
      <c r="AF162" s="28" t="s">
        <v>141</v>
      </c>
      <c r="AG162" s="29" t="s">
        <v>141</v>
      </c>
      <c r="AH162" s="28" t="s">
        <v>141</v>
      </c>
      <c r="AI162" s="29" t="s">
        <v>141</v>
      </c>
      <c r="AJ162" s="28" t="s">
        <v>141</v>
      </c>
      <c r="AK162" s="29" t="s">
        <v>141</v>
      </c>
      <c r="AL162" s="28" t="s">
        <v>141</v>
      </c>
      <c r="AM162" s="29" t="s">
        <v>141</v>
      </c>
      <c r="AN162" s="28" t="s">
        <v>141</v>
      </c>
      <c r="AO162" s="29" t="s">
        <v>141</v>
      </c>
      <c r="AP162" s="28" t="s">
        <v>141</v>
      </c>
      <c r="AQ162" s="29" t="s">
        <v>141</v>
      </c>
      <c r="AR162" s="28" t="s">
        <v>141</v>
      </c>
      <c r="AS162" s="29" t="s">
        <v>141</v>
      </c>
      <c r="AT162" s="28" t="s">
        <v>141</v>
      </c>
      <c r="AU162" s="29" t="s">
        <v>141</v>
      </c>
      <c r="AV162" s="28" t="s">
        <v>141</v>
      </c>
      <c r="AW162" s="29" t="s">
        <v>141</v>
      </c>
      <c r="AX162" s="28" t="s">
        <v>141</v>
      </c>
      <c r="AY162" s="29" t="s">
        <v>141</v>
      </c>
    </row>
    <row r="163" spans="2:51">
      <c r="B163" s="26" t="s">
        <v>141</v>
      </c>
      <c r="C163" s="27" t="s">
        <v>141</v>
      </c>
      <c r="D163" s="28" t="s">
        <v>141</v>
      </c>
      <c r="E163" s="29" t="s">
        <v>141</v>
      </c>
      <c r="F163" s="28" t="s">
        <v>141</v>
      </c>
      <c r="G163" s="29" t="s">
        <v>141</v>
      </c>
      <c r="H163" s="28" t="s">
        <v>141</v>
      </c>
      <c r="I163" s="29" t="s">
        <v>141</v>
      </c>
      <c r="J163" s="28" t="s">
        <v>141</v>
      </c>
      <c r="K163" s="29" t="s">
        <v>141</v>
      </c>
      <c r="L163" s="28" t="s">
        <v>141</v>
      </c>
      <c r="M163" s="29" t="s">
        <v>141</v>
      </c>
      <c r="N163" s="28" t="s">
        <v>141</v>
      </c>
      <c r="O163" s="29" t="s">
        <v>141</v>
      </c>
      <c r="P163" s="28" t="s">
        <v>141</v>
      </c>
      <c r="Q163" s="29" t="s">
        <v>141</v>
      </c>
      <c r="R163" s="28" t="s">
        <v>141</v>
      </c>
      <c r="S163" s="29" t="s">
        <v>141</v>
      </c>
      <c r="T163" s="28" t="s">
        <v>141</v>
      </c>
      <c r="U163" s="29" t="s">
        <v>141</v>
      </c>
      <c r="V163" s="28" t="s">
        <v>141</v>
      </c>
      <c r="W163" s="29" t="s">
        <v>141</v>
      </c>
      <c r="X163" s="28" t="s">
        <v>141</v>
      </c>
      <c r="Y163" s="29" t="s">
        <v>141</v>
      </c>
      <c r="Z163" s="28" t="s">
        <v>141</v>
      </c>
      <c r="AA163" s="29" t="s">
        <v>141</v>
      </c>
      <c r="AB163" s="28" t="s">
        <v>141</v>
      </c>
      <c r="AC163" s="29" t="s">
        <v>141</v>
      </c>
      <c r="AD163" s="28" t="s">
        <v>141</v>
      </c>
      <c r="AE163" s="29" t="s">
        <v>141</v>
      </c>
      <c r="AF163" s="28" t="s">
        <v>141</v>
      </c>
      <c r="AG163" s="29" t="s">
        <v>141</v>
      </c>
      <c r="AH163" s="28" t="s">
        <v>141</v>
      </c>
      <c r="AI163" s="29" t="s">
        <v>141</v>
      </c>
      <c r="AJ163" s="28" t="s">
        <v>141</v>
      </c>
      <c r="AK163" s="29" t="s">
        <v>141</v>
      </c>
      <c r="AL163" s="28" t="s">
        <v>141</v>
      </c>
      <c r="AM163" s="29" t="s">
        <v>141</v>
      </c>
      <c r="AN163" s="28" t="s">
        <v>141</v>
      </c>
      <c r="AO163" s="29" t="s">
        <v>141</v>
      </c>
      <c r="AP163" s="28" t="s">
        <v>141</v>
      </c>
      <c r="AQ163" s="29" t="s">
        <v>141</v>
      </c>
      <c r="AR163" s="28" t="s">
        <v>141</v>
      </c>
      <c r="AS163" s="29" t="s">
        <v>141</v>
      </c>
      <c r="AT163" s="28" t="s">
        <v>141</v>
      </c>
      <c r="AU163" s="29" t="s">
        <v>141</v>
      </c>
      <c r="AV163" s="28" t="s">
        <v>141</v>
      </c>
      <c r="AW163" s="29" t="s">
        <v>141</v>
      </c>
      <c r="AX163" s="28" t="s">
        <v>141</v>
      </c>
      <c r="AY163" s="29" t="s">
        <v>141</v>
      </c>
    </row>
    <row r="164" spans="2:51">
      <c r="B164" s="26" t="s">
        <v>141</v>
      </c>
      <c r="C164" s="27" t="s">
        <v>141</v>
      </c>
      <c r="D164" s="28" t="s">
        <v>141</v>
      </c>
      <c r="E164" s="29" t="s">
        <v>141</v>
      </c>
      <c r="F164" s="28" t="s">
        <v>141</v>
      </c>
      <c r="G164" s="29" t="s">
        <v>141</v>
      </c>
      <c r="H164" s="28" t="s">
        <v>141</v>
      </c>
      <c r="I164" s="29" t="s">
        <v>141</v>
      </c>
      <c r="J164" s="28" t="s">
        <v>141</v>
      </c>
      <c r="K164" s="29" t="s">
        <v>141</v>
      </c>
      <c r="L164" s="28" t="s">
        <v>141</v>
      </c>
      <c r="M164" s="29" t="s">
        <v>141</v>
      </c>
      <c r="N164" s="28" t="s">
        <v>141</v>
      </c>
      <c r="O164" s="29" t="s">
        <v>141</v>
      </c>
      <c r="P164" s="28" t="s">
        <v>141</v>
      </c>
      <c r="Q164" s="29" t="s">
        <v>141</v>
      </c>
      <c r="R164" s="28" t="s">
        <v>141</v>
      </c>
      <c r="S164" s="29" t="s">
        <v>141</v>
      </c>
      <c r="T164" s="28" t="s">
        <v>141</v>
      </c>
      <c r="U164" s="29" t="s">
        <v>141</v>
      </c>
      <c r="V164" s="28" t="s">
        <v>141</v>
      </c>
      <c r="W164" s="29" t="s">
        <v>141</v>
      </c>
      <c r="X164" s="28" t="s">
        <v>141</v>
      </c>
      <c r="Y164" s="29" t="s">
        <v>141</v>
      </c>
      <c r="Z164" s="28" t="s">
        <v>141</v>
      </c>
      <c r="AA164" s="29" t="s">
        <v>141</v>
      </c>
      <c r="AB164" s="28" t="s">
        <v>141</v>
      </c>
      <c r="AC164" s="29" t="s">
        <v>141</v>
      </c>
      <c r="AD164" s="28" t="s">
        <v>141</v>
      </c>
      <c r="AE164" s="29" t="s">
        <v>141</v>
      </c>
      <c r="AF164" s="28" t="s">
        <v>141</v>
      </c>
      <c r="AG164" s="29" t="s">
        <v>141</v>
      </c>
      <c r="AH164" s="28" t="s">
        <v>141</v>
      </c>
      <c r="AI164" s="29" t="s">
        <v>141</v>
      </c>
      <c r="AJ164" s="28" t="s">
        <v>141</v>
      </c>
      <c r="AK164" s="29" t="s">
        <v>141</v>
      </c>
      <c r="AL164" s="28" t="s">
        <v>141</v>
      </c>
      <c r="AM164" s="29" t="s">
        <v>141</v>
      </c>
      <c r="AN164" s="28" t="s">
        <v>141</v>
      </c>
      <c r="AO164" s="29" t="s">
        <v>141</v>
      </c>
      <c r="AP164" s="28" t="s">
        <v>141</v>
      </c>
      <c r="AQ164" s="29" t="s">
        <v>141</v>
      </c>
      <c r="AR164" s="28" t="s">
        <v>141</v>
      </c>
      <c r="AS164" s="29" t="s">
        <v>141</v>
      </c>
      <c r="AT164" s="28" t="s">
        <v>141</v>
      </c>
      <c r="AU164" s="29" t="s">
        <v>141</v>
      </c>
      <c r="AV164" s="28" t="s">
        <v>141</v>
      </c>
      <c r="AW164" s="29" t="s">
        <v>141</v>
      </c>
      <c r="AX164" s="28" t="s">
        <v>141</v>
      </c>
      <c r="AY164" s="29" t="s">
        <v>141</v>
      </c>
    </row>
    <row r="165" spans="2:51">
      <c r="B165" s="26" t="s">
        <v>141</v>
      </c>
      <c r="C165" s="27" t="s">
        <v>141</v>
      </c>
      <c r="D165" s="28" t="s">
        <v>141</v>
      </c>
      <c r="E165" s="29" t="s">
        <v>141</v>
      </c>
      <c r="F165" s="28" t="s">
        <v>141</v>
      </c>
      <c r="G165" s="29" t="s">
        <v>141</v>
      </c>
      <c r="H165" s="28" t="s">
        <v>141</v>
      </c>
      <c r="I165" s="29" t="s">
        <v>141</v>
      </c>
      <c r="J165" s="28" t="s">
        <v>141</v>
      </c>
      <c r="K165" s="29" t="s">
        <v>141</v>
      </c>
      <c r="L165" s="28" t="s">
        <v>141</v>
      </c>
      <c r="M165" s="29" t="s">
        <v>141</v>
      </c>
      <c r="N165" s="28" t="s">
        <v>141</v>
      </c>
      <c r="O165" s="29" t="s">
        <v>141</v>
      </c>
      <c r="P165" s="28" t="s">
        <v>141</v>
      </c>
      <c r="Q165" s="29" t="s">
        <v>141</v>
      </c>
      <c r="R165" s="28" t="s">
        <v>141</v>
      </c>
      <c r="S165" s="29" t="s">
        <v>141</v>
      </c>
      <c r="T165" s="28" t="s">
        <v>141</v>
      </c>
      <c r="U165" s="29" t="s">
        <v>141</v>
      </c>
      <c r="V165" s="28" t="s">
        <v>141</v>
      </c>
      <c r="W165" s="29" t="s">
        <v>141</v>
      </c>
      <c r="X165" s="28" t="s">
        <v>141</v>
      </c>
      <c r="Y165" s="29" t="s">
        <v>141</v>
      </c>
      <c r="Z165" s="28" t="s">
        <v>141</v>
      </c>
      <c r="AA165" s="29" t="s">
        <v>141</v>
      </c>
      <c r="AB165" s="28" t="s">
        <v>141</v>
      </c>
      <c r="AC165" s="29" t="s">
        <v>141</v>
      </c>
      <c r="AD165" s="28" t="s">
        <v>141</v>
      </c>
      <c r="AE165" s="29" t="s">
        <v>141</v>
      </c>
      <c r="AF165" s="28" t="s">
        <v>141</v>
      </c>
      <c r="AG165" s="29" t="s">
        <v>141</v>
      </c>
      <c r="AH165" s="28" t="s">
        <v>141</v>
      </c>
      <c r="AI165" s="29" t="s">
        <v>141</v>
      </c>
      <c r="AJ165" s="28" t="s">
        <v>141</v>
      </c>
      <c r="AK165" s="29" t="s">
        <v>141</v>
      </c>
      <c r="AL165" s="28" t="s">
        <v>141</v>
      </c>
      <c r="AM165" s="29" t="s">
        <v>141</v>
      </c>
      <c r="AN165" s="28" t="s">
        <v>141</v>
      </c>
      <c r="AO165" s="29" t="s">
        <v>141</v>
      </c>
      <c r="AP165" s="28" t="s">
        <v>141</v>
      </c>
      <c r="AQ165" s="29" t="s">
        <v>141</v>
      </c>
      <c r="AR165" s="28" t="s">
        <v>141</v>
      </c>
      <c r="AS165" s="29" t="s">
        <v>141</v>
      </c>
      <c r="AT165" s="28" t="s">
        <v>141</v>
      </c>
      <c r="AU165" s="29" t="s">
        <v>141</v>
      </c>
      <c r="AV165" s="28" t="s">
        <v>141</v>
      </c>
      <c r="AW165" s="29" t="s">
        <v>141</v>
      </c>
      <c r="AX165" s="28" t="s">
        <v>141</v>
      </c>
      <c r="AY165" s="29" t="s">
        <v>141</v>
      </c>
    </row>
    <row r="166" spans="2:51">
      <c r="B166" s="26" t="s">
        <v>141</v>
      </c>
      <c r="C166" s="27" t="s">
        <v>141</v>
      </c>
      <c r="D166" s="28" t="s">
        <v>141</v>
      </c>
      <c r="E166" s="29" t="s">
        <v>141</v>
      </c>
      <c r="F166" s="28" t="s">
        <v>141</v>
      </c>
      <c r="G166" s="29" t="s">
        <v>141</v>
      </c>
      <c r="H166" s="28" t="s">
        <v>141</v>
      </c>
      <c r="I166" s="29" t="s">
        <v>141</v>
      </c>
      <c r="J166" s="28" t="s">
        <v>141</v>
      </c>
      <c r="K166" s="29" t="s">
        <v>141</v>
      </c>
      <c r="L166" s="28" t="s">
        <v>141</v>
      </c>
      <c r="M166" s="29" t="s">
        <v>141</v>
      </c>
      <c r="N166" s="28" t="s">
        <v>141</v>
      </c>
      <c r="O166" s="29" t="s">
        <v>141</v>
      </c>
      <c r="P166" s="28" t="s">
        <v>141</v>
      </c>
      <c r="Q166" s="29" t="s">
        <v>141</v>
      </c>
      <c r="R166" s="28" t="s">
        <v>141</v>
      </c>
      <c r="S166" s="29" t="s">
        <v>141</v>
      </c>
      <c r="T166" s="28" t="s">
        <v>141</v>
      </c>
      <c r="U166" s="29" t="s">
        <v>141</v>
      </c>
      <c r="V166" s="28" t="s">
        <v>141</v>
      </c>
      <c r="W166" s="29" t="s">
        <v>141</v>
      </c>
      <c r="X166" s="28" t="s">
        <v>141</v>
      </c>
      <c r="Y166" s="29" t="s">
        <v>141</v>
      </c>
      <c r="Z166" s="28" t="s">
        <v>141</v>
      </c>
      <c r="AA166" s="29" t="s">
        <v>141</v>
      </c>
      <c r="AB166" s="28" t="s">
        <v>141</v>
      </c>
      <c r="AC166" s="29" t="s">
        <v>141</v>
      </c>
      <c r="AD166" s="28" t="s">
        <v>141</v>
      </c>
      <c r="AE166" s="29" t="s">
        <v>141</v>
      </c>
      <c r="AF166" s="28" t="s">
        <v>141</v>
      </c>
      <c r="AG166" s="29" t="s">
        <v>141</v>
      </c>
      <c r="AH166" s="28" t="s">
        <v>141</v>
      </c>
      <c r="AI166" s="29" t="s">
        <v>141</v>
      </c>
      <c r="AJ166" s="28" t="s">
        <v>141</v>
      </c>
      <c r="AK166" s="29" t="s">
        <v>141</v>
      </c>
      <c r="AL166" s="28" t="s">
        <v>141</v>
      </c>
      <c r="AM166" s="29" t="s">
        <v>141</v>
      </c>
      <c r="AN166" s="28" t="s">
        <v>141</v>
      </c>
      <c r="AO166" s="29" t="s">
        <v>141</v>
      </c>
      <c r="AP166" s="28" t="s">
        <v>141</v>
      </c>
      <c r="AQ166" s="29" t="s">
        <v>141</v>
      </c>
      <c r="AR166" s="28" t="s">
        <v>141</v>
      </c>
      <c r="AS166" s="29" t="s">
        <v>141</v>
      </c>
      <c r="AT166" s="28" t="s">
        <v>141</v>
      </c>
      <c r="AU166" s="29" t="s">
        <v>141</v>
      </c>
      <c r="AV166" s="28" t="s">
        <v>141</v>
      </c>
      <c r="AW166" s="29" t="s">
        <v>141</v>
      </c>
      <c r="AX166" s="28" t="s">
        <v>141</v>
      </c>
      <c r="AY166" s="29" t="s">
        <v>141</v>
      </c>
    </row>
    <row r="167" spans="2:51">
      <c r="B167" s="259" t="s">
        <v>141</v>
      </c>
      <c r="C167" s="259" t="s">
        <v>141</v>
      </c>
      <c r="D167" s="259" t="s">
        <v>141</v>
      </c>
      <c r="E167" s="259" t="s">
        <v>141</v>
      </c>
      <c r="F167" s="259" t="s">
        <v>141</v>
      </c>
      <c r="G167" s="259" t="s">
        <v>141</v>
      </c>
      <c r="H167" s="259" t="s">
        <v>141</v>
      </c>
      <c r="I167" s="259" t="s">
        <v>141</v>
      </c>
      <c r="J167" s="259" t="s">
        <v>141</v>
      </c>
      <c r="K167" s="259" t="s">
        <v>141</v>
      </c>
      <c r="L167" s="259" t="s">
        <v>141</v>
      </c>
      <c r="M167" s="259" t="s">
        <v>141</v>
      </c>
      <c r="N167" s="259" t="s">
        <v>141</v>
      </c>
      <c r="O167" s="259" t="s">
        <v>141</v>
      </c>
      <c r="P167" s="259" t="s">
        <v>141</v>
      </c>
      <c r="Q167" s="259" t="s">
        <v>141</v>
      </c>
      <c r="R167" s="259" t="s">
        <v>141</v>
      </c>
      <c r="S167" s="259" t="s">
        <v>141</v>
      </c>
      <c r="T167" s="259" t="s">
        <v>141</v>
      </c>
      <c r="U167" s="259" t="s">
        <v>141</v>
      </c>
      <c r="V167" s="259" t="s">
        <v>141</v>
      </c>
      <c r="W167" s="259" t="s">
        <v>141</v>
      </c>
      <c r="X167" s="259" t="s">
        <v>141</v>
      </c>
      <c r="Y167" s="259" t="s">
        <v>141</v>
      </c>
      <c r="Z167" s="259" t="s">
        <v>141</v>
      </c>
      <c r="AA167" s="259" t="s">
        <v>141</v>
      </c>
      <c r="AB167" s="259" t="s">
        <v>141</v>
      </c>
      <c r="AC167" s="259" t="s">
        <v>141</v>
      </c>
      <c r="AD167" s="259" t="s">
        <v>141</v>
      </c>
      <c r="AE167" s="259" t="s">
        <v>141</v>
      </c>
      <c r="AF167" s="259" t="s">
        <v>141</v>
      </c>
      <c r="AG167" s="259" t="s">
        <v>141</v>
      </c>
      <c r="AH167" s="259" t="s">
        <v>141</v>
      </c>
      <c r="AI167" s="259" t="s">
        <v>141</v>
      </c>
      <c r="AJ167" s="259" t="s">
        <v>141</v>
      </c>
      <c r="AK167" s="259" t="s">
        <v>141</v>
      </c>
      <c r="AL167" s="259" t="s">
        <v>141</v>
      </c>
      <c r="AM167" s="259" t="s">
        <v>141</v>
      </c>
      <c r="AN167" s="259" t="s">
        <v>141</v>
      </c>
      <c r="AO167" s="259" t="s">
        <v>141</v>
      </c>
      <c r="AP167" s="259" t="s">
        <v>141</v>
      </c>
      <c r="AQ167" s="259" t="s">
        <v>141</v>
      </c>
      <c r="AR167" s="259" t="s">
        <v>141</v>
      </c>
      <c r="AS167" s="259" t="s">
        <v>141</v>
      </c>
      <c r="AT167" s="259" t="s">
        <v>141</v>
      </c>
      <c r="AU167" s="259" t="s">
        <v>141</v>
      </c>
      <c r="AV167" s="259" t="s">
        <v>141</v>
      </c>
      <c r="AW167" s="259" t="s">
        <v>141</v>
      </c>
      <c r="AX167" s="259" t="s">
        <v>141</v>
      </c>
      <c r="AY167" s="259" t="s">
        <v>141</v>
      </c>
    </row>
  </sheetData>
  <hyperlinks>
    <hyperlink ref="A2" location="TOC!A1" display="TOC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AY167"/>
  <sheetViews>
    <sheetView workbookViewId="0">
      <selection activeCell="B3" sqref="B3:C3"/>
    </sheetView>
  </sheetViews>
  <sheetFormatPr defaultRowHeight="15"/>
  <cols>
    <col min="3" max="3" width="29.42578125" bestFit="1" customWidth="1"/>
    <col min="4" max="4" width="11.5703125" bestFit="1" customWidth="1"/>
    <col min="5" max="5" width="9.28515625" bestFit="1" customWidth="1"/>
    <col min="6" max="6" width="11.5703125" bestFit="1" customWidth="1"/>
    <col min="7" max="7" width="9.28515625" bestFit="1" customWidth="1"/>
    <col min="8" max="8" width="11.5703125" bestFit="1" customWidth="1"/>
    <col min="9" max="9" width="9.28515625" bestFit="1" customWidth="1"/>
    <col min="10" max="10" width="11.5703125" bestFit="1" customWidth="1"/>
    <col min="11" max="11" width="9.28515625" bestFit="1" customWidth="1"/>
    <col min="12" max="12" width="11.5703125" bestFit="1" customWidth="1"/>
    <col min="13" max="13" width="9.28515625" bestFit="1" customWidth="1"/>
    <col min="14" max="14" width="11.5703125" bestFit="1" customWidth="1"/>
    <col min="15" max="15" width="9.28515625" bestFit="1" customWidth="1"/>
    <col min="16" max="16" width="11.5703125" bestFit="1" customWidth="1"/>
    <col min="17" max="17" width="9.28515625" bestFit="1" customWidth="1"/>
    <col min="18" max="18" width="11.5703125" bestFit="1" customWidth="1"/>
    <col min="19" max="19" width="9.28515625" bestFit="1" customWidth="1"/>
    <col min="20" max="20" width="11.5703125" bestFit="1" customWidth="1"/>
    <col min="21" max="21" width="9.28515625" bestFit="1" customWidth="1"/>
    <col min="22" max="22" width="11.5703125" bestFit="1" customWidth="1"/>
    <col min="23" max="23" width="9.28515625" bestFit="1" customWidth="1"/>
    <col min="24" max="24" width="11.5703125" bestFit="1" customWidth="1"/>
    <col min="25" max="25" width="9.28515625" bestFit="1" customWidth="1"/>
    <col min="26" max="26" width="11.5703125" bestFit="1" customWidth="1"/>
    <col min="27" max="27" width="9.28515625" bestFit="1" customWidth="1"/>
    <col min="28" max="28" width="11.5703125" bestFit="1" customWidth="1"/>
    <col min="29" max="29" width="9.28515625" bestFit="1" customWidth="1"/>
    <col min="30" max="30" width="11.5703125" bestFit="1" customWidth="1"/>
    <col min="31" max="31" width="9.28515625" bestFit="1" customWidth="1"/>
    <col min="32" max="32" width="11.5703125" bestFit="1" customWidth="1"/>
    <col min="33" max="33" width="9.28515625" bestFit="1" customWidth="1"/>
    <col min="34" max="34" width="11.5703125" bestFit="1" customWidth="1"/>
    <col min="35" max="35" width="9.28515625" bestFit="1" customWidth="1"/>
    <col min="36" max="36" width="11.5703125" bestFit="1" customWidth="1"/>
    <col min="37" max="37" width="9.28515625" bestFit="1" customWidth="1"/>
    <col min="38" max="38" width="11.5703125" bestFit="1" customWidth="1"/>
    <col min="39" max="39" width="9.28515625" bestFit="1" customWidth="1"/>
    <col min="40" max="40" width="11.5703125" bestFit="1" customWidth="1"/>
    <col min="41" max="41" width="9.28515625" bestFit="1" customWidth="1"/>
    <col min="42" max="42" width="11.5703125" bestFit="1" customWidth="1"/>
    <col min="43" max="43" width="9.28515625" bestFit="1" customWidth="1"/>
    <col min="44" max="44" width="11.5703125" bestFit="1" customWidth="1"/>
    <col min="45" max="45" width="9.28515625" bestFit="1" customWidth="1"/>
    <col min="46" max="46" width="11.5703125" bestFit="1" customWidth="1"/>
    <col min="47" max="47" width="9.28515625" bestFit="1" customWidth="1"/>
    <col min="48" max="48" width="11.5703125" bestFit="1" customWidth="1"/>
    <col min="49" max="49" width="9.28515625" bestFit="1" customWidth="1"/>
    <col min="50" max="50" width="11.5703125" bestFit="1" customWidth="1"/>
    <col min="51" max="51" width="9.28515625" bestFit="1" customWidth="1"/>
    <col min="259" max="259" width="29.42578125" bestFit="1" customWidth="1"/>
    <col min="260" max="260" width="11.5703125" bestFit="1" customWidth="1"/>
    <col min="261" max="261" width="9.28515625" bestFit="1" customWidth="1"/>
    <col min="262" max="262" width="11.5703125" bestFit="1" customWidth="1"/>
    <col min="263" max="263" width="9.28515625" bestFit="1" customWidth="1"/>
    <col min="264" max="264" width="11.5703125" bestFit="1" customWidth="1"/>
    <col min="265" max="265" width="9.28515625" bestFit="1" customWidth="1"/>
    <col min="266" max="266" width="11.5703125" bestFit="1" customWidth="1"/>
    <col min="267" max="267" width="9.28515625" bestFit="1" customWidth="1"/>
    <col min="268" max="268" width="11.5703125" bestFit="1" customWidth="1"/>
    <col min="269" max="269" width="9.28515625" bestFit="1" customWidth="1"/>
    <col min="270" max="270" width="11.5703125" bestFit="1" customWidth="1"/>
    <col min="271" max="271" width="9.28515625" bestFit="1" customWidth="1"/>
    <col min="272" max="272" width="11.5703125" bestFit="1" customWidth="1"/>
    <col min="273" max="273" width="9.28515625" bestFit="1" customWidth="1"/>
    <col min="274" max="274" width="11.5703125" bestFit="1" customWidth="1"/>
    <col min="275" max="275" width="9.28515625" bestFit="1" customWidth="1"/>
    <col min="276" max="276" width="11.5703125" bestFit="1" customWidth="1"/>
    <col min="277" max="277" width="9.28515625" bestFit="1" customWidth="1"/>
    <col min="278" max="278" width="11.5703125" bestFit="1" customWidth="1"/>
    <col min="279" max="279" width="9.28515625" bestFit="1" customWidth="1"/>
    <col min="280" max="280" width="11.5703125" bestFit="1" customWidth="1"/>
    <col min="281" max="281" width="9.28515625" bestFit="1" customWidth="1"/>
    <col min="282" max="282" width="11.5703125" bestFit="1" customWidth="1"/>
    <col min="283" max="283" width="9.28515625" bestFit="1" customWidth="1"/>
    <col min="284" max="284" width="11.5703125" bestFit="1" customWidth="1"/>
    <col min="285" max="285" width="9.28515625" bestFit="1" customWidth="1"/>
    <col min="286" max="286" width="11.5703125" bestFit="1" customWidth="1"/>
    <col min="287" max="287" width="9.28515625" bestFit="1" customWidth="1"/>
    <col min="288" max="288" width="11.5703125" bestFit="1" customWidth="1"/>
    <col min="289" max="289" width="9.28515625" bestFit="1" customWidth="1"/>
    <col min="290" max="290" width="11.5703125" bestFit="1" customWidth="1"/>
    <col min="291" max="291" width="9.28515625" bestFit="1" customWidth="1"/>
    <col min="292" max="292" width="11.5703125" bestFit="1" customWidth="1"/>
    <col min="293" max="293" width="9.28515625" bestFit="1" customWidth="1"/>
    <col min="294" max="294" width="11.5703125" bestFit="1" customWidth="1"/>
    <col min="295" max="295" width="9.28515625" bestFit="1" customWidth="1"/>
    <col min="296" max="296" width="11.5703125" bestFit="1" customWidth="1"/>
    <col min="297" max="297" width="9.28515625" bestFit="1" customWidth="1"/>
    <col min="298" max="298" width="11.5703125" bestFit="1" customWidth="1"/>
    <col min="299" max="299" width="9.28515625" bestFit="1" customWidth="1"/>
    <col min="300" max="300" width="11.5703125" bestFit="1" customWidth="1"/>
    <col min="301" max="301" width="9.28515625" bestFit="1" customWidth="1"/>
    <col min="302" max="302" width="11.5703125" bestFit="1" customWidth="1"/>
    <col min="303" max="303" width="9.28515625" bestFit="1" customWidth="1"/>
    <col min="304" max="304" width="11.5703125" bestFit="1" customWidth="1"/>
    <col min="305" max="305" width="9.28515625" bestFit="1" customWidth="1"/>
    <col min="306" max="306" width="11.5703125" bestFit="1" customWidth="1"/>
    <col min="307" max="307" width="9.28515625" bestFit="1" customWidth="1"/>
    <col min="515" max="515" width="29.42578125" bestFit="1" customWidth="1"/>
    <col min="516" max="516" width="11.5703125" bestFit="1" customWidth="1"/>
    <col min="517" max="517" width="9.28515625" bestFit="1" customWidth="1"/>
    <col min="518" max="518" width="11.5703125" bestFit="1" customWidth="1"/>
    <col min="519" max="519" width="9.28515625" bestFit="1" customWidth="1"/>
    <col min="520" max="520" width="11.5703125" bestFit="1" customWidth="1"/>
    <col min="521" max="521" width="9.28515625" bestFit="1" customWidth="1"/>
    <col min="522" max="522" width="11.5703125" bestFit="1" customWidth="1"/>
    <col min="523" max="523" width="9.28515625" bestFit="1" customWidth="1"/>
    <col min="524" max="524" width="11.5703125" bestFit="1" customWidth="1"/>
    <col min="525" max="525" width="9.28515625" bestFit="1" customWidth="1"/>
    <col min="526" max="526" width="11.5703125" bestFit="1" customWidth="1"/>
    <col min="527" max="527" width="9.28515625" bestFit="1" customWidth="1"/>
    <col min="528" max="528" width="11.5703125" bestFit="1" customWidth="1"/>
    <col min="529" max="529" width="9.28515625" bestFit="1" customWidth="1"/>
    <col min="530" max="530" width="11.5703125" bestFit="1" customWidth="1"/>
    <col min="531" max="531" width="9.28515625" bestFit="1" customWidth="1"/>
    <col min="532" max="532" width="11.5703125" bestFit="1" customWidth="1"/>
    <col min="533" max="533" width="9.28515625" bestFit="1" customWidth="1"/>
    <col min="534" max="534" width="11.5703125" bestFit="1" customWidth="1"/>
    <col min="535" max="535" width="9.28515625" bestFit="1" customWidth="1"/>
    <col min="536" max="536" width="11.5703125" bestFit="1" customWidth="1"/>
    <col min="537" max="537" width="9.28515625" bestFit="1" customWidth="1"/>
    <col min="538" max="538" width="11.5703125" bestFit="1" customWidth="1"/>
    <col min="539" max="539" width="9.28515625" bestFit="1" customWidth="1"/>
    <col min="540" max="540" width="11.5703125" bestFit="1" customWidth="1"/>
    <col min="541" max="541" width="9.28515625" bestFit="1" customWidth="1"/>
    <col min="542" max="542" width="11.5703125" bestFit="1" customWidth="1"/>
    <col min="543" max="543" width="9.28515625" bestFit="1" customWidth="1"/>
    <col min="544" max="544" width="11.5703125" bestFit="1" customWidth="1"/>
    <col min="545" max="545" width="9.28515625" bestFit="1" customWidth="1"/>
    <col min="546" max="546" width="11.5703125" bestFit="1" customWidth="1"/>
    <col min="547" max="547" width="9.28515625" bestFit="1" customWidth="1"/>
    <col min="548" max="548" width="11.5703125" bestFit="1" customWidth="1"/>
    <col min="549" max="549" width="9.28515625" bestFit="1" customWidth="1"/>
    <col min="550" max="550" width="11.5703125" bestFit="1" customWidth="1"/>
    <col min="551" max="551" width="9.28515625" bestFit="1" customWidth="1"/>
    <col min="552" max="552" width="11.5703125" bestFit="1" customWidth="1"/>
    <col min="553" max="553" width="9.28515625" bestFit="1" customWidth="1"/>
    <col min="554" max="554" width="11.5703125" bestFit="1" customWidth="1"/>
    <col min="555" max="555" width="9.28515625" bestFit="1" customWidth="1"/>
    <col min="556" max="556" width="11.5703125" bestFit="1" customWidth="1"/>
    <col min="557" max="557" width="9.28515625" bestFit="1" customWidth="1"/>
    <col min="558" max="558" width="11.5703125" bestFit="1" customWidth="1"/>
    <col min="559" max="559" width="9.28515625" bestFit="1" customWidth="1"/>
    <col min="560" max="560" width="11.5703125" bestFit="1" customWidth="1"/>
    <col min="561" max="561" width="9.28515625" bestFit="1" customWidth="1"/>
    <col min="562" max="562" width="11.5703125" bestFit="1" customWidth="1"/>
    <col min="563" max="563" width="9.28515625" bestFit="1" customWidth="1"/>
    <col min="771" max="771" width="29.42578125" bestFit="1" customWidth="1"/>
    <col min="772" max="772" width="11.5703125" bestFit="1" customWidth="1"/>
    <col min="773" max="773" width="9.28515625" bestFit="1" customWidth="1"/>
    <col min="774" max="774" width="11.5703125" bestFit="1" customWidth="1"/>
    <col min="775" max="775" width="9.28515625" bestFit="1" customWidth="1"/>
    <col min="776" max="776" width="11.5703125" bestFit="1" customWidth="1"/>
    <col min="777" max="777" width="9.28515625" bestFit="1" customWidth="1"/>
    <col min="778" max="778" width="11.5703125" bestFit="1" customWidth="1"/>
    <col min="779" max="779" width="9.28515625" bestFit="1" customWidth="1"/>
    <col min="780" max="780" width="11.5703125" bestFit="1" customWidth="1"/>
    <col min="781" max="781" width="9.28515625" bestFit="1" customWidth="1"/>
    <col min="782" max="782" width="11.5703125" bestFit="1" customWidth="1"/>
    <col min="783" max="783" width="9.28515625" bestFit="1" customWidth="1"/>
    <col min="784" max="784" width="11.5703125" bestFit="1" customWidth="1"/>
    <col min="785" max="785" width="9.28515625" bestFit="1" customWidth="1"/>
    <col min="786" max="786" width="11.5703125" bestFit="1" customWidth="1"/>
    <col min="787" max="787" width="9.28515625" bestFit="1" customWidth="1"/>
    <col min="788" max="788" width="11.5703125" bestFit="1" customWidth="1"/>
    <col min="789" max="789" width="9.28515625" bestFit="1" customWidth="1"/>
    <col min="790" max="790" width="11.5703125" bestFit="1" customWidth="1"/>
    <col min="791" max="791" width="9.28515625" bestFit="1" customWidth="1"/>
    <col min="792" max="792" width="11.5703125" bestFit="1" customWidth="1"/>
    <col min="793" max="793" width="9.28515625" bestFit="1" customWidth="1"/>
    <col min="794" max="794" width="11.5703125" bestFit="1" customWidth="1"/>
    <col min="795" max="795" width="9.28515625" bestFit="1" customWidth="1"/>
    <col min="796" max="796" width="11.5703125" bestFit="1" customWidth="1"/>
    <col min="797" max="797" width="9.28515625" bestFit="1" customWidth="1"/>
    <col min="798" max="798" width="11.5703125" bestFit="1" customWidth="1"/>
    <col min="799" max="799" width="9.28515625" bestFit="1" customWidth="1"/>
    <col min="800" max="800" width="11.5703125" bestFit="1" customWidth="1"/>
    <col min="801" max="801" width="9.28515625" bestFit="1" customWidth="1"/>
    <col min="802" max="802" width="11.5703125" bestFit="1" customWidth="1"/>
    <col min="803" max="803" width="9.28515625" bestFit="1" customWidth="1"/>
    <col min="804" max="804" width="11.5703125" bestFit="1" customWidth="1"/>
    <col min="805" max="805" width="9.28515625" bestFit="1" customWidth="1"/>
    <col min="806" max="806" width="11.5703125" bestFit="1" customWidth="1"/>
    <col min="807" max="807" width="9.28515625" bestFit="1" customWidth="1"/>
    <col min="808" max="808" width="11.5703125" bestFit="1" customWidth="1"/>
    <col min="809" max="809" width="9.28515625" bestFit="1" customWidth="1"/>
    <col min="810" max="810" width="11.5703125" bestFit="1" customWidth="1"/>
    <col min="811" max="811" width="9.28515625" bestFit="1" customWidth="1"/>
    <col min="812" max="812" width="11.5703125" bestFit="1" customWidth="1"/>
    <col min="813" max="813" width="9.28515625" bestFit="1" customWidth="1"/>
    <col min="814" max="814" width="11.5703125" bestFit="1" customWidth="1"/>
    <col min="815" max="815" width="9.28515625" bestFit="1" customWidth="1"/>
    <col min="816" max="816" width="11.5703125" bestFit="1" customWidth="1"/>
    <col min="817" max="817" width="9.28515625" bestFit="1" customWidth="1"/>
    <col min="818" max="818" width="11.5703125" bestFit="1" customWidth="1"/>
    <col min="819" max="819" width="9.28515625" bestFit="1" customWidth="1"/>
    <col min="1027" max="1027" width="29.42578125" bestFit="1" customWidth="1"/>
    <col min="1028" max="1028" width="11.5703125" bestFit="1" customWidth="1"/>
    <col min="1029" max="1029" width="9.28515625" bestFit="1" customWidth="1"/>
    <col min="1030" max="1030" width="11.5703125" bestFit="1" customWidth="1"/>
    <col min="1031" max="1031" width="9.28515625" bestFit="1" customWidth="1"/>
    <col min="1032" max="1032" width="11.5703125" bestFit="1" customWidth="1"/>
    <col min="1033" max="1033" width="9.28515625" bestFit="1" customWidth="1"/>
    <col min="1034" max="1034" width="11.5703125" bestFit="1" customWidth="1"/>
    <col min="1035" max="1035" width="9.28515625" bestFit="1" customWidth="1"/>
    <col min="1036" max="1036" width="11.5703125" bestFit="1" customWidth="1"/>
    <col min="1037" max="1037" width="9.28515625" bestFit="1" customWidth="1"/>
    <col min="1038" max="1038" width="11.5703125" bestFit="1" customWidth="1"/>
    <col min="1039" max="1039" width="9.28515625" bestFit="1" customWidth="1"/>
    <col min="1040" max="1040" width="11.5703125" bestFit="1" customWidth="1"/>
    <col min="1041" max="1041" width="9.28515625" bestFit="1" customWidth="1"/>
    <col min="1042" max="1042" width="11.5703125" bestFit="1" customWidth="1"/>
    <col min="1043" max="1043" width="9.28515625" bestFit="1" customWidth="1"/>
    <col min="1044" max="1044" width="11.5703125" bestFit="1" customWidth="1"/>
    <col min="1045" max="1045" width="9.28515625" bestFit="1" customWidth="1"/>
    <col min="1046" max="1046" width="11.5703125" bestFit="1" customWidth="1"/>
    <col min="1047" max="1047" width="9.28515625" bestFit="1" customWidth="1"/>
    <col min="1048" max="1048" width="11.5703125" bestFit="1" customWidth="1"/>
    <col min="1049" max="1049" width="9.28515625" bestFit="1" customWidth="1"/>
    <col min="1050" max="1050" width="11.5703125" bestFit="1" customWidth="1"/>
    <col min="1051" max="1051" width="9.28515625" bestFit="1" customWidth="1"/>
    <col min="1052" max="1052" width="11.5703125" bestFit="1" customWidth="1"/>
    <col min="1053" max="1053" width="9.28515625" bestFit="1" customWidth="1"/>
    <col min="1054" max="1054" width="11.5703125" bestFit="1" customWidth="1"/>
    <col min="1055" max="1055" width="9.28515625" bestFit="1" customWidth="1"/>
    <col min="1056" max="1056" width="11.5703125" bestFit="1" customWidth="1"/>
    <col min="1057" max="1057" width="9.28515625" bestFit="1" customWidth="1"/>
    <col min="1058" max="1058" width="11.5703125" bestFit="1" customWidth="1"/>
    <col min="1059" max="1059" width="9.28515625" bestFit="1" customWidth="1"/>
    <col min="1060" max="1060" width="11.5703125" bestFit="1" customWidth="1"/>
    <col min="1061" max="1061" width="9.28515625" bestFit="1" customWidth="1"/>
    <col min="1062" max="1062" width="11.5703125" bestFit="1" customWidth="1"/>
    <col min="1063" max="1063" width="9.28515625" bestFit="1" customWidth="1"/>
    <col min="1064" max="1064" width="11.5703125" bestFit="1" customWidth="1"/>
    <col min="1065" max="1065" width="9.28515625" bestFit="1" customWidth="1"/>
    <col min="1066" max="1066" width="11.5703125" bestFit="1" customWidth="1"/>
    <col min="1067" max="1067" width="9.28515625" bestFit="1" customWidth="1"/>
    <col min="1068" max="1068" width="11.5703125" bestFit="1" customWidth="1"/>
    <col min="1069" max="1069" width="9.28515625" bestFit="1" customWidth="1"/>
    <col min="1070" max="1070" width="11.5703125" bestFit="1" customWidth="1"/>
    <col min="1071" max="1071" width="9.28515625" bestFit="1" customWidth="1"/>
    <col min="1072" max="1072" width="11.5703125" bestFit="1" customWidth="1"/>
    <col min="1073" max="1073" width="9.28515625" bestFit="1" customWidth="1"/>
    <col min="1074" max="1074" width="11.5703125" bestFit="1" customWidth="1"/>
    <col min="1075" max="1075" width="9.28515625" bestFit="1" customWidth="1"/>
    <col min="1283" max="1283" width="29.42578125" bestFit="1" customWidth="1"/>
    <col min="1284" max="1284" width="11.5703125" bestFit="1" customWidth="1"/>
    <col min="1285" max="1285" width="9.28515625" bestFit="1" customWidth="1"/>
    <col min="1286" max="1286" width="11.5703125" bestFit="1" customWidth="1"/>
    <col min="1287" max="1287" width="9.28515625" bestFit="1" customWidth="1"/>
    <col min="1288" max="1288" width="11.5703125" bestFit="1" customWidth="1"/>
    <col min="1289" max="1289" width="9.28515625" bestFit="1" customWidth="1"/>
    <col min="1290" max="1290" width="11.5703125" bestFit="1" customWidth="1"/>
    <col min="1291" max="1291" width="9.28515625" bestFit="1" customWidth="1"/>
    <col min="1292" max="1292" width="11.5703125" bestFit="1" customWidth="1"/>
    <col min="1293" max="1293" width="9.28515625" bestFit="1" customWidth="1"/>
    <col min="1294" max="1294" width="11.5703125" bestFit="1" customWidth="1"/>
    <col min="1295" max="1295" width="9.28515625" bestFit="1" customWidth="1"/>
    <col min="1296" max="1296" width="11.5703125" bestFit="1" customWidth="1"/>
    <col min="1297" max="1297" width="9.28515625" bestFit="1" customWidth="1"/>
    <col min="1298" max="1298" width="11.5703125" bestFit="1" customWidth="1"/>
    <col min="1299" max="1299" width="9.28515625" bestFit="1" customWidth="1"/>
    <col min="1300" max="1300" width="11.5703125" bestFit="1" customWidth="1"/>
    <col min="1301" max="1301" width="9.28515625" bestFit="1" customWidth="1"/>
    <col min="1302" max="1302" width="11.5703125" bestFit="1" customWidth="1"/>
    <col min="1303" max="1303" width="9.28515625" bestFit="1" customWidth="1"/>
    <col min="1304" max="1304" width="11.5703125" bestFit="1" customWidth="1"/>
    <col min="1305" max="1305" width="9.28515625" bestFit="1" customWidth="1"/>
    <col min="1306" max="1306" width="11.5703125" bestFit="1" customWidth="1"/>
    <col min="1307" max="1307" width="9.28515625" bestFit="1" customWidth="1"/>
    <col min="1308" max="1308" width="11.5703125" bestFit="1" customWidth="1"/>
    <col min="1309" max="1309" width="9.28515625" bestFit="1" customWidth="1"/>
    <col min="1310" max="1310" width="11.5703125" bestFit="1" customWidth="1"/>
    <col min="1311" max="1311" width="9.28515625" bestFit="1" customWidth="1"/>
    <col min="1312" max="1312" width="11.5703125" bestFit="1" customWidth="1"/>
    <col min="1313" max="1313" width="9.28515625" bestFit="1" customWidth="1"/>
    <col min="1314" max="1314" width="11.5703125" bestFit="1" customWidth="1"/>
    <col min="1315" max="1315" width="9.28515625" bestFit="1" customWidth="1"/>
    <col min="1316" max="1316" width="11.5703125" bestFit="1" customWidth="1"/>
    <col min="1317" max="1317" width="9.28515625" bestFit="1" customWidth="1"/>
    <col min="1318" max="1318" width="11.5703125" bestFit="1" customWidth="1"/>
    <col min="1319" max="1319" width="9.28515625" bestFit="1" customWidth="1"/>
    <col min="1320" max="1320" width="11.5703125" bestFit="1" customWidth="1"/>
    <col min="1321" max="1321" width="9.28515625" bestFit="1" customWidth="1"/>
    <col min="1322" max="1322" width="11.5703125" bestFit="1" customWidth="1"/>
    <col min="1323" max="1323" width="9.28515625" bestFit="1" customWidth="1"/>
    <col min="1324" max="1324" width="11.5703125" bestFit="1" customWidth="1"/>
    <col min="1325" max="1325" width="9.28515625" bestFit="1" customWidth="1"/>
    <col min="1326" max="1326" width="11.5703125" bestFit="1" customWidth="1"/>
    <col min="1327" max="1327" width="9.28515625" bestFit="1" customWidth="1"/>
    <col min="1328" max="1328" width="11.5703125" bestFit="1" customWidth="1"/>
    <col min="1329" max="1329" width="9.28515625" bestFit="1" customWidth="1"/>
    <col min="1330" max="1330" width="11.5703125" bestFit="1" customWidth="1"/>
    <col min="1331" max="1331" width="9.28515625" bestFit="1" customWidth="1"/>
    <col min="1539" max="1539" width="29.42578125" bestFit="1" customWidth="1"/>
    <col min="1540" max="1540" width="11.5703125" bestFit="1" customWidth="1"/>
    <col min="1541" max="1541" width="9.28515625" bestFit="1" customWidth="1"/>
    <col min="1542" max="1542" width="11.5703125" bestFit="1" customWidth="1"/>
    <col min="1543" max="1543" width="9.28515625" bestFit="1" customWidth="1"/>
    <col min="1544" max="1544" width="11.5703125" bestFit="1" customWidth="1"/>
    <col min="1545" max="1545" width="9.28515625" bestFit="1" customWidth="1"/>
    <col min="1546" max="1546" width="11.5703125" bestFit="1" customWidth="1"/>
    <col min="1547" max="1547" width="9.28515625" bestFit="1" customWidth="1"/>
    <col min="1548" max="1548" width="11.5703125" bestFit="1" customWidth="1"/>
    <col min="1549" max="1549" width="9.28515625" bestFit="1" customWidth="1"/>
    <col min="1550" max="1550" width="11.5703125" bestFit="1" customWidth="1"/>
    <col min="1551" max="1551" width="9.28515625" bestFit="1" customWidth="1"/>
    <col min="1552" max="1552" width="11.5703125" bestFit="1" customWidth="1"/>
    <col min="1553" max="1553" width="9.28515625" bestFit="1" customWidth="1"/>
    <col min="1554" max="1554" width="11.5703125" bestFit="1" customWidth="1"/>
    <col min="1555" max="1555" width="9.28515625" bestFit="1" customWidth="1"/>
    <col min="1556" max="1556" width="11.5703125" bestFit="1" customWidth="1"/>
    <col min="1557" max="1557" width="9.28515625" bestFit="1" customWidth="1"/>
    <col min="1558" max="1558" width="11.5703125" bestFit="1" customWidth="1"/>
    <col min="1559" max="1559" width="9.28515625" bestFit="1" customWidth="1"/>
    <col min="1560" max="1560" width="11.5703125" bestFit="1" customWidth="1"/>
    <col min="1561" max="1561" width="9.28515625" bestFit="1" customWidth="1"/>
    <col min="1562" max="1562" width="11.5703125" bestFit="1" customWidth="1"/>
    <col min="1563" max="1563" width="9.28515625" bestFit="1" customWidth="1"/>
    <col min="1564" max="1564" width="11.5703125" bestFit="1" customWidth="1"/>
    <col min="1565" max="1565" width="9.28515625" bestFit="1" customWidth="1"/>
    <col min="1566" max="1566" width="11.5703125" bestFit="1" customWidth="1"/>
    <col min="1567" max="1567" width="9.28515625" bestFit="1" customWidth="1"/>
    <col min="1568" max="1568" width="11.5703125" bestFit="1" customWidth="1"/>
    <col min="1569" max="1569" width="9.28515625" bestFit="1" customWidth="1"/>
    <col min="1570" max="1570" width="11.5703125" bestFit="1" customWidth="1"/>
    <col min="1571" max="1571" width="9.28515625" bestFit="1" customWidth="1"/>
    <col min="1572" max="1572" width="11.5703125" bestFit="1" customWidth="1"/>
    <col min="1573" max="1573" width="9.28515625" bestFit="1" customWidth="1"/>
    <col min="1574" max="1574" width="11.5703125" bestFit="1" customWidth="1"/>
    <col min="1575" max="1575" width="9.28515625" bestFit="1" customWidth="1"/>
    <col min="1576" max="1576" width="11.5703125" bestFit="1" customWidth="1"/>
    <col min="1577" max="1577" width="9.28515625" bestFit="1" customWidth="1"/>
    <col min="1578" max="1578" width="11.5703125" bestFit="1" customWidth="1"/>
    <col min="1579" max="1579" width="9.28515625" bestFit="1" customWidth="1"/>
    <col min="1580" max="1580" width="11.5703125" bestFit="1" customWidth="1"/>
    <col min="1581" max="1581" width="9.28515625" bestFit="1" customWidth="1"/>
    <col min="1582" max="1582" width="11.5703125" bestFit="1" customWidth="1"/>
    <col min="1583" max="1583" width="9.28515625" bestFit="1" customWidth="1"/>
    <col min="1584" max="1584" width="11.5703125" bestFit="1" customWidth="1"/>
    <col min="1585" max="1585" width="9.28515625" bestFit="1" customWidth="1"/>
    <col min="1586" max="1586" width="11.5703125" bestFit="1" customWidth="1"/>
    <col min="1587" max="1587" width="9.28515625" bestFit="1" customWidth="1"/>
    <col min="1795" max="1795" width="29.42578125" bestFit="1" customWidth="1"/>
    <col min="1796" max="1796" width="11.5703125" bestFit="1" customWidth="1"/>
    <col min="1797" max="1797" width="9.28515625" bestFit="1" customWidth="1"/>
    <col min="1798" max="1798" width="11.5703125" bestFit="1" customWidth="1"/>
    <col min="1799" max="1799" width="9.28515625" bestFit="1" customWidth="1"/>
    <col min="1800" max="1800" width="11.5703125" bestFit="1" customWidth="1"/>
    <col min="1801" max="1801" width="9.28515625" bestFit="1" customWidth="1"/>
    <col min="1802" max="1802" width="11.5703125" bestFit="1" customWidth="1"/>
    <col min="1803" max="1803" width="9.28515625" bestFit="1" customWidth="1"/>
    <col min="1804" max="1804" width="11.5703125" bestFit="1" customWidth="1"/>
    <col min="1805" max="1805" width="9.28515625" bestFit="1" customWidth="1"/>
    <col min="1806" max="1806" width="11.5703125" bestFit="1" customWidth="1"/>
    <col min="1807" max="1807" width="9.28515625" bestFit="1" customWidth="1"/>
    <col min="1808" max="1808" width="11.5703125" bestFit="1" customWidth="1"/>
    <col min="1809" max="1809" width="9.28515625" bestFit="1" customWidth="1"/>
    <col min="1810" max="1810" width="11.5703125" bestFit="1" customWidth="1"/>
    <col min="1811" max="1811" width="9.28515625" bestFit="1" customWidth="1"/>
    <col min="1812" max="1812" width="11.5703125" bestFit="1" customWidth="1"/>
    <col min="1813" max="1813" width="9.28515625" bestFit="1" customWidth="1"/>
    <col min="1814" max="1814" width="11.5703125" bestFit="1" customWidth="1"/>
    <col min="1815" max="1815" width="9.28515625" bestFit="1" customWidth="1"/>
    <col min="1816" max="1816" width="11.5703125" bestFit="1" customWidth="1"/>
    <col min="1817" max="1817" width="9.28515625" bestFit="1" customWidth="1"/>
    <col min="1818" max="1818" width="11.5703125" bestFit="1" customWidth="1"/>
    <col min="1819" max="1819" width="9.28515625" bestFit="1" customWidth="1"/>
    <col min="1820" max="1820" width="11.5703125" bestFit="1" customWidth="1"/>
    <col min="1821" max="1821" width="9.28515625" bestFit="1" customWidth="1"/>
    <col min="1822" max="1822" width="11.5703125" bestFit="1" customWidth="1"/>
    <col min="1823" max="1823" width="9.28515625" bestFit="1" customWidth="1"/>
    <col min="1824" max="1824" width="11.5703125" bestFit="1" customWidth="1"/>
    <col min="1825" max="1825" width="9.28515625" bestFit="1" customWidth="1"/>
    <col min="1826" max="1826" width="11.5703125" bestFit="1" customWidth="1"/>
    <col min="1827" max="1827" width="9.28515625" bestFit="1" customWidth="1"/>
    <col min="1828" max="1828" width="11.5703125" bestFit="1" customWidth="1"/>
    <col min="1829" max="1829" width="9.28515625" bestFit="1" customWidth="1"/>
    <col min="1830" max="1830" width="11.5703125" bestFit="1" customWidth="1"/>
    <col min="1831" max="1831" width="9.28515625" bestFit="1" customWidth="1"/>
    <col min="1832" max="1832" width="11.5703125" bestFit="1" customWidth="1"/>
    <col min="1833" max="1833" width="9.28515625" bestFit="1" customWidth="1"/>
    <col min="1834" max="1834" width="11.5703125" bestFit="1" customWidth="1"/>
    <col min="1835" max="1835" width="9.28515625" bestFit="1" customWidth="1"/>
    <col min="1836" max="1836" width="11.5703125" bestFit="1" customWidth="1"/>
    <col min="1837" max="1837" width="9.28515625" bestFit="1" customWidth="1"/>
    <col min="1838" max="1838" width="11.5703125" bestFit="1" customWidth="1"/>
    <col min="1839" max="1839" width="9.28515625" bestFit="1" customWidth="1"/>
    <col min="1840" max="1840" width="11.5703125" bestFit="1" customWidth="1"/>
    <col min="1841" max="1841" width="9.28515625" bestFit="1" customWidth="1"/>
    <col min="1842" max="1842" width="11.5703125" bestFit="1" customWidth="1"/>
    <col min="1843" max="1843" width="9.28515625" bestFit="1" customWidth="1"/>
    <col min="2051" max="2051" width="29.42578125" bestFit="1" customWidth="1"/>
    <col min="2052" max="2052" width="11.5703125" bestFit="1" customWidth="1"/>
    <col min="2053" max="2053" width="9.28515625" bestFit="1" customWidth="1"/>
    <col min="2054" max="2054" width="11.5703125" bestFit="1" customWidth="1"/>
    <col min="2055" max="2055" width="9.28515625" bestFit="1" customWidth="1"/>
    <col min="2056" max="2056" width="11.5703125" bestFit="1" customWidth="1"/>
    <col min="2057" max="2057" width="9.28515625" bestFit="1" customWidth="1"/>
    <col min="2058" max="2058" width="11.5703125" bestFit="1" customWidth="1"/>
    <col min="2059" max="2059" width="9.28515625" bestFit="1" customWidth="1"/>
    <col min="2060" max="2060" width="11.5703125" bestFit="1" customWidth="1"/>
    <col min="2061" max="2061" width="9.28515625" bestFit="1" customWidth="1"/>
    <col min="2062" max="2062" width="11.5703125" bestFit="1" customWidth="1"/>
    <col min="2063" max="2063" width="9.28515625" bestFit="1" customWidth="1"/>
    <col min="2064" max="2064" width="11.5703125" bestFit="1" customWidth="1"/>
    <col min="2065" max="2065" width="9.28515625" bestFit="1" customWidth="1"/>
    <col min="2066" max="2066" width="11.5703125" bestFit="1" customWidth="1"/>
    <col min="2067" max="2067" width="9.28515625" bestFit="1" customWidth="1"/>
    <col min="2068" max="2068" width="11.5703125" bestFit="1" customWidth="1"/>
    <col min="2069" max="2069" width="9.28515625" bestFit="1" customWidth="1"/>
    <col min="2070" max="2070" width="11.5703125" bestFit="1" customWidth="1"/>
    <col min="2071" max="2071" width="9.28515625" bestFit="1" customWidth="1"/>
    <col min="2072" max="2072" width="11.5703125" bestFit="1" customWidth="1"/>
    <col min="2073" max="2073" width="9.28515625" bestFit="1" customWidth="1"/>
    <col min="2074" max="2074" width="11.5703125" bestFit="1" customWidth="1"/>
    <col min="2075" max="2075" width="9.28515625" bestFit="1" customWidth="1"/>
    <col min="2076" max="2076" width="11.5703125" bestFit="1" customWidth="1"/>
    <col min="2077" max="2077" width="9.28515625" bestFit="1" customWidth="1"/>
    <col min="2078" max="2078" width="11.5703125" bestFit="1" customWidth="1"/>
    <col min="2079" max="2079" width="9.28515625" bestFit="1" customWidth="1"/>
    <col min="2080" max="2080" width="11.5703125" bestFit="1" customWidth="1"/>
    <col min="2081" max="2081" width="9.28515625" bestFit="1" customWidth="1"/>
    <col min="2082" max="2082" width="11.5703125" bestFit="1" customWidth="1"/>
    <col min="2083" max="2083" width="9.28515625" bestFit="1" customWidth="1"/>
    <col min="2084" max="2084" width="11.5703125" bestFit="1" customWidth="1"/>
    <col min="2085" max="2085" width="9.28515625" bestFit="1" customWidth="1"/>
    <col min="2086" max="2086" width="11.5703125" bestFit="1" customWidth="1"/>
    <col min="2087" max="2087" width="9.28515625" bestFit="1" customWidth="1"/>
    <col min="2088" max="2088" width="11.5703125" bestFit="1" customWidth="1"/>
    <col min="2089" max="2089" width="9.28515625" bestFit="1" customWidth="1"/>
    <col min="2090" max="2090" width="11.5703125" bestFit="1" customWidth="1"/>
    <col min="2091" max="2091" width="9.28515625" bestFit="1" customWidth="1"/>
    <col min="2092" max="2092" width="11.5703125" bestFit="1" customWidth="1"/>
    <col min="2093" max="2093" width="9.28515625" bestFit="1" customWidth="1"/>
    <col min="2094" max="2094" width="11.5703125" bestFit="1" customWidth="1"/>
    <col min="2095" max="2095" width="9.28515625" bestFit="1" customWidth="1"/>
    <col min="2096" max="2096" width="11.5703125" bestFit="1" customWidth="1"/>
    <col min="2097" max="2097" width="9.28515625" bestFit="1" customWidth="1"/>
    <col min="2098" max="2098" width="11.5703125" bestFit="1" customWidth="1"/>
    <col min="2099" max="2099" width="9.28515625" bestFit="1" customWidth="1"/>
    <col min="2307" max="2307" width="29.42578125" bestFit="1" customWidth="1"/>
    <col min="2308" max="2308" width="11.5703125" bestFit="1" customWidth="1"/>
    <col min="2309" max="2309" width="9.28515625" bestFit="1" customWidth="1"/>
    <col min="2310" max="2310" width="11.5703125" bestFit="1" customWidth="1"/>
    <col min="2311" max="2311" width="9.28515625" bestFit="1" customWidth="1"/>
    <col min="2312" max="2312" width="11.5703125" bestFit="1" customWidth="1"/>
    <col min="2313" max="2313" width="9.28515625" bestFit="1" customWidth="1"/>
    <col min="2314" max="2314" width="11.5703125" bestFit="1" customWidth="1"/>
    <col min="2315" max="2315" width="9.28515625" bestFit="1" customWidth="1"/>
    <col min="2316" max="2316" width="11.5703125" bestFit="1" customWidth="1"/>
    <col min="2317" max="2317" width="9.28515625" bestFit="1" customWidth="1"/>
    <col min="2318" max="2318" width="11.5703125" bestFit="1" customWidth="1"/>
    <col min="2319" max="2319" width="9.28515625" bestFit="1" customWidth="1"/>
    <col min="2320" max="2320" width="11.5703125" bestFit="1" customWidth="1"/>
    <col min="2321" max="2321" width="9.28515625" bestFit="1" customWidth="1"/>
    <col min="2322" max="2322" width="11.5703125" bestFit="1" customWidth="1"/>
    <col min="2323" max="2323" width="9.28515625" bestFit="1" customWidth="1"/>
    <col min="2324" max="2324" width="11.5703125" bestFit="1" customWidth="1"/>
    <col min="2325" max="2325" width="9.28515625" bestFit="1" customWidth="1"/>
    <col min="2326" max="2326" width="11.5703125" bestFit="1" customWidth="1"/>
    <col min="2327" max="2327" width="9.28515625" bestFit="1" customWidth="1"/>
    <col min="2328" max="2328" width="11.5703125" bestFit="1" customWidth="1"/>
    <col min="2329" max="2329" width="9.28515625" bestFit="1" customWidth="1"/>
    <col min="2330" max="2330" width="11.5703125" bestFit="1" customWidth="1"/>
    <col min="2331" max="2331" width="9.28515625" bestFit="1" customWidth="1"/>
    <col min="2332" max="2332" width="11.5703125" bestFit="1" customWidth="1"/>
    <col min="2333" max="2333" width="9.28515625" bestFit="1" customWidth="1"/>
    <col min="2334" max="2334" width="11.5703125" bestFit="1" customWidth="1"/>
    <col min="2335" max="2335" width="9.28515625" bestFit="1" customWidth="1"/>
    <col min="2336" max="2336" width="11.5703125" bestFit="1" customWidth="1"/>
    <col min="2337" max="2337" width="9.28515625" bestFit="1" customWidth="1"/>
    <col min="2338" max="2338" width="11.5703125" bestFit="1" customWidth="1"/>
    <col min="2339" max="2339" width="9.28515625" bestFit="1" customWidth="1"/>
    <col min="2340" max="2340" width="11.5703125" bestFit="1" customWidth="1"/>
    <col min="2341" max="2341" width="9.28515625" bestFit="1" customWidth="1"/>
    <col min="2342" max="2342" width="11.5703125" bestFit="1" customWidth="1"/>
    <col min="2343" max="2343" width="9.28515625" bestFit="1" customWidth="1"/>
    <col min="2344" max="2344" width="11.5703125" bestFit="1" customWidth="1"/>
    <col min="2345" max="2345" width="9.28515625" bestFit="1" customWidth="1"/>
    <col min="2346" max="2346" width="11.5703125" bestFit="1" customWidth="1"/>
    <col min="2347" max="2347" width="9.28515625" bestFit="1" customWidth="1"/>
    <col min="2348" max="2348" width="11.5703125" bestFit="1" customWidth="1"/>
    <col min="2349" max="2349" width="9.28515625" bestFit="1" customWidth="1"/>
    <col min="2350" max="2350" width="11.5703125" bestFit="1" customWidth="1"/>
    <col min="2351" max="2351" width="9.28515625" bestFit="1" customWidth="1"/>
    <col min="2352" max="2352" width="11.5703125" bestFit="1" customWidth="1"/>
    <col min="2353" max="2353" width="9.28515625" bestFit="1" customWidth="1"/>
    <col min="2354" max="2354" width="11.5703125" bestFit="1" customWidth="1"/>
    <col min="2355" max="2355" width="9.28515625" bestFit="1" customWidth="1"/>
    <col min="2563" max="2563" width="29.42578125" bestFit="1" customWidth="1"/>
    <col min="2564" max="2564" width="11.5703125" bestFit="1" customWidth="1"/>
    <col min="2565" max="2565" width="9.28515625" bestFit="1" customWidth="1"/>
    <col min="2566" max="2566" width="11.5703125" bestFit="1" customWidth="1"/>
    <col min="2567" max="2567" width="9.28515625" bestFit="1" customWidth="1"/>
    <col min="2568" max="2568" width="11.5703125" bestFit="1" customWidth="1"/>
    <col min="2569" max="2569" width="9.28515625" bestFit="1" customWidth="1"/>
    <col min="2570" max="2570" width="11.5703125" bestFit="1" customWidth="1"/>
    <col min="2571" max="2571" width="9.28515625" bestFit="1" customWidth="1"/>
    <col min="2572" max="2572" width="11.5703125" bestFit="1" customWidth="1"/>
    <col min="2573" max="2573" width="9.28515625" bestFit="1" customWidth="1"/>
    <col min="2574" max="2574" width="11.5703125" bestFit="1" customWidth="1"/>
    <col min="2575" max="2575" width="9.28515625" bestFit="1" customWidth="1"/>
    <col min="2576" max="2576" width="11.5703125" bestFit="1" customWidth="1"/>
    <col min="2577" max="2577" width="9.28515625" bestFit="1" customWidth="1"/>
    <col min="2578" max="2578" width="11.5703125" bestFit="1" customWidth="1"/>
    <col min="2579" max="2579" width="9.28515625" bestFit="1" customWidth="1"/>
    <col min="2580" max="2580" width="11.5703125" bestFit="1" customWidth="1"/>
    <col min="2581" max="2581" width="9.28515625" bestFit="1" customWidth="1"/>
    <col min="2582" max="2582" width="11.5703125" bestFit="1" customWidth="1"/>
    <col min="2583" max="2583" width="9.28515625" bestFit="1" customWidth="1"/>
    <col min="2584" max="2584" width="11.5703125" bestFit="1" customWidth="1"/>
    <col min="2585" max="2585" width="9.28515625" bestFit="1" customWidth="1"/>
    <col min="2586" max="2586" width="11.5703125" bestFit="1" customWidth="1"/>
    <col min="2587" max="2587" width="9.28515625" bestFit="1" customWidth="1"/>
    <col min="2588" max="2588" width="11.5703125" bestFit="1" customWidth="1"/>
    <col min="2589" max="2589" width="9.28515625" bestFit="1" customWidth="1"/>
    <col min="2590" max="2590" width="11.5703125" bestFit="1" customWidth="1"/>
    <col min="2591" max="2591" width="9.28515625" bestFit="1" customWidth="1"/>
    <col min="2592" max="2592" width="11.5703125" bestFit="1" customWidth="1"/>
    <col min="2593" max="2593" width="9.28515625" bestFit="1" customWidth="1"/>
    <col min="2594" max="2594" width="11.5703125" bestFit="1" customWidth="1"/>
    <col min="2595" max="2595" width="9.28515625" bestFit="1" customWidth="1"/>
    <col min="2596" max="2596" width="11.5703125" bestFit="1" customWidth="1"/>
    <col min="2597" max="2597" width="9.28515625" bestFit="1" customWidth="1"/>
    <col min="2598" max="2598" width="11.5703125" bestFit="1" customWidth="1"/>
    <col min="2599" max="2599" width="9.28515625" bestFit="1" customWidth="1"/>
    <col min="2600" max="2600" width="11.5703125" bestFit="1" customWidth="1"/>
    <col min="2601" max="2601" width="9.28515625" bestFit="1" customWidth="1"/>
    <col min="2602" max="2602" width="11.5703125" bestFit="1" customWidth="1"/>
    <col min="2603" max="2603" width="9.28515625" bestFit="1" customWidth="1"/>
    <col min="2604" max="2604" width="11.5703125" bestFit="1" customWidth="1"/>
    <col min="2605" max="2605" width="9.28515625" bestFit="1" customWidth="1"/>
    <col min="2606" max="2606" width="11.5703125" bestFit="1" customWidth="1"/>
    <col min="2607" max="2607" width="9.28515625" bestFit="1" customWidth="1"/>
    <col min="2608" max="2608" width="11.5703125" bestFit="1" customWidth="1"/>
    <col min="2609" max="2609" width="9.28515625" bestFit="1" customWidth="1"/>
    <col min="2610" max="2610" width="11.5703125" bestFit="1" customWidth="1"/>
    <col min="2611" max="2611" width="9.28515625" bestFit="1" customWidth="1"/>
    <col min="2819" max="2819" width="29.42578125" bestFit="1" customWidth="1"/>
    <col min="2820" max="2820" width="11.5703125" bestFit="1" customWidth="1"/>
    <col min="2821" max="2821" width="9.28515625" bestFit="1" customWidth="1"/>
    <col min="2822" max="2822" width="11.5703125" bestFit="1" customWidth="1"/>
    <col min="2823" max="2823" width="9.28515625" bestFit="1" customWidth="1"/>
    <col min="2824" max="2824" width="11.5703125" bestFit="1" customWidth="1"/>
    <col min="2825" max="2825" width="9.28515625" bestFit="1" customWidth="1"/>
    <col min="2826" max="2826" width="11.5703125" bestFit="1" customWidth="1"/>
    <col min="2827" max="2827" width="9.28515625" bestFit="1" customWidth="1"/>
    <col min="2828" max="2828" width="11.5703125" bestFit="1" customWidth="1"/>
    <col min="2829" max="2829" width="9.28515625" bestFit="1" customWidth="1"/>
    <col min="2830" max="2830" width="11.5703125" bestFit="1" customWidth="1"/>
    <col min="2831" max="2831" width="9.28515625" bestFit="1" customWidth="1"/>
    <col min="2832" max="2832" width="11.5703125" bestFit="1" customWidth="1"/>
    <col min="2833" max="2833" width="9.28515625" bestFit="1" customWidth="1"/>
    <col min="2834" max="2834" width="11.5703125" bestFit="1" customWidth="1"/>
    <col min="2835" max="2835" width="9.28515625" bestFit="1" customWidth="1"/>
    <col min="2836" max="2836" width="11.5703125" bestFit="1" customWidth="1"/>
    <col min="2837" max="2837" width="9.28515625" bestFit="1" customWidth="1"/>
    <col min="2838" max="2838" width="11.5703125" bestFit="1" customWidth="1"/>
    <col min="2839" max="2839" width="9.28515625" bestFit="1" customWidth="1"/>
    <col min="2840" max="2840" width="11.5703125" bestFit="1" customWidth="1"/>
    <col min="2841" max="2841" width="9.28515625" bestFit="1" customWidth="1"/>
    <col min="2842" max="2842" width="11.5703125" bestFit="1" customWidth="1"/>
    <col min="2843" max="2843" width="9.28515625" bestFit="1" customWidth="1"/>
    <col min="2844" max="2844" width="11.5703125" bestFit="1" customWidth="1"/>
    <col min="2845" max="2845" width="9.28515625" bestFit="1" customWidth="1"/>
    <col min="2846" max="2846" width="11.5703125" bestFit="1" customWidth="1"/>
    <col min="2847" max="2847" width="9.28515625" bestFit="1" customWidth="1"/>
    <col min="2848" max="2848" width="11.5703125" bestFit="1" customWidth="1"/>
    <col min="2849" max="2849" width="9.28515625" bestFit="1" customWidth="1"/>
    <col min="2850" max="2850" width="11.5703125" bestFit="1" customWidth="1"/>
    <col min="2851" max="2851" width="9.28515625" bestFit="1" customWidth="1"/>
    <col min="2852" max="2852" width="11.5703125" bestFit="1" customWidth="1"/>
    <col min="2853" max="2853" width="9.28515625" bestFit="1" customWidth="1"/>
    <col min="2854" max="2854" width="11.5703125" bestFit="1" customWidth="1"/>
    <col min="2855" max="2855" width="9.28515625" bestFit="1" customWidth="1"/>
    <col min="2856" max="2856" width="11.5703125" bestFit="1" customWidth="1"/>
    <col min="2857" max="2857" width="9.28515625" bestFit="1" customWidth="1"/>
    <col min="2858" max="2858" width="11.5703125" bestFit="1" customWidth="1"/>
    <col min="2859" max="2859" width="9.28515625" bestFit="1" customWidth="1"/>
    <col min="2860" max="2860" width="11.5703125" bestFit="1" customWidth="1"/>
    <col min="2861" max="2861" width="9.28515625" bestFit="1" customWidth="1"/>
    <col min="2862" max="2862" width="11.5703125" bestFit="1" customWidth="1"/>
    <col min="2863" max="2863" width="9.28515625" bestFit="1" customWidth="1"/>
    <col min="2864" max="2864" width="11.5703125" bestFit="1" customWidth="1"/>
    <col min="2865" max="2865" width="9.28515625" bestFit="1" customWidth="1"/>
    <col min="2866" max="2866" width="11.5703125" bestFit="1" customWidth="1"/>
    <col min="2867" max="2867" width="9.28515625" bestFit="1" customWidth="1"/>
    <col min="3075" max="3075" width="29.42578125" bestFit="1" customWidth="1"/>
    <col min="3076" max="3076" width="11.5703125" bestFit="1" customWidth="1"/>
    <col min="3077" max="3077" width="9.28515625" bestFit="1" customWidth="1"/>
    <col min="3078" max="3078" width="11.5703125" bestFit="1" customWidth="1"/>
    <col min="3079" max="3079" width="9.28515625" bestFit="1" customWidth="1"/>
    <col min="3080" max="3080" width="11.5703125" bestFit="1" customWidth="1"/>
    <col min="3081" max="3081" width="9.28515625" bestFit="1" customWidth="1"/>
    <col min="3082" max="3082" width="11.5703125" bestFit="1" customWidth="1"/>
    <col min="3083" max="3083" width="9.28515625" bestFit="1" customWidth="1"/>
    <col min="3084" max="3084" width="11.5703125" bestFit="1" customWidth="1"/>
    <col min="3085" max="3085" width="9.28515625" bestFit="1" customWidth="1"/>
    <col min="3086" max="3086" width="11.5703125" bestFit="1" customWidth="1"/>
    <col min="3087" max="3087" width="9.28515625" bestFit="1" customWidth="1"/>
    <col min="3088" max="3088" width="11.5703125" bestFit="1" customWidth="1"/>
    <col min="3089" max="3089" width="9.28515625" bestFit="1" customWidth="1"/>
    <col min="3090" max="3090" width="11.5703125" bestFit="1" customWidth="1"/>
    <col min="3091" max="3091" width="9.28515625" bestFit="1" customWidth="1"/>
    <col min="3092" max="3092" width="11.5703125" bestFit="1" customWidth="1"/>
    <col min="3093" max="3093" width="9.28515625" bestFit="1" customWidth="1"/>
    <col min="3094" max="3094" width="11.5703125" bestFit="1" customWidth="1"/>
    <col min="3095" max="3095" width="9.28515625" bestFit="1" customWidth="1"/>
    <col min="3096" max="3096" width="11.5703125" bestFit="1" customWidth="1"/>
    <col min="3097" max="3097" width="9.28515625" bestFit="1" customWidth="1"/>
    <col min="3098" max="3098" width="11.5703125" bestFit="1" customWidth="1"/>
    <col min="3099" max="3099" width="9.28515625" bestFit="1" customWidth="1"/>
    <col min="3100" max="3100" width="11.5703125" bestFit="1" customWidth="1"/>
    <col min="3101" max="3101" width="9.28515625" bestFit="1" customWidth="1"/>
    <col min="3102" max="3102" width="11.5703125" bestFit="1" customWidth="1"/>
    <col min="3103" max="3103" width="9.28515625" bestFit="1" customWidth="1"/>
    <col min="3104" max="3104" width="11.5703125" bestFit="1" customWidth="1"/>
    <col min="3105" max="3105" width="9.28515625" bestFit="1" customWidth="1"/>
    <col min="3106" max="3106" width="11.5703125" bestFit="1" customWidth="1"/>
    <col min="3107" max="3107" width="9.28515625" bestFit="1" customWidth="1"/>
    <col min="3108" max="3108" width="11.5703125" bestFit="1" customWidth="1"/>
    <col min="3109" max="3109" width="9.28515625" bestFit="1" customWidth="1"/>
    <col min="3110" max="3110" width="11.5703125" bestFit="1" customWidth="1"/>
    <col min="3111" max="3111" width="9.28515625" bestFit="1" customWidth="1"/>
    <col min="3112" max="3112" width="11.5703125" bestFit="1" customWidth="1"/>
    <col min="3113" max="3113" width="9.28515625" bestFit="1" customWidth="1"/>
    <col min="3114" max="3114" width="11.5703125" bestFit="1" customWidth="1"/>
    <col min="3115" max="3115" width="9.28515625" bestFit="1" customWidth="1"/>
    <col min="3116" max="3116" width="11.5703125" bestFit="1" customWidth="1"/>
    <col min="3117" max="3117" width="9.28515625" bestFit="1" customWidth="1"/>
    <col min="3118" max="3118" width="11.5703125" bestFit="1" customWidth="1"/>
    <col min="3119" max="3119" width="9.28515625" bestFit="1" customWidth="1"/>
    <col min="3120" max="3120" width="11.5703125" bestFit="1" customWidth="1"/>
    <col min="3121" max="3121" width="9.28515625" bestFit="1" customWidth="1"/>
    <col min="3122" max="3122" width="11.5703125" bestFit="1" customWidth="1"/>
    <col min="3123" max="3123" width="9.28515625" bestFit="1" customWidth="1"/>
    <col min="3331" max="3331" width="29.42578125" bestFit="1" customWidth="1"/>
    <col min="3332" max="3332" width="11.5703125" bestFit="1" customWidth="1"/>
    <col min="3333" max="3333" width="9.28515625" bestFit="1" customWidth="1"/>
    <col min="3334" max="3334" width="11.5703125" bestFit="1" customWidth="1"/>
    <col min="3335" max="3335" width="9.28515625" bestFit="1" customWidth="1"/>
    <col min="3336" max="3336" width="11.5703125" bestFit="1" customWidth="1"/>
    <col min="3337" max="3337" width="9.28515625" bestFit="1" customWidth="1"/>
    <col min="3338" max="3338" width="11.5703125" bestFit="1" customWidth="1"/>
    <col min="3339" max="3339" width="9.28515625" bestFit="1" customWidth="1"/>
    <col min="3340" max="3340" width="11.5703125" bestFit="1" customWidth="1"/>
    <col min="3341" max="3341" width="9.28515625" bestFit="1" customWidth="1"/>
    <col min="3342" max="3342" width="11.5703125" bestFit="1" customWidth="1"/>
    <col min="3343" max="3343" width="9.28515625" bestFit="1" customWidth="1"/>
    <col min="3344" max="3344" width="11.5703125" bestFit="1" customWidth="1"/>
    <col min="3345" max="3345" width="9.28515625" bestFit="1" customWidth="1"/>
    <col min="3346" max="3346" width="11.5703125" bestFit="1" customWidth="1"/>
    <col min="3347" max="3347" width="9.28515625" bestFit="1" customWidth="1"/>
    <col min="3348" max="3348" width="11.5703125" bestFit="1" customWidth="1"/>
    <col min="3349" max="3349" width="9.28515625" bestFit="1" customWidth="1"/>
    <col min="3350" max="3350" width="11.5703125" bestFit="1" customWidth="1"/>
    <col min="3351" max="3351" width="9.28515625" bestFit="1" customWidth="1"/>
    <col min="3352" max="3352" width="11.5703125" bestFit="1" customWidth="1"/>
    <col min="3353" max="3353" width="9.28515625" bestFit="1" customWidth="1"/>
    <col min="3354" max="3354" width="11.5703125" bestFit="1" customWidth="1"/>
    <col min="3355" max="3355" width="9.28515625" bestFit="1" customWidth="1"/>
    <col min="3356" max="3356" width="11.5703125" bestFit="1" customWidth="1"/>
    <col min="3357" max="3357" width="9.28515625" bestFit="1" customWidth="1"/>
    <col min="3358" max="3358" width="11.5703125" bestFit="1" customWidth="1"/>
    <col min="3359" max="3359" width="9.28515625" bestFit="1" customWidth="1"/>
    <col min="3360" max="3360" width="11.5703125" bestFit="1" customWidth="1"/>
    <col min="3361" max="3361" width="9.28515625" bestFit="1" customWidth="1"/>
    <col min="3362" max="3362" width="11.5703125" bestFit="1" customWidth="1"/>
    <col min="3363" max="3363" width="9.28515625" bestFit="1" customWidth="1"/>
    <col min="3364" max="3364" width="11.5703125" bestFit="1" customWidth="1"/>
    <col min="3365" max="3365" width="9.28515625" bestFit="1" customWidth="1"/>
    <col min="3366" max="3366" width="11.5703125" bestFit="1" customWidth="1"/>
    <col min="3367" max="3367" width="9.28515625" bestFit="1" customWidth="1"/>
    <col min="3368" max="3368" width="11.5703125" bestFit="1" customWidth="1"/>
    <col min="3369" max="3369" width="9.28515625" bestFit="1" customWidth="1"/>
    <col min="3370" max="3370" width="11.5703125" bestFit="1" customWidth="1"/>
    <col min="3371" max="3371" width="9.28515625" bestFit="1" customWidth="1"/>
    <col min="3372" max="3372" width="11.5703125" bestFit="1" customWidth="1"/>
    <col min="3373" max="3373" width="9.28515625" bestFit="1" customWidth="1"/>
    <col min="3374" max="3374" width="11.5703125" bestFit="1" customWidth="1"/>
    <col min="3375" max="3375" width="9.28515625" bestFit="1" customWidth="1"/>
    <col min="3376" max="3376" width="11.5703125" bestFit="1" customWidth="1"/>
    <col min="3377" max="3377" width="9.28515625" bestFit="1" customWidth="1"/>
    <col min="3378" max="3378" width="11.5703125" bestFit="1" customWidth="1"/>
    <col min="3379" max="3379" width="9.28515625" bestFit="1" customWidth="1"/>
    <col min="3587" max="3587" width="29.42578125" bestFit="1" customWidth="1"/>
    <col min="3588" max="3588" width="11.5703125" bestFit="1" customWidth="1"/>
    <col min="3589" max="3589" width="9.28515625" bestFit="1" customWidth="1"/>
    <col min="3590" max="3590" width="11.5703125" bestFit="1" customWidth="1"/>
    <col min="3591" max="3591" width="9.28515625" bestFit="1" customWidth="1"/>
    <col min="3592" max="3592" width="11.5703125" bestFit="1" customWidth="1"/>
    <col min="3593" max="3593" width="9.28515625" bestFit="1" customWidth="1"/>
    <col min="3594" max="3594" width="11.5703125" bestFit="1" customWidth="1"/>
    <col min="3595" max="3595" width="9.28515625" bestFit="1" customWidth="1"/>
    <col min="3596" max="3596" width="11.5703125" bestFit="1" customWidth="1"/>
    <col min="3597" max="3597" width="9.28515625" bestFit="1" customWidth="1"/>
    <col min="3598" max="3598" width="11.5703125" bestFit="1" customWidth="1"/>
    <col min="3599" max="3599" width="9.28515625" bestFit="1" customWidth="1"/>
    <col min="3600" max="3600" width="11.5703125" bestFit="1" customWidth="1"/>
    <col min="3601" max="3601" width="9.28515625" bestFit="1" customWidth="1"/>
    <col min="3602" max="3602" width="11.5703125" bestFit="1" customWidth="1"/>
    <col min="3603" max="3603" width="9.28515625" bestFit="1" customWidth="1"/>
    <col min="3604" max="3604" width="11.5703125" bestFit="1" customWidth="1"/>
    <col min="3605" max="3605" width="9.28515625" bestFit="1" customWidth="1"/>
    <col min="3606" max="3606" width="11.5703125" bestFit="1" customWidth="1"/>
    <col min="3607" max="3607" width="9.28515625" bestFit="1" customWidth="1"/>
    <col min="3608" max="3608" width="11.5703125" bestFit="1" customWidth="1"/>
    <col min="3609" max="3609" width="9.28515625" bestFit="1" customWidth="1"/>
    <col min="3610" max="3610" width="11.5703125" bestFit="1" customWidth="1"/>
    <col min="3611" max="3611" width="9.28515625" bestFit="1" customWidth="1"/>
    <col min="3612" max="3612" width="11.5703125" bestFit="1" customWidth="1"/>
    <col min="3613" max="3613" width="9.28515625" bestFit="1" customWidth="1"/>
    <col min="3614" max="3614" width="11.5703125" bestFit="1" customWidth="1"/>
    <col min="3615" max="3615" width="9.28515625" bestFit="1" customWidth="1"/>
    <col min="3616" max="3616" width="11.5703125" bestFit="1" customWidth="1"/>
    <col min="3617" max="3617" width="9.28515625" bestFit="1" customWidth="1"/>
    <col min="3618" max="3618" width="11.5703125" bestFit="1" customWidth="1"/>
    <col min="3619" max="3619" width="9.28515625" bestFit="1" customWidth="1"/>
    <col min="3620" max="3620" width="11.5703125" bestFit="1" customWidth="1"/>
    <col min="3621" max="3621" width="9.28515625" bestFit="1" customWidth="1"/>
    <col min="3622" max="3622" width="11.5703125" bestFit="1" customWidth="1"/>
    <col min="3623" max="3623" width="9.28515625" bestFit="1" customWidth="1"/>
    <col min="3624" max="3624" width="11.5703125" bestFit="1" customWidth="1"/>
    <col min="3625" max="3625" width="9.28515625" bestFit="1" customWidth="1"/>
    <col min="3626" max="3626" width="11.5703125" bestFit="1" customWidth="1"/>
    <col min="3627" max="3627" width="9.28515625" bestFit="1" customWidth="1"/>
    <col min="3628" max="3628" width="11.5703125" bestFit="1" customWidth="1"/>
    <col min="3629" max="3629" width="9.28515625" bestFit="1" customWidth="1"/>
    <col min="3630" max="3630" width="11.5703125" bestFit="1" customWidth="1"/>
    <col min="3631" max="3631" width="9.28515625" bestFit="1" customWidth="1"/>
    <col min="3632" max="3632" width="11.5703125" bestFit="1" customWidth="1"/>
    <col min="3633" max="3633" width="9.28515625" bestFit="1" customWidth="1"/>
    <col min="3634" max="3634" width="11.5703125" bestFit="1" customWidth="1"/>
    <col min="3635" max="3635" width="9.28515625" bestFit="1" customWidth="1"/>
    <col min="3843" max="3843" width="29.42578125" bestFit="1" customWidth="1"/>
    <col min="3844" max="3844" width="11.5703125" bestFit="1" customWidth="1"/>
    <col min="3845" max="3845" width="9.28515625" bestFit="1" customWidth="1"/>
    <col min="3846" max="3846" width="11.5703125" bestFit="1" customWidth="1"/>
    <col min="3847" max="3847" width="9.28515625" bestFit="1" customWidth="1"/>
    <col min="3848" max="3848" width="11.5703125" bestFit="1" customWidth="1"/>
    <col min="3849" max="3849" width="9.28515625" bestFit="1" customWidth="1"/>
    <col min="3850" max="3850" width="11.5703125" bestFit="1" customWidth="1"/>
    <col min="3851" max="3851" width="9.28515625" bestFit="1" customWidth="1"/>
    <col min="3852" max="3852" width="11.5703125" bestFit="1" customWidth="1"/>
    <col min="3853" max="3853" width="9.28515625" bestFit="1" customWidth="1"/>
    <col min="3854" max="3854" width="11.5703125" bestFit="1" customWidth="1"/>
    <col min="3855" max="3855" width="9.28515625" bestFit="1" customWidth="1"/>
    <col min="3856" max="3856" width="11.5703125" bestFit="1" customWidth="1"/>
    <col min="3857" max="3857" width="9.28515625" bestFit="1" customWidth="1"/>
    <col min="3858" max="3858" width="11.5703125" bestFit="1" customWidth="1"/>
    <col min="3859" max="3859" width="9.28515625" bestFit="1" customWidth="1"/>
    <col min="3860" max="3860" width="11.5703125" bestFit="1" customWidth="1"/>
    <col min="3861" max="3861" width="9.28515625" bestFit="1" customWidth="1"/>
    <col min="3862" max="3862" width="11.5703125" bestFit="1" customWidth="1"/>
    <col min="3863" max="3863" width="9.28515625" bestFit="1" customWidth="1"/>
    <col min="3864" max="3864" width="11.5703125" bestFit="1" customWidth="1"/>
    <col min="3865" max="3865" width="9.28515625" bestFit="1" customWidth="1"/>
    <col min="3866" max="3866" width="11.5703125" bestFit="1" customWidth="1"/>
    <col min="3867" max="3867" width="9.28515625" bestFit="1" customWidth="1"/>
    <col min="3868" max="3868" width="11.5703125" bestFit="1" customWidth="1"/>
    <col min="3869" max="3869" width="9.28515625" bestFit="1" customWidth="1"/>
    <col min="3870" max="3870" width="11.5703125" bestFit="1" customWidth="1"/>
    <col min="3871" max="3871" width="9.28515625" bestFit="1" customWidth="1"/>
    <col min="3872" max="3872" width="11.5703125" bestFit="1" customWidth="1"/>
    <col min="3873" max="3873" width="9.28515625" bestFit="1" customWidth="1"/>
    <col min="3874" max="3874" width="11.5703125" bestFit="1" customWidth="1"/>
    <col min="3875" max="3875" width="9.28515625" bestFit="1" customWidth="1"/>
    <col min="3876" max="3876" width="11.5703125" bestFit="1" customWidth="1"/>
    <col min="3877" max="3877" width="9.28515625" bestFit="1" customWidth="1"/>
    <col min="3878" max="3878" width="11.5703125" bestFit="1" customWidth="1"/>
    <col min="3879" max="3879" width="9.28515625" bestFit="1" customWidth="1"/>
    <col min="3880" max="3880" width="11.5703125" bestFit="1" customWidth="1"/>
    <col min="3881" max="3881" width="9.28515625" bestFit="1" customWidth="1"/>
    <col min="3882" max="3882" width="11.5703125" bestFit="1" customWidth="1"/>
    <col min="3883" max="3883" width="9.28515625" bestFit="1" customWidth="1"/>
    <col min="3884" max="3884" width="11.5703125" bestFit="1" customWidth="1"/>
    <col min="3885" max="3885" width="9.28515625" bestFit="1" customWidth="1"/>
    <col min="3886" max="3886" width="11.5703125" bestFit="1" customWidth="1"/>
    <col min="3887" max="3887" width="9.28515625" bestFit="1" customWidth="1"/>
    <col min="3888" max="3888" width="11.5703125" bestFit="1" customWidth="1"/>
    <col min="3889" max="3889" width="9.28515625" bestFit="1" customWidth="1"/>
    <col min="3890" max="3890" width="11.5703125" bestFit="1" customWidth="1"/>
    <col min="3891" max="3891" width="9.28515625" bestFit="1" customWidth="1"/>
    <col min="4099" max="4099" width="29.42578125" bestFit="1" customWidth="1"/>
    <col min="4100" max="4100" width="11.5703125" bestFit="1" customWidth="1"/>
    <col min="4101" max="4101" width="9.28515625" bestFit="1" customWidth="1"/>
    <col min="4102" max="4102" width="11.5703125" bestFit="1" customWidth="1"/>
    <col min="4103" max="4103" width="9.28515625" bestFit="1" customWidth="1"/>
    <col min="4104" max="4104" width="11.5703125" bestFit="1" customWidth="1"/>
    <col min="4105" max="4105" width="9.28515625" bestFit="1" customWidth="1"/>
    <col min="4106" max="4106" width="11.5703125" bestFit="1" customWidth="1"/>
    <col min="4107" max="4107" width="9.28515625" bestFit="1" customWidth="1"/>
    <col min="4108" max="4108" width="11.5703125" bestFit="1" customWidth="1"/>
    <col min="4109" max="4109" width="9.28515625" bestFit="1" customWidth="1"/>
    <col min="4110" max="4110" width="11.5703125" bestFit="1" customWidth="1"/>
    <col min="4111" max="4111" width="9.28515625" bestFit="1" customWidth="1"/>
    <col min="4112" max="4112" width="11.5703125" bestFit="1" customWidth="1"/>
    <col min="4113" max="4113" width="9.28515625" bestFit="1" customWidth="1"/>
    <col min="4114" max="4114" width="11.5703125" bestFit="1" customWidth="1"/>
    <col min="4115" max="4115" width="9.28515625" bestFit="1" customWidth="1"/>
    <col min="4116" max="4116" width="11.5703125" bestFit="1" customWidth="1"/>
    <col min="4117" max="4117" width="9.28515625" bestFit="1" customWidth="1"/>
    <col min="4118" max="4118" width="11.5703125" bestFit="1" customWidth="1"/>
    <col min="4119" max="4119" width="9.28515625" bestFit="1" customWidth="1"/>
    <col min="4120" max="4120" width="11.5703125" bestFit="1" customWidth="1"/>
    <col min="4121" max="4121" width="9.28515625" bestFit="1" customWidth="1"/>
    <col min="4122" max="4122" width="11.5703125" bestFit="1" customWidth="1"/>
    <col min="4123" max="4123" width="9.28515625" bestFit="1" customWidth="1"/>
    <col min="4124" max="4124" width="11.5703125" bestFit="1" customWidth="1"/>
    <col min="4125" max="4125" width="9.28515625" bestFit="1" customWidth="1"/>
    <col min="4126" max="4126" width="11.5703125" bestFit="1" customWidth="1"/>
    <col min="4127" max="4127" width="9.28515625" bestFit="1" customWidth="1"/>
    <col min="4128" max="4128" width="11.5703125" bestFit="1" customWidth="1"/>
    <col min="4129" max="4129" width="9.28515625" bestFit="1" customWidth="1"/>
    <col min="4130" max="4130" width="11.5703125" bestFit="1" customWidth="1"/>
    <col min="4131" max="4131" width="9.28515625" bestFit="1" customWidth="1"/>
    <col min="4132" max="4132" width="11.5703125" bestFit="1" customWidth="1"/>
    <col min="4133" max="4133" width="9.28515625" bestFit="1" customWidth="1"/>
    <col min="4134" max="4134" width="11.5703125" bestFit="1" customWidth="1"/>
    <col min="4135" max="4135" width="9.28515625" bestFit="1" customWidth="1"/>
    <col min="4136" max="4136" width="11.5703125" bestFit="1" customWidth="1"/>
    <col min="4137" max="4137" width="9.28515625" bestFit="1" customWidth="1"/>
    <col min="4138" max="4138" width="11.5703125" bestFit="1" customWidth="1"/>
    <col min="4139" max="4139" width="9.28515625" bestFit="1" customWidth="1"/>
    <col min="4140" max="4140" width="11.5703125" bestFit="1" customWidth="1"/>
    <col min="4141" max="4141" width="9.28515625" bestFit="1" customWidth="1"/>
    <col min="4142" max="4142" width="11.5703125" bestFit="1" customWidth="1"/>
    <col min="4143" max="4143" width="9.28515625" bestFit="1" customWidth="1"/>
    <col min="4144" max="4144" width="11.5703125" bestFit="1" customWidth="1"/>
    <col min="4145" max="4145" width="9.28515625" bestFit="1" customWidth="1"/>
    <col min="4146" max="4146" width="11.5703125" bestFit="1" customWidth="1"/>
    <col min="4147" max="4147" width="9.28515625" bestFit="1" customWidth="1"/>
    <col min="4355" max="4355" width="29.42578125" bestFit="1" customWidth="1"/>
    <col min="4356" max="4356" width="11.5703125" bestFit="1" customWidth="1"/>
    <col min="4357" max="4357" width="9.28515625" bestFit="1" customWidth="1"/>
    <col min="4358" max="4358" width="11.5703125" bestFit="1" customWidth="1"/>
    <col min="4359" max="4359" width="9.28515625" bestFit="1" customWidth="1"/>
    <col min="4360" max="4360" width="11.5703125" bestFit="1" customWidth="1"/>
    <col min="4361" max="4361" width="9.28515625" bestFit="1" customWidth="1"/>
    <col min="4362" max="4362" width="11.5703125" bestFit="1" customWidth="1"/>
    <col min="4363" max="4363" width="9.28515625" bestFit="1" customWidth="1"/>
    <col min="4364" max="4364" width="11.5703125" bestFit="1" customWidth="1"/>
    <col min="4365" max="4365" width="9.28515625" bestFit="1" customWidth="1"/>
    <col min="4366" max="4366" width="11.5703125" bestFit="1" customWidth="1"/>
    <col min="4367" max="4367" width="9.28515625" bestFit="1" customWidth="1"/>
    <col min="4368" max="4368" width="11.5703125" bestFit="1" customWidth="1"/>
    <col min="4369" max="4369" width="9.28515625" bestFit="1" customWidth="1"/>
    <col min="4370" max="4370" width="11.5703125" bestFit="1" customWidth="1"/>
    <col min="4371" max="4371" width="9.28515625" bestFit="1" customWidth="1"/>
    <col min="4372" max="4372" width="11.5703125" bestFit="1" customWidth="1"/>
    <col min="4373" max="4373" width="9.28515625" bestFit="1" customWidth="1"/>
    <col min="4374" max="4374" width="11.5703125" bestFit="1" customWidth="1"/>
    <col min="4375" max="4375" width="9.28515625" bestFit="1" customWidth="1"/>
    <col min="4376" max="4376" width="11.5703125" bestFit="1" customWidth="1"/>
    <col min="4377" max="4377" width="9.28515625" bestFit="1" customWidth="1"/>
    <col min="4378" max="4378" width="11.5703125" bestFit="1" customWidth="1"/>
    <col min="4379" max="4379" width="9.28515625" bestFit="1" customWidth="1"/>
    <col min="4380" max="4380" width="11.5703125" bestFit="1" customWidth="1"/>
    <col min="4381" max="4381" width="9.28515625" bestFit="1" customWidth="1"/>
    <col min="4382" max="4382" width="11.5703125" bestFit="1" customWidth="1"/>
    <col min="4383" max="4383" width="9.28515625" bestFit="1" customWidth="1"/>
    <col min="4384" max="4384" width="11.5703125" bestFit="1" customWidth="1"/>
    <col min="4385" max="4385" width="9.28515625" bestFit="1" customWidth="1"/>
    <col min="4386" max="4386" width="11.5703125" bestFit="1" customWidth="1"/>
    <col min="4387" max="4387" width="9.28515625" bestFit="1" customWidth="1"/>
    <col min="4388" max="4388" width="11.5703125" bestFit="1" customWidth="1"/>
    <col min="4389" max="4389" width="9.28515625" bestFit="1" customWidth="1"/>
    <col min="4390" max="4390" width="11.5703125" bestFit="1" customWidth="1"/>
    <col min="4391" max="4391" width="9.28515625" bestFit="1" customWidth="1"/>
    <col min="4392" max="4392" width="11.5703125" bestFit="1" customWidth="1"/>
    <col min="4393" max="4393" width="9.28515625" bestFit="1" customWidth="1"/>
    <col min="4394" max="4394" width="11.5703125" bestFit="1" customWidth="1"/>
    <col min="4395" max="4395" width="9.28515625" bestFit="1" customWidth="1"/>
    <col min="4396" max="4396" width="11.5703125" bestFit="1" customWidth="1"/>
    <col min="4397" max="4397" width="9.28515625" bestFit="1" customWidth="1"/>
    <col min="4398" max="4398" width="11.5703125" bestFit="1" customWidth="1"/>
    <col min="4399" max="4399" width="9.28515625" bestFit="1" customWidth="1"/>
    <col min="4400" max="4400" width="11.5703125" bestFit="1" customWidth="1"/>
    <col min="4401" max="4401" width="9.28515625" bestFit="1" customWidth="1"/>
    <col min="4402" max="4402" width="11.5703125" bestFit="1" customWidth="1"/>
    <col min="4403" max="4403" width="9.28515625" bestFit="1" customWidth="1"/>
    <col min="4611" max="4611" width="29.42578125" bestFit="1" customWidth="1"/>
    <col min="4612" max="4612" width="11.5703125" bestFit="1" customWidth="1"/>
    <col min="4613" max="4613" width="9.28515625" bestFit="1" customWidth="1"/>
    <col min="4614" max="4614" width="11.5703125" bestFit="1" customWidth="1"/>
    <col min="4615" max="4615" width="9.28515625" bestFit="1" customWidth="1"/>
    <col min="4616" max="4616" width="11.5703125" bestFit="1" customWidth="1"/>
    <col min="4617" max="4617" width="9.28515625" bestFit="1" customWidth="1"/>
    <col min="4618" max="4618" width="11.5703125" bestFit="1" customWidth="1"/>
    <col min="4619" max="4619" width="9.28515625" bestFit="1" customWidth="1"/>
    <col min="4620" max="4620" width="11.5703125" bestFit="1" customWidth="1"/>
    <col min="4621" max="4621" width="9.28515625" bestFit="1" customWidth="1"/>
    <col min="4622" max="4622" width="11.5703125" bestFit="1" customWidth="1"/>
    <col min="4623" max="4623" width="9.28515625" bestFit="1" customWidth="1"/>
    <col min="4624" max="4624" width="11.5703125" bestFit="1" customWidth="1"/>
    <col min="4625" max="4625" width="9.28515625" bestFit="1" customWidth="1"/>
    <col min="4626" max="4626" width="11.5703125" bestFit="1" customWidth="1"/>
    <col min="4627" max="4627" width="9.28515625" bestFit="1" customWidth="1"/>
    <col min="4628" max="4628" width="11.5703125" bestFit="1" customWidth="1"/>
    <col min="4629" max="4629" width="9.28515625" bestFit="1" customWidth="1"/>
    <col min="4630" max="4630" width="11.5703125" bestFit="1" customWidth="1"/>
    <col min="4631" max="4631" width="9.28515625" bestFit="1" customWidth="1"/>
    <col min="4632" max="4632" width="11.5703125" bestFit="1" customWidth="1"/>
    <col min="4633" max="4633" width="9.28515625" bestFit="1" customWidth="1"/>
    <col min="4634" max="4634" width="11.5703125" bestFit="1" customWidth="1"/>
    <col min="4635" max="4635" width="9.28515625" bestFit="1" customWidth="1"/>
    <col min="4636" max="4636" width="11.5703125" bestFit="1" customWidth="1"/>
    <col min="4637" max="4637" width="9.28515625" bestFit="1" customWidth="1"/>
    <col min="4638" max="4638" width="11.5703125" bestFit="1" customWidth="1"/>
    <col min="4639" max="4639" width="9.28515625" bestFit="1" customWidth="1"/>
    <col min="4640" max="4640" width="11.5703125" bestFit="1" customWidth="1"/>
    <col min="4641" max="4641" width="9.28515625" bestFit="1" customWidth="1"/>
    <col min="4642" max="4642" width="11.5703125" bestFit="1" customWidth="1"/>
    <col min="4643" max="4643" width="9.28515625" bestFit="1" customWidth="1"/>
    <col min="4644" max="4644" width="11.5703125" bestFit="1" customWidth="1"/>
    <col min="4645" max="4645" width="9.28515625" bestFit="1" customWidth="1"/>
    <col min="4646" max="4646" width="11.5703125" bestFit="1" customWidth="1"/>
    <col min="4647" max="4647" width="9.28515625" bestFit="1" customWidth="1"/>
    <col min="4648" max="4648" width="11.5703125" bestFit="1" customWidth="1"/>
    <col min="4649" max="4649" width="9.28515625" bestFit="1" customWidth="1"/>
    <col min="4650" max="4650" width="11.5703125" bestFit="1" customWidth="1"/>
    <col min="4651" max="4651" width="9.28515625" bestFit="1" customWidth="1"/>
    <col min="4652" max="4652" width="11.5703125" bestFit="1" customWidth="1"/>
    <col min="4653" max="4653" width="9.28515625" bestFit="1" customWidth="1"/>
    <col min="4654" max="4654" width="11.5703125" bestFit="1" customWidth="1"/>
    <col min="4655" max="4655" width="9.28515625" bestFit="1" customWidth="1"/>
    <col min="4656" max="4656" width="11.5703125" bestFit="1" customWidth="1"/>
    <col min="4657" max="4657" width="9.28515625" bestFit="1" customWidth="1"/>
    <col min="4658" max="4658" width="11.5703125" bestFit="1" customWidth="1"/>
    <col min="4659" max="4659" width="9.28515625" bestFit="1" customWidth="1"/>
    <col min="4867" max="4867" width="29.42578125" bestFit="1" customWidth="1"/>
    <col min="4868" max="4868" width="11.5703125" bestFit="1" customWidth="1"/>
    <col min="4869" max="4869" width="9.28515625" bestFit="1" customWidth="1"/>
    <col min="4870" max="4870" width="11.5703125" bestFit="1" customWidth="1"/>
    <col min="4871" max="4871" width="9.28515625" bestFit="1" customWidth="1"/>
    <col min="4872" max="4872" width="11.5703125" bestFit="1" customWidth="1"/>
    <col min="4873" max="4873" width="9.28515625" bestFit="1" customWidth="1"/>
    <col min="4874" max="4874" width="11.5703125" bestFit="1" customWidth="1"/>
    <col min="4875" max="4875" width="9.28515625" bestFit="1" customWidth="1"/>
    <col min="4876" max="4876" width="11.5703125" bestFit="1" customWidth="1"/>
    <col min="4877" max="4877" width="9.28515625" bestFit="1" customWidth="1"/>
    <col min="4878" max="4878" width="11.5703125" bestFit="1" customWidth="1"/>
    <col min="4879" max="4879" width="9.28515625" bestFit="1" customWidth="1"/>
    <col min="4880" max="4880" width="11.5703125" bestFit="1" customWidth="1"/>
    <col min="4881" max="4881" width="9.28515625" bestFit="1" customWidth="1"/>
    <col min="4882" max="4882" width="11.5703125" bestFit="1" customWidth="1"/>
    <col min="4883" max="4883" width="9.28515625" bestFit="1" customWidth="1"/>
    <col min="4884" max="4884" width="11.5703125" bestFit="1" customWidth="1"/>
    <col min="4885" max="4885" width="9.28515625" bestFit="1" customWidth="1"/>
    <col min="4886" max="4886" width="11.5703125" bestFit="1" customWidth="1"/>
    <col min="4887" max="4887" width="9.28515625" bestFit="1" customWidth="1"/>
    <col min="4888" max="4888" width="11.5703125" bestFit="1" customWidth="1"/>
    <col min="4889" max="4889" width="9.28515625" bestFit="1" customWidth="1"/>
    <col min="4890" max="4890" width="11.5703125" bestFit="1" customWidth="1"/>
    <col min="4891" max="4891" width="9.28515625" bestFit="1" customWidth="1"/>
    <col min="4892" max="4892" width="11.5703125" bestFit="1" customWidth="1"/>
    <col min="4893" max="4893" width="9.28515625" bestFit="1" customWidth="1"/>
    <col min="4894" max="4894" width="11.5703125" bestFit="1" customWidth="1"/>
    <col min="4895" max="4895" width="9.28515625" bestFit="1" customWidth="1"/>
    <col min="4896" max="4896" width="11.5703125" bestFit="1" customWidth="1"/>
    <col min="4897" max="4897" width="9.28515625" bestFit="1" customWidth="1"/>
    <col min="4898" max="4898" width="11.5703125" bestFit="1" customWidth="1"/>
    <col min="4899" max="4899" width="9.28515625" bestFit="1" customWidth="1"/>
    <col min="4900" max="4900" width="11.5703125" bestFit="1" customWidth="1"/>
    <col min="4901" max="4901" width="9.28515625" bestFit="1" customWidth="1"/>
    <col min="4902" max="4902" width="11.5703125" bestFit="1" customWidth="1"/>
    <col min="4903" max="4903" width="9.28515625" bestFit="1" customWidth="1"/>
    <col min="4904" max="4904" width="11.5703125" bestFit="1" customWidth="1"/>
    <col min="4905" max="4905" width="9.28515625" bestFit="1" customWidth="1"/>
    <col min="4906" max="4906" width="11.5703125" bestFit="1" customWidth="1"/>
    <col min="4907" max="4907" width="9.28515625" bestFit="1" customWidth="1"/>
    <col min="4908" max="4908" width="11.5703125" bestFit="1" customWidth="1"/>
    <col min="4909" max="4909" width="9.28515625" bestFit="1" customWidth="1"/>
    <col min="4910" max="4910" width="11.5703125" bestFit="1" customWidth="1"/>
    <col min="4911" max="4911" width="9.28515625" bestFit="1" customWidth="1"/>
    <col min="4912" max="4912" width="11.5703125" bestFit="1" customWidth="1"/>
    <col min="4913" max="4913" width="9.28515625" bestFit="1" customWidth="1"/>
    <col min="4914" max="4914" width="11.5703125" bestFit="1" customWidth="1"/>
    <col min="4915" max="4915" width="9.28515625" bestFit="1" customWidth="1"/>
    <col min="5123" max="5123" width="29.42578125" bestFit="1" customWidth="1"/>
    <col min="5124" max="5124" width="11.5703125" bestFit="1" customWidth="1"/>
    <col min="5125" max="5125" width="9.28515625" bestFit="1" customWidth="1"/>
    <col min="5126" max="5126" width="11.5703125" bestFit="1" customWidth="1"/>
    <col min="5127" max="5127" width="9.28515625" bestFit="1" customWidth="1"/>
    <col min="5128" max="5128" width="11.5703125" bestFit="1" customWidth="1"/>
    <col min="5129" max="5129" width="9.28515625" bestFit="1" customWidth="1"/>
    <col min="5130" max="5130" width="11.5703125" bestFit="1" customWidth="1"/>
    <col min="5131" max="5131" width="9.28515625" bestFit="1" customWidth="1"/>
    <col min="5132" max="5132" width="11.5703125" bestFit="1" customWidth="1"/>
    <col min="5133" max="5133" width="9.28515625" bestFit="1" customWidth="1"/>
    <col min="5134" max="5134" width="11.5703125" bestFit="1" customWidth="1"/>
    <col min="5135" max="5135" width="9.28515625" bestFit="1" customWidth="1"/>
    <col min="5136" max="5136" width="11.5703125" bestFit="1" customWidth="1"/>
    <col min="5137" max="5137" width="9.28515625" bestFit="1" customWidth="1"/>
    <col min="5138" max="5138" width="11.5703125" bestFit="1" customWidth="1"/>
    <col min="5139" max="5139" width="9.28515625" bestFit="1" customWidth="1"/>
    <col min="5140" max="5140" width="11.5703125" bestFit="1" customWidth="1"/>
    <col min="5141" max="5141" width="9.28515625" bestFit="1" customWidth="1"/>
    <col min="5142" max="5142" width="11.5703125" bestFit="1" customWidth="1"/>
    <col min="5143" max="5143" width="9.28515625" bestFit="1" customWidth="1"/>
    <col min="5144" max="5144" width="11.5703125" bestFit="1" customWidth="1"/>
    <col min="5145" max="5145" width="9.28515625" bestFit="1" customWidth="1"/>
    <col min="5146" max="5146" width="11.5703125" bestFit="1" customWidth="1"/>
    <col min="5147" max="5147" width="9.28515625" bestFit="1" customWidth="1"/>
    <col min="5148" max="5148" width="11.5703125" bestFit="1" customWidth="1"/>
    <col min="5149" max="5149" width="9.28515625" bestFit="1" customWidth="1"/>
    <col min="5150" max="5150" width="11.5703125" bestFit="1" customWidth="1"/>
    <col min="5151" max="5151" width="9.28515625" bestFit="1" customWidth="1"/>
    <col min="5152" max="5152" width="11.5703125" bestFit="1" customWidth="1"/>
    <col min="5153" max="5153" width="9.28515625" bestFit="1" customWidth="1"/>
    <col min="5154" max="5154" width="11.5703125" bestFit="1" customWidth="1"/>
    <col min="5155" max="5155" width="9.28515625" bestFit="1" customWidth="1"/>
    <col min="5156" max="5156" width="11.5703125" bestFit="1" customWidth="1"/>
    <col min="5157" max="5157" width="9.28515625" bestFit="1" customWidth="1"/>
    <col min="5158" max="5158" width="11.5703125" bestFit="1" customWidth="1"/>
    <col min="5159" max="5159" width="9.28515625" bestFit="1" customWidth="1"/>
    <col min="5160" max="5160" width="11.5703125" bestFit="1" customWidth="1"/>
    <col min="5161" max="5161" width="9.28515625" bestFit="1" customWidth="1"/>
    <col min="5162" max="5162" width="11.5703125" bestFit="1" customWidth="1"/>
    <col min="5163" max="5163" width="9.28515625" bestFit="1" customWidth="1"/>
    <col min="5164" max="5164" width="11.5703125" bestFit="1" customWidth="1"/>
    <col min="5165" max="5165" width="9.28515625" bestFit="1" customWidth="1"/>
    <col min="5166" max="5166" width="11.5703125" bestFit="1" customWidth="1"/>
    <col min="5167" max="5167" width="9.28515625" bestFit="1" customWidth="1"/>
    <col min="5168" max="5168" width="11.5703125" bestFit="1" customWidth="1"/>
    <col min="5169" max="5169" width="9.28515625" bestFit="1" customWidth="1"/>
    <col min="5170" max="5170" width="11.5703125" bestFit="1" customWidth="1"/>
    <col min="5171" max="5171" width="9.28515625" bestFit="1" customWidth="1"/>
    <col min="5379" max="5379" width="29.42578125" bestFit="1" customWidth="1"/>
    <col min="5380" max="5380" width="11.5703125" bestFit="1" customWidth="1"/>
    <col min="5381" max="5381" width="9.28515625" bestFit="1" customWidth="1"/>
    <col min="5382" max="5382" width="11.5703125" bestFit="1" customWidth="1"/>
    <col min="5383" max="5383" width="9.28515625" bestFit="1" customWidth="1"/>
    <col min="5384" max="5384" width="11.5703125" bestFit="1" customWidth="1"/>
    <col min="5385" max="5385" width="9.28515625" bestFit="1" customWidth="1"/>
    <col min="5386" max="5386" width="11.5703125" bestFit="1" customWidth="1"/>
    <col min="5387" max="5387" width="9.28515625" bestFit="1" customWidth="1"/>
    <col min="5388" max="5388" width="11.5703125" bestFit="1" customWidth="1"/>
    <col min="5389" max="5389" width="9.28515625" bestFit="1" customWidth="1"/>
    <col min="5390" max="5390" width="11.5703125" bestFit="1" customWidth="1"/>
    <col min="5391" max="5391" width="9.28515625" bestFit="1" customWidth="1"/>
    <col min="5392" max="5392" width="11.5703125" bestFit="1" customWidth="1"/>
    <col min="5393" max="5393" width="9.28515625" bestFit="1" customWidth="1"/>
    <col min="5394" max="5394" width="11.5703125" bestFit="1" customWidth="1"/>
    <col min="5395" max="5395" width="9.28515625" bestFit="1" customWidth="1"/>
    <col min="5396" max="5396" width="11.5703125" bestFit="1" customWidth="1"/>
    <col min="5397" max="5397" width="9.28515625" bestFit="1" customWidth="1"/>
    <col min="5398" max="5398" width="11.5703125" bestFit="1" customWidth="1"/>
    <col min="5399" max="5399" width="9.28515625" bestFit="1" customWidth="1"/>
    <col min="5400" max="5400" width="11.5703125" bestFit="1" customWidth="1"/>
    <col min="5401" max="5401" width="9.28515625" bestFit="1" customWidth="1"/>
    <col min="5402" max="5402" width="11.5703125" bestFit="1" customWidth="1"/>
    <col min="5403" max="5403" width="9.28515625" bestFit="1" customWidth="1"/>
    <col min="5404" max="5404" width="11.5703125" bestFit="1" customWidth="1"/>
    <col min="5405" max="5405" width="9.28515625" bestFit="1" customWidth="1"/>
    <col min="5406" max="5406" width="11.5703125" bestFit="1" customWidth="1"/>
    <col min="5407" max="5407" width="9.28515625" bestFit="1" customWidth="1"/>
    <col min="5408" max="5408" width="11.5703125" bestFit="1" customWidth="1"/>
    <col min="5409" max="5409" width="9.28515625" bestFit="1" customWidth="1"/>
    <col min="5410" max="5410" width="11.5703125" bestFit="1" customWidth="1"/>
    <col min="5411" max="5411" width="9.28515625" bestFit="1" customWidth="1"/>
    <col min="5412" max="5412" width="11.5703125" bestFit="1" customWidth="1"/>
    <col min="5413" max="5413" width="9.28515625" bestFit="1" customWidth="1"/>
    <col min="5414" max="5414" width="11.5703125" bestFit="1" customWidth="1"/>
    <col min="5415" max="5415" width="9.28515625" bestFit="1" customWidth="1"/>
    <col min="5416" max="5416" width="11.5703125" bestFit="1" customWidth="1"/>
    <col min="5417" max="5417" width="9.28515625" bestFit="1" customWidth="1"/>
    <col min="5418" max="5418" width="11.5703125" bestFit="1" customWidth="1"/>
    <col min="5419" max="5419" width="9.28515625" bestFit="1" customWidth="1"/>
    <col min="5420" max="5420" width="11.5703125" bestFit="1" customWidth="1"/>
    <col min="5421" max="5421" width="9.28515625" bestFit="1" customWidth="1"/>
    <col min="5422" max="5422" width="11.5703125" bestFit="1" customWidth="1"/>
    <col min="5423" max="5423" width="9.28515625" bestFit="1" customWidth="1"/>
    <col min="5424" max="5424" width="11.5703125" bestFit="1" customWidth="1"/>
    <col min="5425" max="5425" width="9.28515625" bestFit="1" customWidth="1"/>
    <col min="5426" max="5426" width="11.5703125" bestFit="1" customWidth="1"/>
    <col min="5427" max="5427" width="9.28515625" bestFit="1" customWidth="1"/>
    <col min="5635" max="5635" width="29.42578125" bestFit="1" customWidth="1"/>
    <col min="5636" max="5636" width="11.5703125" bestFit="1" customWidth="1"/>
    <col min="5637" max="5637" width="9.28515625" bestFit="1" customWidth="1"/>
    <col min="5638" max="5638" width="11.5703125" bestFit="1" customWidth="1"/>
    <col min="5639" max="5639" width="9.28515625" bestFit="1" customWidth="1"/>
    <col min="5640" max="5640" width="11.5703125" bestFit="1" customWidth="1"/>
    <col min="5641" max="5641" width="9.28515625" bestFit="1" customWidth="1"/>
    <col min="5642" max="5642" width="11.5703125" bestFit="1" customWidth="1"/>
    <col min="5643" max="5643" width="9.28515625" bestFit="1" customWidth="1"/>
    <col min="5644" max="5644" width="11.5703125" bestFit="1" customWidth="1"/>
    <col min="5645" max="5645" width="9.28515625" bestFit="1" customWidth="1"/>
    <col min="5646" max="5646" width="11.5703125" bestFit="1" customWidth="1"/>
    <col min="5647" max="5647" width="9.28515625" bestFit="1" customWidth="1"/>
    <col min="5648" max="5648" width="11.5703125" bestFit="1" customWidth="1"/>
    <col min="5649" max="5649" width="9.28515625" bestFit="1" customWidth="1"/>
    <col min="5650" max="5650" width="11.5703125" bestFit="1" customWidth="1"/>
    <col min="5651" max="5651" width="9.28515625" bestFit="1" customWidth="1"/>
    <col min="5652" max="5652" width="11.5703125" bestFit="1" customWidth="1"/>
    <col min="5653" max="5653" width="9.28515625" bestFit="1" customWidth="1"/>
    <col min="5654" max="5654" width="11.5703125" bestFit="1" customWidth="1"/>
    <col min="5655" max="5655" width="9.28515625" bestFit="1" customWidth="1"/>
    <col min="5656" max="5656" width="11.5703125" bestFit="1" customWidth="1"/>
    <col min="5657" max="5657" width="9.28515625" bestFit="1" customWidth="1"/>
    <col min="5658" max="5658" width="11.5703125" bestFit="1" customWidth="1"/>
    <col min="5659" max="5659" width="9.28515625" bestFit="1" customWidth="1"/>
    <col min="5660" max="5660" width="11.5703125" bestFit="1" customWidth="1"/>
    <col min="5661" max="5661" width="9.28515625" bestFit="1" customWidth="1"/>
    <col min="5662" max="5662" width="11.5703125" bestFit="1" customWidth="1"/>
    <col min="5663" max="5663" width="9.28515625" bestFit="1" customWidth="1"/>
    <col min="5664" max="5664" width="11.5703125" bestFit="1" customWidth="1"/>
    <col min="5665" max="5665" width="9.28515625" bestFit="1" customWidth="1"/>
    <col min="5666" max="5666" width="11.5703125" bestFit="1" customWidth="1"/>
    <col min="5667" max="5667" width="9.28515625" bestFit="1" customWidth="1"/>
    <col min="5668" max="5668" width="11.5703125" bestFit="1" customWidth="1"/>
    <col min="5669" max="5669" width="9.28515625" bestFit="1" customWidth="1"/>
    <col min="5670" max="5670" width="11.5703125" bestFit="1" customWidth="1"/>
    <col min="5671" max="5671" width="9.28515625" bestFit="1" customWidth="1"/>
    <col min="5672" max="5672" width="11.5703125" bestFit="1" customWidth="1"/>
    <col min="5673" max="5673" width="9.28515625" bestFit="1" customWidth="1"/>
    <col min="5674" max="5674" width="11.5703125" bestFit="1" customWidth="1"/>
    <col min="5675" max="5675" width="9.28515625" bestFit="1" customWidth="1"/>
    <col min="5676" max="5676" width="11.5703125" bestFit="1" customWidth="1"/>
    <col min="5677" max="5677" width="9.28515625" bestFit="1" customWidth="1"/>
    <col min="5678" max="5678" width="11.5703125" bestFit="1" customWidth="1"/>
    <col min="5679" max="5679" width="9.28515625" bestFit="1" customWidth="1"/>
    <col min="5680" max="5680" width="11.5703125" bestFit="1" customWidth="1"/>
    <col min="5681" max="5681" width="9.28515625" bestFit="1" customWidth="1"/>
    <col min="5682" max="5682" width="11.5703125" bestFit="1" customWidth="1"/>
    <col min="5683" max="5683" width="9.28515625" bestFit="1" customWidth="1"/>
    <col min="5891" max="5891" width="29.42578125" bestFit="1" customWidth="1"/>
    <col min="5892" max="5892" width="11.5703125" bestFit="1" customWidth="1"/>
    <col min="5893" max="5893" width="9.28515625" bestFit="1" customWidth="1"/>
    <col min="5894" max="5894" width="11.5703125" bestFit="1" customWidth="1"/>
    <col min="5895" max="5895" width="9.28515625" bestFit="1" customWidth="1"/>
    <col min="5896" max="5896" width="11.5703125" bestFit="1" customWidth="1"/>
    <col min="5897" max="5897" width="9.28515625" bestFit="1" customWidth="1"/>
    <col min="5898" max="5898" width="11.5703125" bestFit="1" customWidth="1"/>
    <col min="5899" max="5899" width="9.28515625" bestFit="1" customWidth="1"/>
    <col min="5900" max="5900" width="11.5703125" bestFit="1" customWidth="1"/>
    <col min="5901" max="5901" width="9.28515625" bestFit="1" customWidth="1"/>
    <col min="5902" max="5902" width="11.5703125" bestFit="1" customWidth="1"/>
    <col min="5903" max="5903" width="9.28515625" bestFit="1" customWidth="1"/>
    <col min="5904" max="5904" width="11.5703125" bestFit="1" customWidth="1"/>
    <col min="5905" max="5905" width="9.28515625" bestFit="1" customWidth="1"/>
    <col min="5906" max="5906" width="11.5703125" bestFit="1" customWidth="1"/>
    <col min="5907" max="5907" width="9.28515625" bestFit="1" customWidth="1"/>
    <col min="5908" max="5908" width="11.5703125" bestFit="1" customWidth="1"/>
    <col min="5909" max="5909" width="9.28515625" bestFit="1" customWidth="1"/>
    <col min="5910" max="5910" width="11.5703125" bestFit="1" customWidth="1"/>
    <col min="5911" max="5911" width="9.28515625" bestFit="1" customWidth="1"/>
    <col min="5912" max="5912" width="11.5703125" bestFit="1" customWidth="1"/>
    <col min="5913" max="5913" width="9.28515625" bestFit="1" customWidth="1"/>
    <col min="5914" max="5914" width="11.5703125" bestFit="1" customWidth="1"/>
    <col min="5915" max="5915" width="9.28515625" bestFit="1" customWidth="1"/>
    <col min="5916" max="5916" width="11.5703125" bestFit="1" customWidth="1"/>
    <col min="5917" max="5917" width="9.28515625" bestFit="1" customWidth="1"/>
    <col min="5918" max="5918" width="11.5703125" bestFit="1" customWidth="1"/>
    <col min="5919" max="5919" width="9.28515625" bestFit="1" customWidth="1"/>
    <col min="5920" max="5920" width="11.5703125" bestFit="1" customWidth="1"/>
    <col min="5921" max="5921" width="9.28515625" bestFit="1" customWidth="1"/>
    <col min="5922" max="5922" width="11.5703125" bestFit="1" customWidth="1"/>
    <col min="5923" max="5923" width="9.28515625" bestFit="1" customWidth="1"/>
    <col min="5924" max="5924" width="11.5703125" bestFit="1" customWidth="1"/>
    <col min="5925" max="5925" width="9.28515625" bestFit="1" customWidth="1"/>
    <col min="5926" max="5926" width="11.5703125" bestFit="1" customWidth="1"/>
    <col min="5927" max="5927" width="9.28515625" bestFit="1" customWidth="1"/>
    <col min="5928" max="5928" width="11.5703125" bestFit="1" customWidth="1"/>
    <col min="5929" max="5929" width="9.28515625" bestFit="1" customWidth="1"/>
    <col min="5930" max="5930" width="11.5703125" bestFit="1" customWidth="1"/>
    <col min="5931" max="5931" width="9.28515625" bestFit="1" customWidth="1"/>
    <col min="5932" max="5932" width="11.5703125" bestFit="1" customWidth="1"/>
    <col min="5933" max="5933" width="9.28515625" bestFit="1" customWidth="1"/>
    <col min="5934" max="5934" width="11.5703125" bestFit="1" customWidth="1"/>
    <col min="5935" max="5935" width="9.28515625" bestFit="1" customWidth="1"/>
    <col min="5936" max="5936" width="11.5703125" bestFit="1" customWidth="1"/>
    <col min="5937" max="5937" width="9.28515625" bestFit="1" customWidth="1"/>
    <col min="5938" max="5938" width="11.5703125" bestFit="1" customWidth="1"/>
    <col min="5939" max="5939" width="9.28515625" bestFit="1" customWidth="1"/>
    <col min="6147" max="6147" width="29.42578125" bestFit="1" customWidth="1"/>
    <col min="6148" max="6148" width="11.5703125" bestFit="1" customWidth="1"/>
    <col min="6149" max="6149" width="9.28515625" bestFit="1" customWidth="1"/>
    <col min="6150" max="6150" width="11.5703125" bestFit="1" customWidth="1"/>
    <col min="6151" max="6151" width="9.28515625" bestFit="1" customWidth="1"/>
    <col min="6152" max="6152" width="11.5703125" bestFit="1" customWidth="1"/>
    <col min="6153" max="6153" width="9.28515625" bestFit="1" customWidth="1"/>
    <col min="6154" max="6154" width="11.5703125" bestFit="1" customWidth="1"/>
    <col min="6155" max="6155" width="9.28515625" bestFit="1" customWidth="1"/>
    <col min="6156" max="6156" width="11.5703125" bestFit="1" customWidth="1"/>
    <col min="6157" max="6157" width="9.28515625" bestFit="1" customWidth="1"/>
    <col min="6158" max="6158" width="11.5703125" bestFit="1" customWidth="1"/>
    <col min="6159" max="6159" width="9.28515625" bestFit="1" customWidth="1"/>
    <col min="6160" max="6160" width="11.5703125" bestFit="1" customWidth="1"/>
    <col min="6161" max="6161" width="9.28515625" bestFit="1" customWidth="1"/>
    <col min="6162" max="6162" width="11.5703125" bestFit="1" customWidth="1"/>
    <col min="6163" max="6163" width="9.28515625" bestFit="1" customWidth="1"/>
    <col min="6164" max="6164" width="11.5703125" bestFit="1" customWidth="1"/>
    <col min="6165" max="6165" width="9.28515625" bestFit="1" customWidth="1"/>
    <col min="6166" max="6166" width="11.5703125" bestFit="1" customWidth="1"/>
    <col min="6167" max="6167" width="9.28515625" bestFit="1" customWidth="1"/>
    <col min="6168" max="6168" width="11.5703125" bestFit="1" customWidth="1"/>
    <col min="6169" max="6169" width="9.28515625" bestFit="1" customWidth="1"/>
    <col min="6170" max="6170" width="11.5703125" bestFit="1" customWidth="1"/>
    <col min="6171" max="6171" width="9.28515625" bestFit="1" customWidth="1"/>
    <col min="6172" max="6172" width="11.5703125" bestFit="1" customWidth="1"/>
    <col min="6173" max="6173" width="9.28515625" bestFit="1" customWidth="1"/>
    <col min="6174" max="6174" width="11.5703125" bestFit="1" customWidth="1"/>
    <col min="6175" max="6175" width="9.28515625" bestFit="1" customWidth="1"/>
    <col min="6176" max="6176" width="11.5703125" bestFit="1" customWidth="1"/>
    <col min="6177" max="6177" width="9.28515625" bestFit="1" customWidth="1"/>
    <col min="6178" max="6178" width="11.5703125" bestFit="1" customWidth="1"/>
    <col min="6179" max="6179" width="9.28515625" bestFit="1" customWidth="1"/>
    <col min="6180" max="6180" width="11.5703125" bestFit="1" customWidth="1"/>
    <col min="6181" max="6181" width="9.28515625" bestFit="1" customWidth="1"/>
    <col min="6182" max="6182" width="11.5703125" bestFit="1" customWidth="1"/>
    <col min="6183" max="6183" width="9.28515625" bestFit="1" customWidth="1"/>
    <col min="6184" max="6184" width="11.5703125" bestFit="1" customWidth="1"/>
    <col min="6185" max="6185" width="9.28515625" bestFit="1" customWidth="1"/>
    <col min="6186" max="6186" width="11.5703125" bestFit="1" customWidth="1"/>
    <col min="6187" max="6187" width="9.28515625" bestFit="1" customWidth="1"/>
    <col min="6188" max="6188" width="11.5703125" bestFit="1" customWidth="1"/>
    <col min="6189" max="6189" width="9.28515625" bestFit="1" customWidth="1"/>
    <col min="6190" max="6190" width="11.5703125" bestFit="1" customWidth="1"/>
    <col min="6191" max="6191" width="9.28515625" bestFit="1" customWidth="1"/>
    <col min="6192" max="6192" width="11.5703125" bestFit="1" customWidth="1"/>
    <col min="6193" max="6193" width="9.28515625" bestFit="1" customWidth="1"/>
    <col min="6194" max="6194" width="11.5703125" bestFit="1" customWidth="1"/>
    <col min="6195" max="6195" width="9.28515625" bestFit="1" customWidth="1"/>
    <col min="6403" max="6403" width="29.42578125" bestFit="1" customWidth="1"/>
    <col min="6404" max="6404" width="11.5703125" bestFit="1" customWidth="1"/>
    <col min="6405" max="6405" width="9.28515625" bestFit="1" customWidth="1"/>
    <col min="6406" max="6406" width="11.5703125" bestFit="1" customWidth="1"/>
    <col min="6407" max="6407" width="9.28515625" bestFit="1" customWidth="1"/>
    <col min="6408" max="6408" width="11.5703125" bestFit="1" customWidth="1"/>
    <col min="6409" max="6409" width="9.28515625" bestFit="1" customWidth="1"/>
    <col min="6410" max="6410" width="11.5703125" bestFit="1" customWidth="1"/>
    <col min="6411" max="6411" width="9.28515625" bestFit="1" customWidth="1"/>
    <col min="6412" max="6412" width="11.5703125" bestFit="1" customWidth="1"/>
    <col min="6413" max="6413" width="9.28515625" bestFit="1" customWidth="1"/>
    <col min="6414" max="6414" width="11.5703125" bestFit="1" customWidth="1"/>
    <col min="6415" max="6415" width="9.28515625" bestFit="1" customWidth="1"/>
    <col min="6416" max="6416" width="11.5703125" bestFit="1" customWidth="1"/>
    <col min="6417" max="6417" width="9.28515625" bestFit="1" customWidth="1"/>
    <col min="6418" max="6418" width="11.5703125" bestFit="1" customWidth="1"/>
    <col min="6419" max="6419" width="9.28515625" bestFit="1" customWidth="1"/>
    <col min="6420" max="6420" width="11.5703125" bestFit="1" customWidth="1"/>
    <col min="6421" max="6421" width="9.28515625" bestFit="1" customWidth="1"/>
    <col min="6422" max="6422" width="11.5703125" bestFit="1" customWidth="1"/>
    <col min="6423" max="6423" width="9.28515625" bestFit="1" customWidth="1"/>
    <col min="6424" max="6424" width="11.5703125" bestFit="1" customWidth="1"/>
    <col min="6425" max="6425" width="9.28515625" bestFit="1" customWidth="1"/>
    <col min="6426" max="6426" width="11.5703125" bestFit="1" customWidth="1"/>
    <col min="6427" max="6427" width="9.28515625" bestFit="1" customWidth="1"/>
    <col min="6428" max="6428" width="11.5703125" bestFit="1" customWidth="1"/>
    <col min="6429" max="6429" width="9.28515625" bestFit="1" customWidth="1"/>
    <col min="6430" max="6430" width="11.5703125" bestFit="1" customWidth="1"/>
    <col min="6431" max="6431" width="9.28515625" bestFit="1" customWidth="1"/>
    <col min="6432" max="6432" width="11.5703125" bestFit="1" customWidth="1"/>
    <col min="6433" max="6433" width="9.28515625" bestFit="1" customWidth="1"/>
    <col min="6434" max="6434" width="11.5703125" bestFit="1" customWidth="1"/>
    <col min="6435" max="6435" width="9.28515625" bestFit="1" customWidth="1"/>
    <col min="6436" max="6436" width="11.5703125" bestFit="1" customWidth="1"/>
    <col min="6437" max="6437" width="9.28515625" bestFit="1" customWidth="1"/>
    <col min="6438" max="6438" width="11.5703125" bestFit="1" customWidth="1"/>
    <col min="6439" max="6439" width="9.28515625" bestFit="1" customWidth="1"/>
    <col min="6440" max="6440" width="11.5703125" bestFit="1" customWidth="1"/>
    <col min="6441" max="6441" width="9.28515625" bestFit="1" customWidth="1"/>
    <col min="6442" max="6442" width="11.5703125" bestFit="1" customWidth="1"/>
    <col min="6443" max="6443" width="9.28515625" bestFit="1" customWidth="1"/>
    <col min="6444" max="6444" width="11.5703125" bestFit="1" customWidth="1"/>
    <col min="6445" max="6445" width="9.28515625" bestFit="1" customWidth="1"/>
    <col min="6446" max="6446" width="11.5703125" bestFit="1" customWidth="1"/>
    <col min="6447" max="6447" width="9.28515625" bestFit="1" customWidth="1"/>
    <col min="6448" max="6448" width="11.5703125" bestFit="1" customWidth="1"/>
    <col min="6449" max="6449" width="9.28515625" bestFit="1" customWidth="1"/>
    <col min="6450" max="6450" width="11.5703125" bestFit="1" customWidth="1"/>
    <col min="6451" max="6451" width="9.28515625" bestFit="1" customWidth="1"/>
    <col min="6659" max="6659" width="29.42578125" bestFit="1" customWidth="1"/>
    <col min="6660" max="6660" width="11.5703125" bestFit="1" customWidth="1"/>
    <col min="6661" max="6661" width="9.28515625" bestFit="1" customWidth="1"/>
    <col min="6662" max="6662" width="11.5703125" bestFit="1" customWidth="1"/>
    <col min="6663" max="6663" width="9.28515625" bestFit="1" customWidth="1"/>
    <col min="6664" max="6664" width="11.5703125" bestFit="1" customWidth="1"/>
    <col min="6665" max="6665" width="9.28515625" bestFit="1" customWidth="1"/>
    <col min="6666" max="6666" width="11.5703125" bestFit="1" customWidth="1"/>
    <col min="6667" max="6667" width="9.28515625" bestFit="1" customWidth="1"/>
    <col min="6668" max="6668" width="11.5703125" bestFit="1" customWidth="1"/>
    <col min="6669" max="6669" width="9.28515625" bestFit="1" customWidth="1"/>
    <col min="6670" max="6670" width="11.5703125" bestFit="1" customWidth="1"/>
    <col min="6671" max="6671" width="9.28515625" bestFit="1" customWidth="1"/>
    <col min="6672" max="6672" width="11.5703125" bestFit="1" customWidth="1"/>
    <col min="6673" max="6673" width="9.28515625" bestFit="1" customWidth="1"/>
    <col min="6674" max="6674" width="11.5703125" bestFit="1" customWidth="1"/>
    <col min="6675" max="6675" width="9.28515625" bestFit="1" customWidth="1"/>
    <col min="6676" max="6676" width="11.5703125" bestFit="1" customWidth="1"/>
    <col min="6677" max="6677" width="9.28515625" bestFit="1" customWidth="1"/>
    <col min="6678" max="6678" width="11.5703125" bestFit="1" customWidth="1"/>
    <col min="6679" max="6679" width="9.28515625" bestFit="1" customWidth="1"/>
    <col min="6680" max="6680" width="11.5703125" bestFit="1" customWidth="1"/>
    <col min="6681" max="6681" width="9.28515625" bestFit="1" customWidth="1"/>
    <col min="6682" max="6682" width="11.5703125" bestFit="1" customWidth="1"/>
    <col min="6683" max="6683" width="9.28515625" bestFit="1" customWidth="1"/>
    <col min="6684" max="6684" width="11.5703125" bestFit="1" customWidth="1"/>
    <col min="6685" max="6685" width="9.28515625" bestFit="1" customWidth="1"/>
    <col min="6686" max="6686" width="11.5703125" bestFit="1" customWidth="1"/>
    <col min="6687" max="6687" width="9.28515625" bestFit="1" customWidth="1"/>
    <col min="6688" max="6688" width="11.5703125" bestFit="1" customWidth="1"/>
    <col min="6689" max="6689" width="9.28515625" bestFit="1" customWidth="1"/>
    <col min="6690" max="6690" width="11.5703125" bestFit="1" customWidth="1"/>
    <col min="6691" max="6691" width="9.28515625" bestFit="1" customWidth="1"/>
    <col min="6692" max="6692" width="11.5703125" bestFit="1" customWidth="1"/>
    <col min="6693" max="6693" width="9.28515625" bestFit="1" customWidth="1"/>
    <col min="6694" max="6694" width="11.5703125" bestFit="1" customWidth="1"/>
    <col min="6695" max="6695" width="9.28515625" bestFit="1" customWidth="1"/>
    <col min="6696" max="6696" width="11.5703125" bestFit="1" customWidth="1"/>
    <col min="6697" max="6697" width="9.28515625" bestFit="1" customWidth="1"/>
    <col min="6698" max="6698" width="11.5703125" bestFit="1" customWidth="1"/>
    <col min="6699" max="6699" width="9.28515625" bestFit="1" customWidth="1"/>
    <col min="6700" max="6700" width="11.5703125" bestFit="1" customWidth="1"/>
    <col min="6701" max="6701" width="9.28515625" bestFit="1" customWidth="1"/>
    <col min="6702" max="6702" width="11.5703125" bestFit="1" customWidth="1"/>
    <col min="6703" max="6703" width="9.28515625" bestFit="1" customWidth="1"/>
    <col min="6704" max="6704" width="11.5703125" bestFit="1" customWidth="1"/>
    <col min="6705" max="6705" width="9.28515625" bestFit="1" customWidth="1"/>
    <col min="6706" max="6706" width="11.5703125" bestFit="1" customWidth="1"/>
    <col min="6707" max="6707" width="9.28515625" bestFit="1" customWidth="1"/>
    <col min="6915" max="6915" width="29.42578125" bestFit="1" customWidth="1"/>
    <col min="6916" max="6916" width="11.5703125" bestFit="1" customWidth="1"/>
    <col min="6917" max="6917" width="9.28515625" bestFit="1" customWidth="1"/>
    <col min="6918" max="6918" width="11.5703125" bestFit="1" customWidth="1"/>
    <col min="6919" max="6919" width="9.28515625" bestFit="1" customWidth="1"/>
    <col min="6920" max="6920" width="11.5703125" bestFit="1" customWidth="1"/>
    <col min="6921" max="6921" width="9.28515625" bestFit="1" customWidth="1"/>
    <col min="6922" max="6922" width="11.5703125" bestFit="1" customWidth="1"/>
    <col min="6923" max="6923" width="9.28515625" bestFit="1" customWidth="1"/>
    <col min="6924" max="6924" width="11.5703125" bestFit="1" customWidth="1"/>
    <col min="6925" max="6925" width="9.28515625" bestFit="1" customWidth="1"/>
    <col min="6926" max="6926" width="11.5703125" bestFit="1" customWidth="1"/>
    <col min="6927" max="6927" width="9.28515625" bestFit="1" customWidth="1"/>
    <col min="6928" max="6928" width="11.5703125" bestFit="1" customWidth="1"/>
    <col min="6929" max="6929" width="9.28515625" bestFit="1" customWidth="1"/>
    <col min="6930" max="6930" width="11.5703125" bestFit="1" customWidth="1"/>
    <col min="6931" max="6931" width="9.28515625" bestFit="1" customWidth="1"/>
    <col min="6932" max="6932" width="11.5703125" bestFit="1" customWidth="1"/>
    <col min="6933" max="6933" width="9.28515625" bestFit="1" customWidth="1"/>
    <col min="6934" max="6934" width="11.5703125" bestFit="1" customWidth="1"/>
    <col min="6935" max="6935" width="9.28515625" bestFit="1" customWidth="1"/>
    <col min="6936" max="6936" width="11.5703125" bestFit="1" customWidth="1"/>
    <col min="6937" max="6937" width="9.28515625" bestFit="1" customWidth="1"/>
    <col min="6938" max="6938" width="11.5703125" bestFit="1" customWidth="1"/>
    <col min="6939" max="6939" width="9.28515625" bestFit="1" customWidth="1"/>
    <col min="6940" max="6940" width="11.5703125" bestFit="1" customWidth="1"/>
    <col min="6941" max="6941" width="9.28515625" bestFit="1" customWidth="1"/>
    <col min="6942" max="6942" width="11.5703125" bestFit="1" customWidth="1"/>
    <col min="6943" max="6943" width="9.28515625" bestFit="1" customWidth="1"/>
    <col min="6944" max="6944" width="11.5703125" bestFit="1" customWidth="1"/>
    <col min="6945" max="6945" width="9.28515625" bestFit="1" customWidth="1"/>
    <col min="6946" max="6946" width="11.5703125" bestFit="1" customWidth="1"/>
    <col min="6947" max="6947" width="9.28515625" bestFit="1" customWidth="1"/>
    <col min="6948" max="6948" width="11.5703125" bestFit="1" customWidth="1"/>
    <col min="6949" max="6949" width="9.28515625" bestFit="1" customWidth="1"/>
    <col min="6950" max="6950" width="11.5703125" bestFit="1" customWidth="1"/>
    <col min="6951" max="6951" width="9.28515625" bestFit="1" customWidth="1"/>
    <col min="6952" max="6952" width="11.5703125" bestFit="1" customWidth="1"/>
    <col min="6953" max="6953" width="9.28515625" bestFit="1" customWidth="1"/>
    <col min="6954" max="6954" width="11.5703125" bestFit="1" customWidth="1"/>
    <col min="6955" max="6955" width="9.28515625" bestFit="1" customWidth="1"/>
    <col min="6956" max="6956" width="11.5703125" bestFit="1" customWidth="1"/>
    <col min="6957" max="6957" width="9.28515625" bestFit="1" customWidth="1"/>
    <col min="6958" max="6958" width="11.5703125" bestFit="1" customWidth="1"/>
    <col min="6959" max="6959" width="9.28515625" bestFit="1" customWidth="1"/>
    <col min="6960" max="6960" width="11.5703125" bestFit="1" customWidth="1"/>
    <col min="6961" max="6961" width="9.28515625" bestFit="1" customWidth="1"/>
    <col min="6962" max="6962" width="11.5703125" bestFit="1" customWidth="1"/>
    <col min="6963" max="6963" width="9.28515625" bestFit="1" customWidth="1"/>
    <col min="7171" max="7171" width="29.42578125" bestFit="1" customWidth="1"/>
    <col min="7172" max="7172" width="11.5703125" bestFit="1" customWidth="1"/>
    <col min="7173" max="7173" width="9.28515625" bestFit="1" customWidth="1"/>
    <col min="7174" max="7174" width="11.5703125" bestFit="1" customWidth="1"/>
    <col min="7175" max="7175" width="9.28515625" bestFit="1" customWidth="1"/>
    <col min="7176" max="7176" width="11.5703125" bestFit="1" customWidth="1"/>
    <col min="7177" max="7177" width="9.28515625" bestFit="1" customWidth="1"/>
    <col min="7178" max="7178" width="11.5703125" bestFit="1" customWidth="1"/>
    <col min="7179" max="7179" width="9.28515625" bestFit="1" customWidth="1"/>
    <col min="7180" max="7180" width="11.5703125" bestFit="1" customWidth="1"/>
    <col min="7181" max="7181" width="9.28515625" bestFit="1" customWidth="1"/>
    <col min="7182" max="7182" width="11.5703125" bestFit="1" customWidth="1"/>
    <col min="7183" max="7183" width="9.28515625" bestFit="1" customWidth="1"/>
    <col min="7184" max="7184" width="11.5703125" bestFit="1" customWidth="1"/>
    <col min="7185" max="7185" width="9.28515625" bestFit="1" customWidth="1"/>
    <col min="7186" max="7186" width="11.5703125" bestFit="1" customWidth="1"/>
    <col min="7187" max="7187" width="9.28515625" bestFit="1" customWidth="1"/>
    <col min="7188" max="7188" width="11.5703125" bestFit="1" customWidth="1"/>
    <col min="7189" max="7189" width="9.28515625" bestFit="1" customWidth="1"/>
    <col min="7190" max="7190" width="11.5703125" bestFit="1" customWidth="1"/>
    <col min="7191" max="7191" width="9.28515625" bestFit="1" customWidth="1"/>
    <col min="7192" max="7192" width="11.5703125" bestFit="1" customWidth="1"/>
    <col min="7193" max="7193" width="9.28515625" bestFit="1" customWidth="1"/>
    <col min="7194" max="7194" width="11.5703125" bestFit="1" customWidth="1"/>
    <col min="7195" max="7195" width="9.28515625" bestFit="1" customWidth="1"/>
    <col min="7196" max="7196" width="11.5703125" bestFit="1" customWidth="1"/>
    <col min="7197" max="7197" width="9.28515625" bestFit="1" customWidth="1"/>
    <col min="7198" max="7198" width="11.5703125" bestFit="1" customWidth="1"/>
    <col min="7199" max="7199" width="9.28515625" bestFit="1" customWidth="1"/>
    <col min="7200" max="7200" width="11.5703125" bestFit="1" customWidth="1"/>
    <col min="7201" max="7201" width="9.28515625" bestFit="1" customWidth="1"/>
    <col min="7202" max="7202" width="11.5703125" bestFit="1" customWidth="1"/>
    <col min="7203" max="7203" width="9.28515625" bestFit="1" customWidth="1"/>
    <col min="7204" max="7204" width="11.5703125" bestFit="1" customWidth="1"/>
    <col min="7205" max="7205" width="9.28515625" bestFit="1" customWidth="1"/>
    <col min="7206" max="7206" width="11.5703125" bestFit="1" customWidth="1"/>
    <col min="7207" max="7207" width="9.28515625" bestFit="1" customWidth="1"/>
    <col min="7208" max="7208" width="11.5703125" bestFit="1" customWidth="1"/>
    <col min="7209" max="7209" width="9.28515625" bestFit="1" customWidth="1"/>
    <col min="7210" max="7210" width="11.5703125" bestFit="1" customWidth="1"/>
    <col min="7211" max="7211" width="9.28515625" bestFit="1" customWidth="1"/>
    <col min="7212" max="7212" width="11.5703125" bestFit="1" customWidth="1"/>
    <col min="7213" max="7213" width="9.28515625" bestFit="1" customWidth="1"/>
    <col min="7214" max="7214" width="11.5703125" bestFit="1" customWidth="1"/>
    <col min="7215" max="7215" width="9.28515625" bestFit="1" customWidth="1"/>
    <col min="7216" max="7216" width="11.5703125" bestFit="1" customWidth="1"/>
    <col min="7217" max="7217" width="9.28515625" bestFit="1" customWidth="1"/>
    <col min="7218" max="7218" width="11.5703125" bestFit="1" customWidth="1"/>
    <col min="7219" max="7219" width="9.28515625" bestFit="1" customWidth="1"/>
    <col min="7427" max="7427" width="29.42578125" bestFit="1" customWidth="1"/>
    <col min="7428" max="7428" width="11.5703125" bestFit="1" customWidth="1"/>
    <col min="7429" max="7429" width="9.28515625" bestFit="1" customWidth="1"/>
    <col min="7430" max="7430" width="11.5703125" bestFit="1" customWidth="1"/>
    <col min="7431" max="7431" width="9.28515625" bestFit="1" customWidth="1"/>
    <col min="7432" max="7432" width="11.5703125" bestFit="1" customWidth="1"/>
    <col min="7433" max="7433" width="9.28515625" bestFit="1" customWidth="1"/>
    <col min="7434" max="7434" width="11.5703125" bestFit="1" customWidth="1"/>
    <col min="7435" max="7435" width="9.28515625" bestFit="1" customWidth="1"/>
    <col min="7436" max="7436" width="11.5703125" bestFit="1" customWidth="1"/>
    <col min="7437" max="7437" width="9.28515625" bestFit="1" customWidth="1"/>
    <col min="7438" max="7438" width="11.5703125" bestFit="1" customWidth="1"/>
    <col min="7439" max="7439" width="9.28515625" bestFit="1" customWidth="1"/>
    <col min="7440" max="7440" width="11.5703125" bestFit="1" customWidth="1"/>
    <col min="7441" max="7441" width="9.28515625" bestFit="1" customWidth="1"/>
    <col min="7442" max="7442" width="11.5703125" bestFit="1" customWidth="1"/>
    <col min="7443" max="7443" width="9.28515625" bestFit="1" customWidth="1"/>
    <col min="7444" max="7444" width="11.5703125" bestFit="1" customWidth="1"/>
    <col min="7445" max="7445" width="9.28515625" bestFit="1" customWidth="1"/>
    <col min="7446" max="7446" width="11.5703125" bestFit="1" customWidth="1"/>
    <col min="7447" max="7447" width="9.28515625" bestFit="1" customWidth="1"/>
    <col min="7448" max="7448" width="11.5703125" bestFit="1" customWidth="1"/>
    <col min="7449" max="7449" width="9.28515625" bestFit="1" customWidth="1"/>
    <col min="7450" max="7450" width="11.5703125" bestFit="1" customWidth="1"/>
    <col min="7451" max="7451" width="9.28515625" bestFit="1" customWidth="1"/>
    <col min="7452" max="7452" width="11.5703125" bestFit="1" customWidth="1"/>
    <col min="7453" max="7453" width="9.28515625" bestFit="1" customWidth="1"/>
    <col min="7454" max="7454" width="11.5703125" bestFit="1" customWidth="1"/>
    <col min="7455" max="7455" width="9.28515625" bestFit="1" customWidth="1"/>
    <col min="7456" max="7456" width="11.5703125" bestFit="1" customWidth="1"/>
    <col min="7457" max="7457" width="9.28515625" bestFit="1" customWidth="1"/>
    <col min="7458" max="7458" width="11.5703125" bestFit="1" customWidth="1"/>
    <col min="7459" max="7459" width="9.28515625" bestFit="1" customWidth="1"/>
    <col min="7460" max="7460" width="11.5703125" bestFit="1" customWidth="1"/>
    <col min="7461" max="7461" width="9.28515625" bestFit="1" customWidth="1"/>
    <col min="7462" max="7462" width="11.5703125" bestFit="1" customWidth="1"/>
    <col min="7463" max="7463" width="9.28515625" bestFit="1" customWidth="1"/>
    <col min="7464" max="7464" width="11.5703125" bestFit="1" customWidth="1"/>
    <col min="7465" max="7465" width="9.28515625" bestFit="1" customWidth="1"/>
    <col min="7466" max="7466" width="11.5703125" bestFit="1" customWidth="1"/>
    <col min="7467" max="7467" width="9.28515625" bestFit="1" customWidth="1"/>
    <col min="7468" max="7468" width="11.5703125" bestFit="1" customWidth="1"/>
    <col min="7469" max="7469" width="9.28515625" bestFit="1" customWidth="1"/>
    <col min="7470" max="7470" width="11.5703125" bestFit="1" customWidth="1"/>
    <col min="7471" max="7471" width="9.28515625" bestFit="1" customWidth="1"/>
    <col min="7472" max="7472" width="11.5703125" bestFit="1" customWidth="1"/>
    <col min="7473" max="7473" width="9.28515625" bestFit="1" customWidth="1"/>
    <col min="7474" max="7474" width="11.5703125" bestFit="1" customWidth="1"/>
    <col min="7475" max="7475" width="9.28515625" bestFit="1" customWidth="1"/>
    <col min="7683" max="7683" width="29.42578125" bestFit="1" customWidth="1"/>
    <col min="7684" max="7684" width="11.5703125" bestFit="1" customWidth="1"/>
    <col min="7685" max="7685" width="9.28515625" bestFit="1" customWidth="1"/>
    <col min="7686" max="7686" width="11.5703125" bestFit="1" customWidth="1"/>
    <col min="7687" max="7687" width="9.28515625" bestFit="1" customWidth="1"/>
    <col min="7688" max="7688" width="11.5703125" bestFit="1" customWidth="1"/>
    <col min="7689" max="7689" width="9.28515625" bestFit="1" customWidth="1"/>
    <col min="7690" max="7690" width="11.5703125" bestFit="1" customWidth="1"/>
    <col min="7691" max="7691" width="9.28515625" bestFit="1" customWidth="1"/>
    <col min="7692" max="7692" width="11.5703125" bestFit="1" customWidth="1"/>
    <col min="7693" max="7693" width="9.28515625" bestFit="1" customWidth="1"/>
    <col min="7694" max="7694" width="11.5703125" bestFit="1" customWidth="1"/>
    <col min="7695" max="7695" width="9.28515625" bestFit="1" customWidth="1"/>
    <col min="7696" max="7696" width="11.5703125" bestFit="1" customWidth="1"/>
    <col min="7697" max="7697" width="9.28515625" bestFit="1" customWidth="1"/>
    <col min="7698" max="7698" width="11.5703125" bestFit="1" customWidth="1"/>
    <col min="7699" max="7699" width="9.28515625" bestFit="1" customWidth="1"/>
    <col min="7700" max="7700" width="11.5703125" bestFit="1" customWidth="1"/>
    <col min="7701" max="7701" width="9.28515625" bestFit="1" customWidth="1"/>
    <col min="7702" max="7702" width="11.5703125" bestFit="1" customWidth="1"/>
    <col min="7703" max="7703" width="9.28515625" bestFit="1" customWidth="1"/>
    <col min="7704" max="7704" width="11.5703125" bestFit="1" customWidth="1"/>
    <col min="7705" max="7705" width="9.28515625" bestFit="1" customWidth="1"/>
    <col min="7706" max="7706" width="11.5703125" bestFit="1" customWidth="1"/>
    <col min="7707" max="7707" width="9.28515625" bestFit="1" customWidth="1"/>
    <col min="7708" max="7708" width="11.5703125" bestFit="1" customWidth="1"/>
    <col min="7709" max="7709" width="9.28515625" bestFit="1" customWidth="1"/>
    <col min="7710" max="7710" width="11.5703125" bestFit="1" customWidth="1"/>
    <col min="7711" max="7711" width="9.28515625" bestFit="1" customWidth="1"/>
    <col min="7712" max="7712" width="11.5703125" bestFit="1" customWidth="1"/>
    <col min="7713" max="7713" width="9.28515625" bestFit="1" customWidth="1"/>
    <col min="7714" max="7714" width="11.5703125" bestFit="1" customWidth="1"/>
    <col min="7715" max="7715" width="9.28515625" bestFit="1" customWidth="1"/>
    <col min="7716" max="7716" width="11.5703125" bestFit="1" customWidth="1"/>
    <col min="7717" max="7717" width="9.28515625" bestFit="1" customWidth="1"/>
    <col min="7718" max="7718" width="11.5703125" bestFit="1" customWidth="1"/>
    <col min="7719" max="7719" width="9.28515625" bestFit="1" customWidth="1"/>
    <col min="7720" max="7720" width="11.5703125" bestFit="1" customWidth="1"/>
    <col min="7721" max="7721" width="9.28515625" bestFit="1" customWidth="1"/>
    <col min="7722" max="7722" width="11.5703125" bestFit="1" customWidth="1"/>
    <col min="7723" max="7723" width="9.28515625" bestFit="1" customWidth="1"/>
    <col min="7724" max="7724" width="11.5703125" bestFit="1" customWidth="1"/>
    <col min="7725" max="7725" width="9.28515625" bestFit="1" customWidth="1"/>
    <col min="7726" max="7726" width="11.5703125" bestFit="1" customWidth="1"/>
    <col min="7727" max="7727" width="9.28515625" bestFit="1" customWidth="1"/>
    <col min="7728" max="7728" width="11.5703125" bestFit="1" customWidth="1"/>
    <col min="7729" max="7729" width="9.28515625" bestFit="1" customWidth="1"/>
    <col min="7730" max="7730" width="11.5703125" bestFit="1" customWidth="1"/>
    <col min="7731" max="7731" width="9.28515625" bestFit="1" customWidth="1"/>
    <col min="7939" max="7939" width="29.42578125" bestFit="1" customWidth="1"/>
    <col min="7940" max="7940" width="11.5703125" bestFit="1" customWidth="1"/>
    <col min="7941" max="7941" width="9.28515625" bestFit="1" customWidth="1"/>
    <col min="7942" max="7942" width="11.5703125" bestFit="1" customWidth="1"/>
    <col min="7943" max="7943" width="9.28515625" bestFit="1" customWidth="1"/>
    <col min="7944" max="7944" width="11.5703125" bestFit="1" customWidth="1"/>
    <col min="7945" max="7945" width="9.28515625" bestFit="1" customWidth="1"/>
    <col min="7946" max="7946" width="11.5703125" bestFit="1" customWidth="1"/>
    <col min="7947" max="7947" width="9.28515625" bestFit="1" customWidth="1"/>
    <col min="7948" max="7948" width="11.5703125" bestFit="1" customWidth="1"/>
    <col min="7949" max="7949" width="9.28515625" bestFit="1" customWidth="1"/>
    <col min="7950" max="7950" width="11.5703125" bestFit="1" customWidth="1"/>
    <col min="7951" max="7951" width="9.28515625" bestFit="1" customWidth="1"/>
    <col min="7952" max="7952" width="11.5703125" bestFit="1" customWidth="1"/>
    <col min="7953" max="7953" width="9.28515625" bestFit="1" customWidth="1"/>
    <col min="7954" max="7954" width="11.5703125" bestFit="1" customWidth="1"/>
    <col min="7955" max="7955" width="9.28515625" bestFit="1" customWidth="1"/>
    <col min="7956" max="7956" width="11.5703125" bestFit="1" customWidth="1"/>
    <col min="7957" max="7957" width="9.28515625" bestFit="1" customWidth="1"/>
    <col min="7958" max="7958" width="11.5703125" bestFit="1" customWidth="1"/>
    <col min="7959" max="7959" width="9.28515625" bestFit="1" customWidth="1"/>
    <col min="7960" max="7960" width="11.5703125" bestFit="1" customWidth="1"/>
    <col min="7961" max="7961" width="9.28515625" bestFit="1" customWidth="1"/>
    <col min="7962" max="7962" width="11.5703125" bestFit="1" customWidth="1"/>
    <col min="7963" max="7963" width="9.28515625" bestFit="1" customWidth="1"/>
    <col min="7964" max="7964" width="11.5703125" bestFit="1" customWidth="1"/>
    <col min="7965" max="7965" width="9.28515625" bestFit="1" customWidth="1"/>
    <col min="7966" max="7966" width="11.5703125" bestFit="1" customWidth="1"/>
    <col min="7967" max="7967" width="9.28515625" bestFit="1" customWidth="1"/>
    <col min="7968" max="7968" width="11.5703125" bestFit="1" customWidth="1"/>
    <col min="7969" max="7969" width="9.28515625" bestFit="1" customWidth="1"/>
    <col min="7970" max="7970" width="11.5703125" bestFit="1" customWidth="1"/>
    <col min="7971" max="7971" width="9.28515625" bestFit="1" customWidth="1"/>
    <col min="7972" max="7972" width="11.5703125" bestFit="1" customWidth="1"/>
    <col min="7973" max="7973" width="9.28515625" bestFit="1" customWidth="1"/>
    <col min="7974" max="7974" width="11.5703125" bestFit="1" customWidth="1"/>
    <col min="7975" max="7975" width="9.28515625" bestFit="1" customWidth="1"/>
    <col min="7976" max="7976" width="11.5703125" bestFit="1" customWidth="1"/>
    <col min="7977" max="7977" width="9.28515625" bestFit="1" customWidth="1"/>
    <col min="7978" max="7978" width="11.5703125" bestFit="1" customWidth="1"/>
    <col min="7979" max="7979" width="9.28515625" bestFit="1" customWidth="1"/>
    <col min="7980" max="7980" width="11.5703125" bestFit="1" customWidth="1"/>
    <col min="7981" max="7981" width="9.28515625" bestFit="1" customWidth="1"/>
    <col min="7982" max="7982" width="11.5703125" bestFit="1" customWidth="1"/>
    <col min="7983" max="7983" width="9.28515625" bestFit="1" customWidth="1"/>
    <col min="7984" max="7984" width="11.5703125" bestFit="1" customWidth="1"/>
    <col min="7985" max="7985" width="9.28515625" bestFit="1" customWidth="1"/>
    <col min="7986" max="7986" width="11.5703125" bestFit="1" customWidth="1"/>
    <col min="7987" max="7987" width="9.28515625" bestFit="1" customWidth="1"/>
    <col min="8195" max="8195" width="29.42578125" bestFit="1" customWidth="1"/>
    <col min="8196" max="8196" width="11.5703125" bestFit="1" customWidth="1"/>
    <col min="8197" max="8197" width="9.28515625" bestFit="1" customWidth="1"/>
    <col min="8198" max="8198" width="11.5703125" bestFit="1" customWidth="1"/>
    <col min="8199" max="8199" width="9.28515625" bestFit="1" customWidth="1"/>
    <col min="8200" max="8200" width="11.5703125" bestFit="1" customWidth="1"/>
    <col min="8201" max="8201" width="9.28515625" bestFit="1" customWidth="1"/>
    <col min="8202" max="8202" width="11.5703125" bestFit="1" customWidth="1"/>
    <col min="8203" max="8203" width="9.28515625" bestFit="1" customWidth="1"/>
    <col min="8204" max="8204" width="11.5703125" bestFit="1" customWidth="1"/>
    <col min="8205" max="8205" width="9.28515625" bestFit="1" customWidth="1"/>
    <col min="8206" max="8206" width="11.5703125" bestFit="1" customWidth="1"/>
    <col min="8207" max="8207" width="9.28515625" bestFit="1" customWidth="1"/>
    <col min="8208" max="8208" width="11.5703125" bestFit="1" customWidth="1"/>
    <col min="8209" max="8209" width="9.28515625" bestFit="1" customWidth="1"/>
    <col min="8210" max="8210" width="11.5703125" bestFit="1" customWidth="1"/>
    <col min="8211" max="8211" width="9.28515625" bestFit="1" customWidth="1"/>
    <col min="8212" max="8212" width="11.5703125" bestFit="1" customWidth="1"/>
    <col min="8213" max="8213" width="9.28515625" bestFit="1" customWidth="1"/>
    <col min="8214" max="8214" width="11.5703125" bestFit="1" customWidth="1"/>
    <col min="8215" max="8215" width="9.28515625" bestFit="1" customWidth="1"/>
    <col min="8216" max="8216" width="11.5703125" bestFit="1" customWidth="1"/>
    <col min="8217" max="8217" width="9.28515625" bestFit="1" customWidth="1"/>
    <col min="8218" max="8218" width="11.5703125" bestFit="1" customWidth="1"/>
    <col min="8219" max="8219" width="9.28515625" bestFit="1" customWidth="1"/>
    <col min="8220" max="8220" width="11.5703125" bestFit="1" customWidth="1"/>
    <col min="8221" max="8221" width="9.28515625" bestFit="1" customWidth="1"/>
    <col min="8222" max="8222" width="11.5703125" bestFit="1" customWidth="1"/>
    <col min="8223" max="8223" width="9.28515625" bestFit="1" customWidth="1"/>
    <col min="8224" max="8224" width="11.5703125" bestFit="1" customWidth="1"/>
    <col min="8225" max="8225" width="9.28515625" bestFit="1" customWidth="1"/>
    <col min="8226" max="8226" width="11.5703125" bestFit="1" customWidth="1"/>
    <col min="8227" max="8227" width="9.28515625" bestFit="1" customWidth="1"/>
    <col min="8228" max="8228" width="11.5703125" bestFit="1" customWidth="1"/>
    <col min="8229" max="8229" width="9.28515625" bestFit="1" customWidth="1"/>
    <col min="8230" max="8230" width="11.5703125" bestFit="1" customWidth="1"/>
    <col min="8231" max="8231" width="9.28515625" bestFit="1" customWidth="1"/>
    <col min="8232" max="8232" width="11.5703125" bestFit="1" customWidth="1"/>
    <col min="8233" max="8233" width="9.28515625" bestFit="1" customWidth="1"/>
    <col min="8234" max="8234" width="11.5703125" bestFit="1" customWidth="1"/>
    <col min="8235" max="8235" width="9.28515625" bestFit="1" customWidth="1"/>
    <col min="8236" max="8236" width="11.5703125" bestFit="1" customWidth="1"/>
    <col min="8237" max="8237" width="9.28515625" bestFit="1" customWidth="1"/>
    <col min="8238" max="8238" width="11.5703125" bestFit="1" customWidth="1"/>
    <col min="8239" max="8239" width="9.28515625" bestFit="1" customWidth="1"/>
    <col min="8240" max="8240" width="11.5703125" bestFit="1" customWidth="1"/>
    <col min="8241" max="8241" width="9.28515625" bestFit="1" customWidth="1"/>
    <col min="8242" max="8242" width="11.5703125" bestFit="1" customWidth="1"/>
    <col min="8243" max="8243" width="9.28515625" bestFit="1" customWidth="1"/>
    <col min="8451" max="8451" width="29.42578125" bestFit="1" customWidth="1"/>
    <col min="8452" max="8452" width="11.5703125" bestFit="1" customWidth="1"/>
    <col min="8453" max="8453" width="9.28515625" bestFit="1" customWidth="1"/>
    <col min="8454" max="8454" width="11.5703125" bestFit="1" customWidth="1"/>
    <col min="8455" max="8455" width="9.28515625" bestFit="1" customWidth="1"/>
    <col min="8456" max="8456" width="11.5703125" bestFit="1" customWidth="1"/>
    <col min="8457" max="8457" width="9.28515625" bestFit="1" customWidth="1"/>
    <col min="8458" max="8458" width="11.5703125" bestFit="1" customWidth="1"/>
    <col min="8459" max="8459" width="9.28515625" bestFit="1" customWidth="1"/>
    <col min="8460" max="8460" width="11.5703125" bestFit="1" customWidth="1"/>
    <col min="8461" max="8461" width="9.28515625" bestFit="1" customWidth="1"/>
    <col min="8462" max="8462" width="11.5703125" bestFit="1" customWidth="1"/>
    <col min="8463" max="8463" width="9.28515625" bestFit="1" customWidth="1"/>
    <col min="8464" max="8464" width="11.5703125" bestFit="1" customWidth="1"/>
    <col min="8465" max="8465" width="9.28515625" bestFit="1" customWidth="1"/>
    <col min="8466" max="8466" width="11.5703125" bestFit="1" customWidth="1"/>
    <col min="8467" max="8467" width="9.28515625" bestFit="1" customWidth="1"/>
    <col min="8468" max="8468" width="11.5703125" bestFit="1" customWidth="1"/>
    <col min="8469" max="8469" width="9.28515625" bestFit="1" customWidth="1"/>
    <col min="8470" max="8470" width="11.5703125" bestFit="1" customWidth="1"/>
    <col min="8471" max="8471" width="9.28515625" bestFit="1" customWidth="1"/>
    <col min="8472" max="8472" width="11.5703125" bestFit="1" customWidth="1"/>
    <col min="8473" max="8473" width="9.28515625" bestFit="1" customWidth="1"/>
    <col min="8474" max="8474" width="11.5703125" bestFit="1" customWidth="1"/>
    <col min="8475" max="8475" width="9.28515625" bestFit="1" customWidth="1"/>
    <col min="8476" max="8476" width="11.5703125" bestFit="1" customWidth="1"/>
    <col min="8477" max="8477" width="9.28515625" bestFit="1" customWidth="1"/>
    <col min="8478" max="8478" width="11.5703125" bestFit="1" customWidth="1"/>
    <col min="8479" max="8479" width="9.28515625" bestFit="1" customWidth="1"/>
    <col min="8480" max="8480" width="11.5703125" bestFit="1" customWidth="1"/>
    <col min="8481" max="8481" width="9.28515625" bestFit="1" customWidth="1"/>
    <col min="8482" max="8482" width="11.5703125" bestFit="1" customWidth="1"/>
    <col min="8483" max="8483" width="9.28515625" bestFit="1" customWidth="1"/>
    <col min="8484" max="8484" width="11.5703125" bestFit="1" customWidth="1"/>
    <col min="8485" max="8485" width="9.28515625" bestFit="1" customWidth="1"/>
    <col min="8486" max="8486" width="11.5703125" bestFit="1" customWidth="1"/>
    <col min="8487" max="8487" width="9.28515625" bestFit="1" customWidth="1"/>
    <col min="8488" max="8488" width="11.5703125" bestFit="1" customWidth="1"/>
    <col min="8489" max="8489" width="9.28515625" bestFit="1" customWidth="1"/>
    <col min="8490" max="8490" width="11.5703125" bestFit="1" customWidth="1"/>
    <col min="8491" max="8491" width="9.28515625" bestFit="1" customWidth="1"/>
    <col min="8492" max="8492" width="11.5703125" bestFit="1" customWidth="1"/>
    <col min="8493" max="8493" width="9.28515625" bestFit="1" customWidth="1"/>
    <col min="8494" max="8494" width="11.5703125" bestFit="1" customWidth="1"/>
    <col min="8495" max="8495" width="9.28515625" bestFit="1" customWidth="1"/>
    <col min="8496" max="8496" width="11.5703125" bestFit="1" customWidth="1"/>
    <col min="8497" max="8497" width="9.28515625" bestFit="1" customWidth="1"/>
    <col min="8498" max="8498" width="11.5703125" bestFit="1" customWidth="1"/>
    <col min="8499" max="8499" width="9.28515625" bestFit="1" customWidth="1"/>
    <col min="8707" max="8707" width="29.42578125" bestFit="1" customWidth="1"/>
    <col min="8708" max="8708" width="11.5703125" bestFit="1" customWidth="1"/>
    <col min="8709" max="8709" width="9.28515625" bestFit="1" customWidth="1"/>
    <col min="8710" max="8710" width="11.5703125" bestFit="1" customWidth="1"/>
    <col min="8711" max="8711" width="9.28515625" bestFit="1" customWidth="1"/>
    <col min="8712" max="8712" width="11.5703125" bestFit="1" customWidth="1"/>
    <col min="8713" max="8713" width="9.28515625" bestFit="1" customWidth="1"/>
    <col min="8714" max="8714" width="11.5703125" bestFit="1" customWidth="1"/>
    <col min="8715" max="8715" width="9.28515625" bestFit="1" customWidth="1"/>
    <col min="8716" max="8716" width="11.5703125" bestFit="1" customWidth="1"/>
    <col min="8717" max="8717" width="9.28515625" bestFit="1" customWidth="1"/>
    <col min="8718" max="8718" width="11.5703125" bestFit="1" customWidth="1"/>
    <col min="8719" max="8719" width="9.28515625" bestFit="1" customWidth="1"/>
    <col min="8720" max="8720" width="11.5703125" bestFit="1" customWidth="1"/>
    <col min="8721" max="8721" width="9.28515625" bestFit="1" customWidth="1"/>
    <col min="8722" max="8722" width="11.5703125" bestFit="1" customWidth="1"/>
    <col min="8723" max="8723" width="9.28515625" bestFit="1" customWidth="1"/>
    <col min="8724" max="8724" width="11.5703125" bestFit="1" customWidth="1"/>
    <col min="8725" max="8725" width="9.28515625" bestFit="1" customWidth="1"/>
    <col min="8726" max="8726" width="11.5703125" bestFit="1" customWidth="1"/>
    <col min="8727" max="8727" width="9.28515625" bestFit="1" customWidth="1"/>
    <col min="8728" max="8728" width="11.5703125" bestFit="1" customWidth="1"/>
    <col min="8729" max="8729" width="9.28515625" bestFit="1" customWidth="1"/>
    <col min="8730" max="8730" width="11.5703125" bestFit="1" customWidth="1"/>
    <col min="8731" max="8731" width="9.28515625" bestFit="1" customWidth="1"/>
    <col min="8732" max="8732" width="11.5703125" bestFit="1" customWidth="1"/>
    <col min="8733" max="8733" width="9.28515625" bestFit="1" customWidth="1"/>
    <col min="8734" max="8734" width="11.5703125" bestFit="1" customWidth="1"/>
    <col min="8735" max="8735" width="9.28515625" bestFit="1" customWidth="1"/>
    <col min="8736" max="8736" width="11.5703125" bestFit="1" customWidth="1"/>
    <col min="8737" max="8737" width="9.28515625" bestFit="1" customWidth="1"/>
    <col min="8738" max="8738" width="11.5703125" bestFit="1" customWidth="1"/>
    <col min="8739" max="8739" width="9.28515625" bestFit="1" customWidth="1"/>
    <col min="8740" max="8740" width="11.5703125" bestFit="1" customWidth="1"/>
    <col min="8741" max="8741" width="9.28515625" bestFit="1" customWidth="1"/>
    <col min="8742" max="8742" width="11.5703125" bestFit="1" customWidth="1"/>
    <col min="8743" max="8743" width="9.28515625" bestFit="1" customWidth="1"/>
    <col min="8744" max="8744" width="11.5703125" bestFit="1" customWidth="1"/>
    <col min="8745" max="8745" width="9.28515625" bestFit="1" customWidth="1"/>
    <col min="8746" max="8746" width="11.5703125" bestFit="1" customWidth="1"/>
    <col min="8747" max="8747" width="9.28515625" bestFit="1" customWidth="1"/>
    <col min="8748" max="8748" width="11.5703125" bestFit="1" customWidth="1"/>
    <col min="8749" max="8749" width="9.28515625" bestFit="1" customWidth="1"/>
    <col min="8750" max="8750" width="11.5703125" bestFit="1" customWidth="1"/>
    <col min="8751" max="8751" width="9.28515625" bestFit="1" customWidth="1"/>
    <col min="8752" max="8752" width="11.5703125" bestFit="1" customWidth="1"/>
    <col min="8753" max="8753" width="9.28515625" bestFit="1" customWidth="1"/>
    <col min="8754" max="8754" width="11.5703125" bestFit="1" customWidth="1"/>
    <col min="8755" max="8755" width="9.28515625" bestFit="1" customWidth="1"/>
    <col min="8963" max="8963" width="29.42578125" bestFit="1" customWidth="1"/>
    <col min="8964" max="8964" width="11.5703125" bestFit="1" customWidth="1"/>
    <col min="8965" max="8965" width="9.28515625" bestFit="1" customWidth="1"/>
    <col min="8966" max="8966" width="11.5703125" bestFit="1" customWidth="1"/>
    <col min="8967" max="8967" width="9.28515625" bestFit="1" customWidth="1"/>
    <col min="8968" max="8968" width="11.5703125" bestFit="1" customWidth="1"/>
    <col min="8969" max="8969" width="9.28515625" bestFit="1" customWidth="1"/>
    <col min="8970" max="8970" width="11.5703125" bestFit="1" customWidth="1"/>
    <col min="8971" max="8971" width="9.28515625" bestFit="1" customWidth="1"/>
    <col min="8972" max="8972" width="11.5703125" bestFit="1" customWidth="1"/>
    <col min="8973" max="8973" width="9.28515625" bestFit="1" customWidth="1"/>
    <col min="8974" max="8974" width="11.5703125" bestFit="1" customWidth="1"/>
    <col min="8975" max="8975" width="9.28515625" bestFit="1" customWidth="1"/>
    <col min="8976" max="8976" width="11.5703125" bestFit="1" customWidth="1"/>
    <col min="8977" max="8977" width="9.28515625" bestFit="1" customWidth="1"/>
    <col min="8978" max="8978" width="11.5703125" bestFit="1" customWidth="1"/>
    <col min="8979" max="8979" width="9.28515625" bestFit="1" customWidth="1"/>
    <col min="8980" max="8980" width="11.5703125" bestFit="1" customWidth="1"/>
    <col min="8981" max="8981" width="9.28515625" bestFit="1" customWidth="1"/>
    <col min="8982" max="8982" width="11.5703125" bestFit="1" customWidth="1"/>
    <col min="8983" max="8983" width="9.28515625" bestFit="1" customWidth="1"/>
    <col min="8984" max="8984" width="11.5703125" bestFit="1" customWidth="1"/>
    <col min="8985" max="8985" width="9.28515625" bestFit="1" customWidth="1"/>
    <col min="8986" max="8986" width="11.5703125" bestFit="1" customWidth="1"/>
    <col min="8987" max="8987" width="9.28515625" bestFit="1" customWidth="1"/>
    <col min="8988" max="8988" width="11.5703125" bestFit="1" customWidth="1"/>
    <col min="8989" max="8989" width="9.28515625" bestFit="1" customWidth="1"/>
    <col min="8990" max="8990" width="11.5703125" bestFit="1" customWidth="1"/>
    <col min="8991" max="8991" width="9.28515625" bestFit="1" customWidth="1"/>
    <col min="8992" max="8992" width="11.5703125" bestFit="1" customWidth="1"/>
    <col min="8993" max="8993" width="9.28515625" bestFit="1" customWidth="1"/>
    <col min="8994" max="8994" width="11.5703125" bestFit="1" customWidth="1"/>
    <col min="8995" max="8995" width="9.28515625" bestFit="1" customWidth="1"/>
    <col min="8996" max="8996" width="11.5703125" bestFit="1" customWidth="1"/>
    <col min="8997" max="8997" width="9.28515625" bestFit="1" customWidth="1"/>
    <col min="8998" max="8998" width="11.5703125" bestFit="1" customWidth="1"/>
    <col min="8999" max="8999" width="9.28515625" bestFit="1" customWidth="1"/>
    <col min="9000" max="9000" width="11.5703125" bestFit="1" customWidth="1"/>
    <col min="9001" max="9001" width="9.28515625" bestFit="1" customWidth="1"/>
    <col min="9002" max="9002" width="11.5703125" bestFit="1" customWidth="1"/>
    <col min="9003" max="9003" width="9.28515625" bestFit="1" customWidth="1"/>
    <col min="9004" max="9004" width="11.5703125" bestFit="1" customWidth="1"/>
    <col min="9005" max="9005" width="9.28515625" bestFit="1" customWidth="1"/>
    <col min="9006" max="9006" width="11.5703125" bestFit="1" customWidth="1"/>
    <col min="9007" max="9007" width="9.28515625" bestFit="1" customWidth="1"/>
    <col min="9008" max="9008" width="11.5703125" bestFit="1" customWidth="1"/>
    <col min="9009" max="9009" width="9.28515625" bestFit="1" customWidth="1"/>
    <col min="9010" max="9010" width="11.5703125" bestFit="1" customWidth="1"/>
    <col min="9011" max="9011" width="9.28515625" bestFit="1" customWidth="1"/>
    <col min="9219" max="9219" width="29.42578125" bestFit="1" customWidth="1"/>
    <col min="9220" max="9220" width="11.5703125" bestFit="1" customWidth="1"/>
    <col min="9221" max="9221" width="9.28515625" bestFit="1" customWidth="1"/>
    <col min="9222" max="9222" width="11.5703125" bestFit="1" customWidth="1"/>
    <col min="9223" max="9223" width="9.28515625" bestFit="1" customWidth="1"/>
    <col min="9224" max="9224" width="11.5703125" bestFit="1" customWidth="1"/>
    <col min="9225" max="9225" width="9.28515625" bestFit="1" customWidth="1"/>
    <col min="9226" max="9226" width="11.5703125" bestFit="1" customWidth="1"/>
    <col min="9227" max="9227" width="9.28515625" bestFit="1" customWidth="1"/>
    <col min="9228" max="9228" width="11.5703125" bestFit="1" customWidth="1"/>
    <col min="9229" max="9229" width="9.28515625" bestFit="1" customWidth="1"/>
    <col min="9230" max="9230" width="11.5703125" bestFit="1" customWidth="1"/>
    <col min="9231" max="9231" width="9.28515625" bestFit="1" customWidth="1"/>
    <col min="9232" max="9232" width="11.5703125" bestFit="1" customWidth="1"/>
    <col min="9233" max="9233" width="9.28515625" bestFit="1" customWidth="1"/>
    <col min="9234" max="9234" width="11.5703125" bestFit="1" customWidth="1"/>
    <col min="9235" max="9235" width="9.28515625" bestFit="1" customWidth="1"/>
    <col min="9236" max="9236" width="11.5703125" bestFit="1" customWidth="1"/>
    <col min="9237" max="9237" width="9.28515625" bestFit="1" customWidth="1"/>
    <col min="9238" max="9238" width="11.5703125" bestFit="1" customWidth="1"/>
    <col min="9239" max="9239" width="9.28515625" bestFit="1" customWidth="1"/>
    <col min="9240" max="9240" width="11.5703125" bestFit="1" customWidth="1"/>
    <col min="9241" max="9241" width="9.28515625" bestFit="1" customWidth="1"/>
    <col min="9242" max="9242" width="11.5703125" bestFit="1" customWidth="1"/>
    <col min="9243" max="9243" width="9.28515625" bestFit="1" customWidth="1"/>
    <col min="9244" max="9244" width="11.5703125" bestFit="1" customWidth="1"/>
    <col min="9245" max="9245" width="9.28515625" bestFit="1" customWidth="1"/>
    <col min="9246" max="9246" width="11.5703125" bestFit="1" customWidth="1"/>
    <col min="9247" max="9247" width="9.28515625" bestFit="1" customWidth="1"/>
    <col min="9248" max="9248" width="11.5703125" bestFit="1" customWidth="1"/>
    <col min="9249" max="9249" width="9.28515625" bestFit="1" customWidth="1"/>
    <col min="9250" max="9250" width="11.5703125" bestFit="1" customWidth="1"/>
    <col min="9251" max="9251" width="9.28515625" bestFit="1" customWidth="1"/>
    <col min="9252" max="9252" width="11.5703125" bestFit="1" customWidth="1"/>
    <col min="9253" max="9253" width="9.28515625" bestFit="1" customWidth="1"/>
    <col min="9254" max="9254" width="11.5703125" bestFit="1" customWidth="1"/>
    <col min="9255" max="9255" width="9.28515625" bestFit="1" customWidth="1"/>
    <col min="9256" max="9256" width="11.5703125" bestFit="1" customWidth="1"/>
    <col min="9257" max="9257" width="9.28515625" bestFit="1" customWidth="1"/>
    <col min="9258" max="9258" width="11.5703125" bestFit="1" customWidth="1"/>
    <col min="9259" max="9259" width="9.28515625" bestFit="1" customWidth="1"/>
    <col min="9260" max="9260" width="11.5703125" bestFit="1" customWidth="1"/>
    <col min="9261" max="9261" width="9.28515625" bestFit="1" customWidth="1"/>
    <col min="9262" max="9262" width="11.5703125" bestFit="1" customWidth="1"/>
    <col min="9263" max="9263" width="9.28515625" bestFit="1" customWidth="1"/>
    <col min="9264" max="9264" width="11.5703125" bestFit="1" customWidth="1"/>
    <col min="9265" max="9265" width="9.28515625" bestFit="1" customWidth="1"/>
    <col min="9266" max="9266" width="11.5703125" bestFit="1" customWidth="1"/>
    <col min="9267" max="9267" width="9.28515625" bestFit="1" customWidth="1"/>
    <col min="9475" max="9475" width="29.42578125" bestFit="1" customWidth="1"/>
    <col min="9476" max="9476" width="11.5703125" bestFit="1" customWidth="1"/>
    <col min="9477" max="9477" width="9.28515625" bestFit="1" customWidth="1"/>
    <col min="9478" max="9478" width="11.5703125" bestFit="1" customWidth="1"/>
    <col min="9479" max="9479" width="9.28515625" bestFit="1" customWidth="1"/>
    <col min="9480" max="9480" width="11.5703125" bestFit="1" customWidth="1"/>
    <col min="9481" max="9481" width="9.28515625" bestFit="1" customWidth="1"/>
    <col min="9482" max="9482" width="11.5703125" bestFit="1" customWidth="1"/>
    <col min="9483" max="9483" width="9.28515625" bestFit="1" customWidth="1"/>
    <col min="9484" max="9484" width="11.5703125" bestFit="1" customWidth="1"/>
    <col min="9485" max="9485" width="9.28515625" bestFit="1" customWidth="1"/>
    <col min="9486" max="9486" width="11.5703125" bestFit="1" customWidth="1"/>
    <col min="9487" max="9487" width="9.28515625" bestFit="1" customWidth="1"/>
    <col min="9488" max="9488" width="11.5703125" bestFit="1" customWidth="1"/>
    <col min="9489" max="9489" width="9.28515625" bestFit="1" customWidth="1"/>
    <col min="9490" max="9490" width="11.5703125" bestFit="1" customWidth="1"/>
    <col min="9491" max="9491" width="9.28515625" bestFit="1" customWidth="1"/>
    <col min="9492" max="9492" width="11.5703125" bestFit="1" customWidth="1"/>
    <col min="9493" max="9493" width="9.28515625" bestFit="1" customWidth="1"/>
    <col min="9494" max="9494" width="11.5703125" bestFit="1" customWidth="1"/>
    <col min="9495" max="9495" width="9.28515625" bestFit="1" customWidth="1"/>
    <col min="9496" max="9496" width="11.5703125" bestFit="1" customWidth="1"/>
    <col min="9497" max="9497" width="9.28515625" bestFit="1" customWidth="1"/>
    <col min="9498" max="9498" width="11.5703125" bestFit="1" customWidth="1"/>
    <col min="9499" max="9499" width="9.28515625" bestFit="1" customWidth="1"/>
    <col min="9500" max="9500" width="11.5703125" bestFit="1" customWidth="1"/>
    <col min="9501" max="9501" width="9.28515625" bestFit="1" customWidth="1"/>
    <col min="9502" max="9502" width="11.5703125" bestFit="1" customWidth="1"/>
    <col min="9503" max="9503" width="9.28515625" bestFit="1" customWidth="1"/>
    <col min="9504" max="9504" width="11.5703125" bestFit="1" customWidth="1"/>
    <col min="9505" max="9505" width="9.28515625" bestFit="1" customWidth="1"/>
    <col min="9506" max="9506" width="11.5703125" bestFit="1" customWidth="1"/>
    <col min="9507" max="9507" width="9.28515625" bestFit="1" customWidth="1"/>
    <col min="9508" max="9508" width="11.5703125" bestFit="1" customWidth="1"/>
    <col min="9509" max="9509" width="9.28515625" bestFit="1" customWidth="1"/>
    <col min="9510" max="9510" width="11.5703125" bestFit="1" customWidth="1"/>
    <col min="9511" max="9511" width="9.28515625" bestFit="1" customWidth="1"/>
    <col min="9512" max="9512" width="11.5703125" bestFit="1" customWidth="1"/>
    <col min="9513" max="9513" width="9.28515625" bestFit="1" customWidth="1"/>
    <col min="9514" max="9514" width="11.5703125" bestFit="1" customWidth="1"/>
    <col min="9515" max="9515" width="9.28515625" bestFit="1" customWidth="1"/>
    <col min="9516" max="9516" width="11.5703125" bestFit="1" customWidth="1"/>
    <col min="9517" max="9517" width="9.28515625" bestFit="1" customWidth="1"/>
    <col min="9518" max="9518" width="11.5703125" bestFit="1" customWidth="1"/>
    <col min="9519" max="9519" width="9.28515625" bestFit="1" customWidth="1"/>
    <col min="9520" max="9520" width="11.5703125" bestFit="1" customWidth="1"/>
    <col min="9521" max="9521" width="9.28515625" bestFit="1" customWidth="1"/>
    <col min="9522" max="9522" width="11.5703125" bestFit="1" customWidth="1"/>
    <col min="9523" max="9523" width="9.28515625" bestFit="1" customWidth="1"/>
    <col min="9731" max="9731" width="29.42578125" bestFit="1" customWidth="1"/>
    <col min="9732" max="9732" width="11.5703125" bestFit="1" customWidth="1"/>
    <col min="9733" max="9733" width="9.28515625" bestFit="1" customWidth="1"/>
    <col min="9734" max="9734" width="11.5703125" bestFit="1" customWidth="1"/>
    <col min="9735" max="9735" width="9.28515625" bestFit="1" customWidth="1"/>
    <col min="9736" max="9736" width="11.5703125" bestFit="1" customWidth="1"/>
    <col min="9737" max="9737" width="9.28515625" bestFit="1" customWidth="1"/>
    <col min="9738" max="9738" width="11.5703125" bestFit="1" customWidth="1"/>
    <col min="9739" max="9739" width="9.28515625" bestFit="1" customWidth="1"/>
    <col min="9740" max="9740" width="11.5703125" bestFit="1" customWidth="1"/>
    <col min="9741" max="9741" width="9.28515625" bestFit="1" customWidth="1"/>
    <col min="9742" max="9742" width="11.5703125" bestFit="1" customWidth="1"/>
    <col min="9743" max="9743" width="9.28515625" bestFit="1" customWidth="1"/>
    <col min="9744" max="9744" width="11.5703125" bestFit="1" customWidth="1"/>
    <col min="9745" max="9745" width="9.28515625" bestFit="1" customWidth="1"/>
    <col min="9746" max="9746" width="11.5703125" bestFit="1" customWidth="1"/>
    <col min="9747" max="9747" width="9.28515625" bestFit="1" customWidth="1"/>
    <col min="9748" max="9748" width="11.5703125" bestFit="1" customWidth="1"/>
    <col min="9749" max="9749" width="9.28515625" bestFit="1" customWidth="1"/>
    <col min="9750" max="9750" width="11.5703125" bestFit="1" customWidth="1"/>
    <col min="9751" max="9751" width="9.28515625" bestFit="1" customWidth="1"/>
    <col min="9752" max="9752" width="11.5703125" bestFit="1" customWidth="1"/>
    <col min="9753" max="9753" width="9.28515625" bestFit="1" customWidth="1"/>
    <col min="9754" max="9754" width="11.5703125" bestFit="1" customWidth="1"/>
    <col min="9755" max="9755" width="9.28515625" bestFit="1" customWidth="1"/>
    <col min="9756" max="9756" width="11.5703125" bestFit="1" customWidth="1"/>
    <col min="9757" max="9757" width="9.28515625" bestFit="1" customWidth="1"/>
    <col min="9758" max="9758" width="11.5703125" bestFit="1" customWidth="1"/>
    <col min="9759" max="9759" width="9.28515625" bestFit="1" customWidth="1"/>
    <col min="9760" max="9760" width="11.5703125" bestFit="1" customWidth="1"/>
    <col min="9761" max="9761" width="9.28515625" bestFit="1" customWidth="1"/>
    <col min="9762" max="9762" width="11.5703125" bestFit="1" customWidth="1"/>
    <col min="9763" max="9763" width="9.28515625" bestFit="1" customWidth="1"/>
    <col min="9764" max="9764" width="11.5703125" bestFit="1" customWidth="1"/>
    <col min="9765" max="9765" width="9.28515625" bestFit="1" customWidth="1"/>
    <col min="9766" max="9766" width="11.5703125" bestFit="1" customWidth="1"/>
    <col min="9767" max="9767" width="9.28515625" bestFit="1" customWidth="1"/>
    <col min="9768" max="9768" width="11.5703125" bestFit="1" customWidth="1"/>
    <col min="9769" max="9769" width="9.28515625" bestFit="1" customWidth="1"/>
    <col min="9770" max="9770" width="11.5703125" bestFit="1" customWidth="1"/>
    <col min="9771" max="9771" width="9.28515625" bestFit="1" customWidth="1"/>
    <col min="9772" max="9772" width="11.5703125" bestFit="1" customWidth="1"/>
    <col min="9773" max="9773" width="9.28515625" bestFit="1" customWidth="1"/>
    <col min="9774" max="9774" width="11.5703125" bestFit="1" customWidth="1"/>
    <col min="9775" max="9775" width="9.28515625" bestFit="1" customWidth="1"/>
    <col min="9776" max="9776" width="11.5703125" bestFit="1" customWidth="1"/>
    <col min="9777" max="9777" width="9.28515625" bestFit="1" customWidth="1"/>
    <col min="9778" max="9778" width="11.5703125" bestFit="1" customWidth="1"/>
    <col min="9779" max="9779" width="9.28515625" bestFit="1" customWidth="1"/>
    <col min="9987" max="9987" width="29.42578125" bestFit="1" customWidth="1"/>
    <col min="9988" max="9988" width="11.5703125" bestFit="1" customWidth="1"/>
    <col min="9989" max="9989" width="9.28515625" bestFit="1" customWidth="1"/>
    <col min="9990" max="9990" width="11.5703125" bestFit="1" customWidth="1"/>
    <col min="9991" max="9991" width="9.28515625" bestFit="1" customWidth="1"/>
    <col min="9992" max="9992" width="11.5703125" bestFit="1" customWidth="1"/>
    <col min="9993" max="9993" width="9.28515625" bestFit="1" customWidth="1"/>
    <col min="9994" max="9994" width="11.5703125" bestFit="1" customWidth="1"/>
    <col min="9995" max="9995" width="9.28515625" bestFit="1" customWidth="1"/>
    <col min="9996" max="9996" width="11.5703125" bestFit="1" customWidth="1"/>
    <col min="9997" max="9997" width="9.28515625" bestFit="1" customWidth="1"/>
    <col min="9998" max="9998" width="11.5703125" bestFit="1" customWidth="1"/>
    <col min="9999" max="9999" width="9.28515625" bestFit="1" customWidth="1"/>
    <col min="10000" max="10000" width="11.5703125" bestFit="1" customWidth="1"/>
    <col min="10001" max="10001" width="9.28515625" bestFit="1" customWidth="1"/>
    <col min="10002" max="10002" width="11.5703125" bestFit="1" customWidth="1"/>
    <col min="10003" max="10003" width="9.28515625" bestFit="1" customWidth="1"/>
    <col min="10004" max="10004" width="11.5703125" bestFit="1" customWidth="1"/>
    <col min="10005" max="10005" width="9.28515625" bestFit="1" customWidth="1"/>
    <col min="10006" max="10006" width="11.5703125" bestFit="1" customWidth="1"/>
    <col min="10007" max="10007" width="9.28515625" bestFit="1" customWidth="1"/>
    <col min="10008" max="10008" width="11.5703125" bestFit="1" customWidth="1"/>
    <col min="10009" max="10009" width="9.28515625" bestFit="1" customWidth="1"/>
    <col min="10010" max="10010" width="11.5703125" bestFit="1" customWidth="1"/>
    <col min="10011" max="10011" width="9.28515625" bestFit="1" customWidth="1"/>
    <col min="10012" max="10012" width="11.5703125" bestFit="1" customWidth="1"/>
    <col min="10013" max="10013" width="9.28515625" bestFit="1" customWidth="1"/>
    <col min="10014" max="10014" width="11.5703125" bestFit="1" customWidth="1"/>
    <col min="10015" max="10015" width="9.28515625" bestFit="1" customWidth="1"/>
    <col min="10016" max="10016" width="11.5703125" bestFit="1" customWidth="1"/>
    <col min="10017" max="10017" width="9.28515625" bestFit="1" customWidth="1"/>
    <col min="10018" max="10018" width="11.5703125" bestFit="1" customWidth="1"/>
    <col min="10019" max="10019" width="9.28515625" bestFit="1" customWidth="1"/>
    <col min="10020" max="10020" width="11.5703125" bestFit="1" customWidth="1"/>
    <col min="10021" max="10021" width="9.28515625" bestFit="1" customWidth="1"/>
    <col min="10022" max="10022" width="11.5703125" bestFit="1" customWidth="1"/>
    <col min="10023" max="10023" width="9.28515625" bestFit="1" customWidth="1"/>
    <col min="10024" max="10024" width="11.5703125" bestFit="1" customWidth="1"/>
    <col min="10025" max="10025" width="9.28515625" bestFit="1" customWidth="1"/>
    <col min="10026" max="10026" width="11.5703125" bestFit="1" customWidth="1"/>
    <col min="10027" max="10027" width="9.28515625" bestFit="1" customWidth="1"/>
    <col min="10028" max="10028" width="11.5703125" bestFit="1" customWidth="1"/>
    <col min="10029" max="10029" width="9.28515625" bestFit="1" customWidth="1"/>
    <col min="10030" max="10030" width="11.5703125" bestFit="1" customWidth="1"/>
    <col min="10031" max="10031" width="9.28515625" bestFit="1" customWidth="1"/>
    <col min="10032" max="10032" width="11.5703125" bestFit="1" customWidth="1"/>
    <col min="10033" max="10033" width="9.28515625" bestFit="1" customWidth="1"/>
    <col min="10034" max="10034" width="11.5703125" bestFit="1" customWidth="1"/>
    <col min="10035" max="10035" width="9.28515625" bestFit="1" customWidth="1"/>
    <col min="10243" max="10243" width="29.42578125" bestFit="1" customWidth="1"/>
    <col min="10244" max="10244" width="11.5703125" bestFit="1" customWidth="1"/>
    <col min="10245" max="10245" width="9.28515625" bestFit="1" customWidth="1"/>
    <col min="10246" max="10246" width="11.5703125" bestFit="1" customWidth="1"/>
    <col min="10247" max="10247" width="9.28515625" bestFit="1" customWidth="1"/>
    <col min="10248" max="10248" width="11.5703125" bestFit="1" customWidth="1"/>
    <col min="10249" max="10249" width="9.28515625" bestFit="1" customWidth="1"/>
    <col min="10250" max="10250" width="11.5703125" bestFit="1" customWidth="1"/>
    <col min="10251" max="10251" width="9.28515625" bestFit="1" customWidth="1"/>
    <col min="10252" max="10252" width="11.5703125" bestFit="1" customWidth="1"/>
    <col min="10253" max="10253" width="9.28515625" bestFit="1" customWidth="1"/>
    <col min="10254" max="10254" width="11.5703125" bestFit="1" customWidth="1"/>
    <col min="10255" max="10255" width="9.28515625" bestFit="1" customWidth="1"/>
    <col min="10256" max="10256" width="11.5703125" bestFit="1" customWidth="1"/>
    <col min="10257" max="10257" width="9.28515625" bestFit="1" customWidth="1"/>
    <col min="10258" max="10258" width="11.5703125" bestFit="1" customWidth="1"/>
    <col min="10259" max="10259" width="9.28515625" bestFit="1" customWidth="1"/>
    <col min="10260" max="10260" width="11.5703125" bestFit="1" customWidth="1"/>
    <col min="10261" max="10261" width="9.28515625" bestFit="1" customWidth="1"/>
    <col min="10262" max="10262" width="11.5703125" bestFit="1" customWidth="1"/>
    <col min="10263" max="10263" width="9.28515625" bestFit="1" customWidth="1"/>
    <col min="10264" max="10264" width="11.5703125" bestFit="1" customWidth="1"/>
    <col min="10265" max="10265" width="9.28515625" bestFit="1" customWidth="1"/>
    <col min="10266" max="10266" width="11.5703125" bestFit="1" customWidth="1"/>
    <col min="10267" max="10267" width="9.28515625" bestFit="1" customWidth="1"/>
    <col min="10268" max="10268" width="11.5703125" bestFit="1" customWidth="1"/>
    <col min="10269" max="10269" width="9.28515625" bestFit="1" customWidth="1"/>
    <col min="10270" max="10270" width="11.5703125" bestFit="1" customWidth="1"/>
    <col min="10271" max="10271" width="9.28515625" bestFit="1" customWidth="1"/>
    <col min="10272" max="10272" width="11.5703125" bestFit="1" customWidth="1"/>
    <col min="10273" max="10273" width="9.28515625" bestFit="1" customWidth="1"/>
    <col min="10274" max="10274" width="11.5703125" bestFit="1" customWidth="1"/>
    <col min="10275" max="10275" width="9.28515625" bestFit="1" customWidth="1"/>
    <col min="10276" max="10276" width="11.5703125" bestFit="1" customWidth="1"/>
    <col min="10277" max="10277" width="9.28515625" bestFit="1" customWidth="1"/>
    <col min="10278" max="10278" width="11.5703125" bestFit="1" customWidth="1"/>
    <col min="10279" max="10279" width="9.28515625" bestFit="1" customWidth="1"/>
    <col min="10280" max="10280" width="11.5703125" bestFit="1" customWidth="1"/>
    <col min="10281" max="10281" width="9.28515625" bestFit="1" customWidth="1"/>
    <col min="10282" max="10282" width="11.5703125" bestFit="1" customWidth="1"/>
    <col min="10283" max="10283" width="9.28515625" bestFit="1" customWidth="1"/>
    <col min="10284" max="10284" width="11.5703125" bestFit="1" customWidth="1"/>
    <col min="10285" max="10285" width="9.28515625" bestFit="1" customWidth="1"/>
    <col min="10286" max="10286" width="11.5703125" bestFit="1" customWidth="1"/>
    <col min="10287" max="10287" width="9.28515625" bestFit="1" customWidth="1"/>
    <col min="10288" max="10288" width="11.5703125" bestFit="1" customWidth="1"/>
    <col min="10289" max="10289" width="9.28515625" bestFit="1" customWidth="1"/>
    <col min="10290" max="10290" width="11.5703125" bestFit="1" customWidth="1"/>
    <col min="10291" max="10291" width="9.28515625" bestFit="1" customWidth="1"/>
    <col min="10499" max="10499" width="29.42578125" bestFit="1" customWidth="1"/>
    <col min="10500" max="10500" width="11.5703125" bestFit="1" customWidth="1"/>
    <col min="10501" max="10501" width="9.28515625" bestFit="1" customWidth="1"/>
    <col min="10502" max="10502" width="11.5703125" bestFit="1" customWidth="1"/>
    <col min="10503" max="10503" width="9.28515625" bestFit="1" customWidth="1"/>
    <col min="10504" max="10504" width="11.5703125" bestFit="1" customWidth="1"/>
    <col min="10505" max="10505" width="9.28515625" bestFit="1" customWidth="1"/>
    <col min="10506" max="10506" width="11.5703125" bestFit="1" customWidth="1"/>
    <col min="10507" max="10507" width="9.28515625" bestFit="1" customWidth="1"/>
    <col min="10508" max="10508" width="11.5703125" bestFit="1" customWidth="1"/>
    <col min="10509" max="10509" width="9.28515625" bestFit="1" customWidth="1"/>
    <col min="10510" max="10510" width="11.5703125" bestFit="1" customWidth="1"/>
    <col min="10511" max="10511" width="9.28515625" bestFit="1" customWidth="1"/>
    <col min="10512" max="10512" width="11.5703125" bestFit="1" customWidth="1"/>
    <col min="10513" max="10513" width="9.28515625" bestFit="1" customWidth="1"/>
    <col min="10514" max="10514" width="11.5703125" bestFit="1" customWidth="1"/>
    <col min="10515" max="10515" width="9.28515625" bestFit="1" customWidth="1"/>
    <col min="10516" max="10516" width="11.5703125" bestFit="1" customWidth="1"/>
    <col min="10517" max="10517" width="9.28515625" bestFit="1" customWidth="1"/>
    <col min="10518" max="10518" width="11.5703125" bestFit="1" customWidth="1"/>
    <col min="10519" max="10519" width="9.28515625" bestFit="1" customWidth="1"/>
    <col min="10520" max="10520" width="11.5703125" bestFit="1" customWidth="1"/>
    <col min="10521" max="10521" width="9.28515625" bestFit="1" customWidth="1"/>
    <col min="10522" max="10522" width="11.5703125" bestFit="1" customWidth="1"/>
    <col min="10523" max="10523" width="9.28515625" bestFit="1" customWidth="1"/>
    <col min="10524" max="10524" width="11.5703125" bestFit="1" customWidth="1"/>
    <col min="10525" max="10525" width="9.28515625" bestFit="1" customWidth="1"/>
    <col min="10526" max="10526" width="11.5703125" bestFit="1" customWidth="1"/>
    <col min="10527" max="10527" width="9.28515625" bestFit="1" customWidth="1"/>
    <col min="10528" max="10528" width="11.5703125" bestFit="1" customWidth="1"/>
    <col min="10529" max="10529" width="9.28515625" bestFit="1" customWidth="1"/>
    <col min="10530" max="10530" width="11.5703125" bestFit="1" customWidth="1"/>
    <col min="10531" max="10531" width="9.28515625" bestFit="1" customWidth="1"/>
    <col min="10532" max="10532" width="11.5703125" bestFit="1" customWidth="1"/>
    <col min="10533" max="10533" width="9.28515625" bestFit="1" customWidth="1"/>
    <col min="10534" max="10534" width="11.5703125" bestFit="1" customWidth="1"/>
    <col min="10535" max="10535" width="9.28515625" bestFit="1" customWidth="1"/>
    <col min="10536" max="10536" width="11.5703125" bestFit="1" customWidth="1"/>
    <col min="10537" max="10537" width="9.28515625" bestFit="1" customWidth="1"/>
    <col min="10538" max="10538" width="11.5703125" bestFit="1" customWidth="1"/>
    <col min="10539" max="10539" width="9.28515625" bestFit="1" customWidth="1"/>
    <col min="10540" max="10540" width="11.5703125" bestFit="1" customWidth="1"/>
    <col min="10541" max="10541" width="9.28515625" bestFit="1" customWidth="1"/>
    <col min="10542" max="10542" width="11.5703125" bestFit="1" customWidth="1"/>
    <col min="10543" max="10543" width="9.28515625" bestFit="1" customWidth="1"/>
    <col min="10544" max="10544" width="11.5703125" bestFit="1" customWidth="1"/>
    <col min="10545" max="10545" width="9.28515625" bestFit="1" customWidth="1"/>
    <col min="10546" max="10546" width="11.5703125" bestFit="1" customWidth="1"/>
    <col min="10547" max="10547" width="9.28515625" bestFit="1" customWidth="1"/>
    <col min="10755" max="10755" width="29.42578125" bestFit="1" customWidth="1"/>
    <col min="10756" max="10756" width="11.5703125" bestFit="1" customWidth="1"/>
    <col min="10757" max="10757" width="9.28515625" bestFit="1" customWidth="1"/>
    <col min="10758" max="10758" width="11.5703125" bestFit="1" customWidth="1"/>
    <col min="10759" max="10759" width="9.28515625" bestFit="1" customWidth="1"/>
    <col min="10760" max="10760" width="11.5703125" bestFit="1" customWidth="1"/>
    <col min="10761" max="10761" width="9.28515625" bestFit="1" customWidth="1"/>
    <col min="10762" max="10762" width="11.5703125" bestFit="1" customWidth="1"/>
    <col min="10763" max="10763" width="9.28515625" bestFit="1" customWidth="1"/>
    <col min="10764" max="10764" width="11.5703125" bestFit="1" customWidth="1"/>
    <col min="10765" max="10765" width="9.28515625" bestFit="1" customWidth="1"/>
    <col min="10766" max="10766" width="11.5703125" bestFit="1" customWidth="1"/>
    <col min="10767" max="10767" width="9.28515625" bestFit="1" customWidth="1"/>
    <col min="10768" max="10768" width="11.5703125" bestFit="1" customWidth="1"/>
    <col min="10769" max="10769" width="9.28515625" bestFit="1" customWidth="1"/>
    <col min="10770" max="10770" width="11.5703125" bestFit="1" customWidth="1"/>
    <col min="10771" max="10771" width="9.28515625" bestFit="1" customWidth="1"/>
    <col min="10772" max="10772" width="11.5703125" bestFit="1" customWidth="1"/>
    <col min="10773" max="10773" width="9.28515625" bestFit="1" customWidth="1"/>
    <col min="10774" max="10774" width="11.5703125" bestFit="1" customWidth="1"/>
    <col min="10775" max="10775" width="9.28515625" bestFit="1" customWidth="1"/>
    <col min="10776" max="10776" width="11.5703125" bestFit="1" customWidth="1"/>
    <col min="10777" max="10777" width="9.28515625" bestFit="1" customWidth="1"/>
    <col min="10778" max="10778" width="11.5703125" bestFit="1" customWidth="1"/>
    <col min="10779" max="10779" width="9.28515625" bestFit="1" customWidth="1"/>
    <col min="10780" max="10780" width="11.5703125" bestFit="1" customWidth="1"/>
    <col min="10781" max="10781" width="9.28515625" bestFit="1" customWidth="1"/>
    <col min="10782" max="10782" width="11.5703125" bestFit="1" customWidth="1"/>
    <col min="10783" max="10783" width="9.28515625" bestFit="1" customWidth="1"/>
    <col min="10784" max="10784" width="11.5703125" bestFit="1" customWidth="1"/>
    <col min="10785" max="10785" width="9.28515625" bestFit="1" customWidth="1"/>
    <col min="10786" max="10786" width="11.5703125" bestFit="1" customWidth="1"/>
    <col min="10787" max="10787" width="9.28515625" bestFit="1" customWidth="1"/>
    <col min="10788" max="10788" width="11.5703125" bestFit="1" customWidth="1"/>
    <col min="10789" max="10789" width="9.28515625" bestFit="1" customWidth="1"/>
    <col min="10790" max="10790" width="11.5703125" bestFit="1" customWidth="1"/>
    <col min="10791" max="10791" width="9.28515625" bestFit="1" customWidth="1"/>
    <col min="10792" max="10792" width="11.5703125" bestFit="1" customWidth="1"/>
    <col min="10793" max="10793" width="9.28515625" bestFit="1" customWidth="1"/>
    <col min="10794" max="10794" width="11.5703125" bestFit="1" customWidth="1"/>
    <col min="10795" max="10795" width="9.28515625" bestFit="1" customWidth="1"/>
    <col min="10796" max="10796" width="11.5703125" bestFit="1" customWidth="1"/>
    <col min="10797" max="10797" width="9.28515625" bestFit="1" customWidth="1"/>
    <col min="10798" max="10798" width="11.5703125" bestFit="1" customWidth="1"/>
    <col min="10799" max="10799" width="9.28515625" bestFit="1" customWidth="1"/>
    <col min="10800" max="10800" width="11.5703125" bestFit="1" customWidth="1"/>
    <col min="10801" max="10801" width="9.28515625" bestFit="1" customWidth="1"/>
    <col min="10802" max="10802" width="11.5703125" bestFit="1" customWidth="1"/>
    <col min="10803" max="10803" width="9.28515625" bestFit="1" customWidth="1"/>
    <col min="11011" max="11011" width="29.42578125" bestFit="1" customWidth="1"/>
    <col min="11012" max="11012" width="11.5703125" bestFit="1" customWidth="1"/>
    <col min="11013" max="11013" width="9.28515625" bestFit="1" customWidth="1"/>
    <col min="11014" max="11014" width="11.5703125" bestFit="1" customWidth="1"/>
    <col min="11015" max="11015" width="9.28515625" bestFit="1" customWidth="1"/>
    <col min="11016" max="11016" width="11.5703125" bestFit="1" customWidth="1"/>
    <col min="11017" max="11017" width="9.28515625" bestFit="1" customWidth="1"/>
    <col min="11018" max="11018" width="11.5703125" bestFit="1" customWidth="1"/>
    <col min="11019" max="11019" width="9.28515625" bestFit="1" customWidth="1"/>
    <col min="11020" max="11020" width="11.5703125" bestFit="1" customWidth="1"/>
    <col min="11021" max="11021" width="9.28515625" bestFit="1" customWidth="1"/>
    <col min="11022" max="11022" width="11.5703125" bestFit="1" customWidth="1"/>
    <col min="11023" max="11023" width="9.28515625" bestFit="1" customWidth="1"/>
    <col min="11024" max="11024" width="11.5703125" bestFit="1" customWidth="1"/>
    <col min="11025" max="11025" width="9.28515625" bestFit="1" customWidth="1"/>
    <col min="11026" max="11026" width="11.5703125" bestFit="1" customWidth="1"/>
    <col min="11027" max="11027" width="9.28515625" bestFit="1" customWidth="1"/>
    <col min="11028" max="11028" width="11.5703125" bestFit="1" customWidth="1"/>
    <col min="11029" max="11029" width="9.28515625" bestFit="1" customWidth="1"/>
    <col min="11030" max="11030" width="11.5703125" bestFit="1" customWidth="1"/>
    <col min="11031" max="11031" width="9.28515625" bestFit="1" customWidth="1"/>
    <col min="11032" max="11032" width="11.5703125" bestFit="1" customWidth="1"/>
    <col min="11033" max="11033" width="9.28515625" bestFit="1" customWidth="1"/>
    <col min="11034" max="11034" width="11.5703125" bestFit="1" customWidth="1"/>
    <col min="11035" max="11035" width="9.28515625" bestFit="1" customWidth="1"/>
    <col min="11036" max="11036" width="11.5703125" bestFit="1" customWidth="1"/>
    <col min="11037" max="11037" width="9.28515625" bestFit="1" customWidth="1"/>
    <col min="11038" max="11038" width="11.5703125" bestFit="1" customWidth="1"/>
    <col min="11039" max="11039" width="9.28515625" bestFit="1" customWidth="1"/>
    <col min="11040" max="11040" width="11.5703125" bestFit="1" customWidth="1"/>
    <col min="11041" max="11041" width="9.28515625" bestFit="1" customWidth="1"/>
    <col min="11042" max="11042" width="11.5703125" bestFit="1" customWidth="1"/>
    <col min="11043" max="11043" width="9.28515625" bestFit="1" customWidth="1"/>
    <col min="11044" max="11044" width="11.5703125" bestFit="1" customWidth="1"/>
    <col min="11045" max="11045" width="9.28515625" bestFit="1" customWidth="1"/>
    <col min="11046" max="11046" width="11.5703125" bestFit="1" customWidth="1"/>
    <col min="11047" max="11047" width="9.28515625" bestFit="1" customWidth="1"/>
    <col min="11048" max="11048" width="11.5703125" bestFit="1" customWidth="1"/>
    <col min="11049" max="11049" width="9.28515625" bestFit="1" customWidth="1"/>
    <col min="11050" max="11050" width="11.5703125" bestFit="1" customWidth="1"/>
    <col min="11051" max="11051" width="9.28515625" bestFit="1" customWidth="1"/>
    <col min="11052" max="11052" width="11.5703125" bestFit="1" customWidth="1"/>
    <col min="11053" max="11053" width="9.28515625" bestFit="1" customWidth="1"/>
    <col min="11054" max="11054" width="11.5703125" bestFit="1" customWidth="1"/>
    <col min="11055" max="11055" width="9.28515625" bestFit="1" customWidth="1"/>
    <col min="11056" max="11056" width="11.5703125" bestFit="1" customWidth="1"/>
    <col min="11057" max="11057" width="9.28515625" bestFit="1" customWidth="1"/>
    <col min="11058" max="11058" width="11.5703125" bestFit="1" customWidth="1"/>
    <col min="11059" max="11059" width="9.28515625" bestFit="1" customWidth="1"/>
    <col min="11267" max="11267" width="29.42578125" bestFit="1" customWidth="1"/>
    <col min="11268" max="11268" width="11.5703125" bestFit="1" customWidth="1"/>
    <col min="11269" max="11269" width="9.28515625" bestFit="1" customWidth="1"/>
    <col min="11270" max="11270" width="11.5703125" bestFit="1" customWidth="1"/>
    <col min="11271" max="11271" width="9.28515625" bestFit="1" customWidth="1"/>
    <col min="11272" max="11272" width="11.5703125" bestFit="1" customWidth="1"/>
    <col min="11273" max="11273" width="9.28515625" bestFit="1" customWidth="1"/>
    <col min="11274" max="11274" width="11.5703125" bestFit="1" customWidth="1"/>
    <col min="11275" max="11275" width="9.28515625" bestFit="1" customWidth="1"/>
    <col min="11276" max="11276" width="11.5703125" bestFit="1" customWidth="1"/>
    <col min="11277" max="11277" width="9.28515625" bestFit="1" customWidth="1"/>
    <col min="11278" max="11278" width="11.5703125" bestFit="1" customWidth="1"/>
    <col min="11279" max="11279" width="9.28515625" bestFit="1" customWidth="1"/>
    <col min="11280" max="11280" width="11.5703125" bestFit="1" customWidth="1"/>
    <col min="11281" max="11281" width="9.28515625" bestFit="1" customWidth="1"/>
    <col min="11282" max="11282" width="11.5703125" bestFit="1" customWidth="1"/>
    <col min="11283" max="11283" width="9.28515625" bestFit="1" customWidth="1"/>
    <col min="11284" max="11284" width="11.5703125" bestFit="1" customWidth="1"/>
    <col min="11285" max="11285" width="9.28515625" bestFit="1" customWidth="1"/>
    <col min="11286" max="11286" width="11.5703125" bestFit="1" customWidth="1"/>
    <col min="11287" max="11287" width="9.28515625" bestFit="1" customWidth="1"/>
    <col min="11288" max="11288" width="11.5703125" bestFit="1" customWidth="1"/>
    <col min="11289" max="11289" width="9.28515625" bestFit="1" customWidth="1"/>
    <col min="11290" max="11290" width="11.5703125" bestFit="1" customWidth="1"/>
    <col min="11291" max="11291" width="9.28515625" bestFit="1" customWidth="1"/>
    <col min="11292" max="11292" width="11.5703125" bestFit="1" customWidth="1"/>
    <col min="11293" max="11293" width="9.28515625" bestFit="1" customWidth="1"/>
    <col min="11294" max="11294" width="11.5703125" bestFit="1" customWidth="1"/>
    <col min="11295" max="11295" width="9.28515625" bestFit="1" customWidth="1"/>
    <col min="11296" max="11296" width="11.5703125" bestFit="1" customWidth="1"/>
    <col min="11297" max="11297" width="9.28515625" bestFit="1" customWidth="1"/>
    <col min="11298" max="11298" width="11.5703125" bestFit="1" customWidth="1"/>
    <col min="11299" max="11299" width="9.28515625" bestFit="1" customWidth="1"/>
    <col min="11300" max="11300" width="11.5703125" bestFit="1" customWidth="1"/>
    <col min="11301" max="11301" width="9.28515625" bestFit="1" customWidth="1"/>
    <col min="11302" max="11302" width="11.5703125" bestFit="1" customWidth="1"/>
    <col min="11303" max="11303" width="9.28515625" bestFit="1" customWidth="1"/>
    <col min="11304" max="11304" width="11.5703125" bestFit="1" customWidth="1"/>
    <col min="11305" max="11305" width="9.28515625" bestFit="1" customWidth="1"/>
    <col min="11306" max="11306" width="11.5703125" bestFit="1" customWidth="1"/>
    <col min="11307" max="11307" width="9.28515625" bestFit="1" customWidth="1"/>
    <col min="11308" max="11308" width="11.5703125" bestFit="1" customWidth="1"/>
    <col min="11309" max="11309" width="9.28515625" bestFit="1" customWidth="1"/>
    <col min="11310" max="11310" width="11.5703125" bestFit="1" customWidth="1"/>
    <col min="11311" max="11311" width="9.28515625" bestFit="1" customWidth="1"/>
    <col min="11312" max="11312" width="11.5703125" bestFit="1" customWidth="1"/>
    <col min="11313" max="11313" width="9.28515625" bestFit="1" customWidth="1"/>
    <col min="11314" max="11314" width="11.5703125" bestFit="1" customWidth="1"/>
    <col min="11315" max="11315" width="9.28515625" bestFit="1" customWidth="1"/>
    <col min="11523" max="11523" width="29.42578125" bestFit="1" customWidth="1"/>
    <col min="11524" max="11524" width="11.5703125" bestFit="1" customWidth="1"/>
    <col min="11525" max="11525" width="9.28515625" bestFit="1" customWidth="1"/>
    <col min="11526" max="11526" width="11.5703125" bestFit="1" customWidth="1"/>
    <col min="11527" max="11527" width="9.28515625" bestFit="1" customWidth="1"/>
    <col min="11528" max="11528" width="11.5703125" bestFit="1" customWidth="1"/>
    <col min="11529" max="11529" width="9.28515625" bestFit="1" customWidth="1"/>
    <col min="11530" max="11530" width="11.5703125" bestFit="1" customWidth="1"/>
    <col min="11531" max="11531" width="9.28515625" bestFit="1" customWidth="1"/>
    <col min="11532" max="11532" width="11.5703125" bestFit="1" customWidth="1"/>
    <col min="11533" max="11533" width="9.28515625" bestFit="1" customWidth="1"/>
    <col min="11534" max="11534" width="11.5703125" bestFit="1" customWidth="1"/>
    <col min="11535" max="11535" width="9.28515625" bestFit="1" customWidth="1"/>
    <col min="11536" max="11536" width="11.5703125" bestFit="1" customWidth="1"/>
    <col min="11537" max="11537" width="9.28515625" bestFit="1" customWidth="1"/>
    <col min="11538" max="11538" width="11.5703125" bestFit="1" customWidth="1"/>
    <col min="11539" max="11539" width="9.28515625" bestFit="1" customWidth="1"/>
    <col min="11540" max="11540" width="11.5703125" bestFit="1" customWidth="1"/>
    <col min="11541" max="11541" width="9.28515625" bestFit="1" customWidth="1"/>
    <col min="11542" max="11542" width="11.5703125" bestFit="1" customWidth="1"/>
    <col min="11543" max="11543" width="9.28515625" bestFit="1" customWidth="1"/>
    <col min="11544" max="11544" width="11.5703125" bestFit="1" customWidth="1"/>
    <col min="11545" max="11545" width="9.28515625" bestFit="1" customWidth="1"/>
    <col min="11546" max="11546" width="11.5703125" bestFit="1" customWidth="1"/>
    <col min="11547" max="11547" width="9.28515625" bestFit="1" customWidth="1"/>
    <col min="11548" max="11548" width="11.5703125" bestFit="1" customWidth="1"/>
    <col min="11549" max="11549" width="9.28515625" bestFit="1" customWidth="1"/>
    <col min="11550" max="11550" width="11.5703125" bestFit="1" customWidth="1"/>
    <col min="11551" max="11551" width="9.28515625" bestFit="1" customWidth="1"/>
    <col min="11552" max="11552" width="11.5703125" bestFit="1" customWidth="1"/>
    <col min="11553" max="11553" width="9.28515625" bestFit="1" customWidth="1"/>
    <col min="11554" max="11554" width="11.5703125" bestFit="1" customWidth="1"/>
    <col min="11555" max="11555" width="9.28515625" bestFit="1" customWidth="1"/>
    <col min="11556" max="11556" width="11.5703125" bestFit="1" customWidth="1"/>
    <col min="11557" max="11557" width="9.28515625" bestFit="1" customWidth="1"/>
    <col min="11558" max="11558" width="11.5703125" bestFit="1" customWidth="1"/>
    <col min="11559" max="11559" width="9.28515625" bestFit="1" customWidth="1"/>
    <col min="11560" max="11560" width="11.5703125" bestFit="1" customWidth="1"/>
    <col min="11561" max="11561" width="9.28515625" bestFit="1" customWidth="1"/>
    <col min="11562" max="11562" width="11.5703125" bestFit="1" customWidth="1"/>
    <col min="11563" max="11563" width="9.28515625" bestFit="1" customWidth="1"/>
    <col min="11564" max="11564" width="11.5703125" bestFit="1" customWidth="1"/>
    <col min="11565" max="11565" width="9.28515625" bestFit="1" customWidth="1"/>
    <col min="11566" max="11566" width="11.5703125" bestFit="1" customWidth="1"/>
    <col min="11567" max="11567" width="9.28515625" bestFit="1" customWidth="1"/>
    <col min="11568" max="11568" width="11.5703125" bestFit="1" customWidth="1"/>
    <col min="11569" max="11569" width="9.28515625" bestFit="1" customWidth="1"/>
    <col min="11570" max="11570" width="11.5703125" bestFit="1" customWidth="1"/>
    <col min="11571" max="11571" width="9.28515625" bestFit="1" customWidth="1"/>
    <col min="11779" max="11779" width="29.42578125" bestFit="1" customWidth="1"/>
    <col min="11780" max="11780" width="11.5703125" bestFit="1" customWidth="1"/>
    <col min="11781" max="11781" width="9.28515625" bestFit="1" customWidth="1"/>
    <col min="11782" max="11782" width="11.5703125" bestFit="1" customWidth="1"/>
    <col min="11783" max="11783" width="9.28515625" bestFit="1" customWidth="1"/>
    <col min="11784" max="11784" width="11.5703125" bestFit="1" customWidth="1"/>
    <col min="11785" max="11785" width="9.28515625" bestFit="1" customWidth="1"/>
    <col min="11786" max="11786" width="11.5703125" bestFit="1" customWidth="1"/>
    <col min="11787" max="11787" width="9.28515625" bestFit="1" customWidth="1"/>
    <col min="11788" max="11788" width="11.5703125" bestFit="1" customWidth="1"/>
    <col min="11789" max="11789" width="9.28515625" bestFit="1" customWidth="1"/>
    <col min="11790" max="11790" width="11.5703125" bestFit="1" customWidth="1"/>
    <col min="11791" max="11791" width="9.28515625" bestFit="1" customWidth="1"/>
    <col min="11792" max="11792" width="11.5703125" bestFit="1" customWidth="1"/>
    <col min="11793" max="11793" width="9.28515625" bestFit="1" customWidth="1"/>
    <col min="11794" max="11794" width="11.5703125" bestFit="1" customWidth="1"/>
    <col min="11795" max="11795" width="9.28515625" bestFit="1" customWidth="1"/>
    <col min="11796" max="11796" width="11.5703125" bestFit="1" customWidth="1"/>
    <col min="11797" max="11797" width="9.28515625" bestFit="1" customWidth="1"/>
    <col min="11798" max="11798" width="11.5703125" bestFit="1" customWidth="1"/>
    <col min="11799" max="11799" width="9.28515625" bestFit="1" customWidth="1"/>
    <col min="11800" max="11800" width="11.5703125" bestFit="1" customWidth="1"/>
    <col min="11801" max="11801" width="9.28515625" bestFit="1" customWidth="1"/>
    <col min="11802" max="11802" width="11.5703125" bestFit="1" customWidth="1"/>
    <col min="11803" max="11803" width="9.28515625" bestFit="1" customWidth="1"/>
    <col min="11804" max="11804" width="11.5703125" bestFit="1" customWidth="1"/>
    <col min="11805" max="11805" width="9.28515625" bestFit="1" customWidth="1"/>
    <col min="11806" max="11806" width="11.5703125" bestFit="1" customWidth="1"/>
    <col min="11807" max="11807" width="9.28515625" bestFit="1" customWidth="1"/>
    <col min="11808" max="11808" width="11.5703125" bestFit="1" customWidth="1"/>
    <col min="11809" max="11809" width="9.28515625" bestFit="1" customWidth="1"/>
    <col min="11810" max="11810" width="11.5703125" bestFit="1" customWidth="1"/>
    <col min="11811" max="11811" width="9.28515625" bestFit="1" customWidth="1"/>
    <col min="11812" max="11812" width="11.5703125" bestFit="1" customWidth="1"/>
    <col min="11813" max="11813" width="9.28515625" bestFit="1" customWidth="1"/>
    <col min="11814" max="11814" width="11.5703125" bestFit="1" customWidth="1"/>
    <col min="11815" max="11815" width="9.28515625" bestFit="1" customWidth="1"/>
    <col min="11816" max="11816" width="11.5703125" bestFit="1" customWidth="1"/>
    <col min="11817" max="11817" width="9.28515625" bestFit="1" customWidth="1"/>
    <col min="11818" max="11818" width="11.5703125" bestFit="1" customWidth="1"/>
    <col min="11819" max="11819" width="9.28515625" bestFit="1" customWidth="1"/>
    <col min="11820" max="11820" width="11.5703125" bestFit="1" customWidth="1"/>
    <col min="11821" max="11821" width="9.28515625" bestFit="1" customWidth="1"/>
    <col min="11822" max="11822" width="11.5703125" bestFit="1" customWidth="1"/>
    <col min="11823" max="11823" width="9.28515625" bestFit="1" customWidth="1"/>
    <col min="11824" max="11824" width="11.5703125" bestFit="1" customWidth="1"/>
    <col min="11825" max="11825" width="9.28515625" bestFit="1" customWidth="1"/>
    <col min="11826" max="11826" width="11.5703125" bestFit="1" customWidth="1"/>
    <col min="11827" max="11827" width="9.28515625" bestFit="1" customWidth="1"/>
    <col min="12035" max="12035" width="29.42578125" bestFit="1" customWidth="1"/>
    <col min="12036" max="12036" width="11.5703125" bestFit="1" customWidth="1"/>
    <col min="12037" max="12037" width="9.28515625" bestFit="1" customWidth="1"/>
    <col min="12038" max="12038" width="11.5703125" bestFit="1" customWidth="1"/>
    <col min="12039" max="12039" width="9.28515625" bestFit="1" customWidth="1"/>
    <col min="12040" max="12040" width="11.5703125" bestFit="1" customWidth="1"/>
    <col min="12041" max="12041" width="9.28515625" bestFit="1" customWidth="1"/>
    <col min="12042" max="12042" width="11.5703125" bestFit="1" customWidth="1"/>
    <col min="12043" max="12043" width="9.28515625" bestFit="1" customWidth="1"/>
    <col min="12044" max="12044" width="11.5703125" bestFit="1" customWidth="1"/>
    <col min="12045" max="12045" width="9.28515625" bestFit="1" customWidth="1"/>
    <col min="12046" max="12046" width="11.5703125" bestFit="1" customWidth="1"/>
    <col min="12047" max="12047" width="9.28515625" bestFit="1" customWidth="1"/>
    <col min="12048" max="12048" width="11.5703125" bestFit="1" customWidth="1"/>
    <col min="12049" max="12049" width="9.28515625" bestFit="1" customWidth="1"/>
    <col min="12050" max="12050" width="11.5703125" bestFit="1" customWidth="1"/>
    <col min="12051" max="12051" width="9.28515625" bestFit="1" customWidth="1"/>
    <col min="12052" max="12052" width="11.5703125" bestFit="1" customWidth="1"/>
    <col min="12053" max="12053" width="9.28515625" bestFit="1" customWidth="1"/>
    <col min="12054" max="12054" width="11.5703125" bestFit="1" customWidth="1"/>
    <col min="12055" max="12055" width="9.28515625" bestFit="1" customWidth="1"/>
    <col min="12056" max="12056" width="11.5703125" bestFit="1" customWidth="1"/>
    <col min="12057" max="12057" width="9.28515625" bestFit="1" customWidth="1"/>
    <col min="12058" max="12058" width="11.5703125" bestFit="1" customWidth="1"/>
    <col min="12059" max="12059" width="9.28515625" bestFit="1" customWidth="1"/>
    <col min="12060" max="12060" width="11.5703125" bestFit="1" customWidth="1"/>
    <col min="12061" max="12061" width="9.28515625" bestFit="1" customWidth="1"/>
    <col min="12062" max="12062" width="11.5703125" bestFit="1" customWidth="1"/>
    <col min="12063" max="12063" width="9.28515625" bestFit="1" customWidth="1"/>
    <col min="12064" max="12064" width="11.5703125" bestFit="1" customWidth="1"/>
    <col min="12065" max="12065" width="9.28515625" bestFit="1" customWidth="1"/>
    <col min="12066" max="12066" width="11.5703125" bestFit="1" customWidth="1"/>
    <col min="12067" max="12067" width="9.28515625" bestFit="1" customWidth="1"/>
    <col min="12068" max="12068" width="11.5703125" bestFit="1" customWidth="1"/>
    <col min="12069" max="12069" width="9.28515625" bestFit="1" customWidth="1"/>
    <col min="12070" max="12070" width="11.5703125" bestFit="1" customWidth="1"/>
    <col min="12071" max="12071" width="9.28515625" bestFit="1" customWidth="1"/>
    <col min="12072" max="12072" width="11.5703125" bestFit="1" customWidth="1"/>
    <col min="12073" max="12073" width="9.28515625" bestFit="1" customWidth="1"/>
    <col min="12074" max="12074" width="11.5703125" bestFit="1" customWidth="1"/>
    <col min="12075" max="12075" width="9.28515625" bestFit="1" customWidth="1"/>
    <col min="12076" max="12076" width="11.5703125" bestFit="1" customWidth="1"/>
    <col min="12077" max="12077" width="9.28515625" bestFit="1" customWidth="1"/>
    <col min="12078" max="12078" width="11.5703125" bestFit="1" customWidth="1"/>
    <col min="12079" max="12079" width="9.28515625" bestFit="1" customWidth="1"/>
    <col min="12080" max="12080" width="11.5703125" bestFit="1" customWidth="1"/>
    <col min="12081" max="12081" width="9.28515625" bestFit="1" customWidth="1"/>
    <col min="12082" max="12082" width="11.5703125" bestFit="1" customWidth="1"/>
    <col min="12083" max="12083" width="9.28515625" bestFit="1" customWidth="1"/>
    <col min="12291" max="12291" width="29.42578125" bestFit="1" customWidth="1"/>
    <col min="12292" max="12292" width="11.5703125" bestFit="1" customWidth="1"/>
    <col min="12293" max="12293" width="9.28515625" bestFit="1" customWidth="1"/>
    <col min="12294" max="12294" width="11.5703125" bestFit="1" customWidth="1"/>
    <col min="12295" max="12295" width="9.28515625" bestFit="1" customWidth="1"/>
    <col min="12296" max="12296" width="11.5703125" bestFit="1" customWidth="1"/>
    <col min="12297" max="12297" width="9.28515625" bestFit="1" customWidth="1"/>
    <col min="12298" max="12298" width="11.5703125" bestFit="1" customWidth="1"/>
    <col min="12299" max="12299" width="9.28515625" bestFit="1" customWidth="1"/>
    <col min="12300" max="12300" width="11.5703125" bestFit="1" customWidth="1"/>
    <col min="12301" max="12301" width="9.28515625" bestFit="1" customWidth="1"/>
    <col min="12302" max="12302" width="11.5703125" bestFit="1" customWidth="1"/>
    <col min="12303" max="12303" width="9.28515625" bestFit="1" customWidth="1"/>
    <col min="12304" max="12304" width="11.5703125" bestFit="1" customWidth="1"/>
    <col min="12305" max="12305" width="9.28515625" bestFit="1" customWidth="1"/>
    <col min="12306" max="12306" width="11.5703125" bestFit="1" customWidth="1"/>
    <col min="12307" max="12307" width="9.28515625" bestFit="1" customWidth="1"/>
    <col min="12308" max="12308" width="11.5703125" bestFit="1" customWidth="1"/>
    <col min="12309" max="12309" width="9.28515625" bestFit="1" customWidth="1"/>
    <col min="12310" max="12310" width="11.5703125" bestFit="1" customWidth="1"/>
    <col min="12311" max="12311" width="9.28515625" bestFit="1" customWidth="1"/>
    <col min="12312" max="12312" width="11.5703125" bestFit="1" customWidth="1"/>
    <col min="12313" max="12313" width="9.28515625" bestFit="1" customWidth="1"/>
    <col min="12314" max="12314" width="11.5703125" bestFit="1" customWidth="1"/>
    <col min="12315" max="12315" width="9.28515625" bestFit="1" customWidth="1"/>
    <col min="12316" max="12316" width="11.5703125" bestFit="1" customWidth="1"/>
    <col min="12317" max="12317" width="9.28515625" bestFit="1" customWidth="1"/>
    <col min="12318" max="12318" width="11.5703125" bestFit="1" customWidth="1"/>
    <col min="12319" max="12319" width="9.28515625" bestFit="1" customWidth="1"/>
    <col min="12320" max="12320" width="11.5703125" bestFit="1" customWidth="1"/>
    <col min="12321" max="12321" width="9.28515625" bestFit="1" customWidth="1"/>
    <col min="12322" max="12322" width="11.5703125" bestFit="1" customWidth="1"/>
    <col min="12323" max="12323" width="9.28515625" bestFit="1" customWidth="1"/>
    <col min="12324" max="12324" width="11.5703125" bestFit="1" customWidth="1"/>
    <col min="12325" max="12325" width="9.28515625" bestFit="1" customWidth="1"/>
    <col min="12326" max="12326" width="11.5703125" bestFit="1" customWidth="1"/>
    <col min="12327" max="12327" width="9.28515625" bestFit="1" customWidth="1"/>
    <col min="12328" max="12328" width="11.5703125" bestFit="1" customWidth="1"/>
    <col min="12329" max="12329" width="9.28515625" bestFit="1" customWidth="1"/>
    <col min="12330" max="12330" width="11.5703125" bestFit="1" customWidth="1"/>
    <col min="12331" max="12331" width="9.28515625" bestFit="1" customWidth="1"/>
    <col min="12332" max="12332" width="11.5703125" bestFit="1" customWidth="1"/>
    <col min="12333" max="12333" width="9.28515625" bestFit="1" customWidth="1"/>
    <col min="12334" max="12334" width="11.5703125" bestFit="1" customWidth="1"/>
    <col min="12335" max="12335" width="9.28515625" bestFit="1" customWidth="1"/>
    <col min="12336" max="12336" width="11.5703125" bestFit="1" customWidth="1"/>
    <col min="12337" max="12337" width="9.28515625" bestFit="1" customWidth="1"/>
    <col min="12338" max="12338" width="11.5703125" bestFit="1" customWidth="1"/>
    <col min="12339" max="12339" width="9.28515625" bestFit="1" customWidth="1"/>
    <col min="12547" max="12547" width="29.42578125" bestFit="1" customWidth="1"/>
    <col min="12548" max="12548" width="11.5703125" bestFit="1" customWidth="1"/>
    <col min="12549" max="12549" width="9.28515625" bestFit="1" customWidth="1"/>
    <col min="12550" max="12550" width="11.5703125" bestFit="1" customWidth="1"/>
    <col min="12551" max="12551" width="9.28515625" bestFit="1" customWidth="1"/>
    <col min="12552" max="12552" width="11.5703125" bestFit="1" customWidth="1"/>
    <col min="12553" max="12553" width="9.28515625" bestFit="1" customWidth="1"/>
    <col min="12554" max="12554" width="11.5703125" bestFit="1" customWidth="1"/>
    <col min="12555" max="12555" width="9.28515625" bestFit="1" customWidth="1"/>
    <col min="12556" max="12556" width="11.5703125" bestFit="1" customWidth="1"/>
    <col min="12557" max="12557" width="9.28515625" bestFit="1" customWidth="1"/>
    <col min="12558" max="12558" width="11.5703125" bestFit="1" customWidth="1"/>
    <col min="12559" max="12559" width="9.28515625" bestFit="1" customWidth="1"/>
    <col min="12560" max="12560" width="11.5703125" bestFit="1" customWidth="1"/>
    <col min="12561" max="12561" width="9.28515625" bestFit="1" customWidth="1"/>
    <col min="12562" max="12562" width="11.5703125" bestFit="1" customWidth="1"/>
    <col min="12563" max="12563" width="9.28515625" bestFit="1" customWidth="1"/>
    <col min="12564" max="12564" width="11.5703125" bestFit="1" customWidth="1"/>
    <col min="12565" max="12565" width="9.28515625" bestFit="1" customWidth="1"/>
    <col min="12566" max="12566" width="11.5703125" bestFit="1" customWidth="1"/>
    <col min="12567" max="12567" width="9.28515625" bestFit="1" customWidth="1"/>
    <col min="12568" max="12568" width="11.5703125" bestFit="1" customWidth="1"/>
    <col min="12569" max="12569" width="9.28515625" bestFit="1" customWidth="1"/>
    <col min="12570" max="12570" width="11.5703125" bestFit="1" customWidth="1"/>
    <col min="12571" max="12571" width="9.28515625" bestFit="1" customWidth="1"/>
    <col min="12572" max="12572" width="11.5703125" bestFit="1" customWidth="1"/>
    <col min="12573" max="12573" width="9.28515625" bestFit="1" customWidth="1"/>
    <col min="12574" max="12574" width="11.5703125" bestFit="1" customWidth="1"/>
    <col min="12575" max="12575" width="9.28515625" bestFit="1" customWidth="1"/>
    <col min="12576" max="12576" width="11.5703125" bestFit="1" customWidth="1"/>
    <col min="12577" max="12577" width="9.28515625" bestFit="1" customWidth="1"/>
    <col min="12578" max="12578" width="11.5703125" bestFit="1" customWidth="1"/>
    <col min="12579" max="12579" width="9.28515625" bestFit="1" customWidth="1"/>
    <col min="12580" max="12580" width="11.5703125" bestFit="1" customWidth="1"/>
    <col min="12581" max="12581" width="9.28515625" bestFit="1" customWidth="1"/>
    <col min="12582" max="12582" width="11.5703125" bestFit="1" customWidth="1"/>
    <col min="12583" max="12583" width="9.28515625" bestFit="1" customWidth="1"/>
    <col min="12584" max="12584" width="11.5703125" bestFit="1" customWidth="1"/>
    <col min="12585" max="12585" width="9.28515625" bestFit="1" customWidth="1"/>
    <col min="12586" max="12586" width="11.5703125" bestFit="1" customWidth="1"/>
    <col min="12587" max="12587" width="9.28515625" bestFit="1" customWidth="1"/>
    <col min="12588" max="12588" width="11.5703125" bestFit="1" customWidth="1"/>
    <col min="12589" max="12589" width="9.28515625" bestFit="1" customWidth="1"/>
    <col min="12590" max="12590" width="11.5703125" bestFit="1" customWidth="1"/>
    <col min="12591" max="12591" width="9.28515625" bestFit="1" customWidth="1"/>
    <col min="12592" max="12592" width="11.5703125" bestFit="1" customWidth="1"/>
    <col min="12593" max="12593" width="9.28515625" bestFit="1" customWidth="1"/>
    <col min="12594" max="12594" width="11.5703125" bestFit="1" customWidth="1"/>
    <col min="12595" max="12595" width="9.28515625" bestFit="1" customWidth="1"/>
    <col min="12803" max="12803" width="29.42578125" bestFit="1" customWidth="1"/>
    <col min="12804" max="12804" width="11.5703125" bestFit="1" customWidth="1"/>
    <col min="12805" max="12805" width="9.28515625" bestFit="1" customWidth="1"/>
    <col min="12806" max="12806" width="11.5703125" bestFit="1" customWidth="1"/>
    <col min="12807" max="12807" width="9.28515625" bestFit="1" customWidth="1"/>
    <col min="12808" max="12808" width="11.5703125" bestFit="1" customWidth="1"/>
    <col min="12809" max="12809" width="9.28515625" bestFit="1" customWidth="1"/>
    <col min="12810" max="12810" width="11.5703125" bestFit="1" customWidth="1"/>
    <col min="12811" max="12811" width="9.28515625" bestFit="1" customWidth="1"/>
    <col min="12812" max="12812" width="11.5703125" bestFit="1" customWidth="1"/>
    <col min="12813" max="12813" width="9.28515625" bestFit="1" customWidth="1"/>
    <col min="12814" max="12814" width="11.5703125" bestFit="1" customWidth="1"/>
    <col min="12815" max="12815" width="9.28515625" bestFit="1" customWidth="1"/>
    <col min="12816" max="12816" width="11.5703125" bestFit="1" customWidth="1"/>
    <col min="12817" max="12817" width="9.28515625" bestFit="1" customWidth="1"/>
    <col min="12818" max="12818" width="11.5703125" bestFit="1" customWidth="1"/>
    <col min="12819" max="12819" width="9.28515625" bestFit="1" customWidth="1"/>
    <col min="12820" max="12820" width="11.5703125" bestFit="1" customWidth="1"/>
    <col min="12821" max="12821" width="9.28515625" bestFit="1" customWidth="1"/>
    <col min="12822" max="12822" width="11.5703125" bestFit="1" customWidth="1"/>
    <col min="12823" max="12823" width="9.28515625" bestFit="1" customWidth="1"/>
    <col min="12824" max="12824" width="11.5703125" bestFit="1" customWidth="1"/>
    <col min="12825" max="12825" width="9.28515625" bestFit="1" customWidth="1"/>
    <col min="12826" max="12826" width="11.5703125" bestFit="1" customWidth="1"/>
    <col min="12827" max="12827" width="9.28515625" bestFit="1" customWidth="1"/>
    <col min="12828" max="12828" width="11.5703125" bestFit="1" customWidth="1"/>
    <col min="12829" max="12829" width="9.28515625" bestFit="1" customWidth="1"/>
    <col min="12830" max="12830" width="11.5703125" bestFit="1" customWidth="1"/>
    <col min="12831" max="12831" width="9.28515625" bestFit="1" customWidth="1"/>
    <col min="12832" max="12832" width="11.5703125" bestFit="1" customWidth="1"/>
    <col min="12833" max="12833" width="9.28515625" bestFit="1" customWidth="1"/>
    <col min="12834" max="12834" width="11.5703125" bestFit="1" customWidth="1"/>
    <col min="12835" max="12835" width="9.28515625" bestFit="1" customWidth="1"/>
    <col min="12836" max="12836" width="11.5703125" bestFit="1" customWidth="1"/>
    <col min="12837" max="12837" width="9.28515625" bestFit="1" customWidth="1"/>
    <col min="12838" max="12838" width="11.5703125" bestFit="1" customWidth="1"/>
    <col min="12839" max="12839" width="9.28515625" bestFit="1" customWidth="1"/>
    <col min="12840" max="12840" width="11.5703125" bestFit="1" customWidth="1"/>
    <col min="12841" max="12841" width="9.28515625" bestFit="1" customWidth="1"/>
    <col min="12842" max="12842" width="11.5703125" bestFit="1" customWidth="1"/>
    <col min="12843" max="12843" width="9.28515625" bestFit="1" customWidth="1"/>
    <col min="12844" max="12844" width="11.5703125" bestFit="1" customWidth="1"/>
    <col min="12845" max="12845" width="9.28515625" bestFit="1" customWidth="1"/>
    <col min="12846" max="12846" width="11.5703125" bestFit="1" customWidth="1"/>
    <col min="12847" max="12847" width="9.28515625" bestFit="1" customWidth="1"/>
    <col min="12848" max="12848" width="11.5703125" bestFit="1" customWidth="1"/>
    <col min="12849" max="12849" width="9.28515625" bestFit="1" customWidth="1"/>
    <col min="12850" max="12850" width="11.5703125" bestFit="1" customWidth="1"/>
    <col min="12851" max="12851" width="9.28515625" bestFit="1" customWidth="1"/>
    <col min="13059" max="13059" width="29.42578125" bestFit="1" customWidth="1"/>
    <col min="13060" max="13060" width="11.5703125" bestFit="1" customWidth="1"/>
    <col min="13061" max="13061" width="9.28515625" bestFit="1" customWidth="1"/>
    <col min="13062" max="13062" width="11.5703125" bestFit="1" customWidth="1"/>
    <col min="13063" max="13063" width="9.28515625" bestFit="1" customWidth="1"/>
    <col min="13064" max="13064" width="11.5703125" bestFit="1" customWidth="1"/>
    <col min="13065" max="13065" width="9.28515625" bestFit="1" customWidth="1"/>
    <col min="13066" max="13066" width="11.5703125" bestFit="1" customWidth="1"/>
    <col min="13067" max="13067" width="9.28515625" bestFit="1" customWidth="1"/>
    <col min="13068" max="13068" width="11.5703125" bestFit="1" customWidth="1"/>
    <col min="13069" max="13069" width="9.28515625" bestFit="1" customWidth="1"/>
    <col min="13070" max="13070" width="11.5703125" bestFit="1" customWidth="1"/>
    <col min="13071" max="13071" width="9.28515625" bestFit="1" customWidth="1"/>
    <col min="13072" max="13072" width="11.5703125" bestFit="1" customWidth="1"/>
    <col min="13073" max="13073" width="9.28515625" bestFit="1" customWidth="1"/>
    <col min="13074" max="13074" width="11.5703125" bestFit="1" customWidth="1"/>
    <col min="13075" max="13075" width="9.28515625" bestFit="1" customWidth="1"/>
    <col min="13076" max="13076" width="11.5703125" bestFit="1" customWidth="1"/>
    <col min="13077" max="13077" width="9.28515625" bestFit="1" customWidth="1"/>
    <col min="13078" max="13078" width="11.5703125" bestFit="1" customWidth="1"/>
    <col min="13079" max="13079" width="9.28515625" bestFit="1" customWidth="1"/>
    <col min="13080" max="13080" width="11.5703125" bestFit="1" customWidth="1"/>
    <col min="13081" max="13081" width="9.28515625" bestFit="1" customWidth="1"/>
    <col min="13082" max="13082" width="11.5703125" bestFit="1" customWidth="1"/>
    <col min="13083" max="13083" width="9.28515625" bestFit="1" customWidth="1"/>
    <col min="13084" max="13084" width="11.5703125" bestFit="1" customWidth="1"/>
    <col min="13085" max="13085" width="9.28515625" bestFit="1" customWidth="1"/>
    <col min="13086" max="13086" width="11.5703125" bestFit="1" customWidth="1"/>
    <col min="13087" max="13087" width="9.28515625" bestFit="1" customWidth="1"/>
    <col min="13088" max="13088" width="11.5703125" bestFit="1" customWidth="1"/>
    <col min="13089" max="13089" width="9.28515625" bestFit="1" customWidth="1"/>
    <col min="13090" max="13090" width="11.5703125" bestFit="1" customWidth="1"/>
    <col min="13091" max="13091" width="9.28515625" bestFit="1" customWidth="1"/>
    <col min="13092" max="13092" width="11.5703125" bestFit="1" customWidth="1"/>
    <col min="13093" max="13093" width="9.28515625" bestFit="1" customWidth="1"/>
    <col min="13094" max="13094" width="11.5703125" bestFit="1" customWidth="1"/>
    <col min="13095" max="13095" width="9.28515625" bestFit="1" customWidth="1"/>
    <col min="13096" max="13096" width="11.5703125" bestFit="1" customWidth="1"/>
    <col min="13097" max="13097" width="9.28515625" bestFit="1" customWidth="1"/>
    <col min="13098" max="13098" width="11.5703125" bestFit="1" customWidth="1"/>
    <col min="13099" max="13099" width="9.28515625" bestFit="1" customWidth="1"/>
    <col min="13100" max="13100" width="11.5703125" bestFit="1" customWidth="1"/>
    <col min="13101" max="13101" width="9.28515625" bestFit="1" customWidth="1"/>
    <col min="13102" max="13102" width="11.5703125" bestFit="1" customWidth="1"/>
    <col min="13103" max="13103" width="9.28515625" bestFit="1" customWidth="1"/>
    <col min="13104" max="13104" width="11.5703125" bestFit="1" customWidth="1"/>
    <col min="13105" max="13105" width="9.28515625" bestFit="1" customWidth="1"/>
    <col min="13106" max="13106" width="11.5703125" bestFit="1" customWidth="1"/>
    <col min="13107" max="13107" width="9.28515625" bestFit="1" customWidth="1"/>
    <col min="13315" max="13315" width="29.42578125" bestFit="1" customWidth="1"/>
    <col min="13316" max="13316" width="11.5703125" bestFit="1" customWidth="1"/>
    <col min="13317" max="13317" width="9.28515625" bestFit="1" customWidth="1"/>
    <col min="13318" max="13318" width="11.5703125" bestFit="1" customWidth="1"/>
    <col min="13319" max="13319" width="9.28515625" bestFit="1" customWidth="1"/>
    <col min="13320" max="13320" width="11.5703125" bestFit="1" customWidth="1"/>
    <col min="13321" max="13321" width="9.28515625" bestFit="1" customWidth="1"/>
    <col min="13322" max="13322" width="11.5703125" bestFit="1" customWidth="1"/>
    <col min="13323" max="13323" width="9.28515625" bestFit="1" customWidth="1"/>
    <col min="13324" max="13324" width="11.5703125" bestFit="1" customWidth="1"/>
    <col min="13325" max="13325" width="9.28515625" bestFit="1" customWidth="1"/>
    <col min="13326" max="13326" width="11.5703125" bestFit="1" customWidth="1"/>
    <col min="13327" max="13327" width="9.28515625" bestFit="1" customWidth="1"/>
    <col min="13328" max="13328" width="11.5703125" bestFit="1" customWidth="1"/>
    <col min="13329" max="13329" width="9.28515625" bestFit="1" customWidth="1"/>
    <col min="13330" max="13330" width="11.5703125" bestFit="1" customWidth="1"/>
    <col min="13331" max="13331" width="9.28515625" bestFit="1" customWidth="1"/>
    <col min="13332" max="13332" width="11.5703125" bestFit="1" customWidth="1"/>
    <col min="13333" max="13333" width="9.28515625" bestFit="1" customWidth="1"/>
    <col min="13334" max="13334" width="11.5703125" bestFit="1" customWidth="1"/>
    <col min="13335" max="13335" width="9.28515625" bestFit="1" customWidth="1"/>
    <col min="13336" max="13336" width="11.5703125" bestFit="1" customWidth="1"/>
    <col min="13337" max="13337" width="9.28515625" bestFit="1" customWidth="1"/>
    <col min="13338" max="13338" width="11.5703125" bestFit="1" customWidth="1"/>
    <col min="13339" max="13339" width="9.28515625" bestFit="1" customWidth="1"/>
    <col min="13340" max="13340" width="11.5703125" bestFit="1" customWidth="1"/>
    <col min="13341" max="13341" width="9.28515625" bestFit="1" customWidth="1"/>
    <col min="13342" max="13342" width="11.5703125" bestFit="1" customWidth="1"/>
    <col min="13343" max="13343" width="9.28515625" bestFit="1" customWidth="1"/>
    <col min="13344" max="13344" width="11.5703125" bestFit="1" customWidth="1"/>
    <col min="13345" max="13345" width="9.28515625" bestFit="1" customWidth="1"/>
    <col min="13346" max="13346" width="11.5703125" bestFit="1" customWidth="1"/>
    <col min="13347" max="13347" width="9.28515625" bestFit="1" customWidth="1"/>
    <col min="13348" max="13348" width="11.5703125" bestFit="1" customWidth="1"/>
    <col min="13349" max="13349" width="9.28515625" bestFit="1" customWidth="1"/>
    <col min="13350" max="13350" width="11.5703125" bestFit="1" customWidth="1"/>
    <col min="13351" max="13351" width="9.28515625" bestFit="1" customWidth="1"/>
    <col min="13352" max="13352" width="11.5703125" bestFit="1" customWidth="1"/>
    <col min="13353" max="13353" width="9.28515625" bestFit="1" customWidth="1"/>
    <col min="13354" max="13354" width="11.5703125" bestFit="1" customWidth="1"/>
    <col min="13355" max="13355" width="9.28515625" bestFit="1" customWidth="1"/>
    <col min="13356" max="13356" width="11.5703125" bestFit="1" customWidth="1"/>
    <col min="13357" max="13357" width="9.28515625" bestFit="1" customWidth="1"/>
    <col min="13358" max="13358" width="11.5703125" bestFit="1" customWidth="1"/>
    <col min="13359" max="13359" width="9.28515625" bestFit="1" customWidth="1"/>
    <col min="13360" max="13360" width="11.5703125" bestFit="1" customWidth="1"/>
    <col min="13361" max="13361" width="9.28515625" bestFit="1" customWidth="1"/>
    <col min="13362" max="13362" width="11.5703125" bestFit="1" customWidth="1"/>
    <col min="13363" max="13363" width="9.28515625" bestFit="1" customWidth="1"/>
    <col min="13571" max="13571" width="29.42578125" bestFit="1" customWidth="1"/>
    <col min="13572" max="13572" width="11.5703125" bestFit="1" customWidth="1"/>
    <col min="13573" max="13573" width="9.28515625" bestFit="1" customWidth="1"/>
    <col min="13574" max="13574" width="11.5703125" bestFit="1" customWidth="1"/>
    <col min="13575" max="13575" width="9.28515625" bestFit="1" customWidth="1"/>
    <col min="13576" max="13576" width="11.5703125" bestFit="1" customWidth="1"/>
    <col min="13577" max="13577" width="9.28515625" bestFit="1" customWidth="1"/>
    <col min="13578" max="13578" width="11.5703125" bestFit="1" customWidth="1"/>
    <col min="13579" max="13579" width="9.28515625" bestFit="1" customWidth="1"/>
    <col min="13580" max="13580" width="11.5703125" bestFit="1" customWidth="1"/>
    <col min="13581" max="13581" width="9.28515625" bestFit="1" customWidth="1"/>
    <col min="13582" max="13582" width="11.5703125" bestFit="1" customWidth="1"/>
    <col min="13583" max="13583" width="9.28515625" bestFit="1" customWidth="1"/>
    <col min="13584" max="13584" width="11.5703125" bestFit="1" customWidth="1"/>
    <col min="13585" max="13585" width="9.28515625" bestFit="1" customWidth="1"/>
    <col min="13586" max="13586" width="11.5703125" bestFit="1" customWidth="1"/>
    <col min="13587" max="13587" width="9.28515625" bestFit="1" customWidth="1"/>
    <col min="13588" max="13588" width="11.5703125" bestFit="1" customWidth="1"/>
    <col min="13589" max="13589" width="9.28515625" bestFit="1" customWidth="1"/>
    <col min="13590" max="13590" width="11.5703125" bestFit="1" customWidth="1"/>
    <col min="13591" max="13591" width="9.28515625" bestFit="1" customWidth="1"/>
    <col min="13592" max="13592" width="11.5703125" bestFit="1" customWidth="1"/>
    <col min="13593" max="13593" width="9.28515625" bestFit="1" customWidth="1"/>
    <col min="13594" max="13594" width="11.5703125" bestFit="1" customWidth="1"/>
    <col min="13595" max="13595" width="9.28515625" bestFit="1" customWidth="1"/>
    <col min="13596" max="13596" width="11.5703125" bestFit="1" customWidth="1"/>
    <col min="13597" max="13597" width="9.28515625" bestFit="1" customWidth="1"/>
    <col min="13598" max="13598" width="11.5703125" bestFit="1" customWidth="1"/>
    <col min="13599" max="13599" width="9.28515625" bestFit="1" customWidth="1"/>
    <col min="13600" max="13600" width="11.5703125" bestFit="1" customWidth="1"/>
    <col min="13601" max="13601" width="9.28515625" bestFit="1" customWidth="1"/>
    <col min="13602" max="13602" width="11.5703125" bestFit="1" customWidth="1"/>
    <col min="13603" max="13603" width="9.28515625" bestFit="1" customWidth="1"/>
    <col min="13604" max="13604" width="11.5703125" bestFit="1" customWidth="1"/>
    <col min="13605" max="13605" width="9.28515625" bestFit="1" customWidth="1"/>
    <col min="13606" max="13606" width="11.5703125" bestFit="1" customWidth="1"/>
    <col min="13607" max="13607" width="9.28515625" bestFit="1" customWidth="1"/>
    <col min="13608" max="13608" width="11.5703125" bestFit="1" customWidth="1"/>
    <col min="13609" max="13609" width="9.28515625" bestFit="1" customWidth="1"/>
    <col min="13610" max="13610" width="11.5703125" bestFit="1" customWidth="1"/>
    <col min="13611" max="13611" width="9.28515625" bestFit="1" customWidth="1"/>
    <col min="13612" max="13612" width="11.5703125" bestFit="1" customWidth="1"/>
    <col min="13613" max="13613" width="9.28515625" bestFit="1" customWidth="1"/>
    <col min="13614" max="13614" width="11.5703125" bestFit="1" customWidth="1"/>
    <col min="13615" max="13615" width="9.28515625" bestFit="1" customWidth="1"/>
    <col min="13616" max="13616" width="11.5703125" bestFit="1" customWidth="1"/>
    <col min="13617" max="13617" width="9.28515625" bestFit="1" customWidth="1"/>
    <col min="13618" max="13618" width="11.5703125" bestFit="1" customWidth="1"/>
    <col min="13619" max="13619" width="9.28515625" bestFit="1" customWidth="1"/>
    <col min="13827" max="13827" width="29.42578125" bestFit="1" customWidth="1"/>
    <col min="13828" max="13828" width="11.5703125" bestFit="1" customWidth="1"/>
    <col min="13829" max="13829" width="9.28515625" bestFit="1" customWidth="1"/>
    <col min="13830" max="13830" width="11.5703125" bestFit="1" customWidth="1"/>
    <col min="13831" max="13831" width="9.28515625" bestFit="1" customWidth="1"/>
    <col min="13832" max="13832" width="11.5703125" bestFit="1" customWidth="1"/>
    <col min="13833" max="13833" width="9.28515625" bestFit="1" customWidth="1"/>
    <col min="13834" max="13834" width="11.5703125" bestFit="1" customWidth="1"/>
    <col min="13835" max="13835" width="9.28515625" bestFit="1" customWidth="1"/>
    <col min="13836" max="13836" width="11.5703125" bestFit="1" customWidth="1"/>
    <col min="13837" max="13837" width="9.28515625" bestFit="1" customWidth="1"/>
    <col min="13838" max="13838" width="11.5703125" bestFit="1" customWidth="1"/>
    <col min="13839" max="13839" width="9.28515625" bestFit="1" customWidth="1"/>
    <col min="13840" max="13840" width="11.5703125" bestFit="1" customWidth="1"/>
    <col min="13841" max="13841" width="9.28515625" bestFit="1" customWidth="1"/>
    <col min="13842" max="13842" width="11.5703125" bestFit="1" customWidth="1"/>
    <col min="13843" max="13843" width="9.28515625" bestFit="1" customWidth="1"/>
    <col min="13844" max="13844" width="11.5703125" bestFit="1" customWidth="1"/>
    <col min="13845" max="13845" width="9.28515625" bestFit="1" customWidth="1"/>
    <col min="13846" max="13846" width="11.5703125" bestFit="1" customWidth="1"/>
    <col min="13847" max="13847" width="9.28515625" bestFit="1" customWidth="1"/>
    <col min="13848" max="13848" width="11.5703125" bestFit="1" customWidth="1"/>
    <col min="13849" max="13849" width="9.28515625" bestFit="1" customWidth="1"/>
    <col min="13850" max="13850" width="11.5703125" bestFit="1" customWidth="1"/>
    <col min="13851" max="13851" width="9.28515625" bestFit="1" customWidth="1"/>
    <col min="13852" max="13852" width="11.5703125" bestFit="1" customWidth="1"/>
    <col min="13853" max="13853" width="9.28515625" bestFit="1" customWidth="1"/>
    <col min="13854" max="13854" width="11.5703125" bestFit="1" customWidth="1"/>
    <col min="13855" max="13855" width="9.28515625" bestFit="1" customWidth="1"/>
    <col min="13856" max="13856" width="11.5703125" bestFit="1" customWidth="1"/>
    <col min="13857" max="13857" width="9.28515625" bestFit="1" customWidth="1"/>
    <col min="13858" max="13858" width="11.5703125" bestFit="1" customWidth="1"/>
    <col min="13859" max="13859" width="9.28515625" bestFit="1" customWidth="1"/>
    <col min="13860" max="13860" width="11.5703125" bestFit="1" customWidth="1"/>
    <col min="13861" max="13861" width="9.28515625" bestFit="1" customWidth="1"/>
    <col min="13862" max="13862" width="11.5703125" bestFit="1" customWidth="1"/>
    <col min="13863" max="13863" width="9.28515625" bestFit="1" customWidth="1"/>
    <col min="13864" max="13864" width="11.5703125" bestFit="1" customWidth="1"/>
    <col min="13865" max="13865" width="9.28515625" bestFit="1" customWidth="1"/>
    <col min="13866" max="13866" width="11.5703125" bestFit="1" customWidth="1"/>
    <col min="13867" max="13867" width="9.28515625" bestFit="1" customWidth="1"/>
    <col min="13868" max="13868" width="11.5703125" bestFit="1" customWidth="1"/>
    <col min="13869" max="13869" width="9.28515625" bestFit="1" customWidth="1"/>
    <col min="13870" max="13870" width="11.5703125" bestFit="1" customWidth="1"/>
    <col min="13871" max="13871" width="9.28515625" bestFit="1" customWidth="1"/>
    <col min="13872" max="13872" width="11.5703125" bestFit="1" customWidth="1"/>
    <col min="13873" max="13873" width="9.28515625" bestFit="1" customWidth="1"/>
    <col min="13874" max="13874" width="11.5703125" bestFit="1" customWidth="1"/>
    <col min="13875" max="13875" width="9.28515625" bestFit="1" customWidth="1"/>
    <col min="14083" max="14083" width="29.42578125" bestFit="1" customWidth="1"/>
    <col min="14084" max="14084" width="11.5703125" bestFit="1" customWidth="1"/>
    <col min="14085" max="14085" width="9.28515625" bestFit="1" customWidth="1"/>
    <col min="14086" max="14086" width="11.5703125" bestFit="1" customWidth="1"/>
    <col min="14087" max="14087" width="9.28515625" bestFit="1" customWidth="1"/>
    <col min="14088" max="14088" width="11.5703125" bestFit="1" customWidth="1"/>
    <col min="14089" max="14089" width="9.28515625" bestFit="1" customWidth="1"/>
    <col min="14090" max="14090" width="11.5703125" bestFit="1" customWidth="1"/>
    <col min="14091" max="14091" width="9.28515625" bestFit="1" customWidth="1"/>
    <col min="14092" max="14092" width="11.5703125" bestFit="1" customWidth="1"/>
    <col min="14093" max="14093" width="9.28515625" bestFit="1" customWidth="1"/>
    <col min="14094" max="14094" width="11.5703125" bestFit="1" customWidth="1"/>
    <col min="14095" max="14095" width="9.28515625" bestFit="1" customWidth="1"/>
    <col min="14096" max="14096" width="11.5703125" bestFit="1" customWidth="1"/>
    <col min="14097" max="14097" width="9.28515625" bestFit="1" customWidth="1"/>
    <col min="14098" max="14098" width="11.5703125" bestFit="1" customWidth="1"/>
    <col min="14099" max="14099" width="9.28515625" bestFit="1" customWidth="1"/>
    <col min="14100" max="14100" width="11.5703125" bestFit="1" customWidth="1"/>
    <col min="14101" max="14101" width="9.28515625" bestFit="1" customWidth="1"/>
    <col min="14102" max="14102" width="11.5703125" bestFit="1" customWidth="1"/>
    <col min="14103" max="14103" width="9.28515625" bestFit="1" customWidth="1"/>
    <col min="14104" max="14104" width="11.5703125" bestFit="1" customWidth="1"/>
    <col min="14105" max="14105" width="9.28515625" bestFit="1" customWidth="1"/>
    <col min="14106" max="14106" width="11.5703125" bestFit="1" customWidth="1"/>
    <col min="14107" max="14107" width="9.28515625" bestFit="1" customWidth="1"/>
    <col min="14108" max="14108" width="11.5703125" bestFit="1" customWidth="1"/>
    <col min="14109" max="14109" width="9.28515625" bestFit="1" customWidth="1"/>
    <col min="14110" max="14110" width="11.5703125" bestFit="1" customWidth="1"/>
    <col min="14111" max="14111" width="9.28515625" bestFit="1" customWidth="1"/>
    <col min="14112" max="14112" width="11.5703125" bestFit="1" customWidth="1"/>
    <col min="14113" max="14113" width="9.28515625" bestFit="1" customWidth="1"/>
    <col min="14114" max="14114" width="11.5703125" bestFit="1" customWidth="1"/>
    <col min="14115" max="14115" width="9.28515625" bestFit="1" customWidth="1"/>
    <col min="14116" max="14116" width="11.5703125" bestFit="1" customWidth="1"/>
    <col min="14117" max="14117" width="9.28515625" bestFit="1" customWidth="1"/>
    <col min="14118" max="14118" width="11.5703125" bestFit="1" customWidth="1"/>
    <col min="14119" max="14119" width="9.28515625" bestFit="1" customWidth="1"/>
    <col min="14120" max="14120" width="11.5703125" bestFit="1" customWidth="1"/>
    <col min="14121" max="14121" width="9.28515625" bestFit="1" customWidth="1"/>
    <col min="14122" max="14122" width="11.5703125" bestFit="1" customWidth="1"/>
    <col min="14123" max="14123" width="9.28515625" bestFit="1" customWidth="1"/>
    <col min="14124" max="14124" width="11.5703125" bestFit="1" customWidth="1"/>
    <col min="14125" max="14125" width="9.28515625" bestFit="1" customWidth="1"/>
    <col min="14126" max="14126" width="11.5703125" bestFit="1" customWidth="1"/>
    <col min="14127" max="14127" width="9.28515625" bestFit="1" customWidth="1"/>
    <col min="14128" max="14128" width="11.5703125" bestFit="1" customWidth="1"/>
    <col min="14129" max="14129" width="9.28515625" bestFit="1" customWidth="1"/>
    <col min="14130" max="14130" width="11.5703125" bestFit="1" customWidth="1"/>
    <col min="14131" max="14131" width="9.28515625" bestFit="1" customWidth="1"/>
    <col min="14339" max="14339" width="29.42578125" bestFit="1" customWidth="1"/>
    <col min="14340" max="14340" width="11.5703125" bestFit="1" customWidth="1"/>
    <col min="14341" max="14341" width="9.28515625" bestFit="1" customWidth="1"/>
    <col min="14342" max="14342" width="11.5703125" bestFit="1" customWidth="1"/>
    <col min="14343" max="14343" width="9.28515625" bestFit="1" customWidth="1"/>
    <col min="14344" max="14344" width="11.5703125" bestFit="1" customWidth="1"/>
    <col min="14345" max="14345" width="9.28515625" bestFit="1" customWidth="1"/>
    <col min="14346" max="14346" width="11.5703125" bestFit="1" customWidth="1"/>
    <col min="14347" max="14347" width="9.28515625" bestFit="1" customWidth="1"/>
    <col min="14348" max="14348" width="11.5703125" bestFit="1" customWidth="1"/>
    <col min="14349" max="14349" width="9.28515625" bestFit="1" customWidth="1"/>
    <col min="14350" max="14350" width="11.5703125" bestFit="1" customWidth="1"/>
    <col min="14351" max="14351" width="9.28515625" bestFit="1" customWidth="1"/>
    <col min="14352" max="14352" width="11.5703125" bestFit="1" customWidth="1"/>
    <col min="14353" max="14353" width="9.28515625" bestFit="1" customWidth="1"/>
    <col min="14354" max="14354" width="11.5703125" bestFit="1" customWidth="1"/>
    <col min="14355" max="14355" width="9.28515625" bestFit="1" customWidth="1"/>
    <col min="14356" max="14356" width="11.5703125" bestFit="1" customWidth="1"/>
    <col min="14357" max="14357" width="9.28515625" bestFit="1" customWidth="1"/>
    <col min="14358" max="14358" width="11.5703125" bestFit="1" customWidth="1"/>
    <col min="14359" max="14359" width="9.28515625" bestFit="1" customWidth="1"/>
    <col min="14360" max="14360" width="11.5703125" bestFit="1" customWidth="1"/>
    <col min="14361" max="14361" width="9.28515625" bestFit="1" customWidth="1"/>
    <col min="14362" max="14362" width="11.5703125" bestFit="1" customWidth="1"/>
    <col min="14363" max="14363" width="9.28515625" bestFit="1" customWidth="1"/>
    <col min="14364" max="14364" width="11.5703125" bestFit="1" customWidth="1"/>
    <col min="14365" max="14365" width="9.28515625" bestFit="1" customWidth="1"/>
    <col min="14366" max="14366" width="11.5703125" bestFit="1" customWidth="1"/>
    <col min="14367" max="14367" width="9.28515625" bestFit="1" customWidth="1"/>
    <col min="14368" max="14368" width="11.5703125" bestFit="1" customWidth="1"/>
    <col min="14369" max="14369" width="9.28515625" bestFit="1" customWidth="1"/>
    <col min="14370" max="14370" width="11.5703125" bestFit="1" customWidth="1"/>
    <col min="14371" max="14371" width="9.28515625" bestFit="1" customWidth="1"/>
    <col min="14372" max="14372" width="11.5703125" bestFit="1" customWidth="1"/>
    <col min="14373" max="14373" width="9.28515625" bestFit="1" customWidth="1"/>
    <col min="14374" max="14374" width="11.5703125" bestFit="1" customWidth="1"/>
    <col min="14375" max="14375" width="9.28515625" bestFit="1" customWidth="1"/>
    <col min="14376" max="14376" width="11.5703125" bestFit="1" customWidth="1"/>
    <col min="14377" max="14377" width="9.28515625" bestFit="1" customWidth="1"/>
    <col min="14378" max="14378" width="11.5703125" bestFit="1" customWidth="1"/>
    <col min="14379" max="14379" width="9.28515625" bestFit="1" customWidth="1"/>
    <col min="14380" max="14380" width="11.5703125" bestFit="1" customWidth="1"/>
    <col min="14381" max="14381" width="9.28515625" bestFit="1" customWidth="1"/>
    <col min="14382" max="14382" width="11.5703125" bestFit="1" customWidth="1"/>
    <col min="14383" max="14383" width="9.28515625" bestFit="1" customWidth="1"/>
    <col min="14384" max="14384" width="11.5703125" bestFit="1" customWidth="1"/>
    <col min="14385" max="14385" width="9.28515625" bestFit="1" customWidth="1"/>
    <col min="14386" max="14386" width="11.5703125" bestFit="1" customWidth="1"/>
    <col min="14387" max="14387" width="9.28515625" bestFit="1" customWidth="1"/>
    <col min="14595" max="14595" width="29.42578125" bestFit="1" customWidth="1"/>
    <col min="14596" max="14596" width="11.5703125" bestFit="1" customWidth="1"/>
    <col min="14597" max="14597" width="9.28515625" bestFit="1" customWidth="1"/>
    <col min="14598" max="14598" width="11.5703125" bestFit="1" customWidth="1"/>
    <col min="14599" max="14599" width="9.28515625" bestFit="1" customWidth="1"/>
    <col min="14600" max="14600" width="11.5703125" bestFit="1" customWidth="1"/>
    <col min="14601" max="14601" width="9.28515625" bestFit="1" customWidth="1"/>
    <col min="14602" max="14602" width="11.5703125" bestFit="1" customWidth="1"/>
    <col min="14603" max="14603" width="9.28515625" bestFit="1" customWidth="1"/>
    <col min="14604" max="14604" width="11.5703125" bestFit="1" customWidth="1"/>
    <col min="14605" max="14605" width="9.28515625" bestFit="1" customWidth="1"/>
    <col min="14606" max="14606" width="11.5703125" bestFit="1" customWidth="1"/>
    <col min="14607" max="14607" width="9.28515625" bestFit="1" customWidth="1"/>
    <col min="14608" max="14608" width="11.5703125" bestFit="1" customWidth="1"/>
    <col min="14609" max="14609" width="9.28515625" bestFit="1" customWidth="1"/>
    <col min="14610" max="14610" width="11.5703125" bestFit="1" customWidth="1"/>
    <col min="14611" max="14611" width="9.28515625" bestFit="1" customWidth="1"/>
    <col min="14612" max="14612" width="11.5703125" bestFit="1" customWidth="1"/>
    <col min="14613" max="14613" width="9.28515625" bestFit="1" customWidth="1"/>
    <col min="14614" max="14614" width="11.5703125" bestFit="1" customWidth="1"/>
    <col min="14615" max="14615" width="9.28515625" bestFit="1" customWidth="1"/>
    <col min="14616" max="14616" width="11.5703125" bestFit="1" customWidth="1"/>
    <col min="14617" max="14617" width="9.28515625" bestFit="1" customWidth="1"/>
    <col min="14618" max="14618" width="11.5703125" bestFit="1" customWidth="1"/>
    <col min="14619" max="14619" width="9.28515625" bestFit="1" customWidth="1"/>
    <col min="14620" max="14620" width="11.5703125" bestFit="1" customWidth="1"/>
    <col min="14621" max="14621" width="9.28515625" bestFit="1" customWidth="1"/>
    <col min="14622" max="14622" width="11.5703125" bestFit="1" customWidth="1"/>
    <col min="14623" max="14623" width="9.28515625" bestFit="1" customWidth="1"/>
    <col min="14624" max="14624" width="11.5703125" bestFit="1" customWidth="1"/>
    <col min="14625" max="14625" width="9.28515625" bestFit="1" customWidth="1"/>
    <col min="14626" max="14626" width="11.5703125" bestFit="1" customWidth="1"/>
    <col min="14627" max="14627" width="9.28515625" bestFit="1" customWidth="1"/>
    <col min="14628" max="14628" width="11.5703125" bestFit="1" customWidth="1"/>
    <col min="14629" max="14629" width="9.28515625" bestFit="1" customWidth="1"/>
    <col min="14630" max="14630" width="11.5703125" bestFit="1" customWidth="1"/>
    <col min="14631" max="14631" width="9.28515625" bestFit="1" customWidth="1"/>
    <col min="14632" max="14632" width="11.5703125" bestFit="1" customWidth="1"/>
    <col min="14633" max="14633" width="9.28515625" bestFit="1" customWidth="1"/>
    <col min="14634" max="14634" width="11.5703125" bestFit="1" customWidth="1"/>
    <col min="14635" max="14635" width="9.28515625" bestFit="1" customWidth="1"/>
    <col min="14636" max="14636" width="11.5703125" bestFit="1" customWidth="1"/>
    <col min="14637" max="14637" width="9.28515625" bestFit="1" customWidth="1"/>
    <col min="14638" max="14638" width="11.5703125" bestFit="1" customWidth="1"/>
    <col min="14639" max="14639" width="9.28515625" bestFit="1" customWidth="1"/>
    <col min="14640" max="14640" width="11.5703125" bestFit="1" customWidth="1"/>
    <col min="14641" max="14641" width="9.28515625" bestFit="1" customWidth="1"/>
    <col min="14642" max="14642" width="11.5703125" bestFit="1" customWidth="1"/>
    <col min="14643" max="14643" width="9.28515625" bestFit="1" customWidth="1"/>
    <col min="14851" max="14851" width="29.42578125" bestFit="1" customWidth="1"/>
    <col min="14852" max="14852" width="11.5703125" bestFit="1" customWidth="1"/>
    <col min="14853" max="14853" width="9.28515625" bestFit="1" customWidth="1"/>
    <col min="14854" max="14854" width="11.5703125" bestFit="1" customWidth="1"/>
    <col min="14855" max="14855" width="9.28515625" bestFit="1" customWidth="1"/>
    <col min="14856" max="14856" width="11.5703125" bestFit="1" customWidth="1"/>
    <col min="14857" max="14857" width="9.28515625" bestFit="1" customWidth="1"/>
    <col min="14858" max="14858" width="11.5703125" bestFit="1" customWidth="1"/>
    <col min="14859" max="14859" width="9.28515625" bestFit="1" customWidth="1"/>
    <col min="14860" max="14860" width="11.5703125" bestFit="1" customWidth="1"/>
    <col min="14861" max="14861" width="9.28515625" bestFit="1" customWidth="1"/>
    <col min="14862" max="14862" width="11.5703125" bestFit="1" customWidth="1"/>
    <col min="14863" max="14863" width="9.28515625" bestFit="1" customWidth="1"/>
    <col min="14864" max="14864" width="11.5703125" bestFit="1" customWidth="1"/>
    <col min="14865" max="14865" width="9.28515625" bestFit="1" customWidth="1"/>
    <col min="14866" max="14866" width="11.5703125" bestFit="1" customWidth="1"/>
    <col min="14867" max="14867" width="9.28515625" bestFit="1" customWidth="1"/>
    <col min="14868" max="14868" width="11.5703125" bestFit="1" customWidth="1"/>
    <col min="14869" max="14869" width="9.28515625" bestFit="1" customWidth="1"/>
    <col min="14870" max="14870" width="11.5703125" bestFit="1" customWidth="1"/>
    <col min="14871" max="14871" width="9.28515625" bestFit="1" customWidth="1"/>
    <col min="14872" max="14872" width="11.5703125" bestFit="1" customWidth="1"/>
    <col min="14873" max="14873" width="9.28515625" bestFit="1" customWidth="1"/>
    <col min="14874" max="14874" width="11.5703125" bestFit="1" customWidth="1"/>
    <col min="14875" max="14875" width="9.28515625" bestFit="1" customWidth="1"/>
    <col min="14876" max="14876" width="11.5703125" bestFit="1" customWidth="1"/>
    <col min="14877" max="14877" width="9.28515625" bestFit="1" customWidth="1"/>
    <col min="14878" max="14878" width="11.5703125" bestFit="1" customWidth="1"/>
    <col min="14879" max="14879" width="9.28515625" bestFit="1" customWidth="1"/>
    <col min="14880" max="14880" width="11.5703125" bestFit="1" customWidth="1"/>
    <col min="14881" max="14881" width="9.28515625" bestFit="1" customWidth="1"/>
    <col min="14882" max="14882" width="11.5703125" bestFit="1" customWidth="1"/>
    <col min="14883" max="14883" width="9.28515625" bestFit="1" customWidth="1"/>
    <col min="14884" max="14884" width="11.5703125" bestFit="1" customWidth="1"/>
    <col min="14885" max="14885" width="9.28515625" bestFit="1" customWidth="1"/>
    <col min="14886" max="14886" width="11.5703125" bestFit="1" customWidth="1"/>
    <col min="14887" max="14887" width="9.28515625" bestFit="1" customWidth="1"/>
    <col min="14888" max="14888" width="11.5703125" bestFit="1" customWidth="1"/>
    <col min="14889" max="14889" width="9.28515625" bestFit="1" customWidth="1"/>
    <col min="14890" max="14890" width="11.5703125" bestFit="1" customWidth="1"/>
    <col min="14891" max="14891" width="9.28515625" bestFit="1" customWidth="1"/>
    <col min="14892" max="14892" width="11.5703125" bestFit="1" customWidth="1"/>
    <col min="14893" max="14893" width="9.28515625" bestFit="1" customWidth="1"/>
    <col min="14894" max="14894" width="11.5703125" bestFit="1" customWidth="1"/>
    <col min="14895" max="14895" width="9.28515625" bestFit="1" customWidth="1"/>
    <col min="14896" max="14896" width="11.5703125" bestFit="1" customWidth="1"/>
    <col min="14897" max="14897" width="9.28515625" bestFit="1" customWidth="1"/>
    <col min="14898" max="14898" width="11.5703125" bestFit="1" customWidth="1"/>
    <col min="14899" max="14899" width="9.28515625" bestFit="1" customWidth="1"/>
    <col min="15107" max="15107" width="29.42578125" bestFit="1" customWidth="1"/>
    <col min="15108" max="15108" width="11.5703125" bestFit="1" customWidth="1"/>
    <col min="15109" max="15109" width="9.28515625" bestFit="1" customWidth="1"/>
    <col min="15110" max="15110" width="11.5703125" bestFit="1" customWidth="1"/>
    <col min="15111" max="15111" width="9.28515625" bestFit="1" customWidth="1"/>
    <col min="15112" max="15112" width="11.5703125" bestFit="1" customWidth="1"/>
    <col min="15113" max="15113" width="9.28515625" bestFit="1" customWidth="1"/>
    <col min="15114" max="15114" width="11.5703125" bestFit="1" customWidth="1"/>
    <col min="15115" max="15115" width="9.28515625" bestFit="1" customWidth="1"/>
    <col min="15116" max="15116" width="11.5703125" bestFit="1" customWidth="1"/>
    <col min="15117" max="15117" width="9.28515625" bestFit="1" customWidth="1"/>
    <col min="15118" max="15118" width="11.5703125" bestFit="1" customWidth="1"/>
    <col min="15119" max="15119" width="9.28515625" bestFit="1" customWidth="1"/>
    <col min="15120" max="15120" width="11.5703125" bestFit="1" customWidth="1"/>
    <col min="15121" max="15121" width="9.28515625" bestFit="1" customWidth="1"/>
    <col min="15122" max="15122" width="11.5703125" bestFit="1" customWidth="1"/>
    <col min="15123" max="15123" width="9.28515625" bestFit="1" customWidth="1"/>
    <col min="15124" max="15124" width="11.5703125" bestFit="1" customWidth="1"/>
    <col min="15125" max="15125" width="9.28515625" bestFit="1" customWidth="1"/>
    <col min="15126" max="15126" width="11.5703125" bestFit="1" customWidth="1"/>
    <col min="15127" max="15127" width="9.28515625" bestFit="1" customWidth="1"/>
    <col min="15128" max="15128" width="11.5703125" bestFit="1" customWidth="1"/>
    <col min="15129" max="15129" width="9.28515625" bestFit="1" customWidth="1"/>
    <col min="15130" max="15130" width="11.5703125" bestFit="1" customWidth="1"/>
    <col min="15131" max="15131" width="9.28515625" bestFit="1" customWidth="1"/>
    <col min="15132" max="15132" width="11.5703125" bestFit="1" customWidth="1"/>
    <col min="15133" max="15133" width="9.28515625" bestFit="1" customWidth="1"/>
    <col min="15134" max="15134" width="11.5703125" bestFit="1" customWidth="1"/>
    <col min="15135" max="15135" width="9.28515625" bestFit="1" customWidth="1"/>
    <col min="15136" max="15136" width="11.5703125" bestFit="1" customWidth="1"/>
    <col min="15137" max="15137" width="9.28515625" bestFit="1" customWidth="1"/>
    <col min="15138" max="15138" width="11.5703125" bestFit="1" customWidth="1"/>
    <col min="15139" max="15139" width="9.28515625" bestFit="1" customWidth="1"/>
    <col min="15140" max="15140" width="11.5703125" bestFit="1" customWidth="1"/>
    <col min="15141" max="15141" width="9.28515625" bestFit="1" customWidth="1"/>
    <col min="15142" max="15142" width="11.5703125" bestFit="1" customWidth="1"/>
    <col min="15143" max="15143" width="9.28515625" bestFit="1" customWidth="1"/>
    <col min="15144" max="15144" width="11.5703125" bestFit="1" customWidth="1"/>
    <col min="15145" max="15145" width="9.28515625" bestFit="1" customWidth="1"/>
    <col min="15146" max="15146" width="11.5703125" bestFit="1" customWidth="1"/>
    <col min="15147" max="15147" width="9.28515625" bestFit="1" customWidth="1"/>
    <col min="15148" max="15148" width="11.5703125" bestFit="1" customWidth="1"/>
    <col min="15149" max="15149" width="9.28515625" bestFit="1" customWidth="1"/>
    <col min="15150" max="15150" width="11.5703125" bestFit="1" customWidth="1"/>
    <col min="15151" max="15151" width="9.28515625" bestFit="1" customWidth="1"/>
    <col min="15152" max="15152" width="11.5703125" bestFit="1" customWidth="1"/>
    <col min="15153" max="15153" width="9.28515625" bestFit="1" customWidth="1"/>
    <col min="15154" max="15154" width="11.5703125" bestFit="1" customWidth="1"/>
    <col min="15155" max="15155" width="9.28515625" bestFit="1" customWidth="1"/>
    <col min="15363" max="15363" width="29.42578125" bestFit="1" customWidth="1"/>
    <col min="15364" max="15364" width="11.5703125" bestFit="1" customWidth="1"/>
    <col min="15365" max="15365" width="9.28515625" bestFit="1" customWidth="1"/>
    <col min="15366" max="15366" width="11.5703125" bestFit="1" customWidth="1"/>
    <col min="15367" max="15367" width="9.28515625" bestFit="1" customWidth="1"/>
    <col min="15368" max="15368" width="11.5703125" bestFit="1" customWidth="1"/>
    <col min="15369" max="15369" width="9.28515625" bestFit="1" customWidth="1"/>
    <col min="15370" max="15370" width="11.5703125" bestFit="1" customWidth="1"/>
    <col min="15371" max="15371" width="9.28515625" bestFit="1" customWidth="1"/>
    <col min="15372" max="15372" width="11.5703125" bestFit="1" customWidth="1"/>
    <col min="15373" max="15373" width="9.28515625" bestFit="1" customWidth="1"/>
    <col min="15374" max="15374" width="11.5703125" bestFit="1" customWidth="1"/>
    <col min="15375" max="15375" width="9.28515625" bestFit="1" customWidth="1"/>
    <col min="15376" max="15376" width="11.5703125" bestFit="1" customWidth="1"/>
    <col min="15377" max="15377" width="9.28515625" bestFit="1" customWidth="1"/>
    <col min="15378" max="15378" width="11.5703125" bestFit="1" customWidth="1"/>
    <col min="15379" max="15379" width="9.28515625" bestFit="1" customWidth="1"/>
    <col min="15380" max="15380" width="11.5703125" bestFit="1" customWidth="1"/>
    <col min="15381" max="15381" width="9.28515625" bestFit="1" customWidth="1"/>
    <col min="15382" max="15382" width="11.5703125" bestFit="1" customWidth="1"/>
    <col min="15383" max="15383" width="9.28515625" bestFit="1" customWidth="1"/>
    <col min="15384" max="15384" width="11.5703125" bestFit="1" customWidth="1"/>
    <col min="15385" max="15385" width="9.28515625" bestFit="1" customWidth="1"/>
    <col min="15386" max="15386" width="11.5703125" bestFit="1" customWidth="1"/>
    <col min="15387" max="15387" width="9.28515625" bestFit="1" customWidth="1"/>
    <col min="15388" max="15388" width="11.5703125" bestFit="1" customWidth="1"/>
    <col min="15389" max="15389" width="9.28515625" bestFit="1" customWidth="1"/>
    <col min="15390" max="15390" width="11.5703125" bestFit="1" customWidth="1"/>
    <col min="15391" max="15391" width="9.28515625" bestFit="1" customWidth="1"/>
    <col min="15392" max="15392" width="11.5703125" bestFit="1" customWidth="1"/>
    <col min="15393" max="15393" width="9.28515625" bestFit="1" customWidth="1"/>
    <col min="15394" max="15394" width="11.5703125" bestFit="1" customWidth="1"/>
    <col min="15395" max="15395" width="9.28515625" bestFit="1" customWidth="1"/>
    <col min="15396" max="15396" width="11.5703125" bestFit="1" customWidth="1"/>
    <col min="15397" max="15397" width="9.28515625" bestFit="1" customWidth="1"/>
    <col min="15398" max="15398" width="11.5703125" bestFit="1" customWidth="1"/>
    <col min="15399" max="15399" width="9.28515625" bestFit="1" customWidth="1"/>
    <col min="15400" max="15400" width="11.5703125" bestFit="1" customWidth="1"/>
    <col min="15401" max="15401" width="9.28515625" bestFit="1" customWidth="1"/>
    <col min="15402" max="15402" width="11.5703125" bestFit="1" customWidth="1"/>
    <col min="15403" max="15403" width="9.28515625" bestFit="1" customWidth="1"/>
    <col min="15404" max="15404" width="11.5703125" bestFit="1" customWidth="1"/>
    <col min="15405" max="15405" width="9.28515625" bestFit="1" customWidth="1"/>
    <col min="15406" max="15406" width="11.5703125" bestFit="1" customWidth="1"/>
    <col min="15407" max="15407" width="9.28515625" bestFit="1" customWidth="1"/>
    <col min="15408" max="15408" width="11.5703125" bestFit="1" customWidth="1"/>
    <col min="15409" max="15409" width="9.28515625" bestFit="1" customWidth="1"/>
    <col min="15410" max="15410" width="11.5703125" bestFit="1" customWidth="1"/>
    <col min="15411" max="15411" width="9.28515625" bestFit="1" customWidth="1"/>
    <col min="15619" max="15619" width="29.42578125" bestFit="1" customWidth="1"/>
    <col min="15620" max="15620" width="11.5703125" bestFit="1" customWidth="1"/>
    <col min="15621" max="15621" width="9.28515625" bestFit="1" customWidth="1"/>
    <col min="15622" max="15622" width="11.5703125" bestFit="1" customWidth="1"/>
    <col min="15623" max="15623" width="9.28515625" bestFit="1" customWidth="1"/>
    <col min="15624" max="15624" width="11.5703125" bestFit="1" customWidth="1"/>
    <col min="15625" max="15625" width="9.28515625" bestFit="1" customWidth="1"/>
    <col min="15626" max="15626" width="11.5703125" bestFit="1" customWidth="1"/>
    <col min="15627" max="15627" width="9.28515625" bestFit="1" customWidth="1"/>
    <col min="15628" max="15628" width="11.5703125" bestFit="1" customWidth="1"/>
    <col min="15629" max="15629" width="9.28515625" bestFit="1" customWidth="1"/>
    <col min="15630" max="15630" width="11.5703125" bestFit="1" customWidth="1"/>
    <col min="15631" max="15631" width="9.28515625" bestFit="1" customWidth="1"/>
    <col min="15632" max="15632" width="11.5703125" bestFit="1" customWidth="1"/>
    <col min="15633" max="15633" width="9.28515625" bestFit="1" customWidth="1"/>
    <col min="15634" max="15634" width="11.5703125" bestFit="1" customWidth="1"/>
    <col min="15635" max="15635" width="9.28515625" bestFit="1" customWidth="1"/>
    <col min="15636" max="15636" width="11.5703125" bestFit="1" customWidth="1"/>
    <col min="15637" max="15637" width="9.28515625" bestFit="1" customWidth="1"/>
    <col min="15638" max="15638" width="11.5703125" bestFit="1" customWidth="1"/>
    <col min="15639" max="15639" width="9.28515625" bestFit="1" customWidth="1"/>
    <col min="15640" max="15640" width="11.5703125" bestFit="1" customWidth="1"/>
    <col min="15641" max="15641" width="9.28515625" bestFit="1" customWidth="1"/>
    <col min="15642" max="15642" width="11.5703125" bestFit="1" customWidth="1"/>
    <col min="15643" max="15643" width="9.28515625" bestFit="1" customWidth="1"/>
    <col min="15644" max="15644" width="11.5703125" bestFit="1" customWidth="1"/>
    <col min="15645" max="15645" width="9.28515625" bestFit="1" customWidth="1"/>
    <col min="15646" max="15646" width="11.5703125" bestFit="1" customWidth="1"/>
    <col min="15647" max="15647" width="9.28515625" bestFit="1" customWidth="1"/>
    <col min="15648" max="15648" width="11.5703125" bestFit="1" customWidth="1"/>
    <col min="15649" max="15649" width="9.28515625" bestFit="1" customWidth="1"/>
    <col min="15650" max="15650" width="11.5703125" bestFit="1" customWidth="1"/>
    <col min="15651" max="15651" width="9.28515625" bestFit="1" customWidth="1"/>
    <col min="15652" max="15652" width="11.5703125" bestFit="1" customWidth="1"/>
    <col min="15653" max="15653" width="9.28515625" bestFit="1" customWidth="1"/>
    <col min="15654" max="15654" width="11.5703125" bestFit="1" customWidth="1"/>
    <col min="15655" max="15655" width="9.28515625" bestFit="1" customWidth="1"/>
    <col min="15656" max="15656" width="11.5703125" bestFit="1" customWidth="1"/>
    <col min="15657" max="15657" width="9.28515625" bestFit="1" customWidth="1"/>
    <col min="15658" max="15658" width="11.5703125" bestFit="1" customWidth="1"/>
    <col min="15659" max="15659" width="9.28515625" bestFit="1" customWidth="1"/>
    <col min="15660" max="15660" width="11.5703125" bestFit="1" customWidth="1"/>
    <col min="15661" max="15661" width="9.28515625" bestFit="1" customWidth="1"/>
    <col min="15662" max="15662" width="11.5703125" bestFit="1" customWidth="1"/>
    <col min="15663" max="15663" width="9.28515625" bestFit="1" customWidth="1"/>
    <col min="15664" max="15664" width="11.5703125" bestFit="1" customWidth="1"/>
    <col min="15665" max="15665" width="9.28515625" bestFit="1" customWidth="1"/>
    <col min="15666" max="15666" width="11.5703125" bestFit="1" customWidth="1"/>
    <col min="15667" max="15667" width="9.28515625" bestFit="1" customWidth="1"/>
    <col min="15875" max="15875" width="29.42578125" bestFit="1" customWidth="1"/>
    <col min="15876" max="15876" width="11.5703125" bestFit="1" customWidth="1"/>
    <col min="15877" max="15877" width="9.28515625" bestFit="1" customWidth="1"/>
    <col min="15878" max="15878" width="11.5703125" bestFit="1" customWidth="1"/>
    <col min="15879" max="15879" width="9.28515625" bestFit="1" customWidth="1"/>
    <col min="15880" max="15880" width="11.5703125" bestFit="1" customWidth="1"/>
    <col min="15881" max="15881" width="9.28515625" bestFit="1" customWidth="1"/>
    <col min="15882" max="15882" width="11.5703125" bestFit="1" customWidth="1"/>
    <col min="15883" max="15883" width="9.28515625" bestFit="1" customWidth="1"/>
    <col min="15884" max="15884" width="11.5703125" bestFit="1" customWidth="1"/>
    <col min="15885" max="15885" width="9.28515625" bestFit="1" customWidth="1"/>
    <col min="15886" max="15886" width="11.5703125" bestFit="1" customWidth="1"/>
    <col min="15887" max="15887" width="9.28515625" bestFit="1" customWidth="1"/>
    <col min="15888" max="15888" width="11.5703125" bestFit="1" customWidth="1"/>
    <col min="15889" max="15889" width="9.28515625" bestFit="1" customWidth="1"/>
    <col min="15890" max="15890" width="11.5703125" bestFit="1" customWidth="1"/>
    <col min="15891" max="15891" width="9.28515625" bestFit="1" customWidth="1"/>
    <col min="15892" max="15892" width="11.5703125" bestFit="1" customWidth="1"/>
    <col min="15893" max="15893" width="9.28515625" bestFit="1" customWidth="1"/>
    <col min="15894" max="15894" width="11.5703125" bestFit="1" customWidth="1"/>
    <col min="15895" max="15895" width="9.28515625" bestFit="1" customWidth="1"/>
    <col min="15896" max="15896" width="11.5703125" bestFit="1" customWidth="1"/>
    <col min="15897" max="15897" width="9.28515625" bestFit="1" customWidth="1"/>
    <col min="15898" max="15898" width="11.5703125" bestFit="1" customWidth="1"/>
    <col min="15899" max="15899" width="9.28515625" bestFit="1" customWidth="1"/>
    <col min="15900" max="15900" width="11.5703125" bestFit="1" customWidth="1"/>
    <col min="15901" max="15901" width="9.28515625" bestFit="1" customWidth="1"/>
    <col min="15902" max="15902" width="11.5703125" bestFit="1" customWidth="1"/>
    <col min="15903" max="15903" width="9.28515625" bestFit="1" customWidth="1"/>
    <col min="15904" max="15904" width="11.5703125" bestFit="1" customWidth="1"/>
    <col min="15905" max="15905" width="9.28515625" bestFit="1" customWidth="1"/>
    <col min="15906" max="15906" width="11.5703125" bestFit="1" customWidth="1"/>
    <col min="15907" max="15907" width="9.28515625" bestFit="1" customWidth="1"/>
    <col min="15908" max="15908" width="11.5703125" bestFit="1" customWidth="1"/>
    <col min="15909" max="15909" width="9.28515625" bestFit="1" customWidth="1"/>
    <col min="15910" max="15910" width="11.5703125" bestFit="1" customWidth="1"/>
    <col min="15911" max="15911" width="9.28515625" bestFit="1" customWidth="1"/>
    <col min="15912" max="15912" width="11.5703125" bestFit="1" customWidth="1"/>
    <col min="15913" max="15913" width="9.28515625" bestFit="1" customWidth="1"/>
    <col min="15914" max="15914" width="11.5703125" bestFit="1" customWidth="1"/>
    <col min="15915" max="15915" width="9.28515625" bestFit="1" customWidth="1"/>
    <col min="15916" max="15916" width="11.5703125" bestFit="1" customWidth="1"/>
    <col min="15917" max="15917" width="9.28515625" bestFit="1" customWidth="1"/>
    <col min="15918" max="15918" width="11.5703125" bestFit="1" customWidth="1"/>
    <col min="15919" max="15919" width="9.28515625" bestFit="1" customWidth="1"/>
    <col min="15920" max="15920" width="11.5703125" bestFit="1" customWidth="1"/>
    <col min="15921" max="15921" width="9.28515625" bestFit="1" customWidth="1"/>
    <col min="15922" max="15922" width="11.5703125" bestFit="1" customWidth="1"/>
    <col min="15923" max="15923" width="9.28515625" bestFit="1" customWidth="1"/>
    <col min="16131" max="16131" width="29.42578125" bestFit="1" customWidth="1"/>
    <col min="16132" max="16132" width="11.5703125" bestFit="1" customWidth="1"/>
    <col min="16133" max="16133" width="9.28515625" bestFit="1" customWidth="1"/>
    <col min="16134" max="16134" width="11.5703125" bestFit="1" customWidth="1"/>
    <col min="16135" max="16135" width="9.28515625" bestFit="1" customWidth="1"/>
    <col min="16136" max="16136" width="11.5703125" bestFit="1" customWidth="1"/>
    <col min="16137" max="16137" width="9.28515625" bestFit="1" customWidth="1"/>
    <col min="16138" max="16138" width="11.5703125" bestFit="1" customWidth="1"/>
    <col min="16139" max="16139" width="9.28515625" bestFit="1" customWidth="1"/>
    <col min="16140" max="16140" width="11.5703125" bestFit="1" customWidth="1"/>
    <col min="16141" max="16141" width="9.28515625" bestFit="1" customWidth="1"/>
    <col min="16142" max="16142" width="11.5703125" bestFit="1" customWidth="1"/>
    <col min="16143" max="16143" width="9.28515625" bestFit="1" customWidth="1"/>
    <col min="16144" max="16144" width="11.5703125" bestFit="1" customWidth="1"/>
    <col min="16145" max="16145" width="9.28515625" bestFit="1" customWidth="1"/>
    <col min="16146" max="16146" width="11.5703125" bestFit="1" customWidth="1"/>
    <col min="16147" max="16147" width="9.28515625" bestFit="1" customWidth="1"/>
    <col min="16148" max="16148" width="11.5703125" bestFit="1" customWidth="1"/>
    <col min="16149" max="16149" width="9.28515625" bestFit="1" customWidth="1"/>
    <col min="16150" max="16150" width="11.5703125" bestFit="1" customWidth="1"/>
    <col min="16151" max="16151" width="9.28515625" bestFit="1" customWidth="1"/>
    <col min="16152" max="16152" width="11.5703125" bestFit="1" customWidth="1"/>
    <col min="16153" max="16153" width="9.28515625" bestFit="1" customWidth="1"/>
    <col min="16154" max="16154" width="11.5703125" bestFit="1" customWidth="1"/>
    <col min="16155" max="16155" width="9.28515625" bestFit="1" customWidth="1"/>
    <col min="16156" max="16156" width="11.5703125" bestFit="1" customWidth="1"/>
    <col min="16157" max="16157" width="9.28515625" bestFit="1" customWidth="1"/>
    <col min="16158" max="16158" width="11.5703125" bestFit="1" customWidth="1"/>
    <col min="16159" max="16159" width="9.28515625" bestFit="1" customWidth="1"/>
    <col min="16160" max="16160" width="11.5703125" bestFit="1" customWidth="1"/>
    <col min="16161" max="16161" width="9.28515625" bestFit="1" customWidth="1"/>
    <col min="16162" max="16162" width="11.5703125" bestFit="1" customWidth="1"/>
    <col min="16163" max="16163" width="9.28515625" bestFit="1" customWidth="1"/>
    <col min="16164" max="16164" width="11.5703125" bestFit="1" customWidth="1"/>
    <col min="16165" max="16165" width="9.28515625" bestFit="1" customWidth="1"/>
    <col min="16166" max="16166" width="11.5703125" bestFit="1" customWidth="1"/>
    <col min="16167" max="16167" width="9.28515625" bestFit="1" customWidth="1"/>
    <col min="16168" max="16168" width="11.5703125" bestFit="1" customWidth="1"/>
    <col min="16169" max="16169" width="9.28515625" bestFit="1" customWidth="1"/>
    <col min="16170" max="16170" width="11.5703125" bestFit="1" customWidth="1"/>
    <col min="16171" max="16171" width="9.28515625" bestFit="1" customWidth="1"/>
    <col min="16172" max="16172" width="11.5703125" bestFit="1" customWidth="1"/>
    <col min="16173" max="16173" width="9.28515625" bestFit="1" customWidth="1"/>
    <col min="16174" max="16174" width="11.5703125" bestFit="1" customWidth="1"/>
    <col min="16175" max="16175" width="9.28515625" bestFit="1" customWidth="1"/>
    <col min="16176" max="16176" width="11.5703125" bestFit="1" customWidth="1"/>
    <col min="16177" max="16177" width="9.28515625" bestFit="1" customWidth="1"/>
    <col min="16178" max="16178" width="11.5703125" bestFit="1" customWidth="1"/>
    <col min="16179" max="16179" width="9.28515625" bestFit="1" customWidth="1"/>
  </cols>
  <sheetData>
    <row r="1" spans="1:51" s="25" customFormat="1">
      <c r="A1" s="196"/>
      <c r="B1" s="203" t="s">
        <v>145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</row>
    <row r="2" spans="1:51" s="25" customFormat="1">
      <c r="A2" s="204"/>
      <c r="B2" s="196"/>
      <c r="C2" s="196"/>
      <c r="D2" s="199">
        <v>43009</v>
      </c>
      <c r="E2" s="200">
        <v>43009</v>
      </c>
      <c r="F2" s="199">
        <v>43040</v>
      </c>
      <c r="G2" s="200">
        <v>43040</v>
      </c>
      <c r="H2" s="199">
        <v>43070</v>
      </c>
      <c r="I2" s="200">
        <v>43070</v>
      </c>
      <c r="J2" s="199">
        <v>43101</v>
      </c>
      <c r="K2" s="200">
        <v>43101</v>
      </c>
      <c r="L2" s="199">
        <v>43132</v>
      </c>
      <c r="M2" s="200">
        <v>43132</v>
      </c>
      <c r="N2" s="199">
        <v>43160</v>
      </c>
      <c r="O2" s="200">
        <v>43160</v>
      </c>
      <c r="P2" s="199">
        <v>43191</v>
      </c>
      <c r="Q2" s="200">
        <v>43191</v>
      </c>
      <c r="R2" s="199">
        <v>43221</v>
      </c>
      <c r="S2" s="200">
        <v>43221</v>
      </c>
      <c r="T2" s="199">
        <v>43252</v>
      </c>
      <c r="U2" s="200">
        <v>43252</v>
      </c>
      <c r="V2" s="199">
        <v>43282</v>
      </c>
      <c r="W2" s="200">
        <v>43282</v>
      </c>
      <c r="X2" s="199">
        <v>43313</v>
      </c>
      <c r="Y2" s="200">
        <v>43313</v>
      </c>
      <c r="Z2" s="199">
        <v>43344</v>
      </c>
      <c r="AA2" s="200">
        <v>43344</v>
      </c>
      <c r="AB2" s="199">
        <v>43374</v>
      </c>
      <c r="AC2" s="200">
        <v>43374</v>
      </c>
      <c r="AD2" s="199">
        <v>43405</v>
      </c>
      <c r="AE2" s="200">
        <v>43405</v>
      </c>
      <c r="AF2" s="199">
        <v>43435</v>
      </c>
      <c r="AG2" s="200">
        <v>43435</v>
      </c>
      <c r="AH2" s="199">
        <v>43466</v>
      </c>
      <c r="AI2" s="200">
        <v>43466</v>
      </c>
      <c r="AJ2" s="199">
        <v>43497</v>
      </c>
      <c r="AK2" s="200">
        <v>43497</v>
      </c>
      <c r="AL2" s="199">
        <v>43525</v>
      </c>
      <c r="AM2" s="200">
        <v>43525</v>
      </c>
      <c r="AN2" s="199">
        <v>43556</v>
      </c>
      <c r="AO2" s="200">
        <v>43556</v>
      </c>
      <c r="AP2" s="199">
        <v>43586</v>
      </c>
      <c r="AQ2" s="200">
        <v>43586</v>
      </c>
      <c r="AR2" s="199">
        <v>43617</v>
      </c>
      <c r="AS2" s="200">
        <v>43617</v>
      </c>
      <c r="AT2" s="199">
        <v>43647</v>
      </c>
      <c r="AU2" s="200">
        <v>43647</v>
      </c>
      <c r="AV2" s="199">
        <v>43678</v>
      </c>
      <c r="AW2" s="200">
        <v>43678</v>
      </c>
      <c r="AX2" s="199">
        <v>43709</v>
      </c>
      <c r="AY2" s="200">
        <v>43709</v>
      </c>
    </row>
    <row r="3" spans="1:51" s="25" customFormat="1">
      <c r="A3" s="196"/>
      <c r="B3" s="197" t="s">
        <v>2</v>
      </c>
      <c r="C3" s="197" t="s">
        <v>147</v>
      </c>
      <c r="D3" s="201" t="s">
        <v>143</v>
      </c>
      <c r="E3" s="202" t="s">
        <v>144</v>
      </c>
      <c r="F3" s="201" t="s">
        <v>143</v>
      </c>
      <c r="G3" s="202" t="s">
        <v>144</v>
      </c>
      <c r="H3" s="201" t="s">
        <v>143</v>
      </c>
      <c r="I3" s="202" t="s">
        <v>144</v>
      </c>
      <c r="J3" s="201" t="s">
        <v>143</v>
      </c>
      <c r="K3" s="202" t="s">
        <v>144</v>
      </c>
      <c r="L3" s="201" t="s">
        <v>143</v>
      </c>
      <c r="M3" s="202" t="s">
        <v>144</v>
      </c>
      <c r="N3" s="201" t="s">
        <v>143</v>
      </c>
      <c r="O3" s="202" t="s">
        <v>144</v>
      </c>
      <c r="P3" s="201" t="s">
        <v>143</v>
      </c>
      <c r="Q3" s="202" t="s">
        <v>144</v>
      </c>
      <c r="R3" s="201" t="s">
        <v>143</v>
      </c>
      <c r="S3" s="202" t="s">
        <v>144</v>
      </c>
      <c r="T3" s="201" t="s">
        <v>143</v>
      </c>
      <c r="U3" s="202" t="s">
        <v>144</v>
      </c>
      <c r="V3" s="201" t="s">
        <v>143</v>
      </c>
      <c r="W3" s="202" t="s">
        <v>144</v>
      </c>
      <c r="X3" s="201" t="s">
        <v>143</v>
      </c>
      <c r="Y3" s="202" t="s">
        <v>144</v>
      </c>
      <c r="Z3" s="201" t="s">
        <v>143</v>
      </c>
      <c r="AA3" s="202" t="s">
        <v>144</v>
      </c>
      <c r="AB3" s="201" t="s">
        <v>143</v>
      </c>
      <c r="AC3" s="202" t="s">
        <v>144</v>
      </c>
      <c r="AD3" s="201" t="s">
        <v>143</v>
      </c>
      <c r="AE3" s="202" t="s">
        <v>144</v>
      </c>
      <c r="AF3" s="201" t="s">
        <v>143</v>
      </c>
      <c r="AG3" s="202" t="s">
        <v>144</v>
      </c>
      <c r="AH3" s="201" t="s">
        <v>143</v>
      </c>
      <c r="AI3" s="202" t="s">
        <v>144</v>
      </c>
      <c r="AJ3" s="201" t="s">
        <v>143</v>
      </c>
      <c r="AK3" s="202" t="s">
        <v>144</v>
      </c>
      <c r="AL3" s="201" t="s">
        <v>143</v>
      </c>
      <c r="AM3" s="202" t="s">
        <v>144</v>
      </c>
      <c r="AN3" s="201" t="s">
        <v>143</v>
      </c>
      <c r="AO3" s="202" t="s">
        <v>144</v>
      </c>
      <c r="AP3" s="201" t="s">
        <v>143</v>
      </c>
      <c r="AQ3" s="202" t="s">
        <v>144</v>
      </c>
      <c r="AR3" s="201" t="s">
        <v>143</v>
      </c>
      <c r="AS3" s="202" t="s">
        <v>144</v>
      </c>
      <c r="AT3" s="201" t="s">
        <v>143</v>
      </c>
      <c r="AU3" s="202" t="s">
        <v>144</v>
      </c>
      <c r="AV3" s="201" t="s">
        <v>143</v>
      </c>
      <c r="AW3" s="202" t="s">
        <v>144</v>
      </c>
      <c r="AX3" s="201" t="s">
        <v>143</v>
      </c>
      <c r="AY3" s="202" t="s">
        <v>144</v>
      </c>
    </row>
    <row r="4" spans="1:51" s="25" customFormat="1">
      <c r="A4" s="196"/>
      <c r="B4" s="196">
        <v>10005</v>
      </c>
      <c r="C4" s="196" t="s">
        <v>7</v>
      </c>
      <c r="D4" s="198">
        <v>97.425480769230745</v>
      </c>
      <c r="E4" s="198">
        <v>0</v>
      </c>
      <c r="F4" s="198">
        <v>139.19249999999988</v>
      </c>
      <c r="G4" s="198">
        <v>0</v>
      </c>
      <c r="H4" s="198">
        <v>118.45500000000003</v>
      </c>
      <c r="I4" s="198">
        <v>0</v>
      </c>
      <c r="J4" s="198">
        <v>161.22836538461539</v>
      </c>
      <c r="K4" s="198">
        <v>0</v>
      </c>
      <c r="L4" s="198">
        <v>146.13020833333312</v>
      </c>
      <c r="M4" s="198">
        <v>0</v>
      </c>
      <c r="N4" s="198">
        <v>121.65046296296289</v>
      </c>
      <c r="O4" s="198">
        <v>0</v>
      </c>
      <c r="P4" s="198">
        <v>10.252500000000053</v>
      </c>
      <c r="Q4" s="198">
        <v>0</v>
      </c>
      <c r="R4" s="198">
        <v>47.504807692307693</v>
      </c>
      <c r="S4" s="198">
        <v>0</v>
      </c>
      <c r="T4" s="198">
        <v>67.266826923076877</v>
      </c>
      <c r="U4" s="198">
        <v>0</v>
      </c>
      <c r="V4" s="198">
        <v>39.437499999999986</v>
      </c>
      <c r="W4" s="198">
        <v>0</v>
      </c>
      <c r="X4" s="198">
        <v>57.407407407407405</v>
      </c>
      <c r="Y4" s="198">
        <v>0</v>
      </c>
      <c r="Z4" s="198">
        <v>25.65364583333335</v>
      </c>
      <c r="AA4" s="198">
        <v>0</v>
      </c>
      <c r="AB4" s="198">
        <v>94.664351851851848</v>
      </c>
      <c r="AC4" s="198">
        <v>0</v>
      </c>
      <c r="AD4" s="198">
        <v>136.89749999999984</v>
      </c>
      <c r="AE4" s="198">
        <v>0</v>
      </c>
      <c r="AF4" s="198">
        <v>116.13000000000001</v>
      </c>
      <c r="AG4" s="198">
        <v>0</v>
      </c>
      <c r="AH4" s="198">
        <v>158.91586538461544</v>
      </c>
      <c r="AI4" s="198">
        <v>0</v>
      </c>
      <c r="AJ4" s="198">
        <v>143.82291666666657</v>
      </c>
      <c r="AK4" s="198">
        <v>0</v>
      </c>
      <c r="AL4" s="198">
        <v>120.34615384615388</v>
      </c>
      <c r="AM4" s="198">
        <v>0</v>
      </c>
      <c r="AN4" s="198">
        <v>6.9326923076922782</v>
      </c>
      <c r="AO4" s="198">
        <v>0</v>
      </c>
      <c r="AP4" s="198">
        <v>45.204326923076913</v>
      </c>
      <c r="AQ4" s="198">
        <v>0</v>
      </c>
      <c r="AR4" s="198">
        <v>65.335000000000022</v>
      </c>
      <c r="AS4" s="198">
        <v>0</v>
      </c>
      <c r="AT4" s="198">
        <v>46.843749999999993</v>
      </c>
      <c r="AU4" s="198">
        <v>0</v>
      </c>
      <c r="AV4" s="198">
        <v>64.972222222222271</v>
      </c>
      <c r="AW4" s="198">
        <v>0</v>
      </c>
      <c r="AX4" s="198">
        <v>33.223958333333357</v>
      </c>
      <c r="AY4" s="198">
        <v>0</v>
      </c>
    </row>
    <row r="5" spans="1:51">
      <c r="A5" s="196"/>
      <c r="B5" s="196">
        <v>10015</v>
      </c>
      <c r="C5" s="196" t="s">
        <v>8</v>
      </c>
      <c r="D5" s="198">
        <v>543.51442307692298</v>
      </c>
      <c r="E5" s="198">
        <v>0</v>
      </c>
      <c r="F5" s="198">
        <v>0</v>
      </c>
      <c r="G5" s="198">
        <v>0</v>
      </c>
      <c r="H5" s="198">
        <v>0</v>
      </c>
      <c r="I5" s="198">
        <v>0</v>
      </c>
      <c r="J5" s="198">
        <v>247.68269230769224</v>
      </c>
      <c r="K5" s="198">
        <v>0</v>
      </c>
      <c r="L5" s="198">
        <v>150.25000000000011</v>
      </c>
      <c r="M5" s="198">
        <v>0</v>
      </c>
      <c r="N5" s="198">
        <v>253.51620370370364</v>
      </c>
      <c r="O5" s="198">
        <v>0</v>
      </c>
      <c r="P5" s="198">
        <v>707.18000000000018</v>
      </c>
      <c r="Q5" s="198">
        <v>0</v>
      </c>
      <c r="R5" s="198">
        <v>628.24519230769238</v>
      </c>
      <c r="S5" s="198">
        <v>0</v>
      </c>
      <c r="T5" s="198">
        <v>549.62980769230785</v>
      </c>
      <c r="U5" s="198">
        <v>0</v>
      </c>
      <c r="V5" s="198">
        <v>614.63999999999987</v>
      </c>
      <c r="W5" s="198">
        <v>0</v>
      </c>
      <c r="X5" s="198">
        <v>354.05092592592615</v>
      </c>
      <c r="Y5" s="198">
        <v>0</v>
      </c>
      <c r="Z5" s="198">
        <v>543.84114583333348</v>
      </c>
      <c r="AA5" s="198">
        <v>0</v>
      </c>
      <c r="AB5" s="198">
        <v>583.63657407407402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266.06490384615375</v>
      </c>
      <c r="AI5" s="198">
        <v>0</v>
      </c>
      <c r="AJ5" s="198">
        <v>211.88020833333343</v>
      </c>
      <c r="AK5" s="198">
        <v>0</v>
      </c>
      <c r="AL5" s="198">
        <v>259.21634615384625</v>
      </c>
      <c r="AM5" s="198">
        <v>0</v>
      </c>
      <c r="AN5" s="198">
        <v>747.93269230769261</v>
      </c>
      <c r="AO5" s="198">
        <v>0</v>
      </c>
      <c r="AP5" s="198">
        <v>653.62500000000011</v>
      </c>
      <c r="AQ5" s="198">
        <v>0</v>
      </c>
      <c r="AR5" s="198">
        <v>539.44499999999971</v>
      </c>
      <c r="AS5" s="198">
        <v>0</v>
      </c>
      <c r="AT5" s="198">
        <v>699.47115384615404</v>
      </c>
      <c r="AU5" s="198">
        <v>0</v>
      </c>
      <c r="AV5" s="198">
        <v>383.54629629629613</v>
      </c>
      <c r="AW5" s="198">
        <v>0</v>
      </c>
      <c r="AX5" s="198">
        <v>570.15625000000011</v>
      </c>
      <c r="AY5" s="198">
        <v>0</v>
      </c>
    </row>
    <row r="6" spans="1:51">
      <c r="A6" s="196"/>
      <c r="B6" s="196">
        <v>10024</v>
      </c>
      <c r="C6" s="196" t="s">
        <v>9</v>
      </c>
      <c r="D6" s="198">
        <v>0</v>
      </c>
      <c r="E6" s="198">
        <v>0</v>
      </c>
      <c r="F6" s="198">
        <v>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0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0</v>
      </c>
      <c r="AS6" s="198">
        <v>0</v>
      </c>
      <c r="AT6" s="198">
        <v>0</v>
      </c>
      <c r="AU6" s="198">
        <v>0</v>
      </c>
      <c r="AV6" s="198">
        <v>0</v>
      </c>
      <c r="AW6" s="198">
        <v>0</v>
      </c>
      <c r="AX6" s="198">
        <v>0</v>
      </c>
      <c r="AY6" s="198">
        <v>0</v>
      </c>
    </row>
    <row r="7" spans="1:51">
      <c r="A7" s="196"/>
      <c r="B7" s="196">
        <v>10025</v>
      </c>
      <c r="C7" s="196" t="s">
        <v>10</v>
      </c>
      <c r="D7" s="198">
        <v>3301.8846153846157</v>
      </c>
      <c r="E7" s="198">
        <v>0</v>
      </c>
      <c r="F7" s="198">
        <v>696.83250000000999</v>
      </c>
      <c r="G7" s="198">
        <v>0</v>
      </c>
      <c r="H7" s="198">
        <v>10148.200000000001</v>
      </c>
      <c r="I7" s="198">
        <v>0</v>
      </c>
      <c r="J7" s="198">
        <v>10442.497596153857</v>
      </c>
      <c r="K7" s="198">
        <v>0</v>
      </c>
      <c r="L7" s="198">
        <v>6274.3359375000055</v>
      </c>
      <c r="M7" s="198">
        <v>0</v>
      </c>
      <c r="N7" s="198">
        <v>5624.4560185185119</v>
      </c>
      <c r="O7" s="198">
        <v>0</v>
      </c>
      <c r="P7" s="198">
        <v>0</v>
      </c>
      <c r="Q7" s="198">
        <v>0</v>
      </c>
      <c r="R7" s="198">
        <v>3943.8389423076997</v>
      </c>
      <c r="S7" s="198">
        <v>0</v>
      </c>
      <c r="T7" s="198">
        <v>11171.954326923076</v>
      </c>
      <c r="U7" s="198">
        <v>0</v>
      </c>
      <c r="V7" s="198">
        <v>8290.2700000000023</v>
      </c>
      <c r="W7" s="198">
        <v>0</v>
      </c>
      <c r="X7" s="198">
        <v>9328.9074074074142</v>
      </c>
      <c r="Y7" s="198">
        <v>0</v>
      </c>
      <c r="Z7" s="198">
        <v>13205.9609375</v>
      </c>
      <c r="AA7" s="198">
        <v>0</v>
      </c>
      <c r="AB7" s="198">
        <v>4662.5671296296277</v>
      </c>
      <c r="AC7" s="198">
        <v>0</v>
      </c>
      <c r="AD7" s="198">
        <v>0</v>
      </c>
      <c r="AE7" s="198">
        <v>0</v>
      </c>
      <c r="AF7" s="198">
        <v>9169.6524999999965</v>
      </c>
      <c r="AG7" s="198">
        <v>0</v>
      </c>
      <c r="AH7" s="198">
        <v>9564.2884615384537</v>
      </c>
      <c r="AI7" s="198">
        <v>0</v>
      </c>
      <c r="AJ7" s="198">
        <v>5405.4791666666797</v>
      </c>
      <c r="AK7" s="198">
        <v>0</v>
      </c>
      <c r="AL7" s="198">
        <v>2797.584134615387</v>
      </c>
      <c r="AM7" s="198">
        <v>0</v>
      </c>
      <c r="AN7" s="198">
        <v>0</v>
      </c>
      <c r="AO7" s="198">
        <v>0</v>
      </c>
      <c r="AP7" s="198">
        <v>2943.699519230754</v>
      </c>
      <c r="AQ7" s="198">
        <v>0</v>
      </c>
      <c r="AR7" s="198">
        <v>7311.2900000000045</v>
      </c>
      <c r="AS7" s="198">
        <v>0</v>
      </c>
      <c r="AT7" s="198">
        <v>11065.754807692323</v>
      </c>
      <c r="AU7" s="198">
        <v>0</v>
      </c>
      <c r="AV7" s="198">
        <v>8354.7407407407227</v>
      </c>
      <c r="AW7" s="198">
        <v>0</v>
      </c>
      <c r="AX7" s="198">
        <v>12333.171874999996</v>
      </c>
      <c r="AY7" s="198">
        <v>0</v>
      </c>
    </row>
    <row r="8" spans="1:51">
      <c r="A8" s="196"/>
      <c r="B8" s="196">
        <v>10027</v>
      </c>
      <c r="C8" s="196" t="s">
        <v>11</v>
      </c>
      <c r="D8" s="198">
        <v>7260.6802884615436</v>
      </c>
      <c r="E8" s="198">
        <v>0</v>
      </c>
      <c r="F8" s="198">
        <v>4452.8649999999989</v>
      </c>
      <c r="G8" s="198">
        <v>0</v>
      </c>
      <c r="H8" s="198">
        <v>5986.0225</v>
      </c>
      <c r="I8" s="198">
        <v>0</v>
      </c>
      <c r="J8" s="198">
        <v>8682.9110576923122</v>
      </c>
      <c r="K8" s="198">
        <v>0</v>
      </c>
      <c r="L8" s="198">
        <v>1475.9557291666638</v>
      </c>
      <c r="M8" s="198">
        <v>0</v>
      </c>
      <c r="N8" s="198">
        <v>3975.2106481481419</v>
      </c>
      <c r="O8" s="198">
        <v>0</v>
      </c>
      <c r="P8" s="198">
        <v>5991.2325000000055</v>
      </c>
      <c r="Q8" s="198">
        <v>0</v>
      </c>
      <c r="R8" s="198">
        <v>0</v>
      </c>
      <c r="S8" s="198">
        <v>0</v>
      </c>
      <c r="T8" s="198">
        <v>12751.173076923071</v>
      </c>
      <c r="U8" s="198">
        <v>0</v>
      </c>
      <c r="V8" s="198">
        <v>10692.789999999995</v>
      </c>
      <c r="W8" s="198">
        <v>0</v>
      </c>
      <c r="X8" s="198">
        <v>17429.020833333336</v>
      </c>
      <c r="Y8" s="198">
        <v>0</v>
      </c>
      <c r="Z8" s="198">
        <v>7342.2421875000036</v>
      </c>
      <c r="AA8" s="198">
        <v>0</v>
      </c>
      <c r="AB8" s="198">
        <v>9386.7662037037007</v>
      </c>
      <c r="AC8" s="198">
        <v>0</v>
      </c>
      <c r="AD8" s="198">
        <v>4519.8425000000061</v>
      </c>
      <c r="AE8" s="198">
        <v>0</v>
      </c>
      <c r="AF8" s="198">
        <v>6053.9249999999947</v>
      </c>
      <c r="AG8" s="198">
        <v>0</v>
      </c>
      <c r="AH8" s="198">
        <v>8775.6274038461615</v>
      </c>
      <c r="AI8" s="198">
        <v>0</v>
      </c>
      <c r="AJ8" s="198">
        <v>1489.5989583333317</v>
      </c>
      <c r="AK8" s="198">
        <v>0</v>
      </c>
      <c r="AL8" s="198">
        <v>2732.0769230769242</v>
      </c>
      <c r="AM8" s="198">
        <v>0</v>
      </c>
      <c r="AN8" s="198">
        <v>8400.8100961538512</v>
      </c>
      <c r="AO8" s="198">
        <v>0</v>
      </c>
      <c r="AP8" s="198">
        <v>20.841346153851248</v>
      </c>
      <c r="AQ8" s="198">
        <v>0</v>
      </c>
      <c r="AR8" s="198">
        <v>8697.2275000000009</v>
      </c>
      <c r="AS8" s="198">
        <v>0</v>
      </c>
      <c r="AT8" s="198">
        <v>15236.533653846145</v>
      </c>
      <c r="AU8" s="198">
        <v>0</v>
      </c>
      <c r="AV8" s="198">
        <v>17528.312499999996</v>
      </c>
      <c r="AW8" s="198">
        <v>0</v>
      </c>
      <c r="AX8" s="198">
        <v>7377.8463541666624</v>
      </c>
      <c r="AY8" s="198">
        <v>0</v>
      </c>
    </row>
    <row r="9" spans="1:51">
      <c r="A9" s="196"/>
      <c r="B9" s="196">
        <v>10029</v>
      </c>
      <c r="C9" s="196" t="s">
        <v>12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  <c r="AX9" s="198">
        <v>0</v>
      </c>
      <c r="AY9" s="198">
        <v>0</v>
      </c>
    </row>
    <row r="10" spans="1:51">
      <c r="A10" s="196"/>
      <c r="B10" s="196">
        <v>10044</v>
      </c>
      <c r="C10" s="196" t="s">
        <v>13</v>
      </c>
      <c r="D10" s="198">
        <v>1879.8725961538501</v>
      </c>
      <c r="E10" s="198">
        <v>0</v>
      </c>
      <c r="F10" s="198">
        <v>637.96000000000049</v>
      </c>
      <c r="G10" s="198">
        <v>0</v>
      </c>
      <c r="H10" s="198">
        <v>1738.2325000000014</v>
      </c>
      <c r="I10" s="198">
        <v>0</v>
      </c>
      <c r="J10" s="198">
        <v>3921.5528846153829</v>
      </c>
      <c r="K10" s="198">
        <v>0</v>
      </c>
      <c r="L10" s="198">
        <v>1515.2239583333323</v>
      </c>
      <c r="M10" s="198">
        <v>0</v>
      </c>
      <c r="N10" s="198">
        <v>3310.0185185185164</v>
      </c>
      <c r="O10" s="198">
        <v>0</v>
      </c>
      <c r="P10" s="198">
        <v>1871.2799999999995</v>
      </c>
      <c r="Q10" s="198">
        <v>0</v>
      </c>
      <c r="R10" s="198">
        <v>1306.865384615382</v>
      </c>
      <c r="S10" s="198">
        <v>0</v>
      </c>
      <c r="T10" s="198">
        <v>1704.5024038461554</v>
      </c>
      <c r="U10" s="198">
        <v>0</v>
      </c>
      <c r="V10" s="198">
        <v>1379.0849999999998</v>
      </c>
      <c r="W10" s="198">
        <v>0</v>
      </c>
      <c r="X10" s="198">
        <v>3021.7592592592578</v>
      </c>
      <c r="Y10" s="198">
        <v>0</v>
      </c>
      <c r="Z10" s="198">
        <v>3025.1953125</v>
      </c>
      <c r="AA10" s="198">
        <v>0</v>
      </c>
      <c r="AB10" s="198">
        <v>2015.858796296294</v>
      </c>
      <c r="AC10" s="198">
        <v>0</v>
      </c>
      <c r="AD10" s="198">
        <v>659.92750000000285</v>
      </c>
      <c r="AE10" s="198">
        <v>0</v>
      </c>
      <c r="AF10" s="198">
        <v>1763.1349999999975</v>
      </c>
      <c r="AG10" s="198">
        <v>0</v>
      </c>
      <c r="AH10" s="198">
        <v>3944.165865384618</v>
      </c>
      <c r="AI10" s="198">
        <v>0</v>
      </c>
      <c r="AJ10" s="198">
        <v>1526.7942708333378</v>
      </c>
      <c r="AK10" s="198">
        <v>0</v>
      </c>
      <c r="AL10" s="198">
        <v>3221.3533653846175</v>
      </c>
      <c r="AM10" s="198">
        <v>0</v>
      </c>
      <c r="AN10" s="198">
        <v>2004.9615384615408</v>
      </c>
      <c r="AO10" s="198">
        <v>0</v>
      </c>
      <c r="AP10" s="198">
        <v>1327.7524038461554</v>
      </c>
      <c r="AQ10" s="198">
        <v>0</v>
      </c>
      <c r="AR10" s="198">
        <v>1607.057499999999</v>
      </c>
      <c r="AS10" s="198">
        <v>0</v>
      </c>
      <c r="AT10" s="198">
        <v>1536.0432692307704</v>
      </c>
      <c r="AU10" s="198">
        <v>0</v>
      </c>
      <c r="AV10" s="198">
        <v>3043.5856481481478</v>
      </c>
      <c r="AW10" s="198">
        <v>0</v>
      </c>
      <c r="AX10" s="198">
        <v>3041.1015625000005</v>
      </c>
      <c r="AY10" s="198">
        <v>0</v>
      </c>
    </row>
    <row r="11" spans="1:51">
      <c r="A11" s="196"/>
      <c r="B11" s="196">
        <v>10046</v>
      </c>
      <c r="C11" s="196" t="s">
        <v>14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</row>
    <row r="12" spans="1:51">
      <c r="A12" s="196"/>
      <c r="B12" s="196">
        <v>10047</v>
      </c>
      <c r="C12" s="196" t="s">
        <v>15</v>
      </c>
      <c r="D12" s="198">
        <v>12863.716346153851</v>
      </c>
      <c r="E12" s="198">
        <v>0</v>
      </c>
      <c r="F12" s="198">
        <v>5756.50000000001</v>
      </c>
      <c r="G12" s="198">
        <v>0</v>
      </c>
      <c r="H12" s="198">
        <v>26712.132499999996</v>
      </c>
      <c r="I12" s="198">
        <v>0</v>
      </c>
      <c r="J12" s="198">
        <v>19751.326923076918</v>
      </c>
      <c r="K12" s="198">
        <v>0</v>
      </c>
      <c r="L12" s="198">
        <v>18281.536458333336</v>
      </c>
      <c r="M12" s="198">
        <v>0</v>
      </c>
      <c r="N12" s="198">
        <v>27259.435185185197</v>
      </c>
      <c r="O12" s="198">
        <v>0</v>
      </c>
      <c r="P12" s="198">
        <v>28563.522499999999</v>
      </c>
      <c r="Q12" s="198">
        <v>0</v>
      </c>
      <c r="R12" s="198">
        <v>1627.2139423076801</v>
      </c>
      <c r="S12" s="198">
        <v>0</v>
      </c>
      <c r="T12" s="198">
        <v>7463.7740384615445</v>
      </c>
      <c r="U12" s="198">
        <v>0</v>
      </c>
      <c r="V12" s="198">
        <v>9974.9600000000028</v>
      </c>
      <c r="W12" s="198">
        <v>0</v>
      </c>
      <c r="X12" s="198">
        <v>11758.995370370372</v>
      </c>
      <c r="Y12" s="198">
        <v>0</v>
      </c>
      <c r="Z12" s="198">
        <v>0</v>
      </c>
      <c r="AA12" s="198">
        <v>0</v>
      </c>
      <c r="AB12" s="198">
        <v>13002.057870370365</v>
      </c>
      <c r="AC12" s="198">
        <v>0</v>
      </c>
      <c r="AD12" s="198">
        <v>5878.1674999999823</v>
      </c>
      <c r="AE12" s="198">
        <v>0</v>
      </c>
      <c r="AF12" s="198">
        <v>26866.264999999999</v>
      </c>
      <c r="AG12" s="198">
        <v>0</v>
      </c>
      <c r="AH12" s="198">
        <v>19895.783653846152</v>
      </c>
      <c r="AI12" s="198">
        <v>0</v>
      </c>
      <c r="AJ12" s="198">
        <v>18449.739583333325</v>
      </c>
      <c r="AK12" s="198">
        <v>0</v>
      </c>
      <c r="AL12" s="198">
        <v>27392.98798076922</v>
      </c>
      <c r="AM12" s="198">
        <v>0</v>
      </c>
      <c r="AN12" s="198">
        <v>28717.310096153844</v>
      </c>
      <c r="AO12" s="198">
        <v>0</v>
      </c>
      <c r="AP12" s="198">
        <v>1700.6610576923044</v>
      </c>
      <c r="AQ12" s="198">
        <v>0</v>
      </c>
      <c r="AR12" s="198">
        <v>7524.0349999999762</v>
      </c>
      <c r="AS12" s="198">
        <v>0</v>
      </c>
      <c r="AT12" s="198">
        <v>9996.7091346153939</v>
      </c>
      <c r="AU12" s="198">
        <v>0</v>
      </c>
      <c r="AV12" s="198">
        <v>11792.717592592595</v>
      </c>
      <c r="AW12" s="198">
        <v>0</v>
      </c>
      <c r="AX12" s="198">
        <v>0</v>
      </c>
      <c r="AY12" s="198">
        <v>0</v>
      </c>
    </row>
    <row r="13" spans="1:51">
      <c r="A13" s="196"/>
      <c r="B13" s="196">
        <v>10055</v>
      </c>
      <c r="C13" s="196" t="s">
        <v>16</v>
      </c>
      <c r="D13" s="198">
        <v>122.21874999999999</v>
      </c>
      <c r="E13" s="198">
        <v>0</v>
      </c>
      <c r="F13" s="198">
        <v>114.57250000000002</v>
      </c>
      <c r="G13" s="198">
        <v>0</v>
      </c>
      <c r="H13" s="198">
        <v>274.09499999999986</v>
      </c>
      <c r="I13" s="198">
        <v>0</v>
      </c>
      <c r="J13" s="198">
        <v>261.27163461538453</v>
      </c>
      <c r="K13" s="198">
        <v>0</v>
      </c>
      <c r="L13" s="198">
        <v>124.96874999999993</v>
      </c>
      <c r="M13" s="198">
        <v>0</v>
      </c>
      <c r="N13" s="198">
        <v>172.04398148148147</v>
      </c>
      <c r="O13" s="198">
        <v>0</v>
      </c>
      <c r="P13" s="198">
        <v>10.425000000000074</v>
      </c>
      <c r="Q13" s="198">
        <v>0</v>
      </c>
      <c r="R13" s="198">
        <v>42.151442307692356</v>
      </c>
      <c r="S13" s="198">
        <v>0</v>
      </c>
      <c r="T13" s="198">
        <v>45.468749999999972</v>
      </c>
      <c r="U13" s="198">
        <v>0</v>
      </c>
      <c r="V13" s="198">
        <v>75.945000000000036</v>
      </c>
      <c r="W13" s="198">
        <v>0</v>
      </c>
      <c r="X13" s="198">
        <v>75.824074074074105</v>
      </c>
      <c r="Y13" s="198">
        <v>0</v>
      </c>
      <c r="Z13" s="198">
        <v>0</v>
      </c>
      <c r="AA13" s="198">
        <v>0</v>
      </c>
      <c r="AB13" s="198">
        <v>122.06249999999996</v>
      </c>
      <c r="AC13" s="198">
        <v>0</v>
      </c>
      <c r="AD13" s="198">
        <v>115.38250000000005</v>
      </c>
      <c r="AE13" s="198">
        <v>0</v>
      </c>
      <c r="AF13" s="198">
        <v>273.93749999999994</v>
      </c>
      <c r="AG13" s="198">
        <v>0</v>
      </c>
      <c r="AH13" s="198">
        <v>261.12980769230768</v>
      </c>
      <c r="AI13" s="198">
        <v>0</v>
      </c>
      <c r="AJ13" s="198">
        <v>125.70572916666664</v>
      </c>
      <c r="AK13" s="198">
        <v>0</v>
      </c>
      <c r="AL13" s="198">
        <v>173.37740384615387</v>
      </c>
      <c r="AM13" s="198">
        <v>0</v>
      </c>
      <c r="AN13" s="198">
        <v>9.9230769230769784</v>
      </c>
      <c r="AO13" s="198">
        <v>0</v>
      </c>
      <c r="AP13" s="198">
        <v>42.959134615384642</v>
      </c>
      <c r="AQ13" s="198">
        <v>0</v>
      </c>
      <c r="AR13" s="198">
        <v>44.589999999999989</v>
      </c>
      <c r="AS13" s="198">
        <v>0</v>
      </c>
      <c r="AT13" s="198">
        <v>76.584134615384656</v>
      </c>
      <c r="AU13" s="198">
        <v>0</v>
      </c>
      <c r="AV13" s="198">
        <v>76.548611111111114</v>
      </c>
      <c r="AW13" s="198">
        <v>0</v>
      </c>
      <c r="AX13" s="198">
        <v>0</v>
      </c>
      <c r="AY13" s="198">
        <v>0</v>
      </c>
    </row>
    <row r="14" spans="1:51">
      <c r="A14" s="196"/>
      <c r="B14" s="196">
        <v>10057</v>
      </c>
      <c r="C14" s="196" t="s">
        <v>17</v>
      </c>
      <c r="D14" s="198">
        <v>1530.682692307689</v>
      </c>
      <c r="E14" s="198">
        <v>0</v>
      </c>
      <c r="F14" s="198">
        <v>844.03750000000332</v>
      </c>
      <c r="G14" s="198">
        <v>0</v>
      </c>
      <c r="H14" s="198">
        <v>4115.5449999999973</v>
      </c>
      <c r="I14" s="198">
        <v>0</v>
      </c>
      <c r="J14" s="198">
        <v>4007.247596153843</v>
      </c>
      <c r="K14" s="198">
        <v>0</v>
      </c>
      <c r="L14" s="198">
        <v>2590.9505208333348</v>
      </c>
      <c r="M14" s="198">
        <v>0</v>
      </c>
      <c r="N14" s="198">
        <v>5231.2824074074051</v>
      </c>
      <c r="O14" s="198">
        <v>0</v>
      </c>
      <c r="P14" s="198">
        <v>3668.1125000000029</v>
      </c>
      <c r="Q14" s="198">
        <v>0</v>
      </c>
      <c r="R14" s="198">
        <v>0</v>
      </c>
      <c r="S14" s="198">
        <v>0</v>
      </c>
      <c r="T14" s="198">
        <v>1589.5913461538473</v>
      </c>
      <c r="U14" s="198">
        <v>0</v>
      </c>
      <c r="V14" s="198">
        <v>3506.2025000000003</v>
      </c>
      <c r="W14" s="198">
        <v>0</v>
      </c>
      <c r="X14" s="198">
        <v>3839.7685185185164</v>
      </c>
      <c r="Y14" s="198">
        <v>0</v>
      </c>
      <c r="Z14" s="198">
        <v>4950.4114583333312</v>
      </c>
      <c r="AA14" s="198">
        <v>0</v>
      </c>
      <c r="AB14" s="198">
        <v>1549.9675925925942</v>
      </c>
      <c r="AC14" s="198">
        <v>0</v>
      </c>
      <c r="AD14" s="198">
        <v>844.03750000000332</v>
      </c>
      <c r="AE14" s="198">
        <v>0</v>
      </c>
      <c r="AF14" s="198">
        <v>4115.5449999999973</v>
      </c>
      <c r="AG14" s="198">
        <v>0</v>
      </c>
      <c r="AH14" s="198">
        <v>4007.247596153843</v>
      </c>
      <c r="AI14" s="198">
        <v>0</v>
      </c>
      <c r="AJ14" s="198">
        <v>2590.9505208333348</v>
      </c>
      <c r="AK14" s="198">
        <v>0</v>
      </c>
      <c r="AL14" s="198">
        <v>5225.1802884615327</v>
      </c>
      <c r="AM14" s="198">
        <v>0</v>
      </c>
      <c r="AN14" s="198">
        <v>3681.8100961538462</v>
      </c>
      <c r="AO14" s="198">
        <v>0</v>
      </c>
      <c r="AP14" s="198">
        <v>0</v>
      </c>
      <c r="AQ14" s="198">
        <v>0</v>
      </c>
      <c r="AR14" s="198">
        <v>1566.8950000000007</v>
      </c>
      <c r="AS14" s="198">
        <v>0</v>
      </c>
      <c r="AT14" s="198">
        <v>3552.8798076923067</v>
      </c>
      <c r="AU14" s="198">
        <v>0</v>
      </c>
      <c r="AV14" s="198">
        <v>3839.7685185185164</v>
      </c>
      <c r="AW14" s="198">
        <v>0</v>
      </c>
      <c r="AX14" s="198">
        <v>4950.4114583333312</v>
      </c>
      <c r="AY14" s="198">
        <v>0</v>
      </c>
    </row>
    <row r="15" spans="1:51">
      <c r="A15" s="196"/>
      <c r="B15" s="196">
        <v>10059</v>
      </c>
      <c r="C15" s="196" t="s">
        <v>18</v>
      </c>
      <c r="D15" s="198">
        <v>808.27163461538464</v>
      </c>
      <c r="E15" s="198">
        <v>0</v>
      </c>
      <c r="F15" s="198">
        <v>673.67750000000012</v>
      </c>
      <c r="G15" s="198">
        <v>0</v>
      </c>
      <c r="H15" s="198">
        <v>1485.815000000001</v>
      </c>
      <c r="I15" s="198">
        <v>0</v>
      </c>
      <c r="J15" s="198">
        <v>2705.6177884615372</v>
      </c>
      <c r="K15" s="198">
        <v>0</v>
      </c>
      <c r="L15" s="198">
        <v>1116.5182291666663</v>
      </c>
      <c r="M15" s="198">
        <v>0</v>
      </c>
      <c r="N15" s="198">
        <v>3646.3125000000005</v>
      </c>
      <c r="O15" s="198">
        <v>0</v>
      </c>
      <c r="P15" s="198">
        <v>1687.7499999999998</v>
      </c>
      <c r="Q15" s="198">
        <v>0</v>
      </c>
      <c r="R15" s="198">
        <v>0</v>
      </c>
      <c r="S15" s="198">
        <v>0</v>
      </c>
      <c r="T15" s="198">
        <v>81.449519230769596</v>
      </c>
      <c r="U15" s="198">
        <v>0</v>
      </c>
      <c r="V15" s="198">
        <v>573.1500000000002</v>
      </c>
      <c r="W15" s="198">
        <v>0</v>
      </c>
      <c r="X15" s="198">
        <v>498.91898148148118</v>
      </c>
      <c r="Y15" s="198">
        <v>0</v>
      </c>
      <c r="Z15" s="198">
        <v>0</v>
      </c>
      <c r="AA15" s="198">
        <v>0</v>
      </c>
      <c r="AB15" s="198">
        <v>836.95833333333258</v>
      </c>
      <c r="AC15" s="198">
        <v>0</v>
      </c>
      <c r="AD15" s="198">
        <v>683.70250000000078</v>
      </c>
      <c r="AE15" s="198">
        <v>0</v>
      </c>
      <c r="AF15" s="198">
        <v>1497.8675000000003</v>
      </c>
      <c r="AG15" s="198">
        <v>0</v>
      </c>
      <c r="AH15" s="198">
        <v>2721.1826923076937</v>
      </c>
      <c r="AI15" s="198">
        <v>0</v>
      </c>
      <c r="AJ15" s="198">
        <v>1129.3463541666665</v>
      </c>
      <c r="AK15" s="198">
        <v>0</v>
      </c>
      <c r="AL15" s="198">
        <v>3650.9134615384619</v>
      </c>
      <c r="AM15" s="198">
        <v>0</v>
      </c>
      <c r="AN15" s="198">
        <v>1711.6538461538462</v>
      </c>
      <c r="AO15" s="198">
        <v>0</v>
      </c>
      <c r="AP15" s="198">
        <v>0</v>
      </c>
      <c r="AQ15" s="198">
        <v>0</v>
      </c>
      <c r="AR15" s="198">
        <v>70.077500000000015</v>
      </c>
      <c r="AS15" s="198">
        <v>0</v>
      </c>
      <c r="AT15" s="198">
        <v>591.06971153846121</v>
      </c>
      <c r="AU15" s="198">
        <v>0</v>
      </c>
      <c r="AV15" s="198">
        <v>502.19675925925912</v>
      </c>
      <c r="AW15" s="198">
        <v>0</v>
      </c>
      <c r="AX15" s="198">
        <v>0</v>
      </c>
      <c r="AY15" s="198">
        <v>0</v>
      </c>
    </row>
    <row r="16" spans="1:51">
      <c r="A16" s="196"/>
      <c r="B16" s="196">
        <v>10061</v>
      </c>
      <c r="C16" s="196" t="s">
        <v>19</v>
      </c>
      <c r="D16" s="198">
        <v>731.39903846153857</v>
      </c>
      <c r="E16" s="198">
        <v>0</v>
      </c>
      <c r="F16" s="198">
        <v>783.60999999999854</v>
      </c>
      <c r="G16" s="198">
        <v>0</v>
      </c>
      <c r="H16" s="198">
        <v>1598.7</v>
      </c>
      <c r="I16" s="198">
        <v>0</v>
      </c>
      <c r="J16" s="198">
        <v>1294.7019230769233</v>
      </c>
      <c r="K16" s="198">
        <v>0</v>
      </c>
      <c r="L16" s="198">
        <v>1087.346354166667</v>
      </c>
      <c r="M16" s="198">
        <v>0</v>
      </c>
      <c r="N16" s="198">
        <v>1259.2708333333333</v>
      </c>
      <c r="O16" s="198">
        <v>0</v>
      </c>
      <c r="P16" s="198">
        <v>1018.7399999999996</v>
      </c>
      <c r="Q16" s="198">
        <v>0</v>
      </c>
      <c r="R16" s="198">
        <v>682.61057692307691</v>
      </c>
      <c r="S16" s="198">
        <v>0</v>
      </c>
      <c r="T16" s="198">
        <v>883.3557692307694</v>
      </c>
      <c r="U16" s="198">
        <v>0</v>
      </c>
      <c r="V16" s="198">
        <v>821.06249999999932</v>
      </c>
      <c r="W16" s="198">
        <v>0</v>
      </c>
      <c r="X16" s="198">
        <v>1086.4745370370376</v>
      </c>
      <c r="Y16" s="198">
        <v>0</v>
      </c>
      <c r="Z16" s="198">
        <v>854.09895833333246</v>
      </c>
      <c r="AA16" s="198">
        <v>0</v>
      </c>
      <c r="AB16" s="198">
        <v>734.39814814814758</v>
      </c>
      <c r="AC16" s="198">
        <v>0</v>
      </c>
      <c r="AD16" s="198">
        <v>782.89500000000078</v>
      </c>
      <c r="AE16" s="198">
        <v>0</v>
      </c>
      <c r="AF16" s="198">
        <v>1597.3474999999987</v>
      </c>
      <c r="AG16" s="198">
        <v>0</v>
      </c>
      <c r="AH16" s="198">
        <v>1303.2211538461543</v>
      </c>
      <c r="AI16" s="198">
        <v>0</v>
      </c>
      <c r="AJ16" s="198">
        <v>1086.3229166666663</v>
      </c>
      <c r="AK16" s="198">
        <v>0</v>
      </c>
      <c r="AL16" s="198">
        <v>1250.8605769230771</v>
      </c>
      <c r="AM16" s="198">
        <v>0</v>
      </c>
      <c r="AN16" s="198">
        <v>1025.1826923076933</v>
      </c>
      <c r="AO16" s="198">
        <v>0</v>
      </c>
      <c r="AP16" s="198">
        <v>684.16826923076906</v>
      </c>
      <c r="AQ16" s="198">
        <v>0</v>
      </c>
      <c r="AR16" s="198">
        <v>878.38249999999869</v>
      </c>
      <c r="AS16" s="198">
        <v>0</v>
      </c>
      <c r="AT16" s="198">
        <v>819.45192307692355</v>
      </c>
      <c r="AU16" s="198">
        <v>0</v>
      </c>
      <c r="AV16" s="198">
        <v>1088.0347222222217</v>
      </c>
      <c r="AW16" s="198">
        <v>0</v>
      </c>
      <c r="AX16" s="198">
        <v>855.33593749999898</v>
      </c>
      <c r="AY16" s="198">
        <v>0</v>
      </c>
    </row>
    <row r="17" spans="2:51">
      <c r="B17" s="196">
        <v>10062</v>
      </c>
      <c r="C17" s="196" t="s">
        <v>20</v>
      </c>
      <c r="D17" s="198">
        <v>735.53846153846212</v>
      </c>
      <c r="E17" s="198">
        <v>0</v>
      </c>
      <c r="F17" s="198">
        <v>1657.7225000000005</v>
      </c>
      <c r="G17" s="198">
        <v>0</v>
      </c>
      <c r="H17" s="198">
        <v>1378.0350000000008</v>
      </c>
      <c r="I17" s="198">
        <v>0</v>
      </c>
      <c r="J17" s="198">
        <v>1667.3750000000002</v>
      </c>
      <c r="K17" s="198">
        <v>0</v>
      </c>
      <c r="L17" s="198">
        <v>1232.6328124999995</v>
      </c>
      <c r="M17" s="198">
        <v>0</v>
      </c>
      <c r="N17" s="198">
        <v>1314.0092592592587</v>
      </c>
      <c r="O17" s="198">
        <v>0</v>
      </c>
      <c r="P17" s="198">
        <v>898.09249999999975</v>
      </c>
      <c r="Q17" s="198">
        <v>0</v>
      </c>
      <c r="R17" s="198">
        <v>610.67788461538464</v>
      </c>
      <c r="S17" s="198">
        <v>0</v>
      </c>
      <c r="T17" s="198">
        <v>703.15384615384539</v>
      </c>
      <c r="U17" s="198">
        <v>0</v>
      </c>
      <c r="V17" s="198">
        <v>1036.7824999999993</v>
      </c>
      <c r="W17" s="198">
        <v>0</v>
      </c>
      <c r="X17" s="198">
        <v>1114.2800925925928</v>
      </c>
      <c r="Y17" s="198">
        <v>0</v>
      </c>
      <c r="Z17" s="198">
        <v>658.63281249999943</v>
      </c>
      <c r="AA17" s="198">
        <v>0</v>
      </c>
      <c r="AB17" s="198">
        <v>1076.2615740740737</v>
      </c>
      <c r="AC17" s="198">
        <v>0</v>
      </c>
      <c r="AD17" s="198">
        <v>1657.1950000000018</v>
      </c>
      <c r="AE17" s="198">
        <v>0</v>
      </c>
      <c r="AF17" s="198">
        <v>1377.68</v>
      </c>
      <c r="AG17" s="198">
        <v>0</v>
      </c>
      <c r="AH17" s="198">
        <v>1668.5432692307675</v>
      </c>
      <c r="AI17" s="198">
        <v>0</v>
      </c>
      <c r="AJ17" s="198">
        <v>1228.9374999999998</v>
      </c>
      <c r="AK17" s="198">
        <v>0</v>
      </c>
      <c r="AL17" s="198">
        <v>925.7163461538471</v>
      </c>
      <c r="AM17" s="198">
        <v>0</v>
      </c>
      <c r="AN17" s="198">
        <v>1262.7259615384601</v>
      </c>
      <c r="AO17" s="198">
        <v>0</v>
      </c>
      <c r="AP17" s="198">
        <v>610.48317307692218</v>
      </c>
      <c r="AQ17" s="198">
        <v>0</v>
      </c>
      <c r="AR17" s="198">
        <v>360.61249999999779</v>
      </c>
      <c r="AS17" s="198">
        <v>0</v>
      </c>
      <c r="AT17" s="198">
        <v>1372.9447115384605</v>
      </c>
      <c r="AU17" s="198">
        <v>0</v>
      </c>
      <c r="AV17" s="198">
        <v>1112.761574074075</v>
      </c>
      <c r="AW17" s="198">
        <v>0</v>
      </c>
      <c r="AX17" s="198">
        <v>654.04947916666845</v>
      </c>
      <c r="AY17" s="198">
        <v>0</v>
      </c>
    </row>
    <row r="18" spans="2:51">
      <c r="B18" s="196">
        <v>10064</v>
      </c>
      <c r="C18" s="196" t="s">
        <v>21</v>
      </c>
      <c r="D18" s="198">
        <v>1703.3846153846139</v>
      </c>
      <c r="E18" s="198">
        <v>0</v>
      </c>
      <c r="F18" s="198">
        <v>875.70500000000038</v>
      </c>
      <c r="G18" s="198">
        <v>0</v>
      </c>
      <c r="H18" s="198">
        <v>1452.6200000000026</v>
      </c>
      <c r="I18" s="198">
        <v>0</v>
      </c>
      <c r="J18" s="198">
        <v>1936.5841346153848</v>
      </c>
      <c r="K18" s="198">
        <v>0</v>
      </c>
      <c r="L18" s="198">
        <v>730.55468749999932</v>
      </c>
      <c r="M18" s="198">
        <v>0</v>
      </c>
      <c r="N18" s="198">
        <v>2043.9375000000016</v>
      </c>
      <c r="O18" s="198">
        <v>0</v>
      </c>
      <c r="P18" s="198">
        <v>876.91499999999985</v>
      </c>
      <c r="Q18" s="198">
        <v>0</v>
      </c>
      <c r="R18" s="198">
        <v>1342.3365384615381</v>
      </c>
      <c r="S18" s="198">
        <v>0</v>
      </c>
      <c r="T18" s="198">
        <v>2062.4783653846162</v>
      </c>
      <c r="U18" s="198">
        <v>0</v>
      </c>
      <c r="V18" s="198">
        <v>2288.3850000000007</v>
      </c>
      <c r="W18" s="198">
        <v>0</v>
      </c>
      <c r="X18" s="198">
        <v>1739.1296296296296</v>
      </c>
      <c r="Y18" s="198">
        <v>0</v>
      </c>
      <c r="Z18" s="198">
        <v>1777.708333333333</v>
      </c>
      <c r="AA18" s="198">
        <v>0</v>
      </c>
      <c r="AB18" s="198">
        <v>1778.1041666666652</v>
      </c>
      <c r="AC18" s="198">
        <v>0</v>
      </c>
      <c r="AD18" s="198">
        <v>916.36499999999944</v>
      </c>
      <c r="AE18" s="198">
        <v>0</v>
      </c>
      <c r="AF18" s="198">
        <v>1497.4799999999991</v>
      </c>
      <c r="AG18" s="198">
        <v>0</v>
      </c>
      <c r="AH18" s="198">
        <v>1982.3197115384598</v>
      </c>
      <c r="AI18" s="198">
        <v>0</v>
      </c>
      <c r="AJ18" s="198">
        <v>773.51822916666845</v>
      </c>
      <c r="AK18" s="198">
        <v>0</v>
      </c>
      <c r="AL18" s="198">
        <v>2050.185096153848</v>
      </c>
      <c r="AM18" s="198">
        <v>0</v>
      </c>
      <c r="AN18" s="198">
        <v>953.61057692307895</v>
      </c>
      <c r="AO18" s="198">
        <v>0</v>
      </c>
      <c r="AP18" s="198">
        <v>1375.3533653846137</v>
      </c>
      <c r="AQ18" s="198">
        <v>0</v>
      </c>
      <c r="AR18" s="198">
        <v>2050.4075000000007</v>
      </c>
      <c r="AS18" s="198">
        <v>0</v>
      </c>
      <c r="AT18" s="198">
        <v>2400.1201923076937</v>
      </c>
      <c r="AU18" s="198">
        <v>0</v>
      </c>
      <c r="AV18" s="198">
        <v>1781.0439814814804</v>
      </c>
      <c r="AW18" s="198">
        <v>0</v>
      </c>
      <c r="AX18" s="198">
        <v>1813.1796875</v>
      </c>
      <c r="AY18" s="198">
        <v>0</v>
      </c>
    </row>
    <row r="19" spans="2:51">
      <c r="B19" s="196">
        <v>10065</v>
      </c>
      <c r="C19" s="196" t="s">
        <v>22</v>
      </c>
      <c r="D19" s="198">
        <v>482.39182692307651</v>
      </c>
      <c r="E19" s="198">
        <v>0</v>
      </c>
      <c r="F19" s="198">
        <v>541.42750000000024</v>
      </c>
      <c r="G19" s="198">
        <v>0</v>
      </c>
      <c r="H19" s="198">
        <v>649.77250000000026</v>
      </c>
      <c r="I19" s="198">
        <v>0</v>
      </c>
      <c r="J19" s="198">
        <v>774.4495192307694</v>
      </c>
      <c r="K19" s="198">
        <v>0</v>
      </c>
      <c r="L19" s="198">
        <v>526.65624999999966</v>
      </c>
      <c r="M19" s="198">
        <v>0</v>
      </c>
      <c r="N19" s="198">
        <v>844.51157407407379</v>
      </c>
      <c r="O19" s="198">
        <v>0</v>
      </c>
      <c r="P19" s="198">
        <v>507.89999999999981</v>
      </c>
      <c r="Q19" s="198">
        <v>0</v>
      </c>
      <c r="R19" s="198">
        <v>342.39663461538447</v>
      </c>
      <c r="S19" s="198">
        <v>0</v>
      </c>
      <c r="T19" s="198">
        <v>270.52163461538458</v>
      </c>
      <c r="U19" s="198">
        <v>0</v>
      </c>
      <c r="V19" s="198">
        <v>244.05749999999975</v>
      </c>
      <c r="W19" s="198">
        <v>0</v>
      </c>
      <c r="X19" s="198">
        <v>352.05324074074082</v>
      </c>
      <c r="Y19" s="198">
        <v>0</v>
      </c>
      <c r="Z19" s="198">
        <v>231.87239583333331</v>
      </c>
      <c r="AA19" s="198">
        <v>0</v>
      </c>
      <c r="AB19" s="198">
        <v>489.95138888888874</v>
      </c>
      <c r="AC19" s="198">
        <v>0</v>
      </c>
      <c r="AD19" s="198">
        <v>541.42750000000024</v>
      </c>
      <c r="AE19" s="198">
        <v>0</v>
      </c>
      <c r="AF19" s="198">
        <v>649.77250000000026</v>
      </c>
      <c r="AG19" s="198">
        <v>0</v>
      </c>
      <c r="AH19" s="198">
        <v>774.4495192307694</v>
      </c>
      <c r="AI19" s="198">
        <v>0</v>
      </c>
      <c r="AJ19" s="198">
        <v>526.65624999999966</v>
      </c>
      <c r="AK19" s="198">
        <v>0</v>
      </c>
      <c r="AL19" s="198">
        <v>838.10817307692309</v>
      </c>
      <c r="AM19" s="198">
        <v>0</v>
      </c>
      <c r="AN19" s="198">
        <v>514.29567307692287</v>
      </c>
      <c r="AO19" s="198">
        <v>0</v>
      </c>
      <c r="AP19" s="198">
        <v>342.39663461538447</v>
      </c>
      <c r="AQ19" s="198">
        <v>0</v>
      </c>
      <c r="AR19" s="198">
        <v>263.45500000000033</v>
      </c>
      <c r="AS19" s="198">
        <v>0</v>
      </c>
      <c r="AT19" s="198">
        <v>252.31009615384619</v>
      </c>
      <c r="AU19" s="198">
        <v>0</v>
      </c>
      <c r="AV19" s="198">
        <v>352.05324074074082</v>
      </c>
      <c r="AW19" s="198">
        <v>0</v>
      </c>
      <c r="AX19" s="198">
        <v>231.87239583333331</v>
      </c>
      <c r="AY19" s="198">
        <v>0</v>
      </c>
    </row>
    <row r="20" spans="2:51">
      <c r="B20" s="196">
        <v>10066</v>
      </c>
      <c r="C20" s="196" t="s">
        <v>23</v>
      </c>
      <c r="D20" s="198">
        <v>0</v>
      </c>
      <c r="E20" s="198">
        <v>0</v>
      </c>
      <c r="F20" s="198">
        <v>4254.2824999999984</v>
      </c>
      <c r="G20" s="198">
        <v>0</v>
      </c>
      <c r="H20" s="198">
        <v>8036.9400000000014</v>
      </c>
      <c r="I20" s="198">
        <v>0</v>
      </c>
      <c r="J20" s="198">
        <v>3718.6610576922999</v>
      </c>
      <c r="K20" s="198">
        <v>0</v>
      </c>
      <c r="L20" s="198">
        <v>3363.4114583333367</v>
      </c>
      <c r="M20" s="198">
        <v>0</v>
      </c>
      <c r="N20" s="198">
        <v>5313.6759259259261</v>
      </c>
      <c r="O20" s="198">
        <v>0</v>
      </c>
      <c r="P20" s="198">
        <v>1810.0224999999987</v>
      </c>
      <c r="Q20" s="198">
        <v>0</v>
      </c>
      <c r="R20" s="198">
        <v>280.49278846154289</v>
      </c>
      <c r="S20" s="198">
        <v>0</v>
      </c>
      <c r="T20" s="198">
        <v>2374.9711538461479</v>
      </c>
      <c r="U20" s="198">
        <v>0</v>
      </c>
      <c r="V20" s="198">
        <v>638.51000000000454</v>
      </c>
      <c r="W20" s="198">
        <v>0</v>
      </c>
      <c r="X20" s="198">
        <v>4244.4236111111086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4245.725000000004</v>
      </c>
      <c r="AE20" s="198">
        <v>0</v>
      </c>
      <c r="AF20" s="198">
        <v>8024.0499999999956</v>
      </c>
      <c r="AG20" s="198">
        <v>0</v>
      </c>
      <c r="AH20" s="198">
        <v>3706.7524038461438</v>
      </c>
      <c r="AI20" s="198">
        <v>0</v>
      </c>
      <c r="AJ20" s="198">
        <v>3362.1536458333362</v>
      </c>
      <c r="AK20" s="198">
        <v>0</v>
      </c>
      <c r="AL20" s="198">
        <v>5151.2115384615363</v>
      </c>
      <c r="AM20" s="198">
        <v>0</v>
      </c>
      <c r="AN20" s="198">
        <v>1970.4639423076919</v>
      </c>
      <c r="AO20" s="198">
        <v>0</v>
      </c>
      <c r="AP20" s="198">
        <v>272.50240384615319</v>
      </c>
      <c r="AQ20" s="198">
        <v>0</v>
      </c>
      <c r="AR20" s="198">
        <v>2208.4975000000009</v>
      </c>
      <c r="AS20" s="198">
        <v>0</v>
      </c>
      <c r="AT20" s="198">
        <v>797.67067307691968</v>
      </c>
      <c r="AU20" s="198">
        <v>0</v>
      </c>
      <c r="AV20" s="198">
        <v>4236.8657407407463</v>
      </c>
      <c r="AW20" s="198">
        <v>0</v>
      </c>
      <c r="AX20" s="198">
        <v>0</v>
      </c>
      <c r="AY20" s="198">
        <v>0</v>
      </c>
    </row>
    <row r="21" spans="2:51">
      <c r="B21" s="196">
        <v>10067</v>
      </c>
      <c r="C21" s="196" t="s">
        <v>24</v>
      </c>
      <c r="D21" s="198">
        <v>2210.4158653846166</v>
      </c>
      <c r="E21" s="198">
        <v>0</v>
      </c>
      <c r="F21" s="198">
        <v>3250.237500000002</v>
      </c>
      <c r="G21" s="198">
        <v>0</v>
      </c>
      <c r="H21" s="198">
        <v>2881.3775000000032</v>
      </c>
      <c r="I21" s="198">
        <v>0</v>
      </c>
      <c r="J21" s="198">
        <v>4854.5961538461524</v>
      </c>
      <c r="K21" s="198">
        <v>0</v>
      </c>
      <c r="L21" s="198">
        <v>1445.3151041666645</v>
      </c>
      <c r="M21" s="198">
        <v>0</v>
      </c>
      <c r="N21" s="198">
        <v>4276.9583333333321</v>
      </c>
      <c r="O21" s="198">
        <v>0</v>
      </c>
      <c r="P21" s="198">
        <v>3761.7075000000018</v>
      </c>
      <c r="Q21" s="198">
        <v>0</v>
      </c>
      <c r="R21" s="198">
        <v>3261.867788461539</v>
      </c>
      <c r="S21" s="198">
        <v>0</v>
      </c>
      <c r="T21" s="198">
        <v>2726.6322115384628</v>
      </c>
      <c r="U21" s="198">
        <v>0</v>
      </c>
      <c r="V21" s="198">
        <v>3251.762500000003</v>
      </c>
      <c r="W21" s="198">
        <v>0</v>
      </c>
      <c r="X21" s="198">
        <v>3907.6550925925908</v>
      </c>
      <c r="Y21" s="198">
        <v>0</v>
      </c>
      <c r="Z21" s="198">
        <v>4112.8541666666679</v>
      </c>
      <c r="AA21" s="198">
        <v>0</v>
      </c>
      <c r="AB21" s="198">
        <v>2922.0810185185205</v>
      </c>
      <c r="AC21" s="198">
        <v>0</v>
      </c>
      <c r="AD21" s="198">
        <v>3333.0275000000015</v>
      </c>
      <c r="AE21" s="198">
        <v>0</v>
      </c>
      <c r="AF21" s="198">
        <v>2950.3699999999963</v>
      </c>
      <c r="AG21" s="198">
        <v>0</v>
      </c>
      <c r="AH21" s="198">
        <v>4944.4038461538466</v>
      </c>
      <c r="AI21" s="198">
        <v>0</v>
      </c>
      <c r="AJ21" s="198">
        <v>2441.6406250000023</v>
      </c>
      <c r="AK21" s="198">
        <v>0</v>
      </c>
      <c r="AL21" s="198">
        <v>3660.6562499999977</v>
      </c>
      <c r="AM21" s="198">
        <v>0</v>
      </c>
      <c r="AN21" s="198">
        <v>4531.4615384615408</v>
      </c>
      <c r="AO21" s="198">
        <v>0</v>
      </c>
      <c r="AP21" s="198">
        <v>3324.1370192307672</v>
      </c>
      <c r="AQ21" s="198">
        <v>0</v>
      </c>
      <c r="AR21" s="198">
        <v>2135.2699999999995</v>
      </c>
      <c r="AS21" s="198">
        <v>0</v>
      </c>
      <c r="AT21" s="198">
        <v>4019.4375000000005</v>
      </c>
      <c r="AU21" s="198">
        <v>0</v>
      </c>
      <c r="AV21" s="198">
        <v>3987.6643518518576</v>
      </c>
      <c r="AW21" s="198">
        <v>0</v>
      </c>
      <c r="AX21" s="198">
        <v>4182.7265624999964</v>
      </c>
      <c r="AY21" s="198">
        <v>0</v>
      </c>
    </row>
    <row r="22" spans="2:51">
      <c r="B22" s="196">
        <v>10068</v>
      </c>
      <c r="C22" s="196" t="s">
        <v>25</v>
      </c>
      <c r="D22" s="198">
        <v>0</v>
      </c>
      <c r="E22" s="198">
        <v>0</v>
      </c>
      <c r="F22" s="198">
        <v>290.16499999999957</v>
      </c>
      <c r="G22" s="198">
        <v>0</v>
      </c>
      <c r="H22" s="198">
        <v>205.85500000000044</v>
      </c>
      <c r="I22" s="198">
        <v>0</v>
      </c>
      <c r="J22" s="198">
        <v>520.01923076923015</v>
      </c>
      <c r="K22" s="198">
        <v>0</v>
      </c>
      <c r="L22" s="198">
        <v>553.12760416666686</v>
      </c>
      <c r="M22" s="198">
        <v>0</v>
      </c>
      <c r="N22" s="198">
        <v>507.97453703703724</v>
      </c>
      <c r="O22" s="198">
        <v>0</v>
      </c>
      <c r="P22" s="198">
        <v>336.94749999999954</v>
      </c>
      <c r="Q22" s="198">
        <v>0</v>
      </c>
      <c r="R22" s="198">
        <v>221.44230769230739</v>
      </c>
      <c r="S22" s="198">
        <v>0</v>
      </c>
      <c r="T22" s="198">
        <v>59.391826923076763</v>
      </c>
      <c r="U22" s="198">
        <v>0</v>
      </c>
      <c r="V22" s="198">
        <v>573.34750000000031</v>
      </c>
      <c r="W22" s="198">
        <v>0</v>
      </c>
      <c r="X22" s="198">
        <v>463.84722222222246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291.69749999999971</v>
      </c>
      <c r="AE22" s="198">
        <v>0</v>
      </c>
      <c r="AF22" s="198">
        <v>207.03249999999983</v>
      </c>
      <c r="AG22" s="198">
        <v>0</v>
      </c>
      <c r="AH22" s="198">
        <v>521.92788461538453</v>
      </c>
      <c r="AI22" s="198">
        <v>0</v>
      </c>
      <c r="AJ22" s="198">
        <v>555.54166666666617</v>
      </c>
      <c r="AK22" s="198">
        <v>0</v>
      </c>
      <c r="AL22" s="198">
        <v>401.50721153846172</v>
      </c>
      <c r="AM22" s="198">
        <v>0</v>
      </c>
      <c r="AN22" s="198">
        <v>438.07932692307674</v>
      </c>
      <c r="AO22" s="198">
        <v>0</v>
      </c>
      <c r="AP22" s="198">
        <v>222.87019230769241</v>
      </c>
      <c r="AQ22" s="198">
        <v>0</v>
      </c>
      <c r="AR22" s="198">
        <v>0</v>
      </c>
      <c r="AS22" s="198">
        <v>0</v>
      </c>
      <c r="AT22" s="198">
        <v>675.45432692307656</v>
      </c>
      <c r="AU22" s="198">
        <v>0</v>
      </c>
      <c r="AV22" s="198">
        <v>464.96759259259261</v>
      </c>
      <c r="AW22" s="198">
        <v>0</v>
      </c>
      <c r="AX22" s="198">
        <v>0</v>
      </c>
      <c r="AY22" s="198">
        <v>0</v>
      </c>
    </row>
    <row r="23" spans="2:51">
      <c r="B23" s="196">
        <v>10070</v>
      </c>
      <c r="C23" s="196" t="s">
        <v>26</v>
      </c>
      <c r="D23" s="198">
        <v>64.298076923076991</v>
      </c>
      <c r="E23" s="198">
        <v>0</v>
      </c>
      <c r="F23" s="198">
        <v>40.014999999999993</v>
      </c>
      <c r="G23" s="198">
        <v>0</v>
      </c>
      <c r="H23" s="198">
        <v>99.827499999999958</v>
      </c>
      <c r="I23" s="198">
        <v>0</v>
      </c>
      <c r="J23" s="198">
        <v>81.865384615384613</v>
      </c>
      <c r="K23" s="198">
        <v>0</v>
      </c>
      <c r="L23" s="198">
        <v>69.161458333333286</v>
      </c>
      <c r="M23" s="198">
        <v>0</v>
      </c>
      <c r="N23" s="198">
        <v>68.787037037036981</v>
      </c>
      <c r="O23" s="198">
        <v>0</v>
      </c>
      <c r="P23" s="198">
        <v>32.977499999999907</v>
      </c>
      <c r="Q23" s="198">
        <v>0</v>
      </c>
      <c r="R23" s="198">
        <v>16.475961538461565</v>
      </c>
      <c r="S23" s="198">
        <v>0</v>
      </c>
      <c r="T23" s="198">
        <v>28.637019230769194</v>
      </c>
      <c r="U23" s="198">
        <v>0</v>
      </c>
      <c r="V23" s="198">
        <v>55.509999999999991</v>
      </c>
      <c r="W23" s="198">
        <v>0</v>
      </c>
      <c r="X23" s="198">
        <v>68.770833333333329</v>
      </c>
      <c r="Y23" s="198">
        <v>0</v>
      </c>
      <c r="Z23" s="198">
        <v>57.213541666666686</v>
      </c>
      <c r="AA23" s="198">
        <v>0</v>
      </c>
      <c r="AB23" s="198">
        <v>65.310185185185219</v>
      </c>
      <c r="AC23" s="198">
        <v>0</v>
      </c>
      <c r="AD23" s="198">
        <v>40.575000000000053</v>
      </c>
      <c r="AE23" s="198">
        <v>0</v>
      </c>
      <c r="AF23" s="198">
        <v>100.30749999999999</v>
      </c>
      <c r="AG23" s="198">
        <v>0</v>
      </c>
      <c r="AH23" s="198">
        <v>82.336538461538439</v>
      </c>
      <c r="AI23" s="198">
        <v>0</v>
      </c>
      <c r="AJ23" s="198">
        <v>69.679687499999943</v>
      </c>
      <c r="AK23" s="198">
        <v>0</v>
      </c>
      <c r="AL23" s="198">
        <v>69.600961538461462</v>
      </c>
      <c r="AM23" s="198">
        <v>0</v>
      </c>
      <c r="AN23" s="198">
        <v>33.627403846153783</v>
      </c>
      <c r="AO23" s="198">
        <v>0</v>
      </c>
      <c r="AP23" s="198">
        <v>16.110576923076962</v>
      </c>
      <c r="AQ23" s="198">
        <v>0</v>
      </c>
      <c r="AR23" s="198">
        <v>28.319999999999929</v>
      </c>
      <c r="AS23" s="198">
        <v>0</v>
      </c>
      <c r="AT23" s="198">
        <v>56.46875</v>
      </c>
      <c r="AU23" s="198">
        <v>0</v>
      </c>
      <c r="AV23" s="198">
        <v>68.412037037037067</v>
      </c>
      <c r="AW23" s="198">
        <v>0</v>
      </c>
      <c r="AX23" s="198">
        <v>56.864583333333314</v>
      </c>
      <c r="AY23" s="198">
        <v>0</v>
      </c>
    </row>
    <row r="24" spans="2:51">
      <c r="B24" s="196">
        <v>10071</v>
      </c>
      <c r="C24" s="196" t="s">
        <v>27</v>
      </c>
      <c r="D24" s="198">
        <v>150.01923076923086</v>
      </c>
      <c r="E24" s="198">
        <v>0</v>
      </c>
      <c r="F24" s="198">
        <v>0</v>
      </c>
      <c r="G24" s="198">
        <v>0</v>
      </c>
      <c r="H24" s="198">
        <v>402.15749999999997</v>
      </c>
      <c r="I24" s="198">
        <v>0</v>
      </c>
      <c r="J24" s="198">
        <v>512.15144230769249</v>
      </c>
      <c r="K24" s="198">
        <v>0</v>
      </c>
      <c r="L24" s="198">
        <v>32.421874999999936</v>
      </c>
      <c r="M24" s="198">
        <v>0</v>
      </c>
      <c r="N24" s="198">
        <v>471.35648148148169</v>
      </c>
      <c r="O24" s="198">
        <v>0</v>
      </c>
      <c r="P24" s="198">
        <v>233.86499999999998</v>
      </c>
      <c r="Q24" s="198">
        <v>0</v>
      </c>
      <c r="R24" s="198">
        <v>0</v>
      </c>
      <c r="S24" s="198">
        <v>0</v>
      </c>
      <c r="T24" s="198">
        <v>100.98798076923077</v>
      </c>
      <c r="U24" s="198">
        <v>0</v>
      </c>
      <c r="V24" s="198">
        <v>175.38499999999979</v>
      </c>
      <c r="W24" s="198">
        <v>0</v>
      </c>
      <c r="X24" s="198">
        <v>248.11342592592607</v>
      </c>
      <c r="Y24" s="198">
        <v>0</v>
      </c>
      <c r="Z24" s="198">
        <v>0</v>
      </c>
      <c r="AA24" s="198">
        <v>0</v>
      </c>
      <c r="AB24" s="198">
        <v>166.37500000000028</v>
      </c>
      <c r="AC24" s="198">
        <v>0</v>
      </c>
      <c r="AD24" s="198">
        <v>0</v>
      </c>
      <c r="AE24" s="198">
        <v>0</v>
      </c>
      <c r="AF24" s="198">
        <v>404.35999999999962</v>
      </c>
      <c r="AG24" s="198">
        <v>0</v>
      </c>
      <c r="AH24" s="198">
        <v>514.76201923076917</v>
      </c>
      <c r="AI24" s="198">
        <v>0</v>
      </c>
      <c r="AJ24" s="198">
        <v>34.101562500000185</v>
      </c>
      <c r="AK24" s="198">
        <v>0</v>
      </c>
      <c r="AL24" s="198">
        <v>458.58413461538447</v>
      </c>
      <c r="AM24" s="198">
        <v>0</v>
      </c>
      <c r="AN24" s="198">
        <v>252.22115384615384</v>
      </c>
      <c r="AO24" s="198">
        <v>0</v>
      </c>
      <c r="AP24" s="198">
        <v>0</v>
      </c>
      <c r="AQ24" s="198">
        <v>0</v>
      </c>
      <c r="AR24" s="198">
        <v>88.264999999999702</v>
      </c>
      <c r="AS24" s="198">
        <v>0</v>
      </c>
      <c r="AT24" s="198">
        <v>190.84134615384596</v>
      </c>
      <c r="AU24" s="198">
        <v>0</v>
      </c>
      <c r="AV24" s="198">
        <v>249.84259259259238</v>
      </c>
      <c r="AW24" s="198">
        <v>0</v>
      </c>
      <c r="AX24" s="198">
        <v>0</v>
      </c>
      <c r="AY24" s="198">
        <v>0</v>
      </c>
    </row>
    <row r="25" spans="2:51">
      <c r="B25" s="196">
        <v>10072</v>
      </c>
      <c r="C25" s="196" t="s">
        <v>28</v>
      </c>
      <c r="D25" s="198">
        <v>2537.557692307691</v>
      </c>
      <c r="E25" s="198">
        <v>0</v>
      </c>
      <c r="F25" s="198">
        <v>1803.0475000000017</v>
      </c>
      <c r="G25" s="198">
        <v>0</v>
      </c>
      <c r="H25" s="198">
        <v>1832.7999999999993</v>
      </c>
      <c r="I25" s="198">
        <v>0</v>
      </c>
      <c r="J25" s="198">
        <v>4164.1562499999991</v>
      </c>
      <c r="K25" s="198">
        <v>0</v>
      </c>
      <c r="L25" s="198">
        <v>3765.0520833333358</v>
      </c>
      <c r="M25" s="198">
        <v>0</v>
      </c>
      <c r="N25" s="198">
        <v>4521.8842592592609</v>
      </c>
      <c r="O25" s="198">
        <v>0</v>
      </c>
      <c r="P25" s="198">
        <v>2399.8450000000021</v>
      </c>
      <c r="Q25" s="198">
        <v>0</v>
      </c>
      <c r="R25" s="198">
        <v>1684.0024038461556</v>
      </c>
      <c r="S25" s="198">
        <v>0</v>
      </c>
      <c r="T25" s="198">
        <v>2960.0576923076919</v>
      </c>
      <c r="U25" s="198">
        <v>0</v>
      </c>
      <c r="V25" s="198">
        <v>2007.7674999999954</v>
      </c>
      <c r="W25" s="198">
        <v>0</v>
      </c>
      <c r="X25" s="198">
        <v>4249.6319444444443</v>
      </c>
      <c r="Y25" s="198">
        <v>0</v>
      </c>
      <c r="Z25" s="198">
        <v>4095.3203125</v>
      </c>
      <c r="AA25" s="198">
        <v>0</v>
      </c>
      <c r="AB25" s="198">
        <v>3612.49074074074</v>
      </c>
      <c r="AC25" s="198">
        <v>0</v>
      </c>
      <c r="AD25" s="198">
        <v>1855.4299999999948</v>
      </c>
      <c r="AE25" s="198">
        <v>0</v>
      </c>
      <c r="AF25" s="198">
        <v>1880.3750000000011</v>
      </c>
      <c r="AG25" s="198">
        <v>0</v>
      </c>
      <c r="AH25" s="198">
        <v>4188.6778846153811</v>
      </c>
      <c r="AI25" s="198">
        <v>0</v>
      </c>
      <c r="AJ25" s="198">
        <v>3829.6614583333321</v>
      </c>
      <c r="AK25" s="198">
        <v>0</v>
      </c>
      <c r="AL25" s="198">
        <v>3664.0120192307731</v>
      </c>
      <c r="AM25" s="198">
        <v>0</v>
      </c>
      <c r="AN25" s="198">
        <v>3389.3125000000023</v>
      </c>
      <c r="AO25" s="198">
        <v>0</v>
      </c>
      <c r="AP25" s="198">
        <v>1718.0096153846177</v>
      </c>
      <c r="AQ25" s="198">
        <v>0</v>
      </c>
      <c r="AR25" s="198">
        <v>2073.6400000000003</v>
      </c>
      <c r="AS25" s="198">
        <v>0</v>
      </c>
      <c r="AT25" s="198">
        <v>3024.8028846153857</v>
      </c>
      <c r="AU25" s="198">
        <v>0</v>
      </c>
      <c r="AV25" s="198">
        <v>4319.5995370370347</v>
      </c>
      <c r="AW25" s="198">
        <v>0</v>
      </c>
      <c r="AX25" s="198">
        <v>4116.6354166666679</v>
      </c>
      <c r="AY25" s="198">
        <v>0</v>
      </c>
    </row>
    <row r="26" spans="2:51">
      <c r="B26" s="196">
        <v>10074</v>
      </c>
      <c r="C26" s="196" t="s">
        <v>29</v>
      </c>
      <c r="D26" s="198">
        <v>4777.7163461538485</v>
      </c>
      <c r="E26" s="198">
        <v>0</v>
      </c>
      <c r="F26" s="198">
        <v>4071.8300000000004</v>
      </c>
      <c r="G26" s="198">
        <v>0</v>
      </c>
      <c r="H26" s="198">
        <v>7410.5499999999993</v>
      </c>
      <c r="I26" s="198">
        <v>0</v>
      </c>
      <c r="J26" s="198">
        <v>8203.6778846153829</v>
      </c>
      <c r="K26" s="198">
        <v>0</v>
      </c>
      <c r="L26" s="198">
        <v>4885.3567708333348</v>
      </c>
      <c r="M26" s="198">
        <v>0</v>
      </c>
      <c r="N26" s="198">
        <v>5697.1134259259261</v>
      </c>
      <c r="O26" s="198">
        <v>0</v>
      </c>
      <c r="P26" s="198">
        <v>4252.222499999998</v>
      </c>
      <c r="Q26" s="198">
        <v>0</v>
      </c>
      <c r="R26" s="198">
        <v>2823.1346153846166</v>
      </c>
      <c r="S26" s="198">
        <v>0</v>
      </c>
      <c r="T26" s="198">
        <v>4336.2884615384592</v>
      </c>
      <c r="U26" s="198">
        <v>0</v>
      </c>
      <c r="V26" s="198">
        <v>5586.0650000000014</v>
      </c>
      <c r="W26" s="198">
        <v>0</v>
      </c>
      <c r="X26" s="198">
        <v>5755.8518518518504</v>
      </c>
      <c r="Y26" s="198">
        <v>0</v>
      </c>
      <c r="Z26" s="198">
        <v>7003.1354166666715</v>
      </c>
      <c r="AA26" s="198">
        <v>0</v>
      </c>
      <c r="AB26" s="198">
        <v>6771.039351851854</v>
      </c>
      <c r="AC26" s="198">
        <v>0</v>
      </c>
      <c r="AD26" s="198">
        <v>5460.1450000000059</v>
      </c>
      <c r="AE26" s="198">
        <v>0</v>
      </c>
      <c r="AF26" s="198">
        <v>8056.420000000001</v>
      </c>
      <c r="AG26" s="198">
        <v>0</v>
      </c>
      <c r="AH26" s="198">
        <v>8411.1274038461543</v>
      </c>
      <c r="AI26" s="198">
        <v>0</v>
      </c>
      <c r="AJ26" s="198">
        <v>5081.5078125000018</v>
      </c>
      <c r="AK26" s="198">
        <v>0</v>
      </c>
      <c r="AL26" s="198">
        <v>5682.3461538461534</v>
      </c>
      <c r="AM26" s="198">
        <v>0</v>
      </c>
      <c r="AN26" s="198">
        <v>4631.8004807692323</v>
      </c>
      <c r="AO26" s="198">
        <v>0</v>
      </c>
      <c r="AP26" s="198">
        <v>2943.6009615384569</v>
      </c>
      <c r="AQ26" s="198">
        <v>0</v>
      </c>
      <c r="AR26" s="198">
        <v>4261.7474999999995</v>
      </c>
      <c r="AS26" s="198">
        <v>0</v>
      </c>
      <c r="AT26" s="198">
        <v>5979.2139423076915</v>
      </c>
      <c r="AU26" s="198">
        <v>0</v>
      </c>
      <c r="AV26" s="198">
        <v>5913.020833333333</v>
      </c>
      <c r="AW26" s="198">
        <v>0</v>
      </c>
      <c r="AX26" s="198">
        <v>7152.5234374999991</v>
      </c>
      <c r="AY26" s="198">
        <v>0</v>
      </c>
    </row>
    <row r="27" spans="2:51">
      <c r="B27" s="196">
        <v>10076</v>
      </c>
      <c r="C27" s="196" t="s">
        <v>30</v>
      </c>
      <c r="D27" s="198">
        <v>427.29567307692315</v>
      </c>
      <c r="E27" s="198">
        <v>0</v>
      </c>
      <c r="F27" s="198">
        <v>184.35499999999982</v>
      </c>
      <c r="G27" s="198">
        <v>0</v>
      </c>
      <c r="H27" s="198">
        <v>469.16250000000082</v>
      </c>
      <c r="I27" s="198">
        <v>0</v>
      </c>
      <c r="J27" s="198">
        <v>763.48076923076849</v>
      </c>
      <c r="K27" s="198">
        <v>0</v>
      </c>
      <c r="L27" s="198">
        <v>0</v>
      </c>
      <c r="M27" s="198">
        <v>0</v>
      </c>
      <c r="N27" s="198">
        <v>467.12499999999932</v>
      </c>
      <c r="O27" s="198">
        <v>0</v>
      </c>
      <c r="P27" s="198">
        <v>298.907499999999</v>
      </c>
      <c r="Q27" s="198">
        <v>0</v>
      </c>
      <c r="R27" s="198">
        <v>244.35576923076835</v>
      </c>
      <c r="S27" s="198">
        <v>0</v>
      </c>
      <c r="T27" s="198">
        <v>567.67788461538544</v>
      </c>
      <c r="U27" s="198">
        <v>0</v>
      </c>
      <c r="V27" s="198">
        <v>612.91999999999985</v>
      </c>
      <c r="W27" s="198">
        <v>0</v>
      </c>
      <c r="X27" s="198">
        <v>346.20833333333411</v>
      </c>
      <c r="Y27" s="198">
        <v>0</v>
      </c>
      <c r="Z27" s="198">
        <v>180.58072916666634</v>
      </c>
      <c r="AA27" s="198">
        <v>0</v>
      </c>
      <c r="AB27" s="198">
        <v>459.57175925925776</v>
      </c>
      <c r="AC27" s="198">
        <v>0</v>
      </c>
      <c r="AD27" s="198">
        <v>237.75999999999954</v>
      </c>
      <c r="AE27" s="198">
        <v>0</v>
      </c>
      <c r="AF27" s="198">
        <v>523.52249999999992</v>
      </c>
      <c r="AG27" s="198">
        <v>0</v>
      </c>
      <c r="AH27" s="198">
        <v>843.055288461538</v>
      </c>
      <c r="AI27" s="198">
        <v>0</v>
      </c>
      <c r="AJ27" s="198">
        <v>0</v>
      </c>
      <c r="AK27" s="198">
        <v>0</v>
      </c>
      <c r="AL27" s="198">
        <v>521.90384615384562</v>
      </c>
      <c r="AM27" s="198">
        <v>0</v>
      </c>
      <c r="AN27" s="198">
        <v>341.67307692307736</v>
      </c>
      <c r="AO27" s="198">
        <v>0</v>
      </c>
      <c r="AP27" s="198">
        <v>252.53125000000037</v>
      </c>
      <c r="AQ27" s="198">
        <v>0</v>
      </c>
      <c r="AR27" s="198">
        <v>572.18750000000045</v>
      </c>
      <c r="AS27" s="198">
        <v>0</v>
      </c>
      <c r="AT27" s="198">
        <v>635.35336538461434</v>
      </c>
      <c r="AU27" s="198">
        <v>0</v>
      </c>
      <c r="AV27" s="198">
        <v>356.96064814814929</v>
      </c>
      <c r="AW27" s="198">
        <v>0</v>
      </c>
      <c r="AX27" s="198">
        <v>188.79166666666757</v>
      </c>
      <c r="AY27" s="198">
        <v>0</v>
      </c>
    </row>
    <row r="28" spans="2:51">
      <c r="B28" s="196">
        <v>10078</v>
      </c>
      <c r="C28" s="196" t="s">
        <v>31</v>
      </c>
      <c r="D28" s="198">
        <v>853.07211538461524</v>
      </c>
      <c r="E28" s="198">
        <v>0</v>
      </c>
      <c r="F28" s="198">
        <v>1255.7050000000004</v>
      </c>
      <c r="G28" s="198">
        <v>0</v>
      </c>
      <c r="H28" s="198">
        <v>1409.2825000000003</v>
      </c>
      <c r="I28" s="198">
        <v>0</v>
      </c>
      <c r="J28" s="198">
        <v>1492.9783653846159</v>
      </c>
      <c r="K28" s="198">
        <v>0</v>
      </c>
      <c r="L28" s="198">
        <v>675.10937500000034</v>
      </c>
      <c r="M28" s="198">
        <v>0</v>
      </c>
      <c r="N28" s="198">
        <v>1176.1736111111106</v>
      </c>
      <c r="O28" s="198">
        <v>0</v>
      </c>
      <c r="P28" s="198">
        <v>1298.2525000000007</v>
      </c>
      <c r="Q28" s="198">
        <v>0</v>
      </c>
      <c r="R28" s="198">
        <v>401.5528846153851</v>
      </c>
      <c r="S28" s="198">
        <v>0</v>
      </c>
      <c r="T28" s="198">
        <v>36.081730769230269</v>
      </c>
      <c r="U28" s="198">
        <v>0</v>
      </c>
      <c r="V28" s="198">
        <v>69.684999999999775</v>
      </c>
      <c r="W28" s="198">
        <v>0</v>
      </c>
      <c r="X28" s="198">
        <v>726.73148148148164</v>
      </c>
      <c r="Y28" s="198">
        <v>0</v>
      </c>
      <c r="Z28" s="198">
        <v>0</v>
      </c>
      <c r="AA28" s="198">
        <v>0</v>
      </c>
      <c r="AB28" s="198">
        <v>879.74768518518511</v>
      </c>
      <c r="AC28" s="198">
        <v>0</v>
      </c>
      <c r="AD28" s="198">
        <v>1257.8574999999996</v>
      </c>
      <c r="AE28" s="198">
        <v>0</v>
      </c>
      <c r="AF28" s="198">
        <v>1412.1249999999991</v>
      </c>
      <c r="AG28" s="198">
        <v>0</v>
      </c>
      <c r="AH28" s="198">
        <v>1494.6538461538464</v>
      </c>
      <c r="AI28" s="198">
        <v>0</v>
      </c>
      <c r="AJ28" s="198">
        <v>677.95312499999966</v>
      </c>
      <c r="AK28" s="198">
        <v>0</v>
      </c>
      <c r="AL28" s="198">
        <v>1156.6562499999995</v>
      </c>
      <c r="AM28" s="198">
        <v>0</v>
      </c>
      <c r="AN28" s="198">
        <v>1323.2716346153838</v>
      </c>
      <c r="AO28" s="198">
        <v>0</v>
      </c>
      <c r="AP28" s="198">
        <v>403.06971153846183</v>
      </c>
      <c r="AQ28" s="198">
        <v>0</v>
      </c>
      <c r="AR28" s="198">
        <v>12.837500000000279</v>
      </c>
      <c r="AS28" s="198">
        <v>0</v>
      </c>
      <c r="AT28" s="198">
        <v>94.031250000000455</v>
      </c>
      <c r="AU28" s="198">
        <v>0</v>
      </c>
      <c r="AV28" s="198">
        <v>727.47222222222274</v>
      </c>
      <c r="AW28" s="198">
        <v>0</v>
      </c>
      <c r="AX28" s="198">
        <v>0</v>
      </c>
      <c r="AY28" s="198">
        <v>0</v>
      </c>
    </row>
    <row r="29" spans="2:51">
      <c r="B29" s="196">
        <v>10079</v>
      </c>
      <c r="C29" s="196" t="s">
        <v>32</v>
      </c>
      <c r="D29" s="198">
        <v>14311.74278846153</v>
      </c>
      <c r="E29" s="198">
        <v>0</v>
      </c>
      <c r="F29" s="198">
        <v>13929.202500000003</v>
      </c>
      <c r="G29" s="198">
        <v>0</v>
      </c>
      <c r="H29" s="198">
        <v>18545.385000000017</v>
      </c>
      <c r="I29" s="198">
        <v>0</v>
      </c>
      <c r="J29" s="198">
        <v>15793.158653846149</v>
      </c>
      <c r="K29" s="198">
        <v>0</v>
      </c>
      <c r="L29" s="198">
        <v>2011.3723958333126</v>
      </c>
      <c r="M29" s="198">
        <v>0</v>
      </c>
      <c r="N29" s="198">
        <v>21557.217592592595</v>
      </c>
      <c r="O29" s="198">
        <v>0</v>
      </c>
      <c r="P29" s="198">
        <v>11077.26249999999</v>
      </c>
      <c r="Q29" s="198">
        <v>0</v>
      </c>
      <c r="R29" s="198">
        <v>12815.223557692314</v>
      </c>
      <c r="S29" s="198">
        <v>0</v>
      </c>
      <c r="T29" s="198">
        <v>14943.08894230769</v>
      </c>
      <c r="U29" s="198">
        <v>0</v>
      </c>
      <c r="V29" s="198">
        <v>14264.33250000001</v>
      </c>
      <c r="W29" s="198">
        <v>0</v>
      </c>
      <c r="X29" s="198">
        <v>16187.331018518535</v>
      </c>
      <c r="Y29" s="198">
        <v>0</v>
      </c>
      <c r="Z29" s="198">
        <v>6476.2708333333167</v>
      </c>
      <c r="AA29" s="198">
        <v>0</v>
      </c>
      <c r="AB29" s="198">
        <v>12662.252314814836</v>
      </c>
      <c r="AC29" s="198">
        <v>0</v>
      </c>
      <c r="AD29" s="198">
        <v>12256.95250000001</v>
      </c>
      <c r="AE29" s="198">
        <v>0</v>
      </c>
      <c r="AF29" s="198">
        <v>17267.817500000001</v>
      </c>
      <c r="AG29" s="198">
        <v>0</v>
      </c>
      <c r="AH29" s="198">
        <v>14061.644230769247</v>
      </c>
      <c r="AI29" s="198">
        <v>0</v>
      </c>
      <c r="AJ29" s="198">
        <v>328.05989583332718</v>
      </c>
      <c r="AK29" s="198">
        <v>0</v>
      </c>
      <c r="AL29" s="198">
        <v>19824.704326923082</v>
      </c>
      <c r="AM29" s="198">
        <v>0</v>
      </c>
      <c r="AN29" s="198">
        <v>9271.4158653846389</v>
      </c>
      <c r="AO29" s="198">
        <v>0</v>
      </c>
      <c r="AP29" s="198">
        <v>10956.057692307702</v>
      </c>
      <c r="AQ29" s="198">
        <v>0</v>
      </c>
      <c r="AR29" s="198">
        <v>12985.342500000008</v>
      </c>
      <c r="AS29" s="198">
        <v>0</v>
      </c>
      <c r="AT29" s="198">
        <v>12651.711538461541</v>
      </c>
      <c r="AU29" s="198">
        <v>0</v>
      </c>
      <c r="AV29" s="198">
        <v>14322.854166666659</v>
      </c>
      <c r="AW29" s="198">
        <v>0</v>
      </c>
      <c r="AX29" s="198">
        <v>4641.7057291666597</v>
      </c>
      <c r="AY29" s="198">
        <v>0</v>
      </c>
    </row>
    <row r="30" spans="2:51">
      <c r="B30" s="196">
        <v>10080</v>
      </c>
      <c r="C30" s="196" t="s">
        <v>33</v>
      </c>
      <c r="D30" s="198">
        <v>411.34855769230813</v>
      </c>
      <c r="E30" s="198">
        <v>0</v>
      </c>
      <c r="F30" s="198">
        <v>37.402499999999783</v>
      </c>
      <c r="G30" s="198">
        <v>0</v>
      </c>
      <c r="H30" s="198">
        <v>2202.8949999999991</v>
      </c>
      <c r="I30" s="198">
        <v>0</v>
      </c>
      <c r="J30" s="198">
        <v>1512.5673076923074</v>
      </c>
      <c r="K30" s="198">
        <v>0</v>
      </c>
      <c r="L30" s="198">
        <v>149.47916666666748</v>
      </c>
      <c r="M30" s="198">
        <v>0</v>
      </c>
      <c r="N30" s="198">
        <v>704.24537037036953</v>
      </c>
      <c r="O30" s="198">
        <v>0</v>
      </c>
      <c r="P30" s="198">
        <v>244.81749999999926</v>
      </c>
      <c r="Q30" s="198">
        <v>0</v>
      </c>
      <c r="R30" s="198">
        <v>886.94471153846132</v>
      </c>
      <c r="S30" s="198">
        <v>0</v>
      </c>
      <c r="T30" s="198">
        <v>646.62740384615358</v>
      </c>
      <c r="U30" s="198">
        <v>0</v>
      </c>
      <c r="V30" s="198">
        <v>936.24750000000097</v>
      </c>
      <c r="W30" s="198">
        <v>0</v>
      </c>
      <c r="X30" s="198">
        <v>1444.7060185185201</v>
      </c>
      <c r="Y30" s="198">
        <v>0</v>
      </c>
      <c r="Z30" s="198">
        <v>831.70572916666652</v>
      </c>
      <c r="AA30" s="198">
        <v>0</v>
      </c>
      <c r="AB30" s="198">
        <v>466.58333333333292</v>
      </c>
      <c r="AC30" s="198">
        <v>0</v>
      </c>
      <c r="AD30" s="198">
        <v>32.205000000000261</v>
      </c>
      <c r="AE30" s="198">
        <v>0</v>
      </c>
      <c r="AF30" s="198">
        <v>2206.0774999999985</v>
      </c>
      <c r="AG30" s="198">
        <v>0</v>
      </c>
      <c r="AH30" s="198">
        <v>1506.5432692307695</v>
      </c>
      <c r="AI30" s="198">
        <v>0</v>
      </c>
      <c r="AJ30" s="198">
        <v>139.32291666666785</v>
      </c>
      <c r="AK30" s="198">
        <v>0</v>
      </c>
      <c r="AL30" s="198">
        <v>667.78125000000114</v>
      </c>
      <c r="AM30" s="198">
        <v>0</v>
      </c>
      <c r="AN30" s="198">
        <v>288.77163461538589</v>
      </c>
      <c r="AO30" s="198">
        <v>0</v>
      </c>
      <c r="AP30" s="198">
        <v>890.88942307692298</v>
      </c>
      <c r="AQ30" s="198">
        <v>0</v>
      </c>
      <c r="AR30" s="198">
        <v>602.6925</v>
      </c>
      <c r="AS30" s="198">
        <v>0</v>
      </c>
      <c r="AT30" s="198">
        <v>987.75240384615404</v>
      </c>
      <c r="AU30" s="198">
        <v>0</v>
      </c>
      <c r="AV30" s="198">
        <v>1451.2800925925928</v>
      </c>
      <c r="AW30" s="198">
        <v>0</v>
      </c>
      <c r="AX30" s="198">
        <v>833.94010416666606</v>
      </c>
      <c r="AY30" s="198">
        <v>0</v>
      </c>
    </row>
    <row r="31" spans="2:51">
      <c r="B31" s="196">
        <v>10081</v>
      </c>
      <c r="C31" s="196" t="s">
        <v>34</v>
      </c>
      <c r="D31" s="198">
        <v>686.72836538461638</v>
      </c>
      <c r="E31" s="198">
        <v>0</v>
      </c>
      <c r="F31" s="198">
        <v>1143.6824999999978</v>
      </c>
      <c r="G31" s="198">
        <v>0</v>
      </c>
      <c r="H31" s="198">
        <v>2963.2975000000001</v>
      </c>
      <c r="I31" s="198">
        <v>0</v>
      </c>
      <c r="J31" s="198">
        <v>2740.5913461538444</v>
      </c>
      <c r="K31" s="198">
        <v>0</v>
      </c>
      <c r="L31" s="198">
        <v>1245.5572916666649</v>
      </c>
      <c r="M31" s="198">
        <v>0</v>
      </c>
      <c r="N31" s="198">
        <v>2071.0949074074074</v>
      </c>
      <c r="O31" s="198">
        <v>0</v>
      </c>
      <c r="P31" s="198">
        <v>168.50500000000056</v>
      </c>
      <c r="Q31" s="198">
        <v>0</v>
      </c>
      <c r="R31" s="198">
        <v>1070.5264423076915</v>
      </c>
      <c r="S31" s="198">
        <v>0</v>
      </c>
      <c r="T31" s="198">
        <v>1072.7668269230771</v>
      </c>
      <c r="U31" s="198">
        <v>0</v>
      </c>
      <c r="V31" s="198">
        <v>2039.2099999999998</v>
      </c>
      <c r="W31" s="198">
        <v>0</v>
      </c>
      <c r="X31" s="198">
        <v>992.91203703703877</v>
      </c>
      <c r="Y31" s="198">
        <v>0</v>
      </c>
      <c r="Z31" s="198">
        <v>2332.2343749999995</v>
      </c>
      <c r="AA31" s="198">
        <v>0</v>
      </c>
      <c r="AB31" s="198">
        <v>685.82870370370324</v>
      </c>
      <c r="AC31" s="198">
        <v>0</v>
      </c>
      <c r="AD31" s="198">
        <v>1143.6824999999978</v>
      </c>
      <c r="AE31" s="198">
        <v>0</v>
      </c>
      <c r="AF31" s="198">
        <v>2963.2975000000001</v>
      </c>
      <c r="AG31" s="198">
        <v>0</v>
      </c>
      <c r="AH31" s="198">
        <v>2740.5913461538444</v>
      </c>
      <c r="AI31" s="198">
        <v>0</v>
      </c>
      <c r="AJ31" s="198">
        <v>1245.5572916666649</v>
      </c>
      <c r="AK31" s="198">
        <v>0</v>
      </c>
      <c r="AL31" s="198">
        <v>2085.2235576923085</v>
      </c>
      <c r="AM31" s="198">
        <v>0</v>
      </c>
      <c r="AN31" s="198">
        <v>163.09375000000071</v>
      </c>
      <c r="AO31" s="198">
        <v>0</v>
      </c>
      <c r="AP31" s="198">
        <v>1070.5264423076915</v>
      </c>
      <c r="AQ31" s="198">
        <v>0</v>
      </c>
      <c r="AR31" s="198">
        <v>1065.5399999999986</v>
      </c>
      <c r="AS31" s="198">
        <v>0</v>
      </c>
      <c r="AT31" s="198">
        <v>2053.5528846153825</v>
      </c>
      <c r="AU31" s="198">
        <v>0</v>
      </c>
      <c r="AV31" s="198">
        <v>992.91203703703877</v>
      </c>
      <c r="AW31" s="198">
        <v>0</v>
      </c>
      <c r="AX31" s="198">
        <v>2332.2343749999995</v>
      </c>
      <c r="AY31" s="198">
        <v>0</v>
      </c>
    </row>
    <row r="32" spans="2:51">
      <c r="B32" s="196">
        <v>10082</v>
      </c>
      <c r="C32" s="196" t="s">
        <v>35</v>
      </c>
      <c r="D32" s="198">
        <v>22.324519230769223</v>
      </c>
      <c r="E32" s="198">
        <v>0</v>
      </c>
      <c r="F32" s="198">
        <v>40.197500000000012</v>
      </c>
      <c r="G32" s="198">
        <v>0</v>
      </c>
      <c r="H32" s="198">
        <v>40.75</v>
      </c>
      <c r="I32" s="198">
        <v>0</v>
      </c>
      <c r="J32" s="198">
        <v>53.8125</v>
      </c>
      <c r="K32" s="198">
        <v>0</v>
      </c>
      <c r="L32" s="198">
        <v>32.166666666666679</v>
      </c>
      <c r="M32" s="198">
        <v>0</v>
      </c>
      <c r="N32" s="198">
        <v>22.435185185185183</v>
      </c>
      <c r="O32" s="198">
        <v>0</v>
      </c>
      <c r="P32" s="198">
        <v>16.227499999999992</v>
      </c>
      <c r="Q32" s="198">
        <v>0</v>
      </c>
      <c r="R32" s="198">
        <v>11.93269230769231</v>
      </c>
      <c r="S32" s="198">
        <v>0</v>
      </c>
      <c r="T32" s="198">
        <v>17.867788461538449</v>
      </c>
      <c r="U32" s="198">
        <v>0</v>
      </c>
      <c r="V32" s="198">
        <v>31.567499999999999</v>
      </c>
      <c r="W32" s="198">
        <v>0</v>
      </c>
      <c r="X32" s="198">
        <v>30.312499999999993</v>
      </c>
      <c r="Y32" s="198">
        <v>0</v>
      </c>
      <c r="Z32" s="198">
        <v>21.846354166666679</v>
      </c>
      <c r="AA32" s="198">
        <v>0</v>
      </c>
      <c r="AB32" s="198">
        <v>21.981481481481477</v>
      </c>
      <c r="AC32" s="198">
        <v>0</v>
      </c>
      <c r="AD32" s="198">
        <v>39.950000000000024</v>
      </c>
      <c r="AE32" s="198">
        <v>0</v>
      </c>
      <c r="AF32" s="198">
        <v>40.437499999999979</v>
      </c>
      <c r="AG32" s="198">
        <v>0</v>
      </c>
      <c r="AH32" s="198">
        <v>53.500000000000007</v>
      </c>
      <c r="AI32" s="198">
        <v>0</v>
      </c>
      <c r="AJ32" s="198">
        <v>32.885416666666664</v>
      </c>
      <c r="AK32" s="198">
        <v>0</v>
      </c>
      <c r="AL32" s="198">
        <v>22.459134615384624</v>
      </c>
      <c r="AM32" s="198">
        <v>0</v>
      </c>
      <c r="AN32" s="198">
        <v>15.788461538461544</v>
      </c>
      <c r="AO32" s="198">
        <v>0</v>
      </c>
      <c r="AP32" s="198">
        <v>12.781250000000007</v>
      </c>
      <c r="AQ32" s="198">
        <v>0</v>
      </c>
      <c r="AR32" s="198">
        <v>17.814999999999991</v>
      </c>
      <c r="AS32" s="198">
        <v>0</v>
      </c>
      <c r="AT32" s="198">
        <v>31.35336538461539</v>
      </c>
      <c r="AU32" s="198">
        <v>0</v>
      </c>
      <c r="AV32" s="198">
        <v>30.17824074074074</v>
      </c>
      <c r="AW32" s="198">
        <v>0</v>
      </c>
      <c r="AX32" s="198">
        <v>21.721354166666664</v>
      </c>
      <c r="AY32" s="198">
        <v>0</v>
      </c>
    </row>
    <row r="33" spans="2:51">
      <c r="B33" s="196">
        <v>10083</v>
      </c>
      <c r="C33" s="196" t="s">
        <v>36</v>
      </c>
      <c r="D33" s="198">
        <v>836.36057692307736</v>
      </c>
      <c r="E33" s="198">
        <v>0</v>
      </c>
      <c r="F33" s="198">
        <v>394.53500000000031</v>
      </c>
      <c r="G33" s="198">
        <v>0</v>
      </c>
      <c r="H33" s="198">
        <v>1475.0599999999988</v>
      </c>
      <c r="I33" s="198">
        <v>0</v>
      </c>
      <c r="J33" s="198">
        <v>1735.3774038461549</v>
      </c>
      <c r="K33" s="198">
        <v>0</v>
      </c>
      <c r="L33" s="198">
        <v>717.75520833333189</v>
      </c>
      <c r="M33" s="198">
        <v>0</v>
      </c>
      <c r="N33" s="198">
        <v>1867.1388888888885</v>
      </c>
      <c r="O33" s="198">
        <v>0</v>
      </c>
      <c r="P33" s="198">
        <v>1197.2675000000002</v>
      </c>
      <c r="Q33" s="198">
        <v>0</v>
      </c>
      <c r="R33" s="198">
        <v>108.50000000000004</v>
      </c>
      <c r="S33" s="198">
        <v>0</v>
      </c>
      <c r="T33" s="198">
        <v>246.69471153846166</v>
      </c>
      <c r="U33" s="198">
        <v>0</v>
      </c>
      <c r="V33" s="198">
        <v>861.74250000000006</v>
      </c>
      <c r="W33" s="198">
        <v>0</v>
      </c>
      <c r="X33" s="198">
        <v>1640.5555555555554</v>
      </c>
      <c r="Y33" s="198">
        <v>0</v>
      </c>
      <c r="Z33" s="198">
        <v>1382.5078125000009</v>
      </c>
      <c r="AA33" s="198">
        <v>0</v>
      </c>
      <c r="AB33" s="198">
        <v>861.45370370370426</v>
      </c>
      <c r="AC33" s="198">
        <v>0</v>
      </c>
      <c r="AD33" s="198">
        <v>411.49750000000029</v>
      </c>
      <c r="AE33" s="198">
        <v>0</v>
      </c>
      <c r="AF33" s="198">
        <v>1494.6899999999998</v>
      </c>
      <c r="AG33" s="198">
        <v>0</v>
      </c>
      <c r="AH33" s="198">
        <v>1757.2956730769235</v>
      </c>
      <c r="AI33" s="198">
        <v>0</v>
      </c>
      <c r="AJ33" s="198">
        <v>736.64583333333451</v>
      </c>
      <c r="AK33" s="198">
        <v>0</v>
      </c>
      <c r="AL33" s="198">
        <v>1889.7403846153845</v>
      </c>
      <c r="AM33" s="198">
        <v>0</v>
      </c>
      <c r="AN33" s="198">
        <v>1218.0985576923074</v>
      </c>
      <c r="AO33" s="198">
        <v>0</v>
      </c>
      <c r="AP33" s="198">
        <v>116.24519230769326</v>
      </c>
      <c r="AQ33" s="198">
        <v>0</v>
      </c>
      <c r="AR33" s="198">
        <v>248.67249999999962</v>
      </c>
      <c r="AS33" s="198">
        <v>0</v>
      </c>
      <c r="AT33" s="198">
        <v>888.63701923076906</v>
      </c>
      <c r="AU33" s="198">
        <v>0</v>
      </c>
      <c r="AV33" s="198">
        <v>1656.6134259259256</v>
      </c>
      <c r="AW33" s="198">
        <v>0</v>
      </c>
      <c r="AX33" s="198">
        <v>1394.8750000000007</v>
      </c>
      <c r="AY33" s="198">
        <v>0</v>
      </c>
    </row>
    <row r="34" spans="2:51">
      <c r="B34" s="196">
        <v>10086</v>
      </c>
      <c r="C34" s="196" t="s">
        <v>37</v>
      </c>
      <c r="D34" s="198">
        <v>753.69230769230739</v>
      </c>
      <c r="E34" s="198">
        <v>0</v>
      </c>
      <c r="F34" s="198">
        <v>478.14499999999981</v>
      </c>
      <c r="G34" s="198">
        <v>0</v>
      </c>
      <c r="H34" s="198">
        <v>579.96000000000072</v>
      </c>
      <c r="I34" s="198">
        <v>0</v>
      </c>
      <c r="J34" s="198">
        <v>1019.2187500000005</v>
      </c>
      <c r="K34" s="198">
        <v>0</v>
      </c>
      <c r="L34" s="198">
        <v>871.94531249999989</v>
      </c>
      <c r="M34" s="198">
        <v>0</v>
      </c>
      <c r="N34" s="198">
        <v>872.53009259259227</v>
      </c>
      <c r="O34" s="198">
        <v>0</v>
      </c>
      <c r="P34" s="198">
        <v>882.66250000000014</v>
      </c>
      <c r="Q34" s="198">
        <v>0</v>
      </c>
      <c r="R34" s="198">
        <v>90.149038461538439</v>
      </c>
      <c r="S34" s="198">
        <v>0</v>
      </c>
      <c r="T34" s="198">
        <v>278.54807692307679</v>
      </c>
      <c r="U34" s="198">
        <v>0</v>
      </c>
      <c r="V34" s="198">
        <v>316.39000000000061</v>
      </c>
      <c r="W34" s="198">
        <v>0</v>
      </c>
      <c r="X34" s="198">
        <v>382.71064814814792</v>
      </c>
      <c r="Y34" s="198">
        <v>0</v>
      </c>
      <c r="Z34" s="198">
        <v>222.59895833333377</v>
      </c>
      <c r="AA34" s="198">
        <v>0</v>
      </c>
      <c r="AB34" s="198">
        <v>787.30092592592564</v>
      </c>
      <c r="AC34" s="198">
        <v>0</v>
      </c>
      <c r="AD34" s="198">
        <v>494.1875</v>
      </c>
      <c r="AE34" s="198">
        <v>0</v>
      </c>
      <c r="AF34" s="198">
        <v>596.35500000000002</v>
      </c>
      <c r="AG34" s="198">
        <v>0</v>
      </c>
      <c r="AH34" s="198">
        <v>1035.6778846153845</v>
      </c>
      <c r="AI34" s="198">
        <v>0</v>
      </c>
      <c r="AJ34" s="198">
        <v>887.30989583333337</v>
      </c>
      <c r="AK34" s="198">
        <v>0</v>
      </c>
      <c r="AL34" s="198">
        <v>870.76201923076883</v>
      </c>
      <c r="AM34" s="198">
        <v>0</v>
      </c>
      <c r="AN34" s="198">
        <v>915.875</v>
      </c>
      <c r="AO34" s="198">
        <v>0</v>
      </c>
      <c r="AP34" s="198">
        <v>106.3774038461538</v>
      </c>
      <c r="AQ34" s="198">
        <v>0</v>
      </c>
      <c r="AR34" s="198">
        <v>275.08000000000067</v>
      </c>
      <c r="AS34" s="198">
        <v>0</v>
      </c>
      <c r="AT34" s="198">
        <v>352.32932692307628</v>
      </c>
      <c r="AU34" s="198">
        <v>0</v>
      </c>
      <c r="AV34" s="198">
        <v>398.67824074074053</v>
      </c>
      <c r="AW34" s="198">
        <v>0</v>
      </c>
      <c r="AX34" s="198">
        <v>238.12239583333351</v>
      </c>
      <c r="AY34" s="198">
        <v>0</v>
      </c>
    </row>
    <row r="35" spans="2:51">
      <c r="B35" s="196">
        <v>10087</v>
      </c>
      <c r="C35" s="196" t="s">
        <v>38</v>
      </c>
      <c r="D35" s="198">
        <v>0</v>
      </c>
      <c r="E35" s="198">
        <v>0</v>
      </c>
      <c r="F35" s="198">
        <v>0</v>
      </c>
      <c r="G35" s="198">
        <v>0</v>
      </c>
      <c r="H35" s="198">
        <v>458.48500000000672</v>
      </c>
      <c r="I35" s="198">
        <v>0</v>
      </c>
      <c r="J35" s="198">
        <v>302.35336538460797</v>
      </c>
      <c r="K35" s="198">
        <v>0</v>
      </c>
      <c r="L35" s="198">
        <v>7772.6901041666742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491.52750000000719</v>
      </c>
      <c r="AG35" s="198">
        <v>0</v>
      </c>
      <c r="AH35" s="198">
        <v>352.34134615385312</v>
      </c>
      <c r="AI35" s="198">
        <v>0</v>
      </c>
      <c r="AJ35" s="198">
        <v>7822.666666666667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</row>
    <row r="36" spans="2:51">
      <c r="B36" s="196">
        <v>10089</v>
      </c>
      <c r="C36" s="196" t="s">
        <v>39</v>
      </c>
      <c r="D36" s="198">
        <v>6098.9759615384573</v>
      </c>
      <c r="E36" s="198">
        <v>0</v>
      </c>
      <c r="F36" s="198">
        <v>4657.5024999999996</v>
      </c>
      <c r="G36" s="198">
        <v>0</v>
      </c>
      <c r="H36" s="198">
        <v>21390.08750000002</v>
      </c>
      <c r="I36" s="198">
        <v>0</v>
      </c>
      <c r="J36" s="198">
        <v>18273.021634615397</v>
      </c>
      <c r="K36" s="198">
        <v>0</v>
      </c>
      <c r="L36" s="198">
        <v>11069.833333333343</v>
      </c>
      <c r="M36" s="198">
        <v>0</v>
      </c>
      <c r="N36" s="198">
        <v>18283.69907407408</v>
      </c>
      <c r="O36" s="198">
        <v>0</v>
      </c>
      <c r="P36" s="198">
        <v>9818.2700000000204</v>
      </c>
      <c r="Q36" s="198">
        <v>0</v>
      </c>
      <c r="R36" s="198">
        <v>5379.3221153846071</v>
      </c>
      <c r="S36" s="198">
        <v>0</v>
      </c>
      <c r="T36" s="198">
        <v>8333.3197115384646</v>
      </c>
      <c r="U36" s="198">
        <v>0</v>
      </c>
      <c r="V36" s="198">
        <v>17675.092500000013</v>
      </c>
      <c r="W36" s="198">
        <v>0</v>
      </c>
      <c r="X36" s="198">
        <v>22027.282407407409</v>
      </c>
      <c r="Y36" s="198">
        <v>0</v>
      </c>
      <c r="Z36" s="198">
        <v>20316.695312500004</v>
      </c>
      <c r="AA36" s="198">
        <v>0</v>
      </c>
      <c r="AB36" s="198">
        <v>6799.273148148146</v>
      </c>
      <c r="AC36" s="198">
        <v>0</v>
      </c>
      <c r="AD36" s="198">
        <v>5083.9550000000099</v>
      </c>
      <c r="AE36" s="198">
        <v>0</v>
      </c>
      <c r="AF36" s="198">
        <v>21866.592499999995</v>
      </c>
      <c r="AG36" s="198">
        <v>0</v>
      </c>
      <c r="AH36" s="198">
        <v>18827.567307692312</v>
      </c>
      <c r="AI36" s="198">
        <v>0</v>
      </c>
      <c r="AJ36" s="198">
        <v>11653.721354166655</v>
      </c>
      <c r="AK36" s="198">
        <v>0</v>
      </c>
      <c r="AL36" s="198">
        <v>18528.817307692309</v>
      </c>
      <c r="AM36" s="198">
        <v>0</v>
      </c>
      <c r="AN36" s="198">
        <v>10466.567307692323</v>
      </c>
      <c r="AO36" s="198">
        <v>0</v>
      </c>
      <c r="AP36" s="198">
        <v>5730.288461538461</v>
      </c>
      <c r="AQ36" s="198">
        <v>0</v>
      </c>
      <c r="AR36" s="198">
        <v>8290.3000000000029</v>
      </c>
      <c r="AS36" s="198">
        <v>0</v>
      </c>
      <c r="AT36" s="198">
        <v>18684.168269230759</v>
      </c>
      <c r="AU36" s="198">
        <v>0</v>
      </c>
      <c r="AV36" s="198">
        <v>22540.59490740742</v>
      </c>
      <c r="AW36" s="198">
        <v>0</v>
      </c>
      <c r="AX36" s="198">
        <v>20794.351562499982</v>
      </c>
      <c r="AY36" s="198">
        <v>0</v>
      </c>
    </row>
    <row r="37" spans="2:51">
      <c r="B37" s="196">
        <v>10091</v>
      </c>
      <c r="C37" s="196" t="s">
        <v>40</v>
      </c>
      <c r="D37" s="198">
        <v>860.37259615384437</v>
      </c>
      <c r="E37" s="198">
        <v>0</v>
      </c>
      <c r="F37" s="198">
        <v>1933.4025000000006</v>
      </c>
      <c r="G37" s="198">
        <v>0</v>
      </c>
      <c r="H37" s="198">
        <v>1715.3849999999995</v>
      </c>
      <c r="I37" s="198">
        <v>0</v>
      </c>
      <c r="J37" s="198">
        <v>2203.1129807692305</v>
      </c>
      <c r="K37" s="198">
        <v>0</v>
      </c>
      <c r="L37" s="198">
        <v>1791.6953125</v>
      </c>
      <c r="M37" s="198">
        <v>0</v>
      </c>
      <c r="N37" s="198">
        <v>906.45833333333621</v>
      </c>
      <c r="O37" s="198">
        <v>0</v>
      </c>
      <c r="P37" s="198">
        <v>1920.6699999999998</v>
      </c>
      <c r="Q37" s="198">
        <v>0</v>
      </c>
      <c r="R37" s="198">
        <v>2009.5216346153854</v>
      </c>
      <c r="S37" s="198">
        <v>0</v>
      </c>
      <c r="T37" s="198">
        <v>1943.0072115384612</v>
      </c>
      <c r="U37" s="198">
        <v>0</v>
      </c>
      <c r="V37" s="198">
        <v>1840.8474999999999</v>
      </c>
      <c r="W37" s="198">
        <v>0</v>
      </c>
      <c r="X37" s="198">
        <v>2086.8194444444434</v>
      </c>
      <c r="Y37" s="198">
        <v>0</v>
      </c>
      <c r="Z37" s="198">
        <v>613.58333333333337</v>
      </c>
      <c r="AA37" s="198">
        <v>0</v>
      </c>
      <c r="AB37" s="198">
        <v>719.39351851851893</v>
      </c>
      <c r="AC37" s="198">
        <v>0</v>
      </c>
      <c r="AD37" s="198">
        <v>1680.0275000000004</v>
      </c>
      <c r="AE37" s="198">
        <v>0</v>
      </c>
      <c r="AF37" s="198">
        <v>1451.0850000000025</v>
      </c>
      <c r="AG37" s="198">
        <v>0</v>
      </c>
      <c r="AH37" s="198">
        <v>2291.8605769230785</v>
      </c>
      <c r="AI37" s="198">
        <v>0</v>
      </c>
      <c r="AJ37" s="198">
        <v>1197.1588541666681</v>
      </c>
      <c r="AK37" s="198">
        <v>0</v>
      </c>
      <c r="AL37" s="198">
        <v>159.68749999999997</v>
      </c>
      <c r="AM37" s="198">
        <v>0</v>
      </c>
      <c r="AN37" s="198">
        <v>2174.7548076923063</v>
      </c>
      <c r="AO37" s="198">
        <v>0</v>
      </c>
      <c r="AP37" s="198">
        <v>1751.9783653846146</v>
      </c>
      <c r="AQ37" s="198">
        <v>0</v>
      </c>
      <c r="AR37" s="198">
        <v>1496.4425000000006</v>
      </c>
      <c r="AS37" s="198">
        <v>0</v>
      </c>
      <c r="AT37" s="198">
        <v>2149.0192307692296</v>
      </c>
      <c r="AU37" s="198">
        <v>0</v>
      </c>
      <c r="AV37" s="198">
        <v>2026.2152777777792</v>
      </c>
      <c r="AW37" s="198">
        <v>0</v>
      </c>
      <c r="AX37" s="198">
        <v>468.97395833333343</v>
      </c>
      <c r="AY37" s="198">
        <v>0</v>
      </c>
    </row>
    <row r="38" spans="2:51">
      <c r="B38" s="196">
        <v>10094</v>
      </c>
      <c r="C38" s="196" t="s">
        <v>41</v>
      </c>
      <c r="D38" s="198">
        <v>502.09374999999966</v>
      </c>
      <c r="E38" s="198">
        <v>0</v>
      </c>
      <c r="F38" s="198">
        <v>290.47250000000071</v>
      </c>
      <c r="G38" s="198">
        <v>0</v>
      </c>
      <c r="H38" s="198">
        <v>288.28500000000048</v>
      </c>
      <c r="I38" s="198">
        <v>0</v>
      </c>
      <c r="J38" s="198">
        <v>687.21875000000045</v>
      </c>
      <c r="K38" s="198">
        <v>0</v>
      </c>
      <c r="L38" s="198">
        <v>426.96093750000006</v>
      </c>
      <c r="M38" s="198">
        <v>0</v>
      </c>
      <c r="N38" s="198">
        <v>590.74999999999977</v>
      </c>
      <c r="O38" s="198">
        <v>0</v>
      </c>
      <c r="P38" s="198">
        <v>445.0074999999996</v>
      </c>
      <c r="Q38" s="198">
        <v>0</v>
      </c>
      <c r="R38" s="198">
        <v>559.63461538461524</v>
      </c>
      <c r="S38" s="198">
        <v>0</v>
      </c>
      <c r="T38" s="198">
        <v>429.00000000000051</v>
      </c>
      <c r="U38" s="198">
        <v>0</v>
      </c>
      <c r="V38" s="198">
        <v>433.51500000000021</v>
      </c>
      <c r="W38" s="198">
        <v>0</v>
      </c>
      <c r="X38" s="198">
        <v>531.05324074074133</v>
      </c>
      <c r="Y38" s="198">
        <v>0</v>
      </c>
      <c r="Z38" s="198">
        <v>317.92968750000028</v>
      </c>
      <c r="AA38" s="198">
        <v>0</v>
      </c>
      <c r="AB38" s="198">
        <v>627.24768518518499</v>
      </c>
      <c r="AC38" s="198">
        <v>0</v>
      </c>
      <c r="AD38" s="198">
        <v>291.47500000000002</v>
      </c>
      <c r="AE38" s="198">
        <v>0</v>
      </c>
      <c r="AF38" s="198">
        <v>289.32000000000033</v>
      </c>
      <c r="AG38" s="198">
        <v>0</v>
      </c>
      <c r="AH38" s="198">
        <v>687.49038461538521</v>
      </c>
      <c r="AI38" s="198">
        <v>0</v>
      </c>
      <c r="AJ38" s="198">
        <v>427.60156250000006</v>
      </c>
      <c r="AK38" s="198">
        <v>0</v>
      </c>
      <c r="AL38" s="198">
        <v>453.49759615384664</v>
      </c>
      <c r="AM38" s="198">
        <v>0</v>
      </c>
      <c r="AN38" s="198">
        <v>578.31490384615415</v>
      </c>
      <c r="AO38" s="198">
        <v>0</v>
      </c>
      <c r="AP38" s="198">
        <v>560.74759615384596</v>
      </c>
      <c r="AQ38" s="198">
        <v>0</v>
      </c>
      <c r="AR38" s="198">
        <v>307.71999999999957</v>
      </c>
      <c r="AS38" s="198">
        <v>0</v>
      </c>
      <c r="AT38" s="198">
        <v>560.93990384615324</v>
      </c>
      <c r="AU38" s="198">
        <v>0</v>
      </c>
      <c r="AV38" s="198">
        <v>531.05787037037078</v>
      </c>
      <c r="AW38" s="198">
        <v>0</v>
      </c>
      <c r="AX38" s="198">
        <v>318.4661458333332</v>
      </c>
      <c r="AY38" s="198">
        <v>0</v>
      </c>
    </row>
    <row r="39" spans="2:51">
      <c r="B39" s="196">
        <v>10095</v>
      </c>
      <c r="C39" s="196" t="s">
        <v>42</v>
      </c>
      <c r="D39" s="198">
        <v>741.44711538461479</v>
      </c>
      <c r="E39" s="198">
        <v>0</v>
      </c>
      <c r="F39" s="198">
        <v>484.25500000000011</v>
      </c>
      <c r="G39" s="198">
        <v>0</v>
      </c>
      <c r="H39" s="198">
        <v>522.63500000000022</v>
      </c>
      <c r="I39" s="198">
        <v>0</v>
      </c>
      <c r="J39" s="198">
        <v>526.14663461538487</v>
      </c>
      <c r="K39" s="198">
        <v>0</v>
      </c>
      <c r="L39" s="198">
        <v>507.5390624999996</v>
      </c>
      <c r="M39" s="198">
        <v>0</v>
      </c>
      <c r="N39" s="198">
        <v>506.7430555555552</v>
      </c>
      <c r="O39" s="198">
        <v>0</v>
      </c>
      <c r="P39" s="198">
        <v>455.09999999999997</v>
      </c>
      <c r="Q39" s="198">
        <v>0</v>
      </c>
      <c r="R39" s="198">
        <v>342.64903846153862</v>
      </c>
      <c r="S39" s="198">
        <v>0</v>
      </c>
      <c r="T39" s="198">
        <v>435.83653846153834</v>
      </c>
      <c r="U39" s="198">
        <v>0</v>
      </c>
      <c r="V39" s="198">
        <v>408.67499999999944</v>
      </c>
      <c r="W39" s="198">
        <v>0</v>
      </c>
      <c r="X39" s="198">
        <v>523.60879629629642</v>
      </c>
      <c r="Y39" s="198">
        <v>0</v>
      </c>
      <c r="Z39" s="198">
        <v>438.33854166666652</v>
      </c>
      <c r="AA39" s="198">
        <v>0</v>
      </c>
      <c r="AB39" s="198">
        <v>784.20370370370404</v>
      </c>
      <c r="AC39" s="198">
        <v>0</v>
      </c>
      <c r="AD39" s="198">
        <v>485.86250000000052</v>
      </c>
      <c r="AE39" s="198">
        <v>0</v>
      </c>
      <c r="AF39" s="198">
        <v>514.01499999999965</v>
      </c>
      <c r="AG39" s="198">
        <v>0</v>
      </c>
      <c r="AH39" s="198">
        <v>527.43749999999955</v>
      </c>
      <c r="AI39" s="198">
        <v>0</v>
      </c>
      <c r="AJ39" s="198">
        <v>498.49218750000034</v>
      </c>
      <c r="AK39" s="198">
        <v>0</v>
      </c>
      <c r="AL39" s="198">
        <v>456.17307692307674</v>
      </c>
      <c r="AM39" s="198">
        <v>0</v>
      </c>
      <c r="AN39" s="198">
        <v>488.48557692307639</v>
      </c>
      <c r="AO39" s="198">
        <v>0</v>
      </c>
      <c r="AP39" s="198">
        <v>334.79086538461547</v>
      </c>
      <c r="AQ39" s="198">
        <v>0</v>
      </c>
      <c r="AR39" s="198">
        <v>386.73000000000025</v>
      </c>
      <c r="AS39" s="198">
        <v>0</v>
      </c>
      <c r="AT39" s="198">
        <v>443.15384615384602</v>
      </c>
      <c r="AU39" s="198">
        <v>0</v>
      </c>
      <c r="AV39" s="198">
        <v>515.77314814814838</v>
      </c>
      <c r="AW39" s="198">
        <v>0</v>
      </c>
      <c r="AX39" s="198">
        <v>440.44270833333331</v>
      </c>
      <c r="AY39" s="198">
        <v>0</v>
      </c>
    </row>
    <row r="40" spans="2:51">
      <c r="B40" s="196">
        <v>10097</v>
      </c>
      <c r="C40" s="196" t="s">
        <v>43</v>
      </c>
      <c r="D40" s="198">
        <v>220.59855769230762</v>
      </c>
      <c r="E40" s="198">
        <v>0</v>
      </c>
      <c r="F40" s="198">
        <v>431.63499999999982</v>
      </c>
      <c r="G40" s="198">
        <v>0</v>
      </c>
      <c r="H40" s="198">
        <v>285.98749999999939</v>
      </c>
      <c r="I40" s="198">
        <v>0</v>
      </c>
      <c r="J40" s="198">
        <v>501.12980769230808</v>
      </c>
      <c r="K40" s="198">
        <v>0</v>
      </c>
      <c r="L40" s="198">
        <v>441.73177083333337</v>
      </c>
      <c r="M40" s="198">
        <v>0</v>
      </c>
      <c r="N40" s="198">
        <v>391.4444444444444</v>
      </c>
      <c r="O40" s="198">
        <v>0</v>
      </c>
      <c r="P40" s="198">
        <v>339.95499999999998</v>
      </c>
      <c r="Q40" s="198">
        <v>0</v>
      </c>
      <c r="R40" s="198">
        <v>271.80528846153828</v>
      </c>
      <c r="S40" s="198">
        <v>0</v>
      </c>
      <c r="T40" s="198">
        <v>281.94711538461519</v>
      </c>
      <c r="U40" s="198">
        <v>0</v>
      </c>
      <c r="V40" s="198">
        <v>133.50500000000002</v>
      </c>
      <c r="W40" s="198">
        <v>0</v>
      </c>
      <c r="X40" s="198">
        <v>211.11111111111137</v>
      </c>
      <c r="Y40" s="198">
        <v>0</v>
      </c>
      <c r="Z40" s="198">
        <v>152.02083333333306</v>
      </c>
      <c r="AA40" s="198">
        <v>0</v>
      </c>
      <c r="AB40" s="198">
        <v>297.66666666666686</v>
      </c>
      <c r="AC40" s="198">
        <v>0</v>
      </c>
      <c r="AD40" s="198">
        <v>433.29749999999996</v>
      </c>
      <c r="AE40" s="198">
        <v>0</v>
      </c>
      <c r="AF40" s="198">
        <v>287.4375</v>
      </c>
      <c r="AG40" s="198">
        <v>0</v>
      </c>
      <c r="AH40" s="198">
        <v>503.80528846153828</v>
      </c>
      <c r="AI40" s="198">
        <v>0</v>
      </c>
      <c r="AJ40" s="198">
        <v>444.3489583333332</v>
      </c>
      <c r="AK40" s="198">
        <v>0</v>
      </c>
      <c r="AL40" s="198">
        <v>298.88701923076923</v>
      </c>
      <c r="AM40" s="198">
        <v>0</v>
      </c>
      <c r="AN40" s="198">
        <v>425.44471153846143</v>
      </c>
      <c r="AO40" s="198">
        <v>0</v>
      </c>
      <c r="AP40" s="198">
        <v>273.61538461538481</v>
      </c>
      <c r="AQ40" s="198">
        <v>0</v>
      </c>
      <c r="AR40" s="198">
        <v>223.59750000000017</v>
      </c>
      <c r="AS40" s="198">
        <v>0</v>
      </c>
      <c r="AT40" s="198">
        <v>194.09855769230779</v>
      </c>
      <c r="AU40" s="198">
        <v>0</v>
      </c>
      <c r="AV40" s="198">
        <v>211.34722222222223</v>
      </c>
      <c r="AW40" s="198">
        <v>0</v>
      </c>
      <c r="AX40" s="198">
        <v>154.03906249999989</v>
      </c>
      <c r="AY40" s="198">
        <v>0</v>
      </c>
    </row>
    <row r="41" spans="2:51">
      <c r="B41" s="196">
        <v>10101</v>
      </c>
      <c r="C41" s="196" t="s">
        <v>44</v>
      </c>
      <c r="D41" s="198">
        <v>6671.2764423076933</v>
      </c>
      <c r="E41" s="198">
        <v>0</v>
      </c>
      <c r="F41" s="198">
        <v>8587.6199999999862</v>
      </c>
      <c r="G41" s="198">
        <v>0</v>
      </c>
      <c r="H41" s="198">
        <v>30421.080000000009</v>
      </c>
      <c r="I41" s="198">
        <v>0</v>
      </c>
      <c r="J41" s="198">
        <v>38387.721153846149</v>
      </c>
      <c r="K41" s="198">
        <v>0</v>
      </c>
      <c r="L41" s="198">
        <v>30964.953125</v>
      </c>
      <c r="M41" s="198">
        <v>0</v>
      </c>
      <c r="N41" s="198">
        <v>32049.703703703693</v>
      </c>
      <c r="O41" s="198">
        <v>0</v>
      </c>
      <c r="P41" s="198">
        <v>20677.000000000007</v>
      </c>
      <c r="Q41" s="198">
        <v>0</v>
      </c>
      <c r="R41" s="198">
        <v>12557.843749999996</v>
      </c>
      <c r="S41" s="198">
        <v>0</v>
      </c>
      <c r="T41" s="198">
        <v>7848.956730769235</v>
      </c>
      <c r="U41" s="198">
        <v>0</v>
      </c>
      <c r="V41" s="198">
        <v>11619.310000000003</v>
      </c>
      <c r="W41" s="198">
        <v>0</v>
      </c>
      <c r="X41" s="198">
        <v>15817.185185185182</v>
      </c>
      <c r="Y41" s="198">
        <v>0</v>
      </c>
      <c r="Z41" s="198">
        <v>3243.28906249999</v>
      </c>
      <c r="AA41" s="198">
        <v>0</v>
      </c>
      <c r="AB41" s="198">
        <v>10108.858796296296</v>
      </c>
      <c r="AC41" s="198">
        <v>0</v>
      </c>
      <c r="AD41" s="198">
        <v>9109.6550000000043</v>
      </c>
      <c r="AE41" s="198">
        <v>0</v>
      </c>
      <c r="AF41" s="198">
        <v>30935.005000000012</v>
      </c>
      <c r="AG41" s="198">
        <v>0</v>
      </c>
      <c r="AH41" s="198">
        <v>38941.038461538461</v>
      </c>
      <c r="AI41" s="198">
        <v>0</v>
      </c>
      <c r="AJ41" s="198">
        <v>31438.773437500025</v>
      </c>
      <c r="AK41" s="198">
        <v>0</v>
      </c>
      <c r="AL41" s="198">
        <v>29185.218750000011</v>
      </c>
      <c r="AM41" s="198">
        <v>0</v>
      </c>
      <c r="AN41" s="198">
        <v>24330.245192307684</v>
      </c>
      <c r="AO41" s="198">
        <v>0</v>
      </c>
      <c r="AP41" s="198">
        <v>13188.805288461544</v>
      </c>
      <c r="AQ41" s="198">
        <v>0</v>
      </c>
      <c r="AR41" s="198">
        <v>5781.8574999999973</v>
      </c>
      <c r="AS41" s="198">
        <v>0</v>
      </c>
      <c r="AT41" s="198">
        <v>14516.153846153846</v>
      </c>
      <c r="AU41" s="198">
        <v>0</v>
      </c>
      <c r="AV41" s="198">
        <v>16336.747685185181</v>
      </c>
      <c r="AW41" s="198">
        <v>0</v>
      </c>
      <c r="AX41" s="198">
        <v>3717.0729166666588</v>
      </c>
      <c r="AY41" s="198">
        <v>0</v>
      </c>
    </row>
    <row r="42" spans="2:51">
      <c r="B42" s="196">
        <v>10103</v>
      </c>
      <c r="C42" s="196" t="s">
        <v>45</v>
      </c>
      <c r="D42" s="198">
        <v>0</v>
      </c>
      <c r="E42" s="198">
        <v>0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</row>
    <row r="43" spans="2:51">
      <c r="B43" s="196">
        <v>10105</v>
      </c>
      <c r="C43" s="196" t="s">
        <v>46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</row>
    <row r="44" spans="2:51">
      <c r="B44" s="196">
        <v>10106</v>
      </c>
      <c r="C44" s="196" t="s">
        <v>47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</row>
    <row r="45" spans="2:51">
      <c r="B45" s="196">
        <v>10109</v>
      </c>
      <c r="C45" s="196" t="s">
        <v>48</v>
      </c>
      <c r="D45" s="198">
        <v>3467.5096153846148</v>
      </c>
      <c r="E45" s="198">
        <v>0</v>
      </c>
      <c r="F45" s="198">
        <v>1885.2649999999994</v>
      </c>
      <c r="G45" s="198">
        <v>0</v>
      </c>
      <c r="H45" s="198">
        <v>3971.0425000000005</v>
      </c>
      <c r="I45" s="198">
        <v>0</v>
      </c>
      <c r="J45" s="198">
        <v>2842.1274038461538</v>
      </c>
      <c r="K45" s="198">
        <v>0</v>
      </c>
      <c r="L45" s="198">
        <v>2547.893229166667</v>
      </c>
      <c r="M45" s="198">
        <v>0</v>
      </c>
      <c r="N45" s="198">
        <v>2271.2962962962965</v>
      </c>
      <c r="O45" s="198">
        <v>0</v>
      </c>
      <c r="P45" s="198">
        <v>2535.8025000000007</v>
      </c>
      <c r="Q45" s="198">
        <v>0</v>
      </c>
      <c r="R45" s="198">
        <v>1691.5336538461552</v>
      </c>
      <c r="S45" s="198">
        <v>0</v>
      </c>
      <c r="T45" s="198">
        <v>2436.117788461539</v>
      </c>
      <c r="U45" s="198">
        <v>0</v>
      </c>
      <c r="V45" s="198">
        <v>3513.5174999999981</v>
      </c>
      <c r="W45" s="198">
        <v>0</v>
      </c>
      <c r="X45" s="198">
        <v>2643.837962962963</v>
      </c>
      <c r="Y45" s="198">
        <v>0</v>
      </c>
      <c r="Z45" s="198">
        <v>3239.1848958333344</v>
      </c>
      <c r="AA45" s="198">
        <v>0</v>
      </c>
      <c r="AB45" s="198">
        <v>3182.0740740740739</v>
      </c>
      <c r="AC45" s="198">
        <v>0</v>
      </c>
      <c r="AD45" s="198">
        <v>1578.3899999999996</v>
      </c>
      <c r="AE45" s="198">
        <v>0</v>
      </c>
      <c r="AF45" s="198">
        <v>3644.4975000000009</v>
      </c>
      <c r="AG45" s="198">
        <v>0</v>
      </c>
      <c r="AH45" s="198">
        <v>2510.8701923076919</v>
      </c>
      <c r="AI45" s="198">
        <v>0</v>
      </c>
      <c r="AJ45" s="198">
        <v>2189.5130208333358</v>
      </c>
      <c r="AK45" s="198">
        <v>0</v>
      </c>
      <c r="AL45" s="198">
        <v>1892.7524038461536</v>
      </c>
      <c r="AM45" s="198">
        <v>0</v>
      </c>
      <c r="AN45" s="198">
        <v>2152.1081730769238</v>
      </c>
      <c r="AO45" s="198">
        <v>0</v>
      </c>
      <c r="AP45" s="198">
        <v>1289.9591346153848</v>
      </c>
      <c r="AQ45" s="198">
        <v>0</v>
      </c>
      <c r="AR45" s="198">
        <v>2012.2349999999988</v>
      </c>
      <c r="AS45" s="198">
        <v>0</v>
      </c>
      <c r="AT45" s="198">
        <v>3079.036057692309</v>
      </c>
      <c r="AU45" s="198">
        <v>0</v>
      </c>
      <c r="AV45" s="198">
        <v>2245.506944444448</v>
      </c>
      <c r="AW45" s="198">
        <v>0</v>
      </c>
      <c r="AX45" s="198">
        <v>2870.2812500000014</v>
      </c>
      <c r="AY45" s="198">
        <v>0</v>
      </c>
    </row>
    <row r="46" spans="2:51">
      <c r="B46" s="196">
        <v>10111</v>
      </c>
      <c r="C46" s="196" t="s">
        <v>49</v>
      </c>
      <c r="D46" s="198">
        <v>647.19711538461559</v>
      </c>
      <c r="E46" s="198">
        <v>0</v>
      </c>
      <c r="F46" s="198">
        <v>454.12999999999994</v>
      </c>
      <c r="G46" s="198">
        <v>0</v>
      </c>
      <c r="H46" s="198">
        <v>1058.1525000000001</v>
      </c>
      <c r="I46" s="198">
        <v>0</v>
      </c>
      <c r="J46" s="198">
        <v>1066.2740384615381</v>
      </c>
      <c r="K46" s="198">
        <v>0</v>
      </c>
      <c r="L46" s="198">
        <v>532.57812500000034</v>
      </c>
      <c r="M46" s="198">
        <v>0</v>
      </c>
      <c r="N46" s="198">
        <v>814.26157407407368</v>
      </c>
      <c r="O46" s="198">
        <v>0</v>
      </c>
      <c r="P46" s="198">
        <v>411.9250000000003</v>
      </c>
      <c r="Q46" s="198">
        <v>0</v>
      </c>
      <c r="R46" s="198">
        <v>234.31730769230762</v>
      </c>
      <c r="S46" s="198">
        <v>0</v>
      </c>
      <c r="T46" s="198">
        <v>373.78846153846143</v>
      </c>
      <c r="U46" s="198">
        <v>0</v>
      </c>
      <c r="V46" s="198">
        <v>757.51000000000045</v>
      </c>
      <c r="W46" s="198">
        <v>0</v>
      </c>
      <c r="X46" s="198">
        <v>767.55787037037089</v>
      </c>
      <c r="Y46" s="198">
        <v>0</v>
      </c>
      <c r="Z46" s="198">
        <v>656.42447916666652</v>
      </c>
      <c r="AA46" s="198">
        <v>0</v>
      </c>
      <c r="AB46" s="198">
        <v>647.00462962962979</v>
      </c>
      <c r="AC46" s="198">
        <v>0</v>
      </c>
      <c r="AD46" s="198">
        <v>457.26500000000027</v>
      </c>
      <c r="AE46" s="198">
        <v>0</v>
      </c>
      <c r="AF46" s="198">
        <v>1061.6574999999998</v>
      </c>
      <c r="AG46" s="198">
        <v>0</v>
      </c>
      <c r="AH46" s="198">
        <v>1059.9951923076924</v>
      </c>
      <c r="AI46" s="198">
        <v>0</v>
      </c>
      <c r="AJ46" s="198">
        <v>536.62760416666686</v>
      </c>
      <c r="AK46" s="198">
        <v>0</v>
      </c>
      <c r="AL46" s="198">
        <v>825.18509615384653</v>
      </c>
      <c r="AM46" s="198">
        <v>0</v>
      </c>
      <c r="AN46" s="198">
        <v>410.39182692307708</v>
      </c>
      <c r="AO46" s="198">
        <v>0</v>
      </c>
      <c r="AP46" s="198">
        <v>239.06730769230765</v>
      </c>
      <c r="AQ46" s="198">
        <v>0</v>
      </c>
      <c r="AR46" s="198">
        <v>372.94249999999971</v>
      </c>
      <c r="AS46" s="198">
        <v>0</v>
      </c>
      <c r="AT46" s="198">
        <v>747.31490384615336</v>
      </c>
      <c r="AU46" s="198">
        <v>0</v>
      </c>
      <c r="AV46" s="198">
        <v>772.70370370370415</v>
      </c>
      <c r="AW46" s="198">
        <v>0</v>
      </c>
      <c r="AX46" s="198">
        <v>651.41666666666629</v>
      </c>
      <c r="AY46" s="198">
        <v>0</v>
      </c>
    </row>
    <row r="47" spans="2:51">
      <c r="B47" s="196">
        <v>10112</v>
      </c>
      <c r="C47" s="196" t="s">
        <v>50</v>
      </c>
      <c r="D47" s="198">
        <v>9053.9374999999964</v>
      </c>
      <c r="E47" s="198">
        <v>0</v>
      </c>
      <c r="F47" s="198">
        <v>9011.5300000000025</v>
      </c>
      <c r="G47" s="198">
        <v>0</v>
      </c>
      <c r="H47" s="198">
        <v>11111.3475</v>
      </c>
      <c r="I47" s="198">
        <v>0</v>
      </c>
      <c r="J47" s="198">
        <v>13300.24038461539</v>
      </c>
      <c r="K47" s="198">
        <v>0</v>
      </c>
      <c r="L47" s="198">
        <v>8666.3489583333321</v>
      </c>
      <c r="M47" s="198">
        <v>0</v>
      </c>
      <c r="N47" s="198">
        <v>6618.3773148148111</v>
      </c>
      <c r="O47" s="198">
        <v>0</v>
      </c>
      <c r="P47" s="198">
        <v>10272.115000000005</v>
      </c>
      <c r="Q47" s="198">
        <v>0</v>
      </c>
      <c r="R47" s="198">
        <v>9146.6249999999964</v>
      </c>
      <c r="S47" s="198">
        <v>0</v>
      </c>
      <c r="T47" s="198">
        <v>8631.6658653846116</v>
      </c>
      <c r="U47" s="198">
        <v>0</v>
      </c>
      <c r="V47" s="198">
        <v>9632.8200000000052</v>
      </c>
      <c r="W47" s="198">
        <v>0</v>
      </c>
      <c r="X47" s="198">
        <v>15228.557870370376</v>
      </c>
      <c r="Y47" s="198">
        <v>0</v>
      </c>
      <c r="Z47" s="198">
        <v>10234.786458333339</v>
      </c>
      <c r="AA47" s="198">
        <v>0</v>
      </c>
      <c r="AB47" s="198">
        <v>11267.261574074077</v>
      </c>
      <c r="AC47" s="198">
        <v>0</v>
      </c>
      <c r="AD47" s="198">
        <v>9052.1749999999993</v>
      </c>
      <c r="AE47" s="198">
        <v>0</v>
      </c>
      <c r="AF47" s="198">
        <v>11148.450000000003</v>
      </c>
      <c r="AG47" s="198">
        <v>0</v>
      </c>
      <c r="AH47" s="198">
        <v>13341.71394230769</v>
      </c>
      <c r="AI47" s="198">
        <v>0</v>
      </c>
      <c r="AJ47" s="198">
        <v>8707.604166666657</v>
      </c>
      <c r="AK47" s="198">
        <v>0</v>
      </c>
      <c r="AL47" s="198">
        <v>4319.3389423076915</v>
      </c>
      <c r="AM47" s="198">
        <v>0</v>
      </c>
      <c r="AN47" s="198">
        <v>12636.302884615381</v>
      </c>
      <c r="AO47" s="198">
        <v>0</v>
      </c>
      <c r="AP47" s="198">
        <v>9171.6442307692287</v>
      </c>
      <c r="AQ47" s="198">
        <v>0</v>
      </c>
      <c r="AR47" s="198">
        <v>6534.9074999999957</v>
      </c>
      <c r="AS47" s="198">
        <v>0</v>
      </c>
      <c r="AT47" s="198">
        <v>11871.069711538465</v>
      </c>
      <c r="AU47" s="198">
        <v>0</v>
      </c>
      <c r="AV47" s="198">
        <v>15266.509259259254</v>
      </c>
      <c r="AW47" s="198">
        <v>0</v>
      </c>
      <c r="AX47" s="198">
        <v>10260.721354166662</v>
      </c>
      <c r="AY47" s="198">
        <v>0</v>
      </c>
    </row>
    <row r="48" spans="2:51">
      <c r="B48" s="196">
        <v>10113</v>
      </c>
      <c r="C48" s="196" t="s">
        <v>51</v>
      </c>
      <c r="D48" s="198">
        <v>5757.4879807692305</v>
      </c>
      <c r="E48" s="198">
        <v>0</v>
      </c>
      <c r="F48" s="198">
        <v>2068.1724999999992</v>
      </c>
      <c r="G48" s="198">
        <v>0</v>
      </c>
      <c r="H48" s="198">
        <v>3763.7149999999979</v>
      </c>
      <c r="I48" s="198">
        <v>0</v>
      </c>
      <c r="J48" s="198">
        <v>2419.0072115384623</v>
      </c>
      <c r="K48" s="198">
        <v>0</v>
      </c>
      <c r="L48" s="198">
        <v>365.18749999999756</v>
      </c>
      <c r="M48" s="198">
        <v>0</v>
      </c>
      <c r="N48" s="198">
        <v>2998.9768518518504</v>
      </c>
      <c r="O48" s="198">
        <v>0</v>
      </c>
      <c r="P48" s="198">
        <v>1895.9825000000023</v>
      </c>
      <c r="Q48" s="198">
        <v>0</v>
      </c>
      <c r="R48" s="198">
        <v>2761.9182692307581</v>
      </c>
      <c r="S48" s="198">
        <v>0</v>
      </c>
      <c r="T48" s="198">
        <v>11750.99278846153</v>
      </c>
      <c r="U48" s="198">
        <v>0</v>
      </c>
      <c r="V48" s="198">
        <v>15022.442499999994</v>
      </c>
      <c r="W48" s="198">
        <v>0</v>
      </c>
      <c r="X48" s="198">
        <v>14184.247685185184</v>
      </c>
      <c r="Y48" s="198">
        <v>0</v>
      </c>
      <c r="Z48" s="198">
        <v>16731.927083333332</v>
      </c>
      <c r="AA48" s="198">
        <v>0</v>
      </c>
      <c r="AB48" s="198">
        <v>5714.2152777777792</v>
      </c>
      <c r="AC48" s="198">
        <v>0</v>
      </c>
      <c r="AD48" s="198">
        <v>1812.5624999999986</v>
      </c>
      <c r="AE48" s="198">
        <v>0</v>
      </c>
      <c r="AF48" s="198">
        <v>3530.5100000000029</v>
      </c>
      <c r="AG48" s="198">
        <v>0</v>
      </c>
      <c r="AH48" s="198">
        <v>2180.735576923079</v>
      </c>
      <c r="AI48" s="198">
        <v>0</v>
      </c>
      <c r="AJ48" s="198">
        <v>64.966145833334821</v>
      </c>
      <c r="AK48" s="198">
        <v>0</v>
      </c>
      <c r="AL48" s="198">
        <v>2691.901442307696</v>
      </c>
      <c r="AM48" s="198">
        <v>0</v>
      </c>
      <c r="AN48" s="198">
        <v>1881.3677884615388</v>
      </c>
      <c r="AO48" s="198">
        <v>0</v>
      </c>
      <c r="AP48" s="198">
        <v>2686.5384615384651</v>
      </c>
      <c r="AQ48" s="198">
        <v>0</v>
      </c>
      <c r="AR48" s="198">
        <v>11424.484999999988</v>
      </c>
      <c r="AS48" s="198">
        <v>0</v>
      </c>
      <c r="AT48" s="198">
        <v>15239.23076923077</v>
      </c>
      <c r="AU48" s="198">
        <v>0</v>
      </c>
      <c r="AV48" s="198">
        <v>14160.44212962963</v>
      </c>
      <c r="AW48" s="198">
        <v>0</v>
      </c>
      <c r="AX48" s="198">
        <v>16701.697916666661</v>
      </c>
      <c r="AY48" s="198">
        <v>0</v>
      </c>
    </row>
    <row r="49" spans="2:51">
      <c r="B49" s="196">
        <v>10116</v>
      </c>
      <c r="C49" s="196" t="s">
        <v>52</v>
      </c>
      <c r="D49" s="198">
        <v>243.2692307692308</v>
      </c>
      <c r="E49" s="198">
        <v>0</v>
      </c>
      <c r="F49" s="198">
        <v>0</v>
      </c>
      <c r="G49" s="198">
        <v>0</v>
      </c>
      <c r="H49" s="198">
        <v>49.722500000000004</v>
      </c>
      <c r="I49" s="198">
        <v>0</v>
      </c>
      <c r="J49" s="198">
        <v>52.100961538461583</v>
      </c>
      <c r="K49" s="198">
        <v>0</v>
      </c>
      <c r="L49" s="198">
        <v>55.463541666666657</v>
      </c>
      <c r="M49" s="198">
        <v>0</v>
      </c>
      <c r="N49" s="198">
        <v>178.53240740740745</v>
      </c>
      <c r="O49" s="198">
        <v>0</v>
      </c>
      <c r="P49" s="198">
        <v>729.42</v>
      </c>
      <c r="Q49" s="198">
        <v>0</v>
      </c>
      <c r="R49" s="198">
        <v>535.43509615384608</v>
      </c>
      <c r="S49" s="198">
        <v>0</v>
      </c>
      <c r="T49" s="198">
        <v>445.26923076923077</v>
      </c>
      <c r="U49" s="198">
        <v>0</v>
      </c>
      <c r="V49" s="198">
        <v>459.29749999999996</v>
      </c>
      <c r="W49" s="198">
        <v>0</v>
      </c>
      <c r="X49" s="198">
        <v>394.48379629629625</v>
      </c>
      <c r="Y49" s="198">
        <v>0</v>
      </c>
      <c r="Z49" s="198">
        <v>237.03906249999994</v>
      </c>
      <c r="AA49" s="198">
        <v>0</v>
      </c>
      <c r="AB49" s="198">
        <v>253.83564814814812</v>
      </c>
      <c r="AC49" s="198">
        <v>0</v>
      </c>
      <c r="AD49" s="198">
        <v>0</v>
      </c>
      <c r="AE49" s="198">
        <v>0</v>
      </c>
      <c r="AF49" s="198">
        <v>50.357500000000002</v>
      </c>
      <c r="AG49" s="198">
        <v>0</v>
      </c>
      <c r="AH49" s="198">
        <v>53.759615384615408</v>
      </c>
      <c r="AI49" s="198">
        <v>0</v>
      </c>
      <c r="AJ49" s="198">
        <v>71.1614583333333</v>
      </c>
      <c r="AK49" s="198">
        <v>0</v>
      </c>
      <c r="AL49" s="198">
        <v>170.77403846153848</v>
      </c>
      <c r="AM49" s="198">
        <v>0</v>
      </c>
      <c r="AN49" s="198">
        <v>744.38942307692298</v>
      </c>
      <c r="AO49" s="198">
        <v>0</v>
      </c>
      <c r="AP49" s="198">
        <v>539.46153846153845</v>
      </c>
      <c r="AQ49" s="198">
        <v>0</v>
      </c>
      <c r="AR49" s="198">
        <v>439.65249999999997</v>
      </c>
      <c r="AS49" s="198">
        <v>0</v>
      </c>
      <c r="AT49" s="198">
        <v>470.05048076923077</v>
      </c>
      <c r="AU49" s="198">
        <v>0</v>
      </c>
      <c r="AV49" s="198">
        <v>396.67129629629613</v>
      </c>
      <c r="AW49" s="198">
        <v>0</v>
      </c>
      <c r="AX49" s="198">
        <v>238.9765625</v>
      </c>
      <c r="AY49" s="198">
        <v>0</v>
      </c>
    </row>
    <row r="50" spans="2:51">
      <c r="B50" s="196">
        <v>10118</v>
      </c>
      <c r="C50" s="196" t="s">
        <v>53</v>
      </c>
      <c r="D50" s="198">
        <v>0</v>
      </c>
      <c r="E50" s="198">
        <v>0</v>
      </c>
      <c r="F50" s="198">
        <v>0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  <c r="AX50" s="198">
        <v>0</v>
      </c>
      <c r="AY50" s="198">
        <v>0</v>
      </c>
    </row>
    <row r="51" spans="2:51">
      <c r="B51" s="196">
        <v>10121</v>
      </c>
      <c r="C51" s="196" t="s">
        <v>54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</row>
    <row r="52" spans="2:51">
      <c r="B52" s="196">
        <v>10123</v>
      </c>
      <c r="C52" s="196" t="s">
        <v>55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</row>
    <row r="53" spans="2:51">
      <c r="B53" s="196">
        <v>10136</v>
      </c>
      <c r="C53" s="196" t="s">
        <v>56</v>
      </c>
      <c r="D53" s="198">
        <v>0</v>
      </c>
      <c r="E53" s="198">
        <v>0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0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</row>
    <row r="54" spans="2:51">
      <c r="B54" s="196">
        <v>10142</v>
      </c>
      <c r="C54" s="196" t="s">
        <v>57</v>
      </c>
      <c r="D54" s="198">
        <v>837.05288461538441</v>
      </c>
      <c r="E54" s="198">
        <v>0</v>
      </c>
      <c r="F54" s="198">
        <v>681.52250000000015</v>
      </c>
      <c r="G54" s="198">
        <v>0</v>
      </c>
      <c r="H54" s="198">
        <v>817.41249999999991</v>
      </c>
      <c r="I54" s="198">
        <v>0</v>
      </c>
      <c r="J54" s="198">
        <v>655.83894230769272</v>
      </c>
      <c r="K54" s="198">
        <v>0</v>
      </c>
      <c r="L54" s="198">
        <v>489.06510416666669</v>
      </c>
      <c r="M54" s="198">
        <v>0</v>
      </c>
      <c r="N54" s="198">
        <v>632.57407407407413</v>
      </c>
      <c r="O54" s="198">
        <v>0</v>
      </c>
      <c r="P54" s="198">
        <v>673.83500000000038</v>
      </c>
      <c r="Q54" s="198">
        <v>0</v>
      </c>
      <c r="R54" s="198">
        <v>367.97115384615364</v>
      </c>
      <c r="S54" s="198">
        <v>0</v>
      </c>
      <c r="T54" s="198">
        <v>987.79567307692355</v>
      </c>
      <c r="U54" s="198">
        <v>0</v>
      </c>
      <c r="V54" s="198">
        <v>976.8850000000001</v>
      </c>
      <c r="W54" s="198">
        <v>0</v>
      </c>
      <c r="X54" s="198">
        <v>775.11574074074053</v>
      </c>
      <c r="Y54" s="198">
        <v>0</v>
      </c>
      <c r="Z54" s="198">
        <v>334.26562500000023</v>
      </c>
      <c r="AA54" s="198">
        <v>0</v>
      </c>
      <c r="AB54" s="198">
        <v>885.81481481481455</v>
      </c>
      <c r="AC54" s="198">
        <v>0</v>
      </c>
      <c r="AD54" s="198">
        <v>721.35750000000019</v>
      </c>
      <c r="AE54" s="198">
        <v>0</v>
      </c>
      <c r="AF54" s="198">
        <v>858.77500000000032</v>
      </c>
      <c r="AG54" s="198">
        <v>0</v>
      </c>
      <c r="AH54" s="198">
        <v>696.59855769230796</v>
      </c>
      <c r="AI54" s="198">
        <v>0</v>
      </c>
      <c r="AJ54" s="198">
        <v>526.4140625</v>
      </c>
      <c r="AK54" s="198">
        <v>0</v>
      </c>
      <c r="AL54" s="198">
        <v>665.31730769230774</v>
      </c>
      <c r="AM54" s="198">
        <v>0</v>
      </c>
      <c r="AN54" s="198">
        <v>724.04807692307747</v>
      </c>
      <c r="AO54" s="198">
        <v>0</v>
      </c>
      <c r="AP54" s="198">
        <v>406.77163461538447</v>
      </c>
      <c r="AQ54" s="198">
        <v>0</v>
      </c>
      <c r="AR54" s="198">
        <v>998.22999999999968</v>
      </c>
      <c r="AS54" s="198">
        <v>0</v>
      </c>
      <c r="AT54" s="198">
        <v>1045.3365384615383</v>
      </c>
      <c r="AU54" s="198">
        <v>0</v>
      </c>
      <c r="AV54" s="198">
        <v>814.37962962963013</v>
      </c>
      <c r="AW54" s="198">
        <v>0</v>
      </c>
      <c r="AX54" s="198">
        <v>372.33072916666623</v>
      </c>
      <c r="AY54" s="198">
        <v>0</v>
      </c>
    </row>
    <row r="55" spans="2:51">
      <c r="B55" s="196">
        <v>10144</v>
      </c>
      <c r="C55" s="196" t="s">
        <v>58</v>
      </c>
      <c r="D55" s="198">
        <v>458.46394230769238</v>
      </c>
      <c r="E55" s="198">
        <v>0</v>
      </c>
      <c r="F55" s="198">
        <v>337.92500000000024</v>
      </c>
      <c r="G55" s="198">
        <v>0</v>
      </c>
      <c r="H55" s="198">
        <v>1650.9649999999992</v>
      </c>
      <c r="I55" s="198">
        <v>0</v>
      </c>
      <c r="J55" s="198">
        <v>1538.4134615384617</v>
      </c>
      <c r="K55" s="198">
        <v>0</v>
      </c>
      <c r="L55" s="198">
        <v>523.01041666666652</v>
      </c>
      <c r="M55" s="198">
        <v>0</v>
      </c>
      <c r="N55" s="198">
        <v>952.86574074074042</v>
      </c>
      <c r="O55" s="198">
        <v>0</v>
      </c>
      <c r="P55" s="198">
        <v>0</v>
      </c>
      <c r="Q55" s="198">
        <v>0</v>
      </c>
      <c r="R55" s="198">
        <v>195.92788461538424</v>
      </c>
      <c r="S55" s="198">
        <v>0</v>
      </c>
      <c r="T55" s="198">
        <v>271.06971153846132</v>
      </c>
      <c r="U55" s="198">
        <v>0</v>
      </c>
      <c r="V55" s="198">
        <v>196.77500000000049</v>
      </c>
      <c r="W55" s="198">
        <v>0</v>
      </c>
      <c r="X55" s="198">
        <v>440.52314814814827</v>
      </c>
      <c r="Y55" s="198">
        <v>0</v>
      </c>
      <c r="Z55" s="198">
        <v>0</v>
      </c>
      <c r="AA55" s="198">
        <v>0</v>
      </c>
      <c r="AB55" s="198">
        <v>470.97222222222211</v>
      </c>
      <c r="AC55" s="198">
        <v>0</v>
      </c>
      <c r="AD55" s="198">
        <v>342.83749999999992</v>
      </c>
      <c r="AE55" s="198">
        <v>0</v>
      </c>
      <c r="AF55" s="198">
        <v>1657.5699999999997</v>
      </c>
      <c r="AG55" s="198">
        <v>0</v>
      </c>
      <c r="AH55" s="198">
        <v>1544.6033653846152</v>
      </c>
      <c r="AI55" s="198">
        <v>0</v>
      </c>
      <c r="AJ55" s="198">
        <v>528.63020833333314</v>
      </c>
      <c r="AK55" s="198">
        <v>0</v>
      </c>
      <c r="AL55" s="198">
        <v>951.63942307692253</v>
      </c>
      <c r="AM55" s="198">
        <v>0</v>
      </c>
      <c r="AN55" s="198">
        <v>0</v>
      </c>
      <c r="AO55" s="198">
        <v>0</v>
      </c>
      <c r="AP55" s="198">
        <v>198.32932692307682</v>
      </c>
      <c r="AQ55" s="198">
        <v>0</v>
      </c>
      <c r="AR55" s="198">
        <v>264.45250000000004</v>
      </c>
      <c r="AS55" s="198">
        <v>0</v>
      </c>
      <c r="AT55" s="198">
        <v>205.36057692307696</v>
      </c>
      <c r="AU55" s="198">
        <v>0</v>
      </c>
      <c r="AV55" s="198">
        <v>442.51620370370364</v>
      </c>
      <c r="AW55" s="198">
        <v>0</v>
      </c>
      <c r="AX55" s="198">
        <v>0</v>
      </c>
      <c r="AY55" s="198">
        <v>0</v>
      </c>
    </row>
    <row r="56" spans="2:51">
      <c r="B56" s="196">
        <v>10156</v>
      </c>
      <c r="C56" s="196" t="s">
        <v>59</v>
      </c>
      <c r="D56" s="198">
        <v>0</v>
      </c>
      <c r="E56" s="198">
        <v>0</v>
      </c>
      <c r="F56" s="198">
        <v>3907.9999999999905</v>
      </c>
      <c r="G56" s="198">
        <v>0</v>
      </c>
      <c r="H56" s="198">
        <v>14381.312500000002</v>
      </c>
      <c r="I56" s="198">
        <v>0</v>
      </c>
      <c r="J56" s="198">
        <v>15474.016826923082</v>
      </c>
      <c r="K56" s="198">
        <v>0</v>
      </c>
      <c r="L56" s="198">
        <v>7940.197916666667</v>
      </c>
      <c r="M56" s="198">
        <v>0</v>
      </c>
      <c r="N56" s="198">
        <v>8894.9097222222172</v>
      </c>
      <c r="O56" s="198">
        <v>0</v>
      </c>
      <c r="P56" s="198">
        <v>0</v>
      </c>
      <c r="Q56" s="198">
        <v>0</v>
      </c>
      <c r="R56" s="198">
        <v>56.675480769227349</v>
      </c>
      <c r="S56" s="198">
        <v>0</v>
      </c>
      <c r="T56" s="198">
        <v>3664.6418269230785</v>
      </c>
      <c r="U56" s="198">
        <v>0</v>
      </c>
      <c r="V56" s="198">
        <v>3747.1450000000023</v>
      </c>
      <c r="W56" s="198">
        <v>0</v>
      </c>
      <c r="X56" s="198">
        <v>6783.3541666666688</v>
      </c>
      <c r="Y56" s="198">
        <v>0</v>
      </c>
      <c r="Z56" s="198">
        <v>1149.3828124999989</v>
      </c>
      <c r="AA56" s="198">
        <v>0</v>
      </c>
      <c r="AB56" s="198">
        <v>0</v>
      </c>
      <c r="AC56" s="198">
        <v>0</v>
      </c>
      <c r="AD56" s="198">
        <v>4116.0549999999921</v>
      </c>
      <c r="AE56" s="198">
        <v>0</v>
      </c>
      <c r="AF56" s="198">
        <v>14603.414999999994</v>
      </c>
      <c r="AG56" s="198">
        <v>0</v>
      </c>
      <c r="AH56" s="198">
        <v>15709.906250000002</v>
      </c>
      <c r="AI56" s="198">
        <v>0</v>
      </c>
      <c r="AJ56" s="198">
        <v>8139.6484374999982</v>
      </c>
      <c r="AK56" s="198">
        <v>0</v>
      </c>
      <c r="AL56" s="198">
        <v>7734.326923076921</v>
      </c>
      <c r="AM56" s="198">
        <v>0</v>
      </c>
      <c r="AN56" s="198">
        <v>0</v>
      </c>
      <c r="AO56" s="198">
        <v>0</v>
      </c>
      <c r="AP56" s="198">
        <v>280.79567307691809</v>
      </c>
      <c r="AQ56" s="198">
        <v>0</v>
      </c>
      <c r="AR56" s="198">
        <v>2878.0975000000003</v>
      </c>
      <c r="AS56" s="198">
        <v>0</v>
      </c>
      <c r="AT56" s="198">
        <v>4921.1442307692359</v>
      </c>
      <c r="AU56" s="198">
        <v>0</v>
      </c>
      <c r="AV56" s="198">
        <v>7004.2152777777783</v>
      </c>
      <c r="AW56" s="198">
        <v>0</v>
      </c>
      <c r="AX56" s="198">
        <v>1343.2135416666622</v>
      </c>
      <c r="AY56" s="198">
        <v>0</v>
      </c>
    </row>
    <row r="57" spans="2:51">
      <c r="B57" s="196">
        <v>10157</v>
      </c>
      <c r="C57" s="196" t="s">
        <v>60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0</v>
      </c>
      <c r="AY57" s="198">
        <v>0</v>
      </c>
    </row>
    <row r="58" spans="2:51">
      <c r="B58" s="196">
        <v>10158</v>
      </c>
      <c r="C58" s="196" t="s">
        <v>61</v>
      </c>
      <c r="D58" s="198">
        <v>0</v>
      </c>
      <c r="E58" s="198">
        <v>0</v>
      </c>
      <c r="F58" s="198">
        <v>43.495000000000061</v>
      </c>
      <c r="G58" s="198">
        <v>0</v>
      </c>
      <c r="H58" s="198">
        <v>577.62999999999988</v>
      </c>
      <c r="I58" s="198">
        <v>0</v>
      </c>
      <c r="J58" s="198">
        <v>652.02163461538407</v>
      </c>
      <c r="K58" s="198">
        <v>0</v>
      </c>
      <c r="L58" s="198">
        <v>420.42708333333377</v>
      </c>
      <c r="M58" s="198">
        <v>0</v>
      </c>
      <c r="N58" s="198">
        <v>363.13657407407453</v>
      </c>
      <c r="O58" s="198">
        <v>0</v>
      </c>
      <c r="P58" s="198">
        <v>154.44999999999987</v>
      </c>
      <c r="Q58" s="198">
        <v>0</v>
      </c>
      <c r="R58" s="198">
        <v>151.09615384615356</v>
      </c>
      <c r="S58" s="198">
        <v>0</v>
      </c>
      <c r="T58" s="198">
        <v>120.77644230769241</v>
      </c>
      <c r="U58" s="198">
        <v>0</v>
      </c>
      <c r="V58" s="198">
        <v>145.21999999999991</v>
      </c>
      <c r="W58" s="198">
        <v>0</v>
      </c>
      <c r="X58" s="198">
        <v>127.26157407407402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43.495000000000061</v>
      </c>
      <c r="AE58" s="198">
        <v>0</v>
      </c>
      <c r="AF58" s="198">
        <v>577.62999999999988</v>
      </c>
      <c r="AG58" s="198">
        <v>0</v>
      </c>
      <c r="AH58" s="198">
        <v>652.02163461538407</v>
      </c>
      <c r="AI58" s="198">
        <v>0</v>
      </c>
      <c r="AJ58" s="198">
        <v>420.42708333333377</v>
      </c>
      <c r="AK58" s="198">
        <v>0</v>
      </c>
      <c r="AL58" s="198">
        <v>366.95192307692326</v>
      </c>
      <c r="AM58" s="198">
        <v>0</v>
      </c>
      <c r="AN58" s="198">
        <v>152.57692307692326</v>
      </c>
      <c r="AO58" s="198">
        <v>0</v>
      </c>
      <c r="AP58" s="198">
        <v>151.09615384615356</v>
      </c>
      <c r="AQ58" s="198">
        <v>0</v>
      </c>
      <c r="AR58" s="198">
        <v>118.34500000000008</v>
      </c>
      <c r="AS58" s="198">
        <v>0</v>
      </c>
      <c r="AT58" s="198">
        <v>149.34615384615378</v>
      </c>
      <c r="AU58" s="198">
        <v>0</v>
      </c>
      <c r="AV58" s="198">
        <v>127.26157407407402</v>
      </c>
      <c r="AW58" s="198">
        <v>0</v>
      </c>
      <c r="AX58" s="198">
        <v>0</v>
      </c>
      <c r="AY58" s="198">
        <v>0</v>
      </c>
    </row>
    <row r="59" spans="2:51">
      <c r="B59" s="196">
        <v>10170</v>
      </c>
      <c r="C59" s="196" t="s">
        <v>62</v>
      </c>
      <c r="D59" s="198">
        <v>0</v>
      </c>
      <c r="E59" s="198">
        <v>0</v>
      </c>
      <c r="F59" s="198">
        <v>0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  <c r="AX59" s="198">
        <v>0</v>
      </c>
      <c r="AY59" s="198">
        <v>0</v>
      </c>
    </row>
    <row r="60" spans="2:51">
      <c r="B60" s="196">
        <v>10172</v>
      </c>
      <c r="C60" s="196" t="s">
        <v>63</v>
      </c>
      <c r="D60" s="198">
        <v>663.87740384615461</v>
      </c>
      <c r="E60" s="198">
        <v>0</v>
      </c>
      <c r="F60" s="198">
        <v>1085.6574999999996</v>
      </c>
      <c r="G60" s="198">
        <v>0</v>
      </c>
      <c r="H60" s="198">
        <v>855.60999999999979</v>
      </c>
      <c r="I60" s="198">
        <v>0</v>
      </c>
      <c r="J60" s="198">
        <v>1161.5576923076924</v>
      </c>
      <c r="K60" s="198">
        <v>0</v>
      </c>
      <c r="L60" s="198">
        <v>1112.3828125000011</v>
      </c>
      <c r="M60" s="198">
        <v>0</v>
      </c>
      <c r="N60" s="198">
        <v>1088.1944444444439</v>
      </c>
      <c r="O60" s="198">
        <v>0</v>
      </c>
      <c r="P60" s="198">
        <v>691.37249999999983</v>
      </c>
      <c r="Q60" s="198">
        <v>0</v>
      </c>
      <c r="R60" s="198">
        <v>1259.7355769230767</v>
      </c>
      <c r="S60" s="198">
        <v>0</v>
      </c>
      <c r="T60" s="198">
        <v>1025.7139423076919</v>
      </c>
      <c r="U60" s="198">
        <v>0</v>
      </c>
      <c r="V60" s="198">
        <v>627.1599999999986</v>
      </c>
      <c r="W60" s="198">
        <v>0</v>
      </c>
      <c r="X60" s="198">
        <v>973.57175925926026</v>
      </c>
      <c r="Y60" s="198">
        <v>0</v>
      </c>
      <c r="Z60" s="198">
        <v>674.00520833333371</v>
      </c>
      <c r="AA60" s="198">
        <v>0</v>
      </c>
      <c r="AB60" s="198">
        <v>880.21064814814792</v>
      </c>
      <c r="AC60" s="198">
        <v>0</v>
      </c>
      <c r="AD60" s="198">
        <v>1090.4749999999992</v>
      </c>
      <c r="AE60" s="198">
        <v>0</v>
      </c>
      <c r="AF60" s="198">
        <v>857.95</v>
      </c>
      <c r="AG60" s="198">
        <v>0</v>
      </c>
      <c r="AH60" s="198">
        <v>1165.2596153846152</v>
      </c>
      <c r="AI60" s="198">
        <v>0</v>
      </c>
      <c r="AJ60" s="198">
        <v>1395.8072916666665</v>
      </c>
      <c r="AK60" s="198">
        <v>0</v>
      </c>
      <c r="AL60" s="198">
        <v>878.53846153846166</v>
      </c>
      <c r="AM60" s="198">
        <v>0</v>
      </c>
      <c r="AN60" s="198">
        <v>919.97355769230796</v>
      </c>
      <c r="AO60" s="198">
        <v>0</v>
      </c>
      <c r="AP60" s="198">
        <v>1265.0144230769229</v>
      </c>
      <c r="AQ60" s="198">
        <v>0</v>
      </c>
      <c r="AR60" s="198">
        <v>811.52999999999849</v>
      </c>
      <c r="AS60" s="198">
        <v>0</v>
      </c>
      <c r="AT60" s="198">
        <v>882.52884615384585</v>
      </c>
      <c r="AU60" s="198">
        <v>0</v>
      </c>
      <c r="AV60" s="198">
        <v>979.44675925925901</v>
      </c>
      <c r="AW60" s="198">
        <v>0</v>
      </c>
      <c r="AX60" s="198">
        <v>678.65364583333303</v>
      </c>
      <c r="AY60" s="198">
        <v>0</v>
      </c>
    </row>
    <row r="61" spans="2:51">
      <c r="B61" s="196">
        <v>10173</v>
      </c>
      <c r="C61" s="196" t="s">
        <v>64</v>
      </c>
      <c r="D61" s="198">
        <v>0</v>
      </c>
      <c r="E61" s="198">
        <v>0</v>
      </c>
      <c r="F61" s="198">
        <v>0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</row>
    <row r="62" spans="2:51">
      <c r="B62" s="196">
        <v>10174</v>
      </c>
      <c r="C62" s="196" t="s">
        <v>65</v>
      </c>
      <c r="D62" s="198">
        <v>98.43990384615384</v>
      </c>
      <c r="E62" s="198">
        <v>0</v>
      </c>
      <c r="F62" s="198">
        <v>58.387499999999925</v>
      </c>
      <c r="G62" s="198">
        <v>0</v>
      </c>
      <c r="H62" s="198">
        <v>197.3725</v>
      </c>
      <c r="I62" s="198">
        <v>0</v>
      </c>
      <c r="J62" s="198">
        <v>201.59615384615375</v>
      </c>
      <c r="K62" s="198">
        <v>0</v>
      </c>
      <c r="L62" s="198">
        <v>77.927083333333286</v>
      </c>
      <c r="M62" s="198">
        <v>0</v>
      </c>
      <c r="N62" s="198">
        <v>149.14814814814812</v>
      </c>
      <c r="O62" s="198">
        <v>0</v>
      </c>
      <c r="P62" s="198">
        <v>64.972499999999982</v>
      </c>
      <c r="Q62" s="198">
        <v>0</v>
      </c>
      <c r="R62" s="198">
        <v>67.879807692307665</v>
      </c>
      <c r="S62" s="198">
        <v>0</v>
      </c>
      <c r="T62" s="198">
        <v>78.850961538461533</v>
      </c>
      <c r="U62" s="198">
        <v>0</v>
      </c>
      <c r="V62" s="198">
        <v>65.400000000000006</v>
      </c>
      <c r="W62" s="198">
        <v>0</v>
      </c>
      <c r="X62" s="198">
        <v>45.863425925925959</v>
      </c>
      <c r="Y62" s="198">
        <v>0</v>
      </c>
      <c r="Z62" s="198">
        <v>2.4739583333333872</v>
      </c>
      <c r="AA62" s="198">
        <v>0</v>
      </c>
      <c r="AB62" s="198">
        <v>97.946759259259252</v>
      </c>
      <c r="AC62" s="198">
        <v>0</v>
      </c>
      <c r="AD62" s="198">
        <v>58.387499999999925</v>
      </c>
      <c r="AE62" s="198">
        <v>0</v>
      </c>
      <c r="AF62" s="198">
        <v>197.3725</v>
      </c>
      <c r="AG62" s="198">
        <v>0</v>
      </c>
      <c r="AH62" s="198">
        <v>201.59615384615375</v>
      </c>
      <c r="AI62" s="198">
        <v>0</v>
      </c>
      <c r="AJ62" s="198">
        <v>77.927083333333286</v>
      </c>
      <c r="AK62" s="198">
        <v>0</v>
      </c>
      <c r="AL62" s="198">
        <v>150.28846153846158</v>
      </c>
      <c r="AM62" s="198">
        <v>0</v>
      </c>
      <c r="AN62" s="198">
        <v>64.050480769230816</v>
      </c>
      <c r="AO62" s="198">
        <v>0</v>
      </c>
      <c r="AP62" s="198">
        <v>67.879807692307665</v>
      </c>
      <c r="AQ62" s="198">
        <v>0</v>
      </c>
      <c r="AR62" s="198">
        <v>78.815000000000012</v>
      </c>
      <c r="AS62" s="198">
        <v>0</v>
      </c>
      <c r="AT62" s="198">
        <v>65.78125</v>
      </c>
      <c r="AU62" s="198">
        <v>0</v>
      </c>
      <c r="AV62" s="198">
        <v>45.863425925925959</v>
      </c>
      <c r="AW62" s="198">
        <v>0</v>
      </c>
      <c r="AX62" s="198">
        <v>2.4739583333333872</v>
      </c>
      <c r="AY62" s="198">
        <v>0</v>
      </c>
    </row>
    <row r="63" spans="2:51">
      <c r="B63" s="196">
        <v>10177</v>
      </c>
      <c r="C63" s="196" t="s">
        <v>66</v>
      </c>
      <c r="D63" s="198">
        <v>297.55048076923174</v>
      </c>
      <c r="E63" s="198">
        <v>0</v>
      </c>
      <c r="F63" s="198">
        <v>685.36500000000001</v>
      </c>
      <c r="G63" s="198">
        <v>0</v>
      </c>
      <c r="H63" s="198">
        <v>1409.2350000000001</v>
      </c>
      <c r="I63" s="198">
        <v>0</v>
      </c>
      <c r="J63" s="198">
        <v>1753.8389423076928</v>
      </c>
      <c r="K63" s="198">
        <v>0</v>
      </c>
      <c r="L63" s="198">
        <v>262.19791666666833</v>
      </c>
      <c r="M63" s="198">
        <v>0</v>
      </c>
      <c r="N63" s="198">
        <v>902.88657407407368</v>
      </c>
      <c r="O63" s="198">
        <v>0</v>
      </c>
      <c r="P63" s="198">
        <v>366.10250000000065</v>
      </c>
      <c r="Q63" s="198">
        <v>0</v>
      </c>
      <c r="R63" s="198">
        <v>1001.6802884615386</v>
      </c>
      <c r="S63" s="198">
        <v>0</v>
      </c>
      <c r="T63" s="198">
        <v>958.71634615384528</v>
      </c>
      <c r="U63" s="198">
        <v>0</v>
      </c>
      <c r="V63" s="198">
        <v>173.40999999999963</v>
      </c>
      <c r="W63" s="198">
        <v>0</v>
      </c>
      <c r="X63" s="198">
        <v>985.56944444444446</v>
      </c>
      <c r="Y63" s="198">
        <v>0</v>
      </c>
      <c r="Z63" s="198">
        <v>0</v>
      </c>
      <c r="AA63" s="198">
        <v>0</v>
      </c>
      <c r="AB63" s="198">
        <v>136.00694444444451</v>
      </c>
      <c r="AC63" s="198">
        <v>0</v>
      </c>
      <c r="AD63" s="198">
        <v>243.62749999999966</v>
      </c>
      <c r="AE63" s="198">
        <v>0</v>
      </c>
      <c r="AF63" s="198">
        <v>1075.6074999999998</v>
      </c>
      <c r="AG63" s="198">
        <v>0</v>
      </c>
      <c r="AH63" s="198">
        <v>1766.2812500000018</v>
      </c>
      <c r="AI63" s="198">
        <v>0</v>
      </c>
      <c r="AJ63" s="198">
        <v>873.87239583333451</v>
      </c>
      <c r="AK63" s="198">
        <v>0</v>
      </c>
      <c r="AL63" s="198">
        <v>527.81490384615233</v>
      </c>
      <c r="AM63" s="198">
        <v>0</v>
      </c>
      <c r="AN63" s="198">
        <v>746.36538461538441</v>
      </c>
      <c r="AO63" s="198">
        <v>0</v>
      </c>
      <c r="AP63" s="198">
        <v>1011.1923076923075</v>
      </c>
      <c r="AQ63" s="198">
        <v>0</v>
      </c>
      <c r="AR63" s="198">
        <v>660.14750000000015</v>
      </c>
      <c r="AS63" s="198">
        <v>0</v>
      </c>
      <c r="AT63" s="198">
        <v>498.8221153846153</v>
      </c>
      <c r="AU63" s="198">
        <v>0</v>
      </c>
      <c r="AV63" s="198">
        <v>989.78240740740705</v>
      </c>
      <c r="AW63" s="198">
        <v>0</v>
      </c>
      <c r="AX63" s="198">
        <v>0</v>
      </c>
      <c r="AY63" s="198">
        <v>0</v>
      </c>
    </row>
    <row r="64" spans="2:51">
      <c r="B64" s="196">
        <v>10179</v>
      </c>
      <c r="C64" s="196" t="s">
        <v>67</v>
      </c>
      <c r="D64" s="198">
        <v>38566.540865384624</v>
      </c>
      <c r="E64" s="198">
        <v>0</v>
      </c>
      <c r="F64" s="198">
        <v>44800.530000000021</v>
      </c>
      <c r="G64" s="198">
        <v>0</v>
      </c>
      <c r="H64" s="198">
        <v>36108.604999999989</v>
      </c>
      <c r="I64" s="198">
        <v>0</v>
      </c>
      <c r="J64" s="198">
        <v>54077.028846153851</v>
      </c>
      <c r="K64" s="198">
        <v>0</v>
      </c>
      <c r="L64" s="198">
        <v>34301</v>
      </c>
      <c r="M64" s="198">
        <v>0</v>
      </c>
      <c r="N64" s="198">
        <v>40174.662037037036</v>
      </c>
      <c r="O64" s="198">
        <v>0</v>
      </c>
      <c r="P64" s="198">
        <v>40550.584999999977</v>
      </c>
      <c r="Q64" s="198">
        <v>0</v>
      </c>
      <c r="R64" s="198">
        <v>37563.920673076937</v>
      </c>
      <c r="S64" s="198">
        <v>0</v>
      </c>
      <c r="T64" s="198">
        <v>36643.016826923071</v>
      </c>
      <c r="U64" s="198">
        <v>0</v>
      </c>
      <c r="V64" s="198">
        <v>30050.699999999975</v>
      </c>
      <c r="W64" s="198">
        <v>0</v>
      </c>
      <c r="X64" s="198">
        <v>35841.935185185168</v>
      </c>
      <c r="Y64" s="198">
        <v>0</v>
      </c>
      <c r="Z64" s="198">
        <v>29921.97135416665</v>
      </c>
      <c r="AA64" s="198">
        <v>0</v>
      </c>
      <c r="AB64" s="198">
        <v>46298.231481481467</v>
      </c>
      <c r="AC64" s="198">
        <v>0</v>
      </c>
      <c r="AD64" s="198">
        <v>46066.757500000007</v>
      </c>
      <c r="AE64" s="198">
        <v>0</v>
      </c>
      <c r="AF64" s="198">
        <v>37282.304999999986</v>
      </c>
      <c r="AG64" s="198">
        <v>0</v>
      </c>
      <c r="AH64" s="198">
        <v>55388.156250000051</v>
      </c>
      <c r="AI64" s="198">
        <v>0</v>
      </c>
      <c r="AJ64" s="198">
        <v>35493.710937500015</v>
      </c>
      <c r="AK64" s="198">
        <v>0</v>
      </c>
      <c r="AL64" s="198">
        <v>33708.336538461524</v>
      </c>
      <c r="AM64" s="198">
        <v>0</v>
      </c>
      <c r="AN64" s="198">
        <v>48861.237980769198</v>
      </c>
      <c r="AO64" s="198">
        <v>0</v>
      </c>
      <c r="AP64" s="198">
        <v>38391.942307692305</v>
      </c>
      <c r="AQ64" s="198">
        <v>0</v>
      </c>
      <c r="AR64" s="198">
        <v>31209.307500000006</v>
      </c>
      <c r="AS64" s="198">
        <v>0</v>
      </c>
      <c r="AT64" s="198">
        <v>38144.54326923081</v>
      </c>
      <c r="AU64" s="198">
        <v>0</v>
      </c>
      <c r="AV64" s="198">
        <v>36660.347222222204</v>
      </c>
      <c r="AW64" s="198">
        <v>0</v>
      </c>
      <c r="AX64" s="198">
        <v>30704.070312499985</v>
      </c>
      <c r="AY64" s="198">
        <v>0</v>
      </c>
    </row>
    <row r="65" spans="2:51">
      <c r="B65" s="196">
        <v>10183</v>
      </c>
      <c r="C65" s="196" t="s">
        <v>68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  <c r="AX65" s="198">
        <v>0</v>
      </c>
      <c r="AY65" s="198">
        <v>0</v>
      </c>
    </row>
    <row r="66" spans="2:51">
      <c r="B66" s="196">
        <v>10186</v>
      </c>
      <c r="C66" s="196" t="s">
        <v>69</v>
      </c>
      <c r="D66" s="198">
        <v>2056.3125000000018</v>
      </c>
      <c r="E66" s="198">
        <v>0</v>
      </c>
      <c r="F66" s="198">
        <v>2106.0375000000013</v>
      </c>
      <c r="G66" s="198">
        <v>0</v>
      </c>
      <c r="H66" s="198">
        <v>2800.0374999999999</v>
      </c>
      <c r="I66" s="198">
        <v>0</v>
      </c>
      <c r="J66" s="198">
        <v>4102.8990384615417</v>
      </c>
      <c r="K66" s="198">
        <v>0</v>
      </c>
      <c r="L66" s="198">
        <v>4489.799479166667</v>
      </c>
      <c r="M66" s="198">
        <v>0</v>
      </c>
      <c r="N66" s="198">
        <v>4937.9768518518522</v>
      </c>
      <c r="O66" s="198">
        <v>0</v>
      </c>
      <c r="P66" s="198">
        <v>2897.3200000000011</v>
      </c>
      <c r="Q66" s="198">
        <v>0</v>
      </c>
      <c r="R66" s="198">
        <v>2987.7860576923067</v>
      </c>
      <c r="S66" s="198">
        <v>0</v>
      </c>
      <c r="T66" s="198">
        <v>3142.2451923076906</v>
      </c>
      <c r="U66" s="198">
        <v>0</v>
      </c>
      <c r="V66" s="198">
        <v>1789.2449999999983</v>
      </c>
      <c r="W66" s="198">
        <v>0</v>
      </c>
      <c r="X66" s="198">
        <v>2498.1203703703713</v>
      </c>
      <c r="Y66" s="198">
        <v>0</v>
      </c>
      <c r="Z66" s="198">
        <v>2068.6901041666656</v>
      </c>
      <c r="AA66" s="198">
        <v>0</v>
      </c>
      <c r="AB66" s="198">
        <v>2858.2222222222222</v>
      </c>
      <c r="AC66" s="198">
        <v>0</v>
      </c>
      <c r="AD66" s="198">
        <v>2140.7000000000007</v>
      </c>
      <c r="AE66" s="198">
        <v>0</v>
      </c>
      <c r="AF66" s="198">
        <v>2830.8374999999992</v>
      </c>
      <c r="AG66" s="198">
        <v>0</v>
      </c>
      <c r="AH66" s="198">
        <v>4145.9471153846162</v>
      </c>
      <c r="AI66" s="198">
        <v>0</v>
      </c>
      <c r="AJ66" s="198">
        <v>4530.4166666666642</v>
      </c>
      <c r="AK66" s="198">
        <v>0</v>
      </c>
      <c r="AL66" s="198">
        <v>4043.600961538461</v>
      </c>
      <c r="AM66" s="198">
        <v>0</v>
      </c>
      <c r="AN66" s="198">
        <v>3777.8701923076919</v>
      </c>
      <c r="AO66" s="198">
        <v>0</v>
      </c>
      <c r="AP66" s="198">
        <v>3012.4447115384596</v>
      </c>
      <c r="AQ66" s="198">
        <v>0</v>
      </c>
      <c r="AR66" s="198">
        <v>2367.7650000000021</v>
      </c>
      <c r="AS66" s="198">
        <v>0</v>
      </c>
      <c r="AT66" s="198">
        <v>2670.41826923077</v>
      </c>
      <c r="AU66" s="198">
        <v>0</v>
      </c>
      <c r="AV66" s="198">
        <v>2514.7592592592559</v>
      </c>
      <c r="AW66" s="198">
        <v>0</v>
      </c>
      <c r="AX66" s="198">
        <v>2089.7421875000032</v>
      </c>
      <c r="AY66" s="198">
        <v>0</v>
      </c>
    </row>
    <row r="67" spans="2:51">
      <c r="B67" s="196">
        <v>10190</v>
      </c>
      <c r="C67" s="196" t="s">
        <v>70</v>
      </c>
      <c r="D67" s="198">
        <v>0</v>
      </c>
      <c r="E67" s="198">
        <v>0</v>
      </c>
      <c r="F67" s="198">
        <v>1530.4324999999999</v>
      </c>
      <c r="G67" s="198">
        <v>0</v>
      </c>
      <c r="H67" s="198">
        <v>2515.5500000000006</v>
      </c>
      <c r="I67" s="198">
        <v>0</v>
      </c>
      <c r="J67" s="198">
        <v>1768.1514423076928</v>
      </c>
      <c r="K67" s="198">
        <v>0</v>
      </c>
      <c r="L67" s="198">
        <v>69.757812500000682</v>
      </c>
      <c r="M67" s="198">
        <v>0</v>
      </c>
      <c r="N67" s="198">
        <v>1063.4027777777781</v>
      </c>
      <c r="O67" s="198">
        <v>0</v>
      </c>
      <c r="P67" s="198">
        <v>651.00000000000023</v>
      </c>
      <c r="Q67" s="198">
        <v>0</v>
      </c>
      <c r="R67" s="198">
        <v>1053.2259615384614</v>
      </c>
      <c r="S67" s="198">
        <v>0</v>
      </c>
      <c r="T67" s="198">
        <v>528.50240384615392</v>
      </c>
      <c r="U67" s="198">
        <v>0</v>
      </c>
      <c r="V67" s="198">
        <v>640.07499999999948</v>
      </c>
      <c r="W67" s="198">
        <v>0</v>
      </c>
      <c r="X67" s="198">
        <v>954.70138888888914</v>
      </c>
      <c r="Y67" s="198">
        <v>0</v>
      </c>
      <c r="Z67" s="198">
        <v>697.62499999999966</v>
      </c>
      <c r="AA67" s="198">
        <v>0</v>
      </c>
      <c r="AB67" s="198">
        <v>97.766203703703695</v>
      </c>
      <c r="AC67" s="198">
        <v>0</v>
      </c>
      <c r="AD67" s="198">
        <v>1570.5324999999996</v>
      </c>
      <c r="AE67" s="198">
        <v>0</v>
      </c>
      <c r="AF67" s="198">
        <v>2555.5349999999985</v>
      </c>
      <c r="AG67" s="198">
        <v>0</v>
      </c>
      <c r="AH67" s="198">
        <v>1808.6538461538457</v>
      </c>
      <c r="AI67" s="198">
        <v>0</v>
      </c>
      <c r="AJ67" s="198">
        <v>106.76041666666691</v>
      </c>
      <c r="AK67" s="198">
        <v>0</v>
      </c>
      <c r="AL67" s="198">
        <v>895.64423076923026</v>
      </c>
      <c r="AM67" s="198">
        <v>0</v>
      </c>
      <c r="AN67" s="198">
        <v>874.47596153846121</v>
      </c>
      <c r="AO67" s="198">
        <v>0</v>
      </c>
      <c r="AP67" s="198">
        <v>1093.8004807692312</v>
      </c>
      <c r="AQ67" s="198">
        <v>0</v>
      </c>
      <c r="AR67" s="198">
        <v>393.24750000000063</v>
      </c>
      <c r="AS67" s="198">
        <v>0</v>
      </c>
      <c r="AT67" s="198">
        <v>886.2524038461537</v>
      </c>
      <c r="AU67" s="198">
        <v>0</v>
      </c>
      <c r="AV67" s="198">
        <v>992.71759259259261</v>
      </c>
      <c r="AW67" s="198">
        <v>0</v>
      </c>
      <c r="AX67" s="198">
        <v>733.54687500000011</v>
      </c>
      <c r="AY67" s="198">
        <v>0</v>
      </c>
    </row>
    <row r="68" spans="2:51">
      <c r="B68" s="196">
        <v>10191</v>
      </c>
      <c r="C68" s="196" t="s">
        <v>71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  <c r="AX68" s="198">
        <v>0</v>
      </c>
      <c r="AY68" s="198">
        <v>0</v>
      </c>
    </row>
    <row r="69" spans="2:51">
      <c r="B69" s="196">
        <v>10197</v>
      </c>
      <c r="C69" s="196" t="s">
        <v>72</v>
      </c>
      <c r="D69" s="198">
        <v>4534.920673076922</v>
      </c>
      <c r="E69" s="198">
        <v>0</v>
      </c>
      <c r="F69" s="198">
        <v>329.16999999999996</v>
      </c>
      <c r="G69" s="198">
        <v>0</v>
      </c>
      <c r="H69" s="198">
        <v>1757.744999999999</v>
      </c>
      <c r="I69" s="198">
        <v>0</v>
      </c>
      <c r="J69" s="198">
        <v>1911.8076923076922</v>
      </c>
      <c r="K69" s="198">
        <v>0</v>
      </c>
      <c r="L69" s="198">
        <v>182.3489583333342</v>
      </c>
      <c r="M69" s="198">
        <v>0</v>
      </c>
      <c r="N69" s="198">
        <v>1551.2476851851859</v>
      </c>
      <c r="O69" s="198">
        <v>0</v>
      </c>
      <c r="P69" s="198">
        <v>9941.5350000000035</v>
      </c>
      <c r="Q69" s="198">
        <v>0</v>
      </c>
      <c r="R69" s="198">
        <v>405.50480769230649</v>
      </c>
      <c r="S69" s="198">
        <v>0</v>
      </c>
      <c r="T69" s="198">
        <v>7932.0192307692332</v>
      </c>
      <c r="U69" s="198">
        <v>0</v>
      </c>
      <c r="V69" s="198">
        <v>6082.9475000000002</v>
      </c>
      <c r="W69" s="198">
        <v>0</v>
      </c>
      <c r="X69" s="198">
        <v>3262.7824074074142</v>
      </c>
      <c r="Y69" s="198">
        <v>0</v>
      </c>
      <c r="Z69" s="198">
        <v>641.2890624999967</v>
      </c>
      <c r="AA69" s="198">
        <v>0</v>
      </c>
      <c r="AB69" s="198">
        <v>4528.0138888888896</v>
      </c>
      <c r="AC69" s="198">
        <v>0</v>
      </c>
      <c r="AD69" s="198">
        <v>329.16999999999996</v>
      </c>
      <c r="AE69" s="198">
        <v>0</v>
      </c>
      <c r="AF69" s="198">
        <v>1757.744999999999</v>
      </c>
      <c r="AG69" s="198">
        <v>0</v>
      </c>
      <c r="AH69" s="198">
        <v>1911.8076923076922</v>
      </c>
      <c r="AI69" s="198">
        <v>0</v>
      </c>
      <c r="AJ69" s="198">
        <v>182.3489583333342</v>
      </c>
      <c r="AK69" s="198">
        <v>0</v>
      </c>
      <c r="AL69" s="198">
        <v>1562.4879807692312</v>
      </c>
      <c r="AM69" s="198">
        <v>0</v>
      </c>
      <c r="AN69" s="198">
        <v>9947.8341346153902</v>
      </c>
      <c r="AO69" s="198">
        <v>0</v>
      </c>
      <c r="AP69" s="198">
        <v>405.50480769230649</v>
      </c>
      <c r="AQ69" s="198">
        <v>0</v>
      </c>
      <c r="AR69" s="198">
        <v>7976.5799999999963</v>
      </c>
      <c r="AS69" s="198">
        <v>0</v>
      </c>
      <c r="AT69" s="198">
        <v>6018.108173076922</v>
      </c>
      <c r="AU69" s="198">
        <v>0</v>
      </c>
      <c r="AV69" s="198">
        <v>3262.7824074074142</v>
      </c>
      <c r="AW69" s="198">
        <v>0</v>
      </c>
      <c r="AX69" s="198">
        <v>641.2890624999967</v>
      </c>
      <c r="AY69" s="198">
        <v>0</v>
      </c>
    </row>
    <row r="70" spans="2:51">
      <c r="B70" s="196">
        <v>10202</v>
      </c>
      <c r="C70" s="196" t="s">
        <v>73</v>
      </c>
      <c r="D70" s="198">
        <v>2249.1009615384646</v>
      </c>
      <c r="E70" s="198">
        <v>0</v>
      </c>
      <c r="F70" s="198">
        <v>2292.6700000000005</v>
      </c>
      <c r="G70" s="198">
        <v>0</v>
      </c>
      <c r="H70" s="198">
        <v>3111.9425000000019</v>
      </c>
      <c r="I70" s="198">
        <v>0</v>
      </c>
      <c r="J70" s="198">
        <v>2927.7235576923067</v>
      </c>
      <c r="K70" s="198">
        <v>0</v>
      </c>
      <c r="L70" s="198">
        <v>2035.4010416666658</v>
      </c>
      <c r="M70" s="198">
        <v>0</v>
      </c>
      <c r="N70" s="198">
        <v>3274.3495370370351</v>
      </c>
      <c r="O70" s="198">
        <v>0</v>
      </c>
      <c r="P70" s="198">
        <v>0</v>
      </c>
      <c r="Q70" s="198">
        <v>0</v>
      </c>
      <c r="R70" s="198">
        <v>1263.6947115384628</v>
      </c>
      <c r="S70" s="198">
        <v>0</v>
      </c>
      <c r="T70" s="198">
        <v>367.39182692307605</v>
      </c>
      <c r="U70" s="198">
        <v>0</v>
      </c>
      <c r="V70" s="198">
        <v>1072.0249999999987</v>
      </c>
      <c r="W70" s="198">
        <v>0</v>
      </c>
      <c r="X70" s="198">
        <v>1671.3981481481462</v>
      </c>
      <c r="Y70" s="198">
        <v>0</v>
      </c>
      <c r="Z70" s="198">
        <v>1248.0963541666681</v>
      </c>
      <c r="AA70" s="198">
        <v>0</v>
      </c>
      <c r="AB70" s="198">
        <v>2363.4837962962984</v>
      </c>
      <c r="AC70" s="198">
        <v>0</v>
      </c>
      <c r="AD70" s="198">
        <v>2360.5775000000012</v>
      </c>
      <c r="AE70" s="198">
        <v>0</v>
      </c>
      <c r="AF70" s="198">
        <v>3193.2499999999995</v>
      </c>
      <c r="AG70" s="198">
        <v>0</v>
      </c>
      <c r="AH70" s="198">
        <v>3009.3389423076928</v>
      </c>
      <c r="AI70" s="198">
        <v>0</v>
      </c>
      <c r="AJ70" s="198">
        <v>2089.9973958333317</v>
      </c>
      <c r="AK70" s="198">
        <v>0</v>
      </c>
      <c r="AL70" s="198">
        <v>3312.4591346153852</v>
      </c>
      <c r="AM70" s="198">
        <v>0</v>
      </c>
      <c r="AN70" s="198">
        <v>0</v>
      </c>
      <c r="AO70" s="198">
        <v>0</v>
      </c>
      <c r="AP70" s="198">
        <v>1313.0336538461531</v>
      </c>
      <c r="AQ70" s="198">
        <v>0</v>
      </c>
      <c r="AR70" s="198">
        <v>352.25750000000102</v>
      </c>
      <c r="AS70" s="198">
        <v>0</v>
      </c>
      <c r="AT70" s="198">
        <v>1160.9735576923072</v>
      </c>
      <c r="AU70" s="198">
        <v>0</v>
      </c>
      <c r="AV70" s="198">
        <v>1724.9583333333317</v>
      </c>
      <c r="AW70" s="198">
        <v>0</v>
      </c>
      <c r="AX70" s="198">
        <v>1298.9348958333321</v>
      </c>
      <c r="AY70" s="198">
        <v>0</v>
      </c>
    </row>
    <row r="71" spans="2:51">
      <c r="B71" s="196">
        <v>10203</v>
      </c>
      <c r="C71" s="196" t="s">
        <v>74</v>
      </c>
      <c r="D71" s="198">
        <v>510.22596153846098</v>
      </c>
      <c r="E71" s="198">
        <v>0</v>
      </c>
      <c r="F71" s="198">
        <v>1262.3399999999992</v>
      </c>
      <c r="G71" s="198">
        <v>0</v>
      </c>
      <c r="H71" s="198">
        <v>1092.2250000000004</v>
      </c>
      <c r="I71" s="198">
        <v>0</v>
      </c>
      <c r="J71" s="198">
        <v>1739.1682692307691</v>
      </c>
      <c r="K71" s="198">
        <v>0</v>
      </c>
      <c r="L71" s="198">
        <v>546.97395833333258</v>
      </c>
      <c r="M71" s="198">
        <v>0</v>
      </c>
      <c r="N71" s="198">
        <v>1392.6805555555547</v>
      </c>
      <c r="O71" s="198">
        <v>0</v>
      </c>
      <c r="P71" s="198">
        <v>748.37999999999965</v>
      </c>
      <c r="Q71" s="198">
        <v>0</v>
      </c>
      <c r="R71" s="198">
        <v>1476.5937500000007</v>
      </c>
      <c r="S71" s="198">
        <v>0</v>
      </c>
      <c r="T71" s="198">
        <v>1194.9831730769233</v>
      </c>
      <c r="U71" s="198">
        <v>0</v>
      </c>
      <c r="V71" s="198">
        <v>1169.3350000000005</v>
      </c>
      <c r="W71" s="198">
        <v>0</v>
      </c>
      <c r="X71" s="198">
        <v>1106.9490740740741</v>
      </c>
      <c r="Y71" s="198">
        <v>0</v>
      </c>
      <c r="Z71" s="198">
        <v>957.97395833333303</v>
      </c>
      <c r="AA71" s="198">
        <v>0</v>
      </c>
      <c r="AB71" s="198">
        <v>753.33333333333428</v>
      </c>
      <c r="AC71" s="198">
        <v>0</v>
      </c>
      <c r="AD71" s="198">
        <v>1276.7325000000005</v>
      </c>
      <c r="AE71" s="198">
        <v>0</v>
      </c>
      <c r="AF71" s="198">
        <v>1105.1974999999986</v>
      </c>
      <c r="AG71" s="198">
        <v>0</v>
      </c>
      <c r="AH71" s="198">
        <v>1755.0144230769242</v>
      </c>
      <c r="AI71" s="198">
        <v>0</v>
      </c>
      <c r="AJ71" s="198">
        <v>983.3749999999992</v>
      </c>
      <c r="AK71" s="198">
        <v>0</v>
      </c>
      <c r="AL71" s="198">
        <v>1137.959134615385</v>
      </c>
      <c r="AM71" s="198">
        <v>0</v>
      </c>
      <c r="AN71" s="198">
        <v>1007.3990384615388</v>
      </c>
      <c r="AO71" s="198">
        <v>0</v>
      </c>
      <c r="AP71" s="198">
        <v>1488.3798076923092</v>
      </c>
      <c r="AQ71" s="198">
        <v>0</v>
      </c>
      <c r="AR71" s="198">
        <v>984.82000000000028</v>
      </c>
      <c r="AS71" s="198">
        <v>0</v>
      </c>
      <c r="AT71" s="198">
        <v>1436.7235576923074</v>
      </c>
      <c r="AU71" s="198">
        <v>0</v>
      </c>
      <c r="AV71" s="198">
        <v>1117.0046296296298</v>
      </c>
      <c r="AW71" s="198">
        <v>0</v>
      </c>
      <c r="AX71" s="198">
        <v>965.20572916666697</v>
      </c>
      <c r="AY71" s="198">
        <v>0</v>
      </c>
    </row>
    <row r="72" spans="2:51">
      <c r="B72" s="196">
        <v>10204</v>
      </c>
      <c r="C72" s="196" t="s">
        <v>75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0</v>
      </c>
      <c r="AW72" s="198">
        <v>0</v>
      </c>
      <c r="AX72" s="198">
        <v>0</v>
      </c>
      <c r="AY72" s="198">
        <v>0</v>
      </c>
    </row>
    <row r="73" spans="2:51">
      <c r="B73" s="196">
        <v>10209</v>
      </c>
      <c r="C73" s="196" t="s">
        <v>76</v>
      </c>
      <c r="D73" s="198">
        <v>15476.834134615374</v>
      </c>
      <c r="E73" s="198">
        <v>0</v>
      </c>
      <c r="F73" s="198">
        <v>21179.3</v>
      </c>
      <c r="G73" s="198">
        <v>0</v>
      </c>
      <c r="H73" s="198">
        <v>21064.592500000013</v>
      </c>
      <c r="I73" s="198">
        <v>0</v>
      </c>
      <c r="J73" s="198">
        <v>23096.920673076944</v>
      </c>
      <c r="K73" s="198">
        <v>0</v>
      </c>
      <c r="L73" s="198">
        <v>9154.200520833343</v>
      </c>
      <c r="M73" s="198">
        <v>0</v>
      </c>
      <c r="N73" s="198">
        <v>23370.113425925916</v>
      </c>
      <c r="O73" s="198">
        <v>0</v>
      </c>
      <c r="P73" s="198">
        <v>24694.427499999983</v>
      </c>
      <c r="Q73" s="198">
        <v>0</v>
      </c>
      <c r="R73" s="198">
        <v>29855.413461538468</v>
      </c>
      <c r="S73" s="198">
        <v>0</v>
      </c>
      <c r="T73" s="198">
        <v>20197.286057692312</v>
      </c>
      <c r="U73" s="198">
        <v>0</v>
      </c>
      <c r="V73" s="198">
        <v>21297.442500000001</v>
      </c>
      <c r="W73" s="198">
        <v>0</v>
      </c>
      <c r="X73" s="198">
        <v>21211.287037037026</v>
      </c>
      <c r="Y73" s="198">
        <v>0</v>
      </c>
      <c r="Z73" s="198">
        <v>25767.770833333332</v>
      </c>
      <c r="AA73" s="198">
        <v>0</v>
      </c>
      <c r="AB73" s="198">
        <v>18602.312499999996</v>
      </c>
      <c r="AC73" s="198">
        <v>0</v>
      </c>
      <c r="AD73" s="198">
        <v>20230.969999999998</v>
      </c>
      <c r="AE73" s="198">
        <v>0</v>
      </c>
      <c r="AF73" s="198">
        <v>20440.910000000014</v>
      </c>
      <c r="AG73" s="198">
        <v>0</v>
      </c>
      <c r="AH73" s="198">
        <v>23480.194711538454</v>
      </c>
      <c r="AI73" s="198">
        <v>0</v>
      </c>
      <c r="AJ73" s="198">
        <v>16291.58854166667</v>
      </c>
      <c r="AK73" s="198">
        <v>0</v>
      </c>
      <c r="AL73" s="198">
        <v>19710.766826923085</v>
      </c>
      <c r="AM73" s="198">
        <v>0</v>
      </c>
      <c r="AN73" s="198">
        <v>28926.19951923077</v>
      </c>
      <c r="AO73" s="198">
        <v>0</v>
      </c>
      <c r="AP73" s="198">
        <v>30143.079326923063</v>
      </c>
      <c r="AQ73" s="198">
        <v>0</v>
      </c>
      <c r="AR73" s="198">
        <v>16394.392499999998</v>
      </c>
      <c r="AS73" s="198">
        <v>0</v>
      </c>
      <c r="AT73" s="198">
        <v>26041.512019230766</v>
      </c>
      <c r="AU73" s="198">
        <v>0</v>
      </c>
      <c r="AV73" s="198">
        <v>21453.937500000011</v>
      </c>
      <c r="AW73" s="198">
        <v>0</v>
      </c>
      <c r="AX73" s="198">
        <v>25998.851562500011</v>
      </c>
      <c r="AY73" s="198">
        <v>0</v>
      </c>
    </row>
    <row r="74" spans="2:51">
      <c r="B74" s="196">
        <v>10230</v>
      </c>
      <c r="C74" s="196" t="s">
        <v>77</v>
      </c>
      <c r="D74" s="198">
        <v>1264.6129807692291</v>
      </c>
      <c r="E74" s="198">
        <v>0</v>
      </c>
      <c r="F74" s="198">
        <v>3849.6150000000007</v>
      </c>
      <c r="G74" s="198">
        <v>0</v>
      </c>
      <c r="H74" s="198">
        <v>3877.6975000000002</v>
      </c>
      <c r="I74" s="198">
        <v>0</v>
      </c>
      <c r="J74" s="198">
        <v>3991.1274038461524</v>
      </c>
      <c r="K74" s="198">
        <v>0</v>
      </c>
      <c r="L74" s="198">
        <v>3675.5651041666679</v>
      </c>
      <c r="M74" s="198">
        <v>0</v>
      </c>
      <c r="N74" s="198">
        <v>2663.8472222222235</v>
      </c>
      <c r="O74" s="198">
        <v>0</v>
      </c>
      <c r="P74" s="198">
        <v>496.24750000000085</v>
      </c>
      <c r="Q74" s="198">
        <v>0</v>
      </c>
      <c r="R74" s="198">
        <v>2196.014423076921</v>
      </c>
      <c r="S74" s="198">
        <v>0</v>
      </c>
      <c r="T74" s="198">
        <v>1833.9927884615377</v>
      </c>
      <c r="U74" s="198">
        <v>0</v>
      </c>
      <c r="V74" s="198">
        <v>1658.5675000000006</v>
      </c>
      <c r="W74" s="198">
        <v>0</v>
      </c>
      <c r="X74" s="198">
        <v>1787.6273148148152</v>
      </c>
      <c r="Y74" s="198">
        <v>0</v>
      </c>
      <c r="Z74" s="198">
        <v>1063.713541666667</v>
      </c>
      <c r="AA74" s="198">
        <v>0</v>
      </c>
      <c r="AB74" s="198">
        <v>1620.8194444444448</v>
      </c>
      <c r="AC74" s="198">
        <v>0</v>
      </c>
      <c r="AD74" s="198">
        <v>3790.0825000000013</v>
      </c>
      <c r="AE74" s="198">
        <v>0</v>
      </c>
      <c r="AF74" s="198">
        <v>3797.4124999999999</v>
      </c>
      <c r="AG74" s="198">
        <v>0</v>
      </c>
      <c r="AH74" s="198">
        <v>3919.9975961538476</v>
      </c>
      <c r="AI74" s="198">
        <v>0</v>
      </c>
      <c r="AJ74" s="198">
        <v>3611.1354166666674</v>
      </c>
      <c r="AK74" s="198">
        <v>0</v>
      </c>
      <c r="AL74" s="198">
        <v>2133.2211538461524</v>
      </c>
      <c r="AM74" s="198">
        <v>0</v>
      </c>
      <c r="AN74" s="198">
        <v>983.72115384615449</v>
      </c>
      <c r="AO74" s="198">
        <v>0</v>
      </c>
      <c r="AP74" s="198">
        <v>2248.514423076921</v>
      </c>
      <c r="AQ74" s="198">
        <v>0</v>
      </c>
      <c r="AR74" s="198">
        <v>1457.1349999999986</v>
      </c>
      <c r="AS74" s="198">
        <v>0</v>
      </c>
      <c r="AT74" s="198">
        <v>2174.4086538461524</v>
      </c>
      <c r="AU74" s="198">
        <v>0</v>
      </c>
      <c r="AV74" s="198">
        <v>1833.7754629629619</v>
      </c>
      <c r="AW74" s="198">
        <v>0</v>
      </c>
      <c r="AX74" s="198">
        <v>1104.4531250000009</v>
      </c>
      <c r="AY74" s="198">
        <v>0</v>
      </c>
    </row>
    <row r="75" spans="2:51">
      <c r="B75" s="196">
        <v>10231</v>
      </c>
      <c r="C75" s="196" t="s">
        <v>78</v>
      </c>
      <c r="D75" s="198">
        <v>2791.7812499999927</v>
      </c>
      <c r="E75" s="198">
        <v>0</v>
      </c>
      <c r="F75" s="198">
        <v>3066.4549999999995</v>
      </c>
      <c r="G75" s="198">
        <v>0</v>
      </c>
      <c r="H75" s="198">
        <v>11062.657500000001</v>
      </c>
      <c r="I75" s="198">
        <v>0</v>
      </c>
      <c r="J75" s="198">
        <v>6614.7355769230862</v>
      </c>
      <c r="K75" s="198">
        <v>0</v>
      </c>
      <c r="L75" s="198">
        <v>0</v>
      </c>
      <c r="M75" s="198">
        <v>0</v>
      </c>
      <c r="N75" s="198">
        <v>6515.2546296296241</v>
      </c>
      <c r="O75" s="198">
        <v>0</v>
      </c>
      <c r="P75" s="198">
        <v>2090.8775000000051</v>
      </c>
      <c r="Q75" s="198">
        <v>0</v>
      </c>
      <c r="R75" s="198">
        <v>10330.737980769232</v>
      </c>
      <c r="S75" s="198">
        <v>0</v>
      </c>
      <c r="T75" s="198">
        <v>5647.5000000000018</v>
      </c>
      <c r="U75" s="198">
        <v>0</v>
      </c>
      <c r="V75" s="198">
        <v>2853.8349999999932</v>
      </c>
      <c r="W75" s="198">
        <v>0</v>
      </c>
      <c r="X75" s="198">
        <v>7987.8124999999964</v>
      </c>
      <c r="Y75" s="198">
        <v>0</v>
      </c>
      <c r="Z75" s="198">
        <v>6991.4661458333285</v>
      </c>
      <c r="AA75" s="198">
        <v>0</v>
      </c>
      <c r="AB75" s="198">
        <v>3164.1527777777656</v>
      </c>
      <c r="AC75" s="198">
        <v>0</v>
      </c>
      <c r="AD75" s="198">
        <v>3236.0575000000031</v>
      </c>
      <c r="AE75" s="198">
        <v>0</v>
      </c>
      <c r="AF75" s="198">
        <v>11346.827499999998</v>
      </c>
      <c r="AG75" s="198">
        <v>0</v>
      </c>
      <c r="AH75" s="198">
        <v>6858.1129807692332</v>
      </c>
      <c r="AI75" s="198">
        <v>0</v>
      </c>
      <c r="AJ75" s="198">
        <v>112.73177083333508</v>
      </c>
      <c r="AK75" s="198">
        <v>0</v>
      </c>
      <c r="AL75" s="198">
        <v>6493.0937500000073</v>
      </c>
      <c r="AM75" s="198">
        <v>0</v>
      </c>
      <c r="AN75" s="198">
        <v>2432.9831730769201</v>
      </c>
      <c r="AO75" s="198">
        <v>0</v>
      </c>
      <c r="AP75" s="198">
        <v>10428.271634615388</v>
      </c>
      <c r="AQ75" s="198">
        <v>0</v>
      </c>
      <c r="AR75" s="198">
        <v>5411.5699999999988</v>
      </c>
      <c r="AS75" s="198">
        <v>0</v>
      </c>
      <c r="AT75" s="198">
        <v>3408.7548076923008</v>
      </c>
      <c r="AU75" s="198">
        <v>0</v>
      </c>
      <c r="AV75" s="198">
        <v>8150.3217592592491</v>
      </c>
      <c r="AW75" s="198">
        <v>0</v>
      </c>
      <c r="AX75" s="198">
        <v>7086.1640625000036</v>
      </c>
      <c r="AY75" s="198">
        <v>0</v>
      </c>
    </row>
    <row r="76" spans="2:51">
      <c r="B76" s="196">
        <v>10234</v>
      </c>
      <c r="C76" s="196" t="s">
        <v>79</v>
      </c>
      <c r="D76" s="198">
        <v>3223.6129807692287</v>
      </c>
      <c r="E76" s="198">
        <v>0</v>
      </c>
      <c r="F76" s="198">
        <v>7259.1575000000075</v>
      </c>
      <c r="G76" s="198">
        <v>0</v>
      </c>
      <c r="H76" s="198">
        <v>11006.31</v>
      </c>
      <c r="I76" s="198">
        <v>0</v>
      </c>
      <c r="J76" s="198">
        <v>10126.447115384615</v>
      </c>
      <c r="K76" s="198">
        <v>0</v>
      </c>
      <c r="L76" s="198">
        <v>0</v>
      </c>
      <c r="M76" s="198">
        <v>0</v>
      </c>
      <c r="N76" s="198">
        <v>4417.3750000000036</v>
      </c>
      <c r="O76" s="198">
        <v>0</v>
      </c>
      <c r="P76" s="198">
        <v>3319.2324999999928</v>
      </c>
      <c r="Q76" s="198">
        <v>0</v>
      </c>
      <c r="R76" s="198">
        <v>10065.49759615384</v>
      </c>
      <c r="S76" s="198">
        <v>0</v>
      </c>
      <c r="T76" s="198">
        <v>5896.4687499999982</v>
      </c>
      <c r="U76" s="198">
        <v>0</v>
      </c>
      <c r="V76" s="198">
        <v>7520.4924999999957</v>
      </c>
      <c r="W76" s="198">
        <v>0</v>
      </c>
      <c r="X76" s="198">
        <v>7559.9444444444434</v>
      </c>
      <c r="Y76" s="198">
        <v>0</v>
      </c>
      <c r="Z76" s="198">
        <v>6064.3046875000009</v>
      </c>
      <c r="AA76" s="198">
        <v>0</v>
      </c>
      <c r="AB76" s="198">
        <v>4974.0092592592655</v>
      </c>
      <c r="AC76" s="198">
        <v>0</v>
      </c>
      <c r="AD76" s="198">
        <v>7110.4899999999916</v>
      </c>
      <c r="AE76" s="198">
        <v>0</v>
      </c>
      <c r="AF76" s="198">
        <v>10861.427500000005</v>
      </c>
      <c r="AG76" s="198">
        <v>0</v>
      </c>
      <c r="AH76" s="198">
        <v>10008.362980769241</v>
      </c>
      <c r="AI76" s="198">
        <v>0</v>
      </c>
      <c r="AJ76" s="198">
        <v>0</v>
      </c>
      <c r="AK76" s="198">
        <v>0</v>
      </c>
      <c r="AL76" s="198">
        <v>2043.5000000000052</v>
      </c>
      <c r="AM76" s="198">
        <v>0</v>
      </c>
      <c r="AN76" s="198">
        <v>5219.0889423076869</v>
      </c>
      <c r="AO76" s="198">
        <v>0</v>
      </c>
      <c r="AP76" s="198">
        <v>9938.6177884615354</v>
      </c>
      <c r="AQ76" s="198">
        <v>0</v>
      </c>
      <c r="AR76" s="198">
        <v>3741.2200000000003</v>
      </c>
      <c r="AS76" s="198">
        <v>0</v>
      </c>
      <c r="AT76" s="198">
        <v>9573.0312499999927</v>
      </c>
      <c r="AU76" s="198">
        <v>0</v>
      </c>
      <c r="AV76" s="198">
        <v>7412.2407407407391</v>
      </c>
      <c r="AW76" s="198">
        <v>0</v>
      </c>
      <c r="AX76" s="198">
        <v>5890.0390625000109</v>
      </c>
      <c r="AY76" s="198">
        <v>0</v>
      </c>
    </row>
    <row r="77" spans="2:51">
      <c r="B77" s="196">
        <v>10235</v>
      </c>
      <c r="C77" s="196" t="s">
        <v>80</v>
      </c>
      <c r="D77" s="198">
        <v>3841.7884615384601</v>
      </c>
      <c r="E77" s="198">
        <v>0</v>
      </c>
      <c r="F77" s="198">
        <v>2432.3599999999974</v>
      </c>
      <c r="G77" s="198">
        <v>0</v>
      </c>
      <c r="H77" s="198">
        <v>7767.2074999999995</v>
      </c>
      <c r="I77" s="198">
        <v>0</v>
      </c>
      <c r="J77" s="198">
        <v>7017.1658653846189</v>
      </c>
      <c r="K77" s="198">
        <v>0</v>
      </c>
      <c r="L77" s="198">
        <v>3807.2031250000027</v>
      </c>
      <c r="M77" s="198">
        <v>0</v>
      </c>
      <c r="N77" s="198">
        <v>5964.1296296296277</v>
      </c>
      <c r="O77" s="198">
        <v>0</v>
      </c>
      <c r="P77" s="198">
        <v>4373.4600000000037</v>
      </c>
      <c r="Q77" s="198">
        <v>0</v>
      </c>
      <c r="R77" s="198">
        <v>1155.4086538461563</v>
      </c>
      <c r="S77" s="198">
        <v>0</v>
      </c>
      <c r="T77" s="198">
        <v>3037.4975961538471</v>
      </c>
      <c r="U77" s="198">
        <v>0</v>
      </c>
      <c r="V77" s="198">
        <v>3375.985000000001</v>
      </c>
      <c r="W77" s="198">
        <v>0</v>
      </c>
      <c r="X77" s="198">
        <v>4144.8310185185128</v>
      </c>
      <c r="Y77" s="198">
        <v>0</v>
      </c>
      <c r="Z77" s="198">
        <v>3187.8098958333353</v>
      </c>
      <c r="AA77" s="198">
        <v>0</v>
      </c>
      <c r="AB77" s="198">
        <v>3948.8634259259252</v>
      </c>
      <c r="AC77" s="198">
        <v>0</v>
      </c>
      <c r="AD77" s="198">
        <v>2437.9699999999948</v>
      </c>
      <c r="AE77" s="198">
        <v>0</v>
      </c>
      <c r="AF77" s="198">
        <v>7776.7950000000019</v>
      </c>
      <c r="AG77" s="198">
        <v>0</v>
      </c>
      <c r="AH77" s="198">
        <v>7027.0456730769192</v>
      </c>
      <c r="AI77" s="198">
        <v>0</v>
      </c>
      <c r="AJ77" s="198">
        <v>3809.2421874999991</v>
      </c>
      <c r="AK77" s="198">
        <v>0</v>
      </c>
      <c r="AL77" s="198">
        <v>5883.3701923076969</v>
      </c>
      <c r="AM77" s="198">
        <v>0</v>
      </c>
      <c r="AN77" s="198">
        <v>4467.4639423076978</v>
      </c>
      <c r="AO77" s="198">
        <v>0</v>
      </c>
      <c r="AP77" s="198">
        <v>1141.6153846153891</v>
      </c>
      <c r="AQ77" s="198">
        <v>0</v>
      </c>
      <c r="AR77" s="198">
        <v>2936.0024999999964</v>
      </c>
      <c r="AS77" s="198">
        <v>0</v>
      </c>
      <c r="AT77" s="198">
        <v>3485.9975961538485</v>
      </c>
      <c r="AU77" s="198">
        <v>0</v>
      </c>
      <c r="AV77" s="198">
        <v>4143.854166666667</v>
      </c>
      <c r="AW77" s="198">
        <v>0</v>
      </c>
      <c r="AX77" s="198">
        <v>3179.0520833333344</v>
      </c>
      <c r="AY77" s="198">
        <v>0</v>
      </c>
    </row>
    <row r="78" spans="2:51">
      <c r="B78" s="196">
        <v>10236</v>
      </c>
      <c r="C78" s="196" t="s">
        <v>81</v>
      </c>
      <c r="D78" s="198">
        <v>0</v>
      </c>
      <c r="E78" s="198">
        <v>0</v>
      </c>
      <c r="F78" s="198">
        <v>0</v>
      </c>
      <c r="G78" s="198">
        <v>0</v>
      </c>
      <c r="H78" s="198">
        <v>0</v>
      </c>
      <c r="I78" s="198">
        <v>0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0</v>
      </c>
      <c r="Q78" s="198">
        <v>0</v>
      </c>
      <c r="R78" s="198">
        <v>0</v>
      </c>
      <c r="S78" s="198">
        <v>0</v>
      </c>
      <c r="T78" s="198">
        <v>0</v>
      </c>
      <c r="U78" s="198">
        <v>0</v>
      </c>
      <c r="V78" s="198">
        <v>0</v>
      </c>
      <c r="W78" s="198">
        <v>0</v>
      </c>
      <c r="X78" s="198">
        <v>0</v>
      </c>
      <c r="Y78" s="198">
        <v>0</v>
      </c>
      <c r="Z78" s="198">
        <v>0</v>
      </c>
      <c r="AA78" s="198">
        <v>0</v>
      </c>
      <c r="AB78" s="198">
        <v>0</v>
      </c>
      <c r="AC78" s="198">
        <v>0</v>
      </c>
      <c r="AD78" s="198">
        <v>0</v>
      </c>
      <c r="AE78" s="198">
        <v>0</v>
      </c>
      <c r="AF78" s="198">
        <v>0</v>
      </c>
      <c r="AG78" s="198">
        <v>0</v>
      </c>
      <c r="AH78" s="198">
        <v>0</v>
      </c>
      <c r="AI78" s="198">
        <v>0</v>
      </c>
      <c r="AJ78" s="198">
        <v>0</v>
      </c>
      <c r="AK78" s="198">
        <v>0</v>
      </c>
      <c r="AL78" s="198">
        <v>0</v>
      </c>
      <c r="AM78" s="198">
        <v>0</v>
      </c>
      <c r="AN78" s="198">
        <v>0</v>
      </c>
      <c r="AO78" s="198">
        <v>0</v>
      </c>
      <c r="AP78" s="198">
        <v>0</v>
      </c>
      <c r="AQ78" s="198">
        <v>0</v>
      </c>
      <c r="AR78" s="198">
        <v>0</v>
      </c>
      <c r="AS78" s="198">
        <v>0</v>
      </c>
      <c r="AT78" s="198">
        <v>0</v>
      </c>
      <c r="AU78" s="198">
        <v>0</v>
      </c>
      <c r="AV78" s="198">
        <v>0</v>
      </c>
      <c r="AW78" s="198">
        <v>0</v>
      </c>
      <c r="AX78" s="198">
        <v>0</v>
      </c>
      <c r="AY78" s="198">
        <v>0</v>
      </c>
    </row>
    <row r="79" spans="2:51">
      <c r="B79" s="196">
        <v>10237</v>
      </c>
      <c r="C79" s="196" t="s">
        <v>82</v>
      </c>
      <c r="D79" s="198">
        <v>0</v>
      </c>
      <c r="E79" s="198">
        <v>0</v>
      </c>
      <c r="F79" s="198">
        <v>0</v>
      </c>
      <c r="G79" s="198">
        <v>0</v>
      </c>
      <c r="H79" s="198">
        <v>0</v>
      </c>
      <c r="I79" s="198">
        <v>0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0</v>
      </c>
      <c r="Q79" s="198">
        <v>0</v>
      </c>
      <c r="R79" s="198">
        <v>0</v>
      </c>
      <c r="S79" s="198">
        <v>0</v>
      </c>
      <c r="T79" s="198">
        <v>0</v>
      </c>
      <c r="U79" s="198">
        <v>0</v>
      </c>
      <c r="V79" s="198">
        <v>0</v>
      </c>
      <c r="W79" s="198">
        <v>0</v>
      </c>
      <c r="X79" s="198">
        <v>0</v>
      </c>
      <c r="Y79" s="198">
        <v>0</v>
      </c>
      <c r="Z79" s="198">
        <v>0</v>
      </c>
      <c r="AA79" s="198">
        <v>0</v>
      </c>
      <c r="AB79" s="198">
        <v>0</v>
      </c>
      <c r="AC79" s="198">
        <v>0</v>
      </c>
      <c r="AD79" s="198">
        <v>0</v>
      </c>
      <c r="AE79" s="198">
        <v>0</v>
      </c>
      <c r="AF79" s="198">
        <v>0</v>
      </c>
      <c r="AG79" s="198">
        <v>0</v>
      </c>
      <c r="AH79" s="198">
        <v>0</v>
      </c>
      <c r="AI79" s="198">
        <v>0</v>
      </c>
      <c r="AJ79" s="198">
        <v>0</v>
      </c>
      <c r="AK79" s="198">
        <v>0</v>
      </c>
      <c r="AL79" s="198">
        <v>0</v>
      </c>
      <c r="AM79" s="198">
        <v>0</v>
      </c>
      <c r="AN79" s="198">
        <v>0</v>
      </c>
      <c r="AO79" s="198">
        <v>0</v>
      </c>
      <c r="AP79" s="198">
        <v>0</v>
      </c>
      <c r="AQ79" s="198">
        <v>0</v>
      </c>
      <c r="AR79" s="198">
        <v>0</v>
      </c>
      <c r="AS79" s="198">
        <v>0</v>
      </c>
      <c r="AT79" s="198">
        <v>0</v>
      </c>
      <c r="AU79" s="198">
        <v>0</v>
      </c>
      <c r="AV79" s="198">
        <v>0</v>
      </c>
      <c r="AW79" s="198">
        <v>0</v>
      </c>
      <c r="AX79" s="198">
        <v>0</v>
      </c>
      <c r="AY79" s="198">
        <v>0</v>
      </c>
    </row>
    <row r="80" spans="2:51">
      <c r="B80" s="196">
        <v>10239</v>
      </c>
      <c r="C80" s="196" t="s">
        <v>83</v>
      </c>
      <c r="D80" s="198">
        <v>0</v>
      </c>
      <c r="E80" s="198">
        <v>0</v>
      </c>
      <c r="F80" s="198">
        <v>0</v>
      </c>
      <c r="G80" s="198">
        <v>0</v>
      </c>
      <c r="H80" s="198">
        <v>0</v>
      </c>
      <c r="I80" s="198">
        <v>0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0</v>
      </c>
      <c r="Q80" s="198">
        <v>0</v>
      </c>
      <c r="R80" s="198">
        <v>0</v>
      </c>
      <c r="S80" s="198">
        <v>0</v>
      </c>
      <c r="T80" s="198">
        <v>0</v>
      </c>
      <c r="U80" s="198">
        <v>0</v>
      </c>
      <c r="V80" s="198">
        <v>0</v>
      </c>
      <c r="W80" s="198">
        <v>0</v>
      </c>
      <c r="X80" s="198">
        <v>0</v>
      </c>
      <c r="Y80" s="198">
        <v>0</v>
      </c>
      <c r="Z80" s="198">
        <v>0</v>
      </c>
      <c r="AA80" s="198">
        <v>0</v>
      </c>
      <c r="AB80" s="198">
        <v>0</v>
      </c>
      <c r="AC80" s="198">
        <v>0</v>
      </c>
      <c r="AD80" s="198">
        <v>0</v>
      </c>
      <c r="AE80" s="198">
        <v>0</v>
      </c>
      <c r="AF80" s="198">
        <v>0</v>
      </c>
      <c r="AG80" s="198">
        <v>0</v>
      </c>
      <c r="AH80" s="198">
        <v>0</v>
      </c>
      <c r="AI80" s="198">
        <v>0</v>
      </c>
      <c r="AJ80" s="198">
        <v>0</v>
      </c>
      <c r="AK80" s="198">
        <v>0</v>
      </c>
      <c r="AL80" s="198">
        <v>0</v>
      </c>
      <c r="AM80" s="198">
        <v>0</v>
      </c>
      <c r="AN80" s="198">
        <v>0</v>
      </c>
      <c r="AO80" s="198">
        <v>0</v>
      </c>
      <c r="AP80" s="198">
        <v>0</v>
      </c>
      <c r="AQ80" s="198">
        <v>0</v>
      </c>
      <c r="AR80" s="198">
        <v>0</v>
      </c>
      <c r="AS80" s="198">
        <v>0</v>
      </c>
      <c r="AT80" s="198">
        <v>0</v>
      </c>
      <c r="AU80" s="198">
        <v>0</v>
      </c>
      <c r="AV80" s="198">
        <v>0</v>
      </c>
      <c r="AW80" s="198">
        <v>0</v>
      </c>
      <c r="AX80" s="198">
        <v>0</v>
      </c>
      <c r="AY80" s="198">
        <v>0</v>
      </c>
    </row>
    <row r="81" spans="2:51">
      <c r="B81" s="196">
        <v>10242</v>
      </c>
      <c r="C81" s="196" t="s">
        <v>84</v>
      </c>
      <c r="D81" s="198">
        <v>1877.8461538461545</v>
      </c>
      <c r="E81" s="198">
        <v>0</v>
      </c>
      <c r="F81" s="198">
        <v>791.81499999999926</v>
      </c>
      <c r="G81" s="198">
        <v>0</v>
      </c>
      <c r="H81" s="198">
        <v>943.65499999999929</v>
      </c>
      <c r="I81" s="198">
        <v>0</v>
      </c>
      <c r="J81" s="198">
        <v>1490.2908653846155</v>
      </c>
      <c r="K81" s="198">
        <v>0</v>
      </c>
      <c r="L81" s="198">
        <v>937.07812500000023</v>
      </c>
      <c r="M81" s="198">
        <v>0</v>
      </c>
      <c r="N81" s="198">
        <v>1022.4745370370379</v>
      </c>
      <c r="O81" s="198">
        <v>0</v>
      </c>
      <c r="P81" s="198">
        <v>1536.55</v>
      </c>
      <c r="Q81" s="198">
        <v>0</v>
      </c>
      <c r="R81" s="198">
        <v>0</v>
      </c>
      <c r="S81" s="198">
        <v>0</v>
      </c>
      <c r="T81" s="198">
        <v>3414.2524038461524</v>
      </c>
      <c r="U81" s="198">
        <v>0</v>
      </c>
      <c r="V81" s="198">
        <v>2008.3825000000002</v>
      </c>
      <c r="W81" s="198">
        <v>0</v>
      </c>
      <c r="X81" s="198">
        <v>3752.8078703703727</v>
      </c>
      <c r="Y81" s="198">
        <v>0</v>
      </c>
      <c r="Z81" s="198">
        <v>1155.3281250000005</v>
      </c>
      <c r="AA81" s="198">
        <v>0</v>
      </c>
      <c r="AB81" s="198">
        <v>2119.6805555555552</v>
      </c>
      <c r="AC81" s="198">
        <v>0</v>
      </c>
      <c r="AD81" s="198">
        <v>840.2250000000007</v>
      </c>
      <c r="AE81" s="198">
        <v>0</v>
      </c>
      <c r="AF81" s="198">
        <v>992.08249999999998</v>
      </c>
      <c r="AG81" s="198">
        <v>0</v>
      </c>
      <c r="AH81" s="198">
        <v>1539.2716346153845</v>
      </c>
      <c r="AI81" s="198">
        <v>0</v>
      </c>
      <c r="AJ81" s="198">
        <v>983.57031250000034</v>
      </c>
      <c r="AK81" s="198">
        <v>0</v>
      </c>
      <c r="AL81" s="198">
        <v>884.83413461538612</v>
      </c>
      <c r="AM81" s="198">
        <v>0</v>
      </c>
      <c r="AN81" s="198">
        <v>1772.0024038461534</v>
      </c>
      <c r="AO81" s="198">
        <v>0</v>
      </c>
      <c r="AP81" s="198">
        <v>0</v>
      </c>
      <c r="AQ81" s="198">
        <v>0</v>
      </c>
      <c r="AR81" s="198">
        <v>2787.9824999999983</v>
      </c>
      <c r="AS81" s="198">
        <v>0</v>
      </c>
      <c r="AT81" s="198">
        <v>2925.8605769230753</v>
      </c>
      <c r="AU81" s="198">
        <v>0</v>
      </c>
      <c r="AV81" s="198">
        <v>3844.0162037037035</v>
      </c>
      <c r="AW81" s="198">
        <v>0</v>
      </c>
      <c r="AX81" s="198">
        <v>1230.0520833333337</v>
      </c>
      <c r="AY81" s="198">
        <v>0</v>
      </c>
    </row>
    <row r="82" spans="2:51">
      <c r="B82" s="196">
        <v>10244</v>
      </c>
      <c r="C82" s="196" t="s">
        <v>85</v>
      </c>
      <c r="D82" s="198">
        <v>11558.918269230762</v>
      </c>
      <c r="E82" s="198">
        <v>0</v>
      </c>
      <c r="F82" s="198">
        <v>8267.2850000000089</v>
      </c>
      <c r="G82" s="198">
        <v>0</v>
      </c>
      <c r="H82" s="198">
        <v>17540.472499999985</v>
      </c>
      <c r="I82" s="198">
        <v>0</v>
      </c>
      <c r="J82" s="198">
        <v>41783.569711538476</v>
      </c>
      <c r="K82" s="198">
        <v>0</v>
      </c>
      <c r="L82" s="198">
        <v>12898.408854166675</v>
      </c>
      <c r="M82" s="198">
        <v>0</v>
      </c>
      <c r="N82" s="198">
        <v>13163.435185185193</v>
      </c>
      <c r="O82" s="198">
        <v>0</v>
      </c>
      <c r="P82" s="198">
        <v>14320.337500000001</v>
      </c>
      <c r="Q82" s="198">
        <v>0</v>
      </c>
      <c r="R82" s="198">
        <v>19696.312499999996</v>
      </c>
      <c r="S82" s="198">
        <v>0</v>
      </c>
      <c r="T82" s="198">
        <v>6616.0769230769247</v>
      </c>
      <c r="U82" s="198">
        <v>0</v>
      </c>
      <c r="V82" s="198">
        <v>7841.3650000000061</v>
      </c>
      <c r="W82" s="198">
        <v>0</v>
      </c>
      <c r="X82" s="198">
        <v>8158.9120370370392</v>
      </c>
      <c r="Y82" s="198">
        <v>0</v>
      </c>
      <c r="Z82" s="198">
        <v>5194.2630208333294</v>
      </c>
      <c r="AA82" s="198">
        <v>0</v>
      </c>
      <c r="AB82" s="198">
        <v>15157.921296296297</v>
      </c>
      <c r="AC82" s="198">
        <v>0</v>
      </c>
      <c r="AD82" s="198">
        <v>8795.7599999999948</v>
      </c>
      <c r="AE82" s="198">
        <v>0</v>
      </c>
      <c r="AF82" s="198">
        <v>18063.442500000001</v>
      </c>
      <c r="AG82" s="198">
        <v>0</v>
      </c>
      <c r="AH82" s="198">
        <v>42336.992788461532</v>
      </c>
      <c r="AI82" s="198">
        <v>0</v>
      </c>
      <c r="AJ82" s="198">
        <v>13370.726562500025</v>
      </c>
      <c r="AK82" s="198">
        <v>0</v>
      </c>
      <c r="AL82" s="198">
        <v>9638.6850961538366</v>
      </c>
      <c r="AM82" s="198">
        <v>0</v>
      </c>
      <c r="AN82" s="198">
        <v>18164.879807692309</v>
      </c>
      <c r="AO82" s="198">
        <v>0</v>
      </c>
      <c r="AP82" s="198">
        <v>20225.096153846145</v>
      </c>
      <c r="AQ82" s="198">
        <v>0</v>
      </c>
      <c r="AR82" s="198">
        <v>4240.3350000000091</v>
      </c>
      <c r="AS82" s="198">
        <v>0</v>
      </c>
      <c r="AT82" s="198">
        <v>11286.740384615379</v>
      </c>
      <c r="AU82" s="198">
        <v>0</v>
      </c>
      <c r="AV82" s="198">
        <v>8639.7847222222154</v>
      </c>
      <c r="AW82" s="198">
        <v>0</v>
      </c>
      <c r="AX82" s="198">
        <v>5622.9218749999991</v>
      </c>
      <c r="AY82" s="198">
        <v>0</v>
      </c>
    </row>
    <row r="83" spans="2:51">
      <c r="B83" s="196">
        <v>10246</v>
      </c>
      <c r="C83" s="196" t="s">
        <v>86</v>
      </c>
      <c r="D83" s="198">
        <v>437.42307692307668</v>
      </c>
      <c r="E83" s="198">
        <v>0</v>
      </c>
      <c r="F83" s="198">
        <v>998.33000000000015</v>
      </c>
      <c r="G83" s="198">
        <v>0</v>
      </c>
      <c r="H83" s="198">
        <v>2215.7950000000005</v>
      </c>
      <c r="I83" s="198">
        <v>0</v>
      </c>
      <c r="J83" s="198">
        <v>2899.0793269230753</v>
      </c>
      <c r="K83" s="198">
        <v>0</v>
      </c>
      <c r="L83" s="198">
        <v>89.130208333335403</v>
      </c>
      <c r="M83" s="198">
        <v>0</v>
      </c>
      <c r="N83" s="198">
        <v>2962.2731481481469</v>
      </c>
      <c r="O83" s="198">
        <v>0</v>
      </c>
      <c r="P83" s="198">
        <v>0</v>
      </c>
      <c r="Q83" s="198">
        <v>0</v>
      </c>
      <c r="R83" s="198">
        <v>1188.01923076923</v>
      </c>
      <c r="S83" s="198">
        <v>0</v>
      </c>
      <c r="T83" s="198">
        <v>778.84615384615336</v>
      </c>
      <c r="U83" s="198">
        <v>0</v>
      </c>
      <c r="V83" s="198">
        <v>716.13000000000034</v>
      </c>
      <c r="W83" s="198">
        <v>0</v>
      </c>
      <c r="X83" s="198">
        <v>1032.1296296296302</v>
      </c>
      <c r="Y83" s="198">
        <v>0</v>
      </c>
      <c r="Z83" s="198">
        <v>222.75000000000088</v>
      </c>
      <c r="AA83" s="198">
        <v>0</v>
      </c>
      <c r="AB83" s="198">
        <v>478.6574074074075</v>
      </c>
      <c r="AC83" s="198">
        <v>0</v>
      </c>
      <c r="AD83" s="198">
        <v>1022.1749999999998</v>
      </c>
      <c r="AE83" s="198">
        <v>0</v>
      </c>
      <c r="AF83" s="198">
        <v>2244.0800000000027</v>
      </c>
      <c r="AG83" s="198">
        <v>0</v>
      </c>
      <c r="AH83" s="198">
        <v>2929.5336538461547</v>
      </c>
      <c r="AI83" s="198">
        <v>0</v>
      </c>
      <c r="AJ83" s="198">
        <v>111.85416666666548</v>
      </c>
      <c r="AK83" s="198">
        <v>0</v>
      </c>
      <c r="AL83" s="198">
        <v>2965.5961538461524</v>
      </c>
      <c r="AM83" s="198">
        <v>0</v>
      </c>
      <c r="AN83" s="198">
        <v>0</v>
      </c>
      <c r="AO83" s="198">
        <v>0</v>
      </c>
      <c r="AP83" s="198">
        <v>1198.7211538461545</v>
      </c>
      <c r="AQ83" s="198">
        <v>0</v>
      </c>
      <c r="AR83" s="198">
        <v>755.08749999999941</v>
      </c>
      <c r="AS83" s="198">
        <v>0</v>
      </c>
      <c r="AT83" s="198">
        <v>747.31009615384619</v>
      </c>
      <c r="AU83" s="198">
        <v>0</v>
      </c>
      <c r="AV83" s="198">
        <v>1035.409722222221</v>
      </c>
      <c r="AW83" s="198">
        <v>0</v>
      </c>
      <c r="AX83" s="198">
        <v>228.57031250000003</v>
      </c>
      <c r="AY83" s="198">
        <v>0</v>
      </c>
    </row>
    <row r="84" spans="2:51">
      <c r="B84" s="196">
        <v>10247</v>
      </c>
      <c r="C84" s="196" t="s">
        <v>87</v>
      </c>
      <c r="D84" s="198">
        <v>5765.4855769230835</v>
      </c>
      <c r="E84" s="198">
        <v>0</v>
      </c>
      <c r="F84" s="198">
        <v>0</v>
      </c>
      <c r="G84" s="198">
        <v>0</v>
      </c>
      <c r="H84" s="198">
        <v>24043.770000000022</v>
      </c>
      <c r="I84" s="198">
        <v>0</v>
      </c>
      <c r="J84" s="198">
        <v>16487.677884615361</v>
      </c>
      <c r="K84" s="198">
        <v>0</v>
      </c>
      <c r="L84" s="198">
        <v>9447.91406249998</v>
      </c>
      <c r="M84" s="198">
        <v>0</v>
      </c>
      <c r="N84" s="198">
        <v>21358.363425925923</v>
      </c>
      <c r="O84" s="198">
        <v>0</v>
      </c>
      <c r="P84" s="198">
        <v>10244.199999999999</v>
      </c>
      <c r="Q84" s="198">
        <v>0</v>
      </c>
      <c r="R84" s="198">
        <v>12541.752403846167</v>
      </c>
      <c r="S84" s="198">
        <v>0</v>
      </c>
      <c r="T84" s="198">
        <v>2637.6850961538462</v>
      </c>
      <c r="U84" s="198">
        <v>0</v>
      </c>
      <c r="V84" s="198">
        <v>5723.3149999999978</v>
      </c>
      <c r="W84" s="198">
        <v>0</v>
      </c>
      <c r="X84" s="198">
        <v>10098.370370370369</v>
      </c>
      <c r="Y84" s="198">
        <v>0</v>
      </c>
      <c r="Z84" s="198">
        <v>0</v>
      </c>
      <c r="AA84" s="198">
        <v>0</v>
      </c>
      <c r="AB84" s="198">
        <v>7775.2245370370329</v>
      </c>
      <c r="AC84" s="198">
        <v>0</v>
      </c>
      <c r="AD84" s="198">
        <v>1489.994999999979</v>
      </c>
      <c r="AE84" s="198">
        <v>0</v>
      </c>
      <c r="AF84" s="198">
        <v>25879.744999999984</v>
      </c>
      <c r="AG84" s="198">
        <v>0</v>
      </c>
      <c r="AH84" s="198">
        <v>18505.329326923071</v>
      </c>
      <c r="AI84" s="198">
        <v>0</v>
      </c>
      <c r="AJ84" s="198">
        <v>11385.848958333316</v>
      </c>
      <c r="AK84" s="198">
        <v>0</v>
      </c>
      <c r="AL84" s="198">
        <v>23026.507211538465</v>
      </c>
      <c r="AM84" s="198">
        <v>0</v>
      </c>
      <c r="AN84" s="198">
        <v>12317.846153846154</v>
      </c>
      <c r="AO84" s="198">
        <v>0</v>
      </c>
      <c r="AP84" s="198">
        <v>14292.305288461528</v>
      </c>
      <c r="AQ84" s="198">
        <v>0</v>
      </c>
      <c r="AR84" s="198">
        <v>4168.3599999999933</v>
      </c>
      <c r="AS84" s="198">
        <v>0</v>
      </c>
      <c r="AT84" s="198">
        <v>7942.5600961538394</v>
      </c>
      <c r="AU84" s="198">
        <v>0</v>
      </c>
      <c r="AV84" s="198">
        <v>11687.446759259252</v>
      </c>
      <c r="AW84" s="198">
        <v>0</v>
      </c>
      <c r="AX84" s="198">
        <v>0</v>
      </c>
      <c r="AY84" s="198">
        <v>0</v>
      </c>
    </row>
    <row r="85" spans="2:51">
      <c r="B85" s="196">
        <v>10256</v>
      </c>
      <c r="C85" s="196" t="s">
        <v>88</v>
      </c>
      <c r="D85" s="198">
        <v>0</v>
      </c>
      <c r="E85" s="198">
        <v>0</v>
      </c>
      <c r="F85" s="198">
        <v>0</v>
      </c>
      <c r="G85" s="198">
        <v>0</v>
      </c>
      <c r="H85" s="198">
        <v>0</v>
      </c>
      <c r="I85" s="198">
        <v>0</v>
      </c>
      <c r="J85" s="198">
        <v>26468.257211538465</v>
      </c>
      <c r="K85" s="198">
        <v>0</v>
      </c>
      <c r="L85" s="198">
        <v>11814.843749999998</v>
      </c>
      <c r="M85" s="198">
        <v>0</v>
      </c>
      <c r="N85" s="198">
        <v>20450.391203703708</v>
      </c>
      <c r="O85" s="198">
        <v>0</v>
      </c>
      <c r="P85" s="198">
        <v>11645.740000000003</v>
      </c>
      <c r="Q85" s="198">
        <v>0</v>
      </c>
      <c r="R85" s="198">
        <v>14463.048076923076</v>
      </c>
      <c r="S85" s="198">
        <v>0</v>
      </c>
      <c r="T85" s="198">
        <v>6212.194711538461</v>
      </c>
      <c r="U85" s="198">
        <v>0</v>
      </c>
      <c r="V85" s="198">
        <v>0</v>
      </c>
      <c r="W85" s="198">
        <v>0</v>
      </c>
      <c r="X85" s="198">
        <v>9801.3356481481424</v>
      </c>
      <c r="Y85" s="198">
        <v>0</v>
      </c>
      <c r="Z85" s="198">
        <v>4090.059895833333</v>
      </c>
      <c r="AA85" s="198">
        <v>0</v>
      </c>
      <c r="AB85" s="198">
        <v>0</v>
      </c>
      <c r="AC85" s="198">
        <v>0</v>
      </c>
      <c r="AD85" s="198">
        <v>0</v>
      </c>
      <c r="AE85" s="198">
        <v>0</v>
      </c>
      <c r="AF85" s="198">
        <v>0</v>
      </c>
      <c r="AG85" s="198">
        <v>0</v>
      </c>
      <c r="AH85" s="198">
        <v>26451.781250000004</v>
      </c>
      <c r="AI85" s="198">
        <v>0</v>
      </c>
      <c r="AJ85" s="198">
        <v>11796.182291666664</v>
      </c>
      <c r="AK85" s="198">
        <v>0</v>
      </c>
      <c r="AL85" s="198">
        <v>18699.653846153851</v>
      </c>
      <c r="AM85" s="198">
        <v>0</v>
      </c>
      <c r="AN85" s="198">
        <v>13299.34615384616</v>
      </c>
      <c r="AO85" s="198">
        <v>0</v>
      </c>
      <c r="AP85" s="198">
        <v>14445.963942307695</v>
      </c>
      <c r="AQ85" s="198">
        <v>0</v>
      </c>
      <c r="AR85" s="198">
        <v>4328.5300000000034</v>
      </c>
      <c r="AS85" s="198">
        <v>0</v>
      </c>
      <c r="AT85" s="198">
        <v>1284.6923076923104</v>
      </c>
      <c r="AU85" s="198">
        <v>0</v>
      </c>
      <c r="AV85" s="198">
        <v>9784.2592592592537</v>
      </c>
      <c r="AW85" s="198">
        <v>0</v>
      </c>
      <c r="AX85" s="198">
        <v>4071.5364583333321</v>
      </c>
      <c r="AY85" s="198">
        <v>0</v>
      </c>
    </row>
    <row r="86" spans="2:51">
      <c r="B86" s="196">
        <v>10258</v>
      </c>
      <c r="C86" s="196" t="s">
        <v>89</v>
      </c>
      <c r="D86" s="198">
        <v>6533.2211538461579</v>
      </c>
      <c r="E86" s="198">
        <v>0</v>
      </c>
      <c r="F86" s="198">
        <v>8170.3399999999956</v>
      </c>
      <c r="G86" s="198">
        <v>0</v>
      </c>
      <c r="H86" s="198">
        <v>7687.3675000000057</v>
      </c>
      <c r="I86" s="198">
        <v>0</v>
      </c>
      <c r="J86" s="198">
        <v>12468.737980769238</v>
      </c>
      <c r="K86" s="198">
        <v>0</v>
      </c>
      <c r="L86" s="198">
        <v>3908.8151041666633</v>
      </c>
      <c r="M86" s="198">
        <v>0</v>
      </c>
      <c r="N86" s="198">
        <v>10817.465277777779</v>
      </c>
      <c r="O86" s="198">
        <v>0</v>
      </c>
      <c r="P86" s="198">
        <v>6077.8049999999976</v>
      </c>
      <c r="Q86" s="198">
        <v>0</v>
      </c>
      <c r="R86" s="198">
        <v>4803.4663461538439</v>
      </c>
      <c r="S86" s="198">
        <v>0</v>
      </c>
      <c r="T86" s="198">
        <v>9533.5600961538494</v>
      </c>
      <c r="U86" s="198">
        <v>0</v>
      </c>
      <c r="V86" s="198">
        <v>6708.7774999999929</v>
      </c>
      <c r="W86" s="198">
        <v>0</v>
      </c>
      <c r="X86" s="198">
        <v>5797.7083333333321</v>
      </c>
      <c r="Y86" s="198">
        <v>0</v>
      </c>
      <c r="Z86" s="198">
        <v>6826.7656249999945</v>
      </c>
      <c r="AA86" s="198">
        <v>0</v>
      </c>
      <c r="AB86" s="198">
        <v>8351.1319444444416</v>
      </c>
      <c r="AC86" s="198">
        <v>0</v>
      </c>
      <c r="AD86" s="198">
        <v>8364.7175000000043</v>
      </c>
      <c r="AE86" s="198">
        <v>0</v>
      </c>
      <c r="AF86" s="198">
        <v>7859.7175000000007</v>
      </c>
      <c r="AG86" s="198">
        <v>0</v>
      </c>
      <c r="AH86" s="198">
        <v>12690.59134615384</v>
      </c>
      <c r="AI86" s="198">
        <v>0</v>
      </c>
      <c r="AJ86" s="198">
        <v>7151.3020833333276</v>
      </c>
      <c r="AK86" s="198">
        <v>0</v>
      </c>
      <c r="AL86" s="198">
        <v>9100.4759615384519</v>
      </c>
      <c r="AM86" s="198">
        <v>0</v>
      </c>
      <c r="AN86" s="198">
        <v>7996.7403846153929</v>
      </c>
      <c r="AO86" s="198">
        <v>0</v>
      </c>
      <c r="AP86" s="198">
        <v>4959.6514423076851</v>
      </c>
      <c r="AQ86" s="198">
        <v>0</v>
      </c>
      <c r="AR86" s="198">
        <v>7911.3049999999976</v>
      </c>
      <c r="AS86" s="198">
        <v>0</v>
      </c>
      <c r="AT86" s="198">
        <v>8898.8173076923013</v>
      </c>
      <c r="AU86" s="198">
        <v>0</v>
      </c>
      <c r="AV86" s="198">
        <v>5873.6689814814799</v>
      </c>
      <c r="AW86" s="198">
        <v>0</v>
      </c>
      <c r="AX86" s="198">
        <v>6935.4583333333239</v>
      </c>
      <c r="AY86" s="198">
        <v>0</v>
      </c>
    </row>
    <row r="87" spans="2:51">
      <c r="B87" s="196">
        <v>10259</v>
      </c>
      <c r="C87" s="196" t="s">
        <v>90</v>
      </c>
      <c r="D87" s="198">
        <v>3491.165865384618</v>
      </c>
      <c r="E87" s="198">
        <v>0</v>
      </c>
      <c r="F87" s="198">
        <v>6121.9399999999951</v>
      </c>
      <c r="G87" s="198">
        <v>0</v>
      </c>
      <c r="H87" s="198">
        <v>5265.2799999999952</v>
      </c>
      <c r="I87" s="198">
        <v>0</v>
      </c>
      <c r="J87" s="198">
        <v>7649.1249999999955</v>
      </c>
      <c r="K87" s="198">
        <v>0</v>
      </c>
      <c r="L87" s="198">
        <v>2981.8515624999932</v>
      </c>
      <c r="M87" s="198">
        <v>0</v>
      </c>
      <c r="N87" s="198">
        <v>6462.3750000000018</v>
      </c>
      <c r="O87" s="198">
        <v>0</v>
      </c>
      <c r="P87" s="198">
        <v>4055.0124999999975</v>
      </c>
      <c r="Q87" s="198">
        <v>0</v>
      </c>
      <c r="R87" s="198">
        <v>5868.9663461538466</v>
      </c>
      <c r="S87" s="198">
        <v>0</v>
      </c>
      <c r="T87" s="198">
        <v>6557.3365384615399</v>
      </c>
      <c r="U87" s="198">
        <v>0</v>
      </c>
      <c r="V87" s="198">
        <v>5060.9299999999976</v>
      </c>
      <c r="W87" s="198">
        <v>0</v>
      </c>
      <c r="X87" s="198">
        <v>5773.541666666667</v>
      </c>
      <c r="Y87" s="198">
        <v>0</v>
      </c>
      <c r="Z87" s="198">
        <v>6636.5703125000036</v>
      </c>
      <c r="AA87" s="198">
        <v>0</v>
      </c>
      <c r="AB87" s="198">
        <v>4486.0462962962956</v>
      </c>
      <c r="AC87" s="198">
        <v>0</v>
      </c>
      <c r="AD87" s="198">
        <v>6169.5249999999969</v>
      </c>
      <c r="AE87" s="198">
        <v>0</v>
      </c>
      <c r="AF87" s="198">
        <v>5311.177499999998</v>
      </c>
      <c r="AG87" s="198">
        <v>0</v>
      </c>
      <c r="AH87" s="198">
        <v>7701.4567307692278</v>
      </c>
      <c r="AI87" s="198">
        <v>0</v>
      </c>
      <c r="AJ87" s="198">
        <v>4569.1614583333358</v>
      </c>
      <c r="AK87" s="198">
        <v>0</v>
      </c>
      <c r="AL87" s="198">
        <v>5439.1442307692305</v>
      </c>
      <c r="AM87" s="198">
        <v>0</v>
      </c>
      <c r="AN87" s="198">
        <v>5091.2403846153829</v>
      </c>
      <c r="AO87" s="198">
        <v>0</v>
      </c>
      <c r="AP87" s="198">
        <v>5907.2403846153802</v>
      </c>
      <c r="AQ87" s="198">
        <v>0</v>
      </c>
      <c r="AR87" s="198">
        <v>5536.9000000000015</v>
      </c>
      <c r="AS87" s="198">
        <v>0</v>
      </c>
      <c r="AT87" s="198">
        <v>6294.170673076922</v>
      </c>
      <c r="AU87" s="198">
        <v>0</v>
      </c>
      <c r="AV87" s="198">
        <v>5813.0578703703723</v>
      </c>
      <c r="AW87" s="198">
        <v>0</v>
      </c>
      <c r="AX87" s="198">
        <v>6672.2421874999982</v>
      </c>
      <c r="AY87" s="198">
        <v>0</v>
      </c>
    </row>
    <row r="88" spans="2:51">
      <c r="B88" s="196">
        <v>10260</v>
      </c>
      <c r="C88" s="196" t="s">
        <v>91</v>
      </c>
      <c r="D88" s="198">
        <v>3116.4038461538494</v>
      </c>
      <c r="E88" s="198">
        <v>0</v>
      </c>
      <c r="F88" s="198">
        <v>2838.8775000000041</v>
      </c>
      <c r="G88" s="198">
        <v>0</v>
      </c>
      <c r="H88" s="198">
        <v>4859.9925000000003</v>
      </c>
      <c r="I88" s="198">
        <v>0</v>
      </c>
      <c r="J88" s="198">
        <v>4987.8750000000009</v>
      </c>
      <c r="K88" s="198">
        <v>0</v>
      </c>
      <c r="L88" s="198">
        <v>1816.3802083333333</v>
      </c>
      <c r="M88" s="198">
        <v>0</v>
      </c>
      <c r="N88" s="198">
        <v>4253.3055555555602</v>
      </c>
      <c r="O88" s="198">
        <v>0</v>
      </c>
      <c r="P88" s="198">
        <v>2730.0375000000004</v>
      </c>
      <c r="Q88" s="198">
        <v>0</v>
      </c>
      <c r="R88" s="198">
        <v>2436.6874999999991</v>
      </c>
      <c r="S88" s="198">
        <v>0</v>
      </c>
      <c r="T88" s="198">
        <v>3911.1225961538498</v>
      </c>
      <c r="U88" s="198">
        <v>0</v>
      </c>
      <c r="V88" s="198">
        <v>3931.7149999999951</v>
      </c>
      <c r="W88" s="198">
        <v>0</v>
      </c>
      <c r="X88" s="198">
        <v>4804.3611111111049</v>
      </c>
      <c r="Y88" s="198">
        <v>0</v>
      </c>
      <c r="Z88" s="198">
        <v>3558.7083333333344</v>
      </c>
      <c r="AA88" s="198">
        <v>0</v>
      </c>
      <c r="AB88" s="198">
        <v>4437.3287037037044</v>
      </c>
      <c r="AC88" s="198">
        <v>0</v>
      </c>
      <c r="AD88" s="198">
        <v>3085.355000000005</v>
      </c>
      <c r="AE88" s="198">
        <v>0</v>
      </c>
      <c r="AF88" s="198">
        <v>5049.1925000000001</v>
      </c>
      <c r="AG88" s="198">
        <v>0</v>
      </c>
      <c r="AH88" s="198">
        <v>5008.8293269230753</v>
      </c>
      <c r="AI88" s="198">
        <v>0</v>
      </c>
      <c r="AJ88" s="198">
        <v>3250.846354166667</v>
      </c>
      <c r="AK88" s="198">
        <v>0</v>
      </c>
      <c r="AL88" s="198">
        <v>3139.6706730769247</v>
      </c>
      <c r="AM88" s="198">
        <v>0</v>
      </c>
      <c r="AN88" s="198">
        <v>3831.521634615387</v>
      </c>
      <c r="AO88" s="198">
        <v>0</v>
      </c>
      <c r="AP88" s="198">
        <v>2452.0192307692328</v>
      </c>
      <c r="AQ88" s="198">
        <v>0</v>
      </c>
      <c r="AR88" s="198">
        <v>2811.9624999999974</v>
      </c>
      <c r="AS88" s="198">
        <v>0</v>
      </c>
      <c r="AT88" s="198">
        <v>5273.9951923076851</v>
      </c>
      <c r="AU88" s="198">
        <v>0</v>
      </c>
      <c r="AV88" s="198">
        <v>4831.2314814814836</v>
      </c>
      <c r="AW88" s="198">
        <v>0</v>
      </c>
      <c r="AX88" s="198">
        <v>3578.6510416666733</v>
      </c>
      <c r="AY88" s="198">
        <v>0</v>
      </c>
    </row>
    <row r="89" spans="2:51">
      <c r="B89" s="196">
        <v>10273</v>
      </c>
      <c r="C89" s="196" t="s">
        <v>92</v>
      </c>
      <c r="D89" s="198">
        <v>787.77403846153993</v>
      </c>
      <c r="E89" s="198">
        <v>0</v>
      </c>
      <c r="F89" s="198">
        <v>554.02250000000117</v>
      </c>
      <c r="G89" s="198">
        <v>0</v>
      </c>
      <c r="H89" s="198">
        <v>1973.0624999999993</v>
      </c>
      <c r="I89" s="198">
        <v>0</v>
      </c>
      <c r="J89" s="198">
        <v>839.21153846153993</v>
      </c>
      <c r="K89" s="198">
        <v>0</v>
      </c>
      <c r="L89" s="198">
        <v>872.98177083333337</v>
      </c>
      <c r="M89" s="198">
        <v>0</v>
      </c>
      <c r="N89" s="198">
        <v>631.72453703703718</v>
      </c>
      <c r="O89" s="198">
        <v>0</v>
      </c>
      <c r="P89" s="198">
        <v>264.88000000000159</v>
      </c>
      <c r="Q89" s="198">
        <v>0</v>
      </c>
      <c r="R89" s="198">
        <v>403.00000000000045</v>
      </c>
      <c r="S89" s="198">
        <v>0</v>
      </c>
      <c r="T89" s="198">
        <v>1404.8605769230783</v>
      </c>
      <c r="U89" s="198">
        <v>0</v>
      </c>
      <c r="V89" s="198">
        <v>385.28249999999906</v>
      </c>
      <c r="W89" s="198">
        <v>0</v>
      </c>
      <c r="X89" s="198">
        <v>1848.0879629629637</v>
      </c>
      <c r="Y89" s="198">
        <v>0</v>
      </c>
      <c r="Z89" s="198">
        <v>707.59375000000136</v>
      </c>
      <c r="AA89" s="198">
        <v>0</v>
      </c>
      <c r="AB89" s="198">
        <v>1100.5972222222229</v>
      </c>
      <c r="AC89" s="198">
        <v>0</v>
      </c>
      <c r="AD89" s="198">
        <v>600.43499999999915</v>
      </c>
      <c r="AE89" s="198">
        <v>0</v>
      </c>
      <c r="AF89" s="198">
        <v>2019.2949999999996</v>
      </c>
      <c r="AG89" s="198">
        <v>0</v>
      </c>
      <c r="AH89" s="198">
        <v>885.66826923076917</v>
      </c>
      <c r="AI89" s="198">
        <v>0</v>
      </c>
      <c r="AJ89" s="198">
        <v>918.76562499999977</v>
      </c>
      <c r="AK89" s="198">
        <v>0</v>
      </c>
      <c r="AL89" s="198">
        <v>501.79567307692355</v>
      </c>
      <c r="AM89" s="198">
        <v>0</v>
      </c>
      <c r="AN89" s="198">
        <v>569.90624999999989</v>
      </c>
      <c r="AO89" s="198">
        <v>0</v>
      </c>
      <c r="AP89" s="198">
        <v>449.19951923077053</v>
      </c>
      <c r="AQ89" s="198">
        <v>0</v>
      </c>
      <c r="AR89" s="198">
        <v>1037.1075000000019</v>
      </c>
      <c r="AS89" s="198">
        <v>0</v>
      </c>
      <c r="AT89" s="198">
        <v>922.72596153846132</v>
      </c>
      <c r="AU89" s="198">
        <v>0</v>
      </c>
      <c r="AV89" s="198">
        <v>1893.3842592592582</v>
      </c>
      <c r="AW89" s="198">
        <v>0</v>
      </c>
      <c r="AX89" s="198">
        <v>753.55208333333269</v>
      </c>
      <c r="AY89" s="198">
        <v>0</v>
      </c>
    </row>
    <row r="90" spans="2:51">
      <c r="B90" s="196">
        <v>10278</v>
      </c>
      <c r="C90" s="196" t="s">
        <v>93</v>
      </c>
      <c r="D90" s="198">
        <v>0</v>
      </c>
      <c r="E90" s="198">
        <v>0</v>
      </c>
      <c r="F90" s="198">
        <v>0</v>
      </c>
      <c r="G90" s="19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0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198">
        <v>0</v>
      </c>
      <c r="AG90" s="198">
        <v>0</v>
      </c>
      <c r="AH90" s="198">
        <v>0</v>
      </c>
      <c r="AI90" s="198">
        <v>0</v>
      </c>
      <c r="AJ90" s="198">
        <v>0</v>
      </c>
      <c r="AK90" s="198">
        <v>0</v>
      </c>
      <c r="AL90" s="198">
        <v>0</v>
      </c>
      <c r="AM90" s="198">
        <v>0</v>
      </c>
      <c r="AN90" s="198">
        <v>0</v>
      </c>
      <c r="AO90" s="198">
        <v>0</v>
      </c>
      <c r="AP90" s="198">
        <v>0</v>
      </c>
      <c r="AQ90" s="198">
        <v>0</v>
      </c>
      <c r="AR90" s="198">
        <v>0</v>
      </c>
      <c r="AS90" s="198">
        <v>0</v>
      </c>
      <c r="AT90" s="198">
        <v>0</v>
      </c>
      <c r="AU90" s="198">
        <v>0</v>
      </c>
      <c r="AV90" s="198">
        <v>0</v>
      </c>
      <c r="AW90" s="198">
        <v>0</v>
      </c>
      <c r="AX90" s="198">
        <v>0</v>
      </c>
      <c r="AY90" s="198">
        <v>0</v>
      </c>
    </row>
    <row r="91" spans="2:51">
      <c r="B91" s="196">
        <v>10279</v>
      </c>
      <c r="C91" s="196" t="s">
        <v>94</v>
      </c>
      <c r="D91" s="198">
        <v>0</v>
      </c>
      <c r="E91" s="198">
        <v>0</v>
      </c>
      <c r="F91" s="198">
        <v>0</v>
      </c>
      <c r="G91" s="198">
        <v>0</v>
      </c>
      <c r="H91" s="198">
        <v>0</v>
      </c>
      <c r="I91" s="198">
        <v>0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0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0</v>
      </c>
      <c r="AE91" s="198">
        <v>0</v>
      </c>
      <c r="AF91" s="198">
        <v>0</v>
      </c>
      <c r="AG91" s="198">
        <v>0</v>
      </c>
      <c r="AH91" s="198">
        <v>0</v>
      </c>
      <c r="AI91" s="198">
        <v>0</v>
      </c>
      <c r="AJ91" s="198">
        <v>0</v>
      </c>
      <c r="AK91" s="198">
        <v>0</v>
      </c>
      <c r="AL91" s="198">
        <v>0</v>
      </c>
      <c r="AM91" s="198">
        <v>0</v>
      </c>
      <c r="AN91" s="198">
        <v>0</v>
      </c>
      <c r="AO91" s="198">
        <v>0</v>
      </c>
      <c r="AP91" s="198">
        <v>0</v>
      </c>
      <c r="AQ91" s="198">
        <v>0</v>
      </c>
      <c r="AR91" s="198">
        <v>0</v>
      </c>
      <c r="AS91" s="198">
        <v>0</v>
      </c>
      <c r="AT91" s="198">
        <v>0</v>
      </c>
      <c r="AU91" s="198">
        <v>0</v>
      </c>
      <c r="AV91" s="198">
        <v>0</v>
      </c>
      <c r="AW91" s="198">
        <v>0</v>
      </c>
      <c r="AX91" s="198">
        <v>0</v>
      </c>
      <c r="AY91" s="198">
        <v>0</v>
      </c>
    </row>
    <row r="92" spans="2:51">
      <c r="B92" s="196">
        <v>10284</v>
      </c>
      <c r="C92" s="196" t="s">
        <v>95</v>
      </c>
      <c r="D92" s="198">
        <v>878.01442307692218</v>
      </c>
      <c r="E92" s="198">
        <v>0</v>
      </c>
      <c r="F92" s="198">
        <v>610.3599999999991</v>
      </c>
      <c r="G92" s="198">
        <v>0</v>
      </c>
      <c r="H92" s="198">
        <v>4013.7750000000001</v>
      </c>
      <c r="I92" s="198">
        <v>0</v>
      </c>
      <c r="J92" s="198">
        <v>2838.3197115384623</v>
      </c>
      <c r="K92" s="198">
        <v>0</v>
      </c>
      <c r="L92" s="198">
        <v>1560.1692708333328</v>
      </c>
      <c r="M92" s="198">
        <v>0</v>
      </c>
      <c r="N92" s="198">
        <v>2933.4490740740725</v>
      </c>
      <c r="O92" s="198">
        <v>0</v>
      </c>
      <c r="P92" s="198">
        <v>2337.5600000000009</v>
      </c>
      <c r="Q92" s="198">
        <v>0</v>
      </c>
      <c r="R92" s="198">
        <v>0</v>
      </c>
      <c r="S92" s="198">
        <v>0</v>
      </c>
      <c r="T92" s="198">
        <v>0</v>
      </c>
      <c r="U92" s="198">
        <v>0</v>
      </c>
      <c r="V92" s="198">
        <v>862.69499999999994</v>
      </c>
      <c r="W92" s="198">
        <v>0</v>
      </c>
      <c r="X92" s="198">
        <v>1264.8587962962963</v>
      </c>
      <c r="Y92" s="198">
        <v>0</v>
      </c>
      <c r="Z92" s="198">
        <v>0</v>
      </c>
      <c r="AA92" s="198">
        <v>0</v>
      </c>
      <c r="AB92" s="198">
        <v>898.95601851851745</v>
      </c>
      <c r="AC92" s="198">
        <v>0</v>
      </c>
      <c r="AD92" s="198">
        <v>624.98000000000161</v>
      </c>
      <c r="AE92" s="198">
        <v>0</v>
      </c>
      <c r="AF92" s="198">
        <v>4033.2799999999988</v>
      </c>
      <c r="AG92" s="198">
        <v>0</v>
      </c>
      <c r="AH92" s="198">
        <v>2856.1370192307686</v>
      </c>
      <c r="AI92" s="198">
        <v>0</v>
      </c>
      <c r="AJ92" s="198">
        <v>1577.4114583333337</v>
      </c>
      <c r="AK92" s="198">
        <v>0</v>
      </c>
      <c r="AL92" s="198">
        <v>2952.1177884615372</v>
      </c>
      <c r="AM92" s="198">
        <v>0</v>
      </c>
      <c r="AN92" s="198">
        <v>2352.1466346153829</v>
      </c>
      <c r="AO92" s="198">
        <v>0</v>
      </c>
      <c r="AP92" s="198">
        <v>0</v>
      </c>
      <c r="AQ92" s="198">
        <v>0</v>
      </c>
      <c r="AR92" s="198">
        <v>0</v>
      </c>
      <c r="AS92" s="198">
        <v>0</v>
      </c>
      <c r="AT92" s="198">
        <v>878.61298076923106</v>
      </c>
      <c r="AU92" s="198">
        <v>0</v>
      </c>
      <c r="AV92" s="198">
        <v>1270.3749999999991</v>
      </c>
      <c r="AW92" s="198">
        <v>0</v>
      </c>
      <c r="AX92" s="198">
        <v>0</v>
      </c>
      <c r="AY92" s="198">
        <v>0</v>
      </c>
    </row>
    <row r="93" spans="2:51">
      <c r="B93" s="196">
        <v>10285</v>
      </c>
      <c r="C93" s="196" t="s">
        <v>96</v>
      </c>
      <c r="D93" s="198">
        <v>0</v>
      </c>
      <c r="E93" s="198">
        <v>0</v>
      </c>
      <c r="F93" s="198">
        <v>0</v>
      </c>
      <c r="G93" s="198">
        <v>0</v>
      </c>
      <c r="H93" s="198">
        <v>0</v>
      </c>
      <c r="I93" s="198">
        <v>0</v>
      </c>
      <c r="J93" s="198">
        <v>0</v>
      </c>
      <c r="K93" s="198">
        <v>0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0</v>
      </c>
      <c r="W93" s="198">
        <v>0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0</v>
      </c>
      <c r="AF93" s="198">
        <v>0</v>
      </c>
      <c r="AG93" s="198">
        <v>0</v>
      </c>
      <c r="AH93" s="198">
        <v>0</v>
      </c>
      <c r="AI93" s="198">
        <v>0</v>
      </c>
      <c r="AJ93" s="198">
        <v>0</v>
      </c>
      <c r="AK93" s="198">
        <v>0</v>
      </c>
      <c r="AL93" s="198">
        <v>0</v>
      </c>
      <c r="AM93" s="198">
        <v>0</v>
      </c>
      <c r="AN93" s="198">
        <v>0</v>
      </c>
      <c r="AO93" s="198">
        <v>0</v>
      </c>
      <c r="AP93" s="198">
        <v>0</v>
      </c>
      <c r="AQ93" s="198">
        <v>0</v>
      </c>
      <c r="AR93" s="198">
        <v>0</v>
      </c>
      <c r="AS93" s="198">
        <v>0</v>
      </c>
      <c r="AT93" s="198">
        <v>0</v>
      </c>
      <c r="AU93" s="198">
        <v>0</v>
      </c>
      <c r="AV93" s="198">
        <v>0</v>
      </c>
      <c r="AW93" s="198">
        <v>0</v>
      </c>
      <c r="AX93" s="198">
        <v>0</v>
      </c>
      <c r="AY93" s="198">
        <v>0</v>
      </c>
    </row>
    <row r="94" spans="2:51">
      <c r="B94" s="196">
        <v>10286</v>
      </c>
      <c r="C94" s="196" t="s">
        <v>97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  <c r="Y94" s="198">
        <v>0</v>
      </c>
      <c r="Z94" s="198">
        <v>0</v>
      </c>
      <c r="AA94" s="198">
        <v>0</v>
      </c>
      <c r="AB94" s="198">
        <v>0</v>
      </c>
      <c r="AC94" s="198">
        <v>0</v>
      </c>
      <c r="AD94" s="198">
        <v>0</v>
      </c>
      <c r="AE94" s="198">
        <v>0</v>
      </c>
      <c r="AF94" s="198">
        <v>0</v>
      </c>
      <c r="AG94" s="198">
        <v>0</v>
      </c>
      <c r="AH94" s="198">
        <v>0</v>
      </c>
      <c r="AI94" s="198">
        <v>0</v>
      </c>
      <c r="AJ94" s="198">
        <v>0</v>
      </c>
      <c r="AK94" s="198">
        <v>0</v>
      </c>
      <c r="AL94" s="198">
        <v>0</v>
      </c>
      <c r="AM94" s="198">
        <v>0</v>
      </c>
      <c r="AN94" s="198">
        <v>0</v>
      </c>
      <c r="AO94" s="198">
        <v>0</v>
      </c>
      <c r="AP94" s="198">
        <v>0</v>
      </c>
      <c r="AQ94" s="198">
        <v>0</v>
      </c>
      <c r="AR94" s="198">
        <v>0</v>
      </c>
      <c r="AS94" s="198">
        <v>0</v>
      </c>
      <c r="AT94" s="198">
        <v>0</v>
      </c>
      <c r="AU94" s="198">
        <v>0</v>
      </c>
      <c r="AV94" s="198">
        <v>0</v>
      </c>
      <c r="AW94" s="198">
        <v>0</v>
      </c>
      <c r="AX94" s="198">
        <v>0</v>
      </c>
      <c r="AY94" s="198">
        <v>0</v>
      </c>
    </row>
    <row r="95" spans="2:51">
      <c r="B95" s="196">
        <v>10288</v>
      </c>
      <c r="C95" s="196" t="s">
        <v>98</v>
      </c>
      <c r="D95" s="198">
        <v>0</v>
      </c>
      <c r="E95" s="198">
        <v>0</v>
      </c>
      <c r="F95" s="198">
        <v>0</v>
      </c>
      <c r="G95" s="198">
        <v>0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T95" s="198">
        <v>0</v>
      </c>
      <c r="U95" s="198">
        <v>0</v>
      </c>
      <c r="V95" s="198">
        <v>0</v>
      </c>
      <c r="W95" s="198">
        <v>0</v>
      </c>
      <c r="X95" s="198">
        <v>0</v>
      </c>
      <c r="Y95" s="198">
        <v>0</v>
      </c>
      <c r="Z95" s="198">
        <v>0</v>
      </c>
      <c r="AA95" s="198">
        <v>0</v>
      </c>
      <c r="AB95" s="198">
        <v>0</v>
      </c>
      <c r="AC95" s="198">
        <v>0</v>
      </c>
      <c r="AD95" s="198">
        <v>0</v>
      </c>
      <c r="AE95" s="198">
        <v>0</v>
      </c>
      <c r="AF95" s="198">
        <v>0</v>
      </c>
      <c r="AG95" s="198">
        <v>0</v>
      </c>
      <c r="AH95" s="198">
        <v>0</v>
      </c>
      <c r="AI95" s="198">
        <v>0</v>
      </c>
      <c r="AJ95" s="198">
        <v>0</v>
      </c>
      <c r="AK95" s="198">
        <v>0</v>
      </c>
      <c r="AL95" s="198">
        <v>0</v>
      </c>
      <c r="AM95" s="198">
        <v>0</v>
      </c>
      <c r="AN95" s="198">
        <v>0</v>
      </c>
      <c r="AO95" s="198">
        <v>0</v>
      </c>
      <c r="AP95" s="198">
        <v>0</v>
      </c>
      <c r="AQ95" s="198">
        <v>0</v>
      </c>
      <c r="AR95" s="198">
        <v>0</v>
      </c>
      <c r="AS95" s="198">
        <v>0</v>
      </c>
      <c r="AT95" s="198">
        <v>0</v>
      </c>
      <c r="AU95" s="198">
        <v>0</v>
      </c>
      <c r="AV95" s="198">
        <v>0</v>
      </c>
      <c r="AW95" s="198">
        <v>0</v>
      </c>
      <c r="AX95" s="198">
        <v>0</v>
      </c>
      <c r="AY95" s="198">
        <v>0</v>
      </c>
    </row>
    <row r="96" spans="2:51">
      <c r="B96" s="196">
        <v>10291</v>
      </c>
      <c r="C96" s="196" t="s">
        <v>99</v>
      </c>
      <c r="D96" s="198">
        <v>9426.6971153846061</v>
      </c>
      <c r="E96" s="198">
        <v>0</v>
      </c>
      <c r="F96" s="198">
        <v>7803.6550000000061</v>
      </c>
      <c r="G96" s="198">
        <v>0</v>
      </c>
      <c r="H96" s="198">
        <v>16362.647499999994</v>
      </c>
      <c r="I96" s="198">
        <v>0</v>
      </c>
      <c r="J96" s="198">
        <v>15538.098557692319</v>
      </c>
      <c r="K96" s="198">
        <v>0</v>
      </c>
      <c r="L96" s="198">
        <v>11876.494791666666</v>
      </c>
      <c r="M96" s="198">
        <v>0</v>
      </c>
      <c r="N96" s="198">
        <v>13266.497685185186</v>
      </c>
      <c r="O96" s="198">
        <v>0</v>
      </c>
      <c r="P96" s="198">
        <v>12295.212499999994</v>
      </c>
      <c r="Q96" s="198">
        <v>0</v>
      </c>
      <c r="R96" s="198">
        <v>10219.360576923078</v>
      </c>
      <c r="S96" s="198">
        <v>0</v>
      </c>
      <c r="T96" s="198">
        <v>12095.394230769229</v>
      </c>
      <c r="U96" s="198">
        <v>0</v>
      </c>
      <c r="V96" s="198">
        <v>12069.097499999989</v>
      </c>
      <c r="W96" s="198">
        <v>0</v>
      </c>
      <c r="X96" s="198">
        <v>15406.817129629631</v>
      </c>
      <c r="Y96" s="198">
        <v>0</v>
      </c>
      <c r="Z96" s="198">
        <v>10048.955729166657</v>
      </c>
      <c r="AA96" s="198">
        <v>0</v>
      </c>
      <c r="AB96" s="198">
        <v>9620.6273148148193</v>
      </c>
      <c r="AC96" s="198">
        <v>0</v>
      </c>
      <c r="AD96" s="198">
        <v>7800.0224999999973</v>
      </c>
      <c r="AE96" s="198">
        <v>0</v>
      </c>
      <c r="AF96" s="198">
        <v>16362.442500000014</v>
      </c>
      <c r="AG96" s="198">
        <v>0</v>
      </c>
      <c r="AH96" s="198">
        <v>15532.295673076942</v>
      </c>
      <c r="AI96" s="198">
        <v>0</v>
      </c>
      <c r="AJ96" s="198">
        <v>11880.372395833327</v>
      </c>
      <c r="AK96" s="198">
        <v>0</v>
      </c>
      <c r="AL96" s="198">
        <v>13100.798076923083</v>
      </c>
      <c r="AM96" s="198">
        <v>0</v>
      </c>
      <c r="AN96" s="198">
        <v>12573.788461538459</v>
      </c>
      <c r="AO96" s="198">
        <v>0</v>
      </c>
      <c r="AP96" s="198">
        <v>10218.269230769221</v>
      </c>
      <c r="AQ96" s="198">
        <v>0</v>
      </c>
      <c r="AR96" s="198">
        <v>12044.007500000005</v>
      </c>
      <c r="AS96" s="198">
        <v>0</v>
      </c>
      <c r="AT96" s="198">
        <v>12386.408653846165</v>
      </c>
      <c r="AU96" s="198">
        <v>0</v>
      </c>
      <c r="AV96" s="198">
        <v>15476.486111111117</v>
      </c>
      <c r="AW96" s="198">
        <v>0</v>
      </c>
      <c r="AX96" s="198">
        <v>10240.020833333339</v>
      </c>
      <c r="AY96" s="198">
        <v>0</v>
      </c>
    </row>
    <row r="97" spans="2:51">
      <c r="B97" s="196">
        <v>10294</v>
      </c>
      <c r="C97" s="196" t="s">
        <v>100</v>
      </c>
      <c r="D97" s="198">
        <v>0</v>
      </c>
      <c r="E97" s="198">
        <v>0</v>
      </c>
      <c r="F97" s="198">
        <v>0</v>
      </c>
      <c r="G97" s="198">
        <v>0</v>
      </c>
      <c r="H97" s="198">
        <v>0</v>
      </c>
      <c r="I97" s="198">
        <v>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0</v>
      </c>
      <c r="Q97" s="198">
        <v>0</v>
      </c>
      <c r="R97" s="198">
        <v>0</v>
      </c>
      <c r="S97" s="198">
        <v>0</v>
      </c>
      <c r="T97" s="198">
        <v>0</v>
      </c>
      <c r="U97" s="198">
        <v>0</v>
      </c>
      <c r="V97" s="198">
        <v>0</v>
      </c>
      <c r="W97" s="198">
        <v>0</v>
      </c>
      <c r="X97" s="198">
        <v>0</v>
      </c>
      <c r="Y97" s="198">
        <v>0</v>
      </c>
      <c r="Z97" s="198">
        <v>0</v>
      </c>
      <c r="AA97" s="198">
        <v>0</v>
      </c>
      <c r="AB97" s="198">
        <v>0</v>
      </c>
      <c r="AC97" s="198">
        <v>0</v>
      </c>
      <c r="AD97" s="198">
        <v>0</v>
      </c>
      <c r="AE97" s="198">
        <v>0</v>
      </c>
      <c r="AF97" s="198">
        <v>0</v>
      </c>
      <c r="AG97" s="198">
        <v>0</v>
      </c>
      <c r="AH97" s="198">
        <v>0</v>
      </c>
      <c r="AI97" s="198">
        <v>0</v>
      </c>
      <c r="AJ97" s="198">
        <v>0</v>
      </c>
      <c r="AK97" s="198">
        <v>0</v>
      </c>
      <c r="AL97" s="198">
        <v>0</v>
      </c>
      <c r="AM97" s="198">
        <v>0</v>
      </c>
      <c r="AN97" s="198">
        <v>0</v>
      </c>
      <c r="AO97" s="198">
        <v>0</v>
      </c>
      <c r="AP97" s="198">
        <v>0</v>
      </c>
      <c r="AQ97" s="198">
        <v>0</v>
      </c>
      <c r="AR97" s="198">
        <v>0</v>
      </c>
      <c r="AS97" s="198">
        <v>0</v>
      </c>
      <c r="AT97" s="198">
        <v>0</v>
      </c>
      <c r="AU97" s="198">
        <v>0</v>
      </c>
      <c r="AV97" s="198">
        <v>0</v>
      </c>
      <c r="AW97" s="198">
        <v>0</v>
      </c>
      <c r="AX97" s="198">
        <v>0</v>
      </c>
      <c r="AY97" s="198">
        <v>0</v>
      </c>
    </row>
    <row r="98" spans="2:51">
      <c r="B98" s="196">
        <v>10304</v>
      </c>
      <c r="C98" s="196" t="s">
        <v>101</v>
      </c>
      <c r="D98" s="198">
        <v>0</v>
      </c>
      <c r="E98" s="198">
        <v>0</v>
      </c>
      <c r="F98" s="198">
        <v>728.10249999999769</v>
      </c>
      <c r="G98" s="198">
        <v>0</v>
      </c>
      <c r="H98" s="198">
        <v>4485.7849999999999</v>
      </c>
      <c r="I98" s="198">
        <v>0</v>
      </c>
      <c r="J98" s="198">
        <v>4984.1850961538476</v>
      </c>
      <c r="K98" s="198">
        <v>0</v>
      </c>
      <c r="L98" s="198">
        <v>2711.0338541666652</v>
      </c>
      <c r="M98" s="198">
        <v>0</v>
      </c>
      <c r="N98" s="198">
        <v>1693.7199074074094</v>
      </c>
      <c r="O98" s="198">
        <v>0</v>
      </c>
      <c r="P98" s="198">
        <v>0</v>
      </c>
      <c r="Q98" s="198">
        <v>0</v>
      </c>
      <c r="R98" s="198">
        <v>798.24999999999818</v>
      </c>
      <c r="S98" s="198">
        <v>0</v>
      </c>
      <c r="T98" s="198">
        <v>1933.5697115384612</v>
      </c>
      <c r="U98" s="198">
        <v>0</v>
      </c>
      <c r="V98" s="198">
        <v>1376.5975000000001</v>
      </c>
      <c r="W98" s="198">
        <v>0</v>
      </c>
      <c r="X98" s="198">
        <v>2293.0810185185182</v>
      </c>
      <c r="Y98" s="198">
        <v>0</v>
      </c>
      <c r="Z98" s="198">
        <v>1575.5234375000005</v>
      </c>
      <c r="AA98" s="198">
        <v>0</v>
      </c>
      <c r="AB98" s="198">
        <v>49.030092592592837</v>
      </c>
      <c r="AC98" s="198">
        <v>0</v>
      </c>
      <c r="AD98" s="198">
        <v>808.78000000000134</v>
      </c>
      <c r="AE98" s="198">
        <v>0</v>
      </c>
      <c r="AF98" s="198">
        <v>4568.1750000000002</v>
      </c>
      <c r="AG98" s="198">
        <v>0</v>
      </c>
      <c r="AH98" s="198">
        <v>5069.5384615384601</v>
      </c>
      <c r="AI98" s="198">
        <v>0</v>
      </c>
      <c r="AJ98" s="198">
        <v>2788.9453125000009</v>
      </c>
      <c r="AK98" s="198">
        <v>0</v>
      </c>
      <c r="AL98" s="198">
        <v>1167.3653846153834</v>
      </c>
      <c r="AM98" s="198">
        <v>0</v>
      </c>
      <c r="AN98" s="198">
        <v>574.694711538462</v>
      </c>
      <c r="AO98" s="198">
        <v>0</v>
      </c>
      <c r="AP98" s="198">
        <v>870.06490384615495</v>
      </c>
      <c r="AQ98" s="198">
        <v>0</v>
      </c>
      <c r="AR98" s="198">
        <v>1569.7125000000003</v>
      </c>
      <c r="AS98" s="198">
        <v>0</v>
      </c>
      <c r="AT98" s="198">
        <v>1884.8100961538451</v>
      </c>
      <c r="AU98" s="198">
        <v>0</v>
      </c>
      <c r="AV98" s="198">
        <v>2374.1759259259279</v>
      </c>
      <c r="AW98" s="198">
        <v>0</v>
      </c>
      <c r="AX98" s="198">
        <v>1652.0885416666656</v>
      </c>
      <c r="AY98" s="198">
        <v>0</v>
      </c>
    </row>
    <row r="99" spans="2:51">
      <c r="B99" s="196">
        <v>10306</v>
      </c>
      <c r="C99" s="196" t="s">
        <v>102</v>
      </c>
      <c r="D99" s="198">
        <v>0</v>
      </c>
      <c r="E99" s="198">
        <v>0</v>
      </c>
      <c r="F99" s="198">
        <v>0</v>
      </c>
      <c r="G99" s="198">
        <v>0</v>
      </c>
      <c r="H99" s="198">
        <v>0</v>
      </c>
      <c r="I99" s="198">
        <v>0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0</v>
      </c>
      <c r="Q99" s="198">
        <v>0</v>
      </c>
      <c r="R99" s="198">
        <v>0</v>
      </c>
      <c r="S99" s="198">
        <v>0</v>
      </c>
      <c r="T99" s="198">
        <v>0</v>
      </c>
      <c r="U99" s="198">
        <v>0</v>
      </c>
      <c r="V99" s="198">
        <v>0</v>
      </c>
      <c r="W99" s="198">
        <v>0</v>
      </c>
      <c r="X99" s="198">
        <v>0</v>
      </c>
      <c r="Y99" s="198">
        <v>0</v>
      </c>
      <c r="Z99" s="198">
        <v>0</v>
      </c>
      <c r="AA99" s="198">
        <v>0</v>
      </c>
      <c r="AB99" s="198">
        <v>0</v>
      </c>
      <c r="AC99" s="198">
        <v>0</v>
      </c>
      <c r="AD99" s="198">
        <v>0</v>
      </c>
      <c r="AE99" s="198">
        <v>0</v>
      </c>
      <c r="AF99" s="198">
        <v>0</v>
      </c>
      <c r="AG99" s="198">
        <v>0</v>
      </c>
      <c r="AH99" s="198">
        <v>0</v>
      </c>
      <c r="AI99" s="198">
        <v>0</v>
      </c>
      <c r="AJ99" s="198">
        <v>0</v>
      </c>
      <c r="AK99" s="198">
        <v>0</v>
      </c>
      <c r="AL99" s="198">
        <v>0</v>
      </c>
      <c r="AM99" s="198">
        <v>0</v>
      </c>
      <c r="AN99" s="198">
        <v>0</v>
      </c>
      <c r="AO99" s="198">
        <v>0</v>
      </c>
      <c r="AP99" s="198">
        <v>0</v>
      </c>
      <c r="AQ99" s="198">
        <v>0</v>
      </c>
      <c r="AR99" s="198">
        <v>0</v>
      </c>
      <c r="AS99" s="198">
        <v>0</v>
      </c>
      <c r="AT99" s="198">
        <v>0</v>
      </c>
      <c r="AU99" s="198">
        <v>0</v>
      </c>
      <c r="AV99" s="198">
        <v>0</v>
      </c>
      <c r="AW99" s="198">
        <v>0</v>
      </c>
      <c r="AX99" s="198">
        <v>0</v>
      </c>
      <c r="AY99" s="198">
        <v>0</v>
      </c>
    </row>
    <row r="100" spans="2:51">
      <c r="B100" s="196">
        <v>10307</v>
      </c>
      <c r="C100" s="196" t="s">
        <v>103</v>
      </c>
      <c r="D100" s="198">
        <v>10106.860576923073</v>
      </c>
      <c r="E100" s="198">
        <v>0</v>
      </c>
      <c r="F100" s="198">
        <v>1136.6800000000055</v>
      </c>
      <c r="G100" s="198">
        <v>0</v>
      </c>
      <c r="H100" s="198">
        <v>31496.847499999996</v>
      </c>
      <c r="I100" s="198">
        <v>0</v>
      </c>
      <c r="J100" s="198">
        <v>27932.728365384628</v>
      </c>
      <c r="K100" s="198">
        <v>0</v>
      </c>
      <c r="L100" s="198">
        <v>12783.473958333336</v>
      </c>
      <c r="M100" s="198">
        <v>0</v>
      </c>
      <c r="N100" s="198">
        <v>18250.916666666672</v>
      </c>
      <c r="O100" s="198">
        <v>0</v>
      </c>
      <c r="P100" s="198">
        <v>7778.7475000000086</v>
      </c>
      <c r="Q100" s="198">
        <v>0</v>
      </c>
      <c r="R100" s="198">
        <v>4986.7740384615363</v>
      </c>
      <c r="S100" s="198">
        <v>0</v>
      </c>
      <c r="T100" s="198">
        <v>12311.980769230779</v>
      </c>
      <c r="U100" s="198">
        <v>0</v>
      </c>
      <c r="V100" s="198">
        <v>13068.317499999996</v>
      </c>
      <c r="W100" s="198">
        <v>0</v>
      </c>
      <c r="X100" s="198">
        <v>15070.951388888894</v>
      </c>
      <c r="Y100" s="198">
        <v>0</v>
      </c>
      <c r="Z100" s="198">
        <v>9785.9114583333321</v>
      </c>
      <c r="AA100" s="198">
        <v>0</v>
      </c>
      <c r="AB100" s="198">
        <v>11315.949074074073</v>
      </c>
      <c r="AC100" s="198">
        <v>0</v>
      </c>
      <c r="AD100" s="198">
        <v>2241.179999999993</v>
      </c>
      <c r="AE100" s="198">
        <v>0</v>
      </c>
      <c r="AF100" s="198">
        <v>32660.432499999999</v>
      </c>
      <c r="AG100" s="198">
        <v>0</v>
      </c>
      <c r="AH100" s="198">
        <v>29094.031250000007</v>
      </c>
      <c r="AI100" s="198">
        <v>0</v>
      </c>
      <c r="AJ100" s="198">
        <v>13871.950520833341</v>
      </c>
      <c r="AK100" s="198">
        <v>0</v>
      </c>
      <c r="AL100" s="198">
        <v>19294.641826923074</v>
      </c>
      <c r="AM100" s="198">
        <v>0</v>
      </c>
      <c r="AN100" s="198">
        <v>8863.7259615384628</v>
      </c>
      <c r="AO100" s="198">
        <v>0</v>
      </c>
      <c r="AP100" s="198">
        <v>6127.9302884615454</v>
      </c>
      <c r="AQ100" s="198">
        <v>0</v>
      </c>
      <c r="AR100" s="198">
        <v>13380.190000000006</v>
      </c>
      <c r="AS100" s="198">
        <v>0</v>
      </c>
      <c r="AT100" s="198">
        <v>14267.89423076924</v>
      </c>
      <c r="AU100" s="198">
        <v>0</v>
      </c>
      <c r="AV100" s="198">
        <v>16201.486111111109</v>
      </c>
      <c r="AW100" s="198">
        <v>0</v>
      </c>
      <c r="AX100" s="198">
        <v>10909.692708333327</v>
      </c>
      <c r="AY100" s="198">
        <v>0</v>
      </c>
    </row>
    <row r="101" spans="2:51">
      <c r="B101" s="196">
        <v>10326</v>
      </c>
      <c r="C101" s="196" t="s">
        <v>104</v>
      </c>
      <c r="D101" s="198">
        <v>0</v>
      </c>
      <c r="E101" s="198">
        <v>0</v>
      </c>
      <c r="F101" s="198">
        <v>0</v>
      </c>
      <c r="G101" s="198">
        <v>0</v>
      </c>
      <c r="H101" s="198">
        <v>6116.1524999999983</v>
      </c>
      <c r="I101" s="198">
        <v>0</v>
      </c>
      <c r="J101" s="198">
        <v>1130.7187499999998</v>
      </c>
      <c r="K101" s="198">
        <v>0</v>
      </c>
      <c r="L101" s="198">
        <v>3214.2708333333312</v>
      </c>
      <c r="M101" s="198">
        <v>0</v>
      </c>
      <c r="N101" s="198">
        <v>4667.1620370370338</v>
      </c>
      <c r="O101" s="198">
        <v>0</v>
      </c>
      <c r="P101" s="198">
        <v>257.2449999999975</v>
      </c>
      <c r="Q101" s="198">
        <v>0</v>
      </c>
      <c r="R101" s="198">
        <v>186.40384615384596</v>
      </c>
      <c r="S101" s="198">
        <v>0</v>
      </c>
      <c r="T101" s="198">
        <v>5184.0865384615408</v>
      </c>
      <c r="U101" s="198">
        <v>0</v>
      </c>
      <c r="V101" s="198">
        <v>1965.4524999999978</v>
      </c>
      <c r="W101" s="198">
        <v>0</v>
      </c>
      <c r="X101" s="198">
        <v>1619.2615740740735</v>
      </c>
      <c r="Y101" s="198">
        <v>0</v>
      </c>
      <c r="Z101" s="198">
        <v>1519.6979166666677</v>
      </c>
      <c r="AA101" s="198">
        <v>0</v>
      </c>
      <c r="AB101" s="198">
        <v>0</v>
      </c>
      <c r="AC101" s="198">
        <v>0</v>
      </c>
      <c r="AD101" s="198">
        <v>0</v>
      </c>
      <c r="AE101" s="198">
        <v>0</v>
      </c>
      <c r="AF101" s="198">
        <v>6116.8824999999952</v>
      </c>
      <c r="AG101" s="198">
        <v>0</v>
      </c>
      <c r="AH101" s="198">
        <v>1136.9903846153804</v>
      </c>
      <c r="AI101" s="198">
        <v>0</v>
      </c>
      <c r="AJ101" s="198">
        <v>3216.2187500000005</v>
      </c>
      <c r="AK101" s="198">
        <v>0</v>
      </c>
      <c r="AL101" s="198">
        <v>4558.8509615384573</v>
      </c>
      <c r="AM101" s="198">
        <v>0</v>
      </c>
      <c r="AN101" s="198">
        <v>366.34855769230865</v>
      </c>
      <c r="AO101" s="198">
        <v>0</v>
      </c>
      <c r="AP101" s="198">
        <v>191.02163461538345</v>
      </c>
      <c r="AQ101" s="198">
        <v>0</v>
      </c>
      <c r="AR101" s="198">
        <v>5069.9800000000032</v>
      </c>
      <c r="AS101" s="198">
        <v>0</v>
      </c>
      <c r="AT101" s="198">
        <v>2098.403846153843</v>
      </c>
      <c r="AU101" s="198">
        <v>0</v>
      </c>
      <c r="AV101" s="198">
        <v>1619.4953703703695</v>
      </c>
      <c r="AW101" s="198">
        <v>0</v>
      </c>
      <c r="AX101" s="198">
        <v>1518.8854166666656</v>
      </c>
      <c r="AY101" s="198">
        <v>0</v>
      </c>
    </row>
    <row r="102" spans="2:51">
      <c r="B102" s="196">
        <v>10331</v>
      </c>
      <c r="C102" s="196" t="s">
        <v>105</v>
      </c>
      <c r="D102" s="198">
        <v>0</v>
      </c>
      <c r="E102" s="198">
        <v>0</v>
      </c>
      <c r="F102" s="198">
        <v>0</v>
      </c>
      <c r="G102" s="198">
        <v>0</v>
      </c>
      <c r="H102" s="198">
        <v>0</v>
      </c>
      <c r="I102" s="198">
        <v>0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0</v>
      </c>
      <c r="Q102" s="198">
        <v>0</v>
      </c>
      <c r="R102" s="198">
        <v>0</v>
      </c>
      <c r="S102" s="198">
        <v>0</v>
      </c>
      <c r="T102" s="198">
        <v>0</v>
      </c>
      <c r="U102" s="198">
        <v>0</v>
      </c>
      <c r="V102" s="198">
        <v>0</v>
      </c>
      <c r="W102" s="198">
        <v>0</v>
      </c>
      <c r="X102" s="198">
        <v>0</v>
      </c>
      <c r="Y102" s="198">
        <v>0</v>
      </c>
      <c r="Z102" s="198">
        <v>0</v>
      </c>
      <c r="AA102" s="198">
        <v>0</v>
      </c>
      <c r="AB102" s="198">
        <v>0</v>
      </c>
      <c r="AC102" s="198">
        <v>0</v>
      </c>
      <c r="AD102" s="198">
        <v>0</v>
      </c>
      <c r="AE102" s="198">
        <v>0</v>
      </c>
      <c r="AF102" s="198">
        <v>0</v>
      </c>
      <c r="AG102" s="198">
        <v>0</v>
      </c>
      <c r="AH102" s="198">
        <v>0</v>
      </c>
      <c r="AI102" s="198">
        <v>0</v>
      </c>
      <c r="AJ102" s="198">
        <v>0</v>
      </c>
      <c r="AK102" s="198">
        <v>0</v>
      </c>
      <c r="AL102" s="198">
        <v>0</v>
      </c>
      <c r="AM102" s="198">
        <v>0</v>
      </c>
      <c r="AN102" s="198">
        <v>0</v>
      </c>
      <c r="AO102" s="198">
        <v>0</v>
      </c>
      <c r="AP102" s="198">
        <v>0</v>
      </c>
      <c r="AQ102" s="198">
        <v>0</v>
      </c>
      <c r="AR102" s="198">
        <v>0</v>
      </c>
      <c r="AS102" s="198">
        <v>0</v>
      </c>
      <c r="AT102" s="198">
        <v>0</v>
      </c>
      <c r="AU102" s="198">
        <v>0</v>
      </c>
      <c r="AV102" s="198">
        <v>0</v>
      </c>
      <c r="AW102" s="198">
        <v>0</v>
      </c>
      <c r="AX102" s="198">
        <v>0</v>
      </c>
      <c r="AY102" s="198">
        <v>0</v>
      </c>
    </row>
    <row r="103" spans="2:51">
      <c r="B103" s="196">
        <v>10333</v>
      </c>
      <c r="C103" s="196" t="s">
        <v>106</v>
      </c>
      <c r="D103" s="198">
        <v>1122.7043269230794</v>
      </c>
      <c r="E103" s="198">
        <v>0</v>
      </c>
      <c r="F103" s="198">
        <v>3644.3500000000035</v>
      </c>
      <c r="G103" s="198">
        <v>0</v>
      </c>
      <c r="H103" s="198">
        <v>3792.702499999999</v>
      </c>
      <c r="I103" s="198">
        <v>0</v>
      </c>
      <c r="J103" s="198">
        <v>4240.608173076921</v>
      </c>
      <c r="K103" s="198">
        <v>0</v>
      </c>
      <c r="L103" s="198">
        <v>982.83333333333371</v>
      </c>
      <c r="M103" s="198">
        <v>0</v>
      </c>
      <c r="N103" s="198">
        <v>3035.9791666666674</v>
      </c>
      <c r="O103" s="198">
        <v>0</v>
      </c>
      <c r="P103" s="198">
        <v>3617.5725000000007</v>
      </c>
      <c r="Q103" s="198">
        <v>0</v>
      </c>
      <c r="R103" s="198">
        <v>3814.9062500000023</v>
      </c>
      <c r="S103" s="198">
        <v>0</v>
      </c>
      <c r="T103" s="198">
        <v>4170.3485576923067</v>
      </c>
      <c r="U103" s="198">
        <v>0</v>
      </c>
      <c r="V103" s="198">
        <v>2229.7074999999982</v>
      </c>
      <c r="W103" s="198">
        <v>0</v>
      </c>
      <c r="X103" s="198">
        <v>3927.9282407407427</v>
      </c>
      <c r="Y103" s="198">
        <v>0</v>
      </c>
      <c r="Z103" s="198">
        <v>2405.4505208333358</v>
      </c>
      <c r="AA103" s="198">
        <v>0</v>
      </c>
      <c r="AB103" s="198">
        <v>1762.7245370370374</v>
      </c>
      <c r="AC103" s="198">
        <v>0</v>
      </c>
      <c r="AD103" s="198">
        <v>3708.2075000000013</v>
      </c>
      <c r="AE103" s="198">
        <v>0</v>
      </c>
      <c r="AF103" s="198">
        <v>3850.9974999999999</v>
      </c>
      <c r="AG103" s="198">
        <v>0</v>
      </c>
      <c r="AH103" s="198">
        <v>4306.6875000000018</v>
      </c>
      <c r="AI103" s="198">
        <v>0</v>
      </c>
      <c r="AJ103" s="198">
        <v>2105.9218749999982</v>
      </c>
      <c r="AK103" s="198">
        <v>0</v>
      </c>
      <c r="AL103" s="198">
        <v>2415.3221153846152</v>
      </c>
      <c r="AM103" s="198">
        <v>0</v>
      </c>
      <c r="AN103" s="198">
        <v>4342.0216346153838</v>
      </c>
      <c r="AO103" s="198">
        <v>0</v>
      </c>
      <c r="AP103" s="198">
        <v>3858.0504807692314</v>
      </c>
      <c r="AQ103" s="198">
        <v>0</v>
      </c>
      <c r="AR103" s="198">
        <v>3432.7075000000018</v>
      </c>
      <c r="AS103" s="198">
        <v>0</v>
      </c>
      <c r="AT103" s="198">
        <v>3072.0288461538471</v>
      </c>
      <c r="AU103" s="198">
        <v>0</v>
      </c>
      <c r="AV103" s="198">
        <v>3969.2523148148152</v>
      </c>
      <c r="AW103" s="198">
        <v>0</v>
      </c>
      <c r="AX103" s="198">
        <v>2438.635416666667</v>
      </c>
      <c r="AY103" s="198">
        <v>0</v>
      </c>
    </row>
    <row r="104" spans="2:51">
      <c r="B104" s="196">
        <v>10338</v>
      </c>
      <c r="C104" s="196" t="s">
        <v>107</v>
      </c>
      <c r="D104" s="198">
        <v>0</v>
      </c>
      <c r="E104" s="198">
        <v>0</v>
      </c>
      <c r="F104" s="198">
        <v>105.08500000000009</v>
      </c>
      <c r="G104" s="198">
        <v>0</v>
      </c>
      <c r="H104" s="198">
        <v>313.83000000000072</v>
      </c>
      <c r="I104" s="198">
        <v>0</v>
      </c>
      <c r="J104" s="198">
        <v>306.24999999999989</v>
      </c>
      <c r="K104" s="198">
        <v>0</v>
      </c>
      <c r="L104" s="198">
        <v>89.911458333333144</v>
      </c>
      <c r="M104" s="198">
        <v>0</v>
      </c>
      <c r="N104" s="198">
        <v>359.29398148148152</v>
      </c>
      <c r="O104" s="198">
        <v>0</v>
      </c>
      <c r="P104" s="198">
        <v>559.01250000000016</v>
      </c>
      <c r="Q104" s="198">
        <v>0</v>
      </c>
      <c r="R104" s="198">
        <v>673.79086538461513</v>
      </c>
      <c r="S104" s="198">
        <v>0</v>
      </c>
      <c r="T104" s="198">
        <v>646.85576923076906</v>
      </c>
      <c r="U104" s="198">
        <v>0</v>
      </c>
      <c r="V104" s="198">
        <v>458.2775000000002</v>
      </c>
      <c r="W104" s="198">
        <v>0</v>
      </c>
      <c r="X104" s="198">
        <v>449.94675925925952</v>
      </c>
      <c r="Y104" s="198">
        <v>0</v>
      </c>
      <c r="Z104" s="198">
        <v>21.190104166666444</v>
      </c>
      <c r="AA104" s="198">
        <v>0</v>
      </c>
      <c r="AB104" s="198">
        <v>0</v>
      </c>
      <c r="AC104" s="198">
        <v>0</v>
      </c>
      <c r="AD104" s="198">
        <v>109.22750000000003</v>
      </c>
      <c r="AE104" s="198">
        <v>0</v>
      </c>
      <c r="AF104" s="198">
        <v>315.80500000000012</v>
      </c>
      <c r="AG104" s="198">
        <v>0</v>
      </c>
      <c r="AH104" s="198">
        <v>308.20192307692287</v>
      </c>
      <c r="AI104" s="198">
        <v>0</v>
      </c>
      <c r="AJ104" s="198">
        <v>92.916666666666757</v>
      </c>
      <c r="AK104" s="198">
        <v>0</v>
      </c>
      <c r="AL104" s="198">
        <v>365.39903846153862</v>
      </c>
      <c r="AM104" s="198">
        <v>0</v>
      </c>
      <c r="AN104" s="198">
        <v>578.86298076923072</v>
      </c>
      <c r="AO104" s="198">
        <v>0</v>
      </c>
      <c r="AP104" s="198">
        <v>675.54326923076962</v>
      </c>
      <c r="AQ104" s="198">
        <v>0</v>
      </c>
      <c r="AR104" s="198">
        <v>641.46250000000009</v>
      </c>
      <c r="AS104" s="198">
        <v>0</v>
      </c>
      <c r="AT104" s="198">
        <v>463.48557692307713</v>
      </c>
      <c r="AU104" s="198">
        <v>0</v>
      </c>
      <c r="AV104" s="198">
        <v>450.84490740740733</v>
      </c>
      <c r="AW104" s="198">
        <v>0</v>
      </c>
      <c r="AX104" s="198">
        <v>25.015624999999766</v>
      </c>
      <c r="AY104" s="198">
        <v>0</v>
      </c>
    </row>
    <row r="105" spans="2:51">
      <c r="B105" s="196">
        <v>10342</v>
      </c>
      <c r="C105" s="196" t="s">
        <v>108</v>
      </c>
      <c r="D105" s="198">
        <v>6230.7692307692305</v>
      </c>
      <c r="E105" s="198">
        <v>0</v>
      </c>
      <c r="F105" s="198">
        <v>2458.1924999999974</v>
      </c>
      <c r="G105" s="198">
        <v>0</v>
      </c>
      <c r="H105" s="198">
        <v>9531.1525000000092</v>
      </c>
      <c r="I105" s="198">
        <v>0</v>
      </c>
      <c r="J105" s="198">
        <v>6413.8557692307586</v>
      </c>
      <c r="K105" s="198">
        <v>0</v>
      </c>
      <c r="L105" s="198">
        <v>0</v>
      </c>
      <c r="M105" s="198">
        <v>0</v>
      </c>
      <c r="N105" s="198">
        <v>4355.5902777777792</v>
      </c>
      <c r="O105" s="198">
        <v>0</v>
      </c>
      <c r="P105" s="198">
        <v>2101.0399999999977</v>
      </c>
      <c r="Q105" s="198">
        <v>0</v>
      </c>
      <c r="R105" s="198">
        <v>3924.6923076923113</v>
      </c>
      <c r="S105" s="198">
        <v>0</v>
      </c>
      <c r="T105" s="198">
        <v>2542.2187500000073</v>
      </c>
      <c r="U105" s="198">
        <v>0</v>
      </c>
      <c r="V105" s="198">
        <v>7824.2099999999991</v>
      </c>
      <c r="W105" s="198">
        <v>0</v>
      </c>
      <c r="X105" s="198">
        <v>11773.979166666666</v>
      </c>
      <c r="Y105" s="198">
        <v>0</v>
      </c>
      <c r="Z105" s="198">
        <v>10442.210937500004</v>
      </c>
      <c r="AA105" s="198">
        <v>0</v>
      </c>
      <c r="AB105" s="198">
        <v>6353.9212962962965</v>
      </c>
      <c r="AC105" s="198">
        <v>0</v>
      </c>
      <c r="AD105" s="198">
        <v>2489.504999999996</v>
      </c>
      <c r="AE105" s="198">
        <v>0</v>
      </c>
      <c r="AF105" s="198">
        <v>9575.8975000000009</v>
      </c>
      <c r="AG105" s="198">
        <v>0</v>
      </c>
      <c r="AH105" s="198">
        <v>6449.3725961538521</v>
      </c>
      <c r="AI105" s="198">
        <v>0</v>
      </c>
      <c r="AJ105" s="198">
        <v>0</v>
      </c>
      <c r="AK105" s="198">
        <v>0</v>
      </c>
      <c r="AL105" s="198">
        <v>4311.3245192307659</v>
      </c>
      <c r="AM105" s="198">
        <v>0</v>
      </c>
      <c r="AN105" s="198">
        <v>2202.9110576923044</v>
      </c>
      <c r="AO105" s="198">
        <v>0</v>
      </c>
      <c r="AP105" s="198">
        <v>3951.8293269230753</v>
      </c>
      <c r="AQ105" s="198">
        <v>0</v>
      </c>
      <c r="AR105" s="198">
        <v>2488.6200000000008</v>
      </c>
      <c r="AS105" s="198">
        <v>0</v>
      </c>
      <c r="AT105" s="198">
        <v>7986.7307692307659</v>
      </c>
      <c r="AU105" s="198">
        <v>0</v>
      </c>
      <c r="AV105" s="198">
        <v>11831.138888888891</v>
      </c>
      <c r="AW105" s="198">
        <v>0</v>
      </c>
      <c r="AX105" s="198">
        <v>10485.182291666672</v>
      </c>
      <c r="AY105" s="198">
        <v>0</v>
      </c>
    </row>
    <row r="106" spans="2:51">
      <c r="B106" s="196">
        <v>10343</v>
      </c>
      <c r="C106" s="196" t="s">
        <v>109</v>
      </c>
      <c r="D106" s="198">
        <v>0</v>
      </c>
      <c r="E106" s="198">
        <v>0</v>
      </c>
      <c r="F106" s="198">
        <v>0</v>
      </c>
      <c r="G106" s="19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0</v>
      </c>
      <c r="Q106" s="198">
        <v>0</v>
      </c>
      <c r="R106" s="198">
        <v>0</v>
      </c>
      <c r="S106" s="198">
        <v>0</v>
      </c>
      <c r="T106" s="198">
        <v>0</v>
      </c>
      <c r="U106" s="198">
        <v>0</v>
      </c>
      <c r="V106" s="198">
        <v>0</v>
      </c>
      <c r="W106" s="198">
        <v>0</v>
      </c>
      <c r="X106" s="198">
        <v>0</v>
      </c>
      <c r="Y106" s="198">
        <v>0</v>
      </c>
      <c r="Z106" s="198">
        <v>0</v>
      </c>
      <c r="AA106" s="198">
        <v>0</v>
      </c>
      <c r="AB106" s="198">
        <v>0</v>
      </c>
      <c r="AC106" s="198">
        <v>0</v>
      </c>
      <c r="AD106" s="198">
        <v>0</v>
      </c>
      <c r="AE106" s="198">
        <v>0</v>
      </c>
      <c r="AF106" s="198">
        <v>0</v>
      </c>
      <c r="AG106" s="198">
        <v>0</v>
      </c>
      <c r="AH106" s="198">
        <v>0</v>
      </c>
      <c r="AI106" s="198">
        <v>0</v>
      </c>
      <c r="AJ106" s="198">
        <v>0</v>
      </c>
      <c r="AK106" s="198">
        <v>0</v>
      </c>
      <c r="AL106" s="198">
        <v>0</v>
      </c>
      <c r="AM106" s="198">
        <v>0</v>
      </c>
      <c r="AN106" s="198">
        <v>0</v>
      </c>
      <c r="AO106" s="198">
        <v>0</v>
      </c>
      <c r="AP106" s="198">
        <v>0</v>
      </c>
      <c r="AQ106" s="198">
        <v>0</v>
      </c>
      <c r="AR106" s="198">
        <v>0</v>
      </c>
      <c r="AS106" s="198">
        <v>0</v>
      </c>
      <c r="AT106" s="198">
        <v>0</v>
      </c>
      <c r="AU106" s="198">
        <v>0</v>
      </c>
      <c r="AV106" s="198">
        <v>0</v>
      </c>
      <c r="AW106" s="198">
        <v>0</v>
      </c>
      <c r="AX106" s="198">
        <v>0</v>
      </c>
      <c r="AY106" s="198">
        <v>0</v>
      </c>
    </row>
    <row r="107" spans="2:51">
      <c r="B107" s="196">
        <v>10349</v>
      </c>
      <c r="C107" s="196" t="s">
        <v>110</v>
      </c>
      <c r="D107" s="198">
        <v>0</v>
      </c>
      <c r="E107" s="198">
        <v>0</v>
      </c>
      <c r="F107" s="198">
        <v>0</v>
      </c>
      <c r="G107" s="198">
        <v>0</v>
      </c>
      <c r="H107" s="198">
        <v>0</v>
      </c>
      <c r="I107" s="198">
        <v>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0</v>
      </c>
      <c r="Q107" s="198">
        <v>0</v>
      </c>
      <c r="R107" s="198">
        <v>0</v>
      </c>
      <c r="S107" s="198">
        <v>0</v>
      </c>
      <c r="T107" s="198">
        <v>0</v>
      </c>
      <c r="U107" s="198">
        <v>0</v>
      </c>
      <c r="V107" s="198">
        <v>0</v>
      </c>
      <c r="W107" s="198">
        <v>0</v>
      </c>
      <c r="X107" s="198">
        <v>0</v>
      </c>
      <c r="Y107" s="198">
        <v>0</v>
      </c>
      <c r="Z107" s="198">
        <v>0</v>
      </c>
      <c r="AA107" s="198">
        <v>0</v>
      </c>
      <c r="AB107" s="198">
        <v>0</v>
      </c>
      <c r="AC107" s="198">
        <v>0</v>
      </c>
      <c r="AD107" s="198">
        <v>0</v>
      </c>
      <c r="AE107" s="198">
        <v>0</v>
      </c>
      <c r="AF107" s="198">
        <v>0</v>
      </c>
      <c r="AG107" s="198">
        <v>0</v>
      </c>
      <c r="AH107" s="198">
        <v>0</v>
      </c>
      <c r="AI107" s="198">
        <v>0</v>
      </c>
      <c r="AJ107" s="198">
        <v>0</v>
      </c>
      <c r="AK107" s="198">
        <v>0</v>
      </c>
      <c r="AL107" s="198">
        <v>0</v>
      </c>
      <c r="AM107" s="198">
        <v>0</v>
      </c>
      <c r="AN107" s="198">
        <v>0</v>
      </c>
      <c r="AO107" s="198">
        <v>0</v>
      </c>
      <c r="AP107" s="198">
        <v>0</v>
      </c>
      <c r="AQ107" s="198">
        <v>0</v>
      </c>
      <c r="AR107" s="198">
        <v>0</v>
      </c>
      <c r="AS107" s="198">
        <v>0</v>
      </c>
      <c r="AT107" s="198">
        <v>0</v>
      </c>
      <c r="AU107" s="198">
        <v>0</v>
      </c>
      <c r="AV107" s="198">
        <v>0</v>
      </c>
      <c r="AW107" s="198">
        <v>0</v>
      </c>
      <c r="AX107" s="198">
        <v>0</v>
      </c>
      <c r="AY107" s="198">
        <v>0</v>
      </c>
    </row>
    <row r="108" spans="2:51">
      <c r="B108" s="196">
        <v>10352</v>
      </c>
      <c r="C108" s="196" t="s">
        <v>111</v>
      </c>
      <c r="D108" s="198">
        <v>2145.5480769230785</v>
      </c>
      <c r="E108" s="198">
        <v>0</v>
      </c>
      <c r="F108" s="198">
        <v>1711.36</v>
      </c>
      <c r="G108" s="198">
        <v>0</v>
      </c>
      <c r="H108" s="198">
        <v>1696.0124999999996</v>
      </c>
      <c r="I108" s="198">
        <v>0</v>
      </c>
      <c r="J108" s="198">
        <v>4474.9206730769229</v>
      </c>
      <c r="K108" s="198">
        <v>0</v>
      </c>
      <c r="L108" s="198">
        <v>498.01562500000074</v>
      </c>
      <c r="M108" s="198">
        <v>0</v>
      </c>
      <c r="N108" s="198">
        <v>5052.5532407407418</v>
      </c>
      <c r="O108" s="198">
        <v>0</v>
      </c>
      <c r="P108" s="198">
        <v>1915.9625000000001</v>
      </c>
      <c r="Q108" s="198">
        <v>0</v>
      </c>
      <c r="R108" s="198">
        <v>0</v>
      </c>
      <c r="S108" s="198">
        <v>0</v>
      </c>
      <c r="T108" s="198">
        <v>1611.15625</v>
      </c>
      <c r="U108" s="198">
        <v>0</v>
      </c>
      <c r="V108" s="198">
        <v>1390.9975000000006</v>
      </c>
      <c r="W108" s="198">
        <v>0</v>
      </c>
      <c r="X108" s="198">
        <v>2177.3310185185187</v>
      </c>
      <c r="Y108" s="198">
        <v>0</v>
      </c>
      <c r="Z108" s="198">
        <v>1204.1250000000002</v>
      </c>
      <c r="AA108" s="198">
        <v>0</v>
      </c>
      <c r="AB108" s="198">
        <v>2222.8032407407409</v>
      </c>
      <c r="AC108" s="198">
        <v>0</v>
      </c>
      <c r="AD108" s="198">
        <v>1726.2499999999977</v>
      </c>
      <c r="AE108" s="198">
        <v>0</v>
      </c>
      <c r="AF108" s="198">
        <v>1706.8450000000025</v>
      </c>
      <c r="AG108" s="198">
        <v>0</v>
      </c>
      <c r="AH108" s="198">
        <v>4493.1057692307695</v>
      </c>
      <c r="AI108" s="198">
        <v>0</v>
      </c>
      <c r="AJ108" s="198">
        <v>511.81249999999778</v>
      </c>
      <c r="AK108" s="198">
        <v>0</v>
      </c>
      <c r="AL108" s="198">
        <v>5019.6826923076924</v>
      </c>
      <c r="AM108" s="198">
        <v>0</v>
      </c>
      <c r="AN108" s="198">
        <v>1987.0841346153841</v>
      </c>
      <c r="AO108" s="198">
        <v>0</v>
      </c>
      <c r="AP108" s="198">
        <v>0</v>
      </c>
      <c r="AQ108" s="198">
        <v>0</v>
      </c>
      <c r="AR108" s="198">
        <v>1557.7300000000007</v>
      </c>
      <c r="AS108" s="198">
        <v>0</v>
      </c>
      <c r="AT108" s="198">
        <v>1462.0649038461529</v>
      </c>
      <c r="AU108" s="198">
        <v>0</v>
      </c>
      <c r="AV108" s="198">
        <v>2184.1134259259256</v>
      </c>
      <c r="AW108" s="198">
        <v>0</v>
      </c>
      <c r="AX108" s="198">
        <v>1212.0208333333364</v>
      </c>
      <c r="AY108" s="198">
        <v>0</v>
      </c>
    </row>
    <row r="109" spans="2:51">
      <c r="B109" s="196">
        <v>10354</v>
      </c>
      <c r="C109" s="196" t="s">
        <v>112</v>
      </c>
      <c r="D109" s="198">
        <v>0</v>
      </c>
      <c r="E109" s="198">
        <v>0</v>
      </c>
      <c r="F109" s="198">
        <v>0</v>
      </c>
      <c r="G109" s="198">
        <v>0</v>
      </c>
      <c r="H109" s="198">
        <v>0</v>
      </c>
      <c r="I109" s="198">
        <v>0</v>
      </c>
      <c r="J109" s="198">
        <v>0</v>
      </c>
      <c r="K109" s="198">
        <v>0</v>
      </c>
      <c r="L109" s="198">
        <v>0</v>
      </c>
      <c r="M109" s="198">
        <v>0</v>
      </c>
      <c r="N109" s="198">
        <v>0</v>
      </c>
      <c r="O109" s="198">
        <v>0</v>
      </c>
      <c r="P109" s="198">
        <v>0</v>
      </c>
      <c r="Q109" s="198">
        <v>0</v>
      </c>
      <c r="R109" s="198">
        <v>0</v>
      </c>
      <c r="S109" s="198">
        <v>0</v>
      </c>
      <c r="T109" s="198">
        <v>0</v>
      </c>
      <c r="U109" s="198">
        <v>0</v>
      </c>
      <c r="V109" s="198">
        <v>0</v>
      </c>
      <c r="W109" s="198">
        <v>0</v>
      </c>
      <c r="X109" s="198">
        <v>0</v>
      </c>
      <c r="Y109" s="198">
        <v>0</v>
      </c>
      <c r="Z109" s="198">
        <v>0</v>
      </c>
      <c r="AA109" s="198">
        <v>0</v>
      </c>
      <c r="AB109" s="198">
        <v>0</v>
      </c>
      <c r="AC109" s="198">
        <v>0</v>
      </c>
      <c r="AD109" s="198">
        <v>0</v>
      </c>
      <c r="AE109" s="198">
        <v>0</v>
      </c>
      <c r="AF109" s="198">
        <v>0</v>
      </c>
      <c r="AG109" s="198">
        <v>0</v>
      </c>
      <c r="AH109" s="198">
        <v>0</v>
      </c>
      <c r="AI109" s="198">
        <v>0</v>
      </c>
      <c r="AJ109" s="198">
        <v>0</v>
      </c>
      <c r="AK109" s="198">
        <v>0</v>
      </c>
      <c r="AL109" s="198">
        <v>0</v>
      </c>
      <c r="AM109" s="198">
        <v>0</v>
      </c>
      <c r="AN109" s="198">
        <v>0</v>
      </c>
      <c r="AO109" s="198">
        <v>0</v>
      </c>
      <c r="AP109" s="198">
        <v>0</v>
      </c>
      <c r="AQ109" s="198">
        <v>0</v>
      </c>
      <c r="AR109" s="198">
        <v>0</v>
      </c>
      <c r="AS109" s="198">
        <v>0</v>
      </c>
      <c r="AT109" s="198">
        <v>0</v>
      </c>
      <c r="AU109" s="198">
        <v>0</v>
      </c>
      <c r="AV109" s="198">
        <v>0</v>
      </c>
      <c r="AW109" s="198">
        <v>0</v>
      </c>
      <c r="AX109" s="198">
        <v>0</v>
      </c>
      <c r="AY109" s="198">
        <v>0</v>
      </c>
    </row>
    <row r="110" spans="2:51">
      <c r="B110" s="196">
        <v>10360</v>
      </c>
      <c r="C110" s="196" t="s">
        <v>113</v>
      </c>
      <c r="D110" s="198">
        <v>2338.2836538461538</v>
      </c>
      <c r="E110" s="198">
        <v>0</v>
      </c>
      <c r="F110" s="198">
        <v>713.79000000000042</v>
      </c>
      <c r="G110" s="198">
        <v>0</v>
      </c>
      <c r="H110" s="198">
        <v>618.33000000000004</v>
      </c>
      <c r="I110" s="198">
        <v>0</v>
      </c>
      <c r="J110" s="198">
        <v>818.00961538461547</v>
      </c>
      <c r="K110" s="198">
        <v>0</v>
      </c>
      <c r="L110" s="198">
        <v>573.9765625</v>
      </c>
      <c r="M110" s="198">
        <v>0</v>
      </c>
      <c r="N110" s="198">
        <v>854.70833333333337</v>
      </c>
      <c r="O110" s="198">
        <v>0</v>
      </c>
      <c r="P110" s="198">
        <v>2654.7699999999986</v>
      </c>
      <c r="Q110" s="198">
        <v>0</v>
      </c>
      <c r="R110" s="198">
        <v>467.0961538461529</v>
      </c>
      <c r="S110" s="198">
        <v>0</v>
      </c>
      <c r="T110" s="198">
        <v>989.74759615384801</v>
      </c>
      <c r="U110" s="198">
        <v>0</v>
      </c>
      <c r="V110" s="198">
        <v>1584.3700000000008</v>
      </c>
      <c r="W110" s="198">
        <v>0</v>
      </c>
      <c r="X110" s="198">
        <v>856.24537037037146</v>
      </c>
      <c r="Y110" s="198">
        <v>0</v>
      </c>
      <c r="Z110" s="198">
        <v>484.40104166666708</v>
      </c>
      <c r="AA110" s="198">
        <v>0</v>
      </c>
      <c r="AB110" s="198">
        <v>2344.2476851851852</v>
      </c>
      <c r="AC110" s="198">
        <v>0</v>
      </c>
      <c r="AD110" s="198">
        <v>722.52750000000003</v>
      </c>
      <c r="AE110" s="198">
        <v>0</v>
      </c>
      <c r="AF110" s="198">
        <v>626.52249999999992</v>
      </c>
      <c r="AG110" s="198">
        <v>0</v>
      </c>
      <c r="AH110" s="198">
        <v>826.21153846153766</v>
      </c>
      <c r="AI110" s="198">
        <v>0</v>
      </c>
      <c r="AJ110" s="198">
        <v>582.89843750000034</v>
      </c>
      <c r="AK110" s="198">
        <v>0</v>
      </c>
      <c r="AL110" s="198">
        <v>862.33173076923106</v>
      </c>
      <c r="AM110" s="198">
        <v>0</v>
      </c>
      <c r="AN110" s="198">
        <v>2667.0024038461524</v>
      </c>
      <c r="AO110" s="198">
        <v>0</v>
      </c>
      <c r="AP110" s="198">
        <v>477.84374999999943</v>
      </c>
      <c r="AQ110" s="198">
        <v>0</v>
      </c>
      <c r="AR110" s="198">
        <v>1000.2499999999981</v>
      </c>
      <c r="AS110" s="198">
        <v>0</v>
      </c>
      <c r="AT110" s="198">
        <v>1593.2355769230755</v>
      </c>
      <c r="AU110" s="198">
        <v>0</v>
      </c>
      <c r="AV110" s="198">
        <v>861.62731481481387</v>
      </c>
      <c r="AW110" s="198">
        <v>0</v>
      </c>
      <c r="AX110" s="198">
        <v>493.96093749999937</v>
      </c>
      <c r="AY110" s="198">
        <v>0</v>
      </c>
    </row>
    <row r="111" spans="2:51">
      <c r="B111" s="196">
        <v>10363</v>
      </c>
      <c r="C111" s="196" t="s">
        <v>114</v>
      </c>
      <c r="D111" s="198">
        <v>8716.9711538461524</v>
      </c>
      <c r="E111" s="198">
        <v>0</v>
      </c>
      <c r="F111" s="198">
        <v>6125.3799999999965</v>
      </c>
      <c r="G111" s="198">
        <v>0</v>
      </c>
      <c r="H111" s="198">
        <v>21211.299999999992</v>
      </c>
      <c r="I111" s="198">
        <v>0</v>
      </c>
      <c r="J111" s="198">
        <v>17117.612980769234</v>
      </c>
      <c r="K111" s="198">
        <v>0</v>
      </c>
      <c r="L111" s="198">
        <v>7849.0390625000191</v>
      </c>
      <c r="M111" s="198">
        <v>0</v>
      </c>
      <c r="N111" s="198">
        <v>15107.518518518504</v>
      </c>
      <c r="O111" s="198">
        <v>0</v>
      </c>
      <c r="P111" s="198">
        <v>11119.060000000001</v>
      </c>
      <c r="Q111" s="198">
        <v>0</v>
      </c>
      <c r="R111" s="198">
        <v>0</v>
      </c>
      <c r="S111" s="198">
        <v>0</v>
      </c>
      <c r="T111" s="198">
        <v>7942.81249999999</v>
      </c>
      <c r="U111" s="198">
        <v>0</v>
      </c>
      <c r="V111" s="198">
        <v>6137.7224999999917</v>
      </c>
      <c r="W111" s="198">
        <v>0</v>
      </c>
      <c r="X111" s="198">
        <v>13059.356481481485</v>
      </c>
      <c r="Y111" s="198">
        <v>0</v>
      </c>
      <c r="Z111" s="198">
        <v>14237.770833333321</v>
      </c>
      <c r="AA111" s="198">
        <v>0</v>
      </c>
      <c r="AB111" s="198">
        <v>9217.8379629629526</v>
      </c>
      <c r="AC111" s="198">
        <v>0</v>
      </c>
      <c r="AD111" s="198">
        <v>6228.3824999999988</v>
      </c>
      <c r="AE111" s="198">
        <v>0</v>
      </c>
      <c r="AF111" s="198">
        <v>21327.809999999998</v>
      </c>
      <c r="AG111" s="198">
        <v>0</v>
      </c>
      <c r="AH111" s="198">
        <v>17237.117788461514</v>
      </c>
      <c r="AI111" s="198">
        <v>0</v>
      </c>
      <c r="AJ111" s="198">
        <v>7970.877604166667</v>
      </c>
      <c r="AK111" s="198">
        <v>0</v>
      </c>
      <c r="AL111" s="198">
        <v>14852.831730769225</v>
      </c>
      <c r="AM111" s="198">
        <v>0</v>
      </c>
      <c r="AN111" s="198">
        <v>11613.312500000004</v>
      </c>
      <c r="AO111" s="198">
        <v>0</v>
      </c>
      <c r="AP111" s="198">
        <v>0</v>
      </c>
      <c r="AQ111" s="198">
        <v>0</v>
      </c>
      <c r="AR111" s="198">
        <v>7604.697500000002</v>
      </c>
      <c r="AS111" s="198">
        <v>0</v>
      </c>
      <c r="AT111" s="198">
        <v>6677.9447115384692</v>
      </c>
      <c r="AU111" s="198">
        <v>0</v>
      </c>
      <c r="AV111" s="198">
        <v>13135.291666666673</v>
      </c>
      <c r="AW111" s="198">
        <v>0</v>
      </c>
      <c r="AX111" s="198">
        <v>14308.929687500004</v>
      </c>
      <c r="AY111" s="198">
        <v>0</v>
      </c>
    </row>
    <row r="112" spans="2:51">
      <c r="B112" s="196">
        <v>10369</v>
      </c>
      <c r="C112" s="196" t="s">
        <v>115</v>
      </c>
      <c r="D112" s="198">
        <v>2999.0913461538462</v>
      </c>
      <c r="E112" s="198">
        <v>0</v>
      </c>
      <c r="F112" s="198">
        <v>774.6024999999994</v>
      </c>
      <c r="G112" s="198">
        <v>0</v>
      </c>
      <c r="H112" s="198">
        <v>2554.2750000000015</v>
      </c>
      <c r="I112" s="198">
        <v>0</v>
      </c>
      <c r="J112" s="198">
        <v>2382.9110576923072</v>
      </c>
      <c r="K112" s="198">
        <v>0</v>
      </c>
      <c r="L112" s="198">
        <v>1411.4427083333335</v>
      </c>
      <c r="M112" s="198">
        <v>0</v>
      </c>
      <c r="N112" s="198">
        <v>1859.6944444444418</v>
      </c>
      <c r="O112" s="198">
        <v>0</v>
      </c>
      <c r="P112" s="198">
        <v>6241.2024999999976</v>
      </c>
      <c r="Q112" s="198">
        <v>0</v>
      </c>
      <c r="R112" s="198">
        <v>2962.3221153846116</v>
      </c>
      <c r="S112" s="198">
        <v>0</v>
      </c>
      <c r="T112" s="198">
        <v>3782.538461538466</v>
      </c>
      <c r="U112" s="198">
        <v>0</v>
      </c>
      <c r="V112" s="198">
        <v>4750.5474999999997</v>
      </c>
      <c r="W112" s="198">
        <v>0</v>
      </c>
      <c r="X112" s="198">
        <v>4251.5000000000018</v>
      </c>
      <c r="Y112" s="198">
        <v>0</v>
      </c>
      <c r="Z112" s="198">
        <v>1653.5000000000002</v>
      </c>
      <c r="AA112" s="198">
        <v>0</v>
      </c>
      <c r="AB112" s="198">
        <v>3007.6805555555552</v>
      </c>
      <c r="AC112" s="198">
        <v>0</v>
      </c>
      <c r="AD112" s="198">
        <v>774.6024999999994</v>
      </c>
      <c r="AE112" s="198">
        <v>0</v>
      </c>
      <c r="AF112" s="198">
        <v>2554.2750000000015</v>
      </c>
      <c r="AG112" s="198">
        <v>0</v>
      </c>
      <c r="AH112" s="198">
        <v>2382.9110576923072</v>
      </c>
      <c r="AI112" s="198">
        <v>0</v>
      </c>
      <c r="AJ112" s="198">
        <v>1411.4427083333335</v>
      </c>
      <c r="AK112" s="198">
        <v>0</v>
      </c>
      <c r="AL112" s="198">
        <v>1863.0264423076892</v>
      </c>
      <c r="AM112" s="198">
        <v>0</v>
      </c>
      <c r="AN112" s="198">
        <v>6245.1346153846134</v>
      </c>
      <c r="AO112" s="198">
        <v>0</v>
      </c>
      <c r="AP112" s="198">
        <v>2962.3221153846116</v>
      </c>
      <c r="AQ112" s="198">
        <v>0</v>
      </c>
      <c r="AR112" s="198">
        <v>3784.2300000000018</v>
      </c>
      <c r="AS112" s="198">
        <v>0</v>
      </c>
      <c r="AT112" s="198">
        <v>4741.9350961538494</v>
      </c>
      <c r="AU112" s="198">
        <v>0</v>
      </c>
      <c r="AV112" s="198">
        <v>4251.5000000000018</v>
      </c>
      <c r="AW112" s="198">
        <v>0</v>
      </c>
      <c r="AX112" s="198">
        <v>1653.5000000000002</v>
      </c>
      <c r="AY112" s="198">
        <v>0</v>
      </c>
    </row>
    <row r="113" spans="2:51">
      <c r="B113" s="196">
        <v>10370</v>
      </c>
      <c r="C113" s="196" t="s">
        <v>116</v>
      </c>
      <c r="D113" s="198">
        <v>0</v>
      </c>
      <c r="E113" s="198">
        <v>0</v>
      </c>
      <c r="F113" s="198">
        <v>0</v>
      </c>
      <c r="G113" s="198">
        <v>0</v>
      </c>
      <c r="H113" s="198">
        <v>0</v>
      </c>
      <c r="I113" s="198">
        <v>0</v>
      </c>
      <c r="J113" s="198">
        <v>0</v>
      </c>
      <c r="K113" s="198">
        <v>0</v>
      </c>
      <c r="L113" s="198">
        <v>0</v>
      </c>
      <c r="M113" s="198">
        <v>0</v>
      </c>
      <c r="N113" s="198">
        <v>0</v>
      </c>
      <c r="O113" s="198">
        <v>0</v>
      </c>
      <c r="P113" s="198">
        <v>0</v>
      </c>
      <c r="Q113" s="198">
        <v>0</v>
      </c>
      <c r="R113" s="198">
        <v>0</v>
      </c>
      <c r="S113" s="198">
        <v>0</v>
      </c>
      <c r="T113" s="198">
        <v>0</v>
      </c>
      <c r="U113" s="198">
        <v>0</v>
      </c>
      <c r="V113" s="198">
        <v>0</v>
      </c>
      <c r="W113" s="198">
        <v>0</v>
      </c>
      <c r="X113" s="198">
        <v>0</v>
      </c>
      <c r="Y113" s="198">
        <v>0</v>
      </c>
      <c r="Z113" s="198">
        <v>0</v>
      </c>
      <c r="AA113" s="198">
        <v>0</v>
      </c>
      <c r="AB113" s="198">
        <v>0</v>
      </c>
      <c r="AC113" s="198">
        <v>0</v>
      </c>
      <c r="AD113" s="198">
        <v>0</v>
      </c>
      <c r="AE113" s="198">
        <v>0</v>
      </c>
      <c r="AF113" s="198">
        <v>0</v>
      </c>
      <c r="AG113" s="198">
        <v>0</v>
      </c>
      <c r="AH113" s="198">
        <v>0</v>
      </c>
      <c r="AI113" s="198">
        <v>0</v>
      </c>
      <c r="AJ113" s="198">
        <v>0</v>
      </c>
      <c r="AK113" s="198">
        <v>0</v>
      </c>
      <c r="AL113" s="198">
        <v>0</v>
      </c>
      <c r="AM113" s="198">
        <v>0</v>
      </c>
      <c r="AN113" s="198">
        <v>0</v>
      </c>
      <c r="AO113" s="198">
        <v>0</v>
      </c>
      <c r="AP113" s="198">
        <v>0</v>
      </c>
      <c r="AQ113" s="198">
        <v>0</v>
      </c>
      <c r="AR113" s="198">
        <v>0</v>
      </c>
      <c r="AS113" s="198">
        <v>0</v>
      </c>
      <c r="AT113" s="198">
        <v>0</v>
      </c>
      <c r="AU113" s="198">
        <v>0</v>
      </c>
      <c r="AV113" s="198">
        <v>0</v>
      </c>
      <c r="AW113" s="198">
        <v>0</v>
      </c>
      <c r="AX113" s="198">
        <v>0</v>
      </c>
      <c r="AY113" s="198">
        <v>0</v>
      </c>
    </row>
    <row r="114" spans="2:51">
      <c r="B114" s="196">
        <v>10371</v>
      </c>
      <c r="C114" s="196" t="s">
        <v>117</v>
      </c>
      <c r="D114" s="198">
        <v>0</v>
      </c>
      <c r="E114" s="198">
        <v>0</v>
      </c>
      <c r="F114" s="198">
        <v>1252.2474999999997</v>
      </c>
      <c r="G114" s="198">
        <v>0</v>
      </c>
      <c r="H114" s="198">
        <v>1307.7950000000014</v>
      </c>
      <c r="I114" s="198">
        <v>0</v>
      </c>
      <c r="J114" s="198">
        <v>2299.4519230769238</v>
      </c>
      <c r="K114" s="198">
        <v>0</v>
      </c>
      <c r="L114" s="198">
        <v>1197.9166666666661</v>
      </c>
      <c r="M114" s="198">
        <v>0</v>
      </c>
      <c r="N114" s="198">
        <v>801.05324074073985</v>
      </c>
      <c r="O114" s="198">
        <v>0</v>
      </c>
      <c r="P114" s="198">
        <v>0</v>
      </c>
      <c r="Q114" s="198">
        <v>0</v>
      </c>
      <c r="R114" s="198">
        <v>232.88221153846013</v>
      </c>
      <c r="S114" s="198">
        <v>0</v>
      </c>
      <c r="T114" s="198">
        <v>1285.2283653846166</v>
      </c>
      <c r="U114" s="198">
        <v>0</v>
      </c>
      <c r="V114" s="198">
        <v>1054.224999999999</v>
      </c>
      <c r="W114" s="198">
        <v>0</v>
      </c>
      <c r="X114" s="198">
        <v>1382.9976851851852</v>
      </c>
      <c r="Y114" s="198">
        <v>0</v>
      </c>
      <c r="Z114" s="198">
        <v>426.61458333333434</v>
      </c>
      <c r="AA114" s="198">
        <v>0</v>
      </c>
      <c r="AB114" s="198">
        <v>226.69907407407487</v>
      </c>
      <c r="AC114" s="198">
        <v>0</v>
      </c>
      <c r="AD114" s="198">
        <v>1314.8574999999992</v>
      </c>
      <c r="AE114" s="198">
        <v>0</v>
      </c>
      <c r="AF114" s="198">
        <v>1368.4024999999992</v>
      </c>
      <c r="AG114" s="198">
        <v>0</v>
      </c>
      <c r="AH114" s="198">
        <v>2368.0000000000014</v>
      </c>
      <c r="AI114" s="198">
        <v>0</v>
      </c>
      <c r="AJ114" s="198">
        <v>1249.0416666666667</v>
      </c>
      <c r="AK114" s="198">
        <v>0</v>
      </c>
      <c r="AL114" s="198">
        <v>374.94711538461536</v>
      </c>
      <c r="AM114" s="198">
        <v>0</v>
      </c>
      <c r="AN114" s="198">
        <v>25.117788461539448</v>
      </c>
      <c r="AO114" s="198">
        <v>0</v>
      </c>
      <c r="AP114" s="198">
        <v>290.942307692307</v>
      </c>
      <c r="AQ114" s="198">
        <v>0</v>
      </c>
      <c r="AR114" s="198">
        <v>921.09999999999889</v>
      </c>
      <c r="AS114" s="198">
        <v>0</v>
      </c>
      <c r="AT114" s="198">
        <v>1545.9495192307691</v>
      </c>
      <c r="AU114" s="198">
        <v>0</v>
      </c>
      <c r="AV114" s="198">
        <v>1449.3101851851857</v>
      </c>
      <c r="AW114" s="198">
        <v>0</v>
      </c>
      <c r="AX114" s="198">
        <v>481.02604166666652</v>
      </c>
      <c r="AY114" s="198">
        <v>0</v>
      </c>
    </row>
    <row r="115" spans="2:51">
      <c r="B115" s="196">
        <v>10376</v>
      </c>
      <c r="C115" s="196" t="s">
        <v>118</v>
      </c>
      <c r="D115" s="198">
        <v>7478.038461538461</v>
      </c>
      <c r="E115" s="198">
        <v>0</v>
      </c>
      <c r="F115" s="198">
        <v>4539.762499999998</v>
      </c>
      <c r="G115" s="198">
        <v>0</v>
      </c>
      <c r="H115" s="198">
        <v>10971.31</v>
      </c>
      <c r="I115" s="198">
        <v>0</v>
      </c>
      <c r="J115" s="198">
        <v>15003.730769230771</v>
      </c>
      <c r="K115" s="198">
        <v>0</v>
      </c>
      <c r="L115" s="198">
        <v>7256.3880208333412</v>
      </c>
      <c r="M115" s="198">
        <v>0</v>
      </c>
      <c r="N115" s="198">
        <v>12260.009259259259</v>
      </c>
      <c r="O115" s="198">
        <v>0</v>
      </c>
      <c r="P115" s="198">
        <v>8647.9399999999914</v>
      </c>
      <c r="Q115" s="198">
        <v>0</v>
      </c>
      <c r="R115" s="198">
        <v>4494.4302884615299</v>
      </c>
      <c r="S115" s="198">
        <v>0</v>
      </c>
      <c r="T115" s="198">
        <v>2493.7475961538498</v>
      </c>
      <c r="U115" s="198">
        <v>0</v>
      </c>
      <c r="V115" s="198">
        <v>4876.2349999999942</v>
      </c>
      <c r="W115" s="198">
        <v>0</v>
      </c>
      <c r="X115" s="198">
        <v>4104.4768518518531</v>
      </c>
      <c r="Y115" s="198">
        <v>0</v>
      </c>
      <c r="Z115" s="198">
        <v>0</v>
      </c>
      <c r="AA115" s="198">
        <v>0</v>
      </c>
      <c r="AB115" s="198">
        <v>7679.4143518518467</v>
      </c>
      <c r="AC115" s="198">
        <v>0</v>
      </c>
      <c r="AD115" s="198">
        <v>4609.6074999999992</v>
      </c>
      <c r="AE115" s="198">
        <v>0</v>
      </c>
      <c r="AF115" s="198">
        <v>11049.957500000002</v>
      </c>
      <c r="AG115" s="198">
        <v>0</v>
      </c>
      <c r="AH115" s="198">
        <v>15091.117788461532</v>
      </c>
      <c r="AI115" s="198">
        <v>0</v>
      </c>
      <c r="AJ115" s="198">
        <v>7336.893229166677</v>
      </c>
      <c r="AK115" s="198">
        <v>0</v>
      </c>
      <c r="AL115" s="198">
        <v>12209.935096153853</v>
      </c>
      <c r="AM115" s="198">
        <v>0</v>
      </c>
      <c r="AN115" s="198">
        <v>8852.8461538461506</v>
      </c>
      <c r="AO115" s="198">
        <v>0</v>
      </c>
      <c r="AP115" s="198">
        <v>4544.0913461538485</v>
      </c>
      <c r="AQ115" s="198">
        <v>0</v>
      </c>
      <c r="AR115" s="198">
        <v>2385.6225000000013</v>
      </c>
      <c r="AS115" s="198">
        <v>0</v>
      </c>
      <c r="AT115" s="198">
        <v>5022.6442307692378</v>
      </c>
      <c r="AU115" s="198">
        <v>0</v>
      </c>
      <c r="AV115" s="198">
        <v>4118.8125000000009</v>
      </c>
      <c r="AW115" s="198">
        <v>0</v>
      </c>
      <c r="AX115" s="198">
        <v>0</v>
      </c>
      <c r="AY115" s="198">
        <v>0</v>
      </c>
    </row>
    <row r="116" spans="2:51">
      <c r="B116" s="196">
        <v>10378</v>
      </c>
      <c r="C116" s="196" t="s">
        <v>119</v>
      </c>
      <c r="D116" s="198">
        <v>0</v>
      </c>
      <c r="E116" s="198">
        <v>0</v>
      </c>
      <c r="F116" s="198">
        <v>0</v>
      </c>
      <c r="G116" s="198">
        <v>0</v>
      </c>
      <c r="H116" s="198">
        <v>309.19499999999977</v>
      </c>
      <c r="I116" s="198">
        <v>0</v>
      </c>
      <c r="J116" s="198">
        <v>249.56249999999957</v>
      </c>
      <c r="K116" s="198">
        <v>0</v>
      </c>
      <c r="L116" s="198">
        <v>33.080729166667041</v>
      </c>
      <c r="M116" s="198">
        <v>0</v>
      </c>
      <c r="N116" s="198">
        <v>147.01851851851833</v>
      </c>
      <c r="O116" s="198">
        <v>0</v>
      </c>
      <c r="P116" s="198">
        <v>0</v>
      </c>
      <c r="Q116" s="198">
        <v>0</v>
      </c>
      <c r="R116" s="198">
        <v>138.39663461538427</v>
      </c>
      <c r="S116" s="198">
        <v>0</v>
      </c>
      <c r="T116" s="198">
        <v>28.117788461538453</v>
      </c>
      <c r="U116" s="198">
        <v>0</v>
      </c>
      <c r="V116" s="198">
        <v>86.492499999999808</v>
      </c>
      <c r="W116" s="198">
        <v>0</v>
      </c>
      <c r="X116" s="198">
        <v>172.65509259259261</v>
      </c>
      <c r="Y116" s="198">
        <v>0</v>
      </c>
      <c r="Z116" s="198">
        <v>101.16927083333344</v>
      </c>
      <c r="AA116" s="198">
        <v>0</v>
      </c>
      <c r="AB116" s="198">
        <v>0</v>
      </c>
      <c r="AC116" s="198">
        <v>0</v>
      </c>
      <c r="AD116" s="198">
        <v>0</v>
      </c>
      <c r="AE116" s="198">
        <v>0</v>
      </c>
      <c r="AF116" s="198">
        <v>316.11</v>
      </c>
      <c r="AG116" s="198">
        <v>0</v>
      </c>
      <c r="AH116" s="198">
        <v>257.17067307692287</v>
      </c>
      <c r="AI116" s="198">
        <v>0</v>
      </c>
      <c r="AJ116" s="198">
        <v>40.203125000000114</v>
      </c>
      <c r="AK116" s="198">
        <v>0</v>
      </c>
      <c r="AL116" s="198">
        <v>69.314903846153683</v>
      </c>
      <c r="AM116" s="198">
        <v>0</v>
      </c>
      <c r="AN116" s="198">
        <v>15.778846153846171</v>
      </c>
      <c r="AO116" s="198">
        <v>0</v>
      </c>
      <c r="AP116" s="198">
        <v>143.56249999999986</v>
      </c>
      <c r="AQ116" s="198">
        <v>0</v>
      </c>
      <c r="AR116" s="198">
        <v>0</v>
      </c>
      <c r="AS116" s="198">
        <v>0</v>
      </c>
      <c r="AT116" s="198">
        <v>155.97596153846121</v>
      </c>
      <c r="AU116" s="198">
        <v>0</v>
      </c>
      <c r="AV116" s="198">
        <v>176.80324074074062</v>
      </c>
      <c r="AW116" s="198">
        <v>0</v>
      </c>
      <c r="AX116" s="198">
        <v>103.18750000000004</v>
      </c>
      <c r="AY116" s="198">
        <v>0</v>
      </c>
    </row>
    <row r="117" spans="2:51">
      <c r="B117" s="196">
        <v>10379</v>
      </c>
      <c r="C117" s="196" t="s">
        <v>120</v>
      </c>
      <c r="D117" s="198">
        <v>810.19711538461615</v>
      </c>
      <c r="E117" s="198">
        <v>0</v>
      </c>
      <c r="F117" s="198">
        <v>916.23500000000035</v>
      </c>
      <c r="G117" s="198">
        <v>0</v>
      </c>
      <c r="H117" s="198">
        <v>1794.2425000000001</v>
      </c>
      <c r="I117" s="198">
        <v>0</v>
      </c>
      <c r="J117" s="198">
        <v>1903.4086538461536</v>
      </c>
      <c r="K117" s="198">
        <v>0</v>
      </c>
      <c r="L117" s="198">
        <v>1454.8880208333337</v>
      </c>
      <c r="M117" s="198">
        <v>0</v>
      </c>
      <c r="N117" s="198">
        <v>1078.7546296296307</v>
      </c>
      <c r="O117" s="198">
        <v>0</v>
      </c>
      <c r="P117" s="198">
        <v>28.427500000000272</v>
      </c>
      <c r="Q117" s="198">
        <v>0</v>
      </c>
      <c r="R117" s="198">
        <v>899.42307692307691</v>
      </c>
      <c r="S117" s="198">
        <v>0</v>
      </c>
      <c r="T117" s="198">
        <v>912.10096153846143</v>
      </c>
      <c r="U117" s="198">
        <v>0</v>
      </c>
      <c r="V117" s="198">
        <v>721.92499999999927</v>
      </c>
      <c r="W117" s="198">
        <v>0</v>
      </c>
      <c r="X117" s="198">
        <v>1018.388888888889</v>
      </c>
      <c r="Y117" s="198">
        <v>0</v>
      </c>
      <c r="Z117" s="198">
        <v>783.55208333333326</v>
      </c>
      <c r="AA117" s="198">
        <v>0</v>
      </c>
      <c r="AB117" s="198">
        <v>1006.3842592592591</v>
      </c>
      <c r="AC117" s="198">
        <v>0</v>
      </c>
      <c r="AD117" s="198">
        <v>933.85249999999951</v>
      </c>
      <c r="AE117" s="198">
        <v>0</v>
      </c>
      <c r="AF117" s="198">
        <v>1811.2774999999999</v>
      </c>
      <c r="AG117" s="198">
        <v>0</v>
      </c>
      <c r="AH117" s="198">
        <v>1922.0336538461538</v>
      </c>
      <c r="AI117" s="198">
        <v>0</v>
      </c>
      <c r="AJ117" s="198">
        <v>1470.6067708333342</v>
      </c>
      <c r="AK117" s="198">
        <v>0</v>
      </c>
      <c r="AL117" s="198">
        <v>890.59855769230683</v>
      </c>
      <c r="AM117" s="198">
        <v>0</v>
      </c>
      <c r="AN117" s="198">
        <v>238.12259615384602</v>
      </c>
      <c r="AO117" s="198">
        <v>0</v>
      </c>
      <c r="AP117" s="198">
        <v>917.08894230769158</v>
      </c>
      <c r="AQ117" s="198">
        <v>0</v>
      </c>
      <c r="AR117" s="198">
        <v>774.63000000000011</v>
      </c>
      <c r="AS117" s="198">
        <v>0</v>
      </c>
      <c r="AT117" s="198">
        <v>888.05528846153823</v>
      </c>
      <c r="AU117" s="198">
        <v>0</v>
      </c>
      <c r="AV117" s="198">
        <v>1035.9907407407402</v>
      </c>
      <c r="AW117" s="198">
        <v>0</v>
      </c>
      <c r="AX117" s="198">
        <v>799.3854166666664</v>
      </c>
      <c r="AY117" s="198">
        <v>0</v>
      </c>
    </row>
    <row r="118" spans="2:51">
      <c r="B118" s="196">
        <v>10388</v>
      </c>
      <c r="C118" s="196" t="s">
        <v>121</v>
      </c>
      <c r="D118" s="198">
        <v>0</v>
      </c>
      <c r="E118" s="198">
        <v>0</v>
      </c>
      <c r="F118" s="198">
        <v>0</v>
      </c>
      <c r="G118" s="198">
        <v>0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0</v>
      </c>
      <c r="Q118" s="198">
        <v>0</v>
      </c>
      <c r="R118" s="198">
        <v>0</v>
      </c>
      <c r="S118" s="198">
        <v>0</v>
      </c>
      <c r="T118" s="198">
        <v>0</v>
      </c>
      <c r="U118" s="198">
        <v>0</v>
      </c>
      <c r="V118" s="198">
        <v>0</v>
      </c>
      <c r="W118" s="198">
        <v>0</v>
      </c>
      <c r="X118" s="198">
        <v>0</v>
      </c>
      <c r="Y118" s="198">
        <v>0</v>
      </c>
      <c r="Z118" s="198">
        <v>0</v>
      </c>
      <c r="AA118" s="198">
        <v>0</v>
      </c>
      <c r="AB118" s="198">
        <v>0</v>
      </c>
      <c r="AC118" s="198">
        <v>0</v>
      </c>
      <c r="AD118" s="198">
        <v>0</v>
      </c>
      <c r="AE118" s="198">
        <v>0</v>
      </c>
      <c r="AF118" s="198">
        <v>0</v>
      </c>
      <c r="AG118" s="198">
        <v>0</v>
      </c>
      <c r="AH118" s="198">
        <v>0</v>
      </c>
      <c r="AI118" s="198">
        <v>0</v>
      </c>
      <c r="AJ118" s="198">
        <v>0</v>
      </c>
      <c r="AK118" s="198">
        <v>0</v>
      </c>
      <c r="AL118" s="198">
        <v>0</v>
      </c>
      <c r="AM118" s="198">
        <v>0</v>
      </c>
      <c r="AN118" s="198">
        <v>0</v>
      </c>
      <c r="AO118" s="198">
        <v>0</v>
      </c>
      <c r="AP118" s="198">
        <v>0</v>
      </c>
      <c r="AQ118" s="198">
        <v>0</v>
      </c>
      <c r="AR118" s="198">
        <v>0</v>
      </c>
      <c r="AS118" s="198">
        <v>0</v>
      </c>
      <c r="AT118" s="198">
        <v>0</v>
      </c>
      <c r="AU118" s="198">
        <v>0</v>
      </c>
      <c r="AV118" s="198">
        <v>0</v>
      </c>
      <c r="AW118" s="198">
        <v>0</v>
      </c>
      <c r="AX118" s="198">
        <v>0</v>
      </c>
      <c r="AY118" s="198">
        <v>0</v>
      </c>
    </row>
    <row r="119" spans="2:51">
      <c r="B119" s="196">
        <v>10391</v>
      </c>
      <c r="C119" s="196" t="s">
        <v>122</v>
      </c>
      <c r="D119" s="198">
        <v>1407.8774038461584</v>
      </c>
      <c r="E119" s="198">
        <v>0</v>
      </c>
      <c r="F119" s="198">
        <v>3996.2974999999988</v>
      </c>
      <c r="G119" s="198">
        <v>0</v>
      </c>
      <c r="H119" s="198">
        <v>7840.2499999999991</v>
      </c>
      <c r="I119" s="198">
        <v>0</v>
      </c>
      <c r="J119" s="198">
        <v>5306.9062500000027</v>
      </c>
      <c r="K119" s="198">
        <v>0</v>
      </c>
      <c r="L119" s="198">
        <v>3242.752604166677</v>
      </c>
      <c r="M119" s="198">
        <v>0</v>
      </c>
      <c r="N119" s="198">
        <v>2268.5555555555547</v>
      </c>
      <c r="O119" s="198">
        <v>0</v>
      </c>
      <c r="P119" s="198">
        <v>588.09750000000167</v>
      </c>
      <c r="Q119" s="198">
        <v>0</v>
      </c>
      <c r="R119" s="198">
        <v>5268.3461538461534</v>
      </c>
      <c r="S119" s="198">
        <v>0</v>
      </c>
      <c r="T119" s="198">
        <v>4209.1706730769256</v>
      </c>
      <c r="U119" s="198">
        <v>0</v>
      </c>
      <c r="V119" s="198">
        <v>8615.0750000000007</v>
      </c>
      <c r="W119" s="198">
        <v>0</v>
      </c>
      <c r="X119" s="198">
        <v>8603.4745370370329</v>
      </c>
      <c r="Y119" s="198">
        <v>0</v>
      </c>
      <c r="Z119" s="198">
        <v>0</v>
      </c>
      <c r="AA119" s="198">
        <v>0</v>
      </c>
      <c r="AB119" s="198">
        <v>2475.8310185185205</v>
      </c>
      <c r="AC119" s="198">
        <v>0</v>
      </c>
      <c r="AD119" s="198">
        <v>3952.3600000000042</v>
      </c>
      <c r="AE119" s="198">
        <v>0</v>
      </c>
      <c r="AF119" s="198">
        <v>7795.6400000000076</v>
      </c>
      <c r="AG119" s="198">
        <v>0</v>
      </c>
      <c r="AH119" s="198">
        <v>5281.8870192307713</v>
      </c>
      <c r="AI119" s="198">
        <v>0</v>
      </c>
      <c r="AJ119" s="198">
        <v>3165.2526041666765</v>
      </c>
      <c r="AK119" s="198">
        <v>0</v>
      </c>
      <c r="AL119" s="198">
        <v>1104.3461538461586</v>
      </c>
      <c r="AM119" s="198">
        <v>0</v>
      </c>
      <c r="AN119" s="198">
        <v>1861.0865384615333</v>
      </c>
      <c r="AO119" s="198">
        <v>0</v>
      </c>
      <c r="AP119" s="198">
        <v>5233.7451923076878</v>
      </c>
      <c r="AQ119" s="198">
        <v>0</v>
      </c>
      <c r="AR119" s="198">
        <v>2160.1125000000038</v>
      </c>
      <c r="AS119" s="198">
        <v>0</v>
      </c>
      <c r="AT119" s="198">
        <v>10505.641826923078</v>
      </c>
      <c r="AU119" s="198">
        <v>0</v>
      </c>
      <c r="AV119" s="198">
        <v>8562.4675925925912</v>
      </c>
      <c r="AW119" s="198">
        <v>0</v>
      </c>
      <c r="AX119" s="198">
        <v>0</v>
      </c>
      <c r="AY119" s="198">
        <v>0</v>
      </c>
    </row>
    <row r="120" spans="2:51">
      <c r="B120" s="196">
        <v>10406</v>
      </c>
      <c r="C120" s="196" t="s">
        <v>123</v>
      </c>
      <c r="D120" s="198">
        <v>142.24999999999997</v>
      </c>
      <c r="E120" s="198">
        <v>0</v>
      </c>
      <c r="F120" s="198">
        <v>171.68999999999994</v>
      </c>
      <c r="G120" s="198">
        <v>0</v>
      </c>
      <c r="H120" s="198">
        <v>63.6799999999999</v>
      </c>
      <c r="I120" s="198">
        <v>0</v>
      </c>
      <c r="J120" s="198">
        <v>180.45673076923094</v>
      </c>
      <c r="K120" s="198">
        <v>0</v>
      </c>
      <c r="L120" s="198">
        <v>103.50781249999986</v>
      </c>
      <c r="M120" s="198">
        <v>0</v>
      </c>
      <c r="N120" s="198">
        <v>262.08796296296305</v>
      </c>
      <c r="O120" s="198">
        <v>0</v>
      </c>
      <c r="P120" s="198">
        <v>40.310000000000123</v>
      </c>
      <c r="Q120" s="198">
        <v>0</v>
      </c>
      <c r="R120" s="198">
        <v>17.670673076923048</v>
      </c>
      <c r="S120" s="198">
        <v>0</v>
      </c>
      <c r="T120" s="198">
        <v>65.956730769230703</v>
      </c>
      <c r="U120" s="198">
        <v>0</v>
      </c>
      <c r="V120" s="198">
        <v>0</v>
      </c>
      <c r="W120" s="198">
        <v>0</v>
      </c>
      <c r="X120" s="198">
        <v>25.511574074074144</v>
      </c>
      <c r="Y120" s="198">
        <v>0</v>
      </c>
      <c r="Z120" s="198">
        <v>20.794270833333293</v>
      </c>
      <c r="AA120" s="198">
        <v>0</v>
      </c>
      <c r="AB120" s="198">
        <v>142.21527777777774</v>
      </c>
      <c r="AC120" s="198">
        <v>0</v>
      </c>
      <c r="AD120" s="198">
        <v>171.68999999999994</v>
      </c>
      <c r="AE120" s="198">
        <v>0</v>
      </c>
      <c r="AF120" s="198">
        <v>63.6799999999999</v>
      </c>
      <c r="AG120" s="198">
        <v>0</v>
      </c>
      <c r="AH120" s="198">
        <v>180.45673076923094</v>
      </c>
      <c r="AI120" s="198">
        <v>0</v>
      </c>
      <c r="AJ120" s="198">
        <v>103.50781249999986</v>
      </c>
      <c r="AK120" s="198">
        <v>0</v>
      </c>
      <c r="AL120" s="198">
        <v>263.07932692307708</v>
      </c>
      <c r="AM120" s="198">
        <v>0</v>
      </c>
      <c r="AN120" s="198">
        <v>39.449519230769283</v>
      </c>
      <c r="AO120" s="198">
        <v>0</v>
      </c>
      <c r="AP120" s="198">
        <v>17.670673076923048</v>
      </c>
      <c r="AQ120" s="198">
        <v>0</v>
      </c>
      <c r="AR120" s="198">
        <v>66.062499999999915</v>
      </c>
      <c r="AS120" s="198">
        <v>0</v>
      </c>
      <c r="AT120" s="198">
        <v>0</v>
      </c>
      <c r="AU120" s="198">
        <v>0</v>
      </c>
      <c r="AV120" s="198">
        <v>25.511574074074144</v>
      </c>
      <c r="AW120" s="198">
        <v>0</v>
      </c>
      <c r="AX120" s="198">
        <v>20.794270833333293</v>
      </c>
      <c r="AY120" s="198">
        <v>0</v>
      </c>
    </row>
    <row r="121" spans="2:51">
      <c r="B121" s="196">
        <v>10408</v>
      </c>
      <c r="C121" s="196" t="s">
        <v>124</v>
      </c>
      <c r="D121" s="198">
        <v>101.23317307692322</v>
      </c>
      <c r="E121" s="198">
        <v>0</v>
      </c>
      <c r="F121" s="198">
        <v>86.417500000000032</v>
      </c>
      <c r="G121" s="198">
        <v>0</v>
      </c>
      <c r="H121" s="198">
        <v>145.36999999999998</v>
      </c>
      <c r="I121" s="198">
        <v>0</v>
      </c>
      <c r="J121" s="198">
        <v>183.96153846153828</v>
      </c>
      <c r="K121" s="198">
        <v>0</v>
      </c>
      <c r="L121" s="198">
        <v>114.01302083333339</v>
      </c>
      <c r="M121" s="198">
        <v>0</v>
      </c>
      <c r="N121" s="198">
        <v>264.96527777777811</v>
      </c>
      <c r="O121" s="198">
        <v>0</v>
      </c>
      <c r="P121" s="198">
        <v>120.79500000000009</v>
      </c>
      <c r="Q121" s="198">
        <v>0</v>
      </c>
      <c r="R121" s="198">
        <v>202.24038461538453</v>
      </c>
      <c r="S121" s="198">
        <v>0</v>
      </c>
      <c r="T121" s="198">
        <v>183.04326923076937</v>
      </c>
      <c r="U121" s="198">
        <v>0</v>
      </c>
      <c r="V121" s="198">
        <v>351.48249999999996</v>
      </c>
      <c r="W121" s="198">
        <v>0</v>
      </c>
      <c r="X121" s="198">
        <v>1094.8402777777776</v>
      </c>
      <c r="Y121" s="198">
        <v>0</v>
      </c>
      <c r="Z121" s="198">
        <v>0</v>
      </c>
      <c r="AA121" s="198">
        <v>0</v>
      </c>
      <c r="AB121" s="198">
        <v>156.89120370370367</v>
      </c>
      <c r="AC121" s="198">
        <v>0</v>
      </c>
      <c r="AD121" s="198">
        <v>86.417500000000032</v>
      </c>
      <c r="AE121" s="198">
        <v>0</v>
      </c>
      <c r="AF121" s="198">
        <v>145.36999999999998</v>
      </c>
      <c r="AG121" s="198">
        <v>0</v>
      </c>
      <c r="AH121" s="198">
        <v>183.96153846153828</v>
      </c>
      <c r="AI121" s="198">
        <v>0</v>
      </c>
      <c r="AJ121" s="198">
        <v>114.01302083333339</v>
      </c>
      <c r="AK121" s="198">
        <v>0</v>
      </c>
      <c r="AL121" s="198">
        <v>206.54086538461556</v>
      </c>
      <c r="AM121" s="198">
        <v>0</v>
      </c>
      <c r="AN121" s="198">
        <v>180.68750000000023</v>
      </c>
      <c r="AO121" s="198">
        <v>0</v>
      </c>
      <c r="AP121" s="198">
        <v>202.24038461538453</v>
      </c>
      <c r="AQ121" s="198">
        <v>0</v>
      </c>
      <c r="AR121" s="198">
        <v>133.48500000000013</v>
      </c>
      <c r="AS121" s="198">
        <v>0</v>
      </c>
      <c r="AT121" s="198">
        <v>392.0408653846153</v>
      </c>
      <c r="AU121" s="198">
        <v>0</v>
      </c>
      <c r="AV121" s="198">
        <v>1094.8402777777776</v>
      </c>
      <c r="AW121" s="198">
        <v>0</v>
      </c>
      <c r="AX121" s="198">
        <v>0</v>
      </c>
      <c r="AY121" s="198">
        <v>0</v>
      </c>
    </row>
    <row r="122" spans="2:51">
      <c r="B122" s="196">
        <v>10409</v>
      </c>
      <c r="C122" s="196" t="s">
        <v>125</v>
      </c>
      <c r="D122" s="198">
        <v>1410.221153846154</v>
      </c>
      <c r="E122" s="198">
        <v>0</v>
      </c>
      <c r="F122" s="198">
        <v>641.59500000000151</v>
      </c>
      <c r="G122" s="198">
        <v>0</v>
      </c>
      <c r="H122" s="198">
        <v>2218.0025000000005</v>
      </c>
      <c r="I122" s="198">
        <v>0</v>
      </c>
      <c r="J122" s="198">
        <v>1481.0600961538469</v>
      </c>
      <c r="K122" s="198">
        <v>0</v>
      </c>
      <c r="L122" s="198">
        <v>2146.3645833333339</v>
      </c>
      <c r="M122" s="198">
        <v>0</v>
      </c>
      <c r="N122" s="198">
        <v>1525.7129629629653</v>
      </c>
      <c r="O122" s="198">
        <v>0</v>
      </c>
      <c r="P122" s="198">
        <v>1014.8199999999998</v>
      </c>
      <c r="Q122" s="198">
        <v>0</v>
      </c>
      <c r="R122" s="198">
        <v>704.45913461538362</v>
      </c>
      <c r="S122" s="198">
        <v>0</v>
      </c>
      <c r="T122" s="198">
        <v>1648.5192307692296</v>
      </c>
      <c r="U122" s="198">
        <v>0</v>
      </c>
      <c r="V122" s="198">
        <v>1553.8424999999982</v>
      </c>
      <c r="W122" s="198">
        <v>0</v>
      </c>
      <c r="X122" s="198">
        <v>1357.7662037037037</v>
      </c>
      <c r="Y122" s="198">
        <v>0</v>
      </c>
      <c r="Z122" s="198">
        <v>650.99218749999955</v>
      </c>
      <c r="AA122" s="198">
        <v>0</v>
      </c>
      <c r="AB122" s="198">
        <v>1448.7870370370381</v>
      </c>
      <c r="AC122" s="198">
        <v>0</v>
      </c>
      <c r="AD122" s="198">
        <v>641.48250000000132</v>
      </c>
      <c r="AE122" s="198">
        <v>0</v>
      </c>
      <c r="AF122" s="198">
        <v>2217.9324999999994</v>
      </c>
      <c r="AG122" s="198">
        <v>0</v>
      </c>
      <c r="AH122" s="198">
        <v>1481.0216346153843</v>
      </c>
      <c r="AI122" s="198">
        <v>0</v>
      </c>
      <c r="AJ122" s="198">
        <v>2146.3333333333312</v>
      </c>
      <c r="AK122" s="198">
        <v>0</v>
      </c>
      <c r="AL122" s="198">
        <v>1490.4663461538505</v>
      </c>
      <c r="AM122" s="198">
        <v>0</v>
      </c>
      <c r="AN122" s="198">
        <v>1049.3076923076924</v>
      </c>
      <c r="AO122" s="198">
        <v>0</v>
      </c>
      <c r="AP122" s="198">
        <v>704.44471153846064</v>
      </c>
      <c r="AQ122" s="198">
        <v>0</v>
      </c>
      <c r="AR122" s="198">
        <v>1610.4299999999989</v>
      </c>
      <c r="AS122" s="198">
        <v>0</v>
      </c>
      <c r="AT122" s="198">
        <v>1595.6057692307688</v>
      </c>
      <c r="AU122" s="198">
        <v>0</v>
      </c>
      <c r="AV122" s="198">
        <v>1357.7662037037037</v>
      </c>
      <c r="AW122" s="198">
        <v>0</v>
      </c>
      <c r="AX122" s="198">
        <v>650.99218749999955</v>
      </c>
      <c r="AY122" s="198">
        <v>0</v>
      </c>
    </row>
    <row r="123" spans="2:51">
      <c r="B123" s="196">
        <v>10426</v>
      </c>
      <c r="C123" s="196" t="s">
        <v>126</v>
      </c>
      <c r="D123" s="198">
        <v>0</v>
      </c>
      <c r="E123" s="198">
        <v>0</v>
      </c>
      <c r="F123" s="198">
        <v>258.26499999999885</v>
      </c>
      <c r="G123" s="198">
        <v>0</v>
      </c>
      <c r="H123" s="198">
        <v>0</v>
      </c>
      <c r="I123" s="198">
        <v>0</v>
      </c>
      <c r="J123" s="198">
        <v>930.52884615384551</v>
      </c>
      <c r="K123" s="198">
        <v>0</v>
      </c>
      <c r="L123" s="198">
        <v>0</v>
      </c>
      <c r="M123" s="198">
        <v>0</v>
      </c>
      <c r="N123" s="198">
        <v>3596.9791666666656</v>
      </c>
      <c r="O123" s="198">
        <v>0</v>
      </c>
      <c r="P123" s="198">
        <v>0</v>
      </c>
      <c r="Q123" s="198">
        <v>0</v>
      </c>
      <c r="R123" s="198">
        <v>0</v>
      </c>
      <c r="S123" s="198">
        <v>0</v>
      </c>
      <c r="T123" s="198">
        <v>0</v>
      </c>
      <c r="U123" s="198">
        <v>0</v>
      </c>
      <c r="V123" s="198">
        <v>0</v>
      </c>
      <c r="W123" s="198">
        <v>0</v>
      </c>
      <c r="X123" s="198">
        <v>0</v>
      </c>
      <c r="Y123" s="198">
        <v>0</v>
      </c>
      <c r="Z123" s="198">
        <v>0</v>
      </c>
      <c r="AA123" s="198">
        <v>0</v>
      </c>
      <c r="AB123" s="198">
        <v>0</v>
      </c>
      <c r="AC123" s="198">
        <v>0</v>
      </c>
      <c r="AD123" s="198">
        <v>0</v>
      </c>
      <c r="AE123" s="198">
        <v>0</v>
      </c>
      <c r="AF123" s="198">
        <v>0</v>
      </c>
      <c r="AG123" s="198">
        <v>0</v>
      </c>
      <c r="AH123" s="198">
        <v>2930.3173076923104</v>
      </c>
      <c r="AI123" s="198">
        <v>0</v>
      </c>
      <c r="AJ123" s="198">
        <v>0</v>
      </c>
      <c r="AK123" s="198">
        <v>0</v>
      </c>
      <c r="AL123" s="198">
        <v>1636.0697115384592</v>
      </c>
      <c r="AM123" s="198">
        <v>0</v>
      </c>
      <c r="AN123" s="198">
        <v>0</v>
      </c>
      <c r="AO123" s="198">
        <v>0</v>
      </c>
      <c r="AP123" s="198">
        <v>0</v>
      </c>
      <c r="AQ123" s="198">
        <v>0</v>
      </c>
      <c r="AR123" s="198">
        <v>0</v>
      </c>
      <c r="AS123" s="198">
        <v>0</v>
      </c>
      <c r="AT123" s="198">
        <v>0</v>
      </c>
      <c r="AU123" s="198">
        <v>0</v>
      </c>
      <c r="AV123" s="198">
        <v>0</v>
      </c>
      <c r="AW123" s="198">
        <v>0</v>
      </c>
      <c r="AX123" s="198">
        <v>0</v>
      </c>
      <c r="AY123" s="198">
        <v>0</v>
      </c>
    </row>
    <row r="124" spans="2:51">
      <c r="B124" s="196">
        <v>10434</v>
      </c>
      <c r="C124" s="196" t="s">
        <v>127</v>
      </c>
      <c r="D124" s="198">
        <v>4186.6466346153811</v>
      </c>
      <c r="E124" s="198">
        <v>0</v>
      </c>
      <c r="F124" s="198">
        <v>4245.6374999999989</v>
      </c>
      <c r="G124" s="198">
        <v>0</v>
      </c>
      <c r="H124" s="198">
        <v>4827.4849999999942</v>
      </c>
      <c r="I124" s="198">
        <v>0</v>
      </c>
      <c r="J124" s="198">
        <v>3813.3533653846071</v>
      </c>
      <c r="K124" s="198">
        <v>0</v>
      </c>
      <c r="L124" s="198">
        <v>3115.2213541666692</v>
      </c>
      <c r="M124" s="198">
        <v>0</v>
      </c>
      <c r="N124" s="198">
        <v>6190.5370370370365</v>
      </c>
      <c r="O124" s="198">
        <v>0</v>
      </c>
      <c r="P124" s="198">
        <v>4530.1424999999981</v>
      </c>
      <c r="Q124" s="198">
        <v>0</v>
      </c>
      <c r="R124" s="198">
        <v>3694.3653846153798</v>
      </c>
      <c r="S124" s="198">
        <v>0</v>
      </c>
      <c r="T124" s="198">
        <v>3389.1394230769192</v>
      </c>
      <c r="U124" s="198">
        <v>0</v>
      </c>
      <c r="V124" s="198">
        <v>4448.4350000000022</v>
      </c>
      <c r="W124" s="198">
        <v>0</v>
      </c>
      <c r="X124" s="198">
        <v>4701.1990740740739</v>
      </c>
      <c r="Y124" s="198">
        <v>0</v>
      </c>
      <c r="Z124" s="198">
        <v>6168.3333333333321</v>
      </c>
      <c r="AA124" s="198">
        <v>0</v>
      </c>
      <c r="AB124" s="198">
        <v>5338.9097222222217</v>
      </c>
      <c r="AC124" s="198">
        <v>0</v>
      </c>
      <c r="AD124" s="198">
        <v>4368.7799999999988</v>
      </c>
      <c r="AE124" s="198">
        <v>0</v>
      </c>
      <c r="AF124" s="198">
        <v>4927.3324999999968</v>
      </c>
      <c r="AG124" s="198">
        <v>0</v>
      </c>
      <c r="AH124" s="198">
        <v>3913.5745192307709</v>
      </c>
      <c r="AI124" s="198">
        <v>0</v>
      </c>
      <c r="AJ124" s="198">
        <v>3221.2161458333294</v>
      </c>
      <c r="AK124" s="198">
        <v>0</v>
      </c>
      <c r="AL124" s="198">
        <v>5059.1105769230799</v>
      </c>
      <c r="AM124" s="198">
        <v>0</v>
      </c>
      <c r="AN124" s="198">
        <v>5752.387019230765</v>
      </c>
      <c r="AO124" s="198">
        <v>0</v>
      </c>
      <c r="AP124" s="198">
        <v>3792.6947115384583</v>
      </c>
      <c r="AQ124" s="198">
        <v>0</v>
      </c>
      <c r="AR124" s="198">
        <v>2451.7899999999991</v>
      </c>
      <c r="AS124" s="198">
        <v>0</v>
      </c>
      <c r="AT124" s="198">
        <v>5908.338942307686</v>
      </c>
      <c r="AU124" s="198">
        <v>0</v>
      </c>
      <c r="AV124" s="198">
        <v>4850.5902777777819</v>
      </c>
      <c r="AW124" s="198">
        <v>0</v>
      </c>
      <c r="AX124" s="198">
        <v>6287.130208333333</v>
      </c>
      <c r="AY124" s="198">
        <v>0</v>
      </c>
    </row>
    <row r="125" spans="2:51">
      <c r="B125" s="196">
        <v>10436</v>
      </c>
      <c r="C125" s="196" t="s">
        <v>128</v>
      </c>
      <c r="D125" s="198">
        <v>2487.6442307692282</v>
      </c>
      <c r="E125" s="198">
        <v>0</v>
      </c>
      <c r="F125" s="198">
        <v>2937.8649999999975</v>
      </c>
      <c r="G125" s="198">
        <v>0</v>
      </c>
      <c r="H125" s="198">
        <v>1801.6624999999999</v>
      </c>
      <c r="I125" s="198">
        <v>0</v>
      </c>
      <c r="J125" s="198">
        <v>4057.6105769230767</v>
      </c>
      <c r="K125" s="198">
        <v>0</v>
      </c>
      <c r="L125" s="198">
        <v>1366.0781250000014</v>
      </c>
      <c r="M125" s="198">
        <v>0</v>
      </c>
      <c r="N125" s="198">
        <v>2803.537037037036</v>
      </c>
      <c r="O125" s="198">
        <v>0</v>
      </c>
      <c r="P125" s="198">
        <v>3509.6874999999973</v>
      </c>
      <c r="Q125" s="198">
        <v>0</v>
      </c>
      <c r="R125" s="198">
        <v>5400.5673076923167</v>
      </c>
      <c r="S125" s="198">
        <v>0</v>
      </c>
      <c r="T125" s="198">
        <v>6750.1009615384655</v>
      </c>
      <c r="U125" s="198">
        <v>0</v>
      </c>
      <c r="V125" s="198">
        <v>4729.6899999999923</v>
      </c>
      <c r="W125" s="198">
        <v>0</v>
      </c>
      <c r="X125" s="198">
        <v>6245.1273148148075</v>
      </c>
      <c r="Y125" s="198">
        <v>0</v>
      </c>
      <c r="Z125" s="198">
        <v>3628.846354166667</v>
      </c>
      <c r="AA125" s="198">
        <v>0</v>
      </c>
      <c r="AB125" s="198">
        <v>3316.527777777776</v>
      </c>
      <c r="AC125" s="198">
        <v>0</v>
      </c>
      <c r="AD125" s="198">
        <v>3192.6849999999999</v>
      </c>
      <c r="AE125" s="198">
        <v>0</v>
      </c>
      <c r="AF125" s="198">
        <v>2030.2125000000019</v>
      </c>
      <c r="AG125" s="198">
        <v>0</v>
      </c>
      <c r="AH125" s="198">
        <v>4184.2668269230735</v>
      </c>
      <c r="AI125" s="198">
        <v>0</v>
      </c>
      <c r="AJ125" s="198">
        <v>2427.6406249999986</v>
      </c>
      <c r="AK125" s="198">
        <v>0</v>
      </c>
      <c r="AL125" s="198">
        <v>2299.0745192307668</v>
      </c>
      <c r="AM125" s="198">
        <v>0</v>
      </c>
      <c r="AN125" s="198">
        <v>4252.5552884615408</v>
      </c>
      <c r="AO125" s="198">
        <v>0</v>
      </c>
      <c r="AP125" s="198">
        <v>5619.7403846153866</v>
      </c>
      <c r="AQ125" s="198">
        <v>0</v>
      </c>
      <c r="AR125" s="198">
        <v>5691.1549999999997</v>
      </c>
      <c r="AS125" s="198">
        <v>0</v>
      </c>
      <c r="AT125" s="198">
        <v>6300.3509615384646</v>
      </c>
      <c r="AU125" s="198">
        <v>0</v>
      </c>
      <c r="AV125" s="198">
        <v>6436.5069444444443</v>
      </c>
      <c r="AW125" s="198">
        <v>0</v>
      </c>
      <c r="AX125" s="198">
        <v>3774.0598958333339</v>
      </c>
      <c r="AY125" s="198">
        <v>0</v>
      </c>
    </row>
    <row r="126" spans="2:51">
      <c r="B126" s="196">
        <v>10440</v>
      </c>
      <c r="C126" s="196" t="s">
        <v>129</v>
      </c>
      <c r="D126" s="198">
        <v>337.45913461538504</v>
      </c>
      <c r="E126" s="198">
        <v>0</v>
      </c>
      <c r="F126" s="198">
        <v>810.27250000000038</v>
      </c>
      <c r="G126" s="198">
        <v>0</v>
      </c>
      <c r="H126" s="198">
        <v>1434.6224999999988</v>
      </c>
      <c r="I126" s="198">
        <v>0</v>
      </c>
      <c r="J126" s="198">
        <v>1420.0336538461543</v>
      </c>
      <c r="K126" s="198">
        <v>0</v>
      </c>
      <c r="L126" s="198">
        <v>1034.3984374999998</v>
      </c>
      <c r="M126" s="198">
        <v>0</v>
      </c>
      <c r="N126" s="198">
        <v>1625.9398148148141</v>
      </c>
      <c r="O126" s="198">
        <v>0</v>
      </c>
      <c r="P126" s="198">
        <v>820.3125</v>
      </c>
      <c r="Q126" s="198">
        <v>0</v>
      </c>
      <c r="R126" s="198">
        <v>0</v>
      </c>
      <c r="S126" s="198">
        <v>0</v>
      </c>
      <c r="T126" s="198">
        <v>88.228365384615429</v>
      </c>
      <c r="U126" s="198">
        <v>0</v>
      </c>
      <c r="V126" s="198">
        <v>412.57</v>
      </c>
      <c r="W126" s="198">
        <v>0</v>
      </c>
      <c r="X126" s="198">
        <v>589.8171296296299</v>
      </c>
      <c r="Y126" s="198">
        <v>0</v>
      </c>
      <c r="Z126" s="198">
        <v>0</v>
      </c>
      <c r="AA126" s="198">
        <v>0</v>
      </c>
      <c r="AB126" s="198">
        <v>348.09953703703701</v>
      </c>
      <c r="AC126" s="198">
        <v>0</v>
      </c>
      <c r="AD126" s="198">
        <v>810.27250000000038</v>
      </c>
      <c r="AE126" s="198">
        <v>0</v>
      </c>
      <c r="AF126" s="198">
        <v>1434.6224999999988</v>
      </c>
      <c r="AG126" s="198">
        <v>0</v>
      </c>
      <c r="AH126" s="198">
        <v>1420.0336538461543</v>
      </c>
      <c r="AI126" s="198">
        <v>0</v>
      </c>
      <c r="AJ126" s="198">
        <v>1034.3984374999998</v>
      </c>
      <c r="AK126" s="198">
        <v>0</v>
      </c>
      <c r="AL126" s="198">
        <v>1616.7596153846148</v>
      </c>
      <c r="AM126" s="198">
        <v>0</v>
      </c>
      <c r="AN126" s="198">
        <v>828.97355769230876</v>
      </c>
      <c r="AO126" s="198">
        <v>0</v>
      </c>
      <c r="AP126" s="198">
        <v>0</v>
      </c>
      <c r="AQ126" s="198">
        <v>0</v>
      </c>
      <c r="AR126" s="198">
        <v>79.465000000000344</v>
      </c>
      <c r="AS126" s="198">
        <v>0</v>
      </c>
      <c r="AT126" s="198">
        <v>422.28846153846155</v>
      </c>
      <c r="AU126" s="198">
        <v>0</v>
      </c>
      <c r="AV126" s="198">
        <v>589.8171296296299</v>
      </c>
      <c r="AW126" s="198">
        <v>0</v>
      </c>
      <c r="AX126" s="198">
        <v>0</v>
      </c>
      <c r="AY126" s="198">
        <v>0</v>
      </c>
    </row>
    <row r="127" spans="2:51">
      <c r="B127" s="196">
        <v>10442</v>
      </c>
      <c r="C127" s="196" t="s">
        <v>130</v>
      </c>
      <c r="D127" s="198">
        <v>2749.3870192307668</v>
      </c>
      <c r="E127" s="198">
        <v>0</v>
      </c>
      <c r="F127" s="198">
        <v>5664.9649999999983</v>
      </c>
      <c r="G127" s="198">
        <v>0</v>
      </c>
      <c r="H127" s="198">
        <v>5505.5124999999989</v>
      </c>
      <c r="I127" s="198">
        <v>0</v>
      </c>
      <c r="J127" s="198">
        <v>4134.3341346153838</v>
      </c>
      <c r="K127" s="198">
        <v>0</v>
      </c>
      <c r="L127" s="198">
        <v>2993.2317708333348</v>
      </c>
      <c r="M127" s="198">
        <v>0</v>
      </c>
      <c r="N127" s="198">
        <v>3349.7986111111118</v>
      </c>
      <c r="O127" s="198">
        <v>0</v>
      </c>
      <c r="P127" s="198">
        <v>2301.5274999999988</v>
      </c>
      <c r="Q127" s="198">
        <v>0</v>
      </c>
      <c r="R127" s="198">
        <v>2087.5360576923085</v>
      </c>
      <c r="S127" s="198">
        <v>0</v>
      </c>
      <c r="T127" s="198">
        <v>3052.1346153846148</v>
      </c>
      <c r="U127" s="198">
        <v>0</v>
      </c>
      <c r="V127" s="198">
        <v>3183.4625000000015</v>
      </c>
      <c r="W127" s="198">
        <v>0</v>
      </c>
      <c r="X127" s="198">
        <v>2818.9490740740725</v>
      </c>
      <c r="Y127" s="198">
        <v>0</v>
      </c>
      <c r="Z127" s="198">
        <v>678.64843750000102</v>
      </c>
      <c r="AA127" s="198">
        <v>0</v>
      </c>
      <c r="AB127" s="198">
        <v>2744.1203703703713</v>
      </c>
      <c r="AC127" s="198">
        <v>0</v>
      </c>
      <c r="AD127" s="198">
        <v>5663.9650000000011</v>
      </c>
      <c r="AE127" s="198">
        <v>0</v>
      </c>
      <c r="AF127" s="198">
        <v>5505.5074999999979</v>
      </c>
      <c r="AG127" s="198">
        <v>0</v>
      </c>
      <c r="AH127" s="198">
        <v>4135.3125</v>
      </c>
      <c r="AI127" s="198">
        <v>0</v>
      </c>
      <c r="AJ127" s="198">
        <v>2992.2317708333335</v>
      </c>
      <c r="AK127" s="198">
        <v>0</v>
      </c>
      <c r="AL127" s="198">
        <v>3362.8125000000005</v>
      </c>
      <c r="AM127" s="198">
        <v>0</v>
      </c>
      <c r="AN127" s="198">
        <v>2294.5408653846134</v>
      </c>
      <c r="AO127" s="198">
        <v>0</v>
      </c>
      <c r="AP127" s="198">
        <v>2087.5384615384614</v>
      </c>
      <c r="AQ127" s="198">
        <v>0</v>
      </c>
      <c r="AR127" s="198">
        <v>3049.2299999999996</v>
      </c>
      <c r="AS127" s="198">
        <v>0</v>
      </c>
      <c r="AT127" s="198">
        <v>3197.8557692307672</v>
      </c>
      <c r="AU127" s="198">
        <v>0</v>
      </c>
      <c r="AV127" s="198">
        <v>2818.9467592592582</v>
      </c>
      <c r="AW127" s="198">
        <v>0</v>
      </c>
      <c r="AX127" s="198">
        <v>678.64843750000102</v>
      </c>
      <c r="AY127" s="198">
        <v>0</v>
      </c>
    </row>
    <row r="128" spans="2:51">
      <c r="B128" s="196">
        <v>10446</v>
      </c>
      <c r="C128" s="196" t="s">
        <v>131</v>
      </c>
      <c r="D128" s="198">
        <v>5051.495192307686</v>
      </c>
      <c r="E128" s="198">
        <v>0</v>
      </c>
      <c r="F128" s="198">
        <v>8517.8024999999943</v>
      </c>
      <c r="G128" s="198">
        <v>0</v>
      </c>
      <c r="H128" s="198">
        <v>11040.67249999999</v>
      </c>
      <c r="I128" s="198">
        <v>0</v>
      </c>
      <c r="J128" s="198">
        <v>10202.512019230766</v>
      </c>
      <c r="K128" s="198">
        <v>0</v>
      </c>
      <c r="L128" s="198">
        <v>6324.5208333333421</v>
      </c>
      <c r="M128" s="198">
        <v>0</v>
      </c>
      <c r="N128" s="198">
        <v>8567.5416666666715</v>
      </c>
      <c r="O128" s="198">
        <v>0</v>
      </c>
      <c r="P128" s="198">
        <v>6276.4275000000025</v>
      </c>
      <c r="Q128" s="198">
        <v>0</v>
      </c>
      <c r="R128" s="198">
        <v>4685.6225961538521</v>
      </c>
      <c r="S128" s="198">
        <v>0</v>
      </c>
      <c r="T128" s="198">
        <v>8190.2596153846034</v>
      </c>
      <c r="U128" s="198">
        <v>0</v>
      </c>
      <c r="V128" s="198">
        <v>7915.9324999999972</v>
      </c>
      <c r="W128" s="198">
        <v>0</v>
      </c>
      <c r="X128" s="198">
        <v>8232.6458333333358</v>
      </c>
      <c r="Y128" s="198">
        <v>0</v>
      </c>
      <c r="Z128" s="198">
        <v>7883.520833333333</v>
      </c>
      <c r="AA128" s="198">
        <v>0</v>
      </c>
      <c r="AB128" s="198">
        <v>4837.8310185185173</v>
      </c>
      <c r="AC128" s="198">
        <v>0</v>
      </c>
      <c r="AD128" s="198">
        <v>8227.2099999999919</v>
      </c>
      <c r="AE128" s="198">
        <v>0</v>
      </c>
      <c r="AF128" s="198">
        <v>10753.169999999989</v>
      </c>
      <c r="AG128" s="198">
        <v>0</v>
      </c>
      <c r="AH128" s="198">
        <v>9570.8918269230744</v>
      </c>
      <c r="AI128" s="198">
        <v>0</v>
      </c>
      <c r="AJ128" s="198">
        <v>5692.7135416666533</v>
      </c>
      <c r="AK128" s="198">
        <v>0</v>
      </c>
      <c r="AL128" s="198">
        <v>7889.8774038461588</v>
      </c>
      <c r="AM128" s="198">
        <v>0</v>
      </c>
      <c r="AN128" s="198">
        <v>5766.0697115384401</v>
      </c>
      <c r="AO128" s="198">
        <v>0</v>
      </c>
      <c r="AP128" s="198">
        <v>4159.7307692307659</v>
      </c>
      <c r="AQ128" s="198">
        <v>0</v>
      </c>
      <c r="AR128" s="198">
        <v>7470.0849999999946</v>
      </c>
      <c r="AS128" s="198">
        <v>0</v>
      </c>
      <c r="AT128" s="198">
        <v>7377.9062499999955</v>
      </c>
      <c r="AU128" s="198">
        <v>0</v>
      </c>
      <c r="AV128" s="198">
        <v>7593.3402777777701</v>
      </c>
      <c r="AW128" s="198">
        <v>0</v>
      </c>
      <c r="AX128" s="198">
        <v>7253.7552083333421</v>
      </c>
      <c r="AY128" s="198">
        <v>0</v>
      </c>
    </row>
    <row r="129" spans="2:51">
      <c r="B129" s="196">
        <v>10448</v>
      </c>
      <c r="C129" s="196" t="s">
        <v>132</v>
      </c>
      <c r="D129" s="198">
        <v>0</v>
      </c>
      <c r="E129" s="198">
        <v>0</v>
      </c>
      <c r="F129" s="198">
        <v>0</v>
      </c>
      <c r="G129" s="198">
        <v>0</v>
      </c>
      <c r="H129" s="198">
        <v>0</v>
      </c>
      <c r="I129" s="198">
        <v>0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0</v>
      </c>
      <c r="Q129" s="198">
        <v>0</v>
      </c>
      <c r="R129" s="198">
        <v>0</v>
      </c>
      <c r="S129" s="198">
        <v>0</v>
      </c>
      <c r="T129" s="198">
        <v>0</v>
      </c>
      <c r="U129" s="198">
        <v>0</v>
      </c>
      <c r="V129" s="198">
        <v>0</v>
      </c>
      <c r="W129" s="198">
        <v>0</v>
      </c>
      <c r="X129" s="198">
        <v>0</v>
      </c>
      <c r="Y129" s="198">
        <v>0</v>
      </c>
      <c r="Z129" s="198">
        <v>0</v>
      </c>
      <c r="AA129" s="198">
        <v>0</v>
      </c>
      <c r="AB129" s="198">
        <v>0</v>
      </c>
      <c r="AC129" s="198">
        <v>0</v>
      </c>
      <c r="AD129" s="198">
        <v>0</v>
      </c>
      <c r="AE129" s="198">
        <v>0</v>
      </c>
      <c r="AF129" s="198">
        <v>0</v>
      </c>
      <c r="AG129" s="198">
        <v>0</v>
      </c>
      <c r="AH129" s="198">
        <v>0</v>
      </c>
      <c r="AI129" s="198">
        <v>0</v>
      </c>
      <c r="AJ129" s="198">
        <v>0</v>
      </c>
      <c r="AK129" s="198">
        <v>0</v>
      </c>
      <c r="AL129" s="198">
        <v>0</v>
      </c>
      <c r="AM129" s="198">
        <v>0</v>
      </c>
      <c r="AN129" s="198">
        <v>0</v>
      </c>
      <c r="AO129" s="198">
        <v>0</v>
      </c>
      <c r="AP129" s="198">
        <v>0</v>
      </c>
      <c r="AQ129" s="198">
        <v>0</v>
      </c>
      <c r="AR129" s="198">
        <v>0</v>
      </c>
      <c r="AS129" s="198">
        <v>0</v>
      </c>
      <c r="AT129" s="198">
        <v>0</v>
      </c>
      <c r="AU129" s="198">
        <v>0</v>
      </c>
      <c r="AV129" s="198">
        <v>0</v>
      </c>
      <c r="AW129" s="198">
        <v>0</v>
      </c>
      <c r="AX129" s="198">
        <v>0</v>
      </c>
      <c r="AY129" s="198">
        <v>0</v>
      </c>
    </row>
    <row r="130" spans="2:51">
      <c r="B130" s="196">
        <v>10451</v>
      </c>
      <c r="C130" s="196" t="s">
        <v>133</v>
      </c>
      <c r="D130" s="198">
        <v>1642.2596153846171</v>
      </c>
      <c r="E130" s="198">
        <v>0</v>
      </c>
      <c r="F130" s="198">
        <v>2101.8074999999994</v>
      </c>
      <c r="G130" s="198">
        <v>0</v>
      </c>
      <c r="H130" s="198">
        <v>2202.8750000000023</v>
      </c>
      <c r="I130" s="198">
        <v>0</v>
      </c>
      <c r="J130" s="198">
        <v>1896.03125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1757.8125</v>
      </c>
      <c r="Q130" s="198">
        <v>0</v>
      </c>
      <c r="R130" s="198">
        <v>1763.805288461537</v>
      </c>
      <c r="S130" s="198">
        <v>0</v>
      </c>
      <c r="T130" s="198">
        <v>2283.6706730769229</v>
      </c>
      <c r="U130" s="198">
        <v>0</v>
      </c>
      <c r="V130" s="198">
        <v>1480.3125000000002</v>
      </c>
      <c r="W130" s="198">
        <v>0</v>
      </c>
      <c r="X130" s="198">
        <v>1701.9166666666692</v>
      </c>
      <c r="Y130" s="198">
        <v>0</v>
      </c>
      <c r="Z130" s="198">
        <v>1594.1510416666667</v>
      </c>
      <c r="AA130" s="198">
        <v>0</v>
      </c>
      <c r="AB130" s="198">
        <v>1637.6180555555529</v>
      </c>
      <c r="AC130" s="198">
        <v>0</v>
      </c>
      <c r="AD130" s="198">
        <v>2101.8074999999994</v>
      </c>
      <c r="AE130" s="198">
        <v>0</v>
      </c>
      <c r="AF130" s="198">
        <v>2202.8750000000023</v>
      </c>
      <c r="AG130" s="198">
        <v>0</v>
      </c>
      <c r="AH130" s="198">
        <v>1896.03125</v>
      </c>
      <c r="AI130" s="198">
        <v>0</v>
      </c>
      <c r="AJ130" s="198">
        <v>0</v>
      </c>
      <c r="AK130" s="198">
        <v>0</v>
      </c>
      <c r="AL130" s="198">
        <v>0</v>
      </c>
      <c r="AM130" s="198">
        <v>0</v>
      </c>
      <c r="AN130" s="198">
        <v>1751.6899038461524</v>
      </c>
      <c r="AO130" s="198">
        <v>0</v>
      </c>
      <c r="AP130" s="198">
        <v>1763.805288461537</v>
      </c>
      <c r="AQ130" s="198">
        <v>0</v>
      </c>
      <c r="AR130" s="198">
        <v>2288.2700000000009</v>
      </c>
      <c r="AS130" s="198">
        <v>0</v>
      </c>
      <c r="AT130" s="198">
        <v>1477.5841346153838</v>
      </c>
      <c r="AU130" s="198">
        <v>0</v>
      </c>
      <c r="AV130" s="198">
        <v>1701.9166666666692</v>
      </c>
      <c r="AW130" s="198">
        <v>0</v>
      </c>
      <c r="AX130" s="198">
        <v>1594.1510416666667</v>
      </c>
      <c r="AY130" s="198">
        <v>0</v>
      </c>
    </row>
    <row r="131" spans="2:51">
      <c r="B131" s="196">
        <v>10482</v>
      </c>
      <c r="C131" s="196" t="s">
        <v>134</v>
      </c>
      <c r="D131" s="198">
        <v>309.12499999999989</v>
      </c>
      <c r="E131" s="198">
        <v>0</v>
      </c>
      <c r="F131" s="198">
        <v>352.02500000000038</v>
      </c>
      <c r="G131" s="198">
        <v>0</v>
      </c>
      <c r="H131" s="198">
        <v>436.56250000000006</v>
      </c>
      <c r="I131" s="198">
        <v>0</v>
      </c>
      <c r="J131" s="198">
        <v>470.22115384615392</v>
      </c>
      <c r="K131" s="198">
        <v>0</v>
      </c>
      <c r="L131" s="198">
        <v>274.66145833333377</v>
      </c>
      <c r="M131" s="198">
        <v>0</v>
      </c>
      <c r="N131" s="198">
        <v>355.36342592592575</v>
      </c>
      <c r="O131" s="198">
        <v>0</v>
      </c>
      <c r="P131" s="198">
        <v>339.71999999999991</v>
      </c>
      <c r="Q131" s="198">
        <v>0</v>
      </c>
      <c r="R131" s="198">
        <v>438.8725961538463</v>
      </c>
      <c r="S131" s="198">
        <v>0</v>
      </c>
      <c r="T131" s="198">
        <v>436.16346153846149</v>
      </c>
      <c r="U131" s="198">
        <v>0</v>
      </c>
      <c r="V131" s="198">
        <v>548.96500000000037</v>
      </c>
      <c r="W131" s="198">
        <v>0</v>
      </c>
      <c r="X131" s="198">
        <v>815.5555555555552</v>
      </c>
      <c r="Y131" s="198">
        <v>0</v>
      </c>
      <c r="Z131" s="198">
        <v>703.3307291666664</v>
      </c>
      <c r="AA131" s="198">
        <v>0</v>
      </c>
      <c r="AB131" s="198">
        <v>303.50694444444446</v>
      </c>
      <c r="AC131" s="198">
        <v>0</v>
      </c>
      <c r="AD131" s="198">
        <v>352.02500000000038</v>
      </c>
      <c r="AE131" s="198">
        <v>0</v>
      </c>
      <c r="AF131" s="198">
        <v>436.56250000000006</v>
      </c>
      <c r="AG131" s="198">
        <v>0</v>
      </c>
      <c r="AH131" s="198">
        <v>470.22115384615392</v>
      </c>
      <c r="AI131" s="198">
        <v>0</v>
      </c>
      <c r="AJ131" s="198">
        <v>274.66145833333377</v>
      </c>
      <c r="AK131" s="198">
        <v>0</v>
      </c>
      <c r="AL131" s="198">
        <v>359.99999999999989</v>
      </c>
      <c r="AM131" s="198">
        <v>0</v>
      </c>
      <c r="AN131" s="198">
        <v>334.5841346153843</v>
      </c>
      <c r="AO131" s="198">
        <v>0</v>
      </c>
      <c r="AP131" s="198">
        <v>438.8725961538463</v>
      </c>
      <c r="AQ131" s="198">
        <v>0</v>
      </c>
      <c r="AR131" s="198">
        <v>439.75500000000005</v>
      </c>
      <c r="AS131" s="198">
        <v>0</v>
      </c>
      <c r="AT131" s="198">
        <v>547.45192307692344</v>
      </c>
      <c r="AU131" s="198">
        <v>0</v>
      </c>
      <c r="AV131" s="198">
        <v>815.5555555555552</v>
      </c>
      <c r="AW131" s="198">
        <v>0</v>
      </c>
      <c r="AX131" s="198">
        <v>703.3307291666664</v>
      </c>
      <c r="AY131" s="198">
        <v>0</v>
      </c>
    </row>
    <row r="132" spans="2:51">
      <c r="B132" s="196">
        <v>10502</v>
      </c>
      <c r="C132" s="196" t="s">
        <v>135</v>
      </c>
      <c r="D132" s="198">
        <v>2140.9975961538466</v>
      </c>
      <c r="E132" s="198">
        <v>0</v>
      </c>
      <c r="F132" s="198">
        <v>3904.1150000000002</v>
      </c>
      <c r="G132" s="198">
        <v>0</v>
      </c>
      <c r="H132" s="198">
        <v>0</v>
      </c>
      <c r="I132" s="198">
        <v>0</v>
      </c>
      <c r="J132" s="198">
        <v>546.55528846154016</v>
      </c>
      <c r="K132" s="198">
        <v>0</v>
      </c>
      <c r="L132" s="198">
        <v>0</v>
      </c>
      <c r="M132" s="198">
        <v>0</v>
      </c>
      <c r="N132" s="198">
        <v>1708.5324074074085</v>
      </c>
      <c r="O132" s="198">
        <v>0</v>
      </c>
      <c r="P132" s="198">
        <v>4452.5375000000013</v>
      </c>
      <c r="Q132" s="198">
        <v>0</v>
      </c>
      <c r="R132" s="198">
        <v>4736.5745192307659</v>
      </c>
      <c r="S132" s="198">
        <v>0</v>
      </c>
      <c r="T132" s="198">
        <v>3268.329326923078</v>
      </c>
      <c r="U132" s="198">
        <v>0</v>
      </c>
      <c r="V132" s="198">
        <v>2392.910000000003</v>
      </c>
      <c r="W132" s="198">
        <v>0</v>
      </c>
      <c r="X132" s="198">
        <v>4916.9652777777783</v>
      </c>
      <c r="Y132" s="198">
        <v>0</v>
      </c>
      <c r="Z132" s="198">
        <v>4147.9348958333285</v>
      </c>
      <c r="AA132" s="198">
        <v>0</v>
      </c>
      <c r="AB132" s="198">
        <v>3158.94675925926</v>
      </c>
      <c r="AC132" s="198">
        <v>0</v>
      </c>
      <c r="AD132" s="198">
        <v>4264.0300000000034</v>
      </c>
      <c r="AE132" s="198">
        <v>0</v>
      </c>
      <c r="AF132" s="198">
        <v>137.36499999999907</v>
      </c>
      <c r="AG132" s="198">
        <v>0</v>
      </c>
      <c r="AH132" s="198">
        <v>779.71153846153697</v>
      </c>
      <c r="AI132" s="198">
        <v>0</v>
      </c>
      <c r="AJ132" s="198">
        <v>0</v>
      </c>
      <c r="AK132" s="198">
        <v>0</v>
      </c>
      <c r="AL132" s="198">
        <v>1474.8533653846141</v>
      </c>
      <c r="AM132" s="198">
        <v>0</v>
      </c>
      <c r="AN132" s="198">
        <v>5051.7019230769201</v>
      </c>
      <c r="AO132" s="198">
        <v>0</v>
      </c>
      <c r="AP132" s="198">
        <v>5024.8822115384628</v>
      </c>
      <c r="AQ132" s="198">
        <v>0</v>
      </c>
      <c r="AR132" s="198">
        <v>2648.449999999998</v>
      </c>
      <c r="AS132" s="198">
        <v>0</v>
      </c>
      <c r="AT132" s="198">
        <v>3678.3341346153861</v>
      </c>
      <c r="AU132" s="198">
        <v>0</v>
      </c>
      <c r="AV132" s="198">
        <v>5096.5300925925958</v>
      </c>
      <c r="AW132" s="198">
        <v>0</v>
      </c>
      <c r="AX132" s="198">
        <v>4494.3411458333367</v>
      </c>
      <c r="AY132" s="198">
        <v>0</v>
      </c>
    </row>
    <row r="133" spans="2:51">
      <c r="B133" s="196">
        <v>13927</v>
      </c>
      <c r="C133" s="196" t="s">
        <v>320</v>
      </c>
      <c r="D133" s="198">
        <v>27.129807692307438</v>
      </c>
      <c r="E133" s="198">
        <v>0</v>
      </c>
      <c r="F133" s="198">
        <v>509.02749999999975</v>
      </c>
      <c r="G133" s="198">
        <v>0</v>
      </c>
      <c r="H133" s="198">
        <v>288.45249999999976</v>
      </c>
      <c r="I133" s="198">
        <v>0</v>
      </c>
      <c r="J133" s="198">
        <v>625.94711538461513</v>
      </c>
      <c r="K133" s="198">
        <v>0</v>
      </c>
      <c r="L133" s="198">
        <v>394.69270833333337</v>
      </c>
      <c r="M133" s="198">
        <v>0</v>
      </c>
      <c r="N133" s="198">
        <v>499.12731481481438</v>
      </c>
      <c r="O133" s="198">
        <v>0</v>
      </c>
      <c r="P133" s="198">
        <v>0</v>
      </c>
      <c r="Q133" s="198">
        <v>0</v>
      </c>
      <c r="R133" s="198">
        <v>343.61538461538407</v>
      </c>
      <c r="S133" s="198">
        <v>0</v>
      </c>
      <c r="T133" s="198">
        <v>0</v>
      </c>
      <c r="U133" s="198">
        <v>0</v>
      </c>
      <c r="V133" s="198">
        <v>0</v>
      </c>
      <c r="W133" s="198">
        <v>0</v>
      </c>
      <c r="X133" s="198">
        <v>133.12962962963005</v>
      </c>
      <c r="Y133" s="198">
        <v>0</v>
      </c>
      <c r="Z133" s="198">
        <v>0</v>
      </c>
      <c r="AA133" s="198">
        <v>0</v>
      </c>
      <c r="AB133" s="198">
        <v>192.64351851851848</v>
      </c>
      <c r="AC133" s="198">
        <v>0</v>
      </c>
      <c r="AD133" s="198">
        <v>509.02749999999975</v>
      </c>
      <c r="AE133" s="198">
        <v>0</v>
      </c>
      <c r="AF133" s="198">
        <v>288.45249999999976</v>
      </c>
      <c r="AG133" s="198">
        <v>0</v>
      </c>
      <c r="AH133" s="198">
        <v>625.94711538461513</v>
      </c>
      <c r="AI133" s="198">
        <v>0</v>
      </c>
      <c r="AJ133" s="198">
        <v>394.69270833333337</v>
      </c>
      <c r="AK133" s="198">
        <v>0</v>
      </c>
      <c r="AL133" s="198">
        <v>337.55528846153788</v>
      </c>
      <c r="AM133" s="198">
        <v>0</v>
      </c>
      <c r="AN133" s="198">
        <v>0</v>
      </c>
      <c r="AO133" s="198">
        <v>0</v>
      </c>
      <c r="AP133" s="198">
        <v>343.61538461538407</v>
      </c>
      <c r="AQ133" s="198">
        <v>0</v>
      </c>
      <c r="AR133" s="198">
        <v>0</v>
      </c>
      <c r="AS133" s="198">
        <v>0</v>
      </c>
      <c r="AT133" s="198">
        <v>0</v>
      </c>
      <c r="AU133" s="198">
        <v>0</v>
      </c>
      <c r="AV133" s="198">
        <v>133.12962962963005</v>
      </c>
      <c r="AW133" s="198">
        <v>0</v>
      </c>
      <c r="AX133" s="198">
        <v>0</v>
      </c>
      <c r="AY133" s="198">
        <v>0</v>
      </c>
    </row>
    <row r="134" spans="2:51">
      <c r="B134" s="196">
        <v>10597</v>
      </c>
      <c r="C134" s="196" t="s">
        <v>136</v>
      </c>
      <c r="D134" s="198">
        <v>1246.3942307692309</v>
      </c>
      <c r="E134" s="198">
        <v>0</v>
      </c>
      <c r="F134" s="198">
        <v>1771.5949999999982</v>
      </c>
      <c r="G134" s="198">
        <v>0</v>
      </c>
      <c r="H134" s="198">
        <v>2647.7175000000016</v>
      </c>
      <c r="I134" s="198">
        <v>0</v>
      </c>
      <c r="J134" s="198">
        <v>1803.370192307694</v>
      </c>
      <c r="K134" s="198">
        <v>0</v>
      </c>
      <c r="L134" s="198">
        <v>1050.2890624999975</v>
      </c>
      <c r="M134" s="198">
        <v>0</v>
      </c>
      <c r="N134" s="198">
        <v>2319.5509259259275</v>
      </c>
      <c r="O134" s="198">
        <v>0</v>
      </c>
      <c r="P134" s="198">
        <v>1361.0974999999994</v>
      </c>
      <c r="Q134" s="198">
        <v>0</v>
      </c>
      <c r="R134" s="198">
        <v>1789.0552884615411</v>
      </c>
      <c r="S134" s="198">
        <v>0</v>
      </c>
      <c r="T134" s="198">
        <v>1294.2187500000016</v>
      </c>
      <c r="U134" s="198">
        <v>0</v>
      </c>
      <c r="V134" s="198">
        <v>2005.252500000001</v>
      </c>
      <c r="W134" s="198">
        <v>0</v>
      </c>
      <c r="X134" s="198">
        <v>1895.6458333333321</v>
      </c>
      <c r="Y134" s="198">
        <v>0</v>
      </c>
      <c r="Z134" s="198">
        <v>568.46093750000023</v>
      </c>
      <c r="AA134" s="198">
        <v>0</v>
      </c>
      <c r="AB134" s="198">
        <v>1706.3425925925922</v>
      </c>
      <c r="AC134" s="198">
        <v>0</v>
      </c>
      <c r="AD134" s="198">
        <v>1771.5949999999982</v>
      </c>
      <c r="AE134" s="198">
        <v>0</v>
      </c>
      <c r="AF134" s="198">
        <v>2647.7175000000016</v>
      </c>
      <c r="AG134" s="198">
        <v>0</v>
      </c>
      <c r="AH134" s="198">
        <v>1803.370192307694</v>
      </c>
      <c r="AI134" s="198">
        <v>0</v>
      </c>
      <c r="AJ134" s="198">
        <v>1050.2890624999975</v>
      </c>
      <c r="AK134" s="198">
        <v>0</v>
      </c>
      <c r="AL134" s="198">
        <v>1876.6105769230774</v>
      </c>
      <c r="AM134" s="198">
        <v>0</v>
      </c>
      <c r="AN134" s="198">
        <v>1803.7860576923081</v>
      </c>
      <c r="AO134" s="198">
        <v>0</v>
      </c>
      <c r="AP134" s="198">
        <v>1789.0552884615411</v>
      </c>
      <c r="AQ134" s="198">
        <v>0</v>
      </c>
      <c r="AR134" s="198">
        <v>763.30750000000069</v>
      </c>
      <c r="AS134" s="198">
        <v>0</v>
      </c>
      <c r="AT134" s="198">
        <v>2665.1658653846157</v>
      </c>
      <c r="AU134" s="198">
        <v>0</v>
      </c>
      <c r="AV134" s="198">
        <v>1895.6458333333321</v>
      </c>
      <c r="AW134" s="198">
        <v>0</v>
      </c>
      <c r="AX134" s="198">
        <v>568.46093750000023</v>
      </c>
      <c r="AY134" s="198">
        <v>0</v>
      </c>
    </row>
    <row r="135" spans="2:51">
      <c r="B135" s="196">
        <v>10706</v>
      </c>
      <c r="C135" s="196" t="s">
        <v>137</v>
      </c>
      <c r="D135" s="198">
        <v>1100.6129807692312</v>
      </c>
      <c r="E135" s="198">
        <v>0</v>
      </c>
      <c r="F135" s="198">
        <v>1779.2924999999968</v>
      </c>
      <c r="G135" s="198">
        <v>0</v>
      </c>
      <c r="H135" s="198">
        <v>1338.3225000000002</v>
      </c>
      <c r="I135" s="198">
        <v>0</v>
      </c>
      <c r="J135" s="198">
        <v>2808.903846153843</v>
      </c>
      <c r="K135" s="198">
        <v>0</v>
      </c>
      <c r="L135" s="198">
        <v>2554.8802083333335</v>
      </c>
      <c r="M135" s="198">
        <v>0</v>
      </c>
      <c r="N135" s="198">
        <v>3307.4166666666647</v>
      </c>
      <c r="O135" s="198">
        <v>0</v>
      </c>
      <c r="P135" s="198">
        <v>1918.4649999999986</v>
      </c>
      <c r="Q135" s="198">
        <v>0</v>
      </c>
      <c r="R135" s="198">
        <v>2412.5192307692328</v>
      </c>
      <c r="S135" s="198">
        <v>0</v>
      </c>
      <c r="T135" s="198">
        <v>2993.7716346153857</v>
      </c>
      <c r="U135" s="198">
        <v>0</v>
      </c>
      <c r="V135" s="198">
        <v>2300.8375000000001</v>
      </c>
      <c r="W135" s="198">
        <v>0</v>
      </c>
      <c r="X135" s="198">
        <v>4426.5578703703686</v>
      </c>
      <c r="Y135" s="198">
        <v>0</v>
      </c>
      <c r="Z135" s="198">
        <v>2502.1770833333344</v>
      </c>
      <c r="AA135" s="198">
        <v>0</v>
      </c>
      <c r="AB135" s="198">
        <v>2710.0787037037044</v>
      </c>
      <c r="AC135" s="198">
        <v>0</v>
      </c>
      <c r="AD135" s="198">
        <v>2691.5500000000029</v>
      </c>
      <c r="AE135" s="198">
        <v>0</v>
      </c>
      <c r="AF135" s="198">
        <v>1891.2400000000034</v>
      </c>
      <c r="AG135" s="198">
        <v>0</v>
      </c>
      <c r="AH135" s="198">
        <v>2808.903846153843</v>
      </c>
      <c r="AI135" s="198">
        <v>0</v>
      </c>
      <c r="AJ135" s="198">
        <v>2554.8802083333335</v>
      </c>
      <c r="AK135" s="198">
        <v>0</v>
      </c>
      <c r="AL135" s="198">
        <v>2581.8173076923081</v>
      </c>
      <c r="AM135" s="198">
        <v>0</v>
      </c>
      <c r="AN135" s="198">
        <v>2685.2932692307663</v>
      </c>
      <c r="AO135" s="198">
        <v>0</v>
      </c>
      <c r="AP135" s="198">
        <v>2412.5192307692328</v>
      </c>
      <c r="AQ135" s="198">
        <v>0</v>
      </c>
      <c r="AR135" s="198">
        <v>2203.8425000000011</v>
      </c>
      <c r="AS135" s="198">
        <v>0</v>
      </c>
      <c r="AT135" s="198">
        <v>3129.3052884615377</v>
      </c>
      <c r="AU135" s="198">
        <v>0</v>
      </c>
      <c r="AV135" s="198">
        <v>4426.5578703703686</v>
      </c>
      <c r="AW135" s="198">
        <v>0</v>
      </c>
      <c r="AX135" s="198">
        <v>2502.1770833333312</v>
      </c>
      <c r="AY135" s="198">
        <v>0</v>
      </c>
    </row>
    <row r="136" spans="2:51">
      <c r="B136" s="196">
        <v>11680</v>
      </c>
      <c r="C136" s="196" t="s">
        <v>138</v>
      </c>
      <c r="D136" s="198">
        <v>0</v>
      </c>
      <c r="E136" s="198">
        <v>0</v>
      </c>
      <c r="F136" s="198">
        <v>231.53250000000014</v>
      </c>
      <c r="G136" s="198">
        <v>0</v>
      </c>
      <c r="H136" s="198">
        <v>172.56999999999945</v>
      </c>
      <c r="I136" s="198">
        <v>0</v>
      </c>
      <c r="J136" s="198">
        <v>605.44711538461547</v>
      </c>
      <c r="K136" s="198">
        <v>0</v>
      </c>
      <c r="L136" s="198">
        <v>646.94531249999886</v>
      </c>
      <c r="M136" s="198">
        <v>0</v>
      </c>
      <c r="N136" s="198">
        <v>422.89120370370313</v>
      </c>
      <c r="O136" s="198">
        <v>0</v>
      </c>
      <c r="P136" s="198">
        <v>155.1900000000004</v>
      </c>
      <c r="Q136" s="198">
        <v>0</v>
      </c>
      <c r="R136" s="198">
        <v>93.793269230769695</v>
      </c>
      <c r="S136" s="198">
        <v>0</v>
      </c>
      <c r="T136" s="198">
        <v>429.44711538461667</v>
      </c>
      <c r="U136" s="198">
        <v>0</v>
      </c>
      <c r="V136" s="198">
        <v>871.21749999999975</v>
      </c>
      <c r="W136" s="198">
        <v>0</v>
      </c>
      <c r="X136" s="198">
        <v>144.23148148148181</v>
      </c>
      <c r="Y136" s="198">
        <v>0</v>
      </c>
      <c r="Z136" s="198">
        <v>245.85677083333391</v>
      </c>
      <c r="AA136" s="198">
        <v>0</v>
      </c>
      <c r="AB136" s="198">
        <v>0</v>
      </c>
      <c r="AC136" s="198">
        <v>0</v>
      </c>
      <c r="AD136" s="198">
        <v>241.3174999999992</v>
      </c>
      <c r="AE136" s="198">
        <v>0</v>
      </c>
      <c r="AF136" s="198">
        <v>187.65249999999955</v>
      </c>
      <c r="AG136" s="198">
        <v>0</v>
      </c>
      <c r="AH136" s="198">
        <v>622.64663461538566</v>
      </c>
      <c r="AI136" s="198">
        <v>0</v>
      </c>
      <c r="AJ136" s="198">
        <v>656.43489583333371</v>
      </c>
      <c r="AK136" s="198">
        <v>0</v>
      </c>
      <c r="AL136" s="198">
        <v>424.26682692307827</v>
      </c>
      <c r="AM136" s="198">
        <v>0</v>
      </c>
      <c r="AN136" s="198">
        <v>163.20913461538501</v>
      </c>
      <c r="AO136" s="198">
        <v>0</v>
      </c>
      <c r="AP136" s="198">
        <v>94.519230769231072</v>
      </c>
      <c r="AQ136" s="198">
        <v>0</v>
      </c>
      <c r="AR136" s="198">
        <v>423.1774999999991</v>
      </c>
      <c r="AS136" s="198">
        <v>0</v>
      </c>
      <c r="AT136" s="198">
        <v>909.399038461538</v>
      </c>
      <c r="AU136" s="198">
        <v>0</v>
      </c>
      <c r="AV136" s="198">
        <v>160.52314814814838</v>
      </c>
      <c r="AW136" s="198">
        <v>0</v>
      </c>
      <c r="AX136" s="198">
        <v>251.80468750000085</v>
      </c>
      <c r="AY136" s="198">
        <v>0</v>
      </c>
    </row>
    <row r="137" spans="2:51">
      <c r="B137" s="196">
        <v>12026</v>
      </c>
      <c r="C137" s="196" t="s">
        <v>139</v>
      </c>
      <c r="D137" s="198">
        <v>10800.668269230766</v>
      </c>
      <c r="E137" s="198">
        <v>0</v>
      </c>
      <c r="F137" s="198">
        <v>8964.7199999999993</v>
      </c>
      <c r="G137" s="198">
        <v>0</v>
      </c>
      <c r="H137" s="198">
        <v>7158.5174999999917</v>
      </c>
      <c r="I137" s="198">
        <v>0</v>
      </c>
      <c r="J137" s="198">
        <v>18960.038461538454</v>
      </c>
      <c r="K137" s="198">
        <v>0</v>
      </c>
      <c r="L137" s="198">
        <v>20622.947916666664</v>
      </c>
      <c r="M137" s="198">
        <v>0</v>
      </c>
      <c r="N137" s="198">
        <v>11561.289351851854</v>
      </c>
      <c r="O137" s="198">
        <v>0</v>
      </c>
      <c r="P137" s="198">
        <v>12205.817499999996</v>
      </c>
      <c r="Q137" s="198">
        <v>0</v>
      </c>
      <c r="R137" s="198">
        <v>0</v>
      </c>
      <c r="S137" s="198">
        <v>0</v>
      </c>
      <c r="T137" s="198">
        <v>2163.2235576923058</v>
      </c>
      <c r="U137" s="198">
        <v>0</v>
      </c>
      <c r="V137" s="198">
        <v>4316.5575000000017</v>
      </c>
      <c r="W137" s="198">
        <v>0</v>
      </c>
      <c r="X137" s="198">
        <v>2938.155092592594</v>
      </c>
      <c r="Y137" s="198">
        <v>0</v>
      </c>
      <c r="Z137" s="198">
        <v>794.26302083333235</v>
      </c>
      <c r="AA137" s="198">
        <v>0</v>
      </c>
      <c r="AB137" s="198">
        <v>11086.097222222217</v>
      </c>
      <c r="AC137" s="198">
        <v>0</v>
      </c>
      <c r="AD137" s="198">
        <v>9058.3000000000029</v>
      </c>
      <c r="AE137" s="198">
        <v>0</v>
      </c>
      <c r="AF137" s="198">
        <v>7248.642499999999</v>
      </c>
      <c r="AG137" s="198">
        <v>0</v>
      </c>
      <c r="AH137" s="198">
        <v>19063.521634615376</v>
      </c>
      <c r="AI137" s="198">
        <v>0</v>
      </c>
      <c r="AJ137" s="198">
        <v>20717.921875</v>
      </c>
      <c r="AK137" s="198">
        <v>0</v>
      </c>
      <c r="AL137" s="198">
        <v>11461.312499999998</v>
      </c>
      <c r="AM137" s="198">
        <v>0</v>
      </c>
      <c r="AN137" s="198">
        <v>12493.728365384612</v>
      </c>
      <c r="AO137" s="198">
        <v>0</v>
      </c>
      <c r="AP137" s="198">
        <v>0</v>
      </c>
      <c r="AQ137" s="198">
        <v>0</v>
      </c>
      <c r="AR137" s="198">
        <v>2080.8875000000039</v>
      </c>
      <c r="AS137" s="198">
        <v>0</v>
      </c>
      <c r="AT137" s="198">
        <v>4614.0721153846162</v>
      </c>
      <c r="AU137" s="198">
        <v>0</v>
      </c>
      <c r="AV137" s="198">
        <v>3035.7453703703704</v>
      </c>
      <c r="AW137" s="198">
        <v>0</v>
      </c>
      <c r="AX137" s="198">
        <v>880.94531250000148</v>
      </c>
      <c r="AY137" s="198">
        <v>0</v>
      </c>
    </row>
    <row r="138" spans="2:51" s="140" customFormat="1">
      <c r="B138" s="196">
        <v>10298</v>
      </c>
      <c r="C138" s="196" t="s">
        <v>140</v>
      </c>
      <c r="D138" s="198">
        <v>0</v>
      </c>
      <c r="E138" s="198">
        <v>0</v>
      </c>
      <c r="F138" s="198">
        <v>0</v>
      </c>
      <c r="G138" s="198">
        <v>0</v>
      </c>
      <c r="H138" s="198">
        <v>0</v>
      </c>
      <c r="I138" s="198">
        <v>0</v>
      </c>
      <c r="J138" s="198">
        <v>0</v>
      </c>
      <c r="K138" s="198">
        <v>0</v>
      </c>
      <c r="L138" s="198">
        <v>0</v>
      </c>
      <c r="M138" s="198">
        <v>0</v>
      </c>
      <c r="N138" s="198">
        <v>56919.354166666722</v>
      </c>
      <c r="O138" s="198">
        <v>0</v>
      </c>
      <c r="P138" s="198">
        <v>0</v>
      </c>
      <c r="Q138" s="198">
        <v>0</v>
      </c>
      <c r="R138" s="198">
        <v>30507.908653846327</v>
      </c>
      <c r="S138" s="198">
        <v>0</v>
      </c>
      <c r="T138" s="198">
        <v>6768.9182692307313</v>
      </c>
      <c r="U138" s="198">
        <v>0</v>
      </c>
      <c r="V138" s="198">
        <v>13415.554999999969</v>
      </c>
      <c r="W138" s="198">
        <v>0</v>
      </c>
      <c r="X138" s="198">
        <v>71260.148148148175</v>
      </c>
      <c r="Y138" s="198">
        <v>0</v>
      </c>
      <c r="Z138" s="198">
        <v>24816.96354166673</v>
      </c>
      <c r="AA138" s="198">
        <v>0</v>
      </c>
      <c r="AB138" s="198">
        <v>0</v>
      </c>
      <c r="AC138" s="198">
        <v>0</v>
      </c>
      <c r="AD138" s="198">
        <v>0</v>
      </c>
      <c r="AE138" s="198">
        <v>0</v>
      </c>
      <c r="AF138" s="198">
        <v>0</v>
      </c>
      <c r="AG138" s="198">
        <v>0</v>
      </c>
      <c r="AH138" s="198">
        <v>0</v>
      </c>
      <c r="AI138" s="198">
        <v>0</v>
      </c>
      <c r="AJ138" s="198">
        <v>0</v>
      </c>
      <c r="AK138" s="198">
        <v>0</v>
      </c>
      <c r="AL138" s="198">
        <v>4241.7884615385901</v>
      </c>
      <c r="AM138" s="198">
        <v>0</v>
      </c>
      <c r="AN138" s="198">
        <v>0</v>
      </c>
      <c r="AO138" s="198">
        <v>0</v>
      </c>
      <c r="AP138" s="198">
        <v>0</v>
      </c>
      <c r="AQ138" s="198">
        <v>0</v>
      </c>
      <c r="AR138" s="198">
        <v>0</v>
      </c>
      <c r="AS138" s="198">
        <v>0</v>
      </c>
      <c r="AT138" s="198">
        <v>0</v>
      </c>
      <c r="AU138" s="198">
        <v>0</v>
      </c>
      <c r="AV138" s="198">
        <v>26353.731481481478</v>
      </c>
      <c r="AW138" s="198">
        <v>0</v>
      </c>
      <c r="AX138" s="198">
        <v>0</v>
      </c>
      <c r="AY138" s="198">
        <v>0</v>
      </c>
    </row>
    <row r="139" spans="2:51">
      <c r="B139" s="26">
        <v>10298</v>
      </c>
      <c r="C139" s="27" t="s">
        <v>140</v>
      </c>
      <c r="D139" s="28">
        <v>0</v>
      </c>
      <c r="E139" s="29">
        <v>0</v>
      </c>
      <c r="F139" s="28">
        <v>0</v>
      </c>
      <c r="G139" s="29">
        <v>0</v>
      </c>
      <c r="H139" s="28">
        <v>0</v>
      </c>
      <c r="I139" s="29">
        <v>0</v>
      </c>
      <c r="J139" s="28">
        <v>0</v>
      </c>
      <c r="K139" s="29">
        <v>0</v>
      </c>
      <c r="L139" s="28">
        <v>0</v>
      </c>
      <c r="M139" s="29">
        <v>0</v>
      </c>
      <c r="N139" s="28">
        <v>80917.150877777691</v>
      </c>
      <c r="O139" s="29">
        <v>0</v>
      </c>
      <c r="P139" s="28">
        <v>22999.804999999982</v>
      </c>
      <c r="Q139" s="29">
        <v>0</v>
      </c>
      <c r="R139" s="28">
        <v>50600.816923076964</v>
      </c>
      <c r="S139" s="29">
        <v>0</v>
      </c>
      <c r="T139" s="28">
        <v>37712.849807692117</v>
      </c>
      <c r="U139" s="29">
        <v>0</v>
      </c>
      <c r="V139" s="28">
        <v>37146.1875</v>
      </c>
      <c r="W139" s="29">
        <v>0</v>
      </c>
      <c r="X139" s="28">
        <v>101042.77990740743</v>
      </c>
      <c r="Y139" s="29">
        <v>0</v>
      </c>
      <c r="Z139" s="28">
        <v>56782.230208333262</v>
      </c>
      <c r="AA139" s="29">
        <v>0</v>
      </c>
      <c r="AB139" s="28">
        <v>0</v>
      </c>
      <c r="AC139" s="29">
        <v>0</v>
      </c>
      <c r="AD139" s="28">
        <v>0</v>
      </c>
      <c r="AE139" s="29">
        <v>0</v>
      </c>
      <c r="AF139" s="28">
        <v>0</v>
      </c>
      <c r="AG139" s="29">
        <v>0</v>
      </c>
      <c r="AH139" s="28">
        <v>0</v>
      </c>
      <c r="AI139" s="29">
        <v>0</v>
      </c>
      <c r="AJ139" s="28">
        <v>0</v>
      </c>
      <c r="AK139" s="29">
        <v>0</v>
      </c>
      <c r="AL139" s="28">
        <v>68100.757715384505</v>
      </c>
      <c r="AM139" s="29">
        <v>0</v>
      </c>
      <c r="AN139" s="28">
        <v>41337.718269230834</v>
      </c>
      <c r="AO139" s="29">
        <v>0</v>
      </c>
      <c r="AP139" s="28">
        <v>52316.348173076876</v>
      </c>
      <c r="AQ139" s="29">
        <v>0</v>
      </c>
      <c r="AR139" s="28">
        <v>18510.957499999899</v>
      </c>
      <c r="AS139" s="29">
        <v>0</v>
      </c>
      <c r="AT139" s="28">
        <v>61719.350961538461</v>
      </c>
      <c r="AU139" s="29">
        <v>0</v>
      </c>
      <c r="AV139" s="28">
        <v>103182.73824074084</v>
      </c>
      <c r="AW139" s="29">
        <v>0</v>
      </c>
      <c r="AX139" s="28">
        <v>59442.454166666554</v>
      </c>
      <c r="AY139" s="29">
        <v>0</v>
      </c>
    </row>
    <row r="140" spans="2:51">
      <c r="B140" s="26"/>
      <c r="C140" s="27"/>
      <c r="D140" s="28"/>
      <c r="E140" s="29"/>
      <c r="F140" s="28"/>
      <c r="G140" s="29"/>
      <c r="H140" s="28"/>
      <c r="I140" s="29"/>
      <c r="J140" s="28"/>
      <c r="K140" s="29"/>
      <c r="L140" s="28"/>
      <c r="M140" s="29"/>
      <c r="N140" s="28"/>
      <c r="O140" s="29"/>
      <c r="P140" s="28"/>
      <c r="Q140" s="29"/>
      <c r="R140" s="28"/>
      <c r="S140" s="29"/>
      <c r="T140" s="28"/>
      <c r="U140" s="29"/>
      <c r="V140" s="28"/>
      <c r="W140" s="29"/>
      <c r="X140" s="28"/>
      <c r="Y140" s="29"/>
      <c r="Z140" s="28"/>
      <c r="AA140" s="29"/>
      <c r="AB140" s="28"/>
      <c r="AC140" s="29"/>
      <c r="AD140" s="28"/>
      <c r="AE140" s="29"/>
      <c r="AF140" s="28"/>
      <c r="AG140" s="29"/>
      <c r="AH140" s="28"/>
      <c r="AI140" s="29"/>
      <c r="AJ140" s="28"/>
      <c r="AK140" s="29"/>
      <c r="AL140" s="28"/>
      <c r="AM140" s="29"/>
      <c r="AN140" s="28"/>
      <c r="AO140" s="29"/>
      <c r="AP140" s="28"/>
      <c r="AQ140" s="29"/>
      <c r="AR140" s="28"/>
      <c r="AS140" s="29"/>
      <c r="AT140" s="28"/>
      <c r="AU140" s="29"/>
      <c r="AV140" s="28"/>
      <c r="AW140" s="29"/>
      <c r="AX140" s="28"/>
      <c r="AY140" s="29"/>
    </row>
    <row r="141" spans="2:51">
      <c r="B141" s="26"/>
      <c r="C141" s="27"/>
      <c r="D141" s="28"/>
      <c r="E141" s="29"/>
      <c r="F141" s="28"/>
      <c r="G141" s="29"/>
      <c r="H141" s="28"/>
      <c r="I141" s="29"/>
      <c r="J141" s="28"/>
      <c r="K141" s="29"/>
      <c r="L141" s="28"/>
      <c r="M141" s="29"/>
      <c r="N141" s="28"/>
      <c r="O141" s="29"/>
      <c r="P141" s="28"/>
      <c r="Q141" s="29"/>
      <c r="R141" s="28"/>
      <c r="S141" s="29"/>
      <c r="T141" s="28"/>
      <c r="U141" s="29"/>
      <c r="V141" s="28"/>
      <c r="W141" s="29"/>
      <c r="X141" s="28"/>
      <c r="Y141" s="29"/>
      <c r="Z141" s="28"/>
      <c r="AA141" s="29"/>
      <c r="AB141" s="28"/>
      <c r="AC141" s="29"/>
      <c r="AD141" s="28"/>
      <c r="AE141" s="29"/>
      <c r="AF141" s="28"/>
      <c r="AG141" s="29"/>
      <c r="AH141" s="28"/>
      <c r="AI141" s="29"/>
      <c r="AJ141" s="28"/>
      <c r="AK141" s="29"/>
      <c r="AL141" s="28"/>
      <c r="AM141" s="29"/>
      <c r="AN141" s="28"/>
      <c r="AO141" s="29"/>
      <c r="AP141" s="28"/>
      <c r="AQ141" s="29"/>
      <c r="AR141" s="28"/>
      <c r="AS141" s="29"/>
      <c r="AT141" s="28"/>
      <c r="AU141" s="29"/>
      <c r="AV141" s="28"/>
      <c r="AW141" s="29"/>
      <c r="AX141" s="28"/>
      <c r="AY141" s="29"/>
    </row>
    <row r="142" spans="2:51">
      <c r="B142" s="26"/>
      <c r="C142" s="27"/>
      <c r="D142" s="28"/>
      <c r="E142" s="29"/>
      <c r="F142" s="28"/>
      <c r="G142" s="29"/>
      <c r="H142" s="28"/>
      <c r="I142" s="29"/>
      <c r="J142" s="28"/>
      <c r="K142" s="29"/>
      <c r="L142" s="28"/>
      <c r="M142" s="29"/>
      <c r="N142" s="28"/>
      <c r="O142" s="29"/>
      <c r="P142" s="28"/>
      <c r="Q142" s="29"/>
      <c r="R142" s="28"/>
      <c r="S142" s="29"/>
      <c r="T142" s="28"/>
      <c r="U142" s="29"/>
      <c r="V142" s="28"/>
      <c r="W142" s="29"/>
      <c r="X142" s="28"/>
      <c r="Y142" s="29"/>
      <c r="Z142" s="28"/>
      <c r="AA142" s="29"/>
      <c r="AB142" s="28"/>
      <c r="AC142" s="29"/>
      <c r="AD142" s="28"/>
      <c r="AE142" s="29"/>
      <c r="AF142" s="28"/>
      <c r="AG142" s="29"/>
      <c r="AH142" s="28"/>
      <c r="AI142" s="29"/>
      <c r="AJ142" s="28"/>
      <c r="AK142" s="29"/>
      <c r="AL142" s="28"/>
      <c r="AM142" s="29"/>
      <c r="AN142" s="28"/>
      <c r="AO142" s="29"/>
      <c r="AP142" s="28"/>
      <c r="AQ142" s="29"/>
      <c r="AR142" s="28"/>
      <c r="AS142" s="29"/>
      <c r="AT142" s="28"/>
      <c r="AU142" s="29"/>
      <c r="AV142" s="28"/>
      <c r="AW142" s="29"/>
      <c r="AX142" s="28"/>
      <c r="AY142" s="29"/>
    </row>
    <row r="143" spans="2:51">
      <c r="B143" s="26"/>
      <c r="C143" s="27"/>
      <c r="D143" s="28"/>
      <c r="E143" s="29"/>
      <c r="F143" s="28"/>
      <c r="G143" s="29"/>
      <c r="H143" s="28"/>
      <c r="I143" s="29"/>
      <c r="J143" s="28"/>
      <c r="K143" s="29"/>
      <c r="L143" s="28"/>
      <c r="M143" s="29"/>
      <c r="N143" s="28"/>
      <c r="O143" s="29"/>
      <c r="P143" s="28"/>
      <c r="Q143" s="29"/>
      <c r="R143" s="28"/>
      <c r="S143" s="29"/>
      <c r="T143" s="28"/>
      <c r="U143" s="29"/>
      <c r="V143" s="28"/>
      <c r="W143" s="29"/>
      <c r="X143" s="28"/>
      <c r="Y143" s="29"/>
      <c r="Z143" s="28"/>
      <c r="AA143" s="29"/>
      <c r="AB143" s="28"/>
      <c r="AC143" s="29"/>
      <c r="AD143" s="28"/>
      <c r="AE143" s="29"/>
      <c r="AF143" s="28"/>
      <c r="AG143" s="29"/>
      <c r="AH143" s="28"/>
      <c r="AI143" s="29"/>
      <c r="AJ143" s="28"/>
      <c r="AK143" s="29"/>
      <c r="AL143" s="28"/>
      <c r="AM143" s="29"/>
      <c r="AN143" s="28"/>
      <c r="AO143" s="29"/>
      <c r="AP143" s="28"/>
      <c r="AQ143" s="29"/>
      <c r="AR143" s="28"/>
      <c r="AS143" s="29"/>
      <c r="AT143" s="28"/>
      <c r="AU143" s="29"/>
      <c r="AV143" s="28"/>
      <c r="AW143" s="29"/>
      <c r="AX143" s="28"/>
      <c r="AY143" s="29"/>
    </row>
    <row r="144" spans="2:51">
      <c r="B144" s="26"/>
      <c r="C144" s="27"/>
      <c r="D144" s="28"/>
      <c r="E144" s="29"/>
      <c r="F144" s="28"/>
      <c r="G144" s="29"/>
      <c r="H144" s="28"/>
      <c r="I144" s="29"/>
      <c r="J144" s="28"/>
      <c r="K144" s="29"/>
      <c r="L144" s="28"/>
      <c r="M144" s="29"/>
      <c r="N144" s="28"/>
      <c r="O144" s="29"/>
      <c r="P144" s="28"/>
      <c r="Q144" s="29"/>
      <c r="R144" s="28"/>
      <c r="S144" s="29"/>
      <c r="T144" s="28"/>
      <c r="U144" s="29"/>
      <c r="V144" s="28"/>
      <c r="W144" s="29"/>
      <c r="X144" s="28"/>
      <c r="Y144" s="29"/>
      <c r="Z144" s="28"/>
      <c r="AA144" s="29"/>
      <c r="AB144" s="28"/>
      <c r="AC144" s="29"/>
      <c r="AD144" s="28"/>
      <c r="AE144" s="29"/>
      <c r="AF144" s="28"/>
      <c r="AG144" s="29"/>
      <c r="AH144" s="28"/>
      <c r="AI144" s="29"/>
      <c r="AJ144" s="28"/>
      <c r="AK144" s="29"/>
      <c r="AL144" s="28"/>
      <c r="AM144" s="29"/>
      <c r="AN144" s="28"/>
      <c r="AO144" s="29"/>
      <c r="AP144" s="28"/>
      <c r="AQ144" s="29"/>
      <c r="AR144" s="28"/>
      <c r="AS144" s="29"/>
      <c r="AT144" s="28"/>
      <c r="AU144" s="29"/>
      <c r="AV144" s="28"/>
      <c r="AW144" s="29"/>
      <c r="AX144" s="28"/>
      <c r="AY144" s="29"/>
    </row>
    <row r="145" spans="2:51">
      <c r="B145" s="26"/>
      <c r="C145" s="27"/>
      <c r="D145" s="28"/>
      <c r="E145" s="29"/>
      <c r="F145" s="28"/>
      <c r="G145" s="29"/>
      <c r="H145" s="28"/>
      <c r="I145" s="29"/>
      <c r="J145" s="28"/>
      <c r="K145" s="29"/>
      <c r="L145" s="28"/>
      <c r="M145" s="29"/>
      <c r="N145" s="28"/>
      <c r="O145" s="29"/>
      <c r="P145" s="28"/>
      <c r="Q145" s="29"/>
      <c r="R145" s="28"/>
      <c r="S145" s="29"/>
      <c r="T145" s="28"/>
      <c r="U145" s="29"/>
      <c r="V145" s="28"/>
      <c r="W145" s="29"/>
      <c r="X145" s="28"/>
      <c r="Y145" s="29"/>
      <c r="Z145" s="28"/>
      <c r="AA145" s="29"/>
      <c r="AB145" s="28"/>
      <c r="AC145" s="29"/>
      <c r="AD145" s="28"/>
      <c r="AE145" s="29"/>
      <c r="AF145" s="28"/>
      <c r="AG145" s="29"/>
      <c r="AH145" s="28"/>
      <c r="AI145" s="29"/>
      <c r="AJ145" s="28"/>
      <c r="AK145" s="29"/>
      <c r="AL145" s="28"/>
      <c r="AM145" s="29"/>
      <c r="AN145" s="28"/>
      <c r="AO145" s="29"/>
      <c r="AP145" s="28"/>
      <c r="AQ145" s="29"/>
      <c r="AR145" s="28"/>
      <c r="AS145" s="29"/>
      <c r="AT145" s="28"/>
      <c r="AU145" s="29"/>
      <c r="AV145" s="28"/>
      <c r="AW145" s="29"/>
      <c r="AX145" s="28"/>
      <c r="AY145" s="29"/>
    </row>
    <row r="146" spans="2:51">
      <c r="B146" s="26"/>
      <c r="C146" s="27"/>
      <c r="D146" s="28"/>
      <c r="E146" s="29"/>
      <c r="F146" s="28"/>
      <c r="G146" s="29"/>
      <c r="H146" s="28"/>
      <c r="I146" s="29"/>
      <c r="J146" s="28"/>
      <c r="K146" s="29"/>
      <c r="L146" s="28"/>
      <c r="M146" s="29"/>
      <c r="N146" s="28"/>
      <c r="O146" s="29"/>
      <c r="P146" s="28"/>
      <c r="Q146" s="29"/>
      <c r="R146" s="28"/>
      <c r="S146" s="29"/>
      <c r="T146" s="28"/>
      <c r="U146" s="29"/>
      <c r="V146" s="28"/>
      <c r="W146" s="29"/>
      <c r="X146" s="28"/>
      <c r="Y146" s="29"/>
      <c r="Z146" s="28"/>
      <c r="AA146" s="29"/>
      <c r="AB146" s="28"/>
      <c r="AC146" s="29"/>
      <c r="AD146" s="28"/>
      <c r="AE146" s="29"/>
      <c r="AF146" s="28"/>
      <c r="AG146" s="29"/>
      <c r="AH146" s="28"/>
      <c r="AI146" s="29"/>
      <c r="AJ146" s="28"/>
      <c r="AK146" s="29"/>
      <c r="AL146" s="28"/>
      <c r="AM146" s="29"/>
      <c r="AN146" s="28"/>
      <c r="AO146" s="29"/>
      <c r="AP146" s="28"/>
      <c r="AQ146" s="29"/>
      <c r="AR146" s="28"/>
      <c r="AS146" s="29"/>
      <c r="AT146" s="28"/>
      <c r="AU146" s="29"/>
      <c r="AV146" s="28"/>
      <c r="AW146" s="29"/>
      <c r="AX146" s="28"/>
      <c r="AY146" s="29"/>
    </row>
    <row r="147" spans="2:51">
      <c r="B147" s="26"/>
      <c r="C147" s="27"/>
      <c r="D147" s="28"/>
      <c r="E147" s="29"/>
      <c r="F147" s="28"/>
      <c r="G147" s="29"/>
      <c r="H147" s="28"/>
      <c r="I147" s="29"/>
      <c r="J147" s="28"/>
      <c r="K147" s="29"/>
      <c r="L147" s="28"/>
      <c r="M147" s="29"/>
      <c r="N147" s="28"/>
      <c r="O147" s="29"/>
      <c r="P147" s="28"/>
      <c r="Q147" s="29"/>
      <c r="R147" s="28"/>
      <c r="S147" s="29"/>
      <c r="T147" s="28"/>
      <c r="U147" s="29"/>
      <c r="V147" s="28"/>
      <c r="W147" s="29"/>
      <c r="X147" s="28"/>
      <c r="Y147" s="29"/>
      <c r="Z147" s="28"/>
      <c r="AA147" s="29"/>
      <c r="AB147" s="28"/>
      <c r="AC147" s="29"/>
      <c r="AD147" s="28"/>
      <c r="AE147" s="29"/>
      <c r="AF147" s="28"/>
      <c r="AG147" s="29"/>
      <c r="AH147" s="28"/>
      <c r="AI147" s="29"/>
      <c r="AJ147" s="28"/>
      <c r="AK147" s="29"/>
      <c r="AL147" s="28"/>
      <c r="AM147" s="29"/>
      <c r="AN147" s="28"/>
      <c r="AO147" s="29"/>
      <c r="AP147" s="28"/>
      <c r="AQ147" s="29"/>
      <c r="AR147" s="28"/>
      <c r="AS147" s="29"/>
      <c r="AT147" s="28"/>
      <c r="AU147" s="29"/>
      <c r="AV147" s="28"/>
      <c r="AW147" s="29"/>
      <c r="AX147" s="28"/>
      <c r="AY147" s="29"/>
    </row>
    <row r="148" spans="2:51">
      <c r="B148" s="26"/>
      <c r="C148" s="27"/>
      <c r="D148" s="28"/>
      <c r="E148" s="29"/>
      <c r="F148" s="28"/>
      <c r="G148" s="29"/>
      <c r="H148" s="28"/>
      <c r="I148" s="29"/>
      <c r="J148" s="28"/>
      <c r="K148" s="29"/>
      <c r="L148" s="28"/>
      <c r="M148" s="29"/>
      <c r="N148" s="28"/>
      <c r="O148" s="29"/>
      <c r="P148" s="28"/>
      <c r="Q148" s="29"/>
      <c r="R148" s="28"/>
      <c r="S148" s="29"/>
      <c r="T148" s="28"/>
      <c r="U148" s="29"/>
      <c r="V148" s="28"/>
      <c r="W148" s="29"/>
      <c r="X148" s="28"/>
      <c r="Y148" s="29"/>
      <c r="Z148" s="28"/>
      <c r="AA148" s="29"/>
      <c r="AB148" s="28"/>
      <c r="AC148" s="29"/>
      <c r="AD148" s="28"/>
      <c r="AE148" s="29"/>
      <c r="AF148" s="28"/>
      <c r="AG148" s="29"/>
      <c r="AH148" s="28"/>
      <c r="AI148" s="29"/>
      <c r="AJ148" s="28"/>
      <c r="AK148" s="29"/>
      <c r="AL148" s="28"/>
      <c r="AM148" s="29"/>
      <c r="AN148" s="28"/>
      <c r="AO148" s="29"/>
      <c r="AP148" s="28"/>
      <c r="AQ148" s="29"/>
      <c r="AR148" s="28"/>
      <c r="AS148" s="29"/>
      <c r="AT148" s="28"/>
      <c r="AU148" s="29"/>
      <c r="AV148" s="28"/>
      <c r="AW148" s="29"/>
      <c r="AX148" s="28"/>
      <c r="AY148" s="29"/>
    </row>
    <row r="149" spans="2:51">
      <c r="B149" s="26"/>
      <c r="C149" s="27"/>
      <c r="D149" s="28"/>
      <c r="E149" s="29"/>
      <c r="F149" s="28"/>
      <c r="G149" s="29"/>
      <c r="H149" s="28"/>
      <c r="I149" s="29"/>
      <c r="J149" s="28"/>
      <c r="K149" s="29"/>
      <c r="L149" s="28"/>
      <c r="M149" s="29"/>
      <c r="N149" s="28"/>
      <c r="O149" s="29"/>
      <c r="P149" s="28"/>
      <c r="Q149" s="29"/>
      <c r="R149" s="28"/>
      <c r="S149" s="29"/>
      <c r="T149" s="28"/>
      <c r="U149" s="29"/>
      <c r="V149" s="28"/>
      <c r="W149" s="29"/>
      <c r="X149" s="28"/>
      <c r="Y149" s="29"/>
      <c r="Z149" s="28"/>
      <c r="AA149" s="29"/>
      <c r="AB149" s="28"/>
      <c r="AC149" s="29"/>
      <c r="AD149" s="28"/>
      <c r="AE149" s="29"/>
      <c r="AF149" s="28"/>
      <c r="AG149" s="29"/>
      <c r="AH149" s="28"/>
      <c r="AI149" s="29"/>
      <c r="AJ149" s="28"/>
      <c r="AK149" s="29"/>
      <c r="AL149" s="28"/>
      <c r="AM149" s="29"/>
      <c r="AN149" s="28"/>
      <c r="AO149" s="29"/>
      <c r="AP149" s="28"/>
      <c r="AQ149" s="29"/>
      <c r="AR149" s="28"/>
      <c r="AS149" s="29"/>
      <c r="AT149" s="28"/>
      <c r="AU149" s="29"/>
      <c r="AV149" s="28"/>
      <c r="AW149" s="29"/>
      <c r="AX149" s="28"/>
      <c r="AY149" s="29"/>
    </row>
    <row r="150" spans="2:51">
      <c r="B150" s="26"/>
      <c r="C150" s="27"/>
      <c r="D150" s="28"/>
      <c r="E150" s="29"/>
      <c r="F150" s="28"/>
      <c r="G150" s="29"/>
      <c r="H150" s="28"/>
      <c r="I150" s="29"/>
      <c r="J150" s="28"/>
      <c r="K150" s="29"/>
      <c r="L150" s="28"/>
      <c r="M150" s="29"/>
      <c r="N150" s="28"/>
      <c r="O150" s="29"/>
      <c r="P150" s="28"/>
      <c r="Q150" s="29"/>
      <c r="R150" s="28"/>
      <c r="S150" s="29"/>
      <c r="T150" s="28"/>
      <c r="U150" s="29"/>
      <c r="V150" s="28"/>
      <c r="W150" s="29"/>
      <c r="X150" s="28"/>
      <c r="Y150" s="29"/>
      <c r="Z150" s="28"/>
      <c r="AA150" s="29"/>
      <c r="AB150" s="28"/>
      <c r="AC150" s="29"/>
      <c r="AD150" s="28"/>
      <c r="AE150" s="29"/>
      <c r="AF150" s="28"/>
      <c r="AG150" s="29"/>
      <c r="AH150" s="28"/>
      <c r="AI150" s="29"/>
      <c r="AJ150" s="28"/>
      <c r="AK150" s="29"/>
      <c r="AL150" s="28"/>
      <c r="AM150" s="29"/>
      <c r="AN150" s="28"/>
      <c r="AO150" s="29"/>
      <c r="AP150" s="28"/>
      <c r="AQ150" s="29"/>
      <c r="AR150" s="28"/>
      <c r="AS150" s="29"/>
      <c r="AT150" s="28"/>
      <c r="AU150" s="29"/>
      <c r="AV150" s="28"/>
      <c r="AW150" s="29"/>
      <c r="AX150" s="28"/>
      <c r="AY150" s="29"/>
    </row>
    <row r="151" spans="2:51">
      <c r="B151" s="26"/>
      <c r="C151" s="27"/>
      <c r="D151" s="28"/>
      <c r="E151" s="29"/>
      <c r="F151" s="28"/>
      <c r="G151" s="29"/>
      <c r="H151" s="28"/>
      <c r="I151" s="29"/>
      <c r="J151" s="28"/>
      <c r="K151" s="29"/>
      <c r="L151" s="28"/>
      <c r="M151" s="29"/>
      <c r="N151" s="28"/>
      <c r="O151" s="29"/>
      <c r="P151" s="28"/>
      <c r="Q151" s="29"/>
      <c r="R151" s="28"/>
      <c r="S151" s="29"/>
      <c r="T151" s="28"/>
      <c r="U151" s="29"/>
      <c r="V151" s="28"/>
      <c r="W151" s="29"/>
      <c r="X151" s="28"/>
      <c r="Y151" s="29"/>
      <c r="Z151" s="28"/>
      <c r="AA151" s="29"/>
      <c r="AB151" s="28"/>
      <c r="AC151" s="29"/>
      <c r="AD151" s="28"/>
      <c r="AE151" s="29"/>
      <c r="AF151" s="28"/>
      <c r="AG151" s="29"/>
      <c r="AH151" s="28"/>
      <c r="AI151" s="29"/>
      <c r="AJ151" s="28"/>
      <c r="AK151" s="29"/>
      <c r="AL151" s="28"/>
      <c r="AM151" s="29"/>
      <c r="AN151" s="28"/>
      <c r="AO151" s="29"/>
      <c r="AP151" s="28"/>
      <c r="AQ151" s="29"/>
      <c r="AR151" s="28"/>
      <c r="AS151" s="29"/>
      <c r="AT151" s="28"/>
      <c r="AU151" s="29"/>
      <c r="AV151" s="28"/>
      <c r="AW151" s="29"/>
      <c r="AX151" s="28"/>
      <c r="AY151" s="29"/>
    </row>
    <row r="152" spans="2:51">
      <c r="B152" s="26"/>
      <c r="C152" s="27"/>
      <c r="D152" s="28"/>
      <c r="E152" s="29"/>
      <c r="F152" s="28"/>
      <c r="G152" s="29"/>
      <c r="H152" s="28"/>
      <c r="I152" s="29"/>
      <c r="J152" s="28"/>
      <c r="K152" s="29"/>
      <c r="L152" s="28"/>
      <c r="M152" s="29"/>
      <c r="N152" s="28"/>
      <c r="O152" s="29"/>
      <c r="P152" s="28"/>
      <c r="Q152" s="29"/>
      <c r="R152" s="28"/>
      <c r="S152" s="29"/>
      <c r="T152" s="28"/>
      <c r="U152" s="29"/>
      <c r="V152" s="28"/>
      <c r="W152" s="29"/>
      <c r="X152" s="28"/>
      <c r="Y152" s="29"/>
      <c r="Z152" s="28"/>
      <c r="AA152" s="29"/>
      <c r="AB152" s="28"/>
      <c r="AC152" s="29"/>
      <c r="AD152" s="28"/>
      <c r="AE152" s="29"/>
      <c r="AF152" s="28"/>
      <c r="AG152" s="29"/>
      <c r="AH152" s="28"/>
      <c r="AI152" s="29"/>
      <c r="AJ152" s="28"/>
      <c r="AK152" s="29"/>
      <c r="AL152" s="28"/>
      <c r="AM152" s="29"/>
      <c r="AN152" s="28"/>
      <c r="AO152" s="29"/>
      <c r="AP152" s="28"/>
      <c r="AQ152" s="29"/>
      <c r="AR152" s="28"/>
      <c r="AS152" s="29"/>
      <c r="AT152" s="28"/>
      <c r="AU152" s="29"/>
      <c r="AV152" s="28"/>
      <c r="AW152" s="29"/>
      <c r="AX152" s="28"/>
      <c r="AY152" s="29"/>
    </row>
    <row r="153" spans="2:51">
      <c r="B153" s="26"/>
      <c r="C153" s="27"/>
      <c r="D153" s="28"/>
      <c r="E153" s="29"/>
      <c r="F153" s="28"/>
      <c r="G153" s="29"/>
      <c r="H153" s="28"/>
      <c r="I153" s="29"/>
      <c r="J153" s="28"/>
      <c r="K153" s="29"/>
      <c r="L153" s="28"/>
      <c r="M153" s="29"/>
      <c r="N153" s="28"/>
      <c r="O153" s="29"/>
      <c r="P153" s="28"/>
      <c r="Q153" s="29"/>
      <c r="R153" s="28"/>
      <c r="S153" s="29"/>
      <c r="T153" s="28"/>
      <c r="U153" s="29"/>
      <c r="V153" s="28"/>
      <c r="W153" s="29"/>
      <c r="X153" s="28"/>
      <c r="Y153" s="29"/>
      <c r="Z153" s="28"/>
      <c r="AA153" s="29"/>
      <c r="AB153" s="28"/>
      <c r="AC153" s="29"/>
      <c r="AD153" s="28"/>
      <c r="AE153" s="29"/>
      <c r="AF153" s="28"/>
      <c r="AG153" s="29"/>
      <c r="AH153" s="28"/>
      <c r="AI153" s="29"/>
      <c r="AJ153" s="28"/>
      <c r="AK153" s="29"/>
      <c r="AL153" s="28"/>
      <c r="AM153" s="29"/>
      <c r="AN153" s="28"/>
      <c r="AO153" s="29"/>
      <c r="AP153" s="28"/>
      <c r="AQ153" s="29"/>
      <c r="AR153" s="28"/>
      <c r="AS153" s="29"/>
      <c r="AT153" s="28"/>
      <c r="AU153" s="29"/>
      <c r="AV153" s="28"/>
      <c r="AW153" s="29"/>
      <c r="AX153" s="28"/>
      <c r="AY153" s="29"/>
    </row>
    <row r="154" spans="2:51">
      <c r="B154" s="26"/>
      <c r="C154" s="27"/>
      <c r="D154" s="28"/>
      <c r="E154" s="29"/>
      <c r="F154" s="28"/>
      <c r="G154" s="29"/>
      <c r="H154" s="28"/>
      <c r="I154" s="29"/>
      <c r="J154" s="28"/>
      <c r="K154" s="29"/>
      <c r="L154" s="28"/>
      <c r="M154" s="29"/>
      <c r="N154" s="28"/>
      <c r="O154" s="29"/>
      <c r="P154" s="28"/>
      <c r="Q154" s="29"/>
      <c r="R154" s="28"/>
      <c r="S154" s="29"/>
      <c r="T154" s="28"/>
      <c r="U154" s="29"/>
      <c r="V154" s="28"/>
      <c r="W154" s="29"/>
      <c r="X154" s="28"/>
      <c r="Y154" s="29"/>
      <c r="Z154" s="28"/>
      <c r="AA154" s="29"/>
      <c r="AB154" s="28"/>
      <c r="AC154" s="29"/>
      <c r="AD154" s="28"/>
      <c r="AE154" s="29"/>
      <c r="AF154" s="28"/>
      <c r="AG154" s="29"/>
      <c r="AH154" s="28"/>
      <c r="AI154" s="29"/>
      <c r="AJ154" s="28"/>
      <c r="AK154" s="29"/>
      <c r="AL154" s="28"/>
      <c r="AM154" s="29"/>
      <c r="AN154" s="28"/>
      <c r="AO154" s="29"/>
      <c r="AP154" s="28"/>
      <c r="AQ154" s="29"/>
      <c r="AR154" s="28"/>
      <c r="AS154" s="29"/>
      <c r="AT154" s="28"/>
      <c r="AU154" s="29"/>
      <c r="AV154" s="28"/>
      <c r="AW154" s="29"/>
      <c r="AX154" s="28"/>
      <c r="AY154" s="29"/>
    </row>
    <row r="155" spans="2:51">
      <c r="B155" s="26"/>
      <c r="C155" s="27"/>
      <c r="D155" s="28"/>
      <c r="E155" s="29"/>
      <c r="F155" s="28"/>
      <c r="G155" s="29"/>
      <c r="H155" s="28"/>
      <c r="I155" s="29"/>
      <c r="J155" s="28"/>
      <c r="K155" s="29"/>
      <c r="L155" s="28"/>
      <c r="M155" s="29"/>
      <c r="N155" s="28"/>
      <c r="O155" s="29"/>
      <c r="P155" s="28"/>
      <c r="Q155" s="29"/>
      <c r="R155" s="28"/>
      <c r="S155" s="29"/>
      <c r="T155" s="28"/>
      <c r="U155" s="29"/>
      <c r="V155" s="28"/>
      <c r="W155" s="29"/>
      <c r="X155" s="28"/>
      <c r="Y155" s="29"/>
      <c r="Z155" s="28"/>
      <c r="AA155" s="29"/>
      <c r="AB155" s="28"/>
      <c r="AC155" s="29"/>
      <c r="AD155" s="28"/>
      <c r="AE155" s="29"/>
      <c r="AF155" s="28"/>
      <c r="AG155" s="29"/>
      <c r="AH155" s="28"/>
      <c r="AI155" s="29"/>
      <c r="AJ155" s="28"/>
      <c r="AK155" s="29"/>
      <c r="AL155" s="28"/>
      <c r="AM155" s="29"/>
      <c r="AN155" s="28"/>
      <c r="AO155" s="29"/>
      <c r="AP155" s="28"/>
      <c r="AQ155" s="29"/>
      <c r="AR155" s="28"/>
      <c r="AS155" s="29"/>
      <c r="AT155" s="28"/>
      <c r="AU155" s="29"/>
      <c r="AV155" s="28"/>
      <c r="AW155" s="29"/>
      <c r="AX155" s="28"/>
      <c r="AY155" s="29"/>
    </row>
    <row r="156" spans="2:51">
      <c r="B156" s="26"/>
      <c r="C156" s="27"/>
      <c r="D156" s="28"/>
      <c r="E156" s="29"/>
      <c r="F156" s="28"/>
      <c r="G156" s="29"/>
      <c r="H156" s="28"/>
      <c r="I156" s="29"/>
      <c r="J156" s="28"/>
      <c r="K156" s="29"/>
      <c r="L156" s="28"/>
      <c r="M156" s="29"/>
      <c r="N156" s="28"/>
      <c r="O156" s="29"/>
      <c r="P156" s="28"/>
      <c r="Q156" s="29"/>
      <c r="R156" s="28"/>
      <c r="S156" s="29"/>
      <c r="T156" s="28"/>
      <c r="U156" s="29"/>
      <c r="V156" s="28"/>
      <c r="W156" s="29"/>
      <c r="X156" s="28"/>
      <c r="Y156" s="29"/>
      <c r="Z156" s="28"/>
      <c r="AA156" s="29"/>
      <c r="AB156" s="28"/>
      <c r="AC156" s="29"/>
      <c r="AD156" s="28"/>
      <c r="AE156" s="29"/>
      <c r="AF156" s="28"/>
      <c r="AG156" s="29"/>
      <c r="AH156" s="28"/>
      <c r="AI156" s="29"/>
      <c r="AJ156" s="28"/>
      <c r="AK156" s="29"/>
      <c r="AL156" s="28"/>
      <c r="AM156" s="29"/>
      <c r="AN156" s="28"/>
      <c r="AO156" s="29"/>
      <c r="AP156" s="28"/>
      <c r="AQ156" s="29"/>
      <c r="AR156" s="28"/>
      <c r="AS156" s="29"/>
      <c r="AT156" s="28"/>
      <c r="AU156" s="29"/>
      <c r="AV156" s="28"/>
      <c r="AW156" s="29"/>
      <c r="AX156" s="28"/>
      <c r="AY156" s="29"/>
    </row>
    <row r="157" spans="2:51">
      <c r="B157" s="26"/>
      <c r="C157" s="27"/>
      <c r="D157" s="28"/>
      <c r="E157" s="29"/>
      <c r="F157" s="28"/>
      <c r="G157" s="29"/>
      <c r="H157" s="28"/>
      <c r="I157" s="29"/>
      <c r="J157" s="28"/>
      <c r="K157" s="29"/>
      <c r="L157" s="28"/>
      <c r="M157" s="29"/>
      <c r="N157" s="28"/>
      <c r="O157" s="29"/>
      <c r="P157" s="28"/>
      <c r="Q157" s="29"/>
      <c r="R157" s="28"/>
      <c r="S157" s="29"/>
      <c r="T157" s="28"/>
      <c r="U157" s="29"/>
      <c r="V157" s="28"/>
      <c r="W157" s="29"/>
      <c r="X157" s="28"/>
      <c r="Y157" s="29"/>
      <c r="Z157" s="28"/>
      <c r="AA157" s="29"/>
      <c r="AB157" s="28"/>
      <c r="AC157" s="29"/>
      <c r="AD157" s="28"/>
      <c r="AE157" s="29"/>
      <c r="AF157" s="28"/>
      <c r="AG157" s="29"/>
      <c r="AH157" s="28"/>
      <c r="AI157" s="29"/>
      <c r="AJ157" s="28"/>
      <c r="AK157" s="29"/>
      <c r="AL157" s="28"/>
      <c r="AM157" s="29"/>
      <c r="AN157" s="28"/>
      <c r="AO157" s="29"/>
      <c r="AP157" s="28"/>
      <c r="AQ157" s="29"/>
      <c r="AR157" s="28"/>
      <c r="AS157" s="29"/>
      <c r="AT157" s="28"/>
      <c r="AU157" s="29"/>
      <c r="AV157" s="28"/>
      <c r="AW157" s="29"/>
      <c r="AX157" s="28"/>
      <c r="AY157" s="29"/>
    </row>
    <row r="158" spans="2:51">
      <c r="B158" s="26"/>
      <c r="C158" s="27"/>
      <c r="D158" s="28"/>
      <c r="E158" s="29"/>
      <c r="F158" s="28"/>
      <c r="G158" s="29"/>
      <c r="H158" s="28"/>
      <c r="I158" s="29"/>
      <c r="J158" s="28"/>
      <c r="K158" s="29"/>
      <c r="L158" s="28"/>
      <c r="M158" s="29"/>
      <c r="N158" s="28"/>
      <c r="O158" s="29"/>
      <c r="P158" s="28"/>
      <c r="Q158" s="29"/>
      <c r="R158" s="28"/>
      <c r="S158" s="29"/>
      <c r="T158" s="28"/>
      <c r="U158" s="29"/>
      <c r="V158" s="28"/>
      <c r="W158" s="29"/>
      <c r="X158" s="28"/>
      <c r="Y158" s="29"/>
      <c r="Z158" s="28"/>
      <c r="AA158" s="29"/>
      <c r="AB158" s="28"/>
      <c r="AC158" s="29"/>
      <c r="AD158" s="28"/>
      <c r="AE158" s="29"/>
      <c r="AF158" s="28"/>
      <c r="AG158" s="29"/>
      <c r="AH158" s="28"/>
      <c r="AI158" s="29"/>
      <c r="AJ158" s="28"/>
      <c r="AK158" s="29"/>
      <c r="AL158" s="28"/>
      <c r="AM158" s="29"/>
      <c r="AN158" s="28"/>
      <c r="AO158" s="29"/>
      <c r="AP158" s="28"/>
      <c r="AQ158" s="29"/>
      <c r="AR158" s="28"/>
      <c r="AS158" s="29"/>
      <c r="AT158" s="28"/>
      <c r="AU158" s="29"/>
      <c r="AV158" s="28"/>
      <c r="AW158" s="29"/>
      <c r="AX158" s="28"/>
      <c r="AY158" s="29"/>
    </row>
    <row r="159" spans="2:51">
      <c r="B159" s="26"/>
      <c r="C159" s="27"/>
      <c r="D159" s="28"/>
      <c r="E159" s="29"/>
      <c r="F159" s="28"/>
      <c r="G159" s="29"/>
      <c r="H159" s="28"/>
      <c r="I159" s="29"/>
      <c r="J159" s="28"/>
      <c r="K159" s="29"/>
      <c r="L159" s="28"/>
      <c r="M159" s="29"/>
      <c r="N159" s="28"/>
      <c r="O159" s="29"/>
      <c r="P159" s="28"/>
      <c r="Q159" s="29"/>
      <c r="R159" s="28"/>
      <c r="S159" s="29"/>
      <c r="T159" s="28"/>
      <c r="U159" s="29"/>
      <c r="V159" s="28"/>
      <c r="W159" s="29"/>
      <c r="X159" s="28"/>
      <c r="Y159" s="29"/>
      <c r="Z159" s="28"/>
      <c r="AA159" s="29"/>
      <c r="AB159" s="28"/>
      <c r="AC159" s="29"/>
      <c r="AD159" s="28"/>
      <c r="AE159" s="29"/>
      <c r="AF159" s="28"/>
      <c r="AG159" s="29"/>
      <c r="AH159" s="28"/>
      <c r="AI159" s="29"/>
      <c r="AJ159" s="28"/>
      <c r="AK159" s="29"/>
      <c r="AL159" s="28"/>
      <c r="AM159" s="29"/>
      <c r="AN159" s="28"/>
      <c r="AO159" s="29"/>
      <c r="AP159" s="28"/>
      <c r="AQ159" s="29"/>
      <c r="AR159" s="28"/>
      <c r="AS159" s="29"/>
      <c r="AT159" s="28"/>
      <c r="AU159" s="29"/>
      <c r="AV159" s="28"/>
      <c r="AW159" s="29"/>
      <c r="AX159" s="28"/>
      <c r="AY159" s="29"/>
    </row>
    <row r="160" spans="2:51">
      <c r="B160" s="26"/>
      <c r="C160" s="27"/>
      <c r="D160" s="28"/>
      <c r="E160" s="29"/>
      <c r="F160" s="28"/>
      <c r="G160" s="29"/>
      <c r="H160" s="28"/>
      <c r="I160" s="29"/>
      <c r="J160" s="28"/>
      <c r="K160" s="29"/>
      <c r="L160" s="28"/>
      <c r="M160" s="29"/>
      <c r="N160" s="28"/>
      <c r="O160" s="29"/>
      <c r="P160" s="28"/>
      <c r="Q160" s="29"/>
      <c r="R160" s="28"/>
      <c r="S160" s="29"/>
      <c r="T160" s="28"/>
      <c r="U160" s="29"/>
      <c r="V160" s="28"/>
      <c r="W160" s="29"/>
      <c r="X160" s="28"/>
      <c r="Y160" s="29"/>
      <c r="Z160" s="28"/>
      <c r="AA160" s="29"/>
      <c r="AB160" s="28"/>
      <c r="AC160" s="29"/>
      <c r="AD160" s="28"/>
      <c r="AE160" s="29"/>
      <c r="AF160" s="28"/>
      <c r="AG160" s="29"/>
      <c r="AH160" s="28"/>
      <c r="AI160" s="29"/>
      <c r="AJ160" s="28"/>
      <c r="AK160" s="29"/>
      <c r="AL160" s="28"/>
      <c r="AM160" s="29"/>
      <c r="AN160" s="28"/>
      <c r="AO160" s="29"/>
      <c r="AP160" s="28"/>
      <c r="AQ160" s="29"/>
      <c r="AR160" s="28"/>
      <c r="AS160" s="29"/>
      <c r="AT160" s="28"/>
      <c r="AU160" s="29"/>
      <c r="AV160" s="28"/>
      <c r="AW160" s="29"/>
      <c r="AX160" s="28"/>
      <c r="AY160" s="29"/>
    </row>
    <row r="161" spans="2:51">
      <c r="B161" s="26"/>
      <c r="C161" s="27"/>
      <c r="D161" s="28"/>
      <c r="E161" s="29"/>
      <c r="F161" s="28"/>
      <c r="G161" s="29"/>
      <c r="H161" s="28"/>
      <c r="I161" s="29"/>
      <c r="J161" s="28"/>
      <c r="K161" s="29"/>
      <c r="L161" s="28"/>
      <c r="M161" s="29"/>
      <c r="N161" s="28"/>
      <c r="O161" s="29"/>
      <c r="P161" s="28"/>
      <c r="Q161" s="29"/>
      <c r="R161" s="28"/>
      <c r="S161" s="29"/>
      <c r="T161" s="28"/>
      <c r="U161" s="29"/>
      <c r="V161" s="28"/>
      <c r="W161" s="29"/>
      <c r="X161" s="28"/>
      <c r="Y161" s="29"/>
      <c r="Z161" s="28"/>
      <c r="AA161" s="29"/>
      <c r="AB161" s="28"/>
      <c r="AC161" s="29"/>
      <c r="AD161" s="28"/>
      <c r="AE161" s="29"/>
      <c r="AF161" s="28"/>
      <c r="AG161" s="29"/>
      <c r="AH161" s="28"/>
      <c r="AI161" s="29"/>
      <c r="AJ161" s="28"/>
      <c r="AK161" s="29"/>
      <c r="AL161" s="28"/>
      <c r="AM161" s="29"/>
      <c r="AN161" s="28"/>
      <c r="AO161" s="29"/>
      <c r="AP161" s="28"/>
      <c r="AQ161" s="29"/>
      <c r="AR161" s="28"/>
      <c r="AS161" s="29"/>
      <c r="AT161" s="28"/>
      <c r="AU161" s="29"/>
      <c r="AV161" s="28"/>
      <c r="AW161" s="29"/>
      <c r="AX161" s="28"/>
      <c r="AY161" s="29"/>
    </row>
    <row r="162" spans="2:51">
      <c r="B162" s="26"/>
      <c r="C162" s="27"/>
      <c r="D162" s="28"/>
      <c r="E162" s="29"/>
      <c r="F162" s="28"/>
      <c r="G162" s="29"/>
      <c r="H162" s="28"/>
      <c r="I162" s="29"/>
      <c r="J162" s="28"/>
      <c r="K162" s="29"/>
      <c r="L162" s="28"/>
      <c r="M162" s="29"/>
      <c r="N162" s="28"/>
      <c r="O162" s="29"/>
      <c r="P162" s="28"/>
      <c r="Q162" s="29"/>
      <c r="R162" s="28"/>
      <c r="S162" s="29"/>
      <c r="T162" s="28"/>
      <c r="U162" s="29"/>
      <c r="V162" s="28"/>
      <c r="W162" s="29"/>
      <c r="X162" s="28"/>
      <c r="Y162" s="29"/>
      <c r="Z162" s="28"/>
      <c r="AA162" s="29"/>
      <c r="AB162" s="28"/>
      <c r="AC162" s="29"/>
      <c r="AD162" s="28"/>
      <c r="AE162" s="29"/>
      <c r="AF162" s="28"/>
      <c r="AG162" s="29"/>
      <c r="AH162" s="28"/>
      <c r="AI162" s="29"/>
      <c r="AJ162" s="28"/>
      <c r="AK162" s="29"/>
      <c r="AL162" s="28"/>
      <c r="AM162" s="29"/>
      <c r="AN162" s="28"/>
      <c r="AO162" s="29"/>
      <c r="AP162" s="28"/>
      <c r="AQ162" s="29"/>
      <c r="AR162" s="28"/>
      <c r="AS162" s="29"/>
      <c r="AT162" s="28"/>
      <c r="AU162" s="29"/>
      <c r="AV162" s="28"/>
      <c r="AW162" s="29"/>
      <c r="AX162" s="28"/>
      <c r="AY162" s="29"/>
    </row>
    <row r="163" spans="2:51">
      <c r="B163" s="26"/>
      <c r="C163" s="27"/>
      <c r="D163" s="28"/>
      <c r="E163" s="29"/>
      <c r="F163" s="28"/>
      <c r="G163" s="29"/>
      <c r="H163" s="28"/>
      <c r="I163" s="29"/>
      <c r="J163" s="28"/>
      <c r="K163" s="29"/>
      <c r="L163" s="28"/>
      <c r="M163" s="29"/>
      <c r="N163" s="28"/>
      <c r="O163" s="29"/>
      <c r="P163" s="28"/>
      <c r="Q163" s="29"/>
      <c r="R163" s="28"/>
      <c r="S163" s="29"/>
      <c r="T163" s="28"/>
      <c r="U163" s="29"/>
      <c r="V163" s="28"/>
      <c r="W163" s="29"/>
      <c r="X163" s="28"/>
      <c r="Y163" s="29"/>
      <c r="Z163" s="28"/>
      <c r="AA163" s="29"/>
      <c r="AB163" s="28"/>
      <c r="AC163" s="29"/>
      <c r="AD163" s="28"/>
      <c r="AE163" s="29"/>
      <c r="AF163" s="28"/>
      <c r="AG163" s="29"/>
      <c r="AH163" s="28"/>
      <c r="AI163" s="29"/>
      <c r="AJ163" s="28"/>
      <c r="AK163" s="29"/>
      <c r="AL163" s="28"/>
      <c r="AM163" s="29"/>
      <c r="AN163" s="28"/>
      <c r="AO163" s="29"/>
      <c r="AP163" s="28"/>
      <c r="AQ163" s="29"/>
      <c r="AR163" s="28"/>
      <c r="AS163" s="29"/>
      <c r="AT163" s="28"/>
      <c r="AU163" s="29"/>
      <c r="AV163" s="28"/>
      <c r="AW163" s="29"/>
      <c r="AX163" s="28"/>
      <c r="AY163" s="29"/>
    </row>
    <row r="164" spans="2:51">
      <c r="B164" s="26"/>
      <c r="C164" s="27"/>
      <c r="D164" s="28"/>
      <c r="E164" s="29"/>
      <c r="F164" s="28"/>
      <c r="G164" s="29"/>
      <c r="H164" s="28"/>
      <c r="I164" s="29"/>
      <c r="J164" s="28"/>
      <c r="K164" s="29"/>
      <c r="L164" s="28"/>
      <c r="M164" s="29"/>
      <c r="N164" s="28"/>
      <c r="O164" s="29"/>
      <c r="P164" s="28"/>
      <c r="Q164" s="29"/>
      <c r="R164" s="28"/>
      <c r="S164" s="29"/>
      <c r="T164" s="28"/>
      <c r="U164" s="29"/>
      <c r="V164" s="28"/>
      <c r="W164" s="29"/>
      <c r="X164" s="28"/>
      <c r="Y164" s="29"/>
      <c r="Z164" s="28"/>
      <c r="AA164" s="29"/>
      <c r="AB164" s="28"/>
      <c r="AC164" s="29"/>
      <c r="AD164" s="28"/>
      <c r="AE164" s="29"/>
      <c r="AF164" s="28"/>
      <c r="AG164" s="29"/>
      <c r="AH164" s="28"/>
      <c r="AI164" s="29"/>
      <c r="AJ164" s="28"/>
      <c r="AK164" s="29"/>
      <c r="AL164" s="28"/>
      <c r="AM164" s="29"/>
      <c r="AN164" s="28"/>
      <c r="AO164" s="29"/>
      <c r="AP164" s="28"/>
      <c r="AQ164" s="29"/>
      <c r="AR164" s="28"/>
      <c r="AS164" s="29"/>
      <c r="AT164" s="28"/>
      <c r="AU164" s="29"/>
      <c r="AV164" s="28"/>
      <c r="AW164" s="29"/>
      <c r="AX164" s="28"/>
      <c r="AY164" s="29"/>
    </row>
    <row r="165" spans="2:51">
      <c r="B165" s="26"/>
      <c r="C165" s="27"/>
      <c r="D165" s="28"/>
      <c r="E165" s="29"/>
      <c r="F165" s="28"/>
      <c r="G165" s="29"/>
      <c r="H165" s="28"/>
      <c r="I165" s="29"/>
      <c r="J165" s="28"/>
      <c r="K165" s="29"/>
      <c r="L165" s="28"/>
      <c r="M165" s="29"/>
      <c r="N165" s="28"/>
      <c r="O165" s="29"/>
      <c r="P165" s="28"/>
      <c r="Q165" s="29"/>
      <c r="R165" s="28"/>
      <c r="S165" s="29"/>
      <c r="T165" s="28"/>
      <c r="U165" s="29"/>
      <c r="V165" s="28"/>
      <c r="W165" s="29"/>
      <c r="X165" s="28"/>
      <c r="Y165" s="29"/>
      <c r="Z165" s="28"/>
      <c r="AA165" s="29"/>
      <c r="AB165" s="28"/>
      <c r="AC165" s="29"/>
      <c r="AD165" s="28"/>
      <c r="AE165" s="29"/>
      <c r="AF165" s="28"/>
      <c r="AG165" s="29"/>
      <c r="AH165" s="28"/>
      <c r="AI165" s="29"/>
      <c r="AJ165" s="28"/>
      <c r="AK165" s="29"/>
      <c r="AL165" s="28"/>
      <c r="AM165" s="29"/>
      <c r="AN165" s="28"/>
      <c r="AO165" s="29"/>
      <c r="AP165" s="28"/>
      <c r="AQ165" s="29"/>
      <c r="AR165" s="28"/>
      <c r="AS165" s="29"/>
      <c r="AT165" s="28"/>
      <c r="AU165" s="29"/>
      <c r="AV165" s="28"/>
      <c r="AW165" s="29"/>
      <c r="AX165" s="28"/>
      <c r="AY165" s="29"/>
    </row>
    <row r="166" spans="2:51">
      <c r="B166" s="26"/>
      <c r="C166" s="27"/>
      <c r="D166" s="28"/>
      <c r="E166" s="29"/>
      <c r="F166" s="28"/>
      <c r="G166" s="29"/>
      <c r="H166" s="28"/>
      <c r="I166" s="29"/>
      <c r="J166" s="28"/>
      <c r="K166" s="29"/>
      <c r="L166" s="28"/>
      <c r="M166" s="29"/>
      <c r="N166" s="28"/>
      <c r="O166" s="29"/>
      <c r="P166" s="28"/>
      <c r="Q166" s="29"/>
      <c r="R166" s="28"/>
      <c r="S166" s="29"/>
      <c r="T166" s="28"/>
      <c r="U166" s="29"/>
      <c r="V166" s="28"/>
      <c r="W166" s="29"/>
      <c r="X166" s="28"/>
      <c r="Y166" s="29"/>
      <c r="Z166" s="28"/>
      <c r="AA166" s="29"/>
      <c r="AB166" s="28"/>
      <c r="AC166" s="29"/>
      <c r="AD166" s="28"/>
      <c r="AE166" s="29"/>
      <c r="AF166" s="28"/>
      <c r="AG166" s="29"/>
      <c r="AH166" s="28"/>
      <c r="AI166" s="29"/>
      <c r="AJ166" s="28"/>
      <c r="AK166" s="29"/>
      <c r="AL166" s="28"/>
      <c r="AM166" s="29"/>
      <c r="AN166" s="28"/>
      <c r="AO166" s="29"/>
      <c r="AP166" s="28"/>
      <c r="AQ166" s="29"/>
      <c r="AR166" s="28"/>
      <c r="AS166" s="29"/>
      <c r="AT166" s="28"/>
      <c r="AU166" s="29"/>
      <c r="AV166" s="28"/>
      <c r="AW166" s="29"/>
      <c r="AX166" s="28"/>
      <c r="AY166" s="29"/>
    </row>
    <row r="167" spans="2:51">
      <c r="B167" s="26"/>
      <c r="C167" s="27"/>
      <c r="D167" s="28"/>
      <c r="E167" s="29"/>
      <c r="F167" s="28"/>
      <c r="G167" s="29"/>
      <c r="H167" s="28"/>
      <c r="I167" s="29"/>
      <c r="J167" s="28"/>
      <c r="K167" s="29"/>
      <c r="L167" s="28"/>
      <c r="M167" s="29"/>
      <c r="N167" s="28"/>
      <c r="O167" s="29"/>
      <c r="P167" s="28"/>
      <c r="Q167" s="29"/>
      <c r="R167" s="28"/>
      <c r="S167" s="29"/>
      <c r="T167" s="28"/>
      <c r="U167" s="29"/>
      <c r="V167" s="28"/>
      <c r="W167" s="29"/>
      <c r="X167" s="28"/>
      <c r="Y167" s="29"/>
      <c r="Z167" s="28"/>
      <c r="AA167" s="29"/>
      <c r="AB167" s="28"/>
      <c r="AC167" s="29"/>
      <c r="AD167" s="28"/>
      <c r="AE167" s="29"/>
      <c r="AF167" s="28"/>
      <c r="AG167" s="29"/>
      <c r="AH167" s="28"/>
      <c r="AI167" s="29"/>
      <c r="AJ167" s="28"/>
      <c r="AK167" s="29"/>
      <c r="AL167" s="28"/>
      <c r="AM167" s="29"/>
      <c r="AN167" s="28"/>
      <c r="AO167" s="29"/>
      <c r="AP167" s="28"/>
      <c r="AQ167" s="29"/>
      <c r="AR167" s="28"/>
      <c r="AS167" s="29"/>
      <c r="AT167" s="28"/>
      <c r="AU167" s="29"/>
      <c r="AV167" s="28"/>
      <c r="AW167" s="29"/>
      <c r="AX167" s="28"/>
      <c r="AY167" s="29"/>
    </row>
  </sheetData>
  <conditionalFormatting sqref="C2:M2">
    <cfRule type="expression" dxfId="6" priority="1" stopIfTrue="1">
      <formula>#REF! &gt; 30</formula>
    </cfRule>
  </conditionalFormatting>
  <conditionalFormatting sqref="B2">
    <cfRule type="expression" dxfId="5" priority="2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Q84"/>
  <sheetViews>
    <sheetView topLeftCell="A7" workbookViewId="0">
      <selection activeCell="H35" sqref="H35"/>
    </sheetView>
  </sheetViews>
  <sheetFormatPr defaultRowHeight="15"/>
  <cols>
    <col min="1" max="1" width="9.140625" style="272"/>
    <col min="2" max="2" width="54.28515625" style="271" customWidth="1"/>
    <col min="3" max="3" width="17.7109375" style="271" bestFit="1" customWidth="1"/>
    <col min="4" max="5" width="18.28515625" style="271" bestFit="1" customWidth="1"/>
    <col min="6" max="6" width="9.140625" style="271"/>
    <col min="7" max="7" width="10.5703125" style="271" bestFit="1" customWidth="1"/>
    <col min="8" max="16" width="13.85546875" style="271" customWidth="1"/>
    <col min="17" max="16384" width="9.140625" style="271"/>
  </cols>
  <sheetData>
    <row r="1" spans="1:15" ht="15.75">
      <c r="A1" s="288"/>
      <c r="B1" s="287" t="s">
        <v>160</v>
      </c>
      <c r="C1" s="272"/>
      <c r="D1" s="272"/>
      <c r="E1" s="272"/>
    </row>
    <row r="2" spans="1:15">
      <c r="A2" s="300"/>
      <c r="B2" s="301" t="s">
        <v>275</v>
      </c>
      <c r="C2" s="272"/>
      <c r="D2" s="272"/>
      <c r="E2" s="272"/>
    </row>
    <row r="3" spans="1:15">
      <c r="A3" s="302"/>
      <c r="B3" s="272"/>
      <c r="C3" s="272"/>
      <c r="D3" s="272"/>
      <c r="E3" s="272"/>
    </row>
    <row r="4" spans="1:15" ht="7.5" customHeight="1"/>
    <row r="5" spans="1:15" ht="48" thickBot="1">
      <c r="B5" s="335" t="s">
        <v>161</v>
      </c>
      <c r="C5" s="331">
        <v>2016</v>
      </c>
      <c r="D5" s="331">
        <v>2017</v>
      </c>
      <c r="E5" s="332" t="s">
        <v>162</v>
      </c>
      <c r="G5" s="306"/>
      <c r="H5" s="307" t="s">
        <v>206</v>
      </c>
      <c r="I5" s="307" t="s">
        <v>207</v>
      </c>
      <c r="J5" s="307" t="s">
        <v>208</v>
      </c>
      <c r="K5" s="307" t="s">
        <v>209</v>
      </c>
      <c r="L5" s="307" t="s">
        <v>210</v>
      </c>
      <c r="M5" s="307" t="s">
        <v>211</v>
      </c>
      <c r="N5" s="307" t="s">
        <v>212</v>
      </c>
      <c r="O5" s="307" t="s">
        <v>213</v>
      </c>
    </row>
    <row r="6" spans="1:15" ht="16.5" thickTop="1">
      <c r="B6" s="336" t="s">
        <v>327</v>
      </c>
      <c r="C6" s="207">
        <v>2690076</v>
      </c>
      <c r="D6" s="207">
        <v>2770854</v>
      </c>
      <c r="E6" s="207">
        <v>5460930</v>
      </c>
      <c r="G6" s="308">
        <v>42278</v>
      </c>
      <c r="H6" s="309">
        <v>335172</v>
      </c>
      <c r="I6" s="310">
        <v>10.02</v>
      </c>
      <c r="J6" s="311">
        <v>3358420</v>
      </c>
      <c r="K6" s="309">
        <v>-178014</v>
      </c>
      <c r="L6" s="309">
        <v>62593</v>
      </c>
      <c r="M6" s="310">
        <v>27.86</v>
      </c>
      <c r="N6" s="310">
        <v>23.75</v>
      </c>
      <c r="O6" s="303">
        <v>-3472883</v>
      </c>
    </row>
    <row r="7" spans="1:15" ht="15.75">
      <c r="B7" s="336" t="s">
        <v>328</v>
      </c>
      <c r="C7" s="207">
        <v>96182</v>
      </c>
      <c r="D7" s="207">
        <v>121330</v>
      </c>
      <c r="E7" s="207">
        <v>217513</v>
      </c>
      <c r="G7" s="308">
        <v>42309</v>
      </c>
      <c r="H7" s="309">
        <v>195455</v>
      </c>
      <c r="I7" s="310">
        <v>10.27</v>
      </c>
      <c r="J7" s="311">
        <v>2007324</v>
      </c>
      <c r="K7" s="309">
        <v>-371422</v>
      </c>
      <c r="L7" s="309">
        <v>133683</v>
      </c>
      <c r="M7" s="310">
        <v>28.56</v>
      </c>
      <c r="N7" s="310">
        <v>24.48</v>
      </c>
      <c r="O7" s="303">
        <v>-7335235</v>
      </c>
    </row>
    <row r="8" spans="1:15" ht="15.75">
      <c r="B8" s="336" t="s">
        <v>329</v>
      </c>
      <c r="C8" s="207" t="s">
        <v>330</v>
      </c>
      <c r="D8" s="207" t="s">
        <v>331</v>
      </c>
      <c r="E8" s="207" t="s">
        <v>331</v>
      </c>
      <c r="G8" s="308">
        <v>42339</v>
      </c>
      <c r="H8" s="309">
        <v>619669</v>
      </c>
      <c r="I8" s="310">
        <v>10.51</v>
      </c>
      <c r="J8" s="311">
        <v>6512724</v>
      </c>
      <c r="K8" s="309">
        <v>129525</v>
      </c>
      <c r="L8" s="309">
        <v>356520</v>
      </c>
      <c r="M8" s="310">
        <v>29.22</v>
      </c>
      <c r="N8" s="310">
        <v>24.82</v>
      </c>
      <c r="O8" s="303">
        <v>12633557</v>
      </c>
    </row>
    <row r="9" spans="1:15" ht="15.75">
      <c r="B9" s="337" t="s">
        <v>332</v>
      </c>
      <c r="C9" s="208">
        <v>22866</v>
      </c>
      <c r="D9" s="208">
        <v>27508</v>
      </c>
      <c r="E9" s="208">
        <v>50373</v>
      </c>
      <c r="G9" s="308">
        <v>42370</v>
      </c>
      <c r="H9" s="309">
        <v>504258</v>
      </c>
      <c r="I9" s="310">
        <v>10.79</v>
      </c>
      <c r="J9" s="311">
        <v>5440946</v>
      </c>
      <c r="K9" s="309">
        <v>395325</v>
      </c>
      <c r="L9" s="309">
        <v>616487</v>
      </c>
      <c r="M9" s="310">
        <v>30.02</v>
      </c>
      <c r="N9" s="310">
        <v>25.03</v>
      </c>
      <c r="O9" s="303">
        <v>27298317</v>
      </c>
    </row>
    <row r="10" spans="1:15" ht="15.75">
      <c r="B10" s="212" t="s">
        <v>167</v>
      </c>
      <c r="C10" s="211">
        <v>2809124</v>
      </c>
      <c r="D10" s="211">
        <v>2919692</v>
      </c>
      <c r="E10" s="211">
        <v>5728816</v>
      </c>
      <c r="G10" s="308">
        <v>42401</v>
      </c>
      <c r="H10" s="309">
        <v>350009</v>
      </c>
      <c r="I10" s="310">
        <v>10.66</v>
      </c>
      <c r="J10" s="311">
        <v>3731097</v>
      </c>
      <c r="K10" s="309">
        <v>325301</v>
      </c>
      <c r="L10" s="309">
        <v>386614</v>
      </c>
      <c r="M10" s="310">
        <v>29.65</v>
      </c>
      <c r="N10" s="310">
        <v>24.68</v>
      </c>
      <c r="O10" s="303">
        <v>19186832</v>
      </c>
    </row>
    <row r="11" spans="1:15" ht="15.75">
      <c r="B11" s="329"/>
      <c r="C11" s="330"/>
      <c r="D11" s="330"/>
      <c r="E11" s="330"/>
      <c r="G11" s="308">
        <v>42430</v>
      </c>
      <c r="H11" s="309">
        <v>530868</v>
      </c>
      <c r="I11" s="310">
        <v>9.1300000000000008</v>
      </c>
      <c r="J11" s="311">
        <v>4846827</v>
      </c>
      <c r="K11" s="309">
        <v>5984</v>
      </c>
      <c r="L11" s="309">
        <v>134601</v>
      </c>
      <c r="M11" s="310">
        <v>25.38</v>
      </c>
      <c r="N11" s="310">
        <v>22.07</v>
      </c>
      <c r="O11" s="303">
        <v>3122525</v>
      </c>
    </row>
    <row r="12" spans="1:15" ht="16.5" thickBot="1">
      <c r="B12" s="335" t="s">
        <v>168</v>
      </c>
      <c r="C12" s="333"/>
      <c r="D12" s="334"/>
      <c r="E12" s="333"/>
      <c r="G12" s="308">
        <v>42461</v>
      </c>
      <c r="H12" s="309">
        <v>424961</v>
      </c>
      <c r="I12" s="310">
        <v>8.76</v>
      </c>
      <c r="J12" s="311">
        <v>3722654</v>
      </c>
      <c r="K12" s="309">
        <v>108191</v>
      </c>
      <c r="L12" s="309">
        <v>180294</v>
      </c>
      <c r="M12" s="310">
        <v>24.36</v>
      </c>
      <c r="N12" s="310">
        <v>21.04</v>
      </c>
      <c r="O12" s="303">
        <v>6428911</v>
      </c>
    </row>
    <row r="13" spans="1:15" ht="16.5" thickTop="1">
      <c r="B13" s="329"/>
      <c r="C13" s="328"/>
      <c r="D13" s="328"/>
      <c r="E13" s="328"/>
      <c r="G13" s="308">
        <v>42491</v>
      </c>
      <c r="H13" s="309">
        <v>261665</v>
      </c>
      <c r="I13" s="310">
        <v>7.95</v>
      </c>
      <c r="J13" s="311">
        <v>2080238</v>
      </c>
      <c r="K13" s="309">
        <v>-1234546</v>
      </c>
      <c r="L13" s="309">
        <v>-332608</v>
      </c>
      <c r="M13" s="310">
        <v>22.1</v>
      </c>
      <c r="N13" s="310">
        <v>17.53</v>
      </c>
      <c r="O13" s="303">
        <v>-33114082</v>
      </c>
    </row>
    <row r="14" spans="1:15" ht="16.5" thickBot="1">
      <c r="B14" s="338" t="s">
        <v>169</v>
      </c>
      <c r="C14" s="216">
        <v>2016</v>
      </c>
      <c r="D14" s="216">
        <v>2017</v>
      </c>
      <c r="E14" s="217" t="s">
        <v>162</v>
      </c>
      <c r="G14" s="308">
        <v>42522</v>
      </c>
      <c r="H14" s="309">
        <v>377878</v>
      </c>
      <c r="I14" s="310">
        <v>8.33</v>
      </c>
      <c r="J14" s="311">
        <v>3147724</v>
      </c>
      <c r="K14" s="309">
        <v>-596155</v>
      </c>
      <c r="L14" s="309">
        <v>-178226</v>
      </c>
      <c r="M14" s="310">
        <v>23.15</v>
      </c>
      <c r="N14" s="310">
        <v>17.11</v>
      </c>
      <c r="O14" s="303">
        <v>-16850423</v>
      </c>
    </row>
    <row r="15" spans="1:15" ht="16.5" thickTop="1">
      <c r="B15" s="339" t="s">
        <v>333</v>
      </c>
      <c r="C15" s="219">
        <v>-33552</v>
      </c>
      <c r="D15" s="219">
        <v>-33461</v>
      </c>
      <c r="E15" s="219">
        <v>-67013</v>
      </c>
      <c r="G15" s="308">
        <v>42552</v>
      </c>
      <c r="H15" s="309">
        <v>342157</v>
      </c>
      <c r="I15" s="310">
        <v>9.8699999999999992</v>
      </c>
      <c r="J15" s="311">
        <v>3377094</v>
      </c>
      <c r="K15" s="309">
        <v>-239573</v>
      </c>
      <c r="L15" s="309">
        <v>280598</v>
      </c>
      <c r="M15" s="310">
        <v>27.43</v>
      </c>
      <c r="N15" s="310">
        <v>21.58</v>
      </c>
      <c r="O15" s="303">
        <v>-516193</v>
      </c>
    </row>
    <row r="16" spans="1:15" ht="15.75">
      <c r="B16" s="339" t="s">
        <v>334</v>
      </c>
      <c r="C16" s="219" t="s">
        <v>330</v>
      </c>
      <c r="D16" s="219" t="s">
        <v>331</v>
      </c>
      <c r="E16" s="219" t="s">
        <v>331</v>
      </c>
      <c r="G16" s="308">
        <v>42583</v>
      </c>
      <c r="H16" s="309">
        <v>490169</v>
      </c>
      <c r="I16" s="310">
        <v>10.9</v>
      </c>
      <c r="J16" s="311">
        <v>5342837</v>
      </c>
      <c r="K16" s="309">
        <v>-316622</v>
      </c>
      <c r="L16" s="309">
        <v>122097</v>
      </c>
      <c r="M16" s="310">
        <v>30.3</v>
      </c>
      <c r="N16" s="310">
        <v>24.41</v>
      </c>
      <c r="O16" s="303">
        <v>-6613254</v>
      </c>
    </row>
    <row r="17" spans="1:17" ht="15.75">
      <c r="A17" s="271"/>
      <c r="B17" s="339" t="s">
        <v>335</v>
      </c>
      <c r="C17" s="220">
        <v>-0.64</v>
      </c>
      <c r="D17" s="220">
        <v>-0.65</v>
      </c>
      <c r="E17" s="219">
        <v>-1</v>
      </c>
      <c r="G17" s="312">
        <v>42614</v>
      </c>
      <c r="H17" s="313">
        <v>383408</v>
      </c>
      <c r="I17" s="314">
        <v>11.42</v>
      </c>
      <c r="J17" s="315">
        <v>4378521</v>
      </c>
      <c r="K17" s="313">
        <v>-21761</v>
      </c>
      <c r="L17" s="313">
        <v>154201</v>
      </c>
      <c r="M17" s="314">
        <v>31.75</v>
      </c>
      <c r="N17" s="314">
        <v>25.7</v>
      </c>
      <c r="O17" s="304">
        <v>3272049</v>
      </c>
    </row>
    <row r="18" spans="1:17" ht="15.75">
      <c r="A18" s="271"/>
      <c r="B18" s="339" t="s">
        <v>336</v>
      </c>
      <c r="C18" s="213">
        <v>-34537</v>
      </c>
      <c r="D18" s="213">
        <v>-34537</v>
      </c>
      <c r="E18" s="213">
        <v>-69074</v>
      </c>
      <c r="G18" s="308">
        <v>42644</v>
      </c>
      <c r="H18" s="309">
        <v>285874</v>
      </c>
      <c r="I18" s="310">
        <v>10.02</v>
      </c>
      <c r="J18" s="311">
        <v>2864455</v>
      </c>
      <c r="K18" s="309">
        <v>-215558</v>
      </c>
      <c r="L18" s="309">
        <v>110924</v>
      </c>
      <c r="M18" s="316">
        <v>27.86</v>
      </c>
      <c r="N18" s="316">
        <v>23.75</v>
      </c>
      <c r="O18" s="303">
        <v>-3371004</v>
      </c>
      <c r="Q18" s="348"/>
    </row>
    <row r="19" spans="1:17" ht="15.75">
      <c r="A19" s="271"/>
      <c r="B19" s="339" t="s">
        <v>337</v>
      </c>
      <c r="C19" s="214">
        <v>-1241</v>
      </c>
      <c r="D19" s="214">
        <v>-1652</v>
      </c>
      <c r="E19" s="214">
        <v>-2894</v>
      </c>
      <c r="G19" s="308">
        <v>42675</v>
      </c>
      <c r="H19" s="309">
        <v>265044</v>
      </c>
      <c r="I19" s="310">
        <v>10.27</v>
      </c>
      <c r="J19" s="311">
        <v>2722000</v>
      </c>
      <c r="K19" s="309">
        <v>-300822</v>
      </c>
      <c r="L19" s="309">
        <v>96628</v>
      </c>
      <c r="M19" s="316">
        <v>28.56</v>
      </c>
      <c r="N19" s="316">
        <v>24.48</v>
      </c>
      <c r="O19" s="303">
        <v>-6226007</v>
      </c>
    </row>
    <row r="20" spans="1:17" ht="15.75">
      <c r="A20" s="271"/>
      <c r="B20" s="339" t="s">
        <v>338</v>
      </c>
      <c r="C20" s="213">
        <v>-253070</v>
      </c>
      <c r="D20" s="213">
        <v>-240775</v>
      </c>
      <c r="E20" s="213">
        <v>-493845</v>
      </c>
      <c r="G20" s="308">
        <v>42705</v>
      </c>
      <c r="H20" s="309">
        <v>632612</v>
      </c>
      <c r="I20" s="310">
        <v>10.51</v>
      </c>
      <c r="J20" s="311">
        <v>6648752</v>
      </c>
      <c r="K20" s="309">
        <v>146349</v>
      </c>
      <c r="L20" s="309">
        <v>371746</v>
      </c>
      <c r="M20" s="316">
        <v>29.22</v>
      </c>
      <c r="N20" s="316">
        <v>24.82</v>
      </c>
      <c r="O20" s="303">
        <v>13503053</v>
      </c>
    </row>
    <row r="21" spans="1:17" ht="15.75">
      <c r="A21" s="271"/>
      <c r="B21" s="339" t="s">
        <v>339</v>
      </c>
      <c r="C21" s="213"/>
      <c r="D21" s="213"/>
      <c r="E21" s="213" t="s">
        <v>331</v>
      </c>
      <c r="G21" s="308">
        <v>42736</v>
      </c>
      <c r="H21" s="309">
        <v>516843</v>
      </c>
      <c r="I21" s="310">
        <v>10.79</v>
      </c>
      <c r="J21" s="311">
        <v>5576732</v>
      </c>
      <c r="K21" s="309">
        <v>419079</v>
      </c>
      <c r="L21" s="309">
        <v>638757</v>
      </c>
      <c r="M21" s="316">
        <v>30.02</v>
      </c>
      <c r="N21" s="316">
        <v>25.03</v>
      </c>
      <c r="O21" s="303">
        <v>28568839</v>
      </c>
    </row>
    <row r="22" spans="1:17" ht="15.75">
      <c r="A22" s="271"/>
      <c r="B22" s="340" t="s">
        <v>340</v>
      </c>
      <c r="C22" s="214">
        <v>-5991</v>
      </c>
      <c r="D22" s="214">
        <v>-2744</v>
      </c>
      <c r="E22" s="214">
        <v>-8735</v>
      </c>
      <c r="G22" s="308">
        <v>42767</v>
      </c>
      <c r="H22" s="309">
        <v>324874</v>
      </c>
      <c r="I22" s="310">
        <v>10.66</v>
      </c>
      <c r="J22" s="311">
        <v>3463160</v>
      </c>
      <c r="K22" s="309">
        <v>398075</v>
      </c>
      <c r="L22" s="309">
        <v>438067</v>
      </c>
      <c r="M22" s="316">
        <v>29.65</v>
      </c>
      <c r="N22" s="316">
        <v>24.68</v>
      </c>
      <c r="O22" s="303">
        <v>22614424</v>
      </c>
    </row>
    <row r="23" spans="1:17" ht="15.75">
      <c r="A23" s="271"/>
      <c r="B23" s="340" t="s">
        <v>341</v>
      </c>
      <c r="C23" s="213">
        <v>-1445</v>
      </c>
      <c r="D23" s="213">
        <v>-10543</v>
      </c>
      <c r="E23" s="213">
        <v>-11988</v>
      </c>
      <c r="G23" s="308">
        <v>42795</v>
      </c>
      <c r="H23" s="309">
        <v>543772</v>
      </c>
      <c r="I23" s="310">
        <v>9.1300000000000008</v>
      </c>
      <c r="J23" s="311">
        <v>4964634</v>
      </c>
      <c r="K23" s="309">
        <v>17183</v>
      </c>
      <c r="L23" s="309">
        <v>143607</v>
      </c>
      <c r="M23" s="316">
        <v>25.38</v>
      </c>
      <c r="N23" s="316">
        <v>22.07</v>
      </c>
      <c r="O23" s="303">
        <v>3605526</v>
      </c>
    </row>
    <row r="24" spans="1:17" ht="15.75">
      <c r="A24" s="271"/>
      <c r="B24" s="340" t="s">
        <v>342</v>
      </c>
      <c r="C24" s="213">
        <v>-1725</v>
      </c>
      <c r="D24" s="213">
        <v>-1725</v>
      </c>
      <c r="E24" s="213">
        <v>-3450</v>
      </c>
      <c r="G24" s="308">
        <v>42826</v>
      </c>
      <c r="H24" s="309">
        <v>368143</v>
      </c>
      <c r="I24" s="310">
        <v>8.76</v>
      </c>
      <c r="J24" s="311">
        <v>3224930</v>
      </c>
      <c r="K24" s="309">
        <v>66304</v>
      </c>
      <c r="L24" s="309">
        <v>226717</v>
      </c>
      <c r="M24" s="316">
        <v>24.36</v>
      </c>
      <c r="N24" s="316">
        <v>21.04</v>
      </c>
      <c r="O24" s="303">
        <v>6385285</v>
      </c>
    </row>
    <row r="25" spans="1:17" ht="15.75">
      <c r="A25" s="271"/>
      <c r="B25" s="340" t="s">
        <v>343</v>
      </c>
      <c r="C25" s="213">
        <v>-83</v>
      </c>
      <c r="D25" s="213">
        <v>-91</v>
      </c>
      <c r="E25" s="213">
        <v>-174</v>
      </c>
      <c r="G25" s="308">
        <v>42856</v>
      </c>
      <c r="H25" s="309">
        <v>345184</v>
      </c>
      <c r="I25" s="310">
        <v>7.95</v>
      </c>
      <c r="J25" s="311">
        <v>2744211</v>
      </c>
      <c r="K25" s="309">
        <v>-1207536</v>
      </c>
      <c r="L25" s="309">
        <v>-376647</v>
      </c>
      <c r="M25" s="316">
        <v>22.1</v>
      </c>
      <c r="N25" s="316">
        <v>17.53</v>
      </c>
      <c r="O25" s="303">
        <v>-33289170</v>
      </c>
    </row>
    <row r="26" spans="1:17" ht="15.75">
      <c r="A26" s="271"/>
      <c r="B26" s="340" t="s">
        <v>344</v>
      </c>
      <c r="C26" s="213">
        <v>-725</v>
      </c>
      <c r="D26" s="213">
        <v>-835</v>
      </c>
      <c r="E26" s="213">
        <v>-1559</v>
      </c>
      <c r="G26" s="308">
        <v>42887</v>
      </c>
      <c r="H26" s="309">
        <v>384980</v>
      </c>
      <c r="I26" s="310">
        <v>8.33</v>
      </c>
      <c r="J26" s="311">
        <v>3206884</v>
      </c>
      <c r="K26" s="309">
        <v>-604204</v>
      </c>
      <c r="L26" s="309">
        <v>-182119</v>
      </c>
      <c r="M26" s="316">
        <v>23.15</v>
      </c>
      <c r="N26" s="316">
        <v>17.11</v>
      </c>
      <c r="O26" s="303">
        <v>-17103369</v>
      </c>
    </row>
    <row r="27" spans="1:17" ht="15.75">
      <c r="A27" s="271"/>
      <c r="B27" s="341" t="s">
        <v>345</v>
      </c>
      <c r="C27" s="218">
        <v>-29120</v>
      </c>
      <c r="D27" s="218">
        <v>-29437</v>
      </c>
      <c r="E27" s="218">
        <v>-58557</v>
      </c>
      <c r="G27" s="308">
        <v>42917</v>
      </c>
      <c r="H27" s="309">
        <v>348539</v>
      </c>
      <c r="I27" s="310">
        <v>9.8699999999999992</v>
      </c>
      <c r="J27" s="311">
        <v>3440078</v>
      </c>
      <c r="K27" s="309">
        <v>-239767</v>
      </c>
      <c r="L27" s="309">
        <v>283752</v>
      </c>
      <c r="M27" s="316">
        <v>27.43</v>
      </c>
      <c r="N27" s="316">
        <v>21.58</v>
      </c>
      <c r="O27" s="303">
        <v>-453441</v>
      </c>
    </row>
    <row r="28" spans="1:17" ht="15.75">
      <c r="A28" s="271"/>
      <c r="B28" s="339" t="s">
        <v>346</v>
      </c>
      <c r="C28" s="215">
        <v>-361489</v>
      </c>
      <c r="D28" s="215">
        <v>-355800</v>
      </c>
      <c r="E28" s="215">
        <v>-717289</v>
      </c>
      <c r="G28" s="308">
        <v>42948</v>
      </c>
      <c r="H28" s="309">
        <v>499957</v>
      </c>
      <c r="I28" s="310">
        <v>10.9</v>
      </c>
      <c r="J28" s="311">
        <v>5449535</v>
      </c>
      <c r="K28" s="309">
        <v>-314151</v>
      </c>
      <c r="L28" s="309">
        <v>126014</v>
      </c>
      <c r="M28" s="316">
        <v>30.3</v>
      </c>
      <c r="N28" s="316">
        <v>24.41</v>
      </c>
      <c r="O28" s="303">
        <v>-6442788</v>
      </c>
    </row>
    <row r="29" spans="1:17" ht="15.75">
      <c r="A29" s="271"/>
      <c r="B29" s="329"/>
      <c r="C29" s="330"/>
      <c r="D29" s="329"/>
      <c r="E29" s="329"/>
      <c r="G29" s="312">
        <v>42979</v>
      </c>
      <c r="H29" s="313">
        <v>390295</v>
      </c>
      <c r="I29" s="314">
        <v>11.42</v>
      </c>
      <c r="J29" s="315">
        <v>4457170</v>
      </c>
      <c r="K29" s="313">
        <v>-12719</v>
      </c>
      <c r="L29" s="313">
        <v>162515</v>
      </c>
      <c r="M29" s="317">
        <v>31.75</v>
      </c>
      <c r="N29" s="317">
        <v>25.7</v>
      </c>
      <c r="O29" s="304">
        <v>3772795</v>
      </c>
    </row>
    <row r="30" spans="1:17" ht="15.75" thickBot="1">
      <c r="A30" s="271"/>
      <c r="B30" s="338" t="s">
        <v>184</v>
      </c>
      <c r="C30" s="226">
        <v>2016</v>
      </c>
      <c r="D30" s="226">
        <v>2017</v>
      </c>
      <c r="E30" s="227" t="s">
        <v>162</v>
      </c>
    </row>
    <row r="31" spans="1:17" ht="15.75" thickTop="1">
      <c r="A31" s="271"/>
      <c r="B31" s="342" t="s">
        <v>347</v>
      </c>
      <c r="C31" s="228">
        <v>22146</v>
      </c>
      <c r="D31" s="228">
        <v>22146</v>
      </c>
      <c r="E31" s="228">
        <v>44293</v>
      </c>
      <c r="G31" s="273"/>
      <c r="H31" s="273"/>
    </row>
    <row r="32" spans="1:17">
      <c r="A32" s="271"/>
      <c r="B32" s="343" t="s">
        <v>348</v>
      </c>
      <c r="C32" s="229">
        <v>39865</v>
      </c>
      <c r="D32" s="229">
        <v>40464</v>
      </c>
      <c r="E32" s="229">
        <v>80329</v>
      </c>
      <c r="G32" s="273" t="s">
        <v>221</v>
      </c>
      <c r="H32" s="273">
        <v>11.77</v>
      </c>
    </row>
    <row r="33" spans="1:16">
      <c r="A33" s="271"/>
      <c r="B33" s="339" t="s">
        <v>346</v>
      </c>
      <c r="C33" s="225">
        <v>62012</v>
      </c>
      <c r="D33" s="225">
        <v>62610</v>
      </c>
      <c r="E33" s="225">
        <v>124622</v>
      </c>
      <c r="G33" s="273" t="s">
        <v>230</v>
      </c>
      <c r="H33" s="273">
        <v>-8.85</v>
      </c>
    </row>
    <row r="34" spans="1:16">
      <c r="A34" s="271"/>
      <c r="B34" s="329"/>
      <c r="C34" s="330"/>
      <c r="D34" s="329"/>
      <c r="E34" s="329"/>
      <c r="H34" s="273"/>
    </row>
    <row r="35" spans="1:16" ht="15.75" thickBot="1">
      <c r="A35" s="271"/>
      <c r="B35" s="335"/>
      <c r="C35" s="235">
        <v>2016</v>
      </c>
      <c r="D35" s="235">
        <v>2017</v>
      </c>
      <c r="E35" s="236" t="s">
        <v>162</v>
      </c>
      <c r="G35" s="271" t="s">
        <v>373</v>
      </c>
      <c r="H35" s="273">
        <v>25.36</v>
      </c>
    </row>
    <row r="36" spans="1:16" ht="15.75" thickTop="1">
      <c r="A36" s="271"/>
      <c r="B36" s="336" t="s">
        <v>327</v>
      </c>
      <c r="C36" s="234">
        <v>2390599</v>
      </c>
      <c r="D36" s="234">
        <v>2477664</v>
      </c>
      <c r="E36" s="234">
        <v>4868263</v>
      </c>
    </row>
    <row r="37" spans="1:16">
      <c r="A37" s="271"/>
      <c r="B37" s="329"/>
      <c r="C37" s="330"/>
      <c r="D37" s="329"/>
      <c r="E37" s="329"/>
      <c r="G37" s="327"/>
      <c r="H37" s="327"/>
      <c r="I37" s="327"/>
      <c r="J37" s="327"/>
      <c r="K37" s="327"/>
      <c r="L37" s="327"/>
      <c r="M37" s="327"/>
      <c r="N37" s="327"/>
      <c r="O37" s="327"/>
      <c r="P37" s="327"/>
    </row>
    <row r="38" spans="1:16" ht="15.75" thickBot="1">
      <c r="A38" s="271"/>
      <c r="B38" s="338" t="s">
        <v>187</v>
      </c>
      <c r="C38" s="243">
        <v>2016</v>
      </c>
      <c r="D38" s="243">
        <v>2017</v>
      </c>
      <c r="E38" s="244" t="s">
        <v>162</v>
      </c>
      <c r="G38" s="327"/>
      <c r="H38" s="327"/>
      <c r="I38" s="327"/>
      <c r="J38" s="327"/>
      <c r="K38" s="327"/>
      <c r="L38" s="327"/>
      <c r="M38" s="327"/>
      <c r="N38" s="327"/>
      <c r="O38" s="327"/>
      <c r="P38" s="327"/>
    </row>
    <row r="39" spans="1:16" ht="16.5" thickTop="1">
      <c r="A39" s="271"/>
      <c r="B39" s="339" t="s">
        <v>349</v>
      </c>
      <c r="C39" s="241">
        <v>-339686</v>
      </c>
      <c r="D39" s="241">
        <v>-358701</v>
      </c>
      <c r="E39" s="241">
        <v>-698387</v>
      </c>
      <c r="G39" s="322"/>
      <c r="H39" s="352"/>
      <c r="I39" s="353"/>
      <c r="J39" s="350"/>
      <c r="K39" s="352"/>
      <c r="L39" s="352"/>
      <c r="M39" s="347"/>
      <c r="N39" s="347"/>
      <c r="O39" s="351"/>
      <c r="P39" s="327"/>
    </row>
    <row r="40" spans="1:16" ht="15.75">
      <c r="A40" s="271"/>
      <c r="B40" s="340" t="s">
        <v>340</v>
      </c>
      <c r="C40" s="246">
        <v>5991</v>
      </c>
      <c r="D40" s="246">
        <v>2744</v>
      </c>
      <c r="E40" s="246">
        <v>8735</v>
      </c>
      <c r="G40" s="322"/>
      <c r="H40" s="352"/>
      <c r="I40" s="353"/>
      <c r="J40" s="350"/>
      <c r="K40" s="352"/>
      <c r="L40" s="352"/>
      <c r="M40" s="347"/>
      <c r="N40" s="347"/>
      <c r="O40" s="351"/>
      <c r="P40" s="327"/>
    </row>
    <row r="41" spans="1:16" ht="15.75">
      <c r="A41" s="271"/>
      <c r="B41" s="339" t="s">
        <v>350</v>
      </c>
      <c r="C41" s="246">
        <v>-7850</v>
      </c>
      <c r="D41" s="246">
        <v>-3973</v>
      </c>
      <c r="E41" s="246">
        <v>-11823</v>
      </c>
      <c r="G41" s="322"/>
      <c r="H41" s="352"/>
      <c r="I41" s="353"/>
      <c r="J41" s="350"/>
      <c r="K41" s="352"/>
      <c r="L41" s="352"/>
      <c r="M41" s="347"/>
      <c r="N41" s="347"/>
      <c r="O41" s="351"/>
      <c r="P41" s="327"/>
    </row>
    <row r="42" spans="1:16" ht="15.75">
      <c r="A42" s="271"/>
      <c r="B42" s="339" t="s">
        <v>351</v>
      </c>
      <c r="C42" s="246">
        <v>69</v>
      </c>
      <c r="D42" s="246">
        <v>-26</v>
      </c>
      <c r="E42" s="246">
        <v>43</v>
      </c>
      <c r="G42" s="322"/>
      <c r="H42" s="352"/>
      <c r="I42" s="353"/>
      <c r="J42" s="350"/>
      <c r="K42" s="352"/>
      <c r="L42" s="352"/>
      <c r="M42" s="347"/>
      <c r="N42" s="347"/>
      <c r="O42" s="351"/>
      <c r="P42" s="327"/>
    </row>
    <row r="43" spans="1:16" ht="15.75">
      <c r="A43" s="271"/>
      <c r="B43" s="339" t="s">
        <v>352</v>
      </c>
      <c r="C43" s="246">
        <v>-356</v>
      </c>
      <c r="D43" s="246">
        <v>-356</v>
      </c>
      <c r="E43" s="246">
        <v>-711</v>
      </c>
      <c r="G43" s="322"/>
      <c r="H43" s="352"/>
      <c r="I43" s="353"/>
      <c r="J43" s="350"/>
      <c r="K43" s="352"/>
      <c r="L43" s="352"/>
      <c r="M43" s="347"/>
      <c r="N43" s="347"/>
      <c r="O43" s="351"/>
      <c r="P43" s="327"/>
    </row>
    <row r="44" spans="1:16" ht="15.75">
      <c r="A44" s="271"/>
      <c r="B44" s="339" t="s">
        <v>353</v>
      </c>
      <c r="C44" s="246">
        <v>-4040</v>
      </c>
      <c r="D44" s="246">
        <v>-11564</v>
      </c>
      <c r="E44" s="246">
        <v>-15604</v>
      </c>
      <c r="G44" s="322"/>
      <c r="H44" s="352"/>
      <c r="I44" s="353"/>
      <c r="J44" s="350"/>
      <c r="K44" s="352"/>
      <c r="L44" s="352"/>
      <c r="M44" s="347"/>
      <c r="N44" s="347"/>
      <c r="O44" s="351"/>
      <c r="P44" s="327"/>
    </row>
    <row r="45" spans="1:16" ht="15.75">
      <c r="A45" s="271"/>
      <c r="B45" s="339" t="s">
        <v>341</v>
      </c>
      <c r="C45" s="241">
        <v>1445</v>
      </c>
      <c r="D45" s="241">
        <v>10543</v>
      </c>
      <c r="E45" s="241">
        <v>11988</v>
      </c>
      <c r="G45" s="322"/>
      <c r="H45" s="352"/>
      <c r="I45" s="353"/>
      <c r="J45" s="350"/>
      <c r="K45" s="352"/>
      <c r="L45" s="352"/>
      <c r="M45" s="347"/>
      <c r="N45" s="347"/>
      <c r="O45" s="351"/>
      <c r="P45" s="327"/>
    </row>
    <row r="46" spans="1:16" ht="15.75">
      <c r="A46" s="271"/>
      <c r="B46" s="340" t="s">
        <v>354</v>
      </c>
      <c r="C46" s="246">
        <v>-47946</v>
      </c>
      <c r="D46" s="246">
        <v>-48763</v>
      </c>
      <c r="E46" s="246">
        <v>-96709</v>
      </c>
      <c r="G46" s="322"/>
      <c r="H46" s="352"/>
      <c r="I46" s="353"/>
      <c r="J46" s="350"/>
      <c r="K46" s="352"/>
      <c r="L46" s="352"/>
      <c r="M46" s="347"/>
      <c r="N46" s="347"/>
      <c r="O46" s="351"/>
      <c r="P46" s="327"/>
    </row>
    <row r="47" spans="1:16" ht="15.75">
      <c r="A47" s="271"/>
      <c r="B47" s="344" t="s">
        <v>355</v>
      </c>
      <c r="C47" s="246">
        <v>-720</v>
      </c>
      <c r="D47" s="246">
        <v>-720</v>
      </c>
      <c r="E47" s="246">
        <v>-1441</v>
      </c>
      <c r="G47" s="322"/>
      <c r="H47" s="352"/>
      <c r="I47" s="353"/>
      <c r="J47" s="350"/>
      <c r="K47" s="352"/>
      <c r="L47" s="352"/>
      <c r="M47" s="347"/>
      <c r="N47" s="347"/>
      <c r="O47" s="351"/>
      <c r="P47" s="327"/>
    </row>
    <row r="48" spans="1:16" ht="15.75">
      <c r="A48" s="271"/>
      <c r="B48" s="344" t="s">
        <v>356</v>
      </c>
      <c r="C48" s="240" t="s">
        <v>330</v>
      </c>
      <c r="D48" s="240" t="s">
        <v>331</v>
      </c>
      <c r="E48" s="240" t="s">
        <v>331</v>
      </c>
      <c r="G48" s="322"/>
      <c r="H48" s="352"/>
      <c r="I48" s="353"/>
      <c r="J48" s="350"/>
      <c r="K48" s="352"/>
      <c r="L48" s="352"/>
      <c r="M48" s="347"/>
      <c r="N48" s="347"/>
      <c r="O48" s="351"/>
      <c r="P48" s="327"/>
    </row>
    <row r="49" spans="1:16" ht="15.75">
      <c r="A49" s="271"/>
      <c r="B49" s="344" t="s">
        <v>357</v>
      </c>
      <c r="C49" s="240" t="s">
        <v>330</v>
      </c>
      <c r="D49" s="240" t="s">
        <v>331</v>
      </c>
      <c r="E49" s="240" t="s">
        <v>331</v>
      </c>
      <c r="G49" s="322"/>
      <c r="H49" s="352"/>
      <c r="I49" s="353"/>
      <c r="J49" s="350"/>
      <c r="K49" s="352"/>
      <c r="L49" s="352"/>
      <c r="M49" s="347"/>
      <c r="N49" s="347"/>
      <c r="O49" s="351"/>
      <c r="P49" s="327"/>
    </row>
    <row r="50" spans="1:16" ht="15.75">
      <c r="A50" s="271"/>
      <c r="B50" s="344" t="s">
        <v>358</v>
      </c>
      <c r="C50" s="240">
        <v>29120</v>
      </c>
      <c r="D50" s="240">
        <v>29437</v>
      </c>
      <c r="E50" s="240">
        <v>58557</v>
      </c>
      <c r="G50" s="322"/>
      <c r="H50" s="352"/>
      <c r="I50" s="353"/>
      <c r="J50" s="350"/>
      <c r="K50" s="352"/>
      <c r="L50" s="352"/>
      <c r="M50" s="347"/>
      <c r="N50" s="347"/>
      <c r="O50" s="351"/>
      <c r="P50" s="327"/>
    </row>
    <row r="51" spans="1:16" ht="15.75">
      <c r="A51" s="271"/>
      <c r="B51" s="345" t="s">
        <v>346</v>
      </c>
      <c r="C51" s="245">
        <v>-363973</v>
      </c>
      <c r="D51" s="245">
        <v>-381379</v>
      </c>
      <c r="E51" s="245">
        <v>-745352</v>
      </c>
      <c r="G51" s="321"/>
      <c r="H51" s="352"/>
      <c r="I51" s="353"/>
      <c r="J51" s="350"/>
      <c r="K51" s="352"/>
      <c r="L51" s="352"/>
      <c r="M51" s="353"/>
      <c r="N51" s="353"/>
      <c r="O51" s="349"/>
      <c r="P51" s="327"/>
    </row>
    <row r="52" spans="1:16">
      <c r="A52" s="271"/>
      <c r="B52" s="339"/>
      <c r="C52" s="241"/>
      <c r="D52" s="241"/>
      <c r="E52" s="241"/>
      <c r="G52" s="327"/>
      <c r="H52" s="327"/>
      <c r="I52" s="327"/>
      <c r="J52" s="327"/>
      <c r="K52" s="327"/>
      <c r="L52" s="327"/>
      <c r="M52" s="327"/>
      <c r="N52" s="327"/>
      <c r="O52" s="327"/>
      <c r="P52" s="327"/>
    </row>
    <row r="53" spans="1:16">
      <c r="A53" s="271"/>
      <c r="B53" s="239"/>
      <c r="C53" s="239"/>
      <c r="D53" s="239"/>
      <c r="E53" s="239"/>
    </row>
    <row r="54" spans="1:16" ht="15.75" thickBot="1">
      <c r="A54" s="271"/>
      <c r="B54" s="335"/>
      <c r="C54" s="243">
        <v>2016</v>
      </c>
      <c r="D54" s="243">
        <v>2017</v>
      </c>
      <c r="E54" s="244" t="s">
        <v>162</v>
      </c>
    </row>
    <row r="55" spans="1:16" ht="15.75" thickTop="1">
      <c r="A55" s="271"/>
      <c r="B55" s="336" t="s">
        <v>328</v>
      </c>
      <c r="C55" s="240">
        <v>-267791</v>
      </c>
      <c r="D55" s="240">
        <v>-260049</v>
      </c>
      <c r="E55" s="240">
        <v>-527840</v>
      </c>
    </row>
    <row r="56" spans="1:16">
      <c r="A56" s="271"/>
      <c r="B56" s="239"/>
      <c r="C56" s="241"/>
      <c r="D56" s="239"/>
      <c r="E56" s="239"/>
    </row>
    <row r="57" spans="1:16" ht="15.75" thickBot="1">
      <c r="A57" s="271"/>
      <c r="B57" s="335" t="s">
        <v>195</v>
      </c>
      <c r="C57" s="243">
        <v>2016</v>
      </c>
      <c r="D57" s="243">
        <v>2017</v>
      </c>
      <c r="E57" s="244" t="s">
        <v>162</v>
      </c>
    </row>
    <row r="58" spans="1:16" ht="15.75" thickTop="1">
      <c r="A58" s="271"/>
      <c r="B58" s="336" t="s">
        <v>327</v>
      </c>
      <c r="C58" s="240">
        <v>2390599</v>
      </c>
      <c r="D58" s="240">
        <v>2477664</v>
      </c>
      <c r="E58" s="240">
        <v>4868263</v>
      </c>
    </row>
    <row r="59" spans="1:16">
      <c r="A59" s="271"/>
      <c r="B59" s="336" t="s">
        <v>328</v>
      </c>
      <c r="C59" s="240">
        <v>-267791</v>
      </c>
      <c r="D59" s="240">
        <v>-260049</v>
      </c>
      <c r="E59" s="240">
        <v>-527840</v>
      </c>
    </row>
    <row r="60" spans="1:16">
      <c r="A60" s="271"/>
      <c r="B60" s="336" t="s">
        <v>329</v>
      </c>
      <c r="C60" s="240" t="s">
        <v>330</v>
      </c>
      <c r="D60" s="240" t="s">
        <v>331</v>
      </c>
      <c r="E60" s="240" t="s">
        <v>331</v>
      </c>
    </row>
    <row r="61" spans="1:16">
      <c r="A61" s="271"/>
      <c r="B61" s="337" t="s">
        <v>332</v>
      </c>
      <c r="C61" s="245">
        <v>22866</v>
      </c>
      <c r="D61" s="245">
        <v>27508</v>
      </c>
      <c r="E61" s="245">
        <v>50373</v>
      </c>
    </row>
    <row r="62" spans="1:16">
      <c r="A62" s="271"/>
      <c r="B62" s="252" t="s">
        <v>167</v>
      </c>
      <c r="C62" s="240">
        <v>2145673</v>
      </c>
      <c r="D62" s="240">
        <v>2245123</v>
      </c>
      <c r="E62" s="240">
        <v>4390797</v>
      </c>
    </row>
    <row r="63" spans="1:16">
      <c r="A63" s="271"/>
      <c r="B63" s="239"/>
      <c r="C63" s="239"/>
      <c r="D63" s="239"/>
      <c r="E63" s="239"/>
    </row>
    <row r="64" spans="1:16" ht="15.75" thickBot="1">
      <c r="A64" s="271"/>
      <c r="B64" s="335" t="s">
        <v>196</v>
      </c>
      <c r="C64" s="243">
        <v>2016</v>
      </c>
      <c r="D64" s="243">
        <v>2017</v>
      </c>
      <c r="E64" s="244" t="s">
        <v>162</v>
      </c>
    </row>
    <row r="65" spans="1:7" ht="15.75" thickTop="1">
      <c r="A65" s="271"/>
      <c r="B65" s="336" t="s">
        <v>359</v>
      </c>
      <c r="C65" s="242">
        <v>98.071799999999996</v>
      </c>
      <c r="D65" s="242">
        <v>98.607100000000003</v>
      </c>
      <c r="E65" s="242">
        <v>98.339399999999998</v>
      </c>
    </row>
    <row r="66" spans="1:7">
      <c r="A66" s="271"/>
      <c r="B66" s="336" t="s">
        <v>360</v>
      </c>
      <c r="C66" s="242">
        <v>71.453100000000006</v>
      </c>
      <c r="D66" s="242">
        <v>71.988500000000002</v>
      </c>
      <c r="E66" s="242">
        <v>71.720799999999997</v>
      </c>
    </row>
    <row r="67" spans="1:7">
      <c r="A67" s="271"/>
      <c r="B67" s="336" t="s">
        <v>361</v>
      </c>
      <c r="C67" s="242">
        <v>26.6187</v>
      </c>
      <c r="D67" s="242">
        <v>26.6187</v>
      </c>
      <c r="E67" s="242">
        <v>26.6187</v>
      </c>
    </row>
    <row r="68" spans="1:7">
      <c r="A68" s="271"/>
      <c r="B68" s="336"/>
      <c r="C68" s="240"/>
      <c r="D68" s="240"/>
      <c r="E68" s="240"/>
    </row>
    <row r="69" spans="1:7" ht="15.75" thickBot="1">
      <c r="A69" s="271"/>
      <c r="B69" s="335" t="s">
        <v>200</v>
      </c>
      <c r="C69" s="243">
        <v>2016</v>
      </c>
      <c r="D69" s="243">
        <v>2017</v>
      </c>
      <c r="E69" s="244" t="s">
        <v>162</v>
      </c>
    </row>
    <row r="70" spans="1:7" ht="15.75" thickTop="1">
      <c r="A70" s="271"/>
      <c r="B70" s="336" t="s">
        <v>327</v>
      </c>
      <c r="C70" s="240">
        <v>24376</v>
      </c>
      <c r="D70" s="240">
        <v>25127</v>
      </c>
      <c r="E70" s="240">
        <v>24752</v>
      </c>
    </row>
    <row r="71" spans="1:7">
      <c r="A71" s="271"/>
      <c r="B71" s="336" t="s">
        <v>328</v>
      </c>
      <c r="C71" s="240">
        <v>-3748</v>
      </c>
      <c r="D71" s="240">
        <v>-3612</v>
      </c>
      <c r="E71" s="240">
        <v>-3680</v>
      </c>
    </row>
    <row r="72" spans="1:7">
      <c r="B72" s="336" t="s">
        <v>329</v>
      </c>
      <c r="C72" s="240" t="s">
        <v>330</v>
      </c>
      <c r="D72" s="240" t="s">
        <v>331</v>
      </c>
      <c r="E72" s="240" t="s">
        <v>331</v>
      </c>
    </row>
    <row r="73" spans="1:7">
      <c r="A73" s="271"/>
      <c r="B73" s="239"/>
      <c r="C73" s="239"/>
      <c r="D73" s="239"/>
      <c r="E73" s="239"/>
    </row>
    <row r="74" spans="1:7" ht="15.75" thickBot="1">
      <c r="A74" s="271"/>
      <c r="B74" s="335" t="s">
        <v>201</v>
      </c>
      <c r="C74" s="243">
        <v>2016</v>
      </c>
      <c r="D74" s="243">
        <v>2017</v>
      </c>
      <c r="E74" s="244" t="s">
        <v>162</v>
      </c>
      <c r="G74" s="305"/>
    </row>
    <row r="75" spans="1:7" ht="15.75" thickTop="1">
      <c r="A75" s="271"/>
      <c r="B75" s="336" t="s">
        <v>327</v>
      </c>
      <c r="C75" s="247">
        <v>2031334</v>
      </c>
      <c r="D75" s="247">
        <v>2093886</v>
      </c>
      <c r="E75" s="247">
        <v>2062767</v>
      </c>
      <c r="G75" s="305"/>
    </row>
    <row r="76" spans="1:7">
      <c r="A76" s="271"/>
      <c r="B76" s="336" t="s">
        <v>328</v>
      </c>
      <c r="C76" s="247">
        <v>-312315</v>
      </c>
      <c r="D76" s="247">
        <v>-301031</v>
      </c>
      <c r="E76" s="247">
        <v>-306652</v>
      </c>
    </row>
    <row r="77" spans="1:7">
      <c r="B77" s="336" t="s">
        <v>329</v>
      </c>
      <c r="C77" s="247" t="s">
        <v>362</v>
      </c>
      <c r="D77" s="247" t="s">
        <v>363</v>
      </c>
      <c r="E77" s="247" t="s">
        <v>363</v>
      </c>
    </row>
    <row r="78" spans="1:7">
      <c r="A78" s="271"/>
      <c r="B78" s="239"/>
      <c r="C78" s="239"/>
      <c r="D78" s="239"/>
      <c r="E78" s="239"/>
    </row>
    <row r="79" spans="1:7" ht="15.75" thickBot="1">
      <c r="A79" s="271"/>
      <c r="B79" s="335" t="s">
        <v>202</v>
      </c>
      <c r="C79" s="243">
        <v>2016</v>
      </c>
      <c r="D79" s="243">
        <v>2017</v>
      </c>
      <c r="E79" s="244" t="s">
        <v>162</v>
      </c>
    </row>
    <row r="80" spans="1:7" ht="15.75" thickTop="1">
      <c r="A80" s="271"/>
      <c r="B80" s="336" t="s">
        <v>364</v>
      </c>
      <c r="C80" s="248">
        <v>29.72</v>
      </c>
      <c r="D80" s="248">
        <v>32.01</v>
      </c>
      <c r="E80" s="248">
        <v>30.87</v>
      </c>
    </row>
    <row r="81" spans="1:5">
      <c r="A81" s="271"/>
      <c r="B81" s="336" t="s">
        <v>365</v>
      </c>
      <c r="C81" s="248">
        <v>45.18</v>
      </c>
      <c r="D81" s="248">
        <v>49.6</v>
      </c>
      <c r="E81" s="248">
        <v>47.39</v>
      </c>
    </row>
    <row r="82" spans="1:5">
      <c r="A82" s="271"/>
      <c r="B82" s="346" t="s">
        <v>366</v>
      </c>
      <c r="C82" s="248">
        <v>44.72</v>
      </c>
      <c r="D82" s="248">
        <v>49.08</v>
      </c>
      <c r="E82" s="248">
        <v>46.9</v>
      </c>
    </row>
    <row r="83" spans="1:5">
      <c r="A83" s="271"/>
      <c r="B83" s="346" t="s">
        <v>367</v>
      </c>
      <c r="C83" s="248">
        <v>40.6</v>
      </c>
      <c r="D83" s="248">
        <v>43.18</v>
      </c>
      <c r="E83" s="248">
        <v>41.89</v>
      </c>
    </row>
    <row r="84" spans="1:5">
      <c r="B84" s="346" t="s">
        <v>368</v>
      </c>
      <c r="C84" s="248" t="s">
        <v>330</v>
      </c>
      <c r="D84" s="248" t="s">
        <v>331</v>
      </c>
      <c r="E84" s="248" t="s">
        <v>331</v>
      </c>
    </row>
  </sheetData>
  <conditionalFormatting sqref="B2">
    <cfRule type="expression" dxfId="4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U84"/>
  <sheetViews>
    <sheetView topLeftCell="A55" workbookViewId="0">
      <selection activeCell="H27" sqref="H27"/>
    </sheetView>
  </sheetViews>
  <sheetFormatPr defaultRowHeight="15"/>
  <cols>
    <col min="1" max="1" width="9.140625" style="1"/>
    <col min="2" max="2" width="54.28515625" customWidth="1"/>
    <col min="3" max="3" width="17.7109375" bestFit="1" customWidth="1"/>
    <col min="4" max="5" width="18.28515625" bestFit="1" customWidth="1"/>
    <col min="7" max="7" width="10.5703125" bestFit="1" customWidth="1"/>
    <col min="8" max="16" width="13.85546875" customWidth="1"/>
  </cols>
  <sheetData>
    <row r="1" spans="1:21" ht="15.75">
      <c r="A1" s="17"/>
      <c r="B1" s="16" t="s">
        <v>160</v>
      </c>
      <c r="C1" s="1"/>
      <c r="D1" s="1"/>
      <c r="E1" s="1"/>
    </row>
    <row r="2" spans="1:21">
      <c r="A2" s="66"/>
      <c r="B2" s="67" t="s">
        <v>369</v>
      </c>
      <c r="C2" s="1"/>
      <c r="D2" s="1"/>
      <c r="E2" s="1"/>
    </row>
    <row r="3" spans="1:21">
      <c r="A3" s="68"/>
      <c r="B3" s="1"/>
      <c r="C3" s="1"/>
      <c r="D3" s="1"/>
      <c r="E3" s="1"/>
    </row>
    <row r="4" spans="1:21" ht="7.5" customHeight="1"/>
    <row r="5" spans="1:21" ht="48" thickBot="1">
      <c r="B5" s="149" t="s">
        <v>161</v>
      </c>
      <c r="C5" s="145">
        <v>2018</v>
      </c>
      <c r="D5" s="145">
        <v>2019</v>
      </c>
      <c r="E5" s="146" t="s">
        <v>162</v>
      </c>
      <c r="G5" s="72"/>
      <c r="H5" s="73" t="s">
        <v>206</v>
      </c>
      <c r="I5" s="73" t="s">
        <v>207</v>
      </c>
      <c r="J5" s="73" t="s">
        <v>208</v>
      </c>
      <c r="K5" s="73" t="s">
        <v>209</v>
      </c>
      <c r="L5" s="73" t="s">
        <v>210</v>
      </c>
      <c r="M5" s="73" t="s">
        <v>211</v>
      </c>
      <c r="N5" s="73" t="s">
        <v>212</v>
      </c>
      <c r="O5" s="73" t="s">
        <v>213</v>
      </c>
    </row>
    <row r="6" spans="1:21" ht="16.5" thickTop="1">
      <c r="B6" s="209" t="s">
        <v>163</v>
      </c>
      <c r="C6" s="207">
        <v>2824880.3171830568</v>
      </c>
      <c r="D6" s="207">
        <v>2668028.9933777913</v>
      </c>
      <c r="E6" s="207">
        <v>5492909.3105608486</v>
      </c>
      <c r="G6" s="74">
        <v>43009</v>
      </c>
      <c r="H6" s="75">
        <v>292201.64903846144</v>
      </c>
      <c r="I6" s="415">
        <v>10.45</v>
      </c>
      <c r="J6" s="77">
        <v>3053507.2324519218</v>
      </c>
      <c r="K6" s="75">
        <v>-219678.11235942584</v>
      </c>
      <c r="L6" s="75">
        <v>162196.25751495286</v>
      </c>
      <c r="M6" s="415">
        <v>26.74</v>
      </c>
      <c r="N6" s="415">
        <v>22.49</v>
      </c>
      <c r="O6" s="69">
        <v>-2226398.8929797574</v>
      </c>
      <c r="U6" s="397"/>
    </row>
    <row r="7" spans="1:21" ht="15.75">
      <c r="B7" s="209" t="s">
        <v>164</v>
      </c>
      <c r="C7" s="207">
        <v>86332.880895937808</v>
      </c>
      <c r="D7" s="207">
        <v>147258.58485781288</v>
      </c>
      <c r="E7" s="207">
        <v>233591.4657537507</v>
      </c>
      <c r="G7" s="74">
        <v>43040</v>
      </c>
      <c r="H7" s="75">
        <v>282266.6449999999</v>
      </c>
      <c r="I7" s="415">
        <v>10.65</v>
      </c>
      <c r="J7" s="77">
        <v>3006139.769249999</v>
      </c>
      <c r="K7" s="75">
        <v>-319418.97861722379</v>
      </c>
      <c r="L7" s="75">
        <v>116794.06031242371</v>
      </c>
      <c r="M7" s="415">
        <v>27.27</v>
      </c>
      <c r="N7" s="415">
        <v>24.74</v>
      </c>
      <c r="O7" s="69">
        <v>-5821070.4947623312</v>
      </c>
    </row>
    <row r="8" spans="1:21" ht="15.75">
      <c r="B8" s="209" t="s">
        <v>165</v>
      </c>
      <c r="C8" s="207">
        <v>0</v>
      </c>
      <c r="D8" s="207">
        <v>0</v>
      </c>
      <c r="E8" s="207">
        <v>0</v>
      </c>
      <c r="G8" s="74">
        <v>43070</v>
      </c>
      <c r="H8" s="75">
        <v>531529.9800000001</v>
      </c>
      <c r="I8" s="415">
        <v>11.83</v>
      </c>
      <c r="J8" s="77">
        <v>6287999.6634000009</v>
      </c>
      <c r="K8" s="75">
        <v>53349.02292406818</v>
      </c>
      <c r="L8" s="75">
        <v>405696.44424019929</v>
      </c>
      <c r="M8" s="415">
        <v>30.28</v>
      </c>
      <c r="N8" s="415">
        <v>26.6</v>
      </c>
      <c r="O8" s="69">
        <v>12406933.830930086</v>
      </c>
    </row>
    <row r="9" spans="1:21" ht="15.75">
      <c r="B9" s="210" t="s">
        <v>166</v>
      </c>
      <c r="C9" s="208">
        <v>38265.411320319887</v>
      </c>
      <c r="D9" s="208">
        <v>43545.420842882559</v>
      </c>
      <c r="E9" s="208">
        <v>81810.832163202445</v>
      </c>
      <c r="G9" s="74">
        <v>43101</v>
      </c>
      <c r="H9" s="75">
        <v>604527.14182692301</v>
      </c>
      <c r="I9" s="415">
        <v>11.45</v>
      </c>
      <c r="J9" s="77">
        <v>6921835.7739182683</v>
      </c>
      <c r="K9" s="75">
        <v>517405.50911755464</v>
      </c>
      <c r="L9" s="75">
        <v>568822.27830970718</v>
      </c>
      <c r="M9" s="415">
        <v>29.3</v>
      </c>
      <c r="N9" s="415">
        <v>23.94</v>
      </c>
      <c r="O9" s="69">
        <v>28777586.75987874</v>
      </c>
    </row>
    <row r="10" spans="1:21" ht="15.75">
      <c r="B10" s="212" t="s">
        <v>167</v>
      </c>
      <c r="C10" s="211">
        <v>2949478.6093993145</v>
      </c>
      <c r="D10" s="211">
        <v>2858832.9990784866</v>
      </c>
      <c r="E10" s="211">
        <v>5808311.6084778011</v>
      </c>
      <c r="G10" s="74">
        <v>43132</v>
      </c>
      <c r="H10" s="75">
        <v>333545.46874999983</v>
      </c>
      <c r="I10" s="415">
        <v>11.15</v>
      </c>
      <c r="J10" s="77">
        <v>3719031.9765624981</v>
      </c>
      <c r="K10" s="75">
        <v>500980.00725298387</v>
      </c>
      <c r="L10" s="75">
        <v>517528.08195505431</v>
      </c>
      <c r="M10" s="415">
        <v>28.54</v>
      </c>
      <c r="N10" s="415">
        <v>23.94</v>
      </c>
      <c r="O10" s="69">
        <v>26687591.68900416</v>
      </c>
    </row>
    <row r="11" spans="1:21" ht="15.75">
      <c r="B11" s="143"/>
      <c r="C11" s="144"/>
      <c r="D11" s="144"/>
      <c r="E11" s="144"/>
      <c r="G11" s="74">
        <v>43160</v>
      </c>
      <c r="H11" s="75">
        <v>552965.27083333302</v>
      </c>
      <c r="I11" s="415">
        <v>9.2799999999999994</v>
      </c>
      <c r="J11" s="77">
        <v>5131517.7133333301</v>
      </c>
      <c r="K11" s="75">
        <v>159410.87174382099</v>
      </c>
      <c r="L11" s="75">
        <v>276453.68871779315</v>
      </c>
      <c r="M11" s="415">
        <v>23.75</v>
      </c>
      <c r="N11" s="415">
        <v>20.8</v>
      </c>
      <c r="O11" s="69">
        <v>9536244.9292458463</v>
      </c>
    </row>
    <row r="12" spans="1:21" ht="16.5" thickBot="1">
      <c r="B12" s="149" t="s">
        <v>168</v>
      </c>
      <c r="C12" s="147"/>
      <c r="D12" s="148"/>
      <c r="E12" s="147"/>
      <c r="G12" s="74">
        <v>43191</v>
      </c>
      <c r="H12" s="75">
        <v>366859.01249999995</v>
      </c>
      <c r="I12" s="415">
        <v>7.68</v>
      </c>
      <c r="J12" s="77">
        <v>2817477.2159999995</v>
      </c>
      <c r="K12" s="75">
        <v>-174401.54915477292</v>
      </c>
      <c r="L12" s="75">
        <v>180048.01541864604</v>
      </c>
      <c r="M12" s="415">
        <v>19.670000000000002</v>
      </c>
      <c r="N12" s="415">
        <v>17.54</v>
      </c>
      <c r="O12" s="69">
        <v>-272436.28143133223</v>
      </c>
    </row>
    <row r="13" spans="1:21" ht="16.5" thickTop="1">
      <c r="B13" s="143"/>
      <c r="C13" s="142"/>
      <c r="D13" s="142"/>
      <c r="E13" s="142"/>
      <c r="G13" s="74">
        <v>43221</v>
      </c>
      <c r="H13" s="75">
        <v>330782.7451923078</v>
      </c>
      <c r="I13" s="415">
        <v>6.49</v>
      </c>
      <c r="J13" s="77">
        <v>2146780.0162980775</v>
      </c>
      <c r="K13" s="75">
        <v>-1268779.268478638</v>
      </c>
      <c r="L13" s="75">
        <v>-473840.65936695033</v>
      </c>
      <c r="M13" s="415">
        <v>16.63</v>
      </c>
      <c r="N13" s="415">
        <v>11.25</v>
      </c>
      <c r="O13" s="69">
        <v>-26430506.652677942</v>
      </c>
    </row>
    <row r="14" spans="1:21" ht="16.5" thickBot="1">
      <c r="B14" s="221" t="s">
        <v>169</v>
      </c>
      <c r="C14" s="216">
        <v>2018</v>
      </c>
      <c r="D14" s="216">
        <v>2019</v>
      </c>
      <c r="E14" s="217" t="s">
        <v>162</v>
      </c>
      <c r="G14" s="74">
        <v>43252</v>
      </c>
      <c r="H14" s="75">
        <v>352389.14423076931</v>
      </c>
      <c r="I14" s="415">
        <v>6.92</v>
      </c>
      <c r="J14" s="77">
        <v>2438532.8780769235</v>
      </c>
      <c r="K14" s="75">
        <v>-673654.87725875597</v>
      </c>
      <c r="L14" s="75">
        <v>-141924.0050836672</v>
      </c>
      <c r="M14" s="415">
        <v>17.71</v>
      </c>
      <c r="N14" s="415">
        <v>9.31</v>
      </c>
      <c r="O14" s="69">
        <v>-13251740.36358151</v>
      </c>
    </row>
    <row r="15" spans="1:21" ht="16.5" thickTop="1">
      <c r="B15" s="222" t="s">
        <v>170</v>
      </c>
      <c r="C15" s="219">
        <v>-23139.58692419</v>
      </c>
      <c r="D15" s="219">
        <v>-33391.632327569998</v>
      </c>
      <c r="E15" s="219">
        <v>-56531.219251759998</v>
      </c>
      <c r="G15" s="74">
        <v>43282</v>
      </c>
      <c r="H15" s="75">
        <v>367251.25249999989</v>
      </c>
      <c r="I15" s="415">
        <v>9.6300000000000008</v>
      </c>
      <c r="J15" s="77">
        <v>3536629.5615749992</v>
      </c>
      <c r="K15" s="75">
        <v>-134892.92116512981</v>
      </c>
      <c r="L15" s="75">
        <v>332348.28768583143</v>
      </c>
      <c r="M15" s="415">
        <v>24.66</v>
      </c>
      <c r="N15" s="415">
        <v>19.05</v>
      </c>
      <c r="O15" s="69">
        <v>3004775.4444829873</v>
      </c>
    </row>
    <row r="16" spans="1:21" ht="15.75">
      <c r="B16" s="222" t="s">
        <v>171</v>
      </c>
      <c r="C16" s="219">
        <v>0</v>
      </c>
      <c r="D16" s="219">
        <v>0</v>
      </c>
      <c r="E16" s="219">
        <v>0</v>
      </c>
      <c r="G16" s="74">
        <v>43313</v>
      </c>
      <c r="H16" s="75">
        <v>515719.41203703696</v>
      </c>
      <c r="I16" s="415">
        <v>10.98</v>
      </c>
      <c r="J16" s="77">
        <v>5662599.1441666661</v>
      </c>
      <c r="K16" s="75">
        <v>-346552.45381829632</v>
      </c>
      <c r="L16" s="75">
        <v>121744.18475136528</v>
      </c>
      <c r="M16" s="415">
        <v>28.11</v>
      </c>
      <c r="N16" s="415">
        <v>22.61</v>
      </c>
      <c r="O16" s="69">
        <v>-6988953.4596039411</v>
      </c>
    </row>
    <row r="17" spans="1:17" ht="15.75">
      <c r="A17"/>
      <c r="B17" s="222" t="s">
        <v>172</v>
      </c>
      <c r="C17" s="220">
        <v>-0.68237050318618897</v>
      </c>
      <c r="D17" s="220">
        <v>-0.70078946707721723</v>
      </c>
      <c r="E17" s="219">
        <v>-1.3831599702634061</v>
      </c>
      <c r="G17" s="78">
        <v>43344</v>
      </c>
      <c r="H17" s="79">
        <v>333770.32812499994</v>
      </c>
      <c r="I17" s="416">
        <v>10.91</v>
      </c>
      <c r="J17" s="81">
        <v>3641434.2798437495</v>
      </c>
      <c r="K17" s="79">
        <v>-235269.22995303335</v>
      </c>
      <c r="L17" s="79">
        <v>179952.80862130836</v>
      </c>
      <c r="M17" s="416">
        <v>27.94</v>
      </c>
      <c r="N17" s="416">
        <v>22.19</v>
      </c>
      <c r="O17" s="70">
        <v>-2580269.4615809196</v>
      </c>
    </row>
    <row r="18" spans="1:17" ht="15.75">
      <c r="A18"/>
      <c r="B18" s="222" t="s">
        <v>173</v>
      </c>
      <c r="C18" s="213">
        <v>-15958.618</v>
      </c>
      <c r="D18" s="213">
        <v>-15958.57878</v>
      </c>
      <c r="E18" s="213">
        <v>-31917.196779999998</v>
      </c>
      <c r="G18" s="74">
        <v>43374</v>
      </c>
      <c r="H18" s="75">
        <v>339993.77546296304</v>
      </c>
      <c r="I18" s="76">
        <v>10.45</v>
      </c>
      <c r="J18" s="77">
        <v>3552934.9535879637</v>
      </c>
      <c r="K18" s="75">
        <v>-154379.52037617349</v>
      </c>
      <c r="L18" s="75">
        <v>119349.52301206387</v>
      </c>
      <c r="M18" s="82">
        <v>26.74</v>
      </c>
      <c r="N18" s="82">
        <v>22.49</v>
      </c>
      <c r="O18" s="69">
        <v>-1443937.6023175628</v>
      </c>
      <c r="Q18" s="151"/>
    </row>
    <row r="19" spans="1:17" ht="15.75">
      <c r="A19"/>
      <c r="B19" s="222" t="s">
        <v>174</v>
      </c>
      <c r="C19" s="214">
        <v>-1323.3264774999998</v>
      </c>
      <c r="D19" s="214">
        <v>-1321.9000775</v>
      </c>
      <c r="E19" s="214">
        <v>-2645.2265549999997</v>
      </c>
      <c r="G19" s="74">
        <v>43405</v>
      </c>
      <c r="H19" s="75">
        <v>287552.15749999991</v>
      </c>
      <c r="I19" s="76">
        <v>10.65</v>
      </c>
      <c r="J19" s="77">
        <v>3062430.4773749993</v>
      </c>
      <c r="K19" s="75">
        <v>-296242.01720012655</v>
      </c>
      <c r="L19" s="75">
        <v>118914.65243134333</v>
      </c>
      <c r="M19" s="82">
        <v>27.27</v>
      </c>
      <c r="N19" s="82">
        <v>24.74</v>
      </c>
      <c r="O19" s="69">
        <v>-5136571.3078960162</v>
      </c>
    </row>
    <row r="20" spans="1:17" ht="15.75">
      <c r="A20"/>
      <c r="B20" s="222" t="s">
        <v>175</v>
      </c>
      <c r="C20" s="213">
        <v>-238625.80604798009</v>
      </c>
      <c r="D20" s="213">
        <v>-230069.18738876167</v>
      </c>
      <c r="E20" s="213">
        <v>-468694.99343674176</v>
      </c>
      <c r="G20" s="74">
        <v>43435</v>
      </c>
      <c r="H20" s="75">
        <v>536730.81250000012</v>
      </c>
      <c r="I20" s="76">
        <v>11.83</v>
      </c>
      <c r="J20" s="77">
        <v>6349525.5118750017</v>
      </c>
      <c r="K20" s="75">
        <v>83612.642610796553</v>
      </c>
      <c r="L20" s="75">
        <v>410693.50898881</v>
      </c>
      <c r="M20" s="82">
        <v>30.28</v>
      </c>
      <c r="N20" s="82">
        <v>26.6</v>
      </c>
      <c r="O20" s="69">
        <v>13456238.157357266</v>
      </c>
    </row>
    <row r="21" spans="1:17" ht="15.75">
      <c r="A21"/>
      <c r="B21" s="222" t="s">
        <v>176</v>
      </c>
      <c r="C21" s="213"/>
      <c r="D21" s="213"/>
      <c r="E21" s="213">
        <v>0</v>
      </c>
      <c r="G21" s="74">
        <v>43466</v>
      </c>
      <c r="H21" s="75">
        <v>612245.85817307665</v>
      </c>
      <c r="I21" s="76">
        <v>11.45</v>
      </c>
      <c r="J21" s="77">
        <v>7010215.0760817267</v>
      </c>
      <c r="K21" s="75">
        <v>553738.18007855013</v>
      </c>
      <c r="L21" s="75">
        <v>574968.81981765025</v>
      </c>
      <c r="M21" s="82">
        <v>29.3</v>
      </c>
      <c r="N21" s="82">
        <v>23.94</v>
      </c>
      <c r="O21" s="69">
        <v>29989282.222736068</v>
      </c>
    </row>
    <row r="22" spans="1:17" ht="15.75">
      <c r="A22"/>
      <c r="B22" s="223" t="s">
        <v>177</v>
      </c>
      <c r="C22" s="214">
        <v>-30245.622841148812</v>
      </c>
      <c r="D22" s="214">
        <v>-13323.927085231237</v>
      </c>
      <c r="E22" s="214">
        <v>-43569.549926380045</v>
      </c>
      <c r="G22" s="74">
        <v>43497</v>
      </c>
      <c r="H22" s="75">
        <v>354529.40104166657</v>
      </c>
      <c r="I22" s="76">
        <v>11.15</v>
      </c>
      <c r="J22" s="77">
        <v>3953002.8216145826</v>
      </c>
      <c r="K22" s="75">
        <v>537042.57024810207</v>
      </c>
      <c r="L22" s="75">
        <v>521706.61753390031</v>
      </c>
      <c r="M22" s="82">
        <v>28.54</v>
      </c>
      <c r="N22" s="82">
        <v>23.94</v>
      </c>
      <c r="O22" s="69">
        <v>27816851.378642406</v>
      </c>
    </row>
    <row r="23" spans="1:17" ht="15.75">
      <c r="A23"/>
      <c r="B23" s="223" t="s">
        <v>178</v>
      </c>
      <c r="C23" s="213">
        <v>1363.7451130398128</v>
      </c>
      <c r="D23" s="213">
        <v>-8510.7811379797604</v>
      </c>
      <c r="E23" s="213">
        <v>-7147.0360249399473</v>
      </c>
      <c r="G23" s="74">
        <v>43525</v>
      </c>
      <c r="H23" s="75">
        <v>453337.79807692324</v>
      </c>
      <c r="I23" s="76">
        <v>9.2799999999999994</v>
      </c>
      <c r="J23" s="77">
        <v>4206974.7661538478</v>
      </c>
      <c r="K23" s="75">
        <v>148613.2542817888</v>
      </c>
      <c r="L23" s="75">
        <v>324474.45068221987</v>
      </c>
      <c r="M23" s="82">
        <v>23.75</v>
      </c>
      <c r="N23" s="82">
        <v>20.8</v>
      </c>
      <c r="O23" s="69">
        <v>10278633.363382658</v>
      </c>
    </row>
    <row r="24" spans="1:17" ht="15.75">
      <c r="A24"/>
      <c r="B24" s="223" t="s">
        <v>179</v>
      </c>
      <c r="C24" s="213">
        <v>-1619.2472</v>
      </c>
      <c r="D24" s="213">
        <v>-1619.2472</v>
      </c>
      <c r="E24" s="213">
        <v>-3238.4944</v>
      </c>
      <c r="G24" s="74">
        <v>43556</v>
      </c>
      <c r="H24" s="75">
        <v>416067.19711538451</v>
      </c>
      <c r="I24" s="76">
        <v>7.68</v>
      </c>
      <c r="J24" s="77">
        <v>3195396.073846153</v>
      </c>
      <c r="K24" s="75">
        <v>-94667.362271019811</v>
      </c>
      <c r="L24" s="75">
        <v>132767.63518669491</v>
      </c>
      <c r="M24" s="82">
        <v>19.670000000000002</v>
      </c>
      <c r="N24" s="82">
        <v>17.54</v>
      </c>
      <c r="O24" s="69">
        <v>466637.30530366884</v>
      </c>
    </row>
    <row r="25" spans="1:17" ht="15.75">
      <c r="A25"/>
      <c r="B25" s="223" t="s">
        <v>180</v>
      </c>
      <c r="C25" s="213">
        <v>-139.42593828</v>
      </c>
      <c r="D25" s="213">
        <v>-160.73982857999999</v>
      </c>
      <c r="E25" s="213">
        <v>-300.16576685999996</v>
      </c>
      <c r="G25" s="74">
        <v>43586</v>
      </c>
      <c r="H25" s="75">
        <v>303649.86538461538</v>
      </c>
      <c r="I25" s="76">
        <v>6.49</v>
      </c>
      <c r="J25" s="77">
        <v>1970687.6263461539</v>
      </c>
      <c r="K25" s="75">
        <v>-1244927.8780688671</v>
      </c>
      <c r="L25" s="75">
        <v>-482863.2922003963</v>
      </c>
      <c r="M25" s="82">
        <v>16.63</v>
      </c>
      <c r="N25" s="82">
        <v>11.25</v>
      </c>
      <c r="O25" s="69">
        <v>-26135362.649539717</v>
      </c>
    </row>
    <row r="26" spans="1:17" ht="15.75">
      <c r="A26"/>
      <c r="B26" s="223" t="s">
        <v>181</v>
      </c>
      <c r="C26" s="213">
        <v>-1075.6725180121041</v>
      </c>
      <c r="D26" s="213">
        <v>-1273.1605056970011</v>
      </c>
      <c r="E26" s="213">
        <v>-2348.833023709105</v>
      </c>
      <c r="G26" s="74">
        <v>43617</v>
      </c>
      <c r="H26" s="75">
        <v>297651.51750000007</v>
      </c>
      <c r="I26" s="76">
        <v>6.92</v>
      </c>
      <c r="J26" s="77">
        <v>2059748.5011000005</v>
      </c>
      <c r="K26" s="75">
        <v>-687824.44375909632</v>
      </c>
      <c r="L26" s="75">
        <v>-109819.62636820402</v>
      </c>
      <c r="M26" s="82">
        <v>17.71</v>
      </c>
      <c r="N26" s="82">
        <v>9.31</v>
      </c>
      <c r="O26" s="69">
        <v>-13203791.620461576</v>
      </c>
    </row>
    <row r="27" spans="1:17" ht="15.75">
      <c r="A27"/>
      <c r="B27" s="224" t="s">
        <v>182</v>
      </c>
      <c r="C27" s="218">
        <v>-31567.95486610445</v>
      </c>
      <c r="D27" s="218">
        <v>-32060.238598463508</v>
      </c>
      <c r="E27" s="218">
        <v>-63628.193464567958</v>
      </c>
      <c r="G27" s="74">
        <v>43647</v>
      </c>
      <c r="H27" s="75">
        <v>414213.00000000006</v>
      </c>
      <c r="I27" s="76">
        <v>9.6300000000000008</v>
      </c>
      <c r="J27" s="77">
        <v>3988871.1900000009</v>
      </c>
      <c r="K27" s="75">
        <v>-55742.145131681493</v>
      </c>
      <c r="L27" s="75">
        <v>280657.12834518135</v>
      </c>
      <c r="M27" s="82">
        <v>24.66</v>
      </c>
      <c r="N27" s="82">
        <v>19.05</v>
      </c>
      <c r="O27" s="69">
        <v>3971916.9960284391</v>
      </c>
    </row>
    <row r="28" spans="1:17" ht="15.75">
      <c r="A28"/>
      <c r="B28" s="222" t="s">
        <v>183</v>
      </c>
      <c r="C28" s="215">
        <v>-342332.19807067886</v>
      </c>
      <c r="D28" s="215">
        <v>-337690.09371925029</v>
      </c>
      <c r="E28" s="215">
        <v>-680022.29178992915</v>
      </c>
      <c r="G28" s="74">
        <v>43678</v>
      </c>
      <c r="H28" s="75">
        <v>474529.42361111112</v>
      </c>
      <c r="I28" s="76">
        <v>10.98</v>
      </c>
      <c r="J28" s="77">
        <v>5210333.07125</v>
      </c>
      <c r="K28" s="75">
        <v>-313298.09592406213</v>
      </c>
      <c r="L28" s="75">
        <v>111817.48923025321</v>
      </c>
      <c r="M28" s="82">
        <v>28.11</v>
      </c>
      <c r="N28" s="82">
        <v>22.61</v>
      </c>
      <c r="O28" s="69">
        <v>-6278616.0449293619</v>
      </c>
    </row>
    <row r="29" spans="1:17" ht="15.75">
      <c r="A29"/>
      <c r="B29" s="143"/>
      <c r="C29" s="144"/>
      <c r="D29" s="143"/>
      <c r="E29" s="143"/>
      <c r="G29" s="78">
        <v>43709</v>
      </c>
      <c r="H29" s="79">
        <v>310800.05729166657</v>
      </c>
      <c r="I29" s="80">
        <v>10.91</v>
      </c>
      <c r="J29" s="81">
        <v>3390828.6250520824</v>
      </c>
      <c r="K29" s="79">
        <v>-202968.66372665355</v>
      </c>
      <c r="L29" s="79">
        <v>172610.75592624815</v>
      </c>
      <c r="M29" s="83">
        <v>27.94</v>
      </c>
      <c r="N29" s="83">
        <v>22.19</v>
      </c>
      <c r="O29" s="70">
        <v>-1840711.7905192538</v>
      </c>
    </row>
    <row r="30" spans="1:17" ht="15.75" thickBot="1">
      <c r="A30"/>
      <c r="B30" s="230" t="s">
        <v>184</v>
      </c>
      <c r="C30" s="226">
        <v>2018</v>
      </c>
      <c r="D30" s="226">
        <v>2019</v>
      </c>
      <c r="E30" s="227" t="s">
        <v>162</v>
      </c>
    </row>
    <row r="31" spans="1:17" ht="15.75" thickTop="1">
      <c r="A31"/>
      <c r="B31" s="232" t="s">
        <v>185</v>
      </c>
      <c r="C31" s="228">
        <v>22127.669437439999</v>
      </c>
      <c r="D31" s="228">
        <v>22127.669437439999</v>
      </c>
      <c r="E31" s="228">
        <v>44255.338874879999</v>
      </c>
      <c r="G31" s="140"/>
      <c r="H31" s="140"/>
    </row>
    <row r="32" spans="1:17">
      <c r="A32"/>
      <c r="B32" s="233" t="s">
        <v>186</v>
      </c>
      <c r="C32" s="229">
        <v>41009.640637891593</v>
      </c>
      <c r="D32" s="229">
        <v>41970.543113243213</v>
      </c>
      <c r="E32" s="229">
        <v>82980.183751134813</v>
      </c>
      <c r="G32" s="140" t="s">
        <v>221</v>
      </c>
      <c r="H32" s="418">
        <v>11.76</v>
      </c>
    </row>
    <row r="33" spans="1:16">
      <c r="A33"/>
      <c r="B33" s="231" t="s">
        <v>183</v>
      </c>
      <c r="C33" s="225">
        <v>63137.310075331596</v>
      </c>
      <c r="D33" s="225">
        <v>64098.212550683209</v>
      </c>
      <c r="E33" s="225">
        <v>127235.5226260148</v>
      </c>
      <c r="G33" s="140" t="s">
        <v>230</v>
      </c>
      <c r="H33" s="418">
        <v>-12.75</v>
      </c>
    </row>
    <row r="34" spans="1:16">
      <c r="A34"/>
      <c r="B34" s="143"/>
      <c r="C34" s="144"/>
      <c r="D34" s="143"/>
      <c r="E34" s="143"/>
      <c r="H34" s="140"/>
    </row>
    <row r="35" spans="1:16" ht="15.75" thickBot="1">
      <c r="A35"/>
      <c r="B35" s="237"/>
      <c r="C35" s="235">
        <v>2018</v>
      </c>
      <c r="D35" s="235">
        <v>2019</v>
      </c>
      <c r="E35" s="236" t="s">
        <v>162</v>
      </c>
      <c r="G35" t="s">
        <v>373</v>
      </c>
      <c r="H35" s="437">
        <v>22.98</v>
      </c>
    </row>
    <row r="36" spans="1:16" ht="15.75" thickTop="1">
      <c r="A36"/>
      <c r="B36" s="238" t="s">
        <v>163</v>
      </c>
      <c r="C36" s="234">
        <v>2545685.4291877095</v>
      </c>
      <c r="D36" s="234">
        <v>2394437.1122092246</v>
      </c>
      <c r="E36" s="234">
        <v>4940122.5413969336</v>
      </c>
    </row>
    <row r="37" spans="1:16">
      <c r="A37"/>
      <c r="B37" s="143"/>
      <c r="C37" s="144"/>
      <c r="D37" s="143"/>
      <c r="E37" s="143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1:16" ht="15.75" thickBot="1">
      <c r="A38"/>
      <c r="B38" s="253" t="s">
        <v>187</v>
      </c>
      <c r="C38" s="243">
        <v>2018</v>
      </c>
      <c r="D38" s="243">
        <v>2019</v>
      </c>
      <c r="E38" s="244" t="s">
        <v>162</v>
      </c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1:16" ht="16.5" thickTop="1">
      <c r="A39"/>
      <c r="B39" s="254" t="s">
        <v>188</v>
      </c>
      <c r="C39" s="241">
        <v>-378877.54464275425</v>
      </c>
      <c r="D39" s="241">
        <v>-343894.78147677449</v>
      </c>
      <c r="E39" s="241">
        <v>-722772.32611952873</v>
      </c>
      <c r="G39" s="133"/>
      <c r="H39" s="155"/>
      <c r="I39" s="156"/>
      <c r="J39" s="153"/>
      <c r="K39" s="155"/>
      <c r="L39" s="155"/>
      <c r="M39" s="150"/>
      <c r="N39" s="150"/>
      <c r="O39" s="154"/>
      <c r="P39" s="139"/>
    </row>
    <row r="40" spans="1:16" ht="15.75">
      <c r="A40"/>
      <c r="B40" s="255" t="s">
        <v>177</v>
      </c>
      <c r="C40" s="246">
        <v>30245.622841148812</v>
      </c>
      <c r="D40" s="246">
        <v>13323.927085231237</v>
      </c>
      <c r="E40" s="246">
        <v>43569.549926380045</v>
      </c>
      <c r="G40" s="133"/>
      <c r="H40" s="155"/>
      <c r="I40" s="156"/>
      <c r="J40" s="153"/>
      <c r="K40" s="155"/>
      <c r="L40" s="155"/>
      <c r="M40" s="150"/>
      <c r="N40" s="150"/>
      <c r="O40" s="154"/>
      <c r="P40" s="139"/>
    </row>
    <row r="41" spans="1:16" ht="15.75">
      <c r="A41"/>
      <c r="B41" s="254" t="s">
        <v>370</v>
      </c>
      <c r="C41" s="246">
        <v>-2033.16</v>
      </c>
      <c r="D41" s="246">
        <v>-2033.16</v>
      </c>
      <c r="E41" s="246">
        <v>-4066.32</v>
      </c>
      <c r="G41" s="133"/>
      <c r="H41" s="155"/>
      <c r="I41" s="156"/>
      <c r="J41" s="153"/>
      <c r="K41" s="155"/>
      <c r="L41" s="155"/>
      <c r="M41" s="150"/>
      <c r="N41" s="150"/>
      <c r="O41" s="154"/>
      <c r="P41" s="139"/>
    </row>
    <row r="42" spans="1:16" ht="15.75">
      <c r="A42"/>
      <c r="B42" s="254" t="s">
        <v>385</v>
      </c>
      <c r="C42" s="246">
        <v>-565</v>
      </c>
      <c r="D42" s="246">
        <v>-129.23500000000001</v>
      </c>
      <c r="E42" s="246">
        <v>-694.23500000000001</v>
      </c>
      <c r="G42" s="133"/>
      <c r="H42" s="155"/>
      <c r="I42" s="156"/>
      <c r="J42" s="153"/>
      <c r="K42" s="155"/>
      <c r="L42" s="155"/>
      <c r="M42" s="150"/>
      <c r="N42" s="150"/>
      <c r="O42" s="154"/>
      <c r="P42" s="139"/>
    </row>
    <row r="43" spans="1:16" ht="15.75">
      <c r="A43"/>
      <c r="B43" s="254" t="s">
        <v>189</v>
      </c>
      <c r="C43" s="246">
        <v>113.01649999999999</v>
      </c>
      <c r="D43" s="246">
        <v>113.01649999999999</v>
      </c>
      <c r="E43" s="246">
        <v>226.03299999999999</v>
      </c>
      <c r="G43" s="133"/>
      <c r="H43" s="155"/>
      <c r="I43" s="156"/>
      <c r="J43" s="153"/>
      <c r="K43" s="155"/>
      <c r="L43" s="155"/>
      <c r="M43" s="150"/>
      <c r="N43" s="150"/>
      <c r="O43" s="154"/>
      <c r="P43" s="139"/>
    </row>
    <row r="44" spans="1:16" ht="15.75">
      <c r="A44"/>
      <c r="B44" s="254" t="s">
        <v>277</v>
      </c>
      <c r="C44" s="246">
        <v>0</v>
      </c>
      <c r="D44" s="246">
        <v>0</v>
      </c>
      <c r="E44" s="246">
        <v>0</v>
      </c>
      <c r="G44" s="133"/>
      <c r="H44" s="155"/>
      <c r="I44" s="156"/>
      <c r="J44" s="153"/>
      <c r="K44" s="155"/>
      <c r="L44" s="155"/>
      <c r="M44" s="150"/>
      <c r="N44" s="150"/>
      <c r="O44" s="154"/>
      <c r="P44" s="139"/>
    </row>
    <row r="45" spans="1:16" ht="15.75">
      <c r="A45"/>
      <c r="B45" s="254" t="s">
        <v>190</v>
      </c>
      <c r="C45" s="241">
        <v>-22841.757046924096</v>
      </c>
      <c r="D45" s="241">
        <v>-31940.568407787003</v>
      </c>
      <c r="E45" s="241">
        <v>-54782.325454711099</v>
      </c>
      <c r="G45" s="133"/>
      <c r="H45" s="155"/>
      <c r="I45" s="156"/>
      <c r="J45" s="153"/>
      <c r="K45" s="155"/>
      <c r="L45" s="155"/>
      <c r="M45" s="150"/>
      <c r="N45" s="150"/>
      <c r="O45" s="154"/>
      <c r="P45" s="139"/>
    </row>
    <row r="46" spans="1:16" ht="15.75">
      <c r="A46"/>
      <c r="B46" s="255" t="s">
        <v>178</v>
      </c>
      <c r="C46" s="246">
        <v>-1363.7451130398128</v>
      </c>
      <c r="D46" s="246">
        <v>8510.7811379797604</v>
      </c>
      <c r="E46" s="246">
        <v>7147.0360249399473</v>
      </c>
      <c r="G46" s="133"/>
      <c r="H46" s="155"/>
      <c r="I46" s="156"/>
      <c r="J46" s="153"/>
      <c r="K46" s="155"/>
      <c r="L46" s="155"/>
      <c r="M46" s="150"/>
      <c r="N46" s="150"/>
      <c r="O46" s="154"/>
      <c r="P46" s="139"/>
    </row>
    <row r="47" spans="1:16" ht="15.75">
      <c r="A47"/>
      <c r="B47" s="256" t="s">
        <v>191</v>
      </c>
      <c r="C47" s="246">
        <v>-48363.485224876436</v>
      </c>
      <c r="D47" s="246">
        <v>-47950.948694282502</v>
      </c>
      <c r="E47" s="246">
        <v>-96314.433919158939</v>
      </c>
      <c r="G47" s="133"/>
      <c r="H47" s="155"/>
      <c r="I47" s="156"/>
      <c r="J47" s="153"/>
      <c r="K47" s="155"/>
      <c r="L47" s="155"/>
      <c r="M47" s="150"/>
      <c r="N47" s="150"/>
      <c r="O47" s="154"/>
      <c r="P47" s="139"/>
    </row>
    <row r="48" spans="1:16" ht="15.75">
      <c r="A48"/>
      <c r="B48" s="256" t="s">
        <v>192</v>
      </c>
      <c r="C48" s="240">
        <v>-725.78</v>
      </c>
      <c r="D48" s="240">
        <v>-725.78</v>
      </c>
      <c r="E48" s="240">
        <v>-1451.56</v>
      </c>
      <c r="G48" s="133"/>
      <c r="H48" s="155"/>
      <c r="I48" s="156"/>
      <c r="J48" s="153"/>
      <c r="K48" s="155"/>
      <c r="L48" s="155"/>
      <c r="M48" s="150"/>
      <c r="N48" s="150"/>
      <c r="O48" s="154"/>
      <c r="P48" s="139"/>
    </row>
    <row r="49" spans="1:16" ht="15.75">
      <c r="A49"/>
      <c r="B49" s="256" t="s">
        <v>193</v>
      </c>
      <c r="C49" s="240">
        <v>0</v>
      </c>
      <c r="D49" s="240">
        <v>0</v>
      </c>
      <c r="E49" s="240">
        <v>0</v>
      </c>
      <c r="G49" s="133"/>
      <c r="H49" s="155"/>
      <c r="I49" s="156"/>
      <c r="J49" s="153"/>
      <c r="K49" s="155"/>
      <c r="L49" s="155"/>
      <c r="M49" s="150"/>
      <c r="N49" s="150"/>
      <c r="O49" s="154"/>
      <c r="P49" s="139"/>
    </row>
    <row r="50" spans="1:16" ht="15.75">
      <c r="A50"/>
      <c r="B50" s="256" t="s">
        <v>194</v>
      </c>
      <c r="C50" s="240">
        <v>0</v>
      </c>
      <c r="D50" s="240">
        <v>0</v>
      </c>
      <c r="E50" s="240">
        <v>0</v>
      </c>
      <c r="G50" s="133"/>
      <c r="H50" s="155"/>
      <c r="I50" s="156"/>
      <c r="J50" s="153"/>
      <c r="K50" s="155"/>
      <c r="L50" s="155"/>
      <c r="M50" s="150"/>
      <c r="N50" s="150"/>
      <c r="O50" s="154"/>
      <c r="P50" s="139"/>
    </row>
    <row r="51" spans="1:16" ht="15.75">
      <c r="A51"/>
      <c r="B51" s="257" t="s">
        <v>182</v>
      </c>
      <c r="C51" s="245">
        <v>31567.95486610445</v>
      </c>
      <c r="D51" s="245">
        <v>32060.238598463508</v>
      </c>
      <c r="E51" s="245">
        <v>63628.193464567958</v>
      </c>
      <c r="G51" s="132"/>
      <c r="H51" s="155"/>
      <c r="I51" s="156"/>
      <c r="J51" s="153"/>
      <c r="K51" s="155"/>
      <c r="L51" s="155"/>
      <c r="M51" s="156"/>
      <c r="N51" s="156"/>
      <c r="O51" s="152"/>
      <c r="P51" s="139"/>
    </row>
    <row r="52" spans="1:16">
      <c r="A52"/>
      <c r="B52" s="254" t="s">
        <v>183</v>
      </c>
      <c r="C52" s="241">
        <v>-392843.87782034127</v>
      </c>
      <c r="D52" s="241">
        <v>-372666.51025716943</v>
      </c>
      <c r="E52" s="241">
        <v>-765510.38807751075</v>
      </c>
      <c r="G52" s="139"/>
      <c r="H52" s="139"/>
      <c r="I52" s="139"/>
      <c r="J52" s="139"/>
      <c r="K52" s="139"/>
      <c r="L52" s="139"/>
      <c r="M52" s="139"/>
      <c r="N52" s="139"/>
      <c r="O52" s="139"/>
      <c r="P52" s="139"/>
    </row>
    <row r="53" spans="1:16">
      <c r="A53"/>
      <c r="B53" s="239"/>
      <c r="C53" s="239"/>
      <c r="D53" s="239"/>
      <c r="E53" s="239"/>
    </row>
    <row r="54" spans="1:16" ht="15.75" thickBot="1">
      <c r="A54"/>
      <c r="B54" s="249"/>
      <c r="C54" s="243">
        <v>2018</v>
      </c>
      <c r="D54" s="243">
        <v>2019</v>
      </c>
      <c r="E54" s="244" t="s">
        <v>162</v>
      </c>
    </row>
    <row r="55" spans="1:16" ht="15.75" thickTop="1">
      <c r="A55"/>
      <c r="B55" s="250" t="s">
        <v>164</v>
      </c>
      <c r="C55" s="240">
        <v>-306510.99692440347</v>
      </c>
      <c r="D55" s="240">
        <v>-225407.92539935655</v>
      </c>
      <c r="E55" s="240">
        <v>-531918.92232376011</v>
      </c>
    </row>
    <row r="56" spans="1:16">
      <c r="A56"/>
      <c r="B56" s="239"/>
      <c r="C56" s="241"/>
      <c r="D56" s="239"/>
      <c r="E56" s="239"/>
    </row>
    <row r="57" spans="1:16" ht="15.75" thickBot="1">
      <c r="A57"/>
      <c r="B57" s="249" t="s">
        <v>195</v>
      </c>
      <c r="C57" s="243">
        <v>2018</v>
      </c>
      <c r="D57" s="243">
        <v>2019</v>
      </c>
      <c r="E57" s="244" t="s">
        <v>162</v>
      </c>
    </row>
    <row r="58" spans="1:16" ht="15.75" thickTop="1">
      <c r="A58"/>
      <c r="B58" s="250" t="s">
        <v>163</v>
      </c>
      <c r="C58" s="240">
        <v>2545685.4291877095</v>
      </c>
      <c r="D58" s="240">
        <v>2394437.1122092246</v>
      </c>
      <c r="E58" s="240">
        <v>4940122.5413969336</v>
      </c>
    </row>
    <row r="59" spans="1:16">
      <c r="A59"/>
      <c r="B59" s="250" t="s">
        <v>164</v>
      </c>
      <c r="C59" s="240">
        <v>-306510.99692440347</v>
      </c>
      <c r="D59" s="240">
        <v>-225407.92539935655</v>
      </c>
      <c r="E59" s="240">
        <v>-531918.92232376011</v>
      </c>
    </row>
    <row r="60" spans="1:16">
      <c r="A60"/>
      <c r="B60" s="250" t="s">
        <v>165</v>
      </c>
      <c r="C60" s="240">
        <v>0</v>
      </c>
      <c r="D60" s="240">
        <v>0</v>
      </c>
      <c r="E60" s="240">
        <v>0</v>
      </c>
    </row>
    <row r="61" spans="1:16">
      <c r="A61"/>
      <c r="B61" s="251" t="s">
        <v>166</v>
      </c>
      <c r="C61" s="245">
        <v>38265.411320319887</v>
      </c>
      <c r="D61" s="245">
        <v>43545.420842882559</v>
      </c>
      <c r="E61" s="245">
        <v>81810.832163202445</v>
      </c>
    </row>
    <row r="62" spans="1:16">
      <c r="A62"/>
      <c r="B62" s="252" t="s">
        <v>167</v>
      </c>
      <c r="C62" s="240">
        <v>2277439.8435836257</v>
      </c>
      <c r="D62" s="240">
        <v>2212574.6076527508</v>
      </c>
      <c r="E62" s="240">
        <v>4490014.4512363756</v>
      </c>
    </row>
    <row r="63" spans="1:16">
      <c r="A63"/>
      <c r="B63" s="239"/>
      <c r="C63" s="239"/>
      <c r="D63" s="239"/>
      <c r="E63" s="239"/>
    </row>
    <row r="64" spans="1:16" ht="15.75" thickBot="1">
      <c r="A64"/>
      <c r="B64" s="249" t="s">
        <v>196</v>
      </c>
      <c r="C64" s="243">
        <v>2018</v>
      </c>
      <c r="D64" s="243">
        <v>2019</v>
      </c>
      <c r="E64" s="244" t="s">
        <v>162</v>
      </c>
    </row>
    <row r="65" spans="1:7" ht="15.75" thickTop="1">
      <c r="A65"/>
      <c r="B65" s="250" t="s">
        <v>197</v>
      </c>
      <c r="C65" s="242">
        <v>96.656240000000025</v>
      </c>
      <c r="D65" s="242">
        <v>97.246350000000021</v>
      </c>
      <c r="E65" s="242">
        <v>96.951295000000016</v>
      </c>
    </row>
    <row r="66" spans="1:7">
      <c r="A66"/>
      <c r="B66" s="250" t="s">
        <v>198</v>
      </c>
      <c r="C66" s="242">
        <v>73.920440000000013</v>
      </c>
      <c r="D66" s="242">
        <v>74.510550000000009</v>
      </c>
      <c r="E66" s="242">
        <v>74.215495000000004</v>
      </c>
    </row>
    <row r="67" spans="1:7">
      <c r="A67"/>
      <c r="B67" s="250" t="s">
        <v>199</v>
      </c>
      <c r="C67" s="242">
        <v>22.735799999999998</v>
      </c>
      <c r="D67" s="242">
        <v>22.735799999999998</v>
      </c>
      <c r="E67" s="242">
        <v>22.735799999999998</v>
      </c>
    </row>
    <row r="68" spans="1:7">
      <c r="A68"/>
      <c r="B68" s="250"/>
      <c r="C68" s="240"/>
      <c r="D68" s="240"/>
      <c r="E68" s="240"/>
    </row>
    <row r="69" spans="1:7" ht="15.75" thickBot="1">
      <c r="A69"/>
      <c r="B69" s="249" t="s">
        <v>200</v>
      </c>
      <c r="C69" s="243">
        <v>2018</v>
      </c>
      <c r="D69" s="243">
        <v>2019</v>
      </c>
      <c r="E69" s="244" t="s">
        <v>162</v>
      </c>
    </row>
    <row r="70" spans="1:7" ht="15.75" thickTop="1">
      <c r="A70"/>
      <c r="B70" s="250" t="s">
        <v>163</v>
      </c>
      <c r="C70" s="240">
        <v>26337.517672813559</v>
      </c>
      <c r="D70" s="240">
        <v>24622.385438725712</v>
      </c>
      <c r="E70" s="240">
        <v>25477.341697173477</v>
      </c>
    </row>
    <row r="71" spans="1:7">
      <c r="A71"/>
      <c r="B71" s="250" t="s">
        <v>164</v>
      </c>
      <c r="C71" s="240">
        <v>-4146.4985452522124</v>
      </c>
      <c r="D71" s="240">
        <v>-3025.1813387413799</v>
      </c>
      <c r="E71" s="240">
        <v>-3583.6109583568773</v>
      </c>
    </row>
    <row r="72" spans="1:7">
      <c r="B72" s="250" t="s">
        <v>165</v>
      </c>
      <c r="C72" s="240">
        <v>0</v>
      </c>
      <c r="D72" s="240">
        <v>0</v>
      </c>
      <c r="E72" s="240">
        <v>0</v>
      </c>
    </row>
    <row r="73" spans="1:7">
      <c r="A73"/>
      <c r="B73" s="239"/>
      <c r="C73" s="239"/>
      <c r="D73" s="239"/>
      <c r="E73" s="239"/>
    </row>
    <row r="74" spans="1:7" ht="15.75" thickBot="1">
      <c r="A74"/>
      <c r="B74" s="249" t="s">
        <v>201</v>
      </c>
      <c r="C74" s="243">
        <v>2018</v>
      </c>
      <c r="D74" s="243">
        <v>2019</v>
      </c>
      <c r="E74" s="244" t="s">
        <v>162</v>
      </c>
      <c r="G74" s="71"/>
    </row>
    <row r="75" spans="1:7" ht="15.75" thickTop="1">
      <c r="A75"/>
      <c r="B75" s="250" t="s">
        <v>163</v>
      </c>
      <c r="C75" s="247">
        <v>2194793.1394011299</v>
      </c>
      <c r="D75" s="247">
        <v>2051865.4532271428</v>
      </c>
      <c r="E75" s="414">
        <v>2123112</v>
      </c>
      <c r="G75" s="71"/>
    </row>
    <row r="76" spans="1:7">
      <c r="A76"/>
      <c r="B76" s="250" t="s">
        <v>164</v>
      </c>
      <c r="C76" s="247">
        <v>-345541.54543768434</v>
      </c>
      <c r="D76" s="247">
        <v>-252098.44489511498</v>
      </c>
      <c r="E76" s="414">
        <v>-298634</v>
      </c>
    </row>
    <row r="77" spans="1:7">
      <c r="B77" s="250" t="s">
        <v>165</v>
      </c>
      <c r="C77" s="247">
        <v>0</v>
      </c>
      <c r="D77" s="247">
        <v>0</v>
      </c>
      <c r="E77" s="247">
        <v>0</v>
      </c>
    </row>
    <row r="78" spans="1:7">
      <c r="A78"/>
      <c r="B78" s="239"/>
      <c r="C78" s="239"/>
      <c r="D78" s="239"/>
      <c r="E78" s="239"/>
    </row>
    <row r="79" spans="1:7" ht="15.75" thickBot="1">
      <c r="A79"/>
      <c r="B79" s="249" t="s">
        <v>202</v>
      </c>
      <c r="C79" s="243">
        <v>2018</v>
      </c>
      <c r="D79" s="243">
        <v>2019</v>
      </c>
      <c r="E79" s="244" t="s">
        <v>162</v>
      </c>
    </row>
    <row r="80" spans="1:7" ht="15.75" thickTop="1">
      <c r="A80"/>
      <c r="B80" s="250" t="s">
        <v>203</v>
      </c>
      <c r="C80" s="417">
        <v>27.2</v>
      </c>
      <c r="D80" s="417">
        <v>24.97</v>
      </c>
      <c r="E80" s="248">
        <v>26.085000000000001</v>
      </c>
    </row>
    <row r="81" spans="1:9">
      <c r="A81"/>
      <c r="B81" s="250" t="s">
        <v>204</v>
      </c>
      <c r="C81" s="417">
        <v>47.68</v>
      </c>
      <c r="D81" s="417">
        <v>45.42</v>
      </c>
      <c r="E81" s="248">
        <v>46.55</v>
      </c>
    </row>
    <row r="82" spans="1:9">
      <c r="A82"/>
      <c r="B82" s="258" t="s">
        <v>205</v>
      </c>
      <c r="C82" s="417">
        <v>51.4</v>
      </c>
      <c r="D82" s="417">
        <v>53.02</v>
      </c>
      <c r="E82" s="248">
        <v>52.21</v>
      </c>
      <c r="I82" s="436"/>
    </row>
    <row r="83" spans="1:9">
      <c r="A83"/>
      <c r="B83" s="258" t="s">
        <v>278</v>
      </c>
      <c r="C83" s="417">
        <v>46.5</v>
      </c>
      <c r="D83" s="417">
        <v>48.02</v>
      </c>
      <c r="E83" s="248">
        <v>47.260000000000005</v>
      </c>
      <c r="I83" s="436"/>
    </row>
    <row r="84" spans="1:9">
      <c r="B84" s="258" t="s">
        <v>386</v>
      </c>
      <c r="C84" s="248">
        <v>0</v>
      </c>
      <c r="D84" s="248">
        <v>0</v>
      </c>
      <c r="E84" s="248">
        <v>0</v>
      </c>
    </row>
  </sheetData>
  <conditionalFormatting sqref="B2">
    <cfRule type="expression" dxfId="3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O401"/>
  <sheetViews>
    <sheetView workbookViewId="0">
      <selection activeCell="F35" sqref="F35"/>
    </sheetView>
  </sheetViews>
  <sheetFormatPr defaultRowHeight="15"/>
  <cols>
    <col min="1" max="1" width="32.28515625" style="33" customWidth="1"/>
    <col min="2" max="2" width="30.5703125" style="33" bestFit="1" customWidth="1"/>
    <col min="3" max="3" width="8" style="36" customWidth="1"/>
    <col min="4" max="4" width="2.28515625" customWidth="1"/>
    <col min="5" max="5" width="32.28515625" style="33" customWidth="1"/>
    <col min="6" max="6" width="30.5703125" style="33" bestFit="1" customWidth="1"/>
    <col min="7" max="7" width="8" style="36" customWidth="1"/>
    <col min="15" max="15" width="10.140625" bestFit="1" customWidth="1"/>
  </cols>
  <sheetData>
    <row r="1" spans="1:15">
      <c r="A1" s="39"/>
      <c r="B1" s="39"/>
      <c r="C1" s="40"/>
      <c r="D1" s="2"/>
      <c r="E1" s="39"/>
      <c r="F1" s="39"/>
      <c r="G1" s="40"/>
    </row>
    <row r="2" spans="1:15">
      <c r="A2" s="41" t="s">
        <v>149</v>
      </c>
      <c r="B2" s="39"/>
      <c r="C2" s="40"/>
      <c r="D2" s="2"/>
      <c r="E2" s="41" t="s">
        <v>150</v>
      </c>
      <c r="F2" s="39"/>
      <c r="G2" s="40"/>
    </row>
    <row r="3" spans="1:15" ht="15.75">
      <c r="A3" s="42" t="s">
        <v>146</v>
      </c>
      <c r="B3" s="43"/>
      <c r="C3" s="44"/>
      <c r="D3" s="2"/>
      <c r="E3" s="42" t="s">
        <v>146</v>
      </c>
      <c r="F3" s="43"/>
      <c r="G3" s="44"/>
    </row>
    <row r="4" spans="1:15" ht="26.25">
      <c r="A4" s="30" t="s">
        <v>2</v>
      </c>
      <c r="B4" s="31" t="s">
        <v>147</v>
      </c>
      <c r="C4" s="38" t="s">
        <v>148</v>
      </c>
      <c r="E4" s="30" t="s">
        <v>2</v>
      </c>
      <c r="F4" s="31" t="s">
        <v>147</v>
      </c>
      <c r="G4" s="38" t="s">
        <v>148</v>
      </c>
    </row>
    <row r="5" spans="1:15">
      <c r="A5" s="32">
        <v>10005</v>
      </c>
      <c r="B5" s="33" t="s">
        <v>7</v>
      </c>
      <c r="C5" s="37">
        <v>0</v>
      </c>
      <c r="E5" s="32">
        <v>10005</v>
      </c>
      <c r="F5" s="33" t="s">
        <v>7</v>
      </c>
      <c r="G5" s="37">
        <v>0</v>
      </c>
      <c r="J5">
        <f>VLOOKUP(A5, TOCA_previous!$A$3:$D$137, 4, FALSE)</f>
        <v>0</v>
      </c>
      <c r="K5">
        <f>VLOOKUP(E5, TOCA_current!A2:D136, 4, FALSE)</f>
        <v>0</v>
      </c>
      <c r="O5" s="172"/>
    </row>
    <row r="6" spans="1:15">
      <c r="A6" s="34">
        <v>10015</v>
      </c>
      <c r="B6" s="33" t="s">
        <v>8</v>
      </c>
      <c r="C6" s="37">
        <v>0</v>
      </c>
      <c r="E6" s="34">
        <v>10015</v>
      </c>
      <c r="F6" s="33" t="s">
        <v>8</v>
      </c>
      <c r="G6" s="37">
        <v>0</v>
      </c>
      <c r="J6" s="138">
        <f>VLOOKUP(A6, TOCA_previous!$A$3:$D$137, 4, FALSE)</f>
        <v>0</v>
      </c>
      <c r="K6" s="138">
        <f>VLOOKUP(E6, TOCA_current!A3:D137, 4, FALSE)</f>
        <v>0</v>
      </c>
      <c r="L6" s="138"/>
      <c r="O6" s="172"/>
    </row>
    <row r="7" spans="1:15">
      <c r="A7" s="34">
        <v>10024</v>
      </c>
      <c r="B7" s="33" t="s">
        <v>9</v>
      </c>
      <c r="C7" s="37">
        <v>312239.2</v>
      </c>
      <c r="E7" s="34">
        <v>10024</v>
      </c>
      <c r="F7" s="33" t="s">
        <v>9</v>
      </c>
      <c r="G7" s="37">
        <v>312239.2</v>
      </c>
      <c r="J7" s="138">
        <f>VLOOKUP(A7, TOCA_previous!$A$3:$D$137, 4, FALSE)</f>
        <v>0</v>
      </c>
      <c r="K7" s="138">
        <f>VLOOKUP(E7, TOCA_current!A4:D138, 4, FALSE)</f>
        <v>0</v>
      </c>
      <c r="L7" s="138"/>
      <c r="O7" s="172"/>
    </row>
    <row r="8" spans="1:15">
      <c r="A8" s="34">
        <v>10025</v>
      </c>
      <c r="B8" s="33" t="s">
        <v>10</v>
      </c>
      <c r="C8" s="37">
        <v>82900.857000000004</v>
      </c>
      <c r="E8" s="34">
        <v>10025</v>
      </c>
      <c r="F8" s="33" t="s">
        <v>10</v>
      </c>
      <c r="G8" s="37">
        <v>82900.857000000004</v>
      </c>
      <c r="J8" s="138">
        <f>VLOOKUP(A8, TOCA_previous!$A$3:$D$137, 4, FALSE)</f>
        <v>0</v>
      </c>
      <c r="K8" s="138">
        <f>VLOOKUP(E8, TOCA_current!A5:D139, 4, FALSE)</f>
        <v>0</v>
      </c>
      <c r="L8" s="138"/>
      <c r="O8" s="172"/>
    </row>
    <row r="9" spans="1:15">
      <c r="A9" s="34">
        <v>10027</v>
      </c>
      <c r="B9" s="33" t="s">
        <v>11</v>
      </c>
      <c r="C9" s="37">
        <v>209669.54</v>
      </c>
      <c r="E9" s="34">
        <v>10027</v>
      </c>
      <c r="F9" s="33" t="s">
        <v>11</v>
      </c>
      <c r="G9" s="37">
        <v>209669.54</v>
      </c>
      <c r="J9" s="138">
        <f>VLOOKUP(A9, TOCA_previous!$A$3:$D$137, 4, FALSE)</f>
        <v>0</v>
      </c>
      <c r="K9" s="138">
        <f>VLOOKUP(E9, TOCA_current!A6:D140, 4, FALSE)</f>
        <v>0</v>
      </c>
      <c r="L9" s="138"/>
      <c r="O9" s="172"/>
    </row>
    <row r="10" spans="1:15">
      <c r="A10" s="34">
        <v>10029</v>
      </c>
      <c r="B10" s="33" t="s">
        <v>12</v>
      </c>
      <c r="C10" s="37">
        <v>0</v>
      </c>
      <c r="E10" s="34">
        <v>10029</v>
      </c>
      <c r="F10" s="33" t="s">
        <v>12</v>
      </c>
      <c r="G10" s="37">
        <v>0</v>
      </c>
      <c r="J10" s="138">
        <f>VLOOKUP(A10, TOCA_previous!$A$3:$D$137, 4, FALSE)</f>
        <v>1</v>
      </c>
      <c r="K10" s="138">
        <f>VLOOKUP(E10, TOCA_current!A7:D141, 4, FALSE)</f>
        <v>1</v>
      </c>
      <c r="L10" s="138"/>
      <c r="O10" s="172"/>
    </row>
    <row r="11" spans="1:15">
      <c r="A11" s="34">
        <v>10044</v>
      </c>
      <c r="B11" s="33" t="s">
        <v>13</v>
      </c>
      <c r="C11" s="37">
        <v>0</v>
      </c>
      <c r="E11" s="34">
        <v>10044</v>
      </c>
      <c r="F11" s="33" t="s">
        <v>13</v>
      </c>
      <c r="G11" s="37">
        <v>0</v>
      </c>
      <c r="J11" s="138">
        <f>VLOOKUP(A11, TOCA_previous!$A$3:$D$137, 4, FALSE)</f>
        <v>0</v>
      </c>
      <c r="K11" s="138">
        <f>VLOOKUP(E11, TOCA_current!A8:D142, 4, FALSE)</f>
        <v>0</v>
      </c>
      <c r="L11" s="138"/>
      <c r="O11" s="172"/>
    </row>
    <row r="12" spans="1:15">
      <c r="A12" s="34">
        <v>10046</v>
      </c>
      <c r="B12" s="33" t="s">
        <v>14</v>
      </c>
      <c r="C12" s="37">
        <v>41085.457000000002</v>
      </c>
      <c r="E12" s="34">
        <v>10046</v>
      </c>
      <c r="F12" s="33" t="s">
        <v>14</v>
      </c>
      <c r="G12" s="37">
        <v>41085.457000000002</v>
      </c>
      <c r="J12" s="138">
        <f>VLOOKUP(A12, TOCA_previous!$A$3:$D$137, 4, FALSE)</f>
        <v>1</v>
      </c>
      <c r="K12" s="138">
        <f>VLOOKUP(E12, TOCA_current!A9:D143, 4, FALSE)</f>
        <v>1</v>
      </c>
      <c r="L12" s="138"/>
      <c r="O12" s="172"/>
    </row>
    <row r="13" spans="1:15">
      <c r="A13" s="34">
        <v>10047</v>
      </c>
      <c r="B13" s="33" t="s">
        <v>15</v>
      </c>
      <c r="C13" s="37">
        <v>0</v>
      </c>
      <c r="E13" s="34">
        <v>10047</v>
      </c>
      <c r="F13" s="33" t="s">
        <v>15</v>
      </c>
      <c r="G13" s="37">
        <v>0</v>
      </c>
      <c r="J13" s="138">
        <f>VLOOKUP(A13, TOCA_previous!$A$3:$D$137, 4, FALSE)</f>
        <v>0</v>
      </c>
      <c r="K13" s="138">
        <f>VLOOKUP(E13, TOCA_current!A10:D144, 4, FALSE)</f>
        <v>0</v>
      </c>
      <c r="L13" s="138"/>
      <c r="O13" s="172"/>
    </row>
    <row r="14" spans="1:15">
      <c r="A14" s="34">
        <v>10055</v>
      </c>
      <c r="B14" s="33" t="s">
        <v>16</v>
      </c>
      <c r="C14" s="37">
        <v>0</v>
      </c>
      <c r="E14" s="34">
        <v>10055</v>
      </c>
      <c r="F14" s="33" t="s">
        <v>16</v>
      </c>
      <c r="G14" s="37">
        <v>0</v>
      </c>
      <c r="J14" s="138">
        <f>VLOOKUP(A14, TOCA_previous!$A$3:$D$137, 4, FALSE)</f>
        <v>0</v>
      </c>
      <c r="K14" s="138">
        <f>VLOOKUP(E14, TOCA_current!A11:D145, 4, FALSE)</f>
        <v>0</v>
      </c>
      <c r="L14" s="138"/>
      <c r="O14" s="172"/>
    </row>
    <row r="15" spans="1:15">
      <c r="A15" s="34">
        <v>10057</v>
      </c>
      <c r="B15" s="33" t="s">
        <v>17</v>
      </c>
      <c r="C15" s="37">
        <v>0</v>
      </c>
      <c r="E15" s="34">
        <v>10057</v>
      </c>
      <c r="F15" s="33" t="s">
        <v>17</v>
      </c>
      <c r="G15" s="37">
        <v>0</v>
      </c>
      <c r="J15" s="138">
        <f>VLOOKUP(A15, TOCA_previous!$A$3:$D$137, 4, FALSE)</f>
        <v>0</v>
      </c>
      <c r="K15" s="138">
        <f>VLOOKUP(E15, TOCA_current!A12:D146, 4, FALSE)</f>
        <v>0</v>
      </c>
      <c r="L15" s="138"/>
      <c r="O15" s="172"/>
    </row>
    <row r="16" spans="1:15">
      <c r="A16" s="34">
        <v>10059</v>
      </c>
      <c r="B16" s="33" t="s">
        <v>18</v>
      </c>
      <c r="C16" s="37">
        <v>0</v>
      </c>
      <c r="E16" s="34">
        <v>10059</v>
      </c>
      <c r="F16" s="33" t="s">
        <v>18</v>
      </c>
      <c r="G16" s="37">
        <v>0</v>
      </c>
      <c r="J16" s="138">
        <f>VLOOKUP(A16, TOCA_previous!$A$3:$D$137, 4, FALSE)</f>
        <v>0</v>
      </c>
      <c r="K16" s="138">
        <f>VLOOKUP(E16, TOCA_current!A13:D147, 4, FALSE)</f>
        <v>0</v>
      </c>
      <c r="L16" s="138"/>
      <c r="O16" s="172"/>
    </row>
    <row r="17" spans="1:15">
      <c r="A17" s="34">
        <v>10061</v>
      </c>
      <c r="B17" s="33" t="s">
        <v>19</v>
      </c>
      <c r="C17" s="37">
        <v>0</v>
      </c>
      <c r="E17" s="34">
        <v>10061</v>
      </c>
      <c r="F17" s="33" t="s">
        <v>19</v>
      </c>
      <c r="G17" s="37">
        <v>0</v>
      </c>
      <c r="J17" s="138">
        <f>VLOOKUP(A17, TOCA_previous!$A$3:$D$137, 4, FALSE)</f>
        <v>0</v>
      </c>
      <c r="K17" s="138">
        <f>VLOOKUP(E17, TOCA_current!A14:D148, 4, FALSE)</f>
        <v>0</v>
      </c>
      <c r="L17" s="138"/>
      <c r="O17" s="172"/>
    </row>
    <row r="18" spans="1:15">
      <c r="A18" s="34">
        <v>10062</v>
      </c>
      <c r="B18" s="33" t="s">
        <v>20</v>
      </c>
      <c r="C18" s="37">
        <v>0</v>
      </c>
      <c r="E18" s="34">
        <v>10062</v>
      </c>
      <c r="F18" s="33" t="s">
        <v>20</v>
      </c>
      <c r="G18" s="37">
        <v>0</v>
      </c>
      <c r="J18" s="138">
        <f>VLOOKUP(A18, TOCA_previous!$A$3:$D$137, 4, FALSE)</f>
        <v>0</v>
      </c>
      <c r="K18" s="138">
        <f>VLOOKUP(E18, TOCA_current!A15:D149, 4, FALSE)</f>
        <v>0</v>
      </c>
      <c r="L18" s="138"/>
      <c r="O18" s="172"/>
    </row>
    <row r="19" spans="1:15">
      <c r="A19" s="34">
        <v>10064</v>
      </c>
      <c r="B19" s="33" t="s">
        <v>21</v>
      </c>
      <c r="C19" s="37">
        <v>0</v>
      </c>
      <c r="E19" s="34">
        <v>10064</v>
      </c>
      <c r="F19" s="33" t="s">
        <v>21</v>
      </c>
      <c r="G19" s="37">
        <v>0</v>
      </c>
      <c r="J19" s="138">
        <f>VLOOKUP(A19, TOCA_previous!$A$3:$D$137, 4, FALSE)</f>
        <v>0</v>
      </c>
      <c r="K19" s="138">
        <f>VLOOKUP(E19, TOCA_current!A16:D150, 4, FALSE)</f>
        <v>0</v>
      </c>
      <c r="L19" s="138"/>
      <c r="O19" s="172"/>
    </row>
    <row r="20" spans="1:15">
      <c r="A20" s="34">
        <v>10065</v>
      </c>
      <c r="B20" s="33" t="s">
        <v>22</v>
      </c>
      <c r="C20" s="37">
        <v>0</v>
      </c>
      <c r="E20" s="34">
        <v>10065</v>
      </c>
      <c r="F20" s="33" t="s">
        <v>22</v>
      </c>
      <c r="G20" s="37">
        <v>0</v>
      </c>
      <c r="J20" s="138">
        <f>VLOOKUP(A20, TOCA_previous!$A$3:$D$137, 4, FALSE)</f>
        <v>0</v>
      </c>
      <c r="K20" s="138">
        <f>VLOOKUP(E20, TOCA_current!A17:D151, 4, FALSE)</f>
        <v>0</v>
      </c>
      <c r="L20" s="138"/>
      <c r="O20" s="172"/>
    </row>
    <row r="21" spans="1:15">
      <c r="A21" s="34">
        <v>10066</v>
      </c>
      <c r="B21" s="33" t="s">
        <v>23</v>
      </c>
      <c r="C21" s="37">
        <v>0</v>
      </c>
      <c r="E21" s="34">
        <v>10066</v>
      </c>
      <c r="F21" s="33" t="s">
        <v>23</v>
      </c>
      <c r="G21" s="37">
        <v>0</v>
      </c>
      <c r="J21" s="138">
        <f>VLOOKUP(A21, TOCA_previous!$A$3:$D$137, 4, FALSE)</f>
        <v>0</v>
      </c>
      <c r="K21" s="138">
        <f>VLOOKUP(E21, TOCA_current!A18:D152, 4, FALSE)</f>
        <v>0</v>
      </c>
      <c r="L21" s="138"/>
      <c r="O21" s="172"/>
    </row>
    <row r="22" spans="1:15">
      <c r="A22" s="34">
        <v>10067</v>
      </c>
      <c r="B22" s="33" t="s">
        <v>24</v>
      </c>
      <c r="C22" s="37">
        <v>0</v>
      </c>
      <c r="E22" s="34">
        <v>10067</v>
      </c>
      <c r="F22" s="33" t="s">
        <v>24</v>
      </c>
      <c r="G22" s="37">
        <v>0</v>
      </c>
      <c r="J22" s="138">
        <f>VLOOKUP(A22, TOCA_previous!$A$3:$D$137, 4, FALSE)</f>
        <v>0</v>
      </c>
      <c r="K22" s="138">
        <f>VLOOKUP(E22, TOCA_current!A19:D153, 4, FALSE)</f>
        <v>0</v>
      </c>
      <c r="L22" s="138"/>
      <c r="O22" s="172"/>
    </row>
    <row r="23" spans="1:15">
      <c r="A23" s="34">
        <v>10068</v>
      </c>
      <c r="B23" s="33" t="s">
        <v>25</v>
      </c>
      <c r="C23" s="37">
        <v>0</v>
      </c>
      <c r="E23" s="34">
        <v>10068</v>
      </c>
      <c r="F23" s="33" t="s">
        <v>25</v>
      </c>
      <c r="G23" s="37">
        <v>0</v>
      </c>
      <c r="J23" s="138">
        <f>VLOOKUP(A23, TOCA_previous!$A$3:$D$137, 4, FALSE)</f>
        <v>0</v>
      </c>
      <c r="K23" s="138">
        <f>VLOOKUP(E23, TOCA_current!A20:D154, 4, FALSE)</f>
        <v>0</v>
      </c>
      <c r="L23" s="138"/>
      <c r="O23" s="172"/>
    </row>
    <row r="24" spans="1:15">
      <c r="A24" s="34">
        <v>10070</v>
      </c>
      <c r="B24" s="33" t="s">
        <v>26</v>
      </c>
      <c r="C24" s="37">
        <v>0</v>
      </c>
      <c r="E24" s="34">
        <v>10070</v>
      </c>
      <c r="F24" s="33" t="s">
        <v>26</v>
      </c>
      <c r="G24" s="37">
        <v>0</v>
      </c>
      <c r="J24" s="138">
        <f>VLOOKUP(A24, TOCA_previous!$A$3:$D$137, 4, FALSE)</f>
        <v>0</v>
      </c>
      <c r="K24" s="138">
        <f>VLOOKUP(E24, TOCA_current!A21:D155, 4, FALSE)</f>
        <v>0</v>
      </c>
      <c r="L24" s="138"/>
      <c r="O24" s="172"/>
    </row>
    <row r="25" spans="1:15">
      <c r="A25" s="34">
        <v>10071</v>
      </c>
      <c r="B25" s="33" t="s">
        <v>27</v>
      </c>
      <c r="C25" s="37">
        <v>0</v>
      </c>
      <c r="E25" s="34">
        <v>10071</v>
      </c>
      <c r="F25" s="33" t="s">
        <v>27</v>
      </c>
      <c r="G25" s="37">
        <v>0</v>
      </c>
      <c r="J25" s="138">
        <f>VLOOKUP(A25, TOCA_previous!$A$3:$D$137, 4, FALSE)</f>
        <v>0</v>
      </c>
      <c r="K25" s="138">
        <f>VLOOKUP(E25, TOCA_current!A22:D156, 4, FALSE)</f>
        <v>0</v>
      </c>
      <c r="L25" s="138"/>
      <c r="O25" s="172"/>
    </row>
    <row r="26" spans="1:15">
      <c r="A26" s="34">
        <v>10072</v>
      </c>
      <c r="B26" s="33" t="s">
        <v>28</v>
      </c>
      <c r="C26" s="37">
        <v>0</v>
      </c>
      <c r="E26" s="34">
        <v>10072</v>
      </c>
      <c r="F26" s="33" t="s">
        <v>28</v>
      </c>
      <c r="G26" s="37">
        <v>0</v>
      </c>
      <c r="J26" s="138">
        <f>VLOOKUP(A26, TOCA_previous!$A$3:$D$137, 4, FALSE)</f>
        <v>0</v>
      </c>
      <c r="K26" s="138">
        <f>VLOOKUP(E26, TOCA_current!A23:D157, 4, FALSE)</f>
        <v>0</v>
      </c>
      <c r="L26" s="138"/>
      <c r="O26" s="172"/>
    </row>
    <row r="27" spans="1:15">
      <c r="A27" s="34">
        <v>10074</v>
      </c>
      <c r="B27" s="33" t="s">
        <v>29</v>
      </c>
      <c r="C27" s="37">
        <v>0</v>
      </c>
      <c r="E27" s="34">
        <v>10074</v>
      </c>
      <c r="F27" s="33" t="s">
        <v>29</v>
      </c>
      <c r="G27" s="37">
        <v>0</v>
      </c>
      <c r="J27" s="138">
        <f>VLOOKUP(A27, TOCA_previous!$A$3:$D$137, 4, FALSE)</f>
        <v>0</v>
      </c>
      <c r="K27" s="138">
        <f>VLOOKUP(E27, TOCA_current!A24:D158, 4, FALSE)</f>
        <v>0</v>
      </c>
      <c r="L27" s="138"/>
      <c r="O27" s="172"/>
    </row>
    <row r="28" spans="1:15">
      <c r="A28" s="34">
        <v>10076</v>
      </c>
      <c r="B28" s="33" t="s">
        <v>30</v>
      </c>
      <c r="C28" s="37">
        <v>0</v>
      </c>
      <c r="E28" s="34">
        <v>10076</v>
      </c>
      <c r="F28" s="33" t="s">
        <v>30</v>
      </c>
      <c r="G28" s="37">
        <v>0</v>
      </c>
      <c r="J28" s="138">
        <f>VLOOKUP(A28, TOCA_previous!$A$3:$D$137, 4, FALSE)</f>
        <v>0</v>
      </c>
      <c r="K28" s="138">
        <f>VLOOKUP(E28, TOCA_current!A25:D159, 4, FALSE)</f>
        <v>0</v>
      </c>
      <c r="L28" s="138"/>
      <c r="O28" s="172"/>
    </row>
    <row r="29" spans="1:15">
      <c r="A29" s="34">
        <v>10078</v>
      </c>
      <c r="B29" s="33" t="s">
        <v>31</v>
      </c>
      <c r="C29" s="37">
        <v>0</v>
      </c>
      <c r="E29" s="34">
        <v>10078</v>
      </c>
      <c r="F29" s="33" t="s">
        <v>31</v>
      </c>
      <c r="G29" s="37">
        <v>0</v>
      </c>
      <c r="J29" s="138">
        <f>VLOOKUP(A29, TOCA_previous!$A$3:$D$137, 4, FALSE)</f>
        <v>0</v>
      </c>
      <c r="K29" s="138">
        <f>VLOOKUP(E29, TOCA_current!A26:D160, 4, FALSE)</f>
        <v>0</v>
      </c>
      <c r="L29" s="138"/>
      <c r="O29" s="172"/>
    </row>
    <row r="30" spans="1:15">
      <c r="A30" s="34">
        <v>10079</v>
      </c>
      <c r="B30" s="33" t="s">
        <v>32</v>
      </c>
      <c r="C30" s="37">
        <v>0</v>
      </c>
      <c r="E30" s="34">
        <v>10079</v>
      </c>
      <c r="F30" s="33" t="s">
        <v>32</v>
      </c>
      <c r="G30" s="37">
        <v>0</v>
      </c>
      <c r="J30" s="138">
        <f>VLOOKUP(A30, TOCA_previous!$A$3:$D$137, 4, FALSE)</f>
        <v>0</v>
      </c>
      <c r="K30" s="138">
        <f>VLOOKUP(E30, TOCA_current!A27:D161, 4, FALSE)</f>
        <v>0</v>
      </c>
      <c r="L30" s="138"/>
      <c r="O30" s="172"/>
    </row>
    <row r="31" spans="1:15">
      <c r="A31" s="34">
        <v>10080</v>
      </c>
      <c r="B31" s="33" t="s">
        <v>33</v>
      </c>
      <c r="C31" s="37">
        <v>0</v>
      </c>
      <c r="E31" s="34">
        <v>10080</v>
      </c>
      <c r="F31" s="33" t="s">
        <v>33</v>
      </c>
      <c r="G31" s="37">
        <v>0</v>
      </c>
      <c r="J31" s="138">
        <f>VLOOKUP(A31, TOCA_previous!$A$3:$D$137, 4, FALSE)</f>
        <v>0</v>
      </c>
      <c r="K31" s="138">
        <f>VLOOKUP(E31, TOCA_current!A28:D162, 4, FALSE)</f>
        <v>0</v>
      </c>
      <c r="L31" s="138"/>
      <c r="O31" s="172"/>
    </row>
    <row r="32" spans="1:15">
      <c r="A32" s="34">
        <v>10081</v>
      </c>
      <c r="B32" s="33" t="s">
        <v>34</v>
      </c>
      <c r="C32" s="37">
        <v>0</v>
      </c>
      <c r="E32" s="34">
        <v>10081</v>
      </c>
      <c r="F32" s="33" t="s">
        <v>34</v>
      </c>
      <c r="G32" s="37">
        <v>0</v>
      </c>
      <c r="J32" s="138">
        <f>VLOOKUP(A32, TOCA_previous!$A$3:$D$137, 4, FALSE)</f>
        <v>0</v>
      </c>
      <c r="K32" s="138">
        <f>VLOOKUP(E32, TOCA_current!A29:D163, 4, FALSE)</f>
        <v>0</v>
      </c>
      <c r="L32" s="138"/>
      <c r="O32" s="172"/>
    </row>
    <row r="33" spans="1:15">
      <c r="A33" s="34">
        <v>10082</v>
      </c>
      <c r="B33" s="33" t="s">
        <v>35</v>
      </c>
      <c r="C33" s="37">
        <v>0</v>
      </c>
      <c r="E33" s="34">
        <v>10082</v>
      </c>
      <c r="F33" s="33" t="s">
        <v>35</v>
      </c>
      <c r="G33" s="37">
        <v>0</v>
      </c>
      <c r="J33" s="138">
        <f>VLOOKUP(A33, TOCA_previous!$A$3:$D$137, 4, FALSE)</f>
        <v>0</v>
      </c>
      <c r="K33" s="138">
        <f>VLOOKUP(E33, TOCA_current!A30:D164, 4, FALSE)</f>
        <v>0</v>
      </c>
      <c r="L33" s="138"/>
      <c r="O33" s="172"/>
    </row>
    <row r="34" spans="1:15">
      <c r="A34" s="34">
        <v>10083</v>
      </c>
      <c r="B34" s="33" t="s">
        <v>36</v>
      </c>
      <c r="C34" s="37">
        <v>0</v>
      </c>
      <c r="E34" s="34">
        <v>10083</v>
      </c>
      <c r="F34" s="33" t="s">
        <v>36</v>
      </c>
      <c r="G34" s="37">
        <v>0</v>
      </c>
      <c r="J34" s="138">
        <f>VLOOKUP(A34, TOCA_previous!$A$3:$D$137, 4, FALSE)</f>
        <v>0</v>
      </c>
      <c r="K34" s="138">
        <f>VLOOKUP(E34, TOCA_current!A31:D165, 4, FALSE)</f>
        <v>0</v>
      </c>
      <c r="L34" s="138"/>
      <c r="O34" s="172"/>
    </row>
    <row r="35" spans="1:15">
      <c r="A35" s="34">
        <v>10086</v>
      </c>
      <c r="B35" s="33" t="s">
        <v>37</v>
      </c>
      <c r="C35" s="37">
        <v>0</v>
      </c>
      <c r="E35" s="34">
        <v>10086</v>
      </c>
      <c r="F35" s="33" t="s">
        <v>37</v>
      </c>
      <c r="G35" s="37">
        <v>0</v>
      </c>
      <c r="J35" s="138">
        <f>VLOOKUP(A35, TOCA_previous!$A$3:$D$137, 4, FALSE)</f>
        <v>0</v>
      </c>
      <c r="K35" s="138">
        <f>VLOOKUP(E35, TOCA_current!A32:D166, 4, FALSE)</f>
        <v>0</v>
      </c>
      <c r="L35" s="138"/>
      <c r="O35" s="172"/>
    </row>
    <row r="36" spans="1:15">
      <c r="A36" s="34">
        <v>10087</v>
      </c>
      <c r="B36" s="33" t="s">
        <v>38</v>
      </c>
      <c r="C36" s="37">
        <v>0</v>
      </c>
      <c r="E36" s="34">
        <v>10087</v>
      </c>
      <c r="F36" s="33" t="s">
        <v>38</v>
      </c>
      <c r="G36" s="37">
        <v>0</v>
      </c>
      <c r="J36" s="138">
        <f>VLOOKUP(A36, TOCA_previous!$A$3:$D$137, 4, FALSE)</f>
        <v>0</v>
      </c>
      <c r="K36" s="138">
        <f>VLOOKUP(E36, TOCA_current!A33:D167, 4, FALSE)</f>
        <v>0</v>
      </c>
      <c r="L36" s="138"/>
      <c r="O36" s="172"/>
    </row>
    <row r="37" spans="1:15">
      <c r="A37" s="34">
        <v>10089</v>
      </c>
      <c r="B37" s="33" t="s">
        <v>39</v>
      </c>
      <c r="C37" s="37">
        <v>0</v>
      </c>
      <c r="E37" s="34">
        <v>10089</v>
      </c>
      <c r="F37" s="33" t="s">
        <v>39</v>
      </c>
      <c r="G37" s="37">
        <v>0</v>
      </c>
      <c r="J37" s="138">
        <f>VLOOKUP(A37, TOCA_previous!$A$3:$D$137, 4, FALSE)</f>
        <v>0</v>
      </c>
      <c r="K37" s="138">
        <f>VLOOKUP(E37, TOCA_current!A34:D168, 4, FALSE)</f>
        <v>0</v>
      </c>
      <c r="L37" s="138"/>
      <c r="O37" s="172"/>
    </row>
    <row r="38" spans="1:15">
      <c r="A38" s="34">
        <v>10091</v>
      </c>
      <c r="B38" s="33" t="s">
        <v>40</v>
      </c>
      <c r="C38" s="37">
        <v>0</v>
      </c>
      <c r="E38" s="34">
        <v>10091</v>
      </c>
      <c r="F38" s="33" t="s">
        <v>40</v>
      </c>
      <c r="G38" s="37">
        <v>0</v>
      </c>
      <c r="J38" s="138">
        <f>VLOOKUP(A38, TOCA_previous!$A$3:$D$137, 4, FALSE)</f>
        <v>0</v>
      </c>
      <c r="K38" s="138">
        <f>VLOOKUP(E38, TOCA_current!A35:D169, 4, FALSE)</f>
        <v>0</v>
      </c>
      <c r="L38" s="138"/>
      <c r="O38" s="172"/>
    </row>
    <row r="39" spans="1:15">
      <c r="A39" s="34">
        <v>10094</v>
      </c>
      <c r="B39" s="33" t="s">
        <v>41</v>
      </c>
      <c r="C39" s="37">
        <v>0</v>
      </c>
      <c r="E39" s="34">
        <v>10094</v>
      </c>
      <c r="F39" s="33" t="s">
        <v>41</v>
      </c>
      <c r="G39" s="37">
        <v>0</v>
      </c>
      <c r="J39" s="138">
        <f>VLOOKUP(A39, TOCA_previous!$A$3:$D$137, 4, FALSE)</f>
        <v>0</v>
      </c>
      <c r="K39" s="138">
        <f>VLOOKUP(E39, TOCA_current!A36:D170, 4, FALSE)</f>
        <v>0</v>
      </c>
      <c r="L39" s="138"/>
      <c r="O39" s="172"/>
    </row>
    <row r="40" spans="1:15">
      <c r="A40" s="34">
        <v>10095</v>
      </c>
      <c r="B40" s="33" t="s">
        <v>42</v>
      </c>
      <c r="C40" s="37">
        <v>0</v>
      </c>
      <c r="E40" s="34">
        <v>10095</v>
      </c>
      <c r="F40" s="33" t="s">
        <v>42</v>
      </c>
      <c r="G40" s="37">
        <v>0</v>
      </c>
      <c r="J40" s="138">
        <f>VLOOKUP(A40, TOCA_previous!$A$3:$D$137, 4, FALSE)</f>
        <v>0</v>
      </c>
      <c r="K40" s="138">
        <f>VLOOKUP(E40, TOCA_current!A37:D171, 4, FALSE)</f>
        <v>0</v>
      </c>
      <c r="L40" s="138"/>
      <c r="O40" s="172"/>
    </row>
    <row r="41" spans="1:15">
      <c r="A41" s="34">
        <v>10097</v>
      </c>
      <c r="B41" s="33" t="s">
        <v>43</v>
      </c>
      <c r="C41" s="37">
        <v>0</v>
      </c>
      <c r="E41" s="34">
        <v>10097</v>
      </c>
      <c r="F41" s="33" t="s">
        <v>43</v>
      </c>
      <c r="G41" s="37">
        <v>0</v>
      </c>
      <c r="J41" s="138">
        <f>VLOOKUP(A41, TOCA_previous!$A$3:$D$137, 4, FALSE)</f>
        <v>0</v>
      </c>
      <c r="K41" s="138">
        <f>VLOOKUP(E41, TOCA_current!A38:D172, 4, FALSE)</f>
        <v>0</v>
      </c>
      <c r="L41" s="138"/>
      <c r="O41" s="172"/>
    </row>
    <row r="42" spans="1:15">
      <c r="A42" s="34">
        <v>10101</v>
      </c>
      <c r="B42" s="33" t="s">
        <v>44</v>
      </c>
      <c r="C42" s="37">
        <v>0</v>
      </c>
      <c r="E42" s="34">
        <v>10101</v>
      </c>
      <c r="F42" s="33" t="s">
        <v>44</v>
      </c>
      <c r="G42" s="37">
        <v>0</v>
      </c>
      <c r="J42" s="138">
        <f>VLOOKUP(A42, TOCA_previous!$A$3:$D$137, 4, FALSE)</f>
        <v>0</v>
      </c>
      <c r="K42" s="138">
        <f>VLOOKUP(E42, TOCA_current!A39:D173, 4, FALSE)</f>
        <v>0</v>
      </c>
      <c r="L42" s="138"/>
      <c r="O42" s="172"/>
    </row>
    <row r="43" spans="1:15">
      <c r="A43" s="34">
        <v>10103</v>
      </c>
      <c r="B43" s="33" t="s">
        <v>45</v>
      </c>
      <c r="C43" s="37">
        <v>0</v>
      </c>
      <c r="E43" s="34">
        <v>10103</v>
      </c>
      <c r="F43" s="33" t="s">
        <v>45</v>
      </c>
      <c r="G43" s="37">
        <v>0</v>
      </c>
      <c r="J43" s="138">
        <f>VLOOKUP(A43, TOCA_previous!$A$3:$D$137, 4, FALSE)</f>
        <v>0</v>
      </c>
      <c r="K43" s="138">
        <f>VLOOKUP(E43, TOCA_current!A40:D174, 4, FALSE)</f>
        <v>0</v>
      </c>
      <c r="L43" s="138"/>
      <c r="O43" s="172"/>
    </row>
    <row r="44" spans="1:15">
      <c r="A44" s="34">
        <v>10105</v>
      </c>
      <c r="B44" s="33" t="s">
        <v>46</v>
      </c>
      <c r="C44" s="37">
        <v>0</v>
      </c>
      <c r="E44" s="34">
        <v>10105</v>
      </c>
      <c r="F44" s="33" t="s">
        <v>46</v>
      </c>
      <c r="G44" s="37">
        <v>0</v>
      </c>
      <c r="J44" s="138">
        <f>VLOOKUP(A44, TOCA_previous!$A$3:$D$137, 4, FALSE)</f>
        <v>0</v>
      </c>
      <c r="K44" s="138">
        <f>VLOOKUP(E44, TOCA_current!A41:D175, 4, FALSE)</f>
        <v>0</v>
      </c>
      <c r="L44" s="138"/>
      <c r="O44" s="172"/>
    </row>
    <row r="45" spans="1:15">
      <c r="A45" s="34">
        <v>10106</v>
      </c>
      <c r="B45" s="33" t="s">
        <v>47</v>
      </c>
      <c r="C45" s="37">
        <v>0</v>
      </c>
      <c r="E45" s="34">
        <v>10106</v>
      </c>
      <c r="F45" s="33" t="s">
        <v>47</v>
      </c>
      <c r="G45" s="37">
        <v>0</v>
      </c>
      <c r="J45" s="138">
        <f>VLOOKUP(A45, TOCA_previous!$A$3:$D$137, 4, FALSE)</f>
        <v>1</v>
      </c>
      <c r="K45" s="138">
        <f>VLOOKUP(E45, TOCA_current!A42:D176, 4, FALSE)</f>
        <v>1</v>
      </c>
      <c r="L45" s="138"/>
      <c r="O45" s="172"/>
    </row>
    <row r="46" spans="1:15">
      <c r="A46" s="34">
        <v>10109</v>
      </c>
      <c r="B46" s="33" t="s">
        <v>48</v>
      </c>
      <c r="C46" s="37">
        <v>21100.335000000003</v>
      </c>
      <c r="E46" s="34">
        <v>10109</v>
      </c>
      <c r="F46" s="33" t="s">
        <v>48</v>
      </c>
      <c r="G46" s="37">
        <v>21100.335000000003</v>
      </c>
      <c r="J46" s="138">
        <f>VLOOKUP(A46, TOCA_previous!$A$3:$D$137, 4, FALSE)</f>
        <v>0</v>
      </c>
      <c r="K46" s="138">
        <f>VLOOKUP(E46, TOCA_current!A43:D177, 4, FALSE)</f>
        <v>0</v>
      </c>
      <c r="L46" s="138"/>
      <c r="O46" s="172"/>
    </row>
    <row r="47" spans="1:15">
      <c r="A47" s="34">
        <v>10111</v>
      </c>
      <c r="B47" s="33" t="s">
        <v>49</v>
      </c>
      <c r="C47" s="37">
        <v>5227.6489999999994</v>
      </c>
      <c r="E47" s="34">
        <v>10111</v>
      </c>
      <c r="F47" s="33" t="s">
        <v>49</v>
      </c>
      <c r="G47" s="37">
        <v>5227.6489999999994</v>
      </c>
      <c r="J47" s="138">
        <f>VLOOKUP(A47, TOCA_previous!$A$3:$D$137, 4, FALSE)</f>
        <v>0</v>
      </c>
      <c r="K47" s="138">
        <f>VLOOKUP(E47, TOCA_current!A44:D178, 4, FALSE)</f>
        <v>0</v>
      </c>
      <c r="L47" s="138"/>
      <c r="O47" s="172"/>
    </row>
    <row r="48" spans="1:15">
      <c r="A48" s="34">
        <v>10112</v>
      </c>
      <c r="B48" s="33" t="s">
        <v>50</v>
      </c>
      <c r="C48" s="37">
        <v>0</v>
      </c>
      <c r="E48" s="34">
        <v>10112</v>
      </c>
      <c r="F48" s="33" t="s">
        <v>50</v>
      </c>
      <c r="G48" s="37">
        <v>0</v>
      </c>
      <c r="J48" s="138">
        <f>VLOOKUP(A48, TOCA_previous!$A$3:$D$137, 4, FALSE)</f>
        <v>0</v>
      </c>
      <c r="K48" s="138">
        <f>VLOOKUP(E48, TOCA_current!A45:D179, 4, FALSE)</f>
        <v>0</v>
      </c>
      <c r="L48" s="138"/>
      <c r="O48" s="172"/>
    </row>
    <row r="49" spans="1:15">
      <c r="A49" s="34">
        <v>10113</v>
      </c>
      <c r="B49" s="33" t="s">
        <v>51</v>
      </c>
      <c r="C49" s="37">
        <v>134655.962</v>
      </c>
      <c r="E49" s="34">
        <v>10113</v>
      </c>
      <c r="F49" s="33" t="s">
        <v>51</v>
      </c>
      <c r="G49" s="37">
        <v>134655.962</v>
      </c>
      <c r="J49" s="138">
        <f>VLOOKUP(A49, TOCA_previous!$A$3:$D$137, 4, FALSE)</f>
        <v>0</v>
      </c>
      <c r="K49" s="138">
        <f>VLOOKUP(E49, TOCA_current!A46:D180, 4, FALSE)</f>
        <v>0</v>
      </c>
      <c r="L49" s="138"/>
      <c r="O49" s="172"/>
    </row>
    <row r="50" spans="1:15">
      <c r="A50" s="34">
        <v>10116</v>
      </c>
      <c r="B50" s="33" t="s">
        <v>52</v>
      </c>
      <c r="C50" s="37">
        <v>0</v>
      </c>
      <c r="E50" s="34">
        <v>10116</v>
      </c>
      <c r="F50" s="33" t="s">
        <v>52</v>
      </c>
      <c r="G50" s="37">
        <v>0</v>
      </c>
      <c r="J50" s="138">
        <f>VLOOKUP(A50, TOCA_previous!$A$3:$D$137, 4, FALSE)</f>
        <v>0</v>
      </c>
      <c r="K50" s="138">
        <f>VLOOKUP(E50, TOCA_current!A47:D181, 4, FALSE)</f>
        <v>0</v>
      </c>
      <c r="L50" s="138"/>
      <c r="O50" s="172"/>
    </row>
    <row r="51" spans="1:15">
      <c r="A51" s="34">
        <v>10118</v>
      </c>
      <c r="B51" s="33" t="s">
        <v>53</v>
      </c>
      <c r="C51" s="37">
        <v>0</v>
      </c>
      <c r="E51" s="34">
        <v>10118</v>
      </c>
      <c r="F51" s="33" t="s">
        <v>53</v>
      </c>
      <c r="G51" s="37">
        <v>0</v>
      </c>
      <c r="J51" s="138">
        <f>VLOOKUP(A51, TOCA_previous!$A$3:$D$137, 4, FALSE)</f>
        <v>1</v>
      </c>
      <c r="K51" s="138">
        <f>VLOOKUP(E51, TOCA_current!A48:D182, 4, FALSE)</f>
        <v>1</v>
      </c>
      <c r="L51" s="138"/>
      <c r="O51" s="172"/>
    </row>
    <row r="52" spans="1:15">
      <c r="A52" s="34">
        <v>10121</v>
      </c>
      <c r="B52" s="33" t="s">
        <v>54</v>
      </c>
      <c r="C52" s="37">
        <v>0</v>
      </c>
      <c r="E52" s="34">
        <v>10121</v>
      </c>
      <c r="F52" s="33" t="s">
        <v>54</v>
      </c>
      <c r="G52" s="37">
        <v>0</v>
      </c>
      <c r="J52" s="138">
        <f>VLOOKUP(A52, TOCA_previous!$A$3:$D$137, 4, FALSE)</f>
        <v>1</v>
      </c>
      <c r="K52" s="138">
        <f>VLOOKUP(E52, TOCA_current!A49:D183, 4, FALSE)</f>
        <v>1</v>
      </c>
      <c r="L52" s="138"/>
      <c r="O52" s="172"/>
    </row>
    <row r="53" spans="1:15">
      <c r="A53" s="34">
        <v>10123</v>
      </c>
      <c r="B53" s="33" t="s">
        <v>55</v>
      </c>
      <c r="C53" s="37">
        <v>0</v>
      </c>
      <c r="E53" s="34">
        <v>10123</v>
      </c>
      <c r="F53" s="33" t="s">
        <v>55</v>
      </c>
      <c r="G53" s="37">
        <v>0</v>
      </c>
      <c r="J53" s="138">
        <f>VLOOKUP(A53, TOCA_previous!$A$3:$D$137, 4, FALSE)</f>
        <v>0</v>
      </c>
      <c r="K53" s="138">
        <f>VLOOKUP(E53, TOCA_current!A50:D184, 4, FALSE)</f>
        <v>0</v>
      </c>
      <c r="L53" s="138"/>
      <c r="O53" s="172"/>
    </row>
    <row r="54" spans="1:15">
      <c r="A54" s="34">
        <v>10136</v>
      </c>
      <c r="B54" s="33" t="s">
        <v>56</v>
      </c>
      <c r="C54" s="37">
        <v>0</v>
      </c>
      <c r="E54" s="34">
        <v>10136</v>
      </c>
      <c r="F54" s="33" t="s">
        <v>56</v>
      </c>
      <c r="G54" s="37">
        <v>0</v>
      </c>
      <c r="J54" s="138">
        <f>VLOOKUP(A54, TOCA_previous!$A$3:$D$137, 4, FALSE)</f>
        <v>1</v>
      </c>
      <c r="K54" s="138">
        <f>VLOOKUP(E54, TOCA_current!A51:D185, 4, FALSE)</f>
        <v>1</v>
      </c>
      <c r="L54" s="138"/>
      <c r="O54" s="172"/>
    </row>
    <row r="55" spans="1:15">
      <c r="A55" s="34">
        <v>10142</v>
      </c>
      <c r="B55" s="33" t="s">
        <v>57</v>
      </c>
      <c r="C55" s="37">
        <v>5769.4840000000004</v>
      </c>
      <c r="E55" s="34">
        <v>10142</v>
      </c>
      <c r="F55" s="33" t="s">
        <v>57</v>
      </c>
      <c r="G55" s="37">
        <v>5769.4840000000004</v>
      </c>
      <c r="J55" s="138">
        <f>VLOOKUP(A55, TOCA_previous!$A$3:$D$137, 4, FALSE)</f>
        <v>0</v>
      </c>
      <c r="K55" s="138">
        <f>VLOOKUP(E55, TOCA_current!A52:D186, 4, FALSE)</f>
        <v>0</v>
      </c>
      <c r="L55" s="138"/>
      <c r="O55" s="172"/>
    </row>
    <row r="56" spans="1:15">
      <c r="A56" s="34">
        <v>10144</v>
      </c>
      <c r="B56" s="33" t="s">
        <v>58</v>
      </c>
      <c r="C56" s="37">
        <v>0</v>
      </c>
      <c r="E56" s="34">
        <v>10144</v>
      </c>
      <c r="F56" s="33" t="s">
        <v>58</v>
      </c>
      <c r="G56" s="37">
        <v>0</v>
      </c>
      <c r="J56" s="138">
        <f>VLOOKUP(A56, TOCA_previous!$A$3:$D$137, 4, FALSE)</f>
        <v>0</v>
      </c>
      <c r="K56" s="138">
        <f>VLOOKUP(E56, TOCA_current!A53:D187, 4, FALSE)</f>
        <v>0</v>
      </c>
      <c r="L56" s="138"/>
      <c r="O56" s="172"/>
    </row>
    <row r="57" spans="1:15">
      <c r="A57" s="34">
        <v>10156</v>
      </c>
      <c r="B57" s="33" t="s">
        <v>59</v>
      </c>
      <c r="C57" s="37">
        <v>0</v>
      </c>
      <c r="E57" s="34">
        <v>10156</v>
      </c>
      <c r="F57" s="33" t="s">
        <v>59</v>
      </c>
      <c r="G57" s="37">
        <v>0</v>
      </c>
      <c r="J57" s="138">
        <f>VLOOKUP(A57, TOCA_previous!$A$3:$D$137, 4, FALSE)</f>
        <v>0</v>
      </c>
      <c r="K57" s="138">
        <f>VLOOKUP(E57, TOCA_current!A54:D188, 4, FALSE)</f>
        <v>0</v>
      </c>
      <c r="L57" s="138"/>
      <c r="O57" s="172"/>
    </row>
    <row r="58" spans="1:15">
      <c r="A58" s="34">
        <v>10157</v>
      </c>
      <c r="B58" s="33" t="s">
        <v>60</v>
      </c>
      <c r="C58" s="37">
        <v>0</v>
      </c>
      <c r="E58" s="34">
        <v>10157</v>
      </c>
      <c r="F58" s="33" t="s">
        <v>60</v>
      </c>
      <c r="G58" s="37">
        <v>0</v>
      </c>
      <c r="J58" s="138">
        <f>VLOOKUP(A58, TOCA_previous!$A$3:$D$137, 4, FALSE)</f>
        <v>0</v>
      </c>
      <c r="K58" s="138">
        <f>VLOOKUP(E58, TOCA_current!A55:D189, 4, FALSE)</f>
        <v>0</v>
      </c>
      <c r="L58" s="138"/>
      <c r="O58" s="172"/>
    </row>
    <row r="59" spans="1:15">
      <c r="A59" s="34">
        <v>10158</v>
      </c>
      <c r="B59" s="33" t="s">
        <v>61</v>
      </c>
      <c r="C59" s="37">
        <v>0</v>
      </c>
      <c r="E59" s="34">
        <v>10158</v>
      </c>
      <c r="F59" s="33" t="s">
        <v>61</v>
      </c>
      <c r="G59" s="37">
        <v>0</v>
      </c>
      <c r="J59" s="138">
        <f>VLOOKUP(A59, TOCA_previous!$A$3:$D$137, 4, FALSE)</f>
        <v>0</v>
      </c>
      <c r="K59" s="138">
        <f>VLOOKUP(E59, TOCA_current!A56:D190, 4, FALSE)</f>
        <v>0</v>
      </c>
      <c r="L59" s="138"/>
      <c r="O59" s="172"/>
    </row>
    <row r="60" spans="1:15">
      <c r="A60" s="34">
        <v>10170</v>
      </c>
      <c r="B60" s="33" t="s">
        <v>62</v>
      </c>
      <c r="C60" s="37">
        <v>0</v>
      </c>
      <c r="E60" s="34">
        <v>10170</v>
      </c>
      <c r="F60" s="33" t="s">
        <v>62</v>
      </c>
      <c r="G60" s="37">
        <v>0</v>
      </c>
      <c r="J60" s="138">
        <f>VLOOKUP(A60, TOCA_previous!$A$3:$D$137, 4, FALSE)</f>
        <v>0</v>
      </c>
      <c r="K60" s="138">
        <f>VLOOKUP(E60, TOCA_current!A57:D191, 4, FALSE)</f>
        <v>0</v>
      </c>
      <c r="L60" s="138"/>
      <c r="O60" s="172"/>
    </row>
    <row r="61" spans="1:15">
      <c r="A61" s="34">
        <v>10172</v>
      </c>
      <c r="B61" s="33" t="s">
        <v>63</v>
      </c>
      <c r="C61" s="37">
        <v>0</v>
      </c>
      <c r="E61" s="34">
        <v>10172</v>
      </c>
      <c r="F61" s="33" t="s">
        <v>63</v>
      </c>
      <c r="G61" s="37">
        <v>0</v>
      </c>
      <c r="J61" s="138">
        <f>VLOOKUP(A61, TOCA_previous!$A$3:$D$137, 4, FALSE)</f>
        <v>0</v>
      </c>
      <c r="K61" s="138">
        <f>VLOOKUP(E61, TOCA_current!A58:D192, 4, FALSE)</f>
        <v>0</v>
      </c>
      <c r="L61" s="138"/>
      <c r="O61" s="172"/>
    </row>
    <row r="62" spans="1:15">
      <c r="A62" s="34">
        <v>10173</v>
      </c>
      <c r="B62" s="33" t="s">
        <v>64</v>
      </c>
      <c r="C62" s="37">
        <v>44309.995999999999</v>
      </c>
      <c r="E62" s="34">
        <v>10173</v>
      </c>
      <c r="F62" s="33" t="s">
        <v>64</v>
      </c>
      <c r="G62" s="37">
        <v>44309.995999999999</v>
      </c>
      <c r="J62" s="138">
        <f>VLOOKUP(A62, TOCA_previous!$A$3:$D$137, 4, FALSE)</f>
        <v>1</v>
      </c>
      <c r="K62" s="138">
        <f>VLOOKUP(E62, TOCA_current!A59:D193, 4, FALSE)</f>
        <v>1</v>
      </c>
      <c r="L62" s="138"/>
      <c r="O62" s="172"/>
    </row>
    <row r="63" spans="1:15">
      <c r="A63" s="34">
        <v>10174</v>
      </c>
      <c r="B63" s="33" t="s">
        <v>65</v>
      </c>
      <c r="C63" s="37">
        <v>0</v>
      </c>
      <c r="E63" s="34">
        <v>10174</v>
      </c>
      <c r="F63" s="33" t="s">
        <v>65</v>
      </c>
      <c r="G63" s="37">
        <v>0</v>
      </c>
      <c r="J63" s="138">
        <f>VLOOKUP(A63, TOCA_previous!$A$3:$D$137, 4, FALSE)</f>
        <v>0</v>
      </c>
      <c r="K63" s="138">
        <f>VLOOKUP(E63, TOCA_current!A60:D194, 4, FALSE)</f>
        <v>0</v>
      </c>
      <c r="L63" s="138"/>
      <c r="O63" s="172"/>
    </row>
    <row r="64" spans="1:15">
      <c r="A64" s="34">
        <v>10177</v>
      </c>
      <c r="B64" s="33" t="s">
        <v>66</v>
      </c>
      <c r="C64" s="37">
        <v>0</v>
      </c>
      <c r="E64" s="34">
        <v>10177</v>
      </c>
      <c r="F64" s="33" t="s">
        <v>66</v>
      </c>
      <c r="G64" s="37">
        <v>0</v>
      </c>
      <c r="J64" s="138">
        <f>VLOOKUP(A64, TOCA_previous!$A$3:$D$137, 4, FALSE)</f>
        <v>0</v>
      </c>
      <c r="K64" s="138">
        <f>VLOOKUP(E64, TOCA_current!A61:D195, 4, FALSE)</f>
        <v>0</v>
      </c>
      <c r="L64" s="138"/>
      <c r="O64" s="172"/>
    </row>
    <row r="65" spans="1:15">
      <c r="A65" s="34">
        <v>10179</v>
      </c>
      <c r="B65" s="33" t="s">
        <v>67</v>
      </c>
      <c r="C65" s="37">
        <v>0</v>
      </c>
      <c r="E65" s="34">
        <v>10179</v>
      </c>
      <c r="F65" s="33" t="s">
        <v>67</v>
      </c>
      <c r="G65" s="37">
        <v>0</v>
      </c>
      <c r="J65" s="138">
        <f>VLOOKUP(A65, TOCA_previous!$A$3:$D$137, 4, FALSE)</f>
        <v>0</v>
      </c>
      <c r="K65" s="138">
        <f>VLOOKUP(E65, TOCA_current!A62:D196, 4, FALSE)</f>
        <v>0</v>
      </c>
      <c r="L65" s="138"/>
      <c r="O65" s="172"/>
    </row>
    <row r="66" spans="1:15">
      <c r="A66" s="34">
        <v>10183</v>
      </c>
      <c r="B66" s="33" t="s">
        <v>68</v>
      </c>
      <c r="C66" s="37">
        <v>94407.247000000003</v>
      </c>
      <c r="E66" s="34">
        <v>10183</v>
      </c>
      <c r="F66" s="33" t="s">
        <v>68</v>
      </c>
      <c r="G66" s="37">
        <v>94407.247000000003</v>
      </c>
      <c r="J66" s="138">
        <f>VLOOKUP(A66, TOCA_previous!$A$3:$D$137, 4, FALSE)</f>
        <v>0</v>
      </c>
      <c r="K66" s="138">
        <f>VLOOKUP(E66, TOCA_current!A63:D197, 4, FALSE)</f>
        <v>0</v>
      </c>
      <c r="L66" s="138"/>
      <c r="O66" s="172"/>
    </row>
    <row r="67" spans="1:15">
      <c r="A67" s="34">
        <v>10186</v>
      </c>
      <c r="B67" s="33" t="s">
        <v>69</v>
      </c>
      <c r="C67" s="37">
        <v>0</v>
      </c>
      <c r="E67" s="34">
        <v>10186</v>
      </c>
      <c r="F67" s="33" t="s">
        <v>69</v>
      </c>
      <c r="G67" s="37">
        <v>0</v>
      </c>
      <c r="J67" s="138">
        <f>VLOOKUP(A67, TOCA_previous!$A$3:$D$137, 4, FALSE)</f>
        <v>0</v>
      </c>
      <c r="K67" s="138">
        <f>VLOOKUP(E67, TOCA_current!A64:D198, 4, FALSE)</f>
        <v>0</v>
      </c>
      <c r="L67" s="138"/>
      <c r="O67" s="172"/>
    </row>
    <row r="68" spans="1:15">
      <c r="A68" s="34">
        <v>10190</v>
      </c>
      <c r="B68" s="33" t="s">
        <v>70</v>
      </c>
      <c r="C68" s="37">
        <v>0</v>
      </c>
      <c r="E68" s="34">
        <v>10190</v>
      </c>
      <c r="F68" s="33" t="s">
        <v>70</v>
      </c>
      <c r="G68" s="37">
        <v>0</v>
      </c>
      <c r="J68" s="138">
        <f>VLOOKUP(A68, TOCA_previous!$A$3:$D$137, 4, FALSE)</f>
        <v>0</v>
      </c>
      <c r="K68" s="138">
        <f>VLOOKUP(E68, TOCA_current!A65:D199, 4, FALSE)</f>
        <v>0</v>
      </c>
      <c r="L68" s="138"/>
      <c r="O68" s="172"/>
    </row>
    <row r="69" spans="1:15">
      <c r="A69" s="34">
        <v>10191</v>
      </c>
      <c r="B69" s="33" t="s">
        <v>71</v>
      </c>
      <c r="C69" s="37">
        <v>0</v>
      </c>
      <c r="E69" s="34">
        <v>10191</v>
      </c>
      <c r="F69" s="33" t="s">
        <v>71</v>
      </c>
      <c r="G69" s="37">
        <v>0</v>
      </c>
      <c r="J69" s="138">
        <f>VLOOKUP(A69, TOCA_previous!$A$3:$D$137, 4, FALSE)</f>
        <v>0</v>
      </c>
      <c r="K69" s="138">
        <f>VLOOKUP(E69, TOCA_current!A66:D200, 4, FALSE)</f>
        <v>0</v>
      </c>
      <c r="L69" s="138"/>
      <c r="O69" s="172"/>
    </row>
    <row r="70" spans="1:15">
      <c r="A70" s="34">
        <v>10197</v>
      </c>
      <c r="B70" s="33" t="s">
        <v>72</v>
      </c>
      <c r="C70" s="37">
        <v>99899.204999999987</v>
      </c>
      <c r="E70" s="34">
        <v>10197</v>
      </c>
      <c r="F70" s="33" t="s">
        <v>72</v>
      </c>
      <c r="G70" s="37">
        <v>99899.204999999987</v>
      </c>
      <c r="J70" s="138">
        <f>VLOOKUP(A70, TOCA_previous!$A$3:$D$137, 4, FALSE)</f>
        <v>0</v>
      </c>
      <c r="K70" s="138">
        <f>VLOOKUP(E70, TOCA_current!A67:D201, 4, FALSE)</f>
        <v>0</v>
      </c>
      <c r="L70" s="138"/>
      <c r="O70" s="172"/>
    </row>
    <row r="71" spans="1:15">
      <c r="A71" s="34">
        <v>10202</v>
      </c>
      <c r="B71" s="33" t="s">
        <v>73</v>
      </c>
      <c r="C71" s="37">
        <v>0</v>
      </c>
      <c r="E71" s="34">
        <v>10202</v>
      </c>
      <c r="F71" s="33" t="s">
        <v>73</v>
      </c>
      <c r="G71" s="37">
        <v>0</v>
      </c>
      <c r="J71" s="138">
        <f>VLOOKUP(A71, TOCA_previous!$A$3:$D$137, 4, FALSE)</f>
        <v>0</v>
      </c>
      <c r="K71" s="138">
        <f>VLOOKUP(E71, TOCA_current!A68:D202, 4, FALSE)</f>
        <v>0</v>
      </c>
      <c r="L71" s="138"/>
      <c r="O71" s="172"/>
    </row>
    <row r="72" spans="1:15">
      <c r="A72" s="34">
        <v>10203</v>
      </c>
      <c r="B72" s="33" t="s">
        <v>74</v>
      </c>
      <c r="C72" s="37">
        <v>0</v>
      </c>
      <c r="E72" s="34">
        <v>10203</v>
      </c>
      <c r="F72" s="33" t="s">
        <v>74</v>
      </c>
      <c r="G72" s="37">
        <v>0</v>
      </c>
      <c r="J72" s="138">
        <f>VLOOKUP(A72, TOCA_previous!$A$3:$D$137, 4, FALSE)</f>
        <v>0</v>
      </c>
      <c r="K72" s="138">
        <f>VLOOKUP(E72, TOCA_current!A69:D203, 4, FALSE)</f>
        <v>0</v>
      </c>
      <c r="L72" s="138"/>
      <c r="O72" s="172"/>
    </row>
    <row r="73" spans="1:15">
      <c r="A73" s="34">
        <v>10204</v>
      </c>
      <c r="B73" s="33" t="s">
        <v>75</v>
      </c>
      <c r="C73" s="37">
        <v>0</v>
      </c>
      <c r="E73" s="34">
        <v>10204</v>
      </c>
      <c r="F73" s="33" t="s">
        <v>75</v>
      </c>
      <c r="G73" s="37">
        <v>0</v>
      </c>
      <c r="J73" s="138">
        <f>VLOOKUP(A73, TOCA_previous!$A$3:$D$137, 4, FALSE)</f>
        <v>0</v>
      </c>
      <c r="K73" s="138">
        <f>VLOOKUP(E73, TOCA_current!A70:D204, 4, FALSE)</f>
        <v>0</v>
      </c>
      <c r="L73" s="138"/>
      <c r="O73" s="172"/>
    </row>
    <row r="74" spans="1:15">
      <c r="A74" s="34">
        <v>10209</v>
      </c>
      <c r="B74" s="33" t="s">
        <v>76</v>
      </c>
      <c r="C74" s="37">
        <v>60112.701000000001</v>
      </c>
      <c r="E74" s="34">
        <v>10209</v>
      </c>
      <c r="F74" s="33" t="s">
        <v>76</v>
      </c>
      <c r="G74" s="37">
        <v>60112.701000000001</v>
      </c>
      <c r="J74" s="138">
        <f>VLOOKUP(A74, TOCA_previous!$A$3:$D$137, 4, FALSE)</f>
        <v>0</v>
      </c>
      <c r="K74" s="138">
        <f>VLOOKUP(E74, TOCA_current!A71:D205, 4, FALSE)</f>
        <v>0</v>
      </c>
      <c r="L74" s="138"/>
      <c r="O74" s="172"/>
    </row>
    <row r="75" spans="1:15">
      <c r="A75" s="34">
        <v>10230</v>
      </c>
      <c r="B75" s="33" t="s">
        <v>77</v>
      </c>
      <c r="C75" s="37">
        <v>0</v>
      </c>
      <c r="E75" s="34">
        <v>10230</v>
      </c>
      <c r="F75" s="33" t="s">
        <v>77</v>
      </c>
      <c r="G75" s="37">
        <v>0</v>
      </c>
      <c r="J75" s="138">
        <f>VLOOKUP(A75, TOCA_previous!$A$3:$D$137, 4, FALSE)</f>
        <v>0</v>
      </c>
      <c r="K75" s="138">
        <f>VLOOKUP(E75, TOCA_current!A72:D206, 4, FALSE)</f>
        <v>0</v>
      </c>
      <c r="L75" s="138"/>
      <c r="O75" s="172"/>
    </row>
    <row r="76" spans="1:15">
      <c r="A76" s="34">
        <v>10231</v>
      </c>
      <c r="B76" s="33" t="s">
        <v>78</v>
      </c>
      <c r="C76" s="37">
        <v>21632.728999999999</v>
      </c>
      <c r="E76" s="34">
        <v>10231</v>
      </c>
      <c r="F76" s="33" t="s">
        <v>78</v>
      </c>
      <c r="G76" s="37">
        <v>21632.728999999999</v>
      </c>
      <c r="J76" s="138">
        <f>VLOOKUP(A76, TOCA_previous!$A$3:$D$137, 4, FALSE)</f>
        <v>0</v>
      </c>
      <c r="K76" s="138">
        <f>VLOOKUP(E76, TOCA_current!A73:D207, 4, FALSE)</f>
        <v>0</v>
      </c>
      <c r="L76" s="138"/>
      <c r="O76" s="172"/>
    </row>
    <row r="77" spans="1:15">
      <c r="A77" s="34">
        <v>10234</v>
      </c>
      <c r="B77" s="33" t="s">
        <v>79</v>
      </c>
      <c r="C77" s="37">
        <v>0</v>
      </c>
      <c r="E77" s="34">
        <v>10234</v>
      </c>
      <c r="F77" s="33" t="s">
        <v>79</v>
      </c>
      <c r="G77" s="37">
        <v>0</v>
      </c>
      <c r="J77" s="138">
        <f>VLOOKUP(A77, TOCA_previous!$A$3:$D$137, 4, FALSE)</f>
        <v>0</v>
      </c>
      <c r="K77" s="138">
        <f>VLOOKUP(E77, TOCA_current!A74:D208, 4, FALSE)</f>
        <v>0</v>
      </c>
      <c r="L77" s="138"/>
      <c r="O77" s="172"/>
    </row>
    <row r="78" spans="1:15">
      <c r="A78" s="34">
        <v>10235</v>
      </c>
      <c r="B78" s="33" t="s">
        <v>80</v>
      </c>
      <c r="C78" s="37">
        <v>0</v>
      </c>
      <c r="E78" s="34">
        <v>10235</v>
      </c>
      <c r="F78" s="33" t="s">
        <v>80</v>
      </c>
      <c r="G78" s="37">
        <v>0</v>
      </c>
      <c r="J78" s="138">
        <f>VLOOKUP(A78, TOCA_previous!$A$3:$D$137, 4, FALSE)</f>
        <v>0</v>
      </c>
      <c r="K78" s="138">
        <f>VLOOKUP(E78, TOCA_current!A75:D209, 4, FALSE)</f>
        <v>0</v>
      </c>
      <c r="L78" s="138"/>
      <c r="O78" s="172"/>
    </row>
    <row r="79" spans="1:15">
      <c r="A79" s="34">
        <v>10236</v>
      </c>
      <c r="B79" s="33" t="s">
        <v>81</v>
      </c>
      <c r="C79" s="37">
        <v>0</v>
      </c>
      <c r="E79" s="34">
        <v>10236</v>
      </c>
      <c r="F79" s="33" t="s">
        <v>81</v>
      </c>
      <c r="G79" s="37">
        <v>0</v>
      </c>
      <c r="J79" s="138">
        <f>VLOOKUP(A79, TOCA_previous!$A$3:$D$137, 4, FALSE)</f>
        <v>1</v>
      </c>
      <c r="K79" s="138">
        <f>VLOOKUP(E79, TOCA_current!A76:D210, 4, FALSE)</f>
        <v>1</v>
      </c>
      <c r="L79" s="138"/>
      <c r="O79" s="172"/>
    </row>
    <row r="80" spans="1:15">
      <c r="A80" s="34">
        <v>10237</v>
      </c>
      <c r="B80" s="33" t="s">
        <v>82</v>
      </c>
      <c r="C80" s="37">
        <v>0</v>
      </c>
      <c r="E80" s="34">
        <v>10237</v>
      </c>
      <c r="F80" s="33" t="s">
        <v>82</v>
      </c>
      <c r="G80" s="37">
        <v>0</v>
      </c>
      <c r="J80" s="138">
        <f>VLOOKUP(A80, TOCA_previous!$A$3:$D$137, 4, FALSE)</f>
        <v>0</v>
      </c>
      <c r="K80" s="138">
        <f>VLOOKUP(E80, TOCA_current!A77:D211, 4, FALSE)</f>
        <v>0</v>
      </c>
      <c r="L80" s="138"/>
      <c r="O80" s="172"/>
    </row>
    <row r="81" spans="1:15">
      <c r="A81" s="34">
        <v>10239</v>
      </c>
      <c r="B81" s="33" t="s">
        <v>83</v>
      </c>
      <c r="C81" s="37">
        <v>0</v>
      </c>
      <c r="E81" s="34">
        <v>10239</v>
      </c>
      <c r="F81" s="33" t="s">
        <v>83</v>
      </c>
      <c r="G81" s="37">
        <v>0</v>
      </c>
      <c r="J81" s="138">
        <f>VLOOKUP(A81, TOCA_previous!$A$3:$D$137, 4, FALSE)</f>
        <v>1</v>
      </c>
      <c r="K81" s="138">
        <f>VLOOKUP(E81, TOCA_current!A78:D212, 4, FALSE)</f>
        <v>1</v>
      </c>
      <c r="L81" s="138"/>
      <c r="O81" s="172"/>
    </row>
    <row r="82" spans="1:15">
      <c r="A82" s="34">
        <v>10242</v>
      </c>
      <c r="B82" s="33" t="s">
        <v>84</v>
      </c>
      <c r="C82" s="37">
        <v>37558.894</v>
      </c>
      <c r="E82" s="34">
        <v>10242</v>
      </c>
      <c r="F82" s="33" t="s">
        <v>84</v>
      </c>
      <c r="G82" s="37">
        <v>37558.894</v>
      </c>
      <c r="J82" s="138">
        <f>VLOOKUP(A82, TOCA_previous!$A$3:$D$137, 4, FALSE)</f>
        <v>0</v>
      </c>
      <c r="K82" s="138">
        <f>VLOOKUP(E82, TOCA_current!A79:D213, 4, FALSE)</f>
        <v>0</v>
      </c>
      <c r="L82" s="138"/>
      <c r="O82" s="172"/>
    </row>
    <row r="83" spans="1:15">
      <c r="A83" s="34">
        <v>10244</v>
      </c>
      <c r="B83" s="33" t="s">
        <v>85</v>
      </c>
      <c r="C83" s="37">
        <v>0</v>
      </c>
      <c r="E83" s="34">
        <v>10244</v>
      </c>
      <c r="F83" s="33" t="s">
        <v>85</v>
      </c>
      <c r="G83" s="37">
        <v>0</v>
      </c>
      <c r="J83" s="138">
        <f>VLOOKUP(A83, TOCA_previous!$A$3:$D$137, 4, FALSE)</f>
        <v>0</v>
      </c>
      <c r="K83" s="138">
        <f>VLOOKUP(E83, TOCA_current!A80:D214, 4, FALSE)</f>
        <v>0</v>
      </c>
      <c r="L83" s="138"/>
      <c r="O83" s="172"/>
    </row>
    <row r="84" spans="1:15">
      <c r="A84" s="34">
        <v>10246</v>
      </c>
      <c r="B84" s="33" t="s">
        <v>86</v>
      </c>
      <c r="C84" s="37">
        <v>0</v>
      </c>
      <c r="E84" s="34">
        <v>10246</v>
      </c>
      <c r="F84" s="33" t="s">
        <v>86</v>
      </c>
      <c r="G84" s="37">
        <v>0</v>
      </c>
      <c r="J84" s="138">
        <f>VLOOKUP(A84, TOCA_previous!$A$3:$D$137, 4, FALSE)</f>
        <v>0</v>
      </c>
      <c r="K84" s="138">
        <f>VLOOKUP(E84, TOCA_current!A81:D215, 4, FALSE)</f>
        <v>0</v>
      </c>
      <c r="L84" s="138"/>
      <c r="O84" s="172"/>
    </row>
    <row r="85" spans="1:15">
      <c r="A85" s="34">
        <v>10247</v>
      </c>
      <c r="B85" s="33" t="s">
        <v>87</v>
      </c>
      <c r="C85" s="37">
        <v>0</v>
      </c>
      <c r="E85" s="34">
        <v>10247</v>
      </c>
      <c r="F85" s="33" t="s">
        <v>87</v>
      </c>
      <c r="G85" s="37">
        <v>0</v>
      </c>
      <c r="J85" s="138">
        <f>VLOOKUP(A85, TOCA_previous!$A$3:$D$137, 4, FALSE)</f>
        <v>0</v>
      </c>
      <c r="K85" s="138">
        <f>VLOOKUP(E85, TOCA_current!A82:D216, 4, FALSE)</f>
        <v>0</v>
      </c>
      <c r="L85" s="138"/>
      <c r="O85" s="172"/>
    </row>
    <row r="86" spans="1:15">
      <c r="A86" s="34">
        <v>10256</v>
      </c>
      <c r="B86" s="33" t="s">
        <v>88</v>
      </c>
      <c r="C86" s="37">
        <v>41489.314000000006</v>
      </c>
      <c r="E86" s="34">
        <v>10256</v>
      </c>
      <c r="F86" s="33" t="s">
        <v>88</v>
      </c>
      <c r="G86" s="37">
        <v>41489.314000000006</v>
      </c>
      <c r="J86" s="138">
        <f>VLOOKUP(A86, TOCA_previous!$A$3:$D$137, 4, FALSE)</f>
        <v>0</v>
      </c>
      <c r="K86" s="138">
        <f>VLOOKUP(E86, TOCA_current!A83:D217, 4, FALSE)</f>
        <v>0</v>
      </c>
      <c r="L86" s="138"/>
      <c r="O86" s="172"/>
    </row>
    <row r="87" spans="1:15">
      <c r="A87" s="34">
        <v>10258</v>
      </c>
      <c r="B87" s="33" t="s">
        <v>89</v>
      </c>
      <c r="C87" s="37">
        <v>18387.022000000001</v>
      </c>
      <c r="E87" s="34">
        <v>10258</v>
      </c>
      <c r="F87" s="33" t="s">
        <v>89</v>
      </c>
      <c r="G87" s="37">
        <v>18387.022000000001</v>
      </c>
      <c r="J87" s="138">
        <f>VLOOKUP(A87, TOCA_previous!$A$3:$D$137, 4, FALSE)</f>
        <v>0</v>
      </c>
      <c r="K87" s="138">
        <f>VLOOKUP(E87, TOCA_current!A84:D218, 4, FALSE)</f>
        <v>0</v>
      </c>
      <c r="L87" s="138"/>
      <c r="O87" s="172"/>
    </row>
    <row r="88" spans="1:15">
      <c r="A88" s="34">
        <v>10259</v>
      </c>
      <c r="B88" s="33" t="s">
        <v>90</v>
      </c>
      <c r="C88" s="37">
        <v>0</v>
      </c>
      <c r="E88" s="34">
        <v>10259</v>
      </c>
      <c r="F88" s="33" t="s">
        <v>90</v>
      </c>
      <c r="G88" s="37">
        <v>0</v>
      </c>
      <c r="J88" s="138">
        <f>VLOOKUP(A88, TOCA_previous!$A$3:$D$137, 4, FALSE)</f>
        <v>0</v>
      </c>
      <c r="K88" s="138">
        <f>VLOOKUP(E88, TOCA_current!A85:D219, 4, FALSE)</f>
        <v>0</v>
      </c>
      <c r="L88" s="138"/>
      <c r="O88" s="172"/>
    </row>
    <row r="89" spans="1:15">
      <c r="A89" s="34">
        <v>10260</v>
      </c>
      <c r="B89" s="33" t="s">
        <v>91</v>
      </c>
      <c r="C89" s="37">
        <v>0</v>
      </c>
      <c r="E89" s="34">
        <v>10260</v>
      </c>
      <c r="F89" s="33" t="s">
        <v>91</v>
      </c>
      <c r="G89" s="37">
        <v>0</v>
      </c>
      <c r="J89" s="138">
        <f>VLOOKUP(A89, TOCA_previous!$A$3:$D$137, 4, FALSE)</f>
        <v>0</v>
      </c>
      <c r="K89" s="138">
        <f>VLOOKUP(E89, TOCA_current!A86:D220, 4, FALSE)</f>
        <v>0</v>
      </c>
      <c r="L89" s="138"/>
      <c r="O89" s="172"/>
    </row>
    <row r="90" spans="1:15">
      <c r="A90" s="34">
        <v>10273</v>
      </c>
      <c r="B90" s="33" t="s">
        <v>92</v>
      </c>
      <c r="C90" s="37">
        <v>9522.0249999999996</v>
      </c>
      <c r="E90" s="34">
        <v>10273</v>
      </c>
      <c r="F90" s="33" t="s">
        <v>92</v>
      </c>
      <c r="G90" s="37">
        <v>9522.0249999999996</v>
      </c>
      <c r="J90" s="138">
        <f>VLOOKUP(A90, TOCA_previous!$A$3:$D$137, 4, FALSE)</f>
        <v>0</v>
      </c>
      <c r="K90" s="138">
        <f>VLOOKUP(E90, TOCA_current!A87:D221, 4, FALSE)</f>
        <v>0</v>
      </c>
      <c r="L90" s="138"/>
      <c r="O90" s="172"/>
    </row>
    <row r="91" spans="1:15">
      <c r="A91" s="34">
        <v>10278</v>
      </c>
      <c r="B91" s="33" t="s">
        <v>93</v>
      </c>
      <c r="C91" s="37">
        <v>0</v>
      </c>
      <c r="E91" s="34">
        <v>10278</v>
      </c>
      <c r="F91" s="33" t="s">
        <v>93</v>
      </c>
      <c r="G91" s="37">
        <v>0</v>
      </c>
      <c r="J91" s="138">
        <f>VLOOKUP(A91, TOCA_previous!$A$3:$D$137, 4, FALSE)</f>
        <v>1</v>
      </c>
      <c r="K91" s="138">
        <f>VLOOKUP(E91, TOCA_current!A88:D222, 4, FALSE)</f>
        <v>1</v>
      </c>
      <c r="L91" s="138"/>
      <c r="O91" s="172"/>
    </row>
    <row r="92" spans="1:15">
      <c r="A92" s="34">
        <v>10279</v>
      </c>
      <c r="B92" s="33" t="s">
        <v>94</v>
      </c>
      <c r="C92" s="37">
        <v>0</v>
      </c>
      <c r="E92" s="34">
        <v>10279</v>
      </c>
      <c r="F92" s="33" t="s">
        <v>94</v>
      </c>
      <c r="G92" s="37">
        <v>0</v>
      </c>
      <c r="J92" s="138">
        <f>VLOOKUP(A92, TOCA_previous!$A$3:$D$137, 4, FALSE)</f>
        <v>0</v>
      </c>
      <c r="K92" s="138">
        <f>VLOOKUP(E92, TOCA_current!A89:D223, 4, FALSE)</f>
        <v>0</v>
      </c>
      <c r="L92" s="138"/>
      <c r="O92" s="172"/>
    </row>
    <row r="93" spans="1:15">
      <c r="A93" s="34">
        <v>10284</v>
      </c>
      <c r="B93" s="33" t="s">
        <v>95</v>
      </c>
      <c r="C93" s="37">
        <v>0</v>
      </c>
      <c r="E93" s="34">
        <v>10284</v>
      </c>
      <c r="F93" s="33" t="s">
        <v>95</v>
      </c>
      <c r="G93" s="37">
        <v>0</v>
      </c>
      <c r="J93" s="138">
        <f>VLOOKUP(A93, TOCA_previous!$A$3:$D$137, 4, FALSE)</f>
        <v>0</v>
      </c>
      <c r="K93" s="138">
        <f>VLOOKUP(E93, TOCA_current!A90:D224, 4, FALSE)</f>
        <v>0</v>
      </c>
      <c r="L93" s="138"/>
      <c r="O93" s="172"/>
    </row>
    <row r="94" spans="1:15">
      <c r="A94" s="34">
        <v>10285</v>
      </c>
      <c r="B94" s="33" t="s">
        <v>96</v>
      </c>
      <c r="C94" s="37">
        <v>0</v>
      </c>
      <c r="E94" s="34">
        <v>10285</v>
      </c>
      <c r="F94" s="33" t="s">
        <v>96</v>
      </c>
      <c r="G94" s="37">
        <v>0</v>
      </c>
      <c r="J94" s="138">
        <f>VLOOKUP(A94, TOCA_previous!$A$3:$D$137, 4, FALSE)</f>
        <v>1</v>
      </c>
      <c r="K94" s="138">
        <f>VLOOKUP(E94, TOCA_current!A91:D225, 4, FALSE)</f>
        <v>1</v>
      </c>
      <c r="L94" s="138"/>
      <c r="O94" s="172"/>
    </row>
    <row r="95" spans="1:15">
      <c r="A95" s="34">
        <v>10286</v>
      </c>
      <c r="B95" s="33" t="s">
        <v>97</v>
      </c>
      <c r="C95" s="37">
        <v>55408.151000000005</v>
      </c>
      <c r="E95" s="34">
        <v>10286</v>
      </c>
      <c r="F95" s="33" t="s">
        <v>97</v>
      </c>
      <c r="G95" s="37">
        <v>55408.151000000005</v>
      </c>
      <c r="J95" s="138">
        <f>VLOOKUP(A95, TOCA_previous!$A$3:$D$137, 4, FALSE)</f>
        <v>0</v>
      </c>
      <c r="K95" s="138">
        <f>VLOOKUP(E95, TOCA_current!A92:D226, 4, FALSE)</f>
        <v>0</v>
      </c>
      <c r="L95" s="138"/>
      <c r="O95" s="172"/>
    </row>
    <row r="96" spans="1:15">
      <c r="A96" s="34">
        <v>10288</v>
      </c>
      <c r="B96" s="33" t="s">
        <v>98</v>
      </c>
      <c r="C96" s="37">
        <v>0</v>
      </c>
      <c r="E96" s="34">
        <v>10288</v>
      </c>
      <c r="F96" s="33" t="s">
        <v>98</v>
      </c>
      <c r="G96" s="37">
        <v>0</v>
      </c>
      <c r="J96" s="138">
        <f>VLOOKUP(A96, TOCA_previous!$A$3:$D$137, 4, FALSE)</f>
        <v>1</v>
      </c>
      <c r="K96" s="138">
        <f>VLOOKUP(E96, TOCA_current!A93:D227, 4, FALSE)</f>
        <v>1</v>
      </c>
      <c r="L96" s="138"/>
      <c r="O96" s="172"/>
    </row>
    <row r="97" spans="1:15">
      <c r="A97" s="34">
        <v>10291</v>
      </c>
      <c r="B97" s="33" t="s">
        <v>99</v>
      </c>
      <c r="C97" s="37">
        <v>36260.600999999995</v>
      </c>
      <c r="E97" s="34">
        <v>10291</v>
      </c>
      <c r="F97" s="33" t="s">
        <v>99</v>
      </c>
      <c r="G97" s="37">
        <v>36260.600999999995</v>
      </c>
      <c r="J97" s="138">
        <f>VLOOKUP(A97, TOCA_previous!$A$3:$D$137, 4, FALSE)</f>
        <v>0</v>
      </c>
      <c r="K97" s="138">
        <f>VLOOKUP(E97, TOCA_current!A94:D228, 4, FALSE)</f>
        <v>0</v>
      </c>
      <c r="L97" s="138"/>
      <c r="O97" s="172"/>
    </row>
    <row r="98" spans="1:15">
      <c r="A98" s="34">
        <v>10294</v>
      </c>
      <c r="B98" s="33" t="s">
        <v>100</v>
      </c>
      <c r="C98" s="37">
        <v>0</v>
      </c>
      <c r="E98" s="34">
        <v>10294</v>
      </c>
      <c r="F98" s="33" t="s">
        <v>100</v>
      </c>
      <c r="G98" s="37">
        <v>0</v>
      </c>
      <c r="J98" s="138">
        <f>VLOOKUP(A98, TOCA_previous!$A$3:$D$137, 4, FALSE)</f>
        <v>0</v>
      </c>
      <c r="K98" s="138">
        <f>VLOOKUP(E98, TOCA_current!A95:D229, 4, FALSE)</f>
        <v>0</v>
      </c>
      <c r="L98" s="138"/>
      <c r="O98" s="172"/>
    </row>
    <row r="99" spans="1:15">
      <c r="A99" s="34">
        <v>10304</v>
      </c>
      <c r="B99" s="33" t="s">
        <v>101</v>
      </c>
      <c r="C99" s="37">
        <v>0</v>
      </c>
      <c r="E99" s="34">
        <v>10304</v>
      </c>
      <c r="F99" s="33" t="s">
        <v>101</v>
      </c>
      <c r="G99" s="37">
        <v>0</v>
      </c>
      <c r="J99" s="138">
        <f>VLOOKUP(A99, TOCA_previous!$A$3:$D$137, 4, FALSE)</f>
        <v>0</v>
      </c>
      <c r="K99" s="138">
        <f>VLOOKUP(E99, TOCA_current!A96:D230, 4, FALSE)</f>
        <v>0</v>
      </c>
      <c r="L99" s="138"/>
      <c r="O99" s="172"/>
    </row>
    <row r="100" spans="1:15">
      <c r="A100" s="34">
        <v>10306</v>
      </c>
      <c r="B100" s="33" t="s">
        <v>102</v>
      </c>
      <c r="C100" s="37">
        <v>0</v>
      </c>
      <c r="E100" s="34">
        <v>10306</v>
      </c>
      <c r="F100" s="33" t="s">
        <v>102</v>
      </c>
      <c r="G100" s="37">
        <v>0</v>
      </c>
      <c r="J100" s="138">
        <f>VLOOKUP(A100, TOCA_previous!$A$3:$D$137, 4, FALSE)</f>
        <v>0</v>
      </c>
      <c r="K100" s="138">
        <f>VLOOKUP(E100, TOCA_current!A97:D231, 4, FALSE)</f>
        <v>0</v>
      </c>
      <c r="L100" s="138"/>
      <c r="O100" s="172"/>
    </row>
    <row r="101" spans="1:15">
      <c r="A101" s="34">
        <v>10307</v>
      </c>
      <c r="B101" s="33" t="s">
        <v>103</v>
      </c>
      <c r="C101" s="37">
        <v>0</v>
      </c>
      <c r="E101" s="34">
        <v>10307</v>
      </c>
      <c r="F101" s="33" t="s">
        <v>103</v>
      </c>
      <c r="G101" s="37">
        <v>0</v>
      </c>
      <c r="J101" s="138">
        <f>VLOOKUP(A101, TOCA_previous!$A$3:$D$137, 4, FALSE)</f>
        <v>0</v>
      </c>
      <c r="K101" s="138">
        <f>VLOOKUP(E101, TOCA_current!A98:D232, 4, FALSE)</f>
        <v>0</v>
      </c>
      <c r="L101" s="138"/>
      <c r="O101" s="172"/>
    </row>
    <row r="102" spans="1:15">
      <c r="A102" s="34">
        <v>10326</v>
      </c>
      <c r="B102" s="33" t="s">
        <v>104</v>
      </c>
      <c r="C102" s="37">
        <v>0</v>
      </c>
      <c r="E102" s="34">
        <v>10326</v>
      </c>
      <c r="F102" s="33" t="s">
        <v>104</v>
      </c>
      <c r="G102" s="37">
        <v>0</v>
      </c>
      <c r="J102" s="138">
        <f>VLOOKUP(A102, TOCA_previous!$A$3:$D$137, 4, FALSE)</f>
        <v>0</v>
      </c>
      <c r="K102" s="138">
        <f>VLOOKUP(E102, TOCA_current!A99:D233, 4, FALSE)</f>
        <v>0</v>
      </c>
      <c r="L102" s="138"/>
      <c r="O102" s="172"/>
    </row>
    <row r="103" spans="1:15">
      <c r="A103" s="34">
        <v>10331</v>
      </c>
      <c r="B103" s="33" t="s">
        <v>105</v>
      </c>
      <c r="C103" s="37">
        <v>133086.85800000001</v>
      </c>
      <c r="E103" s="34">
        <v>10331</v>
      </c>
      <c r="F103" s="33" t="s">
        <v>105</v>
      </c>
      <c r="G103" s="37">
        <v>133086.85800000001</v>
      </c>
      <c r="J103" s="138">
        <f>VLOOKUP(A103, TOCA_previous!$A$3:$D$137, 4, FALSE)</f>
        <v>1</v>
      </c>
      <c r="K103" s="138">
        <f>VLOOKUP(E103, TOCA_current!A100:D234, 4, FALSE)</f>
        <v>1</v>
      </c>
      <c r="L103" s="138"/>
      <c r="O103" s="172"/>
    </row>
    <row r="104" spans="1:15">
      <c r="A104" s="34">
        <v>10333</v>
      </c>
      <c r="B104" s="33" t="s">
        <v>106</v>
      </c>
      <c r="C104" s="37">
        <v>0</v>
      </c>
      <c r="E104" s="34">
        <v>10333</v>
      </c>
      <c r="F104" s="33" t="s">
        <v>106</v>
      </c>
      <c r="G104" s="37">
        <v>0</v>
      </c>
      <c r="J104" s="138">
        <f>VLOOKUP(A104, TOCA_previous!$A$3:$D$137, 4, FALSE)</f>
        <v>0</v>
      </c>
      <c r="K104" s="138">
        <f>VLOOKUP(E104, TOCA_current!A101:D235, 4, FALSE)</f>
        <v>0</v>
      </c>
      <c r="L104" s="138"/>
      <c r="O104" s="172"/>
    </row>
    <row r="105" spans="1:15">
      <c r="A105" s="34">
        <v>10338</v>
      </c>
      <c r="B105" s="33" t="s">
        <v>107</v>
      </c>
      <c r="C105" s="37">
        <v>4155.21</v>
      </c>
      <c r="E105" s="34">
        <v>10338</v>
      </c>
      <c r="F105" s="33" t="s">
        <v>107</v>
      </c>
      <c r="G105" s="37">
        <v>4155.21</v>
      </c>
      <c r="J105" s="138">
        <f>VLOOKUP(A105, TOCA_previous!$A$3:$D$137, 4, FALSE)</f>
        <v>0</v>
      </c>
      <c r="K105" s="138">
        <f>VLOOKUP(E105, TOCA_current!A102:D236, 4, FALSE)</f>
        <v>0</v>
      </c>
      <c r="L105" s="138"/>
      <c r="O105" s="172"/>
    </row>
    <row r="106" spans="1:15">
      <c r="A106" s="34">
        <v>10342</v>
      </c>
      <c r="B106" s="33" t="s">
        <v>108</v>
      </c>
      <c r="C106" s="37">
        <v>0</v>
      </c>
      <c r="E106" s="34">
        <v>10342</v>
      </c>
      <c r="F106" s="33" t="s">
        <v>108</v>
      </c>
      <c r="G106" s="37">
        <v>0</v>
      </c>
      <c r="J106" s="138">
        <f>VLOOKUP(A106, TOCA_previous!$A$3:$D$137, 4, FALSE)</f>
        <v>0</v>
      </c>
      <c r="K106" s="138">
        <f>VLOOKUP(E106, TOCA_current!A103:D237, 4, FALSE)</f>
        <v>0</v>
      </c>
      <c r="L106" s="138"/>
      <c r="O106" s="172"/>
    </row>
    <row r="107" spans="1:15">
      <c r="A107" s="34">
        <v>10343</v>
      </c>
      <c r="B107" s="33" t="s">
        <v>109</v>
      </c>
      <c r="C107" s="37">
        <v>10505.661</v>
      </c>
      <c r="E107" s="34">
        <v>10343</v>
      </c>
      <c r="F107" s="33" t="s">
        <v>109</v>
      </c>
      <c r="G107" s="37">
        <v>10505.661</v>
      </c>
      <c r="J107" s="138">
        <f>VLOOKUP(A107, TOCA_previous!$A$3:$D$137, 4, FALSE)</f>
        <v>0</v>
      </c>
      <c r="K107" s="138">
        <f>VLOOKUP(E107, TOCA_current!A104:D238, 4, FALSE)</f>
        <v>0</v>
      </c>
      <c r="L107" s="138"/>
      <c r="O107" s="172"/>
    </row>
    <row r="108" spans="1:15">
      <c r="A108" s="34">
        <v>10349</v>
      </c>
      <c r="B108" s="33" t="s">
        <v>110</v>
      </c>
      <c r="C108" s="37">
        <v>0</v>
      </c>
      <c r="E108" s="34">
        <v>10349</v>
      </c>
      <c r="F108" s="33" t="s">
        <v>110</v>
      </c>
      <c r="G108" s="37">
        <v>0</v>
      </c>
      <c r="J108" s="138">
        <f>VLOOKUP(A108, TOCA_previous!$A$3:$D$137, 4, FALSE)</f>
        <v>0</v>
      </c>
      <c r="K108" s="138">
        <f>VLOOKUP(E108, TOCA_current!A105:D239, 4, FALSE)</f>
        <v>0</v>
      </c>
      <c r="L108" s="138"/>
      <c r="O108" s="172"/>
    </row>
    <row r="109" spans="1:15">
      <c r="A109" s="34">
        <v>10352</v>
      </c>
      <c r="B109" s="33" t="s">
        <v>111</v>
      </c>
      <c r="C109" s="37">
        <v>0</v>
      </c>
      <c r="E109" s="34">
        <v>10352</v>
      </c>
      <c r="F109" s="33" t="s">
        <v>111</v>
      </c>
      <c r="G109" s="37">
        <v>0</v>
      </c>
      <c r="J109" s="138">
        <f>VLOOKUP(A109, TOCA_previous!$A$3:$D$137, 4, FALSE)</f>
        <v>0</v>
      </c>
      <c r="K109" s="138">
        <f>VLOOKUP(E109, TOCA_current!A106:D240, 4, FALSE)</f>
        <v>0</v>
      </c>
      <c r="L109" s="138"/>
      <c r="O109" s="172"/>
    </row>
    <row r="110" spans="1:15">
      <c r="A110" s="34">
        <v>10354</v>
      </c>
      <c r="B110" s="33" t="s">
        <v>112</v>
      </c>
      <c r="C110" s="37">
        <v>0</v>
      </c>
      <c r="E110" s="34">
        <v>10354</v>
      </c>
      <c r="F110" s="33" t="s">
        <v>112</v>
      </c>
      <c r="G110" s="37">
        <v>0</v>
      </c>
      <c r="J110" s="138">
        <f>VLOOKUP(A110, TOCA_previous!$A$3:$D$137, 4, FALSE)</f>
        <v>0</v>
      </c>
      <c r="K110" s="138">
        <f>VLOOKUP(E110, TOCA_current!A107:D241, 4, FALSE)</f>
        <v>0</v>
      </c>
      <c r="L110" s="138"/>
      <c r="O110" s="172"/>
    </row>
    <row r="111" spans="1:15">
      <c r="A111" s="34">
        <v>10360</v>
      </c>
      <c r="B111" s="33" t="s">
        <v>113</v>
      </c>
      <c r="C111" s="37">
        <v>20009.34</v>
      </c>
      <c r="E111" s="34">
        <v>10360</v>
      </c>
      <c r="F111" s="33" t="s">
        <v>113</v>
      </c>
      <c r="G111" s="37">
        <v>20009.34</v>
      </c>
      <c r="J111" s="138">
        <f>VLOOKUP(A111, TOCA_previous!$A$3:$D$137, 4, FALSE)</f>
        <v>0</v>
      </c>
      <c r="K111" s="138">
        <f>VLOOKUP(E111, TOCA_current!A108:D242, 4, FALSE)</f>
        <v>0</v>
      </c>
      <c r="L111" s="138"/>
      <c r="O111" s="172"/>
    </row>
    <row r="112" spans="1:15">
      <c r="A112" s="34">
        <v>10363</v>
      </c>
      <c r="B112" s="33" t="s">
        <v>114</v>
      </c>
      <c r="C112" s="37">
        <v>0</v>
      </c>
      <c r="E112" s="34">
        <v>10363</v>
      </c>
      <c r="F112" s="33" t="s">
        <v>114</v>
      </c>
      <c r="G112" s="37">
        <v>0</v>
      </c>
      <c r="J112" s="138">
        <f>VLOOKUP(A112, TOCA_previous!$A$3:$D$137, 4, FALSE)</f>
        <v>0</v>
      </c>
      <c r="K112" s="138">
        <f>VLOOKUP(E112, TOCA_current!A109:D243, 4, FALSE)</f>
        <v>0</v>
      </c>
      <c r="L112" s="138"/>
      <c r="O112" s="172"/>
    </row>
    <row r="113" spans="1:15">
      <c r="A113" s="34">
        <v>10369</v>
      </c>
      <c r="B113" s="33" t="s">
        <v>115</v>
      </c>
      <c r="C113" s="37">
        <v>46210.901000000005</v>
      </c>
      <c r="E113" s="34">
        <v>10369</v>
      </c>
      <c r="F113" s="33" t="s">
        <v>115</v>
      </c>
      <c r="G113" s="37">
        <v>46210.901000000005</v>
      </c>
      <c r="J113" s="138">
        <f>VLOOKUP(A113, TOCA_previous!$A$3:$D$137, 4, FALSE)</f>
        <v>0</v>
      </c>
      <c r="K113" s="138">
        <f>VLOOKUP(E113, TOCA_current!A110:D244, 4, FALSE)</f>
        <v>0</v>
      </c>
      <c r="L113" s="138"/>
      <c r="O113" s="172"/>
    </row>
    <row r="114" spans="1:15">
      <c r="A114" s="34">
        <v>10370</v>
      </c>
      <c r="B114" s="33" t="s">
        <v>116</v>
      </c>
      <c r="C114" s="37">
        <v>0</v>
      </c>
      <c r="E114" s="34">
        <v>10370</v>
      </c>
      <c r="F114" s="33" t="s">
        <v>116</v>
      </c>
      <c r="G114" s="37">
        <v>0</v>
      </c>
      <c r="J114" s="138">
        <f>VLOOKUP(A114, TOCA_previous!$A$3:$D$137, 4, FALSE)</f>
        <v>0</v>
      </c>
      <c r="K114" s="138">
        <f>VLOOKUP(E114, TOCA_current!A111:D245, 4, FALSE)</f>
        <v>0</v>
      </c>
      <c r="L114" s="138"/>
      <c r="O114" s="172"/>
    </row>
    <row r="115" spans="1:15">
      <c r="A115" s="34">
        <v>10371</v>
      </c>
      <c r="B115" s="33" t="s">
        <v>117</v>
      </c>
      <c r="C115" s="37">
        <v>0</v>
      </c>
      <c r="E115" s="34">
        <v>10371</v>
      </c>
      <c r="F115" s="33" t="s">
        <v>117</v>
      </c>
      <c r="G115" s="37">
        <v>0</v>
      </c>
      <c r="J115" s="138">
        <f>VLOOKUP(A115, TOCA_previous!$A$3:$D$137, 4, FALSE)</f>
        <v>0</v>
      </c>
      <c r="K115" s="138">
        <f>VLOOKUP(E115, TOCA_current!A112:D246, 4, FALSE)</f>
        <v>0</v>
      </c>
      <c r="L115" s="138"/>
      <c r="O115" s="172"/>
    </row>
    <row r="116" spans="1:15">
      <c r="A116" s="34">
        <v>10376</v>
      </c>
      <c r="B116" s="33" t="s">
        <v>118</v>
      </c>
      <c r="C116" s="37">
        <v>0</v>
      </c>
      <c r="E116" s="34">
        <v>10376</v>
      </c>
      <c r="F116" s="33" t="s">
        <v>118</v>
      </c>
      <c r="G116" s="37">
        <v>0</v>
      </c>
      <c r="J116" s="138">
        <f>VLOOKUP(A116, TOCA_previous!$A$3:$D$137, 4, FALSE)</f>
        <v>0</v>
      </c>
      <c r="K116" s="138">
        <f>VLOOKUP(E116, TOCA_current!A113:D247, 4, FALSE)</f>
        <v>0</v>
      </c>
      <c r="L116" s="138"/>
      <c r="O116" s="172"/>
    </row>
    <row r="117" spans="1:15">
      <c r="A117" s="34">
        <v>10378</v>
      </c>
      <c r="B117" s="33" t="s">
        <v>119</v>
      </c>
      <c r="C117" s="37">
        <v>0</v>
      </c>
      <c r="E117" s="34">
        <v>10378</v>
      </c>
      <c r="F117" s="33" t="s">
        <v>119</v>
      </c>
      <c r="G117" s="37">
        <v>0</v>
      </c>
      <c r="J117" s="138">
        <f>VLOOKUP(A117, TOCA_previous!$A$3:$D$137, 4, FALSE)</f>
        <v>0</v>
      </c>
      <c r="K117" s="138">
        <f>VLOOKUP(E117, TOCA_current!A114:D248, 4, FALSE)</f>
        <v>0</v>
      </c>
      <c r="L117" s="138"/>
      <c r="O117" s="172"/>
    </row>
    <row r="118" spans="1:15">
      <c r="A118" s="34">
        <v>10379</v>
      </c>
      <c r="B118" s="33" t="s">
        <v>120</v>
      </c>
      <c r="C118" s="37">
        <v>0</v>
      </c>
      <c r="E118" s="34">
        <v>10379</v>
      </c>
      <c r="F118" s="33" t="s">
        <v>120</v>
      </c>
      <c r="G118" s="37">
        <v>0</v>
      </c>
      <c r="J118" s="138">
        <f>VLOOKUP(A118, TOCA_previous!$A$3:$D$137, 4, FALSE)</f>
        <v>0</v>
      </c>
      <c r="K118" s="138">
        <f>VLOOKUP(E118, TOCA_current!A115:D249, 4, FALSE)</f>
        <v>0</v>
      </c>
      <c r="L118" s="138"/>
      <c r="O118" s="172"/>
    </row>
    <row r="119" spans="1:15">
      <c r="A119" s="34">
        <v>10388</v>
      </c>
      <c r="B119" s="33" t="s">
        <v>121</v>
      </c>
      <c r="C119" s="37">
        <v>228772.42700000003</v>
      </c>
      <c r="E119" s="34">
        <v>10388</v>
      </c>
      <c r="F119" s="33" t="s">
        <v>121</v>
      </c>
      <c r="G119" s="37">
        <v>228772.42700000003</v>
      </c>
      <c r="J119" s="138">
        <f>VLOOKUP(A119, TOCA_previous!$A$3:$D$137, 4, FALSE)</f>
        <v>1</v>
      </c>
      <c r="K119" s="138">
        <f>VLOOKUP(E119, TOCA_current!A116:D250, 4, FALSE)</f>
        <v>1</v>
      </c>
      <c r="L119" s="138"/>
      <c r="O119" s="172"/>
    </row>
    <row r="120" spans="1:15">
      <c r="A120" s="34">
        <v>10391</v>
      </c>
      <c r="B120" s="33" t="s">
        <v>122</v>
      </c>
      <c r="C120" s="37">
        <v>44270.152999999998</v>
      </c>
      <c r="E120" s="34">
        <v>10391</v>
      </c>
      <c r="F120" s="33" t="s">
        <v>122</v>
      </c>
      <c r="G120" s="37">
        <v>44270.152999999998</v>
      </c>
      <c r="J120" s="138">
        <f>VLOOKUP(A120, TOCA_previous!$A$3:$D$137, 4, FALSE)</f>
        <v>0</v>
      </c>
      <c r="K120" s="138">
        <f>VLOOKUP(E120, TOCA_current!A117:D251, 4, FALSE)</f>
        <v>0</v>
      </c>
      <c r="L120" s="138"/>
      <c r="O120" s="172"/>
    </row>
    <row r="121" spans="1:15">
      <c r="A121" s="34">
        <v>10406</v>
      </c>
      <c r="B121" s="33" t="s">
        <v>123</v>
      </c>
      <c r="C121" s="37">
        <v>0</v>
      </c>
      <c r="E121" s="34">
        <v>10406</v>
      </c>
      <c r="F121" s="33" t="s">
        <v>123</v>
      </c>
      <c r="G121" s="37">
        <v>0</v>
      </c>
      <c r="J121" s="138">
        <f>VLOOKUP(A121, TOCA_previous!$A$3:$D$137, 4, FALSE)</f>
        <v>0</v>
      </c>
      <c r="K121" s="138">
        <f>VLOOKUP(E121, TOCA_current!A118:D252, 4, FALSE)</f>
        <v>0</v>
      </c>
      <c r="L121" s="138"/>
      <c r="O121" s="172"/>
    </row>
    <row r="122" spans="1:15">
      <c r="A122" s="34">
        <v>10408</v>
      </c>
      <c r="B122" s="33" t="s">
        <v>124</v>
      </c>
      <c r="C122" s="37">
        <v>0</v>
      </c>
      <c r="E122" s="34">
        <v>10408</v>
      </c>
      <c r="F122" s="33" t="s">
        <v>124</v>
      </c>
      <c r="G122" s="37">
        <v>0</v>
      </c>
      <c r="J122" s="138">
        <f>VLOOKUP(A122, TOCA_previous!$A$3:$D$137, 4, FALSE)</f>
        <v>0</v>
      </c>
      <c r="K122" s="138">
        <f>VLOOKUP(E122, TOCA_current!A119:D253, 4, FALSE)</f>
        <v>0</v>
      </c>
      <c r="L122" s="138"/>
      <c r="O122" s="172"/>
    </row>
    <row r="123" spans="1:15">
      <c r="A123" s="34">
        <v>10409</v>
      </c>
      <c r="B123" s="33" t="s">
        <v>125</v>
      </c>
      <c r="C123" s="37">
        <v>0</v>
      </c>
      <c r="E123" s="34">
        <v>10409</v>
      </c>
      <c r="F123" s="33" t="s">
        <v>125</v>
      </c>
      <c r="G123" s="37">
        <v>0</v>
      </c>
      <c r="J123" s="138">
        <f>VLOOKUP(A123, TOCA_previous!$A$3:$D$137, 4, FALSE)</f>
        <v>0</v>
      </c>
      <c r="K123" s="138">
        <f>VLOOKUP(E123, TOCA_current!A120:D254, 4, FALSE)</f>
        <v>0</v>
      </c>
      <c r="L123" s="138"/>
      <c r="O123" s="172"/>
    </row>
    <row r="124" spans="1:15">
      <c r="A124" s="34">
        <v>10426</v>
      </c>
      <c r="B124" s="33" t="s">
        <v>126</v>
      </c>
      <c r="C124" s="37">
        <v>0</v>
      </c>
      <c r="E124" s="34">
        <v>10426</v>
      </c>
      <c r="F124" s="33" t="s">
        <v>126</v>
      </c>
      <c r="G124" s="37">
        <v>0</v>
      </c>
      <c r="J124" s="138">
        <f>VLOOKUP(A124, TOCA_previous!$A$3:$D$137, 4, FALSE)</f>
        <v>0</v>
      </c>
      <c r="K124" s="138">
        <f>VLOOKUP(E124, TOCA_current!A121:D255, 4, FALSE)</f>
        <v>0</v>
      </c>
      <c r="L124" s="138"/>
      <c r="O124" s="172"/>
    </row>
    <row r="125" spans="1:15">
      <c r="A125" s="34">
        <v>10434</v>
      </c>
      <c r="B125" s="33" t="s">
        <v>127</v>
      </c>
      <c r="C125" s="37">
        <v>0</v>
      </c>
      <c r="E125" s="34">
        <v>10434</v>
      </c>
      <c r="F125" s="33" t="s">
        <v>127</v>
      </c>
      <c r="G125" s="37">
        <v>0</v>
      </c>
      <c r="J125" s="138">
        <f>VLOOKUP(A125, TOCA_previous!$A$3:$D$137, 4, FALSE)</f>
        <v>0</v>
      </c>
      <c r="K125" s="138">
        <f>VLOOKUP(E125, TOCA_current!A122:D256, 4, FALSE)</f>
        <v>0</v>
      </c>
      <c r="L125" s="138"/>
      <c r="O125" s="172"/>
    </row>
    <row r="126" spans="1:15">
      <c r="A126" s="34">
        <v>10436</v>
      </c>
      <c r="B126" s="33" t="s">
        <v>128</v>
      </c>
      <c r="C126" s="37">
        <v>38863.257999999994</v>
      </c>
      <c r="E126" s="34">
        <v>10436</v>
      </c>
      <c r="F126" s="33" t="s">
        <v>128</v>
      </c>
      <c r="G126" s="37">
        <v>38863.257999999994</v>
      </c>
      <c r="J126" s="138">
        <f>VLOOKUP(A126, TOCA_previous!$A$3:$D$137, 4, FALSE)</f>
        <v>0</v>
      </c>
      <c r="K126" s="138">
        <f>VLOOKUP(E126, TOCA_current!A123:D257, 4, FALSE)</f>
        <v>0</v>
      </c>
      <c r="L126" s="138"/>
      <c r="O126" s="172"/>
    </row>
    <row r="127" spans="1:15">
      <c r="A127" s="34">
        <v>10440</v>
      </c>
      <c r="B127" s="33" t="s">
        <v>129</v>
      </c>
      <c r="C127" s="37">
        <v>0</v>
      </c>
      <c r="E127" s="34">
        <v>10440</v>
      </c>
      <c r="F127" s="33" t="s">
        <v>129</v>
      </c>
      <c r="G127" s="37">
        <v>0</v>
      </c>
      <c r="J127" s="138">
        <f>VLOOKUP(A127, TOCA_previous!$A$3:$D$137, 4, FALSE)</f>
        <v>0</v>
      </c>
      <c r="K127" s="138">
        <f>VLOOKUP(E127, TOCA_current!A124:D258, 4, FALSE)</f>
        <v>0</v>
      </c>
      <c r="L127" s="138"/>
      <c r="O127" s="172"/>
    </row>
    <row r="128" spans="1:15">
      <c r="A128" s="34">
        <v>10442</v>
      </c>
      <c r="B128" s="33" t="s">
        <v>130</v>
      </c>
      <c r="C128" s="37">
        <v>9733.33</v>
      </c>
      <c r="E128" s="34">
        <v>10442</v>
      </c>
      <c r="F128" s="33" t="s">
        <v>130</v>
      </c>
      <c r="G128" s="37">
        <v>9733.33</v>
      </c>
      <c r="J128" s="138">
        <f>VLOOKUP(A128, TOCA_previous!$A$3:$D$137, 4, FALSE)</f>
        <v>0</v>
      </c>
      <c r="K128" s="138">
        <f>VLOOKUP(E128, TOCA_current!A125:D259, 4, FALSE)</f>
        <v>0</v>
      </c>
      <c r="L128" s="138"/>
      <c r="O128" s="172"/>
    </row>
    <row r="129" spans="1:15">
      <c r="A129" s="34">
        <v>10446</v>
      </c>
      <c r="B129" s="33" t="s">
        <v>131</v>
      </c>
      <c r="C129" s="37">
        <v>7171.34</v>
      </c>
      <c r="E129" s="34">
        <v>10446</v>
      </c>
      <c r="F129" s="33" t="s">
        <v>131</v>
      </c>
      <c r="G129" s="37">
        <v>7171.34</v>
      </c>
      <c r="J129" s="138">
        <f>VLOOKUP(A129, TOCA_previous!$A$3:$D$137, 4, FALSE)</f>
        <v>0</v>
      </c>
      <c r="K129" s="138">
        <f>VLOOKUP(E129, TOCA_current!A126:D260, 4, FALSE)</f>
        <v>0</v>
      </c>
      <c r="L129" s="138"/>
      <c r="O129" s="172"/>
    </row>
    <row r="130" spans="1:15">
      <c r="A130" s="34">
        <v>10448</v>
      </c>
      <c r="B130" s="33" t="s">
        <v>132</v>
      </c>
      <c r="C130" s="37">
        <v>0</v>
      </c>
      <c r="E130" s="34">
        <v>10448</v>
      </c>
      <c r="F130" s="33" t="s">
        <v>132</v>
      </c>
      <c r="G130" s="37">
        <v>0</v>
      </c>
      <c r="J130" s="138">
        <f>VLOOKUP(A130, TOCA_previous!$A$3:$D$137, 4, FALSE)</f>
        <v>1</v>
      </c>
      <c r="K130" s="138">
        <f>VLOOKUP(E130, TOCA_current!A127:D261, 4, FALSE)</f>
        <v>1</v>
      </c>
      <c r="L130" s="138"/>
      <c r="O130" s="172"/>
    </row>
    <row r="131" spans="1:15">
      <c r="A131" s="34">
        <v>10451</v>
      </c>
      <c r="B131" s="33" t="s">
        <v>133</v>
      </c>
      <c r="C131" s="37">
        <v>0</v>
      </c>
      <c r="E131" s="34">
        <v>10451</v>
      </c>
      <c r="F131" s="33" t="s">
        <v>133</v>
      </c>
      <c r="G131" s="37">
        <v>0</v>
      </c>
      <c r="J131" s="138">
        <f>VLOOKUP(A131, TOCA_previous!$A$3:$D$137, 4, FALSE)</f>
        <v>0</v>
      </c>
      <c r="K131" s="138">
        <f>VLOOKUP(E131, TOCA_current!A128:D262, 4, FALSE)</f>
        <v>0</v>
      </c>
      <c r="L131" s="138"/>
      <c r="O131" s="172"/>
    </row>
    <row r="132" spans="1:15">
      <c r="A132" s="34">
        <v>10482</v>
      </c>
      <c r="B132" s="33" t="s">
        <v>134</v>
      </c>
      <c r="C132" s="37">
        <v>0</v>
      </c>
      <c r="E132" s="34">
        <v>10482</v>
      </c>
      <c r="F132" s="33" t="s">
        <v>134</v>
      </c>
      <c r="G132" s="37">
        <v>0</v>
      </c>
      <c r="J132" s="138">
        <f>VLOOKUP(A132, TOCA_previous!$A$3:$D$137, 4, FALSE)</f>
        <v>0</v>
      </c>
      <c r="K132" s="138">
        <f>VLOOKUP(E132, TOCA_current!A129:D263, 4, FALSE)</f>
        <v>0</v>
      </c>
      <c r="L132" s="138"/>
      <c r="O132" s="172"/>
    </row>
    <row r="133" spans="1:15">
      <c r="A133" s="34">
        <v>10502</v>
      </c>
      <c r="B133" s="33" t="s">
        <v>135</v>
      </c>
      <c r="C133" s="129">
        <v>7189.6970000000001</v>
      </c>
      <c r="E133" s="34">
        <v>10502</v>
      </c>
      <c r="F133" s="33" t="s">
        <v>135</v>
      </c>
      <c r="G133" s="129">
        <v>7189.6969999999992</v>
      </c>
      <c r="J133" s="138">
        <f>VLOOKUP(A133, TOCA_previous!$A$3:$D$137, 4, FALSE)</f>
        <v>0</v>
      </c>
      <c r="K133" s="138">
        <f>VLOOKUP(E133, TOCA_current!A130:D264, 4, FALSE)</f>
        <v>0</v>
      </c>
      <c r="L133" s="138"/>
      <c r="O133" s="172"/>
    </row>
    <row r="134" spans="1:15" s="138" customFormat="1">
      <c r="A134" s="34">
        <v>13927</v>
      </c>
      <c r="B134" s="33" t="s">
        <v>320</v>
      </c>
      <c r="C134" s="129"/>
      <c r="E134" s="34">
        <v>13927</v>
      </c>
      <c r="F134" s="33" t="s">
        <v>320</v>
      </c>
      <c r="G134" s="129">
        <v>0</v>
      </c>
      <c r="J134" s="138">
        <v>0</v>
      </c>
      <c r="K134" s="138">
        <v>0</v>
      </c>
      <c r="O134" s="172"/>
    </row>
    <row r="135" spans="1:15">
      <c r="A135" s="34">
        <v>10597</v>
      </c>
      <c r="B135" s="33" t="s">
        <v>136</v>
      </c>
      <c r="C135" s="37">
        <v>0</v>
      </c>
      <c r="E135" s="34">
        <v>10597</v>
      </c>
      <c r="F135" s="33" t="s">
        <v>136</v>
      </c>
      <c r="G135" s="37">
        <v>0</v>
      </c>
      <c r="J135" s="138">
        <f>VLOOKUP(A135, TOCA_previous!$A$3:$D$137, 4, FALSE)</f>
        <v>0</v>
      </c>
      <c r="K135" s="138">
        <f>VLOOKUP(E135, TOCA_current!A131:D265, 4, FALSE)</f>
        <v>0</v>
      </c>
      <c r="L135" s="138"/>
      <c r="O135" s="172"/>
    </row>
    <row r="136" spans="1:15">
      <c r="A136" s="34">
        <v>10706</v>
      </c>
      <c r="B136" s="33" t="s">
        <v>137</v>
      </c>
      <c r="C136" s="37">
        <v>0</v>
      </c>
      <c r="E136" s="34">
        <v>10706</v>
      </c>
      <c r="F136" s="33" t="s">
        <v>137</v>
      </c>
      <c r="G136" s="37">
        <v>0</v>
      </c>
      <c r="J136" s="138">
        <f>VLOOKUP(A136, TOCA_previous!$A$3:$D$137, 4, FALSE)</f>
        <v>0</v>
      </c>
      <c r="K136" s="138">
        <f>VLOOKUP(E136, TOCA_current!A132:D266, 4, FALSE)</f>
        <v>0</v>
      </c>
      <c r="L136" s="138"/>
      <c r="O136" s="172"/>
    </row>
    <row r="137" spans="1:15">
      <c r="A137" s="34">
        <v>11680</v>
      </c>
      <c r="B137" s="33" t="s">
        <v>138</v>
      </c>
      <c r="C137" s="37">
        <v>0</v>
      </c>
      <c r="E137" s="34">
        <v>11680</v>
      </c>
      <c r="F137" s="33" t="s">
        <v>138</v>
      </c>
      <c r="G137" s="37">
        <v>0</v>
      </c>
      <c r="J137" s="138">
        <f>VLOOKUP(A137, TOCA_previous!$A$3:$D$137, 4, FALSE)</f>
        <v>0</v>
      </c>
      <c r="K137" s="138">
        <f>VLOOKUP(E137, TOCA_current!A133:D267, 4, FALSE)</f>
        <v>0</v>
      </c>
      <c r="L137" s="138"/>
      <c r="O137" s="172"/>
    </row>
    <row r="138" spans="1:15">
      <c r="A138" s="34">
        <v>12026</v>
      </c>
      <c r="B138" s="33" t="s">
        <v>139</v>
      </c>
      <c r="C138" s="37">
        <v>0</v>
      </c>
      <c r="E138" s="34">
        <v>12026</v>
      </c>
      <c r="F138" s="33" t="s">
        <v>139</v>
      </c>
      <c r="G138" s="37">
        <v>0</v>
      </c>
      <c r="J138" s="138">
        <f>VLOOKUP(A138, TOCA_previous!$A$3:$D$137, 4, FALSE)</f>
        <v>0</v>
      </c>
      <c r="K138" s="138">
        <f>VLOOKUP(E138, TOCA_current!A134:D268, 4, FALSE)</f>
        <v>0</v>
      </c>
      <c r="L138" s="138"/>
      <c r="O138" s="172"/>
    </row>
    <row r="139" spans="1:15">
      <c r="A139" s="45">
        <f>+E139</f>
        <v>10298</v>
      </c>
      <c r="B139" s="33" t="s">
        <v>140</v>
      </c>
      <c r="C139" s="37">
        <f>SUMPRODUCT(C5:C138, J5:J138)</f>
        <v>447254.73800000001</v>
      </c>
      <c r="E139" s="34">
        <v>10298</v>
      </c>
      <c r="F139" s="33" t="s">
        <v>140</v>
      </c>
      <c r="G139" s="37">
        <f>SUMPRODUCT(G5:G138, K5:K138)</f>
        <v>447254.73800000001</v>
      </c>
      <c r="J139" s="138">
        <f>VLOOKUP(A139, TOCA_previous!$A$3:$D$137, 4, FALSE)</f>
        <v>0</v>
      </c>
      <c r="K139" s="138">
        <f>VLOOKUP(E139, TOCA_current!A135:D269, 4, FALSE)</f>
        <v>0</v>
      </c>
      <c r="L139" s="138"/>
      <c r="O139" s="172"/>
    </row>
    <row r="140" spans="1:15">
      <c r="A140" s="45" t="s">
        <v>141</v>
      </c>
      <c r="B140" s="33" t="s">
        <v>141</v>
      </c>
      <c r="C140" s="36" t="s">
        <v>141</v>
      </c>
      <c r="E140" s="34" t="s">
        <v>141</v>
      </c>
      <c r="F140" s="33" t="s">
        <v>141</v>
      </c>
      <c r="G140" s="36" t="s">
        <v>141</v>
      </c>
    </row>
    <row r="141" spans="1:15">
      <c r="A141" s="34" t="s">
        <v>141</v>
      </c>
      <c r="B141" s="33" t="s">
        <v>141</v>
      </c>
      <c r="E141" s="34" t="s">
        <v>141</v>
      </c>
      <c r="F141" s="33" t="s">
        <v>141</v>
      </c>
    </row>
    <row r="142" spans="1:15">
      <c r="A142" s="34" t="s">
        <v>141</v>
      </c>
      <c r="B142" s="33" t="s">
        <v>141</v>
      </c>
      <c r="C142" s="36" t="s">
        <v>141</v>
      </c>
      <c r="E142" s="34" t="s">
        <v>141</v>
      </c>
      <c r="F142" s="33" t="s">
        <v>141</v>
      </c>
      <c r="G142" s="36" t="s">
        <v>141</v>
      </c>
    </row>
    <row r="143" spans="1:15">
      <c r="A143" s="34" t="s">
        <v>141</v>
      </c>
      <c r="B143" s="33" t="s">
        <v>141</v>
      </c>
      <c r="C143" s="36" t="s">
        <v>141</v>
      </c>
      <c r="E143" s="34" t="s">
        <v>141</v>
      </c>
      <c r="F143" s="33" t="s">
        <v>141</v>
      </c>
      <c r="G143" s="36" t="s">
        <v>141</v>
      </c>
    </row>
    <row r="144" spans="1:15">
      <c r="A144" s="34" t="s">
        <v>141</v>
      </c>
      <c r="B144" s="33" t="s">
        <v>141</v>
      </c>
      <c r="C144" s="36" t="s">
        <v>141</v>
      </c>
      <c r="E144" s="34" t="s">
        <v>141</v>
      </c>
      <c r="F144" s="33" t="s">
        <v>141</v>
      </c>
      <c r="G144" s="36" t="s">
        <v>141</v>
      </c>
    </row>
    <row r="145" spans="1:7">
      <c r="A145" s="34" t="s">
        <v>141</v>
      </c>
      <c r="B145" s="33" t="s">
        <v>141</v>
      </c>
      <c r="C145" s="36" t="s">
        <v>141</v>
      </c>
      <c r="E145" s="34" t="s">
        <v>141</v>
      </c>
      <c r="F145" s="33" t="s">
        <v>141</v>
      </c>
      <c r="G145" s="36" t="s">
        <v>141</v>
      </c>
    </row>
    <row r="146" spans="1:7">
      <c r="A146" s="34" t="s">
        <v>141</v>
      </c>
      <c r="B146" s="33" t="s">
        <v>141</v>
      </c>
      <c r="C146" s="36" t="s">
        <v>141</v>
      </c>
      <c r="E146" s="34" t="s">
        <v>141</v>
      </c>
      <c r="F146" s="33" t="s">
        <v>141</v>
      </c>
      <c r="G146" s="36" t="s">
        <v>141</v>
      </c>
    </row>
    <row r="147" spans="1:7">
      <c r="A147" s="34" t="s">
        <v>141</v>
      </c>
      <c r="B147" s="33" t="s">
        <v>141</v>
      </c>
      <c r="C147" s="36" t="s">
        <v>141</v>
      </c>
      <c r="E147" s="34" t="s">
        <v>141</v>
      </c>
      <c r="F147" s="33" t="s">
        <v>141</v>
      </c>
      <c r="G147" s="36" t="s">
        <v>141</v>
      </c>
    </row>
    <row r="148" spans="1:7">
      <c r="A148" s="34" t="s">
        <v>141</v>
      </c>
      <c r="B148" s="33" t="s">
        <v>141</v>
      </c>
      <c r="C148" s="36" t="s">
        <v>141</v>
      </c>
      <c r="E148" s="34" t="s">
        <v>141</v>
      </c>
      <c r="F148" s="33" t="s">
        <v>141</v>
      </c>
      <c r="G148" s="36" t="s">
        <v>141</v>
      </c>
    </row>
    <row r="149" spans="1:7">
      <c r="A149" s="34" t="s">
        <v>141</v>
      </c>
      <c r="B149" s="33" t="s">
        <v>141</v>
      </c>
      <c r="C149" s="36" t="s">
        <v>141</v>
      </c>
      <c r="E149" s="34" t="s">
        <v>141</v>
      </c>
      <c r="F149" s="33" t="s">
        <v>141</v>
      </c>
      <c r="G149" s="36" t="s">
        <v>141</v>
      </c>
    </row>
    <row r="150" spans="1:7">
      <c r="A150" s="34" t="s">
        <v>141</v>
      </c>
      <c r="B150" s="33" t="s">
        <v>141</v>
      </c>
      <c r="C150" s="36" t="s">
        <v>141</v>
      </c>
      <c r="E150" s="34" t="s">
        <v>141</v>
      </c>
      <c r="F150" s="33" t="s">
        <v>141</v>
      </c>
      <c r="G150" s="36" t="s">
        <v>141</v>
      </c>
    </row>
    <row r="151" spans="1:7">
      <c r="A151" s="34" t="s">
        <v>141</v>
      </c>
      <c r="B151" s="33" t="s">
        <v>141</v>
      </c>
      <c r="C151" s="36" t="s">
        <v>141</v>
      </c>
      <c r="E151" s="34" t="s">
        <v>141</v>
      </c>
      <c r="F151" s="33" t="s">
        <v>141</v>
      </c>
      <c r="G151" s="36" t="s">
        <v>141</v>
      </c>
    </row>
    <row r="152" spans="1:7">
      <c r="A152" s="34" t="s">
        <v>141</v>
      </c>
      <c r="B152" s="33" t="s">
        <v>141</v>
      </c>
      <c r="C152" s="36" t="s">
        <v>141</v>
      </c>
      <c r="E152" s="34" t="s">
        <v>141</v>
      </c>
      <c r="F152" s="33" t="s">
        <v>141</v>
      </c>
      <c r="G152" s="36" t="s">
        <v>141</v>
      </c>
    </row>
    <row r="153" spans="1:7">
      <c r="A153" s="34" t="s">
        <v>141</v>
      </c>
      <c r="B153" s="33" t="s">
        <v>141</v>
      </c>
      <c r="C153" s="36" t="s">
        <v>141</v>
      </c>
      <c r="E153" s="34" t="s">
        <v>141</v>
      </c>
      <c r="F153" s="33" t="s">
        <v>141</v>
      </c>
      <c r="G153" s="36" t="s">
        <v>141</v>
      </c>
    </row>
    <row r="154" spans="1:7">
      <c r="A154" s="34" t="s">
        <v>141</v>
      </c>
      <c r="B154" s="33" t="s">
        <v>141</v>
      </c>
      <c r="C154" s="36" t="s">
        <v>141</v>
      </c>
      <c r="E154" s="34" t="s">
        <v>141</v>
      </c>
      <c r="F154" s="33" t="s">
        <v>141</v>
      </c>
      <c r="G154" s="36" t="s">
        <v>141</v>
      </c>
    </row>
    <row r="155" spans="1:7">
      <c r="A155" s="34" t="s">
        <v>141</v>
      </c>
      <c r="B155" s="33" t="s">
        <v>141</v>
      </c>
      <c r="C155" s="36" t="s">
        <v>141</v>
      </c>
      <c r="E155" s="34" t="s">
        <v>141</v>
      </c>
      <c r="F155" s="33" t="s">
        <v>141</v>
      </c>
      <c r="G155" s="36" t="s">
        <v>141</v>
      </c>
    </row>
    <row r="156" spans="1:7">
      <c r="A156" s="34" t="s">
        <v>141</v>
      </c>
      <c r="B156" s="33" t="s">
        <v>141</v>
      </c>
      <c r="C156" s="36" t="s">
        <v>141</v>
      </c>
      <c r="E156" s="34" t="s">
        <v>141</v>
      </c>
      <c r="F156" s="33" t="s">
        <v>141</v>
      </c>
      <c r="G156" s="36" t="s">
        <v>141</v>
      </c>
    </row>
    <row r="157" spans="1:7">
      <c r="A157" s="34" t="s">
        <v>141</v>
      </c>
      <c r="B157" s="33" t="s">
        <v>141</v>
      </c>
      <c r="C157" s="36" t="s">
        <v>141</v>
      </c>
      <c r="E157" s="34" t="s">
        <v>141</v>
      </c>
      <c r="F157" s="33" t="s">
        <v>141</v>
      </c>
      <c r="G157" s="36" t="s">
        <v>141</v>
      </c>
    </row>
    <row r="158" spans="1:7">
      <c r="A158" s="34" t="s">
        <v>141</v>
      </c>
      <c r="B158" s="33" t="s">
        <v>141</v>
      </c>
      <c r="C158" s="36" t="s">
        <v>141</v>
      </c>
      <c r="E158" s="34" t="s">
        <v>141</v>
      </c>
      <c r="F158" s="33" t="s">
        <v>141</v>
      </c>
      <c r="G158" s="36" t="s">
        <v>141</v>
      </c>
    </row>
    <row r="159" spans="1:7">
      <c r="A159" s="34" t="s">
        <v>141</v>
      </c>
      <c r="B159" s="33" t="s">
        <v>141</v>
      </c>
      <c r="C159" s="36" t="s">
        <v>141</v>
      </c>
      <c r="E159" s="34" t="s">
        <v>141</v>
      </c>
      <c r="F159" s="33" t="s">
        <v>141</v>
      </c>
      <c r="G159" s="36" t="s">
        <v>141</v>
      </c>
    </row>
    <row r="160" spans="1:7">
      <c r="A160" s="34" t="s">
        <v>141</v>
      </c>
      <c r="B160" s="33" t="s">
        <v>141</v>
      </c>
      <c r="C160" s="36" t="s">
        <v>141</v>
      </c>
      <c r="E160" s="34" t="s">
        <v>141</v>
      </c>
      <c r="F160" s="33" t="s">
        <v>141</v>
      </c>
      <c r="G160" s="36" t="s">
        <v>141</v>
      </c>
    </row>
    <row r="161" spans="1:7">
      <c r="A161" s="34" t="s">
        <v>141</v>
      </c>
      <c r="B161" s="33" t="s">
        <v>141</v>
      </c>
      <c r="C161" s="36" t="s">
        <v>141</v>
      </c>
      <c r="E161" s="34" t="s">
        <v>141</v>
      </c>
      <c r="F161" s="33" t="s">
        <v>141</v>
      </c>
      <c r="G161" s="36" t="s">
        <v>141</v>
      </c>
    </row>
    <row r="162" spans="1:7">
      <c r="A162" s="34" t="s">
        <v>141</v>
      </c>
      <c r="B162" s="33" t="s">
        <v>141</v>
      </c>
      <c r="C162" s="36" t="s">
        <v>141</v>
      </c>
      <c r="E162" s="34" t="s">
        <v>141</v>
      </c>
      <c r="F162" s="33" t="s">
        <v>141</v>
      </c>
      <c r="G162" s="36" t="s">
        <v>141</v>
      </c>
    </row>
    <row r="163" spans="1:7">
      <c r="A163" s="34" t="s">
        <v>141</v>
      </c>
      <c r="B163" s="33" t="s">
        <v>141</v>
      </c>
      <c r="C163" s="36" t="s">
        <v>141</v>
      </c>
      <c r="E163" s="34" t="s">
        <v>141</v>
      </c>
      <c r="F163" s="33" t="s">
        <v>141</v>
      </c>
      <c r="G163" s="36" t="s">
        <v>141</v>
      </c>
    </row>
    <row r="164" spans="1:7">
      <c r="A164" s="34" t="s">
        <v>141</v>
      </c>
      <c r="B164" s="33" t="s">
        <v>141</v>
      </c>
      <c r="C164" s="36" t="s">
        <v>141</v>
      </c>
      <c r="E164" s="34" t="s">
        <v>141</v>
      </c>
      <c r="F164" s="33" t="s">
        <v>141</v>
      </c>
      <c r="G164" s="36" t="s">
        <v>141</v>
      </c>
    </row>
    <row r="165" spans="1:7">
      <c r="A165" s="34" t="s">
        <v>141</v>
      </c>
      <c r="B165" s="33" t="s">
        <v>141</v>
      </c>
      <c r="C165" s="36" t="s">
        <v>141</v>
      </c>
      <c r="E165" s="34" t="s">
        <v>141</v>
      </c>
      <c r="F165" s="33" t="s">
        <v>141</v>
      </c>
      <c r="G165" s="36" t="s">
        <v>141</v>
      </c>
    </row>
    <row r="166" spans="1:7">
      <c r="A166" s="34" t="s">
        <v>141</v>
      </c>
      <c r="B166" s="33" t="s">
        <v>141</v>
      </c>
      <c r="C166" s="36" t="s">
        <v>141</v>
      </c>
      <c r="E166" s="34" t="s">
        <v>141</v>
      </c>
      <c r="F166" s="33" t="s">
        <v>141</v>
      </c>
      <c r="G166" s="36" t="s">
        <v>141</v>
      </c>
    </row>
    <row r="167" spans="1:7">
      <c r="A167" s="34" t="s">
        <v>141</v>
      </c>
      <c r="B167" s="33" t="s">
        <v>141</v>
      </c>
      <c r="C167" s="36" t="s">
        <v>141</v>
      </c>
      <c r="E167" s="34" t="s">
        <v>141</v>
      </c>
      <c r="F167" s="33" t="s">
        <v>141</v>
      </c>
      <c r="G167" s="36" t="s">
        <v>141</v>
      </c>
    </row>
    <row r="168" spans="1:7">
      <c r="A168" s="34" t="s">
        <v>141</v>
      </c>
      <c r="B168" s="33" t="s">
        <v>141</v>
      </c>
      <c r="C168" s="36" t="s">
        <v>141</v>
      </c>
      <c r="E168" s="34" t="s">
        <v>141</v>
      </c>
      <c r="F168" s="33" t="s">
        <v>141</v>
      </c>
      <c r="G168" s="36" t="s">
        <v>141</v>
      </c>
    </row>
    <row r="169" spans="1:7">
      <c r="A169" s="34" t="s">
        <v>141</v>
      </c>
      <c r="B169" s="33" t="s">
        <v>141</v>
      </c>
      <c r="C169" s="36" t="s">
        <v>141</v>
      </c>
      <c r="E169" s="34" t="s">
        <v>141</v>
      </c>
      <c r="F169" s="33" t="s">
        <v>141</v>
      </c>
      <c r="G169" s="36" t="s">
        <v>141</v>
      </c>
    </row>
    <row r="170" spans="1:7">
      <c r="A170" s="34" t="s">
        <v>141</v>
      </c>
      <c r="B170" s="33" t="s">
        <v>141</v>
      </c>
      <c r="C170" s="36" t="s">
        <v>141</v>
      </c>
      <c r="E170" s="34" t="s">
        <v>141</v>
      </c>
      <c r="F170" s="33" t="s">
        <v>141</v>
      </c>
      <c r="G170" s="36" t="s">
        <v>141</v>
      </c>
    </row>
    <row r="171" spans="1:7">
      <c r="A171" s="34" t="s">
        <v>141</v>
      </c>
      <c r="B171" s="33" t="s">
        <v>141</v>
      </c>
      <c r="C171" s="36" t="s">
        <v>141</v>
      </c>
      <c r="E171" s="34" t="s">
        <v>141</v>
      </c>
      <c r="F171" s="33" t="s">
        <v>141</v>
      </c>
      <c r="G171" s="36" t="s">
        <v>141</v>
      </c>
    </row>
    <row r="172" spans="1:7">
      <c r="A172" s="34" t="s">
        <v>141</v>
      </c>
      <c r="B172" s="33" t="s">
        <v>141</v>
      </c>
      <c r="C172" s="36" t="s">
        <v>141</v>
      </c>
      <c r="E172" s="34" t="s">
        <v>141</v>
      </c>
      <c r="F172" s="33" t="s">
        <v>141</v>
      </c>
      <c r="G172" s="36" t="s">
        <v>141</v>
      </c>
    </row>
    <row r="173" spans="1:7">
      <c r="A173" s="34" t="s">
        <v>141</v>
      </c>
      <c r="B173" s="33" t="s">
        <v>141</v>
      </c>
      <c r="C173" s="36" t="s">
        <v>141</v>
      </c>
      <c r="E173" s="34" t="s">
        <v>141</v>
      </c>
      <c r="F173" s="33" t="s">
        <v>141</v>
      </c>
      <c r="G173" s="36" t="s">
        <v>141</v>
      </c>
    </row>
    <row r="174" spans="1:7">
      <c r="A174" s="34" t="s">
        <v>141</v>
      </c>
      <c r="B174" s="33" t="s">
        <v>141</v>
      </c>
      <c r="C174" s="36" t="s">
        <v>141</v>
      </c>
      <c r="E174" s="34" t="s">
        <v>141</v>
      </c>
      <c r="F174" s="33" t="s">
        <v>141</v>
      </c>
      <c r="G174" s="36" t="s">
        <v>141</v>
      </c>
    </row>
    <row r="175" spans="1:7">
      <c r="A175" s="34" t="s">
        <v>141</v>
      </c>
      <c r="B175" s="33" t="s">
        <v>141</v>
      </c>
      <c r="C175" s="36" t="s">
        <v>141</v>
      </c>
      <c r="E175" s="34" t="s">
        <v>141</v>
      </c>
      <c r="F175" s="33" t="s">
        <v>141</v>
      </c>
      <c r="G175" s="36" t="s">
        <v>141</v>
      </c>
    </row>
    <row r="176" spans="1:7">
      <c r="A176" s="34" t="s">
        <v>141</v>
      </c>
      <c r="B176" s="33" t="s">
        <v>141</v>
      </c>
      <c r="C176" s="36" t="s">
        <v>141</v>
      </c>
      <c r="E176" s="34" t="s">
        <v>141</v>
      </c>
      <c r="F176" s="33" t="s">
        <v>141</v>
      </c>
      <c r="G176" s="36" t="s">
        <v>141</v>
      </c>
    </row>
    <row r="177" spans="1:7">
      <c r="A177" s="34" t="s">
        <v>141</v>
      </c>
      <c r="B177" s="33" t="s">
        <v>141</v>
      </c>
      <c r="C177" s="36" t="s">
        <v>141</v>
      </c>
      <c r="E177" s="34" t="s">
        <v>141</v>
      </c>
      <c r="F177" s="33" t="s">
        <v>141</v>
      </c>
      <c r="G177" s="36" t="s">
        <v>141</v>
      </c>
    </row>
    <row r="178" spans="1:7">
      <c r="A178" s="34" t="s">
        <v>141</v>
      </c>
      <c r="B178" s="33" t="s">
        <v>141</v>
      </c>
      <c r="C178" s="36" t="s">
        <v>141</v>
      </c>
      <c r="E178" s="34" t="s">
        <v>141</v>
      </c>
      <c r="F178" s="33" t="s">
        <v>141</v>
      </c>
      <c r="G178" s="36" t="s">
        <v>141</v>
      </c>
    </row>
    <row r="179" spans="1:7">
      <c r="A179" s="34" t="s">
        <v>141</v>
      </c>
      <c r="B179" s="33" t="s">
        <v>141</v>
      </c>
      <c r="C179" s="36" t="s">
        <v>141</v>
      </c>
      <c r="E179" s="34" t="s">
        <v>141</v>
      </c>
      <c r="F179" s="33" t="s">
        <v>141</v>
      </c>
      <c r="G179" s="36" t="s">
        <v>141</v>
      </c>
    </row>
    <row r="180" spans="1:7">
      <c r="A180" s="34" t="s">
        <v>141</v>
      </c>
      <c r="B180" s="33" t="s">
        <v>141</v>
      </c>
      <c r="C180" s="36" t="s">
        <v>141</v>
      </c>
      <c r="E180" s="34" t="s">
        <v>141</v>
      </c>
      <c r="F180" s="33" t="s">
        <v>141</v>
      </c>
      <c r="G180" s="36" t="s">
        <v>141</v>
      </c>
    </row>
    <row r="181" spans="1:7">
      <c r="A181" s="34" t="s">
        <v>141</v>
      </c>
      <c r="B181" s="33" t="s">
        <v>141</v>
      </c>
      <c r="C181" s="36" t="s">
        <v>141</v>
      </c>
      <c r="E181" s="34" t="s">
        <v>141</v>
      </c>
      <c r="F181" s="33" t="s">
        <v>141</v>
      </c>
      <c r="G181" s="36" t="s">
        <v>141</v>
      </c>
    </row>
    <row r="182" spans="1:7">
      <c r="A182" s="34" t="s">
        <v>141</v>
      </c>
      <c r="B182" s="33" t="s">
        <v>141</v>
      </c>
      <c r="C182" s="36" t="s">
        <v>141</v>
      </c>
      <c r="E182" s="34" t="s">
        <v>141</v>
      </c>
      <c r="F182" s="33" t="s">
        <v>141</v>
      </c>
      <c r="G182" s="36" t="s">
        <v>141</v>
      </c>
    </row>
    <row r="183" spans="1:7">
      <c r="A183" s="34" t="s">
        <v>141</v>
      </c>
      <c r="B183" s="33" t="s">
        <v>141</v>
      </c>
      <c r="C183" s="36" t="s">
        <v>141</v>
      </c>
      <c r="E183" s="34" t="s">
        <v>141</v>
      </c>
      <c r="F183" s="33" t="s">
        <v>141</v>
      </c>
      <c r="G183" s="36" t="s">
        <v>141</v>
      </c>
    </row>
    <row r="184" spans="1:7">
      <c r="A184" s="34" t="s">
        <v>141</v>
      </c>
      <c r="B184" s="33" t="s">
        <v>141</v>
      </c>
      <c r="C184" s="36" t="s">
        <v>141</v>
      </c>
      <c r="E184" s="34" t="s">
        <v>141</v>
      </c>
      <c r="F184" s="33" t="s">
        <v>141</v>
      </c>
      <c r="G184" s="36" t="s">
        <v>141</v>
      </c>
    </row>
    <row r="185" spans="1:7">
      <c r="A185" s="34" t="s">
        <v>141</v>
      </c>
      <c r="B185" s="33" t="s">
        <v>141</v>
      </c>
      <c r="C185" s="36" t="s">
        <v>141</v>
      </c>
      <c r="E185" s="34" t="s">
        <v>141</v>
      </c>
      <c r="F185" s="33" t="s">
        <v>141</v>
      </c>
      <c r="G185" s="36" t="s">
        <v>141</v>
      </c>
    </row>
    <row r="186" spans="1:7">
      <c r="A186" s="34" t="s">
        <v>141</v>
      </c>
      <c r="B186" s="33" t="s">
        <v>141</v>
      </c>
      <c r="C186" s="36" t="s">
        <v>141</v>
      </c>
      <c r="E186" s="34" t="s">
        <v>141</v>
      </c>
      <c r="F186" s="33" t="s">
        <v>141</v>
      </c>
      <c r="G186" s="36" t="s">
        <v>141</v>
      </c>
    </row>
    <row r="187" spans="1:7">
      <c r="A187" s="34" t="s">
        <v>141</v>
      </c>
      <c r="B187" s="33" t="s">
        <v>141</v>
      </c>
      <c r="C187" s="36" t="s">
        <v>141</v>
      </c>
      <c r="E187" s="34" t="s">
        <v>141</v>
      </c>
      <c r="F187" s="33" t="s">
        <v>141</v>
      </c>
      <c r="G187" s="36" t="s">
        <v>141</v>
      </c>
    </row>
    <row r="188" spans="1:7">
      <c r="A188" s="34" t="s">
        <v>141</v>
      </c>
      <c r="B188" s="33" t="s">
        <v>141</v>
      </c>
      <c r="C188" s="36" t="s">
        <v>141</v>
      </c>
      <c r="E188" s="34" t="s">
        <v>141</v>
      </c>
      <c r="F188" s="33" t="s">
        <v>141</v>
      </c>
      <c r="G188" s="36" t="s">
        <v>141</v>
      </c>
    </row>
    <row r="189" spans="1:7">
      <c r="A189" s="34" t="s">
        <v>141</v>
      </c>
      <c r="B189" s="33" t="s">
        <v>141</v>
      </c>
      <c r="C189" s="36" t="s">
        <v>141</v>
      </c>
      <c r="E189" s="34" t="s">
        <v>141</v>
      </c>
      <c r="F189" s="33" t="s">
        <v>141</v>
      </c>
      <c r="G189" s="36" t="s">
        <v>141</v>
      </c>
    </row>
    <row r="190" spans="1:7">
      <c r="A190" s="34" t="s">
        <v>141</v>
      </c>
      <c r="B190" s="33" t="s">
        <v>141</v>
      </c>
      <c r="C190" s="36" t="s">
        <v>141</v>
      </c>
      <c r="E190" s="34" t="s">
        <v>141</v>
      </c>
      <c r="F190" s="33" t="s">
        <v>141</v>
      </c>
      <c r="G190" s="36" t="s">
        <v>141</v>
      </c>
    </row>
    <row r="191" spans="1:7">
      <c r="A191" s="34" t="s">
        <v>141</v>
      </c>
      <c r="B191" s="33" t="s">
        <v>141</v>
      </c>
      <c r="C191" s="36" t="s">
        <v>141</v>
      </c>
      <c r="E191" s="34" t="s">
        <v>141</v>
      </c>
      <c r="F191" s="33" t="s">
        <v>141</v>
      </c>
      <c r="G191" s="36" t="s">
        <v>141</v>
      </c>
    </row>
    <row r="192" spans="1:7">
      <c r="A192" s="34" t="s">
        <v>141</v>
      </c>
      <c r="B192" s="33" t="s">
        <v>141</v>
      </c>
      <c r="C192" s="36" t="s">
        <v>141</v>
      </c>
      <c r="E192" s="34" t="s">
        <v>141</v>
      </c>
      <c r="F192" s="33" t="s">
        <v>141</v>
      </c>
      <c r="G192" s="36" t="s">
        <v>141</v>
      </c>
    </row>
    <row r="193" spans="1:7">
      <c r="A193" s="34" t="s">
        <v>141</v>
      </c>
      <c r="B193" s="33" t="s">
        <v>141</v>
      </c>
      <c r="C193" s="36" t="s">
        <v>141</v>
      </c>
      <c r="E193" s="34" t="s">
        <v>141</v>
      </c>
      <c r="F193" s="33" t="s">
        <v>141</v>
      </c>
      <c r="G193" s="36" t="s">
        <v>141</v>
      </c>
    </row>
    <row r="194" spans="1:7">
      <c r="A194" s="34" t="s">
        <v>141</v>
      </c>
      <c r="B194" s="33" t="s">
        <v>141</v>
      </c>
      <c r="C194" s="36" t="s">
        <v>141</v>
      </c>
      <c r="E194" s="34" t="s">
        <v>141</v>
      </c>
      <c r="F194" s="33" t="s">
        <v>141</v>
      </c>
      <c r="G194" s="36" t="s">
        <v>141</v>
      </c>
    </row>
    <row r="195" spans="1:7">
      <c r="A195" s="34" t="s">
        <v>141</v>
      </c>
      <c r="B195" s="33" t="s">
        <v>141</v>
      </c>
      <c r="C195" s="36" t="s">
        <v>141</v>
      </c>
      <c r="E195" s="34" t="s">
        <v>141</v>
      </c>
      <c r="F195" s="33" t="s">
        <v>141</v>
      </c>
      <c r="G195" s="36" t="s">
        <v>141</v>
      </c>
    </row>
    <row r="196" spans="1:7">
      <c r="A196" s="34" t="s">
        <v>141</v>
      </c>
      <c r="B196" s="33" t="s">
        <v>141</v>
      </c>
      <c r="C196" s="36" t="s">
        <v>141</v>
      </c>
      <c r="E196" s="34" t="s">
        <v>141</v>
      </c>
      <c r="F196" s="33" t="s">
        <v>141</v>
      </c>
      <c r="G196" s="36" t="s">
        <v>141</v>
      </c>
    </row>
    <row r="197" spans="1:7">
      <c r="A197" s="34" t="s">
        <v>141</v>
      </c>
      <c r="B197" s="33" t="s">
        <v>141</v>
      </c>
      <c r="C197" s="36" t="s">
        <v>141</v>
      </c>
      <c r="E197" s="34" t="s">
        <v>141</v>
      </c>
      <c r="F197" s="33" t="s">
        <v>141</v>
      </c>
      <c r="G197" s="36" t="s">
        <v>141</v>
      </c>
    </row>
    <row r="198" spans="1:7">
      <c r="A198" s="34" t="s">
        <v>141</v>
      </c>
      <c r="B198" s="33" t="s">
        <v>141</v>
      </c>
      <c r="C198" s="36" t="s">
        <v>141</v>
      </c>
      <c r="E198" s="34" t="s">
        <v>141</v>
      </c>
      <c r="F198" s="33" t="s">
        <v>141</v>
      </c>
      <c r="G198" s="36" t="s">
        <v>141</v>
      </c>
    </row>
    <row r="199" spans="1:7">
      <c r="A199" s="34" t="s">
        <v>141</v>
      </c>
      <c r="B199" s="33" t="s">
        <v>141</v>
      </c>
      <c r="C199" s="36" t="s">
        <v>141</v>
      </c>
      <c r="E199" s="34" t="s">
        <v>141</v>
      </c>
      <c r="F199" s="33" t="s">
        <v>141</v>
      </c>
      <c r="G199" s="36" t="s">
        <v>141</v>
      </c>
    </row>
    <row r="200" spans="1:7">
      <c r="A200" s="34" t="s">
        <v>141</v>
      </c>
      <c r="B200" s="33" t="s">
        <v>141</v>
      </c>
      <c r="C200" s="36" t="s">
        <v>141</v>
      </c>
      <c r="E200" s="34" t="s">
        <v>141</v>
      </c>
      <c r="F200" s="33" t="s">
        <v>141</v>
      </c>
      <c r="G200" s="36" t="s">
        <v>141</v>
      </c>
    </row>
    <row r="201" spans="1:7">
      <c r="A201" s="34" t="s">
        <v>141</v>
      </c>
      <c r="B201" s="33" t="s">
        <v>141</v>
      </c>
      <c r="C201" s="36" t="s">
        <v>141</v>
      </c>
      <c r="E201" s="34" t="s">
        <v>141</v>
      </c>
      <c r="F201" s="33" t="s">
        <v>141</v>
      </c>
      <c r="G201" s="36" t="s">
        <v>141</v>
      </c>
    </row>
    <row r="202" spans="1:7">
      <c r="A202" s="34" t="s">
        <v>141</v>
      </c>
      <c r="B202" s="33" t="s">
        <v>141</v>
      </c>
      <c r="C202" s="36" t="s">
        <v>141</v>
      </c>
      <c r="E202" s="34" t="s">
        <v>141</v>
      </c>
      <c r="F202" s="33" t="s">
        <v>141</v>
      </c>
      <c r="G202" s="36" t="s">
        <v>141</v>
      </c>
    </row>
    <row r="203" spans="1:7">
      <c r="A203" s="34" t="s">
        <v>141</v>
      </c>
      <c r="B203" s="33" t="s">
        <v>141</v>
      </c>
      <c r="C203" s="36" t="s">
        <v>141</v>
      </c>
      <c r="E203" s="34" t="s">
        <v>141</v>
      </c>
      <c r="F203" s="33" t="s">
        <v>141</v>
      </c>
      <c r="G203" s="36" t="s">
        <v>141</v>
      </c>
    </row>
    <row r="204" spans="1:7">
      <c r="A204" s="34" t="s">
        <v>141</v>
      </c>
      <c r="B204" s="33" t="s">
        <v>141</v>
      </c>
      <c r="C204" s="36" t="s">
        <v>141</v>
      </c>
      <c r="E204" s="34" t="s">
        <v>141</v>
      </c>
      <c r="F204" s="33" t="s">
        <v>141</v>
      </c>
      <c r="G204" s="36" t="s">
        <v>141</v>
      </c>
    </row>
    <row r="205" spans="1:7">
      <c r="A205" s="34" t="s">
        <v>141</v>
      </c>
      <c r="B205" s="33" t="s">
        <v>141</v>
      </c>
      <c r="C205" s="36" t="s">
        <v>141</v>
      </c>
      <c r="E205" s="34" t="s">
        <v>141</v>
      </c>
      <c r="F205" s="33" t="s">
        <v>141</v>
      </c>
      <c r="G205" s="36" t="s">
        <v>141</v>
      </c>
    </row>
    <row r="206" spans="1:7">
      <c r="A206" s="34" t="s">
        <v>141</v>
      </c>
      <c r="B206" s="33" t="s">
        <v>141</v>
      </c>
      <c r="C206" s="36" t="s">
        <v>141</v>
      </c>
      <c r="E206" s="34" t="s">
        <v>141</v>
      </c>
      <c r="F206" s="33" t="s">
        <v>141</v>
      </c>
      <c r="G206" s="36" t="s">
        <v>141</v>
      </c>
    </row>
    <row r="207" spans="1:7">
      <c r="A207" s="34" t="s">
        <v>141</v>
      </c>
      <c r="B207" s="33" t="s">
        <v>141</v>
      </c>
      <c r="C207" s="36" t="s">
        <v>141</v>
      </c>
      <c r="E207" s="34" t="s">
        <v>141</v>
      </c>
      <c r="F207" s="33" t="s">
        <v>141</v>
      </c>
      <c r="G207" s="36" t="s">
        <v>141</v>
      </c>
    </row>
    <row r="208" spans="1:7">
      <c r="A208" s="34" t="s">
        <v>141</v>
      </c>
      <c r="B208" s="33" t="s">
        <v>141</v>
      </c>
      <c r="C208" s="36" t="s">
        <v>141</v>
      </c>
      <c r="E208" s="34" t="s">
        <v>141</v>
      </c>
      <c r="F208" s="33" t="s">
        <v>141</v>
      </c>
      <c r="G208" s="36" t="s">
        <v>141</v>
      </c>
    </row>
    <row r="209" spans="1:7">
      <c r="A209" s="34" t="s">
        <v>141</v>
      </c>
      <c r="B209" s="33" t="s">
        <v>141</v>
      </c>
      <c r="C209" s="36" t="s">
        <v>141</v>
      </c>
      <c r="E209" s="34" t="s">
        <v>141</v>
      </c>
      <c r="F209" s="33" t="s">
        <v>141</v>
      </c>
      <c r="G209" s="36" t="s">
        <v>141</v>
      </c>
    </row>
    <row r="210" spans="1:7">
      <c r="A210" s="34" t="s">
        <v>141</v>
      </c>
      <c r="B210" s="33" t="s">
        <v>141</v>
      </c>
      <c r="C210" s="36" t="s">
        <v>141</v>
      </c>
      <c r="E210" s="34" t="s">
        <v>141</v>
      </c>
      <c r="F210" s="33" t="s">
        <v>141</v>
      </c>
      <c r="G210" s="36" t="s">
        <v>141</v>
      </c>
    </row>
    <row r="211" spans="1:7">
      <c r="A211" s="34" t="s">
        <v>141</v>
      </c>
      <c r="B211" s="33" t="s">
        <v>141</v>
      </c>
      <c r="C211" s="36" t="s">
        <v>141</v>
      </c>
      <c r="E211" s="34" t="s">
        <v>141</v>
      </c>
      <c r="F211" s="33" t="s">
        <v>141</v>
      </c>
      <c r="G211" s="36" t="s">
        <v>141</v>
      </c>
    </row>
    <row r="212" spans="1:7">
      <c r="A212" s="34" t="s">
        <v>141</v>
      </c>
      <c r="B212" s="33" t="s">
        <v>141</v>
      </c>
      <c r="C212" s="36" t="s">
        <v>141</v>
      </c>
      <c r="E212" s="34" t="s">
        <v>141</v>
      </c>
      <c r="F212" s="33" t="s">
        <v>141</v>
      </c>
      <c r="G212" s="36" t="s">
        <v>141</v>
      </c>
    </row>
    <row r="213" spans="1:7">
      <c r="A213" s="34" t="s">
        <v>141</v>
      </c>
      <c r="B213" s="33" t="s">
        <v>141</v>
      </c>
      <c r="C213" s="36" t="s">
        <v>141</v>
      </c>
      <c r="E213" s="34" t="s">
        <v>141</v>
      </c>
      <c r="F213" s="33" t="s">
        <v>141</v>
      </c>
      <c r="G213" s="36" t="s">
        <v>141</v>
      </c>
    </row>
    <row r="214" spans="1:7">
      <c r="A214" s="34" t="s">
        <v>141</v>
      </c>
      <c r="B214" s="33" t="s">
        <v>141</v>
      </c>
      <c r="C214" s="36" t="s">
        <v>141</v>
      </c>
      <c r="E214" s="34" t="s">
        <v>141</v>
      </c>
      <c r="F214" s="33" t="s">
        <v>141</v>
      </c>
      <c r="G214" s="36" t="s">
        <v>141</v>
      </c>
    </row>
    <row r="215" spans="1:7">
      <c r="A215" s="34" t="s">
        <v>141</v>
      </c>
      <c r="B215" s="33" t="s">
        <v>141</v>
      </c>
      <c r="C215" s="36" t="s">
        <v>141</v>
      </c>
      <c r="E215" s="34" t="s">
        <v>141</v>
      </c>
      <c r="F215" s="33" t="s">
        <v>141</v>
      </c>
      <c r="G215" s="36" t="s">
        <v>141</v>
      </c>
    </row>
    <row r="216" spans="1:7">
      <c r="A216" s="34" t="s">
        <v>141</v>
      </c>
      <c r="B216" s="33" t="s">
        <v>141</v>
      </c>
      <c r="C216" s="36" t="s">
        <v>141</v>
      </c>
      <c r="E216" s="34" t="s">
        <v>141</v>
      </c>
      <c r="F216" s="33" t="s">
        <v>141</v>
      </c>
      <c r="G216" s="36" t="s">
        <v>141</v>
      </c>
    </row>
    <row r="217" spans="1:7">
      <c r="A217" s="34" t="s">
        <v>141</v>
      </c>
      <c r="B217" s="33" t="s">
        <v>141</v>
      </c>
      <c r="C217" s="36" t="s">
        <v>141</v>
      </c>
      <c r="E217" s="34" t="s">
        <v>141</v>
      </c>
      <c r="F217" s="33" t="s">
        <v>141</v>
      </c>
      <c r="G217" s="36" t="s">
        <v>141</v>
      </c>
    </row>
    <row r="218" spans="1:7">
      <c r="A218" s="34" t="s">
        <v>141</v>
      </c>
      <c r="B218" s="33" t="s">
        <v>141</v>
      </c>
      <c r="C218" s="36" t="s">
        <v>141</v>
      </c>
      <c r="E218" s="34" t="s">
        <v>141</v>
      </c>
      <c r="F218" s="33" t="s">
        <v>141</v>
      </c>
      <c r="G218" s="36" t="s">
        <v>141</v>
      </c>
    </row>
    <row r="219" spans="1:7">
      <c r="A219" s="34" t="s">
        <v>141</v>
      </c>
      <c r="B219" s="33" t="s">
        <v>141</v>
      </c>
      <c r="C219" s="36" t="s">
        <v>141</v>
      </c>
      <c r="E219" s="34" t="s">
        <v>141</v>
      </c>
      <c r="F219" s="33" t="s">
        <v>141</v>
      </c>
      <c r="G219" s="36" t="s">
        <v>141</v>
      </c>
    </row>
    <row r="220" spans="1:7">
      <c r="A220" s="34" t="s">
        <v>141</v>
      </c>
      <c r="B220" s="33" t="s">
        <v>141</v>
      </c>
      <c r="C220" s="36" t="s">
        <v>141</v>
      </c>
      <c r="E220" s="34" t="s">
        <v>141</v>
      </c>
      <c r="F220" s="33" t="s">
        <v>141</v>
      </c>
      <c r="G220" s="36" t="s">
        <v>141</v>
      </c>
    </row>
    <row r="221" spans="1:7">
      <c r="A221" s="34" t="s">
        <v>141</v>
      </c>
      <c r="B221" s="33" t="s">
        <v>141</v>
      </c>
      <c r="C221" s="36" t="s">
        <v>141</v>
      </c>
      <c r="E221" s="34" t="s">
        <v>141</v>
      </c>
      <c r="F221" s="33" t="s">
        <v>141</v>
      </c>
      <c r="G221" s="36" t="s">
        <v>141</v>
      </c>
    </row>
    <row r="222" spans="1:7">
      <c r="A222" s="34" t="s">
        <v>141</v>
      </c>
      <c r="B222" s="33" t="s">
        <v>141</v>
      </c>
      <c r="C222" s="36" t="s">
        <v>141</v>
      </c>
      <c r="E222" s="34" t="s">
        <v>141</v>
      </c>
      <c r="F222" s="33" t="s">
        <v>141</v>
      </c>
      <c r="G222" s="36" t="s">
        <v>141</v>
      </c>
    </row>
    <row r="223" spans="1:7">
      <c r="A223" s="34" t="s">
        <v>141</v>
      </c>
      <c r="B223" s="33" t="s">
        <v>141</v>
      </c>
      <c r="C223" s="36" t="s">
        <v>141</v>
      </c>
      <c r="E223" s="34" t="s">
        <v>141</v>
      </c>
      <c r="F223" s="33" t="s">
        <v>141</v>
      </c>
      <c r="G223" s="36" t="s">
        <v>141</v>
      </c>
    </row>
    <row r="224" spans="1:7">
      <c r="A224" s="34" t="s">
        <v>141</v>
      </c>
      <c r="B224" s="33" t="s">
        <v>141</v>
      </c>
      <c r="C224" s="36" t="s">
        <v>141</v>
      </c>
      <c r="E224" s="34" t="s">
        <v>141</v>
      </c>
      <c r="F224" s="33" t="s">
        <v>141</v>
      </c>
      <c r="G224" s="36" t="s">
        <v>141</v>
      </c>
    </row>
    <row r="225" spans="1:7">
      <c r="A225" s="34" t="s">
        <v>141</v>
      </c>
      <c r="B225" s="33" t="s">
        <v>141</v>
      </c>
      <c r="C225" s="36" t="s">
        <v>141</v>
      </c>
      <c r="E225" s="34" t="s">
        <v>141</v>
      </c>
      <c r="F225" s="33" t="s">
        <v>141</v>
      </c>
      <c r="G225" s="36" t="s">
        <v>141</v>
      </c>
    </row>
    <row r="226" spans="1:7">
      <c r="A226" s="34" t="s">
        <v>141</v>
      </c>
      <c r="B226" s="33" t="s">
        <v>141</v>
      </c>
      <c r="C226" s="36" t="s">
        <v>141</v>
      </c>
      <c r="E226" s="34" t="s">
        <v>141</v>
      </c>
      <c r="F226" s="33" t="s">
        <v>141</v>
      </c>
      <c r="G226" s="36" t="s">
        <v>141</v>
      </c>
    </row>
    <row r="227" spans="1:7">
      <c r="A227" s="34" t="s">
        <v>141</v>
      </c>
      <c r="B227" s="33" t="s">
        <v>141</v>
      </c>
      <c r="C227" s="36" t="s">
        <v>141</v>
      </c>
      <c r="E227" s="34" t="s">
        <v>141</v>
      </c>
      <c r="F227" s="33" t="s">
        <v>141</v>
      </c>
      <c r="G227" s="36" t="s">
        <v>141</v>
      </c>
    </row>
    <row r="228" spans="1:7">
      <c r="A228" s="34" t="s">
        <v>141</v>
      </c>
      <c r="B228" s="33" t="s">
        <v>141</v>
      </c>
      <c r="C228" s="36" t="s">
        <v>141</v>
      </c>
      <c r="E228" s="34" t="s">
        <v>141</v>
      </c>
      <c r="F228" s="33" t="s">
        <v>141</v>
      </c>
      <c r="G228" s="36" t="s">
        <v>141</v>
      </c>
    </row>
    <row r="229" spans="1:7">
      <c r="A229" s="34" t="s">
        <v>141</v>
      </c>
      <c r="B229" s="33" t="s">
        <v>141</v>
      </c>
      <c r="C229" s="36" t="s">
        <v>141</v>
      </c>
      <c r="E229" s="34" t="s">
        <v>141</v>
      </c>
      <c r="F229" s="33" t="s">
        <v>141</v>
      </c>
      <c r="G229" s="36" t="s">
        <v>141</v>
      </c>
    </row>
    <row r="230" spans="1:7">
      <c r="A230" s="34" t="s">
        <v>141</v>
      </c>
      <c r="B230" s="33" t="s">
        <v>141</v>
      </c>
      <c r="C230" s="36" t="s">
        <v>141</v>
      </c>
      <c r="E230" s="34" t="s">
        <v>141</v>
      </c>
      <c r="F230" s="33" t="s">
        <v>141</v>
      </c>
      <c r="G230" s="36" t="s">
        <v>141</v>
      </c>
    </row>
    <row r="231" spans="1:7">
      <c r="A231" s="34" t="s">
        <v>141</v>
      </c>
      <c r="B231" s="33" t="s">
        <v>141</v>
      </c>
      <c r="C231" s="36" t="s">
        <v>141</v>
      </c>
      <c r="E231" s="34" t="s">
        <v>141</v>
      </c>
      <c r="F231" s="33" t="s">
        <v>141</v>
      </c>
      <c r="G231" s="36" t="s">
        <v>141</v>
      </c>
    </row>
    <row r="232" spans="1:7">
      <c r="A232" s="34" t="s">
        <v>141</v>
      </c>
      <c r="B232" s="33" t="s">
        <v>141</v>
      </c>
      <c r="C232" s="36" t="s">
        <v>141</v>
      </c>
      <c r="E232" s="34" t="s">
        <v>141</v>
      </c>
      <c r="F232" s="33" t="s">
        <v>141</v>
      </c>
      <c r="G232" s="36" t="s">
        <v>141</v>
      </c>
    </row>
    <row r="233" spans="1:7">
      <c r="A233" s="34" t="s">
        <v>141</v>
      </c>
      <c r="B233" s="33" t="s">
        <v>141</v>
      </c>
      <c r="C233" s="36" t="s">
        <v>141</v>
      </c>
      <c r="E233" s="34" t="s">
        <v>141</v>
      </c>
      <c r="F233" s="33" t="s">
        <v>141</v>
      </c>
      <c r="G233" s="36" t="s">
        <v>141</v>
      </c>
    </row>
    <row r="234" spans="1:7">
      <c r="A234" s="34" t="s">
        <v>141</v>
      </c>
      <c r="B234" s="33" t="s">
        <v>141</v>
      </c>
      <c r="C234" s="36" t="s">
        <v>141</v>
      </c>
      <c r="E234" s="34" t="s">
        <v>141</v>
      </c>
      <c r="F234" s="33" t="s">
        <v>141</v>
      </c>
      <c r="G234" s="36" t="s">
        <v>141</v>
      </c>
    </row>
    <row r="235" spans="1:7">
      <c r="A235" s="34" t="s">
        <v>141</v>
      </c>
      <c r="B235" s="33" t="s">
        <v>141</v>
      </c>
      <c r="C235" s="36" t="s">
        <v>141</v>
      </c>
      <c r="E235" s="34" t="s">
        <v>141</v>
      </c>
      <c r="F235" s="33" t="s">
        <v>141</v>
      </c>
      <c r="G235" s="36" t="s">
        <v>141</v>
      </c>
    </row>
    <row r="236" spans="1:7">
      <c r="A236" s="34" t="s">
        <v>141</v>
      </c>
      <c r="B236" s="33" t="s">
        <v>141</v>
      </c>
      <c r="C236" s="36" t="s">
        <v>141</v>
      </c>
      <c r="E236" s="34" t="s">
        <v>141</v>
      </c>
      <c r="F236" s="33" t="s">
        <v>141</v>
      </c>
      <c r="G236" s="36" t="s">
        <v>141</v>
      </c>
    </row>
    <row r="237" spans="1:7">
      <c r="A237" s="34" t="s">
        <v>141</v>
      </c>
      <c r="B237" s="33" t="s">
        <v>141</v>
      </c>
      <c r="C237" s="36" t="s">
        <v>141</v>
      </c>
      <c r="E237" s="34" t="s">
        <v>141</v>
      </c>
      <c r="F237" s="33" t="s">
        <v>141</v>
      </c>
      <c r="G237" s="36" t="s">
        <v>141</v>
      </c>
    </row>
    <row r="238" spans="1:7">
      <c r="A238" s="34" t="s">
        <v>141</v>
      </c>
      <c r="B238" s="33" t="s">
        <v>141</v>
      </c>
      <c r="C238" s="36" t="s">
        <v>141</v>
      </c>
      <c r="E238" s="34" t="s">
        <v>141</v>
      </c>
      <c r="F238" s="33" t="s">
        <v>141</v>
      </c>
      <c r="G238" s="36" t="s">
        <v>141</v>
      </c>
    </row>
    <row r="239" spans="1:7">
      <c r="A239" s="34" t="s">
        <v>141</v>
      </c>
      <c r="B239" s="33" t="s">
        <v>141</v>
      </c>
      <c r="C239" s="36" t="s">
        <v>141</v>
      </c>
      <c r="E239" s="34" t="s">
        <v>141</v>
      </c>
      <c r="F239" s="33" t="s">
        <v>141</v>
      </c>
      <c r="G239" s="36" t="s">
        <v>141</v>
      </c>
    </row>
    <row r="240" spans="1:7">
      <c r="A240" s="34" t="s">
        <v>141</v>
      </c>
      <c r="B240" s="33" t="s">
        <v>141</v>
      </c>
      <c r="C240" s="36" t="s">
        <v>141</v>
      </c>
      <c r="E240" s="34" t="s">
        <v>141</v>
      </c>
      <c r="F240" s="33" t="s">
        <v>141</v>
      </c>
      <c r="G240" s="36" t="s">
        <v>141</v>
      </c>
    </row>
    <row r="241" spans="1:7">
      <c r="A241" s="34" t="s">
        <v>141</v>
      </c>
      <c r="B241" s="33" t="s">
        <v>141</v>
      </c>
      <c r="C241" s="36" t="s">
        <v>141</v>
      </c>
      <c r="E241" s="34" t="s">
        <v>141</v>
      </c>
      <c r="F241" s="33" t="s">
        <v>141</v>
      </c>
      <c r="G241" s="36" t="s">
        <v>141</v>
      </c>
    </row>
    <row r="242" spans="1:7">
      <c r="A242" s="34" t="s">
        <v>141</v>
      </c>
      <c r="B242" s="33" t="s">
        <v>141</v>
      </c>
      <c r="C242" s="36" t="s">
        <v>141</v>
      </c>
      <c r="E242" s="34" t="s">
        <v>141</v>
      </c>
      <c r="F242" s="33" t="s">
        <v>141</v>
      </c>
      <c r="G242" s="36" t="s">
        <v>141</v>
      </c>
    </row>
    <row r="243" spans="1:7">
      <c r="A243" s="34" t="s">
        <v>141</v>
      </c>
      <c r="B243" s="33" t="s">
        <v>141</v>
      </c>
      <c r="C243" s="36" t="s">
        <v>141</v>
      </c>
      <c r="E243" s="34" t="s">
        <v>141</v>
      </c>
      <c r="F243" s="33" t="s">
        <v>141</v>
      </c>
      <c r="G243" s="36" t="s">
        <v>141</v>
      </c>
    </row>
    <row r="244" spans="1:7">
      <c r="A244" s="34" t="s">
        <v>141</v>
      </c>
      <c r="B244" s="33" t="s">
        <v>141</v>
      </c>
      <c r="C244" s="36" t="s">
        <v>141</v>
      </c>
      <c r="E244" s="34" t="s">
        <v>141</v>
      </c>
      <c r="F244" s="33" t="s">
        <v>141</v>
      </c>
      <c r="G244" s="36" t="s">
        <v>141</v>
      </c>
    </row>
    <row r="245" spans="1:7">
      <c r="A245" s="34" t="s">
        <v>141</v>
      </c>
      <c r="B245" s="33" t="s">
        <v>141</v>
      </c>
      <c r="C245" s="36" t="s">
        <v>141</v>
      </c>
      <c r="E245" s="34" t="s">
        <v>141</v>
      </c>
      <c r="F245" s="33" t="s">
        <v>141</v>
      </c>
      <c r="G245" s="36" t="s">
        <v>141</v>
      </c>
    </row>
    <row r="246" spans="1:7">
      <c r="A246" s="34" t="s">
        <v>141</v>
      </c>
      <c r="B246" s="33" t="s">
        <v>141</v>
      </c>
      <c r="C246" s="36" t="s">
        <v>141</v>
      </c>
      <c r="E246" s="34" t="s">
        <v>141</v>
      </c>
      <c r="F246" s="33" t="s">
        <v>141</v>
      </c>
      <c r="G246" s="36" t="s">
        <v>141</v>
      </c>
    </row>
    <row r="247" spans="1:7">
      <c r="A247" s="34" t="s">
        <v>141</v>
      </c>
      <c r="B247" s="33" t="s">
        <v>141</v>
      </c>
      <c r="C247" s="36" t="s">
        <v>141</v>
      </c>
      <c r="E247" s="34" t="s">
        <v>141</v>
      </c>
      <c r="F247" s="33" t="s">
        <v>141</v>
      </c>
      <c r="G247" s="36" t="s">
        <v>141</v>
      </c>
    </row>
    <row r="248" spans="1:7">
      <c r="A248" s="34" t="s">
        <v>141</v>
      </c>
      <c r="B248" s="33" t="s">
        <v>141</v>
      </c>
      <c r="C248" s="36" t="s">
        <v>141</v>
      </c>
      <c r="E248" s="34" t="s">
        <v>141</v>
      </c>
      <c r="F248" s="33" t="s">
        <v>141</v>
      </c>
      <c r="G248" s="36" t="s">
        <v>141</v>
      </c>
    </row>
    <row r="249" spans="1:7">
      <c r="A249" s="34" t="s">
        <v>141</v>
      </c>
      <c r="B249" s="33" t="s">
        <v>141</v>
      </c>
      <c r="C249" s="36" t="s">
        <v>141</v>
      </c>
      <c r="E249" s="34" t="s">
        <v>141</v>
      </c>
      <c r="F249" s="33" t="s">
        <v>141</v>
      </c>
      <c r="G249" s="36" t="s">
        <v>141</v>
      </c>
    </row>
    <row r="250" spans="1:7">
      <c r="A250" s="34" t="s">
        <v>141</v>
      </c>
      <c r="B250" s="33" t="s">
        <v>141</v>
      </c>
      <c r="C250" s="36" t="s">
        <v>141</v>
      </c>
      <c r="E250" s="34" t="s">
        <v>141</v>
      </c>
      <c r="F250" s="33" t="s">
        <v>141</v>
      </c>
      <c r="G250" s="36" t="s">
        <v>141</v>
      </c>
    </row>
    <row r="251" spans="1:7">
      <c r="A251" s="34" t="s">
        <v>141</v>
      </c>
      <c r="B251" s="33" t="s">
        <v>141</v>
      </c>
      <c r="C251" s="36" t="s">
        <v>141</v>
      </c>
      <c r="E251" s="34" t="s">
        <v>141</v>
      </c>
      <c r="F251" s="33" t="s">
        <v>141</v>
      </c>
      <c r="G251" s="36" t="s">
        <v>141</v>
      </c>
    </row>
    <row r="252" spans="1:7">
      <c r="A252" s="34" t="s">
        <v>141</v>
      </c>
      <c r="B252" s="33" t="s">
        <v>141</v>
      </c>
      <c r="C252" s="36" t="s">
        <v>141</v>
      </c>
      <c r="E252" s="34" t="s">
        <v>141</v>
      </c>
      <c r="F252" s="33" t="s">
        <v>141</v>
      </c>
      <c r="G252" s="36" t="s">
        <v>141</v>
      </c>
    </row>
    <row r="253" spans="1:7">
      <c r="A253" s="34" t="s">
        <v>141</v>
      </c>
      <c r="B253" s="33" t="s">
        <v>141</v>
      </c>
      <c r="C253" s="36" t="s">
        <v>141</v>
      </c>
      <c r="E253" s="34" t="s">
        <v>141</v>
      </c>
      <c r="F253" s="33" t="s">
        <v>141</v>
      </c>
      <c r="G253" s="36" t="s">
        <v>141</v>
      </c>
    </row>
    <row r="254" spans="1:7">
      <c r="A254" s="34" t="s">
        <v>141</v>
      </c>
      <c r="B254" s="33" t="s">
        <v>141</v>
      </c>
      <c r="C254" s="36" t="s">
        <v>141</v>
      </c>
      <c r="E254" s="34" t="s">
        <v>141</v>
      </c>
      <c r="F254" s="33" t="s">
        <v>141</v>
      </c>
      <c r="G254" s="36" t="s">
        <v>141</v>
      </c>
    </row>
    <row r="255" spans="1:7">
      <c r="A255" s="34" t="s">
        <v>141</v>
      </c>
      <c r="B255" s="33" t="s">
        <v>141</v>
      </c>
      <c r="C255" s="36" t="s">
        <v>141</v>
      </c>
      <c r="E255" s="34" t="s">
        <v>141</v>
      </c>
      <c r="F255" s="33" t="s">
        <v>141</v>
      </c>
      <c r="G255" s="36" t="s">
        <v>141</v>
      </c>
    </row>
    <row r="256" spans="1:7">
      <c r="A256" s="34" t="s">
        <v>141</v>
      </c>
      <c r="B256" s="33" t="s">
        <v>141</v>
      </c>
      <c r="C256" s="36" t="s">
        <v>141</v>
      </c>
      <c r="E256" s="34" t="s">
        <v>141</v>
      </c>
      <c r="F256" s="33" t="s">
        <v>141</v>
      </c>
      <c r="G256" s="36" t="s">
        <v>141</v>
      </c>
    </row>
    <row r="257" spans="1:7">
      <c r="A257" s="34" t="s">
        <v>141</v>
      </c>
      <c r="B257" s="33" t="s">
        <v>141</v>
      </c>
      <c r="C257" s="36" t="s">
        <v>141</v>
      </c>
      <c r="E257" s="34" t="s">
        <v>141</v>
      </c>
      <c r="F257" s="33" t="s">
        <v>141</v>
      </c>
      <c r="G257" s="36" t="s">
        <v>141</v>
      </c>
    </row>
    <row r="258" spans="1:7">
      <c r="A258" s="34" t="s">
        <v>141</v>
      </c>
      <c r="B258" s="33" t="s">
        <v>141</v>
      </c>
      <c r="C258" s="36" t="s">
        <v>141</v>
      </c>
      <c r="E258" s="34" t="s">
        <v>141</v>
      </c>
      <c r="F258" s="33" t="s">
        <v>141</v>
      </c>
      <c r="G258" s="36" t="s">
        <v>141</v>
      </c>
    </row>
    <row r="259" spans="1:7">
      <c r="A259" s="34" t="s">
        <v>141</v>
      </c>
      <c r="B259" s="33" t="s">
        <v>141</v>
      </c>
      <c r="C259" s="36" t="s">
        <v>141</v>
      </c>
      <c r="E259" s="34" t="s">
        <v>141</v>
      </c>
      <c r="F259" s="33" t="s">
        <v>141</v>
      </c>
      <c r="G259" s="36" t="s">
        <v>141</v>
      </c>
    </row>
    <row r="260" spans="1:7">
      <c r="A260" s="34" t="s">
        <v>141</v>
      </c>
      <c r="B260" s="33" t="s">
        <v>141</v>
      </c>
      <c r="C260" s="36" t="s">
        <v>141</v>
      </c>
      <c r="E260" s="34" t="s">
        <v>141</v>
      </c>
      <c r="F260" s="33" t="s">
        <v>141</v>
      </c>
      <c r="G260" s="36" t="s">
        <v>141</v>
      </c>
    </row>
    <row r="261" spans="1:7">
      <c r="A261" s="34" t="s">
        <v>141</v>
      </c>
      <c r="B261" s="33" t="s">
        <v>141</v>
      </c>
      <c r="C261" s="36" t="s">
        <v>141</v>
      </c>
      <c r="E261" s="34" t="s">
        <v>141</v>
      </c>
      <c r="F261" s="33" t="s">
        <v>141</v>
      </c>
      <c r="G261" s="36" t="s">
        <v>141</v>
      </c>
    </row>
    <row r="262" spans="1:7">
      <c r="A262" s="34" t="s">
        <v>141</v>
      </c>
      <c r="B262" s="33" t="s">
        <v>141</v>
      </c>
      <c r="C262" s="36" t="s">
        <v>141</v>
      </c>
      <c r="E262" s="34" t="s">
        <v>141</v>
      </c>
      <c r="F262" s="33" t="s">
        <v>141</v>
      </c>
      <c r="G262" s="36" t="s">
        <v>141</v>
      </c>
    </row>
    <row r="263" spans="1:7">
      <c r="A263" s="34" t="s">
        <v>141</v>
      </c>
      <c r="B263" s="33" t="s">
        <v>141</v>
      </c>
      <c r="C263" s="36" t="s">
        <v>141</v>
      </c>
      <c r="E263" s="34" t="s">
        <v>141</v>
      </c>
      <c r="F263" s="33" t="s">
        <v>141</v>
      </c>
      <c r="G263" s="36" t="s">
        <v>141</v>
      </c>
    </row>
    <row r="264" spans="1:7">
      <c r="A264" s="34" t="s">
        <v>141</v>
      </c>
      <c r="B264" s="33" t="s">
        <v>141</v>
      </c>
      <c r="C264" s="36" t="s">
        <v>141</v>
      </c>
      <c r="E264" s="34" t="s">
        <v>141</v>
      </c>
      <c r="F264" s="33" t="s">
        <v>141</v>
      </c>
      <c r="G264" s="36" t="s">
        <v>141</v>
      </c>
    </row>
    <row r="265" spans="1:7">
      <c r="A265" s="34" t="s">
        <v>141</v>
      </c>
      <c r="B265" s="33" t="s">
        <v>141</v>
      </c>
      <c r="C265" s="36" t="s">
        <v>141</v>
      </c>
      <c r="E265" s="34" t="s">
        <v>141</v>
      </c>
      <c r="F265" s="33" t="s">
        <v>141</v>
      </c>
      <c r="G265" s="36" t="s">
        <v>141</v>
      </c>
    </row>
    <row r="266" spans="1:7">
      <c r="A266" s="34" t="s">
        <v>141</v>
      </c>
      <c r="B266" s="33" t="s">
        <v>141</v>
      </c>
      <c r="C266" s="36" t="s">
        <v>141</v>
      </c>
      <c r="E266" s="34" t="s">
        <v>141</v>
      </c>
      <c r="F266" s="33" t="s">
        <v>141</v>
      </c>
      <c r="G266" s="36" t="s">
        <v>141</v>
      </c>
    </row>
    <row r="267" spans="1:7">
      <c r="A267" s="34" t="s">
        <v>141</v>
      </c>
      <c r="B267" s="33" t="s">
        <v>141</v>
      </c>
      <c r="C267" s="36" t="s">
        <v>141</v>
      </c>
      <c r="E267" s="34" t="s">
        <v>141</v>
      </c>
      <c r="F267" s="33" t="s">
        <v>141</v>
      </c>
      <c r="G267" s="36" t="s">
        <v>141</v>
      </c>
    </row>
    <row r="268" spans="1:7">
      <c r="A268" s="34" t="s">
        <v>141</v>
      </c>
      <c r="B268" s="33" t="s">
        <v>141</v>
      </c>
      <c r="C268" s="36" t="s">
        <v>141</v>
      </c>
      <c r="E268" s="34" t="s">
        <v>141</v>
      </c>
      <c r="F268" s="33" t="s">
        <v>141</v>
      </c>
      <c r="G268" s="36" t="s">
        <v>141</v>
      </c>
    </row>
    <row r="269" spans="1:7">
      <c r="A269" s="34" t="s">
        <v>141</v>
      </c>
      <c r="B269" s="33" t="s">
        <v>141</v>
      </c>
      <c r="C269" s="36" t="s">
        <v>141</v>
      </c>
      <c r="E269" s="34" t="s">
        <v>141</v>
      </c>
      <c r="F269" s="33" t="s">
        <v>141</v>
      </c>
      <c r="G269" s="36" t="s">
        <v>141</v>
      </c>
    </row>
    <row r="270" spans="1:7">
      <c r="A270" s="34" t="s">
        <v>141</v>
      </c>
      <c r="B270" s="33" t="s">
        <v>141</v>
      </c>
      <c r="C270" s="36" t="s">
        <v>141</v>
      </c>
      <c r="E270" s="34" t="s">
        <v>141</v>
      </c>
      <c r="F270" s="33" t="s">
        <v>141</v>
      </c>
      <c r="G270" s="36" t="s">
        <v>141</v>
      </c>
    </row>
    <row r="271" spans="1:7">
      <c r="A271" s="34" t="s">
        <v>141</v>
      </c>
      <c r="B271" s="33" t="s">
        <v>141</v>
      </c>
      <c r="C271" s="36" t="s">
        <v>141</v>
      </c>
      <c r="E271" s="34" t="s">
        <v>141</v>
      </c>
      <c r="F271" s="33" t="s">
        <v>141</v>
      </c>
      <c r="G271" s="36" t="s">
        <v>141</v>
      </c>
    </row>
    <row r="272" spans="1:7">
      <c r="A272" s="34" t="s">
        <v>141</v>
      </c>
      <c r="B272" s="33" t="s">
        <v>141</v>
      </c>
      <c r="C272" s="36" t="s">
        <v>141</v>
      </c>
      <c r="E272" s="34" t="s">
        <v>141</v>
      </c>
      <c r="F272" s="33" t="s">
        <v>141</v>
      </c>
      <c r="G272" s="36" t="s">
        <v>141</v>
      </c>
    </row>
    <row r="273" spans="1:7">
      <c r="A273" s="34" t="s">
        <v>141</v>
      </c>
      <c r="B273" s="33" t="s">
        <v>141</v>
      </c>
      <c r="C273" s="36" t="s">
        <v>141</v>
      </c>
      <c r="E273" s="34" t="s">
        <v>141</v>
      </c>
      <c r="F273" s="33" t="s">
        <v>141</v>
      </c>
      <c r="G273" s="36" t="s">
        <v>141</v>
      </c>
    </row>
    <row r="274" spans="1:7">
      <c r="A274" s="34" t="s">
        <v>141</v>
      </c>
      <c r="B274" s="33" t="s">
        <v>141</v>
      </c>
      <c r="C274" s="36" t="s">
        <v>141</v>
      </c>
      <c r="E274" s="34" t="s">
        <v>141</v>
      </c>
      <c r="F274" s="33" t="s">
        <v>141</v>
      </c>
      <c r="G274" s="36" t="s">
        <v>141</v>
      </c>
    </row>
    <row r="275" spans="1:7">
      <c r="A275" s="34" t="s">
        <v>141</v>
      </c>
      <c r="B275" s="33" t="s">
        <v>141</v>
      </c>
      <c r="C275" s="36" t="s">
        <v>141</v>
      </c>
      <c r="E275" s="34" t="s">
        <v>141</v>
      </c>
      <c r="F275" s="33" t="s">
        <v>141</v>
      </c>
      <c r="G275" s="36" t="s">
        <v>141</v>
      </c>
    </row>
    <row r="276" spans="1:7">
      <c r="A276" s="34" t="s">
        <v>141</v>
      </c>
      <c r="B276" s="33" t="s">
        <v>141</v>
      </c>
      <c r="C276" s="36" t="s">
        <v>141</v>
      </c>
      <c r="E276" s="34" t="s">
        <v>141</v>
      </c>
      <c r="F276" s="33" t="s">
        <v>141</v>
      </c>
      <c r="G276" s="36" t="s">
        <v>141</v>
      </c>
    </row>
    <row r="277" spans="1:7">
      <c r="A277" s="34" t="s">
        <v>141</v>
      </c>
      <c r="B277" s="33" t="s">
        <v>141</v>
      </c>
      <c r="C277" s="36" t="s">
        <v>141</v>
      </c>
      <c r="E277" s="34" t="s">
        <v>141</v>
      </c>
      <c r="F277" s="33" t="s">
        <v>141</v>
      </c>
      <c r="G277" s="36" t="s">
        <v>141</v>
      </c>
    </row>
    <row r="278" spans="1:7">
      <c r="A278" s="34" t="s">
        <v>141</v>
      </c>
      <c r="B278" s="33" t="s">
        <v>141</v>
      </c>
      <c r="C278" s="36" t="s">
        <v>141</v>
      </c>
      <c r="E278" s="34" t="s">
        <v>141</v>
      </c>
      <c r="F278" s="33" t="s">
        <v>141</v>
      </c>
      <c r="G278" s="36" t="s">
        <v>141</v>
      </c>
    </row>
    <row r="279" spans="1:7">
      <c r="A279" s="34" t="s">
        <v>141</v>
      </c>
      <c r="B279" s="33" t="s">
        <v>141</v>
      </c>
      <c r="C279" s="36" t="s">
        <v>141</v>
      </c>
      <c r="E279" s="34" t="s">
        <v>141</v>
      </c>
      <c r="F279" s="33" t="s">
        <v>141</v>
      </c>
      <c r="G279" s="36" t="s">
        <v>141</v>
      </c>
    </row>
    <row r="280" spans="1:7">
      <c r="A280" s="34" t="s">
        <v>141</v>
      </c>
      <c r="B280" s="33" t="s">
        <v>141</v>
      </c>
      <c r="C280" s="36" t="s">
        <v>141</v>
      </c>
      <c r="E280" s="34" t="s">
        <v>141</v>
      </c>
      <c r="F280" s="33" t="s">
        <v>141</v>
      </c>
      <c r="G280" s="36" t="s">
        <v>141</v>
      </c>
    </row>
    <row r="281" spans="1:7">
      <c r="A281" s="34" t="s">
        <v>141</v>
      </c>
      <c r="B281" s="33" t="s">
        <v>141</v>
      </c>
      <c r="C281" s="36" t="s">
        <v>141</v>
      </c>
      <c r="E281" s="34" t="s">
        <v>141</v>
      </c>
      <c r="F281" s="33" t="s">
        <v>141</v>
      </c>
      <c r="G281" s="36" t="s">
        <v>141</v>
      </c>
    </row>
    <row r="282" spans="1:7">
      <c r="A282" s="34" t="s">
        <v>141</v>
      </c>
      <c r="B282" s="33" t="s">
        <v>141</v>
      </c>
      <c r="C282" s="36" t="s">
        <v>141</v>
      </c>
      <c r="E282" s="34" t="s">
        <v>141</v>
      </c>
      <c r="F282" s="33" t="s">
        <v>141</v>
      </c>
      <c r="G282" s="36" t="s">
        <v>141</v>
      </c>
    </row>
    <row r="283" spans="1:7">
      <c r="A283" s="34" t="s">
        <v>141</v>
      </c>
      <c r="B283" s="33" t="s">
        <v>141</v>
      </c>
      <c r="C283" s="36" t="s">
        <v>141</v>
      </c>
      <c r="E283" s="34" t="s">
        <v>141</v>
      </c>
      <c r="F283" s="33" t="s">
        <v>141</v>
      </c>
      <c r="G283" s="36" t="s">
        <v>141</v>
      </c>
    </row>
    <row r="284" spans="1:7">
      <c r="A284" s="34" t="s">
        <v>141</v>
      </c>
      <c r="B284" s="33" t="s">
        <v>141</v>
      </c>
      <c r="C284" s="36" t="s">
        <v>141</v>
      </c>
      <c r="E284" s="34" t="s">
        <v>141</v>
      </c>
      <c r="F284" s="33" t="s">
        <v>141</v>
      </c>
      <c r="G284" s="36" t="s">
        <v>141</v>
      </c>
    </row>
    <row r="285" spans="1:7">
      <c r="A285" s="34" t="s">
        <v>141</v>
      </c>
      <c r="B285" s="33" t="s">
        <v>141</v>
      </c>
      <c r="C285" s="36" t="s">
        <v>141</v>
      </c>
      <c r="E285" s="34" t="s">
        <v>141</v>
      </c>
      <c r="F285" s="33" t="s">
        <v>141</v>
      </c>
      <c r="G285" s="36" t="s">
        <v>141</v>
      </c>
    </row>
    <row r="286" spans="1:7">
      <c r="A286" s="34" t="s">
        <v>141</v>
      </c>
      <c r="B286" s="33" t="s">
        <v>141</v>
      </c>
      <c r="C286" s="36" t="s">
        <v>141</v>
      </c>
      <c r="E286" s="34" t="s">
        <v>141</v>
      </c>
      <c r="F286" s="33" t="s">
        <v>141</v>
      </c>
      <c r="G286" s="36" t="s">
        <v>141</v>
      </c>
    </row>
    <row r="287" spans="1:7">
      <c r="A287" s="34" t="s">
        <v>141</v>
      </c>
      <c r="B287" s="33" t="s">
        <v>141</v>
      </c>
      <c r="C287" s="36" t="s">
        <v>141</v>
      </c>
      <c r="E287" s="34" t="s">
        <v>141</v>
      </c>
      <c r="F287" s="33" t="s">
        <v>141</v>
      </c>
      <c r="G287" s="36" t="s">
        <v>141</v>
      </c>
    </row>
    <row r="288" spans="1:7">
      <c r="A288" s="34" t="s">
        <v>141</v>
      </c>
      <c r="B288" s="33" t="s">
        <v>141</v>
      </c>
      <c r="C288" s="36" t="s">
        <v>141</v>
      </c>
      <c r="E288" s="34" t="s">
        <v>141</v>
      </c>
      <c r="F288" s="33" t="s">
        <v>141</v>
      </c>
      <c r="G288" s="36" t="s">
        <v>141</v>
      </c>
    </row>
    <row r="289" spans="1:7">
      <c r="A289" s="34" t="s">
        <v>141</v>
      </c>
      <c r="B289" s="33" t="s">
        <v>141</v>
      </c>
      <c r="C289" s="36" t="s">
        <v>141</v>
      </c>
      <c r="E289" s="34" t="s">
        <v>141</v>
      </c>
      <c r="F289" s="33" t="s">
        <v>141</v>
      </c>
      <c r="G289" s="36" t="s">
        <v>141</v>
      </c>
    </row>
    <row r="290" spans="1:7">
      <c r="A290" s="34" t="s">
        <v>141</v>
      </c>
      <c r="B290" s="33" t="s">
        <v>141</v>
      </c>
      <c r="C290" s="36" t="s">
        <v>141</v>
      </c>
      <c r="E290" s="34" t="s">
        <v>141</v>
      </c>
      <c r="F290" s="33" t="s">
        <v>141</v>
      </c>
      <c r="G290" s="36" t="s">
        <v>141</v>
      </c>
    </row>
    <row r="291" spans="1:7">
      <c r="A291" s="34" t="s">
        <v>141</v>
      </c>
      <c r="B291" s="33" t="s">
        <v>141</v>
      </c>
      <c r="C291" s="36" t="s">
        <v>141</v>
      </c>
      <c r="E291" s="34" t="s">
        <v>141</v>
      </c>
      <c r="F291" s="33" t="s">
        <v>141</v>
      </c>
      <c r="G291" s="36" t="s">
        <v>141</v>
      </c>
    </row>
    <row r="292" spans="1:7">
      <c r="A292" s="34" t="s">
        <v>141</v>
      </c>
      <c r="B292" s="33" t="s">
        <v>141</v>
      </c>
      <c r="C292" s="36" t="s">
        <v>141</v>
      </c>
      <c r="E292" s="34" t="s">
        <v>141</v>
      </c>
      <c r="F292" s="33" t="s">
        <v>141</v>
      </c>
      <c r="G292" s="36" t="s">
        <v>141</v>
      </c>
    </row>
    <row r="293" spans="1:7">
      <c r="A293" s="34" t="s">
        <v>141</v>
      </c>
      <c r="B293" s="33" t="s">
        <v>141</v>
      </c>
      <c r="C293" s="36" t="s">
        <v>141</v>
      </c>
      <c r="E293" s="34" t="s">
        <v>141</v>
      </c>
      <c r="F293" s="33" t="s">
        <v>141</v>
      </c>
      <c r="G293" s="36" t="s">
        <v>141</v>
      </c>
    </row>
    <row r="294" spans="1:7">
      <c r="A294" s="34" t="s">
        <v>141</v>
      </c>
      <c r="B294" s="33" t="s">
        <v>141</v>
      </c>
      <c r="C294" s="36" t="s">
        <v>141</v>
      </c>
      <c r="E294" s="34" t="s">
        <v>141</v>
      </c>
      <c r="F294" s="33" t="s">
        <v>141</v>
      </c>
      <c r="G294" s="36" t="s">
        <v>141</v>
      </c>
    </row>
    <row r="295" spans="1:7">
      <c r="A295" s="34" t="s">
        <v>141</v>
      </c>
      <c r="B295" s="33" t="s">
        <v>141</v>
      </c>
      <c r="C295" s="36" t="s">
        <v>141</v>
      </c>
      <c r="E295" s="34" t="s">
        <v>141</v>
      </c>
      <c r="F295" s="33" t="s">
        <v>141</v>
      </c>
      <c r="G295" s="36" t="s">
        <v>141</v>
      </c>
    </row>
    <row r="296" spans="1:7">
      <c r="A296" s="34" t="s">
        <v>141</v>
      </c>
      <c r="B296" s="33" t="s">
        <v>141</v>
      </c>
      <c r="C296" s="36" t="s">
        <v>141</v>
      </c>
      <c r="E296" s="34" t="s">
        <v>141</v>
      </c>
      <c r="F296" s="33" t="s">
        <v>141</v>
      </c>
      <c r="G296" s="36" t="s">
        <v>141</v>
      </c>
    </row>
    <row r="297" spans="1:7">
      <c r="A297" s="34" t="s">
        <v>141</v>
      </c>
      <c r="B297" s="33" t="s">
        <v>141</v>
      </c>
      <c r="C297" s="36" t="s">
        <v>141</v>
      </c>
      <c r="E297" s="34" t="s">
        <v>141</v>
      </c>
      <c r="F297" s="33" t="s">
        <v>141</v>
      </c>
      <c r="G297" s="36" t="s">
        <v>141</v>
      </c>
    </row>
    <row r="298" spans="1:7">
      <c r="A298" s="34" t="s">
        <v>141</v>
      </c>
      <c r="B298" s="33" t="s">
        <v>141</v>
      </c>
      <c r="C298" s="36" t="s">
        <v>141</v>
      </c>
      <c r="E298" s="34" t="s">
        <v>141</v>
      </c>
      <c r="F298" s="33" t="s">
        <v>141</v>
      </c>
      <c r="G298" s="36" t="s">
        <v>141</v>
      </c>
    </row>
    <row r="299" spans="1:7">
      <c r="A299" s="34" t="s">
        <v>141</v>
      </c>
      <c r="B299" s="33" t="s">
        <v>141</v>
      </c>
      <c r="C299" s="36" t="s">
        <v>141</v>
      </c>
      <c r="E299" s="34" t="s">
        <v>141</v>
      </c>
      <c r="F299" s="33" t="s">
        <v>141</v>
      </c>
      <c r="G299" s="36" t="s">
        <v>141</v>
      </c>
    </row>
    <row r="300" spans="1:7">
      <c r="A300" s="34" t="s">
        <v>141</v>
      </c>
      <c r="B300" s="33" t="s">
        <v>141</v>
      </c>
      <c r="C300" s="36" t="s">
        <v>141</v>
      </c>
      <c r="E300" s="34" t="s">
        <v>141</v>
      </c>
      <c r="F300" s="33" t="s">
        <v>141</v>
      </c>
      <c r="G300" s="36" t="s">
        <v>141</v>
      </c>
    </row>
    <row r="301" spans="1:7">
      <c r="A301" s="34" t="s">
        <v>141</v>
      </c>
      <c r="B301" s="33" t="s">
        <v>141</v>
      </c>
      <c r="C301" s="36" t="s">
        <v>141</v>
      </c>
      <c r="E301" s="34" t="s">
        <v>141</v>
      </c>
      <c r="F301" s="33" t="s">
        <v>141</v>
      </c>
      <c r="G301" s="36" t="s">
        <v>141</v>
      </c>
    </row>
    <row r="302" spans="1:7">
      <c r="A302" s="34" t="s">
        <v>141</v>
      </c>
      <c r="B302" s="33" t="s">
        <v>141</v>
      </c>
      <c r="C302" s="36" t="s">
        <v>141</v>
      </c>
      <c r="E302" s="34" t="s">
        <v>141</v>
      </c>
      <c r="F302" s="33" t="s">
        <v>141</v>
      </c>
      <c r="G302" s="36" t="s">
        <v>141</v>
      </c>
    </row>
    <row r="303" spans="1:7">
      <c r="A303" s="34" t="s">
        <v>141</v>
      </c>
      <c r="B303" s="33" t="s">
        <v>141</v>
      </c>
      <c r="C303" s="36" t="s">
        <v>141</v>
      </c>
      <c r="E303" s="34" t="s">
        <v>141</v>
      </c>
      <c r="F303" s="33" t="s">
        <v>141</v>
      </c>
      <c r="G303" s="36" t="s">
        <v>141</v>
      </c>
    </row>
    <row r="304" spans="1:7">
      <c r="A304" s="34" t="s">
        <v>141</v>
      </c>
      <c r="B304" s="33" t="s">
        <v>141</v>
      </c>
      <c r="C304" s="36" t="s">
        <v>141</v>
      </c>
      <c r="E304" s="34" t="s">
        <v>141</v>
      </c>
      <c r="F304" s="33" t="s">
        <v>141</v>
      </c>
      <c r="G304" s="36" t="s">
        <v>141</v>
      </c>
    </row>
    <row r="305" spans="1:5">
      <c r="A305" s="35"/>
      <c r="E305" s="35"/>
    </row>
    <row r="306" spans="1:5">
      <c r="A306" s="35"/>
      <c r="E306" s="35"/>
    </row>
    <row r="307" spans="1:5">
      <c r="A307" s="35"/>
      <c r="E307" s="35"/>
    </row>
    <row r="308" spans="1:5">
      <c r="A308" s="35"/>
      <c r="E308" s="35"/>
    </row>
    <row r="309" spans="1:5">
      <c r="A309" s="35"/>
      <c r="E309" s="35"/>
    </row>
    <row r="310" spans="1:5">
      <c r="A310" s="35"/>
      <c r="E310" s="35"/>
    </row>
    <row r="311" spans="1:5">
      <c r="A311" s="35"/>
      <c r="E311" s="35"/>
    </row>
    <row r="312" spans="1:5">
      <c r="A312" s="35"/>
      <c r="E312" s="35"/>
    </row>
    <row r="313" spans="1:5">
      <c r="A313" s="35"/>
      <c r="E313" s="35"/>
    </row>
    <row r="314" spans="1:5">
      <c r="A314" s="35"/>
      <c r="E314" s="35"/>
    </row>
    <row r="315" spans="1:5">
      <c r="A315" s="35"/>
      <c r="E315" s="35"/>
    </row>
    <row r="316" spans="1:5">
      <c r="A316" s="35"/>
      <c r="E316" s="35"/>
    </row>
    <row r="317" spans="1:5">
      <c r="A317" s="35"/>
      <c r="E317" s="35"/>
    </row>
    <row r="318" spans="1:5">
      <c r="A318" s="35"/>
      <c r="E318" s="35"/>
    </row>
    <row r="319" spans="1:5">
      <c r="A319" s="35"/>
      <c r="E319" s="35"/>
    </row>
    <row r="320" spans="1:5">
      <c r="A320" s="35"/>
      <c r="E320" s="35"/>
    </row>
    <row r="321" spans="1:5">
      <c r="A321" s="35"/>
      <c r="E321" s="35"/>
    </row>
    <row r="322" spans="1:5">
      <c r="A322" s="35"/>
      <c r="E322" s="35"/>
    </row>
    <row r="323" spans="1:5">
      <c r="A323" s="35"/>
      <c r="E323" s="35"/>
    </row>
    <row r="324" spans="1:5">
      <c r="A324" s="35"/>
      <c r="E324" s="35"/>
    </row>
    <row r="325" spans="1:5">
      <c r="A325" s="35"/>
      <c r="E325" s="35"/>
    </row>
    <row r="326" spans="1:5">
      <c r="A326" s="35"/>
      <c r="E326" s="35"/>
    </row>
    <row r="327" spans="1:5">
      <c r="A327" s="35"/>
      <c r="E327" s="35"/>
    </row>
    <row r="328" spans="1:5">
      <c r="A328" s="35"/>
      <c r="E328" s="35"/>
    </row>
    <row r="329" spans="1:5">
      <c r="A329" s="35"/>
      <c r="E329" s="35"/>
    </row>
    <row r="330" spans="1:5">
      <c r="A330" s="35"/>
      <c r="E330" s="35"/>
    </row>
    <row r="331" spans="1:5">
      <c r="A331" s="35"/>
      <c r="E331" s="35"/>
    </row>
    <row r="332" spans="1:5">
      <c r="A332" s="35"/>
      <c r="E332" s="35"/>
    </row>
    <row r="333" spans="1:5">
      <c r="A333" s="35"/>
      <c r="E333" s="35"/>
    </row>
    <row r="334" spans="1:5">
      <c r="A334" s="35"/>
      <c r="E334" s="35"/>
    </row>
    <row r="335" spans="1:5">
      <c r="A335" s="35"/>
      <c r="E335" s="35"/>
    </row>
    <row r="336" spans="1:5">
      <c r="A336" s="35"/>
      <c r="E336" s="35"/>
    </row>
    <row r="337" spans="1:5">
      <c r="A337" s="35"/>
      <c r="E337" s="35"/>
    </row>
    <row r="338" spans="1:5">
      <c r="A338" s="35"/>
      <c r="E338" s="35"/>
    </row>
    <row r="339" spans="1:5">
      <c r="A339" s="35"/>
      <c r="E339" s="35"/>
    </row>
    <row r="340" spans="1:5">
      <c r="A340" s="35"/>
      <c r="E340" s="35"/>
    </row>
    <row r="341" spans="1:5">
      <c r="A341" s="35"/>
      <c r="E341" s="35"/>
    </row>
    <row r="342" spans="1:5">
      <c r="A342" s="35"/>
      <c r="E342" s="35"/>
    </row>
    <row r="343" spans="1:5">
      <c r="A343" s="35"/>
      <c r="E343" s="35"/>
    </row>
    <row r="344" spans="1:5">
      <c r="A344" s="35"/>
      <c r="E344" s="35"/>
    </row>
    <row r="345" spans="1:5">
      <c r="A345" s="35"/>
      <c r="E345" s="35"/>
    </row>
    <row r="346" spans="1:5">
      <c r="A346" s="35"/>
      <c r="E346" s="35"/>
    </row>
    <row r="347" spans="1:5">
      <c r="A347" s="35"/>
      <c r="E347" s="35"/>
    </row>
    <row r="348" spans="1:5">
      <c r="A348" s="35"/>
      <c r="E348" s="35"/>
    </row>
    <row r="349" spans="1:5">
      <c r="A349" s="35"/>
      <c r="E349" s="35"/>
    </row>
    <row r="350" spans="1:5">
      <c r="A350" s="35"/>
      <c r="E350" s="35"/>
    </row>
    <row r="351" spans="1:5">
      <c r="A351" s="35"/>
      <c r="E351" s="35"/>
    </row>
    <row r="352" spans="1:5">
      <c r="A352" s="35"/>
      <c r="E352" s="35"/>
    </row>
    <row r="353" spans="1:5">
      <c r="A353" s="35"/>
      <c r="E353" s="35"/>
    </row>
    <row r="354" spans="1:5">
      <c r="A354" s="35"/>
      <c r="E354" s="35"/>
    </row>
    <row r="355" spans="1:5">
      <c r="A355" s="35"/>
      <c r="E355" s="35"/>
    </row>
    <row r="356" spans="1:5">
      <c r="A356" s="35"/>
      <c r="E356" s="35"/>
    </row>
    <row r="357" spans="1:5">
      <c r="A357" s="35"/>
      <c r="E357" s="35"/>
    </row>
    <row r="358" spans="1:5">
      <c r="A358" s="35"/>
      <c r="E358" s="35"/>
    </row>
    <row r="359" spans="1:5">
      <c r="A359" s="35"/>
      <c r="E359" s="35"/>
    </row>
    <row r="360" spans="1:5">
      <c r="A360" s="35"/>
      <c r="E360" s="35"/>
    </row>
    <row r="361" spans="1:5">
      <c r="A361" s="35"/>
      <c r="E361" s="35"/>
    </row>
    <row r="362" spans="1:5">
      <c r="A362" s="35"/>
      <c r="E362" s="35"/>
    </row>
    <row r="363" spans="1:5">
      <c r="A363" s="35"/>
      <c r="E363" s="35"/>
    </row>
    <row r="364" spans="1:5">
      <c r="A364" s="35"/>
      <c r="E364" s="35"/>
    </row>
    <row r="365" spans="1:5">
      <c r="A365" s="35"/>
      <c r="E365" s="35"/>
    </row>
    <row r="366" spans="1:5">
      <c r="A366" s="35"/>
      <c r="E366" s="35"/>
    </row>
    <row r="367" spans="1:5">
      <c r="A367" s="35"/>
      <c r="E367" s="35"/>
    </row>
    <row r="368" spans="1:5">
      <c r="A368" s="35"/>
      <c r="E368" s="35"/>
    </row>
    <row r="369" spans="1:5">
      <c r="A369" s="35"/>
      <c r="E369" s="35"/>
    </row>
    <row r="370" spans="1:5">
      <c r="A370" s="35"/>
      <c r="E370" s="35"/>
    </row>
    <row r="371" spans="1:5">
      <c r="A371" s="35"/>
      <c r="E371" s="35"/>
    </row>
    <row r="372" spans="1:5">
      <c r="A372" s="35"/>
      <c r="E372" s="35"/>
    </row>
    <row r="373" spans="1:5">
      <c r="A373" s="35"/>
      <c r="E373" s="35"/>
    </row>
    <row r="374" spans="1:5">
      <c r="A374" s="35"/>
      <c r="E374" s="35"/>
    </row>
    <row r="375" spans="1:5">
      <c r="A375" s="35"/>
      <c r="E375" s="35"/>
    </row>
    <row r="376" spans="1:5">
      <c r="A376" s="35"/>
      <c r="E376" s="35"/>
    </row>
    <row r="377" spans="1:5">
      <c r="A377" s="35"/>
      <c r="E377" s="35"/>
    </row>
    <row r="378" spans="1:5">
      <c r="A378" s="35"/>
      <c r="E378" s="35"/>
    </row>
    <row r="379" spans="1:5">
      <c r="A379" s="35"/>
      <c r="E379" s="35"/>
    </row>
    <row r="380" spans="1:5">
      <c r="A380" s="35"/>
      <c r="E380" s="35"/>
    </row>
    <row r="381" spans="1:5">
      <c r="A381" s="35"/>
      <c r="E381" s="35"/>
    </row>
    <row r="382" spans="1:5">
      <c r="A382" s="35"/>
      <c r="E382" s="35"/>
    </row>
    <row r="383" spans="1:5">
      <c r="A383" s="35"/>
      <c r="E383" s="35"/>
    </row>
    <row r="384" spans="1:5">
      <c r="A384" s="35"/>
      <c r="E384" s="35"/>
    </row>
    <row r="385" spans="1:5">
      <c r="A385" s="35"/>
      <c r="E385" s="35"/>
    </row>
    <row r="386" spans="1:5">
      <c r="A386" s="35"/>
      <c r="E386" s="35"/>
    </row>
    <row r="387" spans="1:5">
      <c r="A387" s="35"/>
      <c r="E387" s="35"/>
    </row>
    <row r="388" spans="1:5">
      <c r="A388" s="35"/>
      <c r="E388" s="35"/>
    </row>
    <row r="389" spans="1:5">
      <c r="A389" s="35"/>
      <c r="E389" s="35"/>
    </row>
    <row r="390" spans="1:5">
      <c r="A390" s="35"/>
      <c r="E390" s="35"/>
    </row>
    <row r="391" spans="1:5">
      <c r="A391" s="35"/>
      <c r="E391" s="35"/>
    </row>
    <row r="392" spans="1:5">
      <c r="A392" s="35"/>
      <c r="E392" s="35"/>
    </row>
    <row r="393" spans="1:5">
      <c r="A393" s="35"/>
      <c r="E393" s="35"/>
    </row>
    <row r="394" spans="1:5">
      <c r="A394" s="35"/>
      <c r="E394" s="35"/>
    </row>
    <row r="395" spans="1:5">
      <c r="A395" s="35"/>
      <c r="E395" s="35"/>
    </row>
    <row r="396" spans="1:5">
      <c r="A396" s="35"/>
      <c r="E396" s="35"/>
    </row>
    <row r="397" spans="1:5">
      <c r="A397" s="35"/>
      <c r="E397" s="35"/>
    </row>
    <row r="398" spans="1:5">
      <c r="A398" s="35"/>
      <c r="E398" s="35"/>
    </row>
    <row r="399" spans="1:5">
      <c r="A399" s="35"/>
      <c r="E399" s="35"/>
    </row>
    <row r="400" spans="1:5">
      <c r="A400" s="35"/>
      <c r="E400" s="35"/>
    </row>
    <row r="401" spans="1:5">
      <c r="A401" s="35"/>
      <c r="E401" s="3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35"/>
  <sheetViews>
    <sheetView workbookViewId="0">
      <selection activeCell="E6" sqref="E6"/>
    </sheetView>
  </sheetViews>
  <sheetFormatPr defaultRowHeight="15"/>
  <cols>
    <col min="1" max="1" width="21" bestFit="1" customWidth="1"/>
    <col min="2" max="2" width="27.7109375" bestFit="1" customWidth="1"/>
    <col min="3" max="4" width="9.85546875" bestFit="1" customWidth="1"/>
  </cols>
  <sheetData>
    <row r="1" spans="1:4" s="397" customFormat="1" ht="33">
      <c r="A1" s="423" t="s">
        <v>408</v>
      </c>
      <c r="B1" s="424" t="s">
        <v>409</v>
      </c>
      <c r="C1" s="425" t="s">
        <v>410</v>
      </c>
      <c r="D1" s="425" t="s">
        <v>411</v>
      </c>
    </row>
    <row r="2" spans="1:4">
      <c r="A2" s="421">
        <v>10005</v>
      </c>
      <c r="B2" s="422" t="s">
        <v>7</v>
      </c>
      <c r="C2" s="426">
        <v>6185.7233574185739</v>
      </c>
      <c r="D2" s="426">
        <v>6192.8618092504503</v>
      </c>
    </row>
    <row r="3" spans="1:4">
      <c r="A3" s="421">
        <v>10015</v>
      </c>
      <c r="B3" s="422" t="s">
        <v>8</v>
      </c>
      <c r="C3" s="426">
        <v>3175.5715127044245</v>
      </c>
      <c r="D3" s="426">
        <v>3158.4969408785078</v>
      </c>
    </row>
    <row r="4" spans="1:4">
      <c r="A4" s="421">
        <v>10024</v>
      </c>
      <c r="B4" s="422" t="s">
        <v>9</v>
      </c>
      <c r="C4" s="426">
        <v>2191167.7605235497</v>
      </c>
      <c r="D4" s="426">
        <v>2185164.189855637</v>
      </c>
    </row>
    <row r="5" spans="1:4">
      <c r="A5" s="421">
        <v>10025</v>
      </c>
      <c r="B5" s="422" t="s">
        <v>10</v>
      </c>
      <c r="C5" s="426">
        <v>735537.58363613952</v>
      </c>
      <c r="D5" s="426">
        <v>733550.17068178952</v>
      </c>
    </row>
    <row r="6" spans="1:4">
      <c r="A6" s="421">
        <v>10027</v>
      </c>
      <c r="B6" s="422" t="s">
        <v>11</v>
      </c>
      <c r="C6" s="426">
        <v>519507.54082069505</v>
      </c>
      <c r="D6" s="426">
        <v>517685.05604906206</v>
      </c>
    </row>
    <row r="7" spans="1:4">
      <c r="A7" s="421">
        <v>10029</v>
      </c>
      <c r="B7" s="422" t="s">
        <v>12</v>
      </c>
      <c r="C7" s="426">
        <v>200448.68090632977</v>
      </c>
      <c r="D7" s="426">
        <v>199924.05261086678</v>
      </c>
    </row>
    <row r="8" spans="1:4">
      <c r="A8" s="421">
        <v>10044</v>
      </c>
      <c r="B8" s="422" t="s">
        <v>13</v>
      </c>
      <c r="C8" s="426">
        <v>259285.64198385429</v>
      </c>
      <c r="D8" s="426">
        <v>258680.78630293621</v>
      </c>
    </row>
    <row r="9" spans="1:4">
      <c r="A9" s="421">
        <v>10046</v>
      </c>
      <c r="B9" s="422" t="s">
        <v>14</v>
      </c>
      <c r="C9" s="426">
        <v>853901.3276445209</v>
      </c>
      <c r="D9" s="426">
        <v>851463.65424075408</v>
      </c>
    </row>
    <row r="10" spans="1:4">
      <c r="A10" s="421">
        <v>10047</v>
      </c>
      <c r="B10" s="422" t="s">
        <v>15</v>
      </c>
      <c r="C10" s="426">
        <v>1339673.477140269</v>
      </c>
      <c r="D10" s="426">
        <v>1337275.4776194654</v>
      </c>
    </row>
    <row r="11" spans="1:4">
      <c r="A11" s="421">
        <v>10055</v>
      </c>
      <c r="B11" s="422" t="s">
        <v>16</v>
      </c>
      <c r="C11" s="426">
        <v>2202.9794995883099</v>
      </c>
      <c r="D11" s="426">
        <v>2191.1344091703299</v>
      </c>
    </row>
    <row r="12" spans="1:4">
      <c r="A12" s="421">
        <v>10057</v>
      </c>
      <c r="B12" s="422" t="s">
        <v>17</v>
      </c>
      <c r="C12" s="426">
        <v>278213.73557358782</v>
      </c>
      <c r="D12" s="426">
        <v>277586.28181236872</v>
      </c>
    </row>
    <row r="13" spans="1:4">
      <c r="A13" s="421">
        <v>10059</v>
      </c>
      <c r="B13" s="422" t="s">
        <v>18</v>
      </c>
      <c r="C13" s="426">
        <v>97813.179086137359</v>
      </c>
      <c r="D13" s="426">
        <v>97640.349030279671</v>
      </c>
    </row>
    <row r="14" spans="1:4">
      <c r="A14" s="421">
        <v>10061</v>
      </c>
      <c r="B14" s="422" t="s">
        <v>19</v>
      </c>
      <c r="C14" s="426">
        <v>108952.17491767902</v>
      </c>
      <c r="D14" s="426">
        <v>108691.68793815029</v>
      </c>
    </row>
    <row r="15" spans="1:4">
      <c r="A15" s="421">
        <v>10062</v>
      </c>
      <c r="B15" s="422" t="s">
        <v>20</v>
      </c>
      <c r="C15" s="426">
        <v>75055.468138536322</v>
      </c>
      <c r="D15" s="426">
        <v>74897.029553229164</v>
      </c>
    </row>
    <row r="16" spans="1:4">
      <c r="A16" s="421">
        <v>10064</v>
      </c>
      <c r="B16" s="422" t="s">
        <v>21</v>
      </c>
      <c r="C16" s="426">
        <v>182306.41019592181</v>
      </c>
      <c r="D16" s="426">
        <v>182118.14854721725</v>
      </c>
    </row>
    <row r="17" spans="1:4">
      <c r="A17" s="421">
        <v>10065</v>
      </c>
      <c r="B17" s="422" t="s">
        <v>22</v>
      </c>
      <c r="C17" s="426">
        <v>30150.482083050607</v>
      </c>
      <c r="D17" s="426">
        <v>30092.45300599176</v>
      </c>
    </row>
    <row r="18" spans="1:4">
      <c r="A18" s="421">
        <v>10066</v>
      </c>
      <c r="B18" s="422" t="s">
        <v>23</v>
      </c>
      <c r="C18" s="426">
        <v>299225.47023723542</v>
      </c>
      <c r="D18" s="426">
        <v>298499.62241820036</v>
      </c>
    </row>
    <row r="19" spans="1:4">
      <c r="A19" s="421">
        <v>10067</v>
      </c>
      <c r="B19" s="422" t="s">
        <v>24</v>
      </c>
      <c r="C19" s="426">
        <v>196217.53273280259</v>
      </c>
      <c r="D19" s="426">
        <v>195746.4593674209</v>
      </c>
    </row>
    <row r="20" spans="1:4">
      <c r="A20" s="421">
        <v>10068</v>
      </c>
      <c r="B20" s="422" t="s">
        <v>25</v>
      </c>
      <c r="C20" s="426">
        <v>14577.162220680091</v>
      </c>
      <c r="D20" s="426">
        <v>14498.783005361121</v>
      </c>
    </row>
    <row r="21" spans="1:4">
      <c r="A21" s="421">
        <v>10070</v>
      </c>
      <c r="B21" s="422" t="s">
        <v>26</v>
      </c>
      <c r="C21" s="426">
        <v>1984.2439464376973</v>
      </c>
      <c r="D21" s="426">
        <v>1973.5749642881697</v>
      </c>
    </row>
    <row r="22" spans="1:4">
      <c r="A22" s="421">
        <v>10071</v>
      </c>
      <c r="B22" s="422" t="s">
        <v>27</v>
      </c>
      <c r="C22" s="426">
        <v>29693.11609854257</v>
      </c>
      <c r="D22" s="426">
        <v>29636.095849456022</v>
      </c>
    </row>
    <row r="23" spans="1:4">
      <c r="A23" s="421">
        <v>10072</v>
      </c>
      <c r="B23" s="422" t="s">
        <v>28</v>
      </c>
      <c r="C23" s="426">
        <v>308014.13703458314</v>
      </c>
      <c r="D23" s="426">
        <v>307299.90328469896</v>
      </c>
    </row>
    <row r="24" spans="1:4">
      <c r="A24" s="421">
        <v>10074</v>
      </c>
      <c r="B24" s="422" t="s">
        <v>29</v>
      </c>
      <c r="C24" s="426">
        <v>316931.96927480923</v>
      </c>
      <c r="D24" s="426">
        <v>316137.31912206969</v>
      </c>
    </row>
    <row r="25" spans="1:4">
      <c r="A25" s="421">
        <v>10076</v>
      </c>
      <c r="B25" s="422" t="s">
        <v>30</v>
      </c>
      <c r="C25" s="426">
        <v>77239.543625615275</v>
      </c>
      <c r="D25" s="426">
        <v>77096.079418797512</v>
      </c>
    </row>
    <row r="26" spans="1:4">
      <c r="A26" s="421">
        <v>10078</v>
      </c>
      <c r="B26" s="422" t="s">
        <v>31</v>
      </c>
      <c r="C26" s="426">
        <v>55293.293982342278</v>
      </c>
      <c r="D26" s="426">
        <v>55237.781093848047</v>
      </c>
    </row>
    <row r="27" spans="1:4">
      <c r="A27" s="421">
        <v>10079</v>
      </c>
      <c r="B27" s="422" t="s">
        <v>32</v>
      </c>
      <c r="C27" s="426">
        <v>1081981.0455146453</v>
      </c>
      <c r="D27" s="426">
        <v>1079354.9217627924</v>
      </c>
    </row>
    <row r="28" spans="1:4">
      <c r="A28" s="421">
        <v>10080</v>
      </c>
      <c r="B28" s="422" t="s">
        <v>33</v>
      </c>
      <c r="C28" s="426">
        <v>94895.717916163601</v>
      </c>
      <c r="D28" s="426">
        <v>94674.252528827434</v>
      </c>
    </row>
    <row r="29" spans="1:4">
      <c r="A29" s="421">
        <v>10081</v>
      </c>
      <c r="B29" s="422" t="s">
        <v>34</v>
      </c>
      <c r="C29" s="426">
        <v>132558.86705460754</v>
      </c>
      <c r="D29" s="426">
        <v>132504.67991057952</v>
      </c>
    </row>
    <row r="30" spans="1:4">
      <c r="A30" s="421">
        <v>10082</v>
      </c>
      <c r="B30" s="422" t="s">
        <v>35</v>
      </c>
      <c r="C30" s="426">
        <v>636.67669934910361</v>
      </c>
      <c r="D30" s="426">
        <v>644.9083544721185</v>
      </c>
    </row>
    <row r="31" spans="1:4">
      <c r="A31" s="421">
        <v>10083</v>
      </c>
      <c r="B31" s="422" t="s">
        <v>36</v>
      </c>
      <c r="C31" s="426">
        <v>105927.95137077582</v>
      </c>
      <c r="D31" s="426">
        <v>105678.86844106441</v>
      </c>
    </row>
    <row r="32" spans="1:4">
      <c r="A32" s="421">
        <v>10086</v>
      </c>
      <c r="B32" s="422" t="s">
        <v>37</v>
      </c>
      <c r="C32" s="426">
        <v>50107.775768579268</v>
      </c>
      <c r="D32" s="426">
        <v>49990.269951400907</v>
      </c>
    </row>
    <row r="33" spans="1:4">
      <c r="A33" s="421">
        <v>10087</v>
      </c>
      <c r="B33" s="422" t="s">
        <v>38</v>
      </c>
      <c r="C33" s="426">
        <v>983836.72926358785</v>
      </c>
      <c r="D33" s="426">
        <v>982019.07251223084</v>
      </c>
    </row>
    <row r="34" spans="1:4">
      <c r="A34" s="421">
        <v>10089</v>
      </c>
      <c r="B34" s="422" t="s">
        <v>39</v>
      </c>
      <c r="C34" s="426">
        <v>1197224.6755860206</v>
      </c>
      <c r="D34" s="426">
        <v>1194140.6886848728</v>
      </c>
    </row>
    <row r="35" spans="1:4">
      <c r="A35" s="421">
        <v>10091</v>
      </c>
      <c r="B35" s="422" t="s">
        <v>40</v>
      </c>
      <c r="C35" s="426">
        <v>125130.74256594109</v>
      </c>
      <c r="D35" s="426">
        <v>124850.1357342485</v>
      </c>
    </row>
    <row r="36" spans="1:4">
      <c r="A36" s="421">
        <v>10094</v>
      </c>
      <c r="B36" s="422" t="s">
        <v>41</v>
      </c>
      <c r="C36" s="426">
        <v>16452.038390542482</v>
      </c>
      <c r="D36" s="426">
        <v>16278.108465290219</v>
      </c>
    </row>
    <row r="37" spans="1:4">
      <c r="A37" s="421">
        <v>10095</v>
      </c>
      <c r="B37" s="422" t="s">
        <v>42</v>
      </c>
      <c r="C37" s="426">
        <v>43603.166316351329</v>
      </c>
      <c r="D37" s="426">
        <v>43494.691330520007</v>
      </c>
    </row>
    <row r="38" spans="1:4">
      <c r="A38" s="421">
        <v>10097</v>
      </c>
      <c r="B38" s="422" t="s">
        <v>43</v>
      </c>
      <c r="C38" s="426">
        <v>11288.316939379813</v>
      </c>
      <c r="D38" s="426">
        <v>11227.621351954349</v>
      </c>
    </row>
    <row r="39" spans="1:4">
      <c r="A39" s="421">
        <v>10101</v>
      </c>
      <c r="B39" s="422" t="s">
        <v>44</v>
      </c>
      <c r="C39" s="426">
        <v>941696.04822817328</v>
      </c>
      <c r="D39" s="426">
        <v>939431.78778820299</v>
      </c>
    </row>
    <row r="40" spans="1:4">
      <c r="A40" s="421">
        <v>10103</v>
      </c>
      <c r="B40" s="422" t="s">
        <v>45</v>
      </c>
      <c r="C40" s="426">
        <v>4028510.8490117984</v>
      </c>
      <c r="D40" s="426">
        <v>4026719.5713910074</v>
      </c>
    </row>
    <row r="41" spans="1:4">
      <c r="A41" s="421">
        <v>10105</v>
      </c>
      <c r="B41" s="422" t="s">
        <v>46</v>
      </c>
      <c r="C41" s="426">
        <v>1131616.8663631843</v>
      </c>
      <c r="D41" s="426">
        <v>1128851.9618356542</v>
      </c>
    </row>
    <row r="42" spans="1:4">
      <c r="A42" s="421">
        <v>10106</v>
      </c>
      <c r="B42" s="422" t="s">
        <v>47</v>
      </c>
      <c r="C42" s="426">
        <v>255273.66647167166</v>
      </c>
      <c r="D42" s="426">
        <v>255098.27207356424</v>
      </c>
    </row>
    <row r="43" spans="1:4">
      <c r="A43" s="421">
        <v>10109</v>
      </c>
      <c r="B43" s="422" t="s">
        <v>48</v>
      </c>
      <c r="C43" s="426">
        <v>67120.566881073595</v>
      </c>
      <c r="D43" s="426">
        <v>66759.6696581258</v>
      </c>
    </row>
    <row r="44" spans="1:4">
      <c r="A44" s="421">
        <v>10111</v>
      </c>
      <c r="B44" s="422" t="s">
        <v>49</v>
      </c>
      <c r="C44" s="426">
        <v>16248.926805474055</v>
      </c>
      <c r="D44" s="426">
        <v>16266.453495028674</v>
      </c>
    </row>
    <row r="45" spans="1:4">
      <c r="A45" s="421">
        <v>10112</v>
      </c>
      <c r="B45" s="422" t="s">
        <v>50</v>
      </c>
      <c r="C45" s="426">
        <v>578427.51343570859</v>
      </c>
      <c r="D45" s="426">
        <v>579005.7137478271</v>
      </c>
    </row>
    <row r="46" spans="1:4">
      <c r="A46" s="421">
        <v>10113</v>
      </c>
      <c r="B46" s="422" t="s">
        <v>51</v>
      </c>
      <c r="C46" s="426">
        <v>208779.17949023889</v>
      </c>
      <c r="D46" s="426">
        <v>207656.60514993494</v>
      </c>
    </row>
    <row r="47" spans="1:4">
      <c r="A47" s="421">
        <v>10116</v>
      </c>
      <c r="B47" s="422" t="s">
        <v>52</v>
      </c>
      <c r="C47" s="426">
        <v>2934.5632493620033</v>
      </c>
      <c r="D47" s="426">
        <v>2928.598700286283</v>
      </c>
    </row>
    <row r="48" spans="1:4">
      <c r="A48" s="421">
        <v>10118</v>
      </c>
      <c r="B48" s="422" t="s">
        <v>53</v>
      </c>
      <c r="C48" s="426">
        <v>499059.38441628258</v>
      </c>
      <c r="D48" s="426">
        <v>497699.13119608455</v>
      </c>
    </row>
    <row r="49" spans="1:4">
      <c r="A49" s="421">
        <v>10121</v>
      </c>
      <c r="B49" s="422" t="s">
        <v>54</v>
      </c>
      <c r="C49" s="426">
        <v>451604.17194172292</v>
      </c>
      <c r="D49" s="426">
        <v>450975.90844343684</v>
      </c>
    </row>
    <row r="50" spans="1:4">
      <c r="A50" s="421">
        <v>10123</v>
      </c>
      <c r="B50" s="422" t="s">
        <v>55</v>
      </c>
      <c r="C50" s="426">
        <v>6488787.8246806525</v>
      </c>
      <c r="D50" s="426">
        <v>6472431.6029835586</v>
      </c>
    </row>
    <row r="51" spans="1:4">
      <c r="A51" s="421">
        <v>10136</v>
      </c>
      <c r="B51" s="422" t="s">
        <v>56</v>
      </c>
      <c r="C51" s="426">
        <v>206155.73437281154</v>
      </c>
      <c r="D51" s="426">
        <v>205893.37275699913</v>
      </c>
    </row>
    <row r="52" spans="1:4">
      <c r="A52" s="421">
        <v>10142</v>
      </c>
      <c r="B52" s="422" t="s">
        <v>57</v>
      </c>
      <c r="C52" s="426">
        <v>14885.735590303277</v>
      </c>
      <c r="D52" s="426">
        <v>14805.697222248453</v>
      </c>
    </row>
    <row r="53" spans="1:4">
      <c r="A53" s="421">
        <v>10144</v>
      </c>
      <c r="B53" s="422" t="s">
        <v>58</v>
      </c>
      <c r="C53" s="426">
        <v>41791.640662198377</v>
      </c>
      <c r="D53" s="426">
        <v>41792.891220980338</v>
      </c>
    </row>
    <row r="54" spans="1:4">
      <c r="A54" s="421">
        <v>10156</v>
      </c>
      <c r="B54" s="422" t="s">
        <v>59</v>
      </c>
      <c r="C54" s="426">
        <v>177972.62042418751</v>
      </c>
      <c r="D54" s="426">
        <v>177606.20682558656</v>
      </c>
    </row>
    <row r="55" spans="1:4">
      <c r="A55" s="421">
        <v>10157</v>
      </c>
      <c r="B55" s="422" t="s">
        <v>60</v>
      </c>
      <c r="C55" s="426">
        <v>637792.24861950113</v>
      </c>
      <c r="D55" s="426">
        <v>638706.91539228288</v>
      </c>
    </row>
    <row r="56" spans="1:4">
      <c r="A56" s="421">
        <v>10158</v>
      </c>
      <c r="B56" s="422" t="s">
        <v>61</v>
      </c>
      <c r="C56" s="426">
        <v>35741.883458885539</v>
      </c>
      <c r="D56" s="426">
        <v>35647.816902098901</v>
      </c>
    </row>
    <row r="57" spans="1:4">
      <c r="A57" s="421">
        <v>10170</v>
      </c>
      <c r="B57" s="422" t="s">
        <v>62</v>
      </c>
      <c r="C57" s="426">
        <v>2823302.0199414417</v>
      </c>
      <c r="D57" s="426">
        <v>2819750.5238125268</v>
      </c>
    </row>
    <row r="58" spans="1:4">
      <c r="A58" s="421">
        <v>10172</v>
      </c>
      <c r="B58" s="422" t="s">
        <v>63</v>
      </c>
      <c r="C58" s="426">
        <v>92185.970451309142</v>
      </c>
      <c r="D58" s="426">
        <v>92337.867927686311</v>
      </c>
    </row>
    <row r="59" spans="1:4">
      <c r="A59" s="421">
        <v>10173</v>
      </c>
      <c r="B59" s="422" t="s">
        <v>64</v>
      </c>
      <c r="C59" s="426">
        <v>335913.96093309112</v>
      </c>
      <c r="D59" s="426">
        <v>334927.26910166012</v>
      </c>
    </row>
    <row r="60" spans="1:4">
      <c r="A60" s="421">
        <v>10174</v>
      </c>
      <c r="B60" s="422" t="s">
        <v>65</v>
      </c>
      <c r="C60" s="426">
        <v>2808.40826277304</v>
      </c>
      <c r="D60" s="426">
        <v>2793.3078726834528</v>
      </c>
    </row>
    <row r="61" spans="1:4">
      <c r="A61" s="421">
        <v>10177</v>
      </c>
      <c r="B61" s="422" t="s">
        <v>66</v>
      </c>
      <c r="C61" s="426">
        <v>132483.98481728532</v>
      </c>
      <c r="D61" s="426">
        <v>132136.59183749137</v>
      </c>
    </row>
    <row r="62" spans="1:4">
      <c r="A62" s="421">
        <v>10179</v>
      </c>
      <c r="B62" s="422" t="s">
        <v>67</v>
      </c>
      <c r="C62" s="426">
        <v>1532100.6825792883</v>
      </c>
      <c r="D62" s="426">
        <v>1527132.3602127468</v>
      </c>
    </row>
    <row r="63" spans="1:4">
      <c r="A63" s="421">
        <v>10183</v>
      </c>
      <c r="B63" s="422" t="s">
        <v>68</v>
      </c>
      <c r="C63" s="426">
        <v>1121953.7052904489</v>
      </c>
      <c r="D63" s="426">
        <v>1118458.7525572106</v>
      </c>
    </row>
    <row r="64" spans="1:4">
      <c r="A64" s="421">
        <v>10186</v>
      </c>
      <c r="B64" s="422" t="s">
        <v>69</v>
      </c>
      <c r="C64" s="426">
        <v>118074.23278910463</v>
      </c>
      <c r="D64" s="426">
        <v>117439.36534540763</v>
      </c>
    </row>
    <row r="65" spans="1:4">
      <c r="A65" s="421">
        <v>10190</v>
      </c>
      <c r="B65" s="422" t="s">
        <v>70</v>
      </c>
      <c r="C65" s="426">
        <v>1372787.9101669313</v>
      </c>
      <c r="D65" s="426">
        <v>1371568.9999582812</v>
      </c>
    </row>
    <row r="66" spans="1:4">
      <c r="A66" s="421">
        <v>10191</v>
      </c>
      <c r="B66" s="422" t="s">
        <v>71</v>
      </c>
      <c r="C66" s="426">
        <v>1463627.1712278028</v>
      </c>
      <c r="D66" s="426">
        <v>1459719.2784807379</v>
      </c>
    </row>
    <row r="67" spans="1:4">
      <c r="A67" s="421">
        <v>10197</v>
      </c>
      <c r="B67" s="422" t="s">
        <v>72</v>
      </c>
      <c r="C67" s="426">
        <v>217408.79025122698</v>
      </c>
      <c r="D67" s="426">
        <v>216731.16287119844</v>
      </c>
    </row>
    <row r="68" spans="1:4">
      <c r="A68" s="421">
        <v>10202</v>
      </c>
      <c r="B68" s="422" t="s">
        <v>73</v>
      </c>
      <c r="C68" s="426">
        <v>162336.95077738271</v>
      </c>
      <c r="D68" s="426">
        <v>161946.83986512391</v>
      </c>
    </row>
    <row r="69" spans="1:4">
      <c r="A69" s="421">
        <v>10203</v>
      </c>
      <c r="B69" s="422" t="s">
        <v>74</v>
      </c>
      <c r="C69" s="426">
        <v>73425.43013588569</v>
      </c>
      <c r="D69" s="426">
        <v>73240.382101004812</v>
      </c>
    </row>
    <row r="70" spans="1:4">
      <c r="A70" s="421">
        <v>10204</v>
      </c>
      <c r="B70" s="422" t="s">
        <v>75</v>
      </c>
      <c r="C70" s="426">
        <v>875925.33920080529</v>
      </c>
      <c r="D70" s="426">
        <v>873556.00608820887</v>
      </c>
    </row>
    <row r="71" spans="1:4">
      <c r="A71" s="421">
        <v>10209</v>
      </c>
      <c r="B71" s="422" t="s">
        <v>76</v>
      </c>
      <c r="C71" s="426">
        <v>596769.17887517856</v>
      </c>
      <c r="D71" s="426">
        <v>593560.44048984139</v>
      </c>
    </row>
    <row r="72" spans="1:4">
      <c r="A72" s="421">
        <v>10230</v>
      </c>
      <c r="B72" s="422" t="s">
        <v>77</v>
      </c>
      <c r="C72" s="426">
        <v>101803.27260453443</v>
      </c>
      <c r="D72" s="426">
        <v>101514.30700336248</v>
      </c>
    </row>
    <row r="73" spans="1:4">
      <c r="A73" s="421">
        <v>10231</v>
      </c>
      <c r="B73" s="422" t="s">
        <v>78</v>
      </c>
      <c r="C73" s="426">
        <v>422286.9405816631</v>
      </c>
      <c r="D73" s="426">
        <v>421195.17607760592</v>
      </c>
    </row>
    <row r="74" spans="1:4">
      <c r="A74" s="421">
        <v>10234</v>
      </c>
      <c r="B74" s="422" t="s">
        <v>79</v>
      </c>
      <c r="C74" s="426">
        <v>282481.3429259336</v>
      </c>
      <c r="D74" s="426">
        <v>280962.48310496146</v>
      </c>
    </row>
    <row r="75" spans="1:4">
      <c r="A75" s="421">
        <v>10235</v>
      </c>
      <c r="B75" s="422" t="s">
        <v>80</v>
      </c>
      <c r="C75" s="426">
        <v>439507.47857972642</v>
      </c>
      <c r="D75" s="426">
        <v>439438.57143462135</v>
      </c>
    </row>
    <row r="76" spans="1:4">
      <c r="A76" s="421">
        <v>10236</v>
      </c>
      <c r="B76" s="422" t="s">
        <v>81</v>
      </c>
      <c r="C76" s="426">
        <v>307386.6736301136</v>
      </c>
      <c r="D76" s="426">
        <v>306624.94862752466</v>
      </c>
    </row>
    <row r="77" spans="1:4">
      <c r="A77" s="421">
        <v>10237</v>
      </c>
      <c r="B77" s="422" t="s">
        <v>82</v>
      </c>
      <c r="C77" s="426">
        <v>1327103.7826674744</v>
      </c>
      <c r="D77" s="426">
        <v>1324910.8277149654</v>
      </c>
    </row>
    <row r="78" spans="1:4">
      <c r="A78" s="421">
        <v>10239</v>
      </c>
      <c r="B78" s="422" t="s">
        <v>83</v>
      </c>
      <c r="C78" s="426">
        <v>76791.803123947102</v>
      </c>
      <c r="D78" s="426">
        <v>76312.860282504946</v>
      </c>
    </row>
    <row r="79" spans="1:4">
      <c r="A79" s="421">
        <v>10242</v>
      </c>
      <c r="B79" s="422" t="s">
        <v>84</v>
      </c>
      <c r="C79" s="426">
        <v>103526.81208793743</v>
      </c>
      <c r="D79" s="426">
        <v>103243.11797204014</v>
      </c>
    </row>
    <row r="80" spans="1:4">
      <c r="A80" s="421">
        <v>10244</v>
      </c>
      <c r="B80" s="422" t="s">
        <v>85</v>
      </c>
      <c r="C80" s="426">
        <v>476554.46245881438</v>
      </c>
      <c r="D80" s="426">
        <v>473992.10057665833</v>
      </c>
    </row>
    <row r="81" spans="1:4">
      <c r="A81" s="421">
        <v>10246</v>
      </c>
      <c r="B81" s="422" t="s">
        <v>86</v>
      </c>
      <c r="C81" s="426">
        <v>101870.27947734203</v>
      </c>
      <c r="D81" s="426">
        <v>101602.63083853577</v>
      </c>
    </row>
    <row r="82" spans="1:4">
      <c r="A82" s="421">
        <v>10247</v>
      </c>
      <c r="B82" s="422" t="s">
        <v>87</v>
      </c>
      <c r="C82" s="426">
        <v>986837.82238114288</v>
      </c>
      <c r="D82" s="426">
        <v>984457.37924579624</v>
      </c>
    </row>
    <row r="83" spans="1:4">
      <c r="A83" s="421">
        <v>10256</v>
      </c>
      <c r="B83" s="422" t="s">
        <v>88</v>
      </c>
      <c r="C83" s="426">
        <v>541370.51263361867</v>
      </c>
      <c r="D83" s="426">
        <v>541146.31393450929</v>
      </c>
    </row>
    <row r="84" spans="1:4">
      <c r="A84" s="421">
        <v>10258</v>
      </c>
      <c r="B84" s="422" t="s">
        <v>89</v>
      </c>
      <c r="C84" s="426">
        <v>206603.5419347944</v>
      </c>
      <c r="D84" s="426">
        <v>208367.55833588916</v>
      </c>
    </row>
    <row r="85" spans="1:4">
      <c r="A85" s="421">
        <v>10259</v>
      </c>
      <c r="B85" s="422" t="s">
        <v>90</v>
      </c>
      <c r="C85" s="426">
        <v>148763.61209453965</v>
      </c>
      <c r="D85" s="426">
        <v>148666.91566617202</v>
      </c>
    </row>
    <row r="86" spans="1:4">
      <c r="A86" s="421">
        <v>10260</v>
      </c>
      <c r="B86" s="422" t="s">
        <v>91</v>
      </c>
      <c r="C86" s="426">
        <v>143517.8648109455</v>
      </c>
      <c r="D86" s="426">
        <v>143985.5026111184</v>
      </c>
    </row>
    <row r="87" spans="1:4">
      <c r="A87" s="421">
        <v>10273</v>
      </c>
      <c r="B87" s="422" t="s">
        <v>92</v>
      </c>
      <c r="C87" s="426">
        <v>67917.49914179706</v>
      </c>
      <c r="D87" s="426">
        <v>67742.343017531195</v>
      </c>
    </row>
    <row r="88" spans="1:4">
      <c r="A88" s="421">
        <v>10278</v>
      </c>
      <c r="B88" s="422" t="s">
        <v>93</v>
      </c>
      <c r="C88" s="426">
        <v>333903.3096716163</v>
      </c>
      <c r="D88" s="426">
        <v>332833.3241724589</v>
      </c>
    </row>
    <row r="89" spans="1:4">
      <c r="A89" s="421">
        <v>10279</v>
      </c>
      <c r="B89" s="422" t="s">
        <v>94</v>
      </c>
      <c r="C89" s="426">
        <v>527915.79716399661</v>
      </c>
      <c r="D89" s="426">
        <v>525986.95860180235</v>
      </c>
    </row>
    <row r="90" spans="1:4">
      <c r="A90" s="421">
        <v>10284</v>
      </c>
      <c r="B90" s="422" t="s">
        <v>95</v>
      </c>
      <c r="C90" s="426">
        <v>54644.828367447612</v>
      </c>
      <c r="D90" s="426">
        <v>54665.695516729997</v>
      </c>
    </row>
    <row r="91" spans="1:4">
      <c r="A91" s="421">
        <v>10285</v>
      </c>
      <c r="B91" s="422" t="s">
        <v>96</v>
      </c>
      <c r="C91" s="426">
        <v>69167.040190036874</v>
      </c>
      <c r="D91" s="426">
        <v>69023.382187208845</v>
      </c>
    </row>
    <row r="92" spans="1:4">
      <c r="A92" s="421">
        <v>10286</v>
      </c>
      <c r="B92" s="422" t="s">
        <v>97</v>
      </c>
      <c r="C92" s="426">
        <v>556740.24778852775</v>
      </c>
      <c r="D92" s="426">
        <v>555372.93791871902</v>
      </c>
    </row>
    <row r="93" spans="1:4">
      <c r="A93" s="421">
        <v>10288</v>
      </c>
      <c r="B93" s="422" t="s">
        <v>98</v>
      </c>
      <c r="C93" s="426">
        <v>137002.67012067369</v>
      </c>
      <c r="D93" s="426">
        <v>136266.02730788887</v>
      </c>
    </row>
    <row r="94" spans="1:4">
      <c r="A94" s="421">
        <v>10291</v>
      </c>
      <c r="B94" s="422" t="s">
        <v>99</v>
      </c>
      <c r="C94" s="426">
        <v>970667.3759209516</v>
      </c>
      <c r="D94" s="426">
        <v>971906.6134858958</v>
      </c>
    </row>
    <row r="95" spans="1:4">
      <c r="A95" s="421">
        <v>10294</v>
      </c>
      <c r="B95" s="422" t="s">
        <v>100</v>
      </c>
      <c r="C95" s="426">
        <v>464644.85939064255</v>
      </c>
      <c r="D95" s="426">
        <v>463562.96579526702</v>
      </c>
    </row>
    <row r="96" spans="1:4">
      <c r="A96" s="421">
        <v>10304</v>
      </c>
      <c r="B96" s="422" t="s">
        <v>101</v>
      </c>
      <c r="C96" s="426">
        <v>77588.625496138629</v>
      </c>
      <c r="D96" s="426">
        <v>77505.552239269644</v>
      </c>
    </row>
    <row r="97" spans="1:4">
      <c r="A97" s="421">
        <v>10306</v>
      </c>
      <c r="B97" s="422" t="s">
        <v>102</v>
      </c>
      <c r="C97" s="426">
        <v>249571.96108281476</v>
      </c>
      <c r="D97" s="426">
        <v>360441.85539042723</v>
      </c>
    </row>
    <row r="98" spans="1:4">
      <c r="A98" s="421">
        <v>10307</v>
      </c>
      <c r="B98" s="422" t="s">
        <v>103</v>
      </c>
      <c r="C98" s="426">
        <v>882979.85743155563</v>
      </c>
      <c r="D98" s="426">
        <v>880835.98007363477</v>
      </c>
    </row>
    <row r="99" spans="1:4">
      <c r="A99" s="421">
        <v>10326</v>
      </c>
      <c r="B99" s="422" t="s">
        <v>104</v>
      </c>
      <c r="C99" s="426">
        <v>377266.49849449471</v>
      </c>
      <c r="D99" s="426">
        <v>376400.77816683275</v>
      </c>
    </row>
    <row r="100" spans="1:4">
      <c r="A100" s="421">
        <v>10331</v>
      </c>
      <c r="B100" s="422" t="s">
        <v>105</v>
      </c>
      <c r="C100" s="426">
        <v>276593.67193808086</v>
      </c>
      <c r="D100" s="426">
        <v>277064.66458337801</v>
      </c>
    </row>
    <row r="101" spans="1:4">
      <c r="A101" s="421">
        <v>10333</v>
      </c>
      <c r="B101" s="422" t="s">
        <v>106</v>
      </c>
      <c r="C101" s="426">
        <v>102551.82049945224</v>
      </c>
      <c r="D101" s="426">
        <v>102000.4147389486</v>
      </c>
    </row>
    <row r="102" spans="1:4">
      <c r="A102" s="421">
        <v>10338</v>
      </c>
      <c r="B102" s="422" t="s">
        <v>107</v>
      </c>
      <c r="C102" s="426">
        <v>13139.757157118924</v>
      </c>
      <c r="D102" s="426">
        <v>13069.106653278352</v>
      </c>
    </row>
    <row r="103" spans="1:4">
      <c r="A103" s="421">
        <v>10342</v>
      </c>
      <c r="B103" s="422" t="s">
        <v>108</v>
      </c>
      <c r="C103" s="426">
        <v>551087.9505565709</v>
      </c>
      <c r="D103" s="426">
        <v>550537.33083835058</v>
      </c>
    </row>
    <row r="104" spans="1:4">
      <c r="A104" s="421">
        <v>10343</v>
      </c>
      <c r="B104" s="422" t="s">
        <v>109</v>
      </c>
      <c r="C104" s="426">
        <v>195116.12544414858</v>
      </c>
      <c r="D104" s="426">
        <v>194713.26966660554</v>
      </c>
    </row>
    <row r="105" spans="1:4">
      <c r="A105" s="421">
        <v>10349</v>
      </c>
      <c r="B105" s="422" t="s">
        <v>110</v>
      </c>
      <c r="C105" s="426">
        <v>5708668.2128188442</v>
      </c>
      <c r="D105" s="426">
        <v>5693065.0994502939</v>
      </c>
    </row>
    <row r="106" spans="1:4">
      <c r="A106" s="421">
        <v>10352</v>
      </c>
      <c r="B106" s="422" t="s">
        <v>111</v>
      </c>
      <c r="C106" s="426">
        <v>196479.95583162247</v>
      </c>
      <c r="D106" s="426">
        <v>196468.08910323348</v>
      </c>
    </row>
    <row r="107" spans="1:4">
      <c r="A107" s="421">
        <v>10354</v>
      </c>
      <c r="B107" s="422" t="s">
        <v>112</v>
      </c>
      <c r="C107" s="426">
        <v>8677394.1929976046</v>
      </c>
      <c r="D107" s="426">
        <v>8704899.5923064221</v>
      </c>
    </row>
    <row r="108" spans="1:4">
      <c r="A108" s="421">
        <v>10360</v>
      </c>
      <c r="B108" s="422" t="s">
        <v>113</v>
      </c>
      <c r="C108" s="426">
        <v>37470.181453103993</v>
      </c>
      <c r="D108" s="426">
        <v>37268.709906331518</v>
      </c>
    </row>
    <row r="109" spans="1:4">
      <c r="A109" s="421">
        <v>10363</v>
      </c>
      <c r="B109" s="422" t="s">
        <v>114</v>
      </c>
      <c r="C109" s="426">
        <v>1001136.3563995336</v>
      </c>
      <c r="D109" s="426">
        <v>999421.53513787105</v>
      </c>
    </row>
    <row r="110" spans="1:4">
      <c r="A110" s="421">
        <v>10369</v>
      </c>
      <c r="B110" s="422" t="s">
        <v>115</v>
      </c>
      <c r="C110" s="426">
        <v>172242.5806939849</v>
      </c>
      <c r="D110" s="426">
        <v>172307.84450962636</v>
      </c>
    </row>
    <row r="111" spans="1:4">
      <c r="A111" s="421">
        <v>10370</v>
      </c>
      <c r="B111" s="422" t="s">
        <v>116</v>
      </c>
      <c r="C111" s="426">
        <v>5207830.5943228714</v>
      </c>
      <c r="D111" s="426">
        <v>5195846.618119549</v>
      </c>
    </row>
    <row r="112" spans="1:4">
      <c r="A112" s="421">
        <v>10371</v>
      </c>
      <c r="B112" s="422" t="s">
        <v>117</v>
      </c>
      <c r="C112" s="426">
        <v>120518.54504210596</v>
      </c>
      <c r="D112" s="426">
        <v>120189.96979460723</v>
      </c>
    </row>
    <row r="113" spans="1:4">
      <c r="A113" s="421">
        <v>10376</v>
      </c>
      <c r="B113" s="422" t="s">
        <v>118</v>
      </c>
      <c r="C113" s="426">
        <v>594227.4537397353</v>
      </c>
      <c r="D113" s="426">
        <v>593452.48369958135</v>
      </c>
    </row>
    <row r="114" spans="1:4">
      <c r="A114" s="421">
        <v>10378</v>
      </c>
      <c r="B114" s="422" t="s">
        <v>119</v>
      </c>
      <c r="C114" s="426">
        <v>11190.667138866147</v>
      </c>
      <c r="D114" s="426">
        <v>11130.496599774817</v>
      </c>
    </row>
    <row r="115" spans="1:4">
      <c r="A115" s="421">
        <v>10379</v>
      </c>
      <c r="B115" s="422" t="s">
        <v>120</v>
      </c>
      <c r="C115" s="426">
        <v>62158.072153845111</v>
      </c>
      <c r="D115" s="426">
        <v>62014.880972161096</v>
      </c>
    </row>
    <row r="116" spans="1:4">
      <c r="A116" s="421">
        <v>10388</v>
      </c>
      <c r="B116" s="422" t="s">
        <v>121</v>
      </c>
      <c r="C116" s="426">
        <v>1185014.750502951</v>
      </c>
      <c r="D116" s="426">
        <v>1181642.7430876326</v>
      </c>
    </row>
    <row r="117" spans="1:4">
      <c r="A117" s="421">
        <v>10391</v>
      </c>
      <c r="B117" s="422" t="s">
        <v>122</v>
      </c>
      <c r="C117" s="426">
        <v>310191.66291800578</v>
      </c>
      <c r="D117" s="426">
        <v>309298.91273451736</v>
      </c>
    </row>
    <row r="118" spans="1:4">
      <c r="A118" s="421">
        <v>10406</v>
      </c>
      <c r="B118" s="422" t="s">
        <v>123</v>
      </c>
      <c r="C118" s="426">
        <v>5843.2055271770278</v>
      </c>
      <c r="D118" s="426">
        <v>5829.5542704896407</v>
      </c>
    </row>
    <row r="119" spans="1:4">
      <c r="A119" s="421">
        <v>10408</v>
      </c>
      <c r="B119" s="422" t="s">
        <v>124</v>
      </c>
      <c r="C119" s="426">
        <v>19067.298422171465</v>
      </c>
      <c r="D119" s="426">
        <v>19014.983341329484</v>
      </c>
    </row>
    <row r="120" spans="1:4">
      <c r="A120" s="421">
        <v>10409</v>
      </c>
      <c r="B120" s="422" t="s">
        <v>125</v>
      </c>
      <c r="C120" s="426">
        <v>264660.94205283211</v>
      </c>
      <c r="D120" s="426">
        <v>264052.74706450896</v>
      </c>
    </row>
    <row r="121" spans="1:4">
      <c r="A121" s="421">
        <v>10426</v>
      </c>
      <c r="B121" s="422" t="s">
        <v>126</v>
      </c>
      <c r="C121" s="426">
        <v>337760.18012841576</v>
      </c>
      <c r="D121" s="426">
        <v>338227.10349526885</v>
      </c>
    </row>
    <row r="122" spans="1:4">
      <c r="A122" s="421">
        <v>10434</v>
      </c>
      <c r="B122" s="422" t="s">
        <v>127</v>
      </c>
      <c r="C122" s="426">
        <v>340914.32120429445</v>
      </c>
      <c r="D122" s="426">
        <v>340105.53675040021</v>
      </c>
    </row>
    <row r="123" spans="1:4">
      <c r="A123" s="421">
        <v>10436</v>
      </c>
      <c r="B123" s="422" t="s">
        <v>128</v>
      </c>
      <c r="C123" s="426">
        <v>106078.93129400586</v>
      </c>
      <c r="D123" s="426">
        <v>105508.56078767344</v>
      </c>
    </row>
    <row r="124" spans="1:4">
      <c r="A124" s="421">
        <v>10440</v>
      </c>
      <c r="B124" s="422" t="s">
        <v>129</v>
      </c>
      <c r="C124" s="426">
        <v>60238.193664356309</v>
      </c>
      <c r="D124" s="426">
        <v>60089.142943263389</v>
      </c>
    </row>
    <row r="125" spans="1:4">
      <c r="A125" s="421">
        <v>10442</v>
      </c>
      <c r="B125" s="422" t="s">
        <v>130</v>
      </c>
      <c r="C125" s="426">
        <v>70714.079539976519</v>
      </c>
      <c r="D125" s="426">
        <v>71099.203585507465</v>
      </c>
    </row>
    <row r="126" spans="1:4">
      <c r="A126" s="421">
        <v>10446</v>
      </c>
      <c r="B126" s="422" t="s">
        <v>131</v>
      </c>
      <c r="C126" s="426">
        <v>918981.56267534569</v>
      </c>
      <c r="D126" s="426">
        <v>916129.2901050162</v>
      </c>
    </row>
    <row r="127" spans="1:4">
      <c r="A127" s="421">
        <v>10448</v>
      </c>
      <c r="B127" s="422" t="s">
        <v>132</v>
      </c>
      <c r="C127" s="426">
        <v>95272.624085921037</v>
      </c>
      <c r="D127" s="426">
        <v>95019.719171922537</v>
      </c>
    </row>
    <row r="128" spans="1:4">
      <c r="A128" s="421">
        <v>10451</v>
      </c>
      <c r="B128" s="422" t="s">
        <v>133</v>
      </c>
      <c r="C128" s="426">
        <v>325361.2838869479</v>
      </c>
      <c r="D128" s="426">
        <v>325006.94083668466</v>
      </c>
    </row>
    <row r="129" spans="1:4">
      <c r="A129" s="421">
        <v>10482</v>
      </c>
      <c r="B129" s="422" t="s">
        <v>134</v>
      </c>
      <c r="C129" s="426">
        <v>31562.702965538192</v>
      </c>
      <c r="D129" s="426">
        <v>31570.548866567595</v>
      </c>
    </row>
    <row r="130" spans="1:4">
      <c r="A130" s="421">
        <v>10502</v>
      </c>
      <c r="B130" s="422" t="s">
        <v>135</v>
      </c>
      <c r="C130" s="426">
        <v>72334.062627691805</v>
      </c>
      <c r="D130" s="426">
        <v>71987.593732965906</v>
      </c>
    </row>
    <row r="131" spans="1:4">
      <c r="A131" s="421">
        <v>10597</v>
      </c>
      <c r="B131" s="422" t="s">
        <v>136</v>
      </c>
      <c r="C131" s="426">
        <v>170075.94700722198</v>
      </c>
      <c r="D131" s="426">
        <v>169688.39943358989</v>
      </c>
    </row>
    <row r="132" spans="1:4">
      <c r="A132" s="421">
        <v>10706</v>
      </c>
      <c r="B132" s="422" t="s">
        <v>137</v>
      </c>
      <c r="C132" s="426">
        <v>92364.993309866593</v>
      </c>
      <c r="D132" s="426">
        <v>95190.027116119556</v>
      </c>
    </row>
    <row r="133" spans="1:4">
      <c r="A133" s="421">
        <v>11680</v>
      </c>
      <c r="B133" s="422" t="s">
        <v>138</v>
      </c>
      <c r="C133" s="426">
        <v>35056.278384406163</v>
      </c>
      <c r="D133" s="426">
        <v>34867.78603245339</v>
      </c>
    </row>
    <row r="134" spans="1:4">
      <c r="A134" s="421">
        <v>10298</v>
      </c>
      <c r="B134" s="422" t="s">
        <v>140</v>
      </c>
      <c r="C134" s="426">
        <v>5146486.7998290965</v>
      </c>
      <c r="D134" s="426">
        <v>5134503.3025359958</v>
      </c>
    </row>
    <row r="135" spans="1:4">
      <c r="A135" s="421">
        <v>12026</v>
      </c>
      <c r="B135" s="422" t="s">
        <v>139</v>
      </c>
      <c r="C135" s="426">
        <v>0</v>
      </c>
      <c r="D135" s="42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35"/>
  <sheetViews>
    <sheetView workbookViewId="0">
      <selection activeCell="A36" sqref="A36"/>
    </sheetView>
  </sheetViews>
  <sheetFormatPr defaultRowHeight="15"/>
  <cols>
    <col min="1" max="1" width="21" bestFit="1" customWidth="1"/>
    <col min="2" max="2" width="27.7109375" bestFit="1" customWidth="1"/>
    <col min="3" max="4" width="9.85546875" bestFit="1" customWidth="1"/>
  </cols>
  <sheetData>
    <row r="1" spans="1:4" ht="33">
      <c r="A1" s="423" t="s">
        <v>408</v>
      </c>
      <c r="B1" s="424" t="s">
        <v>409</v>
      </c>
      <c r="C1" s="425" t="s">
        <v>412</v>
      </c>
      <c r="D1" s="425" t="s">
        <v>413</v>
      </c>
    </row>
    <row r="2" spans="1:4">
      <c r="A2" s="421">
        <v>10005</v>
      </c>
      <c r="B2" s="422" t="s">
        <v>7</v>
      </c>
      <c r="C2" s="426">
        <v>6212.6606158474387</v>
      </c>
      <c r="D2" s="426">
        <v>6213.9824026203496</v>
      </c>
    </row>
    <row r="3" spans="1:4">
      <c r="A3" s="421">
        <v>10015</v>
      </c>
      <c r="B3" s="422" t="s">
        <v>8</v>
      </c>
      <c r="C3" s="426">
        <v>3220.9875879357182</v>
      </c>
      <c r="D3" s="426">
        <v>3201.4659683512054</v>
      </c>
    </row>
    <row r="4" spans="1:4">
      <c r="A4" s="421">
        <v>10024</v>
      </c>
      <c r="B4" s="422" t="s">
        <v>9</v>
      </c>
      <c r="C4" s="426">
        <v>2205817.9477037573</v>
      </c>
      <c r="D4" s="426">
        <v>2198961.9645222379</v>
      </c>
    </row>
    <row r="5" spans="1:4">
      <c r="A5" s="421">
        <v>10025</v>
      </c>
      <c r="B5" s="422" t="s">
        <v>10</v>
      </c>
      <c r="C5" s="426">
        <v>701205.67308877385</v>
      </c>
      <c r="D5" s="426">
        <v>699173.54942251719</v>
      </c>
    </row>
    <row r="6" spans="1:4">
      <c r="A6" s="421">
        <v>10027</v>
      </c>
      <c r="B6" s="422" t="s">
        <v>11</v>
      </c>
      <c r="C6" s="426">
        <v>524473.06420202751</v>
      </c>
      <c r="D6" s="426">
        <v>522388.67452471558</v>
      </c>
    </row>
    <row r="7" spans="1:4">
      <c r="A7" s="421">
        <v>10029</v>
      </c>
      <c r="B7" s="422" t="s">
        <v>12</v>
      </c>
      <c r="C7" s="426">
        <v>201878.73449378833</v>
      </c>
      <c r="D7" s="426">
        <v>201278.70914700232</v>
      </c>
    </row>
    <row r="8" spans="1:4">
      <c r="A8" s="421">
        <v>10044</v>
      </c>
      <c r="B8" s="422" t="s">
        <v>13</v>
      </c>
      <c r="C8" s="426">
        <v>260931.86102272948</v>
      </c>
      <c r="D8" s="426">
        <v>260240.09368045762</v>
      </c>
    </row>
    <row r="9" spans="1:4">
      <c r="A9" s="421">
        <v>10046</v>
      </c>
      <c r="B9" s="422" t="s">
        <v>14</v>
      </c>
      <c r="C9" s="426">
        <v>860546.92159758043</v>
      </c>
      <c r="D9" s="426">
        <v>857758.91216610605</v>
      </c>
    </row>
    <row r="10" spans="1:4">
      <c r="A10" s="421">
        <v>10047</v>
      </c>
      <c r="B10" s="422" t="s">
        <v>15</v>
      </c>
      <c r="C10" s="426">
        <v>1356406.4002414742</v>
      </c>
      <c r="D10" s="426">
        <v>1353243.676614064</v>
      </c>
    </row>
    <row r="11" spans="1:4">
      <c r="A11" s="421">
        <v>10055</v>
      </c>
      <c r="B11" s="422" t="s">
        <v>16</v>
      </c>
      <c r="C11" s="426">
        <v>2233.2709507485338</v>
      </c>
      <c r="D11" s="426">
        <v>2223.6783326971431</v>
      </c>
    </row>
    <row r="12" spans="1:4">
      <c r="A12" s="421">
        <v>10057</v>
      </c>
      <c r="B12" s="422" t="s">
        <v>17</v>
      </c>
      <c r="C12" s="426">
        <v>279929.27915920061</v>
      </c>
      <c r="D12" s="426">
        <v>279211.61922543542</v>
      </c>
    </row>
    <row r="13" spans="1:4">
      <c r="A13" s="421">
        <v>10059</v>
      </c>
      <c r="B13" s="422" t="s">
        <v>18</v>
      </c>
      <c r="C13" s="426">
        <v>98196.636354647344</v>
      </c>
      <c r="D13" s="426">
        <v>98040.701261843904</v>
      </c>
    </row>
    <row r="14" spans="1:4">
      <c r="A14" s="421">
        <v>10061</v>
      </c>
      <c r="B14" s="422" t="s">
        <v>19</v>
      </c>
      <c r="C14" s="426">
        <v>109661.91720420276</v>
      </c>
      <c r="D14" s="426">
        <v>109363.99613290808</v>
      </c>
    </row>
    <row r="15" spans="1:4">
      <c r="A15" s="421">
        <v>10062</v>
      </c>
      <c r="B15" s="422" t="s">
        <v>20</v>
      </c>
      <c r="C15" s="426">
        <v>75485.934594487466</v>
      </c>
      <c r="D15" s="426">
        <v>75304.73453684157</v>
      </c>
    </row>
    <row r="16" spans="1:4">
      <c r="A16" s="421">
        <v>10064</v>
      </c>
      <c r="B16" s="422" t="s">
        <v>21</v>
      </c>
      <c r="C16" s="426">
        <v>184426.84071116755</v>
      </c>
      <c r="D16" s="426">
        <v>183947.79170643725</v>
      </c>
    </row>
    <row r="17" spans="1:4">
      <c r="A17" s="421">
        <v>10065</v>
      </c>
      <c r="B17" s="422" t="s">
        <v>22</v>
      </c>
      <c r="C17" s="426">
        <v>31272.967452342367</v>
      </c>
      <c r="D17" s="426">
        <v>31191.996005592813</v>
      </c>
    </row>
    <row r="18" spans="1:4">
      <c r="A18" s="421">
        <v>10066</v>
      </c>
      <c r="B18" s="422" t="s">
        <v>23</v>
      </c>
      <c r="C18" s="426">
        <v>301197.82043856161</v>
      </c>
      <c r="D18" s="426">
        <v>299835.43138885591</v>
      </c>
    </row>
    <row r="19" spans="1:4">
      <c r="A19" s="421">
        <v>10067</v>
      </c>
      <c r="B19" s="422" t="s">
        <v>24</v>
      </c>
      <c r="C19" s="426">
        <v>197496.66232530522</v>
      </c>
      <c r="D19" s="426">
        <v>196957.91851586019</v>
      </c>
    </row>
    <row r="20" spans="1:4">
      <c r="A20" s="421">
        <v>10068</v>
      </c>
      <c r="B20" s="422" t="s">
        <v>25</v>
      </c>
      <c r="C20" s="426">
        <v>15049.786833285856</v>
      </c>
      <c r="D20" s="426">
        <v>14994.057977388711</v>
      </c>
    </row>
    <row r="21" spans="1:4">
      <c r="A21" s="421">
        <v>10070</v>
      </c>
      <c r="B21" s="422" t="s">
        <v>26</v>
      </c>
      <c r="C21" s="426">
        <v>2015.1006092011639</v>
      </c>
      <c r="D21" s="426">
        <v>2002.8875762591288</v>
      </c>
    </row>
    <row r="22" spans="1:4">
      <c r="A22" s="421">
        <v>10071</v>
      </c>
      <c r="B22" s="422" t="s">
        <v>27</v>
      </c>
      <c r="C22" s="426">
        <v>29750.927364200797</v>
      </c>
      <c r="D22" s="426">
        <v>29717.845608417105</v>
      </c>
    </row>
    <row r="23" spans="1:4">
      <c r="A23" s="421">
        <v>10072</v>
      </c>
      <c r="B23" s="422" t="s">
        <v>28</v>
      </c>
      <c r="C23" s="426">
        <v>309960.83067431522</v>
      </c>
      <c r="D23" s="426">
        <v>309143.95186859777</v>
      </c>
    </row>
    <row r="24" spans="1:4">
      <c r="A24" s="421">
        <v>10074</v>
      </c>
      <c r="B24" s="422" t="s">
        <v>29</v>
      </c>
      <c r="C24" s="426">
        <v>319099.34177259984</v>
      </c>
      <c r="D24" s="426">
        <v>318190.48055736226</v>
      </c>
    </row>
    <row r="25" spans="1:4">
      <c r="A25" s="421">
        <v>10076</v>
      </c>
      <c r="B25" s="422" t="s">
        <v>30</v>
      </c>
      <c r="C25" s="426">
        <v>77630.668152548416</v>
      </c>
      <c r="D25" s="426">
        <v>77466.585574144105</v>
      </c>
    </row>
    <row r="26" spans="1:4">
      <c r="A26" s="421">
        <v>10078</v>
      </c>
      <c r="B26" s="422" t="s">
        <v>31</v>
      </c>
      <c r="C26" s="426">
        <v>56468.631515895497</v>
      </c>
      <c r="D26" s="426">
        <v>56342.005444033886</v>
      </c>
    </row>
    <row r="27" spans="1:4">
      <c r="A27" s="421">
        <v>10079</v>
      </c>
      <c r="B27" s="422" t="s">
        <v>32</v>
      </c>
      <c r="C27" s="426">
        <v>1089139.938739561</v>
      </c>
      <c r="D27" s="426">
        <v>1086136.398126344</v>
      </c>
    </row>
    <row r="28" spans="1:4">
      <c r="A28" s="421">
        <v>10080</v>
      </c>
      <c r="B28" s="422" t="s">
        <v>33</v>
      </c>
      <c r="C28" s="426">
        <v>95504.502766492631</v>
      </c>
      <c r="D28" s="426">
        <v>95251.178498559108</v>
      </c>
    </row>
    <row r="29" spans="1:4">
      <c r="A29" s="421">
        <v>10081</v>
      </c>
      <c r="B29" s="422" t="s">
        <v>34</v>
      </c>
      <c r="C29" s="426">
        <v>132336.57605235174</v>
      </c>
      <c r="D29" s="426">
        <v>132000.95806048007</v>
      </c>
    </row>
    <row r="30" spans="1:4">
      <c r="A30" s="421">
        <v>10082</v>
      </c>
      <c r="B30" s="422" t="s">
        <v>35</v>
      </c>
      <c r="C30" s="426">
        <v>575.17635498852121</v>
      </c>
      <c r="D30" s="426">
        <v>571.69035149128672</v>
      </c>
    </row>
    <row r="31" spans="1:4">
      <c r="A31" s="421">
        <v>10083</v>
      </c>
      <c r="B31" s="422" t="s">
        <v>36</v>
      </c>
      <c r="C31" s="426">
        <v>106604.71104336144</v>
      </c>
      <c r="D31" s="426">
        <v>106319.84445412882</v>
      </c>
    </row>
    <row r="32" spans="1:4">
      <c r="A32" s="421">
        <v>10086</v>
      </c>
      <c r="B32" s="422" t="s">
        <v>37</v>
      </c>
      <c r="C32" s="426">
        <v>50427.790581798938</v>
      </c>
      <c r="D32" s="426">
        <v>50293.39913662969</v>
      </c>
    </row>
    <row r="33" spans="1:4">
      <c r="A33" s="421">
        <v>10087</v>
      </c>
      <c r="B33" s="422" t="s">
        <v>38</v>
      </c>
      <c r="C33" s="426">
        <v>693203.97036166384</v>
      </c>
      <c r="D33" s="426">
        <v>692578.66651456209</v>
      </c>
    </row>
    <row r="34" spans="1:4">
      <c r="A34" s="421">
        <v>10089</v>
      </c>
      <c r="B34" s="422" t="s">
        <v>39</v>
      </c>
      <c r="C34" s="426">
        <v>1207342.0876217578</v>
      </c>
      <c r="D34" s="426">
        <v>1203804.5153141678</v>
      </c>
    </row>
    <row r="35" spans="1:4">
      <c r="A35" s="421">
        <v>10091</v>
      </c>
      <c r="B35" s="422" t="s">
        <v>40</v>
      </c>
      <c r="C35" s="426">
        <v>125894.70843970538</v>
      </c>
      <c r="D35" s="426">
        <v>125573.77974532895</v>
      </c>
    </row>
    <row r="36" spans="1:4">
      <c r="A36" s="421">
        <v>10094</v>
      </c>
      <c r="B36" s="422" t="s">
        <v>41</v>
      </c>
      <c r="C36" s="426">
        <v>17064.887442487019</v>
      </c>
      <c r="D36" s="426">
        <v>16961.461324934589</v>
      </c>
    </row>
    <row r="37" spans="1:4">
      <c r="A37" s="421">
        <v>10095</v>
      </c>
      <c r="B37" s="422" t="s">
        <v>42</v>
      </c>
      <c r="C37" s="426">
        <v>43901.029034336563</v>
      </c>
      <c r="D37" s="426">
        <v>43776.951351238444</v>
      </c>
    </row>
    <row r="38" spans="1:4">
      <c r="A38" s="421">
        <v>10097</v>
      </c>
      <c r="B38" s="422" t="s">
        <v>43</v>
      </c>
      <c r="C38" s="426">
        <v>11451.95956449559</v>
      </c>
      <c r="D38" s="426">
        <v>11382.552032795482</v>
      </c>
    </row>
    <row r="39" spans="1:4">
      <c r="A39" s="421">
        <v>10101</v>
      </c>
      <c r="B39" s="422" t="s">
        <v>44</v>
      </c>
      <c r="C39" s="426">
        <v>947867.86706278101</v>
      </c>
      <c r="D39" s="426">
        <v>945278.19920959766</v>
      </c>
    </row>
    <row r="40" spans="1:4">
      <c r="A40" s="421">
        <v>10103</v>
      </c>
      <c r="B40" s="422" t="s">
        <v>45</v>
      </c>
      <c r="C40" s="426">
        <v>4076834.2519638757</v>
      </c>
      <c r="D40" s="426">
        <v>4071817.9288089415</v>
      </c>
    </row>
    <row r="41" spans="1:4">
      <c r="A41" s="421">
        <v>10105</v>
      </c>
      <c r="B41" s="422" t="s">
        <v>46</v>
      </c>
      <c r="C41" s="426">
        <v>1100156.3819007562</v>
      </c>
      <c r="D41" s="426">
        <v>1090145.4533127991</v>
      </c>
    </row>
    <row r="42" spans="1:4">
      <c r="A42" s="421">
        <v>10106</v>
      </c>
      <c r="B42" s="422" t="s">
        <v>47</v>
      </c>
      <c r="C42" s="426">
        <v>260035.52408878764</v>
      </c>
      <c r="D42" s="426">
        <v>259222.15532797086</v>
      </c>
    </row>
    <row r="43" spans="1:4">
      <c r="A43" s="421">
        <v>10109</v>
      </c>
      <c r="B43" s="422" t="s">
        <v>48</v>
      </c>
      <c r="C43" s="426">
        <v>68108.813897606262</v>
      </c>
      <c r="D43" s="426">
        <v>67696.023000726855</v>
      </c>
    </row>
    <row r="44" spans="1:4">
      <c r="A44" s="421">
        <v>10111</v>
      </c>
      <c r="B44" s="422" t="s">
        <v>49</v>
      </c>
      <c r="C44" s="426">
        <v>16850.683834422329</v>
      </c>
      <c r="D44" s="426">
        <v>16673.64480314932</v>
      </c>
    </row>
    <row r="45" spans="1:4">
      <c r="A45" s="421">
        <v>10112</v>
      </c>
      <c r="B45" s="422" t="s">
        <v>50</v>
      </c>
      <c r="C45" s="426">
        <v>585492.23640435282</v>
      </c>
      <c r="D45" s="426">
        <v>584171.50650791673</v>
      </c>
    </row>
    <row r="46" spans="1:4">
      <c r="A46" s="421">
        <v>10113</v>
      </c>
      <c r="B46" s="422" t="s">
        <v>51</v>
      </c>
      <c r="C46" s="426">
        <v>211839.43490901371</v>
      </c>
      <c r="D46" s="426">
        <v>210555.52780028054</v>
      </c>
    </row>
    <row r="47" spans="1:4">
      <c r="A47" s="421">
        <v>10116</v>
      </c>
      <c r="B47" s="422" t="s">
        <v>52</v>
      </c>
      <c r="C47" s="426">
        <v>3106.5164304322193</v>
      </c>
      <c r="D47" s="426">
        <v>3098.7510571245866</v>
      </c>
    </row>
    <row r="48" spans="1:4">
      <c r="A48" s="421">
        <v>10118</v>
      </c>
      <c r="B48" s="422" t="s">
        <v>53</v>
      </c>
      <c r="C48" s="426">
        <v>502767.38362718758</v>
      </c>
      <c r="D48" s="426">
        <v>501211.64036988036</v>
      </c>
    </row>
    <row r="49" spans="1:4">
      <c r="A49" s="421">
        <v>10121</v>
      </c>
      <c r="B49" s="422" t="s">
        <v>54</v>
      </c>
      <c r="C49" s="426">
        <v>451182.23210318614</v>
      </c>
      <c r="D49" s="426">
        <v>449837.25982974283</v>
      </c>
    </row>
    <row r="50" spans="1:4">
      <c r="A50" s="421">
        <v>10123</v>
      </c>
      <c r="B50" s="422" t="s">
        <v>55</v>
      </c>
      <c r="C50" s="426">
        <v>6533371.8532547178</v>
      </c>
      <c r="D50" s="426">
        <v>6514664.9968324201</v>
      </c>
    </row>
    <row r="51" spans="1:4">
      <c r="A51" s="421">
        <v>10136</v>
      </c>
      <c r="B51" s="422" t="s">
        <v>56</v>
      </c>
      <c r="C51" s="426">
        <v>208802.48375921027</v>
      </c>
      <c r="D51" s="426">
        <v>208427.7441266384</v>
      </c>
    </row>
    <row r="52" spans="1:4">
      <c r="A52" s="421">
        <v>10142</v>
      </c>
      <c r="B52" s="422" t="s">
        <v>57</v>
      </c>
      <c r="C52" s="426">
        <v>15101.354368560689</v>
      </c>
      <c r="D52" s="426">
        <v>15009.828745705714</v>
      </c>
    </row>
    <row r="53" spans="1:4">
      <c r="A53" s="421">
        <v>10144</v>
      </c>
      <c r="B53" s="422" t="s">
        <v>58</v>
      </c>
      <c r="C53" s="426">
        <v>41873.892466229881</v>
      </c>
      <c r="D53" s="426">
        <v>41796.430181632742</v>
      </c>
    </row>
    <row r="54" spans="1:4">
      <c r="A54" s="421">
        <v>10156</v>
      </c>
      <c r="B54" s="422" t="s">
        <v>59</v>
      </c>
      <c r="C54" s="426">
        <v>180621.24240032636</v>
      </c>
      <c r="D54" s="426">
        <v>180086.40341183459</v>
      </c>
    </row>
    <row r="55" spans="1:4">
      <c r="A55" s="421">
        <v>10157</v>
      </c>
      <c r="B55" s="422" t="s">
        <v>60</v>
      </c>
      <c r="C55" s="426">
        <v>657317.14694681426</v>
      </c>
      <c r="D55" s="426">
        <v>655615.47237069183</v>
      </c>
    </row>
    <row r="56" spans="1:4">
      <c r="A56" s="421">
        <v>10158</v>
      </c>
      <c r="B56" s="422" t="s">
        <v>61</v>
      </c>
      <c r="C56" s="426">
        <v>35476.457803994388</v>
      </c>
      <c r="D56" s="426">
        <v>35385.172595173703</v>
      </c>
    </row>
    <row r="57" spans="1:4">
      <c r="A57" s="421">
        <v>10170</v>
      </c>
      <c r="B57" s="422" t="s">
        <v>62</v>
      </c>
      <c r="C57" s="426">
        <v>2844268.4545550141</v>
      </c>
      <c r="D57" s="426">
        <v>2838821.0606664242</v>
      </c>
    </row>
    <row r="58" spans="1:4">
      <c r="A58" s="421">
        <v>10172</v>
      </c>
      <c r="B58" s="422" t="s">
        <v>63</v>
      </c>
      <c r="C58" s="426">
        <v>92012.840640199531</v>
      </c>
      <c r="D58" s="426">
        <v>91979.347041897083</v>
      </c>
    </row>
    <row r="59" spans="1:4">
      <c r="A59" s="421">
        <v>10173</v>
      </c>
      <c r="B59" s="422" t="s">
        <v>64</v>
      </c>
      <c r="C59" s="426">
        <v>338597.0860257973</v>
      </c>
      <c r="D59" s="426">
        <v>337468.63063163741</v>
      </c>
    </row>
    <row r="60" spans="1:4">
      <c r="A60" s="421">
        <v>10174</v>
      </c>
      <c r="B60" s="422" t="s">
        <v>65</v>
      </c>
      <c r="C60" s="426">
        <v>2852.0813740465292</v>
      </c>
      <c r="D60" s="426">
        <v>2834.7956049809318</v>
      </c>
    </row>
    <row r="61" spans="1:4">
      <c r="A61" s="421">
        <v>10177</v>
      </c>
      <c r="B61" s="422" t="s">
        <v>66</v>
      </c>
      <c r="C61" s="426">
        <v>124305.72133002119</v>
      </c>
      <c r="D61" s="426">
        <v>121881.9669069932</v>
      </c>
    </row>
    <row r="62" spans="1:4">
      <c r="A62" s="421">
        <v>10179</v>
      </c>
      <c r="B62" s="422" t="s">
        <v>67</v>
      </c>
      <c r="C62" s="426">
        <v>1545636.9725373732</v>
      </c>
      <c r="D62" s="426">
        <v>1539954.6666298639</v>
      </c>
    </row>
    <row r="63" spans="1:4">
      <c r="A63" s="421">
        <v>10183</v>
      </c>
      <c r="B63" s="422" t="s">
        <v>68</v>
      </c>
      <c r="C63" s="426">
        <v>1131478.6429234776</v>
      </c>
      <c r="D63" s="426">
        <v>1127481.4230237245</v>
      </c>
    </row>
    <row r="64" spans="1:4">
      <c r="A64" s="421">
        <v>10186</v>
      </c>
      <c r="B64" s="422" t="s">
        <v>69</v>
      </c>
      <c r="C64" s="426">
        <v>104678.12987442817</v>
      </c>
      <c r="D64" s="426">
        <v>104658.76124369798</v>
      </c>
    </row>
    <row r="65" spans="1:4">
      <c r="A65" s="421">
        <v>10190</v>
      </c>
      <c r="B65" s="422" t="s">
        <v>70</v>
      </c>
      <c r="C65" s="426">
        <v>1376110.9197385786</v>
      </c>
      <c r="D65" s="426">
        <v>1374716.8308779295</v>
      </c>
    </row>
    <row r="66" spans="1:4">
      <c r="A66" s="421">
        <v>10191</v>
      </c>
      <c r="B66" s="422" t="s">
        <v>71</v>
      </c>
      <c r="C66" s="426">
        <v>1467483.9585642517</v>
      </c>
      <c r="D66" s="426">
        <v>1462882.149766719</v>
      </c>
    </row>
    <row r="67" spans="1:4">
      <c r="A67" s="421">
        <v>10197</v>
      </c>
      <c r="B67" s="422" t="s">
        <v>72</v>
      </c>
      <c r="C67" s="426">
        <v>219249.61152246164</v>
      </c>
      <c r="D67" s="426">
        <v>218474.63688292133</v>
      </c>
    </row>
    <row r="68" spans="1:4">
      <c r="A68" s="421">
        <v>10202</v>
      </c>
      <c r="B68" s="422" t="s">
        <v>73</v>
      </c>
      <c r="C68" s="426">
        <v>163397.78896729407</v>
      </c>
      <c r="D68" s="426">
        <v>162951.6286024549</v>
      </c>
    </row>
    <row r="69" spans="1:4">
      <c r="A69" s="421">
        <v>10203</v>
      </c>
      <c r="B69" s="422" t="s">
        <v>74</v>
      </c>
      <c r="C69" s="426">
        <v>73932.85602435912</v>
      </c>
      <c r="D69" s="426">
        <v>73721.195508568402</v>
      </c>
    </row>
    <row r="70" spans="1:4">
      <c r="A70" s="421">
        <v>10204</v>
      </c>
      <c r="B70" s="422" t="s">
        <v>75</v>
      </c>
      <c r="C70" s="426">
        <v>810535.73706475971</v>
      </c>
      <c r="D70" s="426">
        <v>809065.65736031393</v>
      </c>
    </row>
    <row r="71" spans="1:4">
      <c r="A71" s="421">
        <v>10209</v>
      </c>
      <c r="B71" s="422" t="s">
        <v>76</v>
      </c>
      <c r="C71" s="426">
        <v>589496.26286099397</v>
      </c>
      <c r="D71" s="426">
        <v>585923.4698973801</v>
      </c>
    </row>
    <row r="72" spans="1:4">
      <c r="A72" s="421">
        <v>10230</v>
      </c>
      <c r="B72" s="422" t="s">
        <v>77</v>
      </c>
      <c r="C72" s="426">
        <v>102591.41358022759</v>
      </c>
      <c r="D72" s="426">
        <v>102260.91640728634</v>
      </c>
    </row>
    <row r="73" spans="1:4">
      <c r="A73" s="421">
        <v>10231</v>
      </c>
      <c r="B73" s="422" t="s">
        <v>78</v>
      </c>
      <c r="C73" s="426">
        <v>425266.0217424545</v>
      </c>
      <c r="D73" s="426">
        <v>424017.33528974513</v>
      </c>
    </row>
    <row r="74" spans="1:4">
      <c r="A74" s="421">
        <v>10234</v>
      </c>
      <c r="B74" s="422" t="s">
        <v>79</v>
      </c>
      <c r="C74" s="426">
        <v>286620.29452448682</v>
      </c>
      <c r="D74" s="426">
        <v>284883.15887830633</v>
      </c>
    </row>
    <row r="75" spans="1:4">
      <c r="A75" s="421">
        <v>10235</v>
      </c>
      <c r="B75" s="422" t="s">
        <v>80</v>
      </c>
      <c r="C75" s="426">
        <v>439571.22445567552</v>
      </c>
      <c r="D75" s="426">
        <v>439373.94286799885</v>
      </c>
    </row>
    <row r="76" spans="1:4">
      <c r="A76" s="421">
        <v>10236</v>
      </c>
      <c r="B76" s="422" t="s">
        <v>81</v>
      </c>
      <c r="C76" s="426">
        <v>310753.25035182608</v>
      </c>
      <c r="D76" s="426">
        <v>309804.16786865145</v>
      </c>
    </row>
    <row r="77" spans="1:4">
      <c r="A77" s="421">
        <v>10237</v>
      </c>
      <c r="B77" s="422" t="s">
        <v>82</v>
      </c>
      <c r="C77" s="426">
        <v>1340530.64271475</v>
      </c>
      <c r="D77" s="426">
        <v>1338365.9632072032</v>
      </c>
    </row>
    <row r="78" spans="1:4">
      <c r="A78" s="421">
        <v>10239</v>
      </c>
      <c r="B78" s="422" t="s">
        <v>83</v>
      </c>
      <c r="C78" s="426">
        <v>77732.109326586622</v>
      </c>
      <c r="D78" s="426">
        <v>77260.993984987959</v>
      </c>
    </row>
    <row r="79" spans="1:4">
      <c r="A79" s="421">
        <v>10242</v>
      </c>
      <c r="B79" s="422" t="s">
        <v>84</v>
      </c>
      <c r="C79" s="426">
        <v>103518.26046054739</v>
      </c>
      <c r="D79" s="426">
        <v>103620.40188882221</v>
      </c>
    </row>
    <row r="80" spans="1:4">
      <c r="A80" s="421">
        <v>10244</v>
      </c>
      <c r="B80" s="422" t="s">
        <v>85</v>
      </c>
      <c r="C80" s="426">
        <v>483540.84480514302</v>
      </c>
      <c r="D80" s="426">
        <v>480610.22176852659</v>
      </c>
    </row>
    <row r="81" spans="1:4">
      <c r="A81" s="421">
        <v>10246</v>
      </c>
      <c r="B81" s="422" t="s">
        <v>86</v>
      </c>
      <c r="C81" s="426">
        <v>102600.73460245307</v>
      </c>
      <c r="D81" s="426">
        <v>102294.61541258902</v>
      </c>
    </row>
    <row r="82" spans="1:4">
      <c r="A82" s="421">
        <v>10247</v>
      </c>
      <c r="B82" s="422" t="s">
        <v>87</v>
      </c>
      <c r="C82" s="426">
        <v>993325.82931685599</v>
      </c>
      <c r="D82" s="426">
        <v>990603.28462691931</v>
      </c>
    </row>
    <row r="83" spans="1:4">
      <c r="A83" s="421">
        <v>10256</v>
      </c>
      <c r="B83" s="422" t="s">
        <v>88</v>
      </c>
      <c r="C83" s="426">
        <v>542621.00665827445</v>
      </c>
      <c r="D83" s="426">
        <v>541163.92706472846</v>
      </c>
    </row>
    <row r="84" spans="1:4">
      <c r="A84" s="421">
        <v>10258</v>
      </c>
      <c r="B84" s="422" t="s">
        <v>89</v>
      </c>
      <c r="C84" s="426">
        <v>213295.22609715705</v>
      </c>
      <c r="D84" s="426">
        <v>212002.49579336538</v>
      </c>
    </row>
    <row r="85" spans="1:4">
      <c r="A85" s="421">
        <v>10259</v>
      </c>
      <c r="B85" s="422" t="s">
        <v>90</v>
      </c>
      <c r="C85" s="426">
        <v>151660.12124328365</v>
      </c>
      <c r="D85" s="426">
        <v>150740.94626597493</v>
      </c>
    </row>
    <row r="86" spans="1:4">
      <c r="A86" s="421">
        <v>10260</v>
      </c>
      <c r="B86" s="422" t="s">
        <v>91</v>
      </c>
      <c r="C86" s="426">
        <v>147725.12162846563</v>
      </c>
      <c r="D86" s="426">
        <v>146829.79572335869</v>
      </c>
    </row>
    <row r="87" spans="1:4">
      <c r="A87" s="421">
        <v>10273</v>
      </c>
      <c r="B87" s="422" t="s">
        <v>92</v>
      </c>
      <c r="C87" s="426">
        <v>68396.315801605931</v>
      </c>
      <c r="D87" s="426">
        <v>68195.978786830383</v>
      </c>
    </row>
    <row r="88" spans="1:4">
      <c r="A88" s="421">
        <v>10278</v>
      </c>
      <c r="B88" s="422" t="s">
        <v>93</v>
      </c>
      <c r="C88" s="426">
        <v>324752.59868186503</v>
      </c>
      <c r="D88" s="426">
        <v>324496.96821573318</v>
      </c>
    </row>
    <row r="89" spans="1:4">
      <c r="A89" s="421">
        <v>10279</v>
      </c>
      <c r="B89" s="422" t="s">
        <v>94</v>
      </c>
      <c r="C89" s="426">
        <v>533169.08164215623</v>
      </c>
      <c r="D89" s="426">
        <v>530963.06650489592</v>
      </c>
    </row>
    <row r="90" spans="1:4">
      <c r="A90" s="421">
        <v>10284</v>
      </c>
      <c r="B90" s="422" t="s">
        <v>95</v>
      </c>
      <c r="C90" s="426">
        <v>55851.607436126746</v>
      </c>
      <c r="D90" s="426">
        <v>55619.557161983328</v>
      </c>
    </row>
    <row r="91" spans="1:4">
      <c r="A91" s="421">
        <v>10285</v>
      </c>
      <c r="B91" s="422" t="s">
        <v>96</v>
      </c>
      <c r="C91" s="426">
        <v>69748.428674868075</v>
      </c>
      <c r="D91" s="426">
        <v>69526.045693147957</v>
      </c>
    </row>
    <row r="92" spans="1:4">
      <c r="A92" s="421">
        <v>10286</v>
      </c>
      <c r="B92" s="422" t="s">
        <v>97</v>
      </c>
      <c r="C92" s="426">
        <v>560468.65613070945</v>
      </c>
      <c r="D92" s="426">
        <v>558904.83496185008</v>
      </c>
    </row>
    <row r="93" spans="1:4">
      <c r="A93" s="421">
        <v>10288</v>
      </c>
      <c r="B93" s="422" t="s">
        <v>98</v>
      </c>
      <c r="C93" s="426">
        <v>139006.2414335362</v>
      </c>
      <c r="D93" s="426">
        <v>138163.75853316663</v>
      </c>
    </row>
    <row r="94" spans="1:4">
      <c r="A94" s="421">
        <v>10291</v>
      </c>
      <c r="B94" s="422" t="s">
        <v>99</v>
      </c>
      <c r="C94" s="426">
        <v>977820.46724975016</v>
      </c>
      <c r="D94" s="426">
        <v>977995.29744750494</v>
      </c>
    </row>
    <row r="95" spans="1:4">
      <c r="A95" s="421">
        <v>10294</v>
      </c>
      <c r="B95" s="422" t="s">
        <v>100</v>
      </c>
      <c r="C95" s="426">
        <v>459289.05215150065</v>
      </c>
      <c r="D95" s="426">
        <v>458752.55205026007</v>
      </c>
    </row>
    <row r="96" spans="1:4">
      <c r="A96" s="421">
        <v>10304</v>
      </c>
      <c r="B96" s="422" t="s">
        <v>101</v>
      </c>
      <c r="C96" s="426">
        <v>77668.641590863757</v>
      </c>
      <c r="D96" s="426">
        <v>77414.758976078723</v>
      </c>
    </row>
    <row r="97" spans="1:4">
      <c r="A97" s="421">
        <v>10306</v>
      </c>
      <c r="B97" s="422" t="s">
        <v>102</v>
      </c>
      <c r="C97" s="426">
        <v>218511.51253542781</v>
      </c>
      <c r="D97" s="426">
        <v>218511.51253542781</v>
      </c>
    </row>
    <row r="98" spans="1:4">
      <c r="A98" s="421">
        <v>10307</v>
      </c>
      <c r="B98" s="422" t="s">
        <v>103</v>
      </c>
      <c r="C98" s="426">
        <v>868434.3297716591</v>
      </c>
      <c r="D98" s="426">
        <v>866571.1575148924</v>
      </c>
    </row>
    <row r="99" spans="1:4">
      <c r="A99" s="421">
        <v>10326</v>
      </c>
      <c r="B99" s="422" t="s">
        <v>104</v>
      </c>
      <c r="C99" s="426">
        <v>380651.60016817949</v>
      </c>
      <c r="D99" s="426">
        <v>379659.6278212872</v>
      </c>
    </row>
    <row r="100" spans="1:4">
      <c r="A100" s="421">
        <v>10331</v>
      </c>
      <c r="B100" s="422" t="s">
        <v>105</v>
      </c>
      <c r="C100" s="426">
        <v>287387.68980703596</v>
      </c>
      <c r="D100" s="426">
        <v>286140.92666660092</v>
      </c>
    </row>
    <row r="101" spans="1:4">
      <c r="A101" s="421">
        <v>10333</v>
      </c>
      <c r="B101" s="422" t="s">
        <v>106</v>
      </c>
      <c r="C101" s="426">
        <v>104055.3527176475</v>
      </c>
      <c r="D101" s="426">
        <v>103424.69862289265</v>
      </c>
    </row>
    <row r="102" spans="1:4">
      <c r="A102" s="421">
        <v>10338</v>
      </c>
      <c r="B102" s="422" t="s">
        <v>107</v>
      </c>
      <c r="C102" s="426">
        <v>13336.157968768332</v>
      </c>
      <c r="D102" s="426">
        <v>13255.33077043935</v>
      </c>
    </row>
    <row r="103" spans="1:4">
      <c r="A103" s="421">
        <v>10342</v>
      </c>
      <c r="B103" s="422" t="s">
        <v>108</v>
      </c>
      <c r="C103" s="426">
        <v>556029.91397967096</v>
      </c>
      <c r="D103" s="426">
        <v>555271.77902462764</v>
      </c>
    </row>
    <row r="104" spans="1:4">
      <c r="A104" s="421">
        <v>10343</v>
      </c>
      <c r="B104" s="422" t="s">
        <v>109</v>
      </c>
      <c r="C104" s="426">
        <v>191610.45666428225</v>
      </c>
      <c r="D104" s="426">
        <v>191217.01909716334</v>
      </c>
    </row>
    <row r="105" spans="1:4">
      <c r="A105" s="421">
        <v>10349</v>
      </c>
      <c r="B105" s="422" t="s">
        <v>110</v>
      </c>
      <c r="C105" s="426">
        <v>5724612.0342393331</v>
      </c>
      <c r="D105" s="426">
        <v>5731356.5788279148</v>
      </c>
    </row>
    <row r="106" spans="1:4">
      <c r="A106" s="421">
        <v>10352</v>
      </c>
      <c r="B106" s="422" t="s">
        <v>111</v>
      </c>
      <c r="C106" s="426">
        <v>197551.89390883379</v>
      </c>
      <c r="D106" s="426">
        <v>197193.57661454997</v>
      </c>
    </row>
    <row r="107" spans="1:4">
      <c r="A107" s="421">
        <v>10354</v>
      </c>
      <c r="B107" s="422" t="s">
        <v>112</v>
      </c>
      <c r="C107" s="426">
        <v>8816685.9150738344</v>
      </c>
      <c r="D107" s="426">
        <v>8843222.9077530857</v>
      </c>
    </row>
    <row r="108" spans="1:4">
      <c r="A108" s="421">
        <v>10360</v>
      </c>
      <c r="B108" s="422" t="s">
        <v>113</v>
      </c>
      <c r="C108" s="426">
        <v>38025.107164965273</v>
      </c>
      <c r="D108" s="426">
        <v>37794.646271692924</v>
      </c>
    </row>
    <row r="109" spans="1:4">
      <c r="A109" s="421">
        <v>10363</v>
      </c>
      <c r="B109" s="422" t="s">
        <v>114</v>
      </c>
      <c r="C109" s="426">
        <v>1029859.1874471301</v>
      </c>
      <c r="D109" s="426">
        <v>1027932.2115726088</v>
      </c>
    </row>
    <row r="110" spans="1:4">
      <c r="A110" s="421">
        <v>10369</v>
      </c>
      <c r="B110" s="422" t="s">
        <v>115</v>
      </c>
      <c r="C110" s="426">
        <v>174129.32770838495</v>
      </c>
      <c r="D110" s="426">
        <v>173569.61979514969</v>
      </c>
    </row>
    <row r="111" spans="1:4">
      <c r="A111" s="421">
        <v>10370</v>
      </c>
      <c r="B111" s="422" t="s">
        <v>116</v>
      </c>
      <c r="C111" s="426">
        <v>5125709.8285247767</v>
      </c>
      <c r="D111" s="426">
        <v>5175005.6330351764</v>
      </c>
    </row>
    <row r="112" spans="1:4">
      <c r="A112" s="421">
        <v>10371</v>
      </c>
      <c r="B112" s="422" t="s">
        <v>117</v>
      </c>
      <c r="C112" s="426">
        <v>121409.34421493355</v>
      </c>
      <c r="D112" s="426">
        <v>121033.57707933511</v>
      </c>
    </row>
    <row r="113" spans="1:4">
      <c r="A113" s="421">
        <v>10376</v>
      </c>
      <c r="B113" s="422" t="s">
        <v>118</v>
      </c>
      <c r="C113" s="426">
        <v>597358.67315951898</v>
      </c>
      <c r="D113" s="426">
        <v>596249.67217592453</v>
      </c>
    </row>
    <row r="114" spans="1:4">
      <c r="A114" s="421">
        <v>10378</v>
      </c>
      <c r="B114" s="422" t="s">
        <v>119</v>
      </c>
      <c r="C114" s="426">
        <v>10753.814471544005</v>
      </c>
      <c r="D114" s="426">
        <v>10771.434760511695</v>
      </c>
    </row>
    <row r="115" spans="1:4">
      <c r="A115" s="421">
        <v>10379</v>
      </c>
      <c r="B115" s="422" t="s">
        <v>120</v>
      </c>
      <c r="C115" s="426">
        <v>62377.837502015303</v>
      </c>
      <c r="D115" s="426">
        <v>62353.095464976781</v>
      </c>
    </row>
    <row r="116" spans="1:4">
      <c r="A116" s="421">
        <v>10388</v>
      </c>
      <c r="B116" s="422" t="s">
        <v>121</v>
      </c>
      <c r="C116" s="426">
        <v>1194203.9412840679</v>
      </c>
      <c r="D116" s="426">
        <v>1190347.3395529722</v>
      </c>
    </row>
    <row r="117" spans="1:4">
      <c r="A117" s="421">
        <v>10391</v>
      </c>
      <c r="B117" s="422" t="s">
        <v>122</v>
      </c>
      <c r="C117" s="426">
        <v>312630.8585849707</v>
      </c>
      <c r="D117" s="426">
        <v>311609.7720985256</v>
      </c>
    </row>
    <row r="118" spans="1:4">
      <c r="A118" s="421">
        <v>10406</v>
      </c>
      <c r="B118" s="422" t="s">
        <v>123</v>
      </c>
      <c r="C118" s="426">
        <v>5878.7207440806742</v>
      </c>
      <c r="D118" s="426">
        <v>5863.1178732551216</v>
      </c>
    </row>
    <row r="119" spans="1:4">
      <c r="A119" s="421">
        <v>10408</v>
      </c>
      <c r="B119" s="422" t="s">
        <v>124</v>
      </c>
      <c r="C119" s="426">
        <v>19025.561523599932</v>
      </c>
      <c r="D119" s="426">
        <v>18975.603487274049</v>
      </c>
    </row>
    <row r="120" spans="1:4">
      <c r="A120" s="421">
        <v>10409</v>
      </c>
      <c r="B120" s="422" t="s">
        <v>125</v>
      </c>
      <c r="C120" s="426">
        <v>262699.15804798278</v>
      </c>
      <c r="D120" s="426">
        <v>262179.25887358387</v>
      </c>
    </row>
    <row r="121" spans="1:4">
      <c r="A121" s="421">
        <v>10426</v>
      </c>
      <c r="B121" s="422" t="s">
        <v>126</v>
      </c>
      <c r="C121" s="426">
        <v>296839.31229325075</v>
      </c>
      <c r="D121" s="426">
        <v>368209.81255100603</v>
      </c>
    </row>
    <row r="122" spans="1:4">
      <c r="A122" s="421">
        <v>10434</v>
      </c>
      <c r="B122" s="422" t="s">
        <v>127</v>
      </c>
      <c r="C122" s="426">
        <v>343118.60597261786</v>
      </c>
      <c r="D122" s="426">
        <v>342193.58893427579</v>
      </c>
    </row>
    <row r="123" spans="1:4">
      <c r="A123" s="421">
        <v>10436</v>
      </c>
      <c r="B123" s="422" t="s">
        <v>128</v>
      </c>
      <c r="C123" s="426">
        <v>107637.31305250706</v>
      </c>
      <c r="D123" s="426">
        <v>106984.94957045563</v>
      </c>
    </row>
    <row r="124" spans="1:4">
      <c r="A124" s="421">
        <v>10440</v>
      </c>
      <c r="B124" s="422" t="s">
        <v>129</v>
      </c>
      <c r="C124" s="426">
        <v>60562.174017080499</v>
      </c>
      <c r="D124" s="426">
        <v>60392.201294836035</v>
      </c>
    </row>
    <row r="125" spans="1:4">
      <c r="A125" s="421">
        <v>10442</v>
      </c>
      <c r="B125" s="422" t="s">
        <v>130</v>
      </c>
      <c r="C125" s="426">
        <v>74538.88887302966</v>
      </c>
      <c r="D125" s="426">
        <v>74335.516462184285</v>
      </c>
    </row>
    <row r="126" spans="1:4">
      <c r="A126" s="421">
        <v>10446</v>
      </c>
      <c r="B126" s="422" t="s">
        <v>131</v>
      </c>
      <c r="C126" s="426">
        <v>926750.88589619799</v>
      </c>
      <c r="D126" s="426">
        <v>923488.73190629296</v>
      </c>
    </row>
    <row r="127" spans="1:4">
      <c r="A127" s="421">
        <v>10448</v>
      </c>
      <c r="B127" s="422" t="s">
        <v>132</v>
      </c>
      <c r="C127" s="426">
        <v>95520.794317990891</v>
      </c>
      <c r="D127" s="426">
        <v>95238.596324538899</v>
      </c>
    </row>
    <row r="128" spans="1:4">
      <c r="A128" s="421">
        <v>10451</v>
      </c>
      <c r="B128" s="422" t="s">
        <v>133</v>
      </c>
      <c r="C128" s="426">
        <v>329541.98011314787</v>
      </c>
      <c r="D128" s="426">
        <v>328635.52303825319</v>
      </c>
    </row>
    <row r="129" spans="1:4">
      <c r="A129" s="421">
        <v>10482</v>
      </c>
      <c r="B129" s="422" t="s">
        <v>134</v>
      </c>
      <c r="C129" s="426">
        <v>31167.066926376116</v>
      </c>
      <c r="D129" s="426">
        <v>31073.209287388505</v>
      </c>
    </row>
    <row r="130" spans="1:4">
      <c r="A130" s="421">
        <v>10502</v>
      </c>
      <c r="B130" s="422" t="s">
        <v>135</v>
      </c>
      <c r="C130" s="426">
        <v>102741.50983559954</v>
      </c>
      <c r="D130" s="426">
        <v>106479.98501430708</v>
      </c>
    </row>
    <row r="131" spans="1:4">
      <c r="A131" s="421">
        <v>10597</v>
      </c>
      <c r="B131" s="422" t="s">
        <v>136</v>
      </c>
      <c r="C131" s="426">
        <v>171214.66523174982</v>
      </c>
      <c r="D131" s="426">
        <v>170784.05965492938</v>
      </c>
    </row>
    <row r="132" spans="1:4">
      <c r="A132" s="421">
        <v>10706</v>
      </c>
      <c r="B132" s="422" t="s">
        <v>137</v>
      </c>
      <c r="C132" s="426">
        <v>97105.635655993086</v>
      </c>
      <c r="D132" s="426">
        <v>96517.102100046206</v>
      </c>
    </row>
    <row r="133" spans="1:4">
      <c r="A133" s="421">
        <v>11680</v>
      </c>
      <c r="B133" s="422" t="s">
        <v>138</v>
      </c>
      <c r="C133" s="426">
        <v>35565.732405704002</v>
      </c>
      <c r="D133" s="426">
        <v>35350.177182557774</v>
      </c>
    </row>
    <row r="134" spans="1:4">
      <c r="A134" s="421">
        <v>10298</v>
      </c>
      <c r="B134" s="422" t="s">
        <v>140</v>
      </c>
      <c r="C134" s="426">
        <v>5322915.4195733145</v>
      </c>
      <c r="D134" s="426">
        <v>5306183.848438778</v>
      </c>
    </row>
    <row r="135" spans="1:4">
      <c r="A135" s="421">
        <v>12026</v>
      </c>
      <c r="B135" s="422" t="s">
        <v>139</v>
      </c>
      <c r="C135" s="426">
        <v>0</v>
      </c>
      <c r="D135" s="42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B2:G11"/>
  <sheetViews>
    <sheetView workbookViewId="0">
      <selection activeCell="G22" sqref="G22"/>
    </sheetView>
  </sheetViews>
  <sheetFormatPr defaultRowHeight="15"/>
  <cols>
    <col min="3" max="3" width="12.7109375" bestFit="1" customWidth="1"/>
  </cols>
  <sheetData>
    <row r="2" spans="2:7">
      <c r="B2" s="84" t="s">
        <v>223</v>
      </c>
    </row>
    <row r="3" spans="2:7">
      <c r="B3" t="s">
        <v>224</v>
      </c>
      <c r="C3" s="438">
        <v>6983.085</v>
      </c>
    </row>
    <row r="4" spans="2:7">
      <c r="B4" t="s">
        <v>225</v>
      </c>
      <c r="C4" s="438">
        <v>6944.8459999999995</v>
      </c>
    </row>
    <row r="6" spans="2:7">
      <c r="B6" s="318" t="s">
        <v>395</v>
      </c>
    </row>
    <row r="7" spans="2:7">
      <c r="B7" s="363" t="s">
        <v>224</v>
      </c>
      <c r="C7" s="135">
        <f>SUM(TOCA_previous!$S$3:$S$136)</f>
        <v>61339409.856000021</v>
      </c>
    </row>
    <row r="8" spans="2:7">
      <c r="B8" s="363" t="s">
        <v>225</v>
      </c>
      <c r="C8" s="135">
        <f>SUM(TOCA_current!$S$3:$S$136)</f>
        <v>60836842.20000001</v>
      </c>
    </row>
    <row r="11" spans="2:7">
      <c r="G11" s="26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H140"/>
  <sheetViews>
    <sheetView zoomScale="85" zoomScaleNormal="85" workbookViewId="0">
      <pane xSplit="4" ySplit="5" topLeftCell="CM6" activePane="bottomRight" state="frozen"/>
      <selection pane="topRight" activeCell="D1" sqref="D1"/>
      <selection pane="bottomLeft" activeCell="A6" sqref="A6"/>
      <selection pane="bottomRight" activeCell="CY17" sqref="CY17"/>
    </sheetView>
  </sheetViews>
  <sheetFormatPr defaultRowHeight="15"/>
  <cols>
    <col min="1" max="1" width="14.140625" customWidth="1"/>
    <col min="2" max="2" width="26.5703125" bestFit="1" customWidth="1"/>
    <col min="3" max="3" width="8.5703125" style="397" customWidth="1"/>
    <col min="4" max="4" width="10.7109375" style="397" bestFit="1" customWidth="1"/>
    <col min="5" max="6" width="12.7109375" customWidth="1"/>
    <col min="7" max="8" width="12.7109375" style="363" customWidth="1"/>
    <col min="9" max="10" width="12.7109375" style="397" hidden="1" customWidth="1"/>
    <col min="11" max="11" width="12.7109375" style="363" customWidth="1"/>
    <col min="12" max="47" width="8.7109375" style="363" customWidth="1"/>
    <col min="48" max="48" width="18.140625" style="363" bestFit="1" customWidth="1"/>
    <col min="49" max="49" width="18.140625" style="397" customWidth="1"/>
    <col min="50" max="50" width="13.5703125" style="363" bestFit="1" customWidth="1"/>
    <col min="51" max="51" width="20.28515625" style="363" bestFit="1" customWidth="1"/>
    <col min="52" max="52" width="20.28515625" style="363" customWidth="1"/>
    <col min="53" max="53" width="16.42578125" style="363" bestFit="1" customWidth="1"/>
    <col min="54" max="54" width="15.42578125" style="363" bestFit="1" customWidth="1"/>
    <col min="55" max="55" width="15.7109375" style="363" bestFit="1" customWidth="1"/>
    <col min="56" max="56" width="22" style="363" bestFit="1" customWidth="1"/>
    <col min="57" max="57" width="22" style="363" customWidth="1"/>
    <col min="58" max="58" width="14.7109375" style="363" bestFit="1" customWidth="1"/>
    <col min="59" max="59" width="10.28515625" bestFit="1" customWidth="1"/>
    <col min="60" max="60" width="19.42578125" bestFit="1" customWidth="1"/>
    <col min="61" max="61" width="9.5703125" bestFit="1" customWidth="1"/>
    <col min="62" max="62" width="10.85546875" customWidth="1"/>
    <col min="63" max="64" width="12.7109375" style="397" hidden="1" customWidth="1"/>
    <col min="102" max="102" width="18.140625" bestFit="1" customWidth="1"/>
    <col min="103" max="103" width="18.140625" style="397" customWidth="1"/>
    <col min="104" max="105" width="11.28515625" style="397" customWidth="1"/>
    <col min="106" max="106" width="17.140625" style="397" bestFit="1" customWidth="1"/>
    <col min="107" max="107" width="14.28515625" style="397" bestFit="1" customWidth="1"/>
    <col min="108" max="108" width="11.28515625" style="397" customWidth="1"/>
    <col min="109" max="109" width="9.140625" style="397"/>
    <col min="111" max="111" width="18.140625" customWidth="1"/>
    <col min="112" max="112" width="10.42578125" customWidth="1"/>
  </cols>
  <sheetData>
    <row r="1" spans="1:112">
      <c r="A1" t="s">
        <v>387</v>
      </c>
      <c r="E1" s="365" t="s">
        <v>388</v>
      </c>
      <c r="F1" s="366">
        <f>Init!R3</f>
        <v>2016</v>
      </c>
      <c r="G1" s="364"/>
      <c r="BG1" s="365" t="s">
        <v>389</v>
      </c>
      <c r="BH1" s="367">
        <f>Init!R4</f>
        <v>2018</v>
      </c>
    </row>
    <row r="2" spans="1:112" s="363" customFormat="1">
      <c r="C2" s="397"/>
      <c r="D2" s="397"/>
      <c r="E2" s="383" t="s">
        <v>400</v>
      </c>
      <c r="F2" s="402">
        <f>VLOOKUP(F1,Init!K4:$M$40,3)</f>
        <v>8784</v>
      </c>
      <c r="G2" s="364"/>
      <c r="I2" s="397"/>
      <c r="J2" s="397"/>
      <c r="AW2" s="397"/>
      <c r="BA2"/>
      <c r="BG2" s="383" t="s">
        <v>400</v>
      </c>
      <c r="BH2" s="403">
        <f>VLOOKUP(BH1,Init!K4:$M$40,3)</f>
        <v>8760</v>
      </c>
      <c r="BK2" s="397"/>
      <c r="BL2" s="397"/>
      <c r="CY2" s="397"/>
      <c r="CZ2" s="397"/>
      <c r="DA2" s="397"/>
      <c r="DB2" s="397"/>
      <c r="DC2" s="397"/>
      <c r="DD2" s="397"/>
      <c r="DE2" s="397"/>
    </row>
    <row r="3" spans="1:112" s="363" customFormat="1">
      <c r="C3" s="397"/>
      <c r="D3" s="397"/>
      <c r="E3" s="439" t="s">
        <v>197</v>
      </c>
      <c r="F3" s="439"/>
      <c r="G3" s="173"/>
      <c r="H3" s="173"/>
      <c r="I3" s="390"/>
      <c r="J3" s="390"/>
      <c r="K3" s="173"/>
      <c r="L3" s="374" t="s">
        <v>394</v>
      </c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374" t="s">
        <v>391</v>
      </c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374" t="s">
        <v>392</v>
      </c>
      <c r="AW3" s="374"/>
      <c r="AX3" s="374" t="s">
        <v>393</v>
      </c>
      <c r="AZ3" s="374"/>
      <c r="BA3" s="173"/>
      <c r="BB3" s="173"/>
      <c r="BC3" s="390"/>
      <c r="BD3" s="390"/>
      <c r="BE3" s="390"/>
      <c r="BF3" s="390"/>
      <c r="BG3" s="439" t="s">
        <v>197</v>
      </c>
      <c r="BH3" s="439"/>
      <c r="BK3" s="390"/>
      <c r="BL3" s="390"/>
      <c r="BN3" s="374" t="s">
        <v>394</v>
      </c>
      <c r="BO3" s="385"/>
      <c r="BP3" s="385"/>
      <c r="BQ3" s="385"/>
      <c r="BR3" s="385"/>
      <c r="BS3" s="385"/>
      <c r="BT3" s="385"/>
      <c r="BU3" s="385"/>
      <c r="BV3" s="385"/>
      <c r="BW3" s="385"/>
      <c r="BX3" s="385"/>
      <c r="BY3" s="385"/>
      <c r="BZ3" s="385"/>
      <c r="CA3" s="385"/>
      <c r="CB3" s="385"/>
      <c r="CC3" s="385"/>
      <c r="CD3" s="385"/>
      <c r="CE3" s="385"/>
      <c r="CF3" s="385"/>
      <c r="CG3" s="385"/>
      <c r="CH3" s="385"/>
      <c r="CI3" s="385"/>
      <c r="CJ3" s="385"/>
      <c r="CK3" s="385"/>
      <c r="CL3" s="374" t="s">
        <v>391</v>
      </c>
      <c r="CM3" s="385"/>
      <c r="CN3" s="385"/>
      <c r="CO3" s="385"/>
      <c r="CP3" s="385"/>
      <c r="CQ3" s="385"/>
      <c r="CR3" s="385"/>
      <c r="CS3" s="385"/>
      <c r="CT3" s="385"/>
      <c r="CU3" s="385"/>
      <c r="CV3" s="385"/>
      <c r="CW3" s="385"/>
      <c r="CX3" s="374" t="s">
        <v>392</v>
      </c>
      <c r="CY3" s="374"/>
      <c r="CZ3" s="374" t="s">
        <v>393</v>
      </c>
      <c r="DA3" s="374"/>
      <c r="DB3" s="374"/>
      <c r="DC3" s="374"/>
      <c r="DD3" s="374"/>
      <c r="DE3" s="374"/>
      <c r="DG3" s="385"/>
      <c r="DH3" s="385"/>
    </row>
    <row r="4" spans="1:112" s="380" customFormat="1" ht="45">
      <c r="A4" s="375" t="s">
        <v>2</v>
      </c>
      <c r="B4" s="171" t="s">
        <v>3</v>
      </c>
      <c r="C4" s="171" t="s">
        <v>5</v>
      </c>
      <c r="D4" s="171" t="s">
        <v>406</v>
      </c>
      <c r="E4" s="376" t="str">
        <f>CONCATENATE("TOCA ", $F$1)</f>
        <v>TOCA 2016</v>
      </c>
      <c r="F4" s="377" t="str">
        <f>CONCATENATE("Non-slice TOCA ", $F$1)</f>
        <v>Non-slice TOCA 2016</v>
      </c>
      <c r="G4" s="377" t="str">
        <f>CONCATENATE("Slice % ", $F$1)</f>
        <v>Slice % 2016</v>
      </c>
      <c r="H4" s="377" t="str">
        <f>CONCATENATE("Applicable LDD ", $F$1)</f>
        <v>Applicable LDD 2016</v>
      </c>
      <c r="I4" s="377" t="s">
        <v>416</v>
      </c>
      <c r="J4" s="377" t="s">
        <v>417</v>
      </c>
      <c r="K4" s="377" t="str">
        <f>CONCATENATE("IRD ", F1)</f>
        <v>IRD 2016</v>
      </c>
      <c r="L4" s="378">
        <f>DATE($F$1-1, 10, 1)</f>
        <v>42278</v>
      </c>
      <c r="M4" s="378">
        <f>L4</f>
        <v>42278</v>
      </c>
      <c r="N4" s="378">
        <f>DATE($F$1-1, 11, 1)</f>
        <v>42309</v>
      </c>
      <c r="O4" s="378">
        <f>N4</f>
        <v>42309</v>
      </c>
      <c r="P4" s="378">
        <f>DATE($F$1-1, 12, 1)</f>
        <v>42339</v>
      </c>
      <c r="Q4" s="378">
        <f>P4</f>
        <v>42339</v>
      </c>
      <c r="R4" s="378">
        <f>DATE($F$1, 1, 1)</f>
        <v>42370</v>
      </c>
      <c r="S4" s="378">
        <f>R4</f>
        <v>42370</v>
      </c>
      <c r="T4" s="378">
        <f>DATE($F$1, 2, 1)</f>
        <v>42401</v>
      </c>
      <c r="U4" s="378">
        <f>T4</f>
        <v>42401</v>
      </c>
      <c r="V4" s="378">
        <f>DATE($F$1, 3, 1)</f>
        <v>42430</v>
      </c>
      <c r="W4" s="378">
        <f>V4</f>
        <v>42430</v>
      </c>
      <c r="X4" s="378">
        <f>DATE($F$1, 4, 1)</f>
        <v>42461</v>
      </c>
      <c r="Y4" s="378">
        <f>X4</f>
        <v>42461</v>
      </c>
      <c r="Z4" s="378">
        <f>DATE($F$1, 5, 1)</f>
        <v>42491</v>
      </c>
      <c r="AA4" s="378">
        <f>Z4</f>
        <v>42491</v>
      </c>
      <c r="AB4" s="378">
        <f>DATE($F$1, 6, 1)</f>
        <v>42522</v>
      </c>
      <c r="AC4" s="378">
        <f>AB4</f>
        <v>42522</v>
      </c>
      <c r="AD4" s="378">
        <f>DATE($F$1, 7, 1)</f>
        <v>42552</v>
      </c>
      <c r="AE4" s="378">
        <f>AD4</f>
        <v>42552</v>
      </c>
      <c r="AF4" s="378">
        <f>DATE($F$1, 8, 1)</f>
        <v>42583</v>
      </c>
      <c r="AG4" s="378">
        <f>AF4</f>
        <v>42583</v>
      </c>
      <c r="AH4" s="378">
        <f>DATE($F$1, 9, 1)</f>
        <v>42614</v>
      </c>
      <c r="AI4" s="378">
        <f>AH4</f>
        <v>42614</v>
      </c>
      <c r="AJ4" s="378">
        <f>L4</f>
        <v>42278</v>
      </c>
      <c r="AK4" s="378">
        <f>N4</f>
        <v>42309</v>
      </c>
      <c r="AL4" s="378">
        <f>P4</f>
        <v>42339</v>
      </c>
      <c r="AM4" s="378">
        <f>R4</f>
        <v>42370</v>
      </c>
      <c r="AN4" s="378">
        <f>T4</f>
        <v>42401</v>
      </c>
      <c r="AO4" s="378">
        <f>V4</f>
        <v>42430</v>
      </c>
      <c r="AP4" s="378">
        <f>X4</f>
        <v>42461</v>
      </c>
      <c r="AQ4" s="378">
        <f>Z4</f>
        <v>42491</v>
      </c>
      <c r="AR4" s="378">
        <f>AB4</f>
        <v>42522</v>
      </c>
      <c r="AS4" s="378">
        <f>AD4</f>
        <v>42552</v>
      </c>
      <c r="AT4" s="378">
        <f>AF4</f>
        <v>42583</v>
      </c>
      <c r="AU4" s="378">
        <f>AH4</f>
        <v>42614</v>
      </c>
      <c r="AV4" s="386" t="str">
        <f>CONCATENATE("T2 LS ", $F$1)</f>
        <v>T2 LS 2016</v>
      </c>
      <c r="AW4" s="386" t="s">
        <v>414</v>
      </c>
      <c r="AX4" s="386" t="str">
        <f>"TOCA Load "&amp;$F$1</f>
        <v>TOCA Load 2016</v>
      </c>
      <c r="AY4" s="386" t="str">
        <f>"Annual T1 Load "&amp;$F$1</f>
        <v>Annual T1 Load 2016</v>
      </c>
      <c r="AZ4" s="386" t="str">
        <f>"Above RHWM Not Served with LS"&amp;$F$1</f>
        <v>Above RHWM Not Served with LS2016</v>
      </c>
      <c r="BA4" s="386" t="str">
        <f>CONCATENATE("Annual Deviation ", $F$1)</f>
        <v>Annual Deviation 2016</v>
      </c>
      <c r="BB4" s="386" t="str">
        <f>CONCATENATE("Above Forecast ", $F$1)</f>
        <v>Above Forecast 2016</v>
      </c>
      <c r="BC4" s="386" t="s">
        <v>396</v>
      </c>
      <c r="BD4" s="386" t="s">
        <v>397</v>
      </c>
      <c r="BE4" s="386" t="s">
        <v>401</v>
      </c>
      <c r="BF4" s="386" t="str">
        <f>CONCATENATE("LSTU ", $F$1)</f>
        <v>LSTU 2016</v>
      </c>
      <c r="BG4" s="387" t="str">
        <f>CONCATENATE("TOCA ", $BH$1)</f>
        <v>TOCA 2018</v>
      </c>
      <c r="BH4" s="379" t="str">
        <f>CONCATENATE("Non-slice TOCA ", $BH$1)</f>
        <v>Non-slice TOCA 2018</v>
      </c>
      <c r="BI4" s="379" t="str">
        <f>CONCATENATE("Slice % ", $BH$1)</f>
        <v>Slice % 2018</v>
      </c>
      <c r="BJ4" s="379" t="str">
        <f>CONCATENATE("Applicable LDD ", $BH$1)</f>
        <v>Applicable LDD 2018</v>
      </c>
      <c r="BK4" s="379" t="s">
        <v>416</v>
      </c>
      <c r="BL4" s="379" t="s">
        <v>417</v>
      </c>
      <c r="BM4" s="379" t="str">
        <f>CONCATENATE("IRD ", BH1)</f>
        <v>IRD 2018</v>
      </c>
      <c r="BN4" s="388">
        <f>DATE($BH$1-1, 10, 1)</f>
        <v>43009</v>
      </c>
      <c r="BO4" s="388">
        <f>BN4</f>
        <v>43009</v>
      </c>
      <c r="BP4" s="388">
        <f>DATE($BH$1-1, 11, 1)</f>
        <v>43040</v>
      </c>
      <c r="BQ4" s="388">
        <f>BP4</f>
        <v>43040</v>
      </c>
      <c r="BR4" s="388">
        <f>DATE($BH$1-1, 12, 1)</f>
        <v>43070</v>
      </c>
      <c r="BS4" s="388">
        <f>BR4</f>
        <v>43070</v>
      </c>
      <c r="BT4" s="388">
        <f>DATE($BH$1, 1, 1)</f>
        <v>43101</v>
      </c>
      <c r="BU4" s="388">
        <f>BT4</f>
        <v>43101</v>
      </c>
      <c r="BV4" s="388">
        <f>DATE($BH$1, 2, 1)</f>
        <v>43132</v>
      </c>
      <c r="BW4" s="388">
        <f>BV4</f>
        <v>43132</v>
      </c>
      <c r="BX4" s="388">
        <f>DATE($BH$1, 3, 1)</f>
        <v>43160</v>
      </c>
      <c r="BY4" s="388">
        <f>BX4</f>
        <v>43160</v>
      </c>
      <c r="BZ4" s="388">
        <f>DATE($BH$1, 4, 1)</f>
        <v>43191</v>
      </c>
      <c r="CA4" s="388">
        <f>BZ4</f>
        <v>43191</v>
      </c>
      <c r="CB4" s="388">
        <f>DATE($BH$1, 5, 1)</f>
        <v>43221</v>
      </c>
      <c r="CC4" s="388">
        <f>CB4</f>
        <v>43221</v>
      </c>
      <c r="CD4" s="388">
        <f>DATE($BH$1, 6, 1)</f>
        <v>43252</v>
      </c>
      <c r="CE4" s="388">
        <f>CD4</f>
        <v>43252</v>
      </c>
      <c r="CF4" s="388">
        <f>DATE($BH$1, 7, 1)</f>
        <v>43282</v>
      </c>
      <c r="CG4" s="388">
        <f>CF4</f>
        <v>43282</v>
      </c>
      <c r="CH4" s="388">
        <f>DATE($BH$1, 8, 1)</f>
        <v>43313</v>
      </c>
      <c r="CI4" s="388">
        <f>CH4</f>
        <v>43313</v>
      </c>
      <c r="CJ4" s="388">
        <f>DATE($BH$1, 9, 1)</f>
        <v>43344</v>
      </c>
      <c r="CK4" s="388">
        <f>CJ4</f>
        <v>43344</v>
      </c>
      <c r="CL4" s="388">
        <f>BN4</f>
        <v>43009</v>
      </c>
      <c r="CM4" s="388">
        <f>BP4</f>
        <v>43040</v>
      </c>
      <c r="CN4" s="388">
        <f>BR4</f>
        <v>43070</v>
      </c>
      <c r="CO4" s="388">
        <f>BT4</f>
        <v>43101</v>
      </c>
      <c r="CP4" s="388">
        <f>BV4</f>
        <v>43132</v>
      </c>
      <c r="CQ4" s="388">
        <f>BX4</f>
        <v>43160</v>
      </c>
      <c r="CR4" s="388">
        <f>BZ4</f>
        <v>43191</v>
      </c>
      <c r="CS4" s="388">
        <f>CB4</f>
        <v>43221</v>
      </c>
      <c r="CT4" s="388">
        <f>CD4</f>
        <v>43252</v>
      </c>
      <c r="CU4" s="388">
        <f>CF4</f>
        <v>43282</v>
      </c>
      <c r="CV4" s="388">
        <f>CH4</f>
        <v>43313</v>
      </c>
      <c r="CW4" s="388">
        <f>CJ4</f>
        <v>43344</v>
      </c>
      <c r="CX4" s="389" t="str">
        <f>CONCATENATE("T2 LS ", $BH$1)</f>
        <v>T2 LS 2018</v>
      </c>
      <c r="CY4" s="389" t="s">
        <v>414</v>
      </c>
      <c r="CZ4" s="389" t="str">
        <f>"TOCA Load "&amp;$BH$1</f>
        <v>TOCA Load 2018</v>
      </c>
      <c r="DA4" s="389" t="str">
        <f>"Annual T1 Load "&amp;$BH$1</f>
        <v>Annual T1 Load 2018</v>
      </c>
      <c r="DB4" s="389" t="str">
        <f>"Above RHWM Not Served with Load Shaping"&amp;$BH$1</f>
        <v>Above RHWM Not Served with Load Shaping2018</v>
      </c>
      <c r="DC4" s="389" t="str">
        <f>CONCATENATE("Annual Deviation ", $BH$1)</f>
        <v>Annual Deviation 2018</v>
      </c>
      <c r="DD4" s="389" t="str">
        <f>CONCATENATE("Above Forecast ", $BH$1)</f>
        <v>Above Forecast 2018</v>
      </c>
      <c r="DE4" s="389" t="s">
        <v>396</v>
      </c>
      <c r="DF4" s="389" t="s">
        <v>397</v>
      </c>
      <c r="DG4" s="389" t="s">
        <v>401</v>
      </c>
      <c r="DH4" s="389" t="str">
        <f>CONCATENATE("LSTU ", $BH$1)</f>
        <v>LSTU 2018</v>
      </c>
    </row>
    <row r="5" spans="1:112" s="380" customFormat="1">
      <c r="A5" s="375"/>
      <c r="B5" s="171"/>
      <c r="C5" s="171"/>
      <c r="D5" s="171"/>
      <c r="E5" s="376"/>
      <c r="F5" s="377"/>
      <c r="G5" s="377"/>
      <c r="H5" s="377"/>
      <c r="I5" s="377"/>
      <c r="J5" s="377"/>
      <c r="K5" s="377" t="s">
        <v>390</v>
      </c>
      <c r="L5" s="378" t="s">
        <v>143</v>
      </c>
      <c r="M5" s="378" t="s">
        <v>144</v>
      </c>
      <c r="N5" s="377" t="s">
        <v>143</v>
      </c>
      <c r="O5" s="377" t="s">
        <v>144</v>
      </c>
      <c r="P5" s="377" t="s">
        <v>143</v>
      </c>
      <c r="Q5" s="377" t="s">
        <v>144</v>
      </c>
      <c r="R5" s="377" t="s">
        <v>143</v>
      </c>
      <c r="S5" s="378" t="s">
        <v>144</v>
      </c>
      <c r="T5" s="377" t="s">
        <v>143</v>
      </c>
      <c r="U5" s="377" t="s">
        <v>144</v>
      </c>
      <c r="V5" s="377" t="s">
        <v>143</v>
      </c>
      <c r="W5" s="377" t="s">
        <v>144</v>
      </c>
      <c r="X5" s="377" t="s">
        <v>143</v>
      </c>
      <c r="Y5" s="378" t="s">
        <v>144</v>
      </c>
      <c r="Z5" s="377" t="s">
        <v>143</v>
      </c>
      <c r="AA5" s="377" t="s">
        <v>144</v>
      </c>
      <c r="AB5" s="377" t="s">
        <v>143</v>
      </c>
      <c r="AC5" s="377" t="s">
        <v>144</v>
      </c>
      <c r="AD5" s="377" t="s">
        <v>143</v>
      </c>
      <c r="AE5" s="377" t="s">
        <v>144</v>
      </c>
      <c r="AF5" s="377" t="s">
        <v>143</v>
      </c>
      <c r="AG5" s="377" t="s">
        <v>144</v>
      </c>
      <c r="AH5" s="377" t="s">
        <v>143</v>
      </c>
      <c r="AI5" s="377" t="s">
        <v>144</v>
      </c>
      <c r="AJ5" s="378" t="s">
        <v>143</v>
      </c>
      <c r="AK5" s="378" t="s">
        <v>143</v>
      </c>
      <c r="AL5" s="378" t="s">
        <v>143</v>
      </c>
      <c r="AM5" s="378" t="s">
        <v>143</v>
      </c>
      <c r="AN5" s="378" t="s">
        <v>143</v>
      </c>
      <c r="AO5" s="378" t="s">
        <v>143</v>
      </c>
      <c r="AP5" s="378" t="s">
        <v>143</v>
      </c>
      <c r="AQ5" s="378" t="s">
        <v>143</v>
      </c>
      <c r="AR5" s="378" t="s">
        <v>143</v>
      </c>
      <c r="AS5" s="378" t="s">
        <v>143</v>
      </c>
      <c r="AT5" s="378" t="s">
        <v>143</v>
      </c>
      <c r="AU5" s="378" t="s">
        <v>143</v>
      </c>
      <c r="AV5" s="378" t="s">
        <v>390</v>
      </c>
      <c r="AW5" s="378" t="s">
        <v>415</v>
      </c>
      <c r="AX5" s="378" t="s">
        <v>390</v>
      </c>
      <c r="AY5" s="378" t="s">
        <v>390</v>
      </c>
      <c r="AZ5" s="378" t="s">
        <v>390</v>
      </c>
      <c r="BA5" s="378" t="s">
        <v>390</v>
      </c>
      <c r="BB5" s="378" t="s">
        <v>390</v>
      </c>
      <c r="BC5" s="378" t="s">
        <v>390</v>
      </c>
      <c r="BD5" s="378" t="s">
        <v>390</v>
      </c>
      <c r="BE5" s="378" t="s">
        <v>390</v>
      </c>
      <c r="BF5" s="378" t="s">
        <v>390</v>
      </c>
      <c r="BG5" s="387"/>
      <c r="BH5" s="379"/>
      <c r="BI5" s="379"/>
      <c r="BJ5" s="379"/>
      <c r="BK5" s="379"/>
      <c r="BL5" s="379"/>
      <c r="BM5" s="379" t="s">
        <v>390</v>
      </c>
      <c r="BN5" s="388" t="s">
        <v>143</v>
      </c>
      <c r="BO5" s="388" t="s">
        <v>144</v>
      </c>
      <c r="BP5" s="379" t="s">
        <v>143</v>
      </c>
      <c r="BQ5" s="379" t="s">
        <v>144</v>
      </c>
      <c r="BR5" s="379" t="s">
        <v>143</v>
      </c>
      <c r="BS5" s="379" t="s">
        <v>144</v>
      </c>
      <c r="BT5" s="379" t="s">
        <v>143</v>
      </c>
      <c r="BU5" s="388" t="s">
        <v>144</v>
      </c>
      <c r="BV5" s="379" t="s">
        <v>143</v>
      </c>
      <c r="BW5" s="379" t="s">
        <v>144</v>
      </c>
      <c r="BX5" s="379" t="s">
        <v>143</v>
      </c>
      <c r="BY5" s="379" t="s">
        <v>144</v>
      </c>
      <c r="BZ5" s="379" t="s">
        <v>143</v>
      </c>
      <c r="CA5" s="388" t="s">
        <v>144</v>
      </c>
      <c r="CB5" s="379" t="s">
        <v>143</v>
      </c>
      <c r="CC5" s="379" t="s">
        <v>144</v>
      </c>
      <c r="CD5" s="379" t="s">
        <v>143</v>
      </c>
      <c r="CE5" s="379" t="s">
        <v>144</v>
      </c>
      <c r="CF5" s="379" t="s">
        <v>143</v>
      </c>
      <c r="CG5" s="379" t="s">
        <v>144</v>
      </c>
      <c r="CH5" s="379" t="s">
        <v>143</v>
      </c>
      <c r="CI5" s="379" t="s">
        <v>144</v>
      </c>
      <c r="CJ5" s="379" t="s">
        <v>143</v>
      </c>
      <c r="CK5" s="379" t="s">
        <v>144</v>
      </c>
      <c r="CL5" s="388" t="s">
        <v>143</v>
      </c>
      <c r="CM5" s="388" t="s">
        <v>143</v>
      </c>
      <c r="CN5" s="388" t="s">
        <v>143</v>
      </c>
      <c r="CO5" s="388" t="s">
        <v>143</v>
      </c>
      <c r="CP5" s="388" t="s">
        <v>143</v>
      </c>
      <c r="CQ5" s="388" t="s">
        <v>143</v>
      </c>
      <c r="CR5" s="388" t="s">
        <v>143</v>
      </c>
      <c r="CS5" s="388" t="s">
        <v>143</v>
      </c>
      <c r="CT5" s="388" t="s">
        <v>143</v>
      </c>
      <c r="CU5" s="388" t="s">
        <v>143</v>
      </c>
      <c r="CV5" s="388" t="s">
        <v>143</v>
      </c>
      <c r="CW5" s="388" t="s">
        <v>143</v>
      </c>
      <c r="CX5" s="388" t="s">
        <v>390</v>
      </c>
      <c r="CY5" s="388" t="s">
        <v>415</v>
      </c>
      <c r="CZ5" s="388" t="s">
        <v>390</v>
      </c>
      <c r="DA5" s="388" t="s">
        <v>390</v>
      </c>
      <c r="DB5" s="388" t="s">
        <v>390</v>
      </c>
      <c r="DC5" s="388" t="s">
        <v>390</v>
      </c>
      <c r="DD5" s="388" t="s">
        <v>390</v>
      </c>
      <c r="DE5" s="388" t="s">
        <v>390</v>
      </c>
      <c r="DF5" s="388" t="s">
        <v>390</v>
      </c>
      <c r="DG5" s="388" t="s">
        <v>390</v>
      </c>
      <c r="DH5" s="388" t="s">
        <v>390</v>
      </c>
    </row>
    <row r="6" spans="1:112">
      <c r="A6" s="274">
        <v>10005</v>
      </c>
      <c r="B6" s="275" t="s">
        <v>7</v>
      </c>
      <c r="C6" s="397">
        <v>0</v>
      </c>
      <c r="D6" s="397">
        <v>0</v>
      </c>
      <c r="E6" s="205">
        <f>VLOOKUP($A6,TOCA_previous!$A$2:$AI$137,MATCH(E$4,TOCA_previous!$A$2:$AI$2,0),FALSE)</f>
        <v>7.7000000000000001E-5</v>
      </c>
      <c r="F6" s="206">
        <f>VLOOKUP($A6,TOCA_previous!$A$2:$AI$137,MATCH(F$4,TOCA_previous!$A$2:$AI$2,0),FALSE)</f>
        <v>7.7000000000000001E-5</v>
      </c>
      <c r="G6" s="206">
        <f>E6-F6</f>
        <v>0</v>
      </c>
      <c r="H6" s="206">
        <f>VLOOKUP($A6,TOCA_previous!$A$2:$AI$137,MATCH(H$4,TOCA_previous!$A$2:$AI$2,0),FALSE)</f>
        <v>0.06</v>
      </c>
      <c r="I6" s="206">
        <f>IF(C6=0,0,H6)</f>
        <v>0</v>
      </c>
      <c r="J6" s="206">
        <f>IF(C6=0,0,E6)</f>
        <v>0</v>
      </c>
      <c r="K6" s="381">
        <f>VLOOKUP(A6, IRD!$A$5:$C$139, 3, FALSE)</f>
        <v>0</v>
      </c>
      <c r="L6" s="382">
        <f t="array" ref="L6">IF($G6=0, INDEX(LS_previous!$D$4:$AY$138, MATCH('Staging Table'!$A6, LS_previous!$B$4:$B$138, 0), MATCH(L$4&amp;L$5, LS_previous!$D$2:$AY$2&amp;LS_previous!$D$3:$AY$3, 0)),SUM(VLOOKUP($A6, LS_previous!$B$4:$AY$138, LS_previous!D$149, FALSE), VLOOKUP('Staging Table'!$A6, LS_previous!$B$4:$AY$138,LS_previous!AB$149, FALSE))/2)</f>
        <v>-17.841518406107383</v>
      </c>
      <c r="M6" s="382">
        <f t="array" ref="M6">IF($G6=0, INDEX(LS_previous!$D$4:$AY$138, MATCH('Staging Table'!$A6, LS_previous!$B$4:$B$138, 0), MATCH(M$4&amp;M$5, LS_previous!$D$2:$AY$2&amp;LS_previous!$D$3:$AY$3, 0)),SUM(VLOOKUP($A6, LS_previous!$B$4:$AY$138, LS_previous!E$149, FALSE), VLOOKUP('Staging Table'!$A6, LS_previous!$B$4:$AY$138,LS_previous!AC$149, FALSE))/2)</f>
        <v>15.516806982929893</v>
      </c>
      <c r="N6" s="382">
        <f t="array" ref="N6">IF($G6=0, INDEX(LS_previous!$D$4:$AY$138, MATCH('Staging Table'!$A6, LS_previous!$B$4:$B$138, 0), MATCH(N$4&amp;N$5, LS_previous!$D$2:$AY$2&amp;LS_previous!$D$3:$AY$3, 0)),SUM(VLOOKUP($A6, LS_previous!$B$4:$AY$138, LS_previous!F$149, FALSE), VLOOKUP('Staging Table'!$A6, LS_previous!$B$4:$AY$138,LS_previous!AD$149, FALSE))/2)</f>
        <v>15.306374925081968</v>
      </c>
      <c r="O6" s="382">
        <f t="array" ref="O6">IF($G6=0, INDEX(LS_previous!$D$4:$AY$138, MATCH('Staging Table'!$A6, LS_previous!$B$4:$B$138, 0), MATCH(O$4&amp;O$5, LS_previous!$D$2:$AY$2&amp;LS_previous!$D$3:$AY$3, 0)),SUM(VLOOKUP($A6, LS_previous!$B$4:$AY$138, LS_previous!G$149, FALSE), VLOOKUP('Staging Table'!$A6, LS_previous!$B$4:$AY$138,LS_previous!AE$149, FALSE))/2)</f>
        <v>39.965684989330526</v>
      </c>
      <c r="P6" s="382">
        <f t="array" ref="P6">IF($G6=0, INDEX(LS_previous!$D$4:$AY$138, MATCH('Staging Table'!$A6, LS_previous!$B$4:$B$138, 0), MATCH(P$4&amp;P$5, LS_previous!$D$2:$AY$2&amp;LS_previous!$D$3:$AY$3, 0)),SUM(VLOOKUP($A6, LS_previous!$B$4:$AY$138, LS_previous!H$149, FALSE), VLOOKUP('Staging Table'!$A6, LS_previous!$B$4:$AY$138,LS_previous!AF$149, FALSE))/2)</f>
        <v>43.234362027392478</v>
      </c>
      <c r="Q6" s="382">
        <f t="array" ref="Q6">IF($G6=0, INDEX(LS_previous!$D$4:$AY$138, MATCH('Staging Table'!$A6, LS_previous!$B$4:$B$138, 0), MATCH(Q$4&amp;Q$5, LS_previous!$D$2:$AY$2&amp;LS_previous!$D$3:$AY$3, 0)),SUM(VLOOKUP($A6, LS_previous!$B$4:$AY$138, LS_previous!I$149, FALSE), VLOOKUP('Staging Table'!$A6, LS_previous!$B$4:$AY$138,LS_previous!AG$149, FALSE))/2)</f>
        <v>71.072866736887846</v>
      </c>
      <c r="R6" s="382">
        <f t="array" ref="R6">IF($G6=0, INDEX(LS_previous!$D$4:$AY$138, MATCH('Staging Table'!$A6, LS_previous!$B$4:$B$138, 0), MATCH(R$4&amp;R$5, LS_previous!$D$2:$AY$2&amp;LS_previous!$D$3:$AY$3, 0)),SUM(VLOOKUP($A6, LS_previous!$B$4:$AY$138, LS_previous!J$149, FALSE), VLOOKUP('Staging Table'!$A6, LS_previous!$B$4:$AY$138,LS_previous!AH$149, FALSE))/2)</f>
        <v>91.776757510433441</v>
      </c>
      <c r="S6" s="382">
        <f t="array" ref="S6">IF($G6=0, INDEX(LS_previous!$D$4:$AY$138, MATCH('Staging Table'!$A6, LS_previous!$B$4:$B$138, 0), MATCH(S$4&amp;S$5, LS_previous!$D$2:$AY$2&amp;LS_previous!$D$3:$AY$3, 0)),SUM(VLOOKUP($A6, LS_previous!$B$4:$AY$138, LS_previous!K$149, FALSE), VLOOKUP('Staging Table'!$A6, LS_previous!$B$4:$AY$138,LS_previous!AI$149, FALSE))/2)</f>
        <v>83.739573598285801</v>
      </c>
      <c r="T6" s="382">
        <f t="array" ref="T6">IF($G6=0, INDEX(LS_previous!$D$4:$AY$138, MATCH('Staging Table'!$A6, LS_previous!$B$4:$B$138, 0), MATCH(T$4&amp;T$5, LS_previous!$D$2:$AY$2&amp;LS_previous!$D$3:$AY$3, 0)),SUM(VLOOKUP($A6, LS_previous!$B$4:$AY$138, LS_previous!L$149, FALSE), VLOOKUP('Staging Table'!$A6, LS_previous!$B$4:$AY$138,LS_previous!AJ$149, FALSE))/2)</f>
        <v>70.370298206023449</v>
      </c>
      <c r="U6" s="382">
        <f t="array" ref="U6">IF($G6=0, INDEX(LS_previous!$D$4:$AY$138, MATCH('Staging Table'!$A6, LS_previous!$B$4:$B$138, 0), MATCH(U$4&amp;U$5, LS_previous!$D$2:$AY$2&amp;LS_previous!$D$3:$AY$3, 0)),SUM(VLOOKUP($A6, LS_previous!$B$4:$AY$138, LS_previous!M$149, FALSE), VLOOKUP('Staging Table'!$A6, LS_previous!$B$4:$AY$138,LS_previous!AK$149, FALSE))/2)</f>
        <v>62.190249792603865</v>
      </c>
      <c r="V6" s="382">
        <f t="array" ref="V6">IF($G6=0, INDEX(LS_previous!$D$4:$AY$138, MATCH('Staging Table'!$A6, LS_previous!$B$4:$B$138, 0), MATCH(V$4&amp;V$5, LS_previous!$D$2:$AY$2&amp;LS_previous!$D$3:$AY$3, 0)),SUM(VLOOKUP($A6, LS_previous!$B$4:$AY$138, LS_previous!N$149, FALSE), VLOOKUP('Staging Table'!$A6, LS_previous!$B$4:$AY$138,LS_previous!AL$149, FALSE))/2)</f>
        <v>26.944408656775238</v>
      </c>
      <c r="W6" s="382">
        <f t="array" ref="W6">IF($G6=0, INDEX(LS_previous!$D$4:$AY$138, MATCH('Staging Table'!$A6, LS_previous!$B$4:$B$138, 0), MATCH(W$4&amp;W$5, LS_previous!$D$2:$AY$2&amp;LS_previous!$D$3:$AY$3, 0)),SUM(VLOOKUP($A6, LS_previous!$B$4:$AY$138, LS_previous!O$149, FALSE), VLOOKUP('Staging Table'!$A6, LS_previous!$B$4:$AY$138,LS_previous!AM$149, FALSE))/2)</f>
        <v>27.71128384870957</v>
      </c>
      <c r="X6" s="382">
        <f t="array" ref="X6">IF($G6=0, INDEX(LS_previous!$D$4:$AY$138, MATCH('Staging Table'!$A6, LS_previous!$B$4:$B$138, 0), MATCH(X$4&amp;X$5, LS_previous!$D$2:$AY$2&amp;LS_previous!$D$3:$AY$3, 0)),SUM(VLOOKUP($A6, LS_previous!$B$4:$AY$138, LS_previous!P$149, FALSE), VLOOKUP('Staging Table'!$A6, LS_previous!$B$4:$AY$138,LS_previous!AN$149, FALSE))/2)</f>
        <v>23.325313513519944</v>
      </c>
      <c r="Y6" s="382">
        <f t="array" ref="Y6">IF($G6=0, INDEX(LS_previous!$D$4:$AY$138, MATCH('Staging Table'!$A6, LS_previous!$B$4:$B$138, 0), MATCH(Y$4&amp;Y$5, LS_previous!$D$2:$AY$2&amp;LS_previous!$D$3:$AY$3, 0)),SUM(VLOOKUP($A6, LS_previous!$B$4:$AY$138, LS_previous!Q$149, FALSE), VLOOKUP('Staging Table'!$A6, LS_previous!$B$4:$AY$138,LS_previous!AO$149, FALSE))/2)</f>
        <v>42.699022571092272</v>
      </c>
      <c r="Z6" s="382">
        <f t="array" ref="Z6">IF($G6=0, INDEX(LS_previous!$D$4:$AY$138, MATCH('Staging Table'!$A6, LS_previous!$B$4:$B$138, 0), MATCH(Z$4&amp;Z$5, LS_previous!$D$2:$AY$2&amp;LS_previous!$D$3:$AY$3, 0)),SUM(VLOOKUP($A6, LS_previous!$B$4:$AY$138, LS_previous!R$149, FALSE), VLOOKUP('Staging Table'!$A6, LS_previous!$B$4:$AY$138,LS_previous!AP$149, FALSE))/2)</f>
        <v>-142.07337925320769</v>
      </c>
      <c r="AA6" s="382">
        <f t="array" ref="AA6">IF($G6=0, INDEX(LS_previous!$D$4:$AY$138, MATCH('Staging Table'!$A6, LS_previous!$B$4:$B$138, 0), MATCH(AA$4&amp;AA$5, LS_previous!$D$2:$AY$2&amp;LS_previous!$D$3:$AY$3, 0)),SUM(VLOOKUP($A6, LS_previous!$B$4:$AY$138, LS_previous!S$149, FALSE), VLOOKUP('Staging Table'!$A6, LS_previous!$B$4:$AY$138,LS_previous!AQ$149, FALSE))/2)</f>
        <v>-49.099639112432584</v>
      </c>
      <c r="AB6" s="382">
        <f t="array" ref="AB6">IF($G6=0, INDEX(LS_previous!$D$4:$AY$138, MATCH('Staging Table'!$A6, LS_previous!$B$4:$B$138, 0), MATCH(AB$4&amp;AB$5, LS_previous!$D$2:$AY$2&amp;LS_previous!$D$3:$AY$3, 0)),SUM(VLOOKUP($A6, LS_previous!$B$4:$AY$138, LS_previous!T$149, FALSE), VLOOKUP('Staging Table'!$A6, LS_previous!$B$4:$AY$138,LS_previous!AR$149, FALSE))/2)</f>
        <v>-89.049483196574329</v>
      </c>
      <c r="AC6" s="382">
        <f t="array" ref="AC6">IF($G6=0, INDEX(LS_previous!$D$4:$AY$138, MATCH('Staging Table'!$A6, LS_previous!$B$4:$B$138, 0), MATCH(AC$4&amp;AC$5, LS_previous!$D$2:$AY$2&amp;LS_previous!$D$3:$AY$3, 0)),SUM(VLOOKUP($A6, LS_previous!$B$4:$AY$138, LS_previous!U$149, FALSE), VLOOKUP('Staging Table'!$A6, LS_previous!$B$4:$AY$138,LS_previous!AS$149, FALSE))/2)</f>
        <v>-38.367600693421394</v>
      </c>
      <c r="AD6" s="382">
        <f t="array" ref="AD6">IF($G6=0, INDEX(LS_previous!$D$4:$AY$138, MATCH('Staging Table'!$A6, LS_previous!$B$4:$B$138, 0), MATCH(AD$4&amp;AD$5, LS_previous!$D$2:$AY$2&amp;LS_previous!$D$3:$AY$3, 0)),SUM(VLOOKUP($A6, LS_previous!$B$4:$AY$138, LS_previous!V$149, FALSE), VLOOKUP('Staging Table'!$A6, LS_previous!$B$4:$AY$138,LS_previous!AT$149, FALSE))/2)</f>
        <v>-87.293842026064169</v>
      </c>
      <c r="AE6" s="382">
        <f t="array" ref="AE6">IF($G6=0, INDEX(LS_previous!$D$4:$AY$138, MATCH('Staging Table'!$A6, LS_previous!$B$4:$B$138, 0), MATCH(AE$4&amp;AE$5, LS_previous!$D$2:$AY$2&amp;LS_previous!$D$3:$AY$3, 0)),SUM(VLOOKUP($A6, LS_previous!$B$4:$AY$138, LS_previous!W$149, FALSE), VLOOKUP('Staging Table'!$A6, LS_previous!$B$4:$AY$138,LS_previous!AU$149, FALSE))/2)</f>
        <v>-14.324451808465867</v>
      </c>
      <c r="AF6" s="382">
        <f t="array" ref="AF6">IF($G6=0, INDEX(LS_previous!$D$4:$AY$138, MATCH('Staging Table'!$A6, LS_previous!$B$4:$B$138, 0), MATCH(AF$4&amp;AF$5, LS_previous!$D$2:$AY$2&amp;LS_previous!$D$3:$AY$3, 0)),SUM(VLOOKUP($A6, LS_previous!$B$4:$AY$138, LS_previous!X$149, FALSE), VLOOKUP('Staging Table'!$A6, LS_previous!$B$4:$AY$138,LS_previous!AV$149, FALSE))/2)</f>
        <v>-90.823855674492449</v>
      </c>
      <c r="AG6" s="382">
        <f t="array" ref="AG6">IF($G6=0, INDEX(LS_previous!$D$4:$AY$138, MATCH('Staging Table'!$A6, LS_previous!$B$4:$B$138, 0), MATCH(AG$4&amp;AG$5, LS_previous!$D$2:$AY$2&amp;LS_previous!$D$3:$AY$3, 0)),SUM(VLOOKUP($A6, LS_previous!$B$4:$AY$138, LS_previous!Y$149, FALSE), VLOOKUP('Staging Table'!$A6, LS_previous!$B$4:$AY$138,LS_previous!AW$149, FALSE))/2)</f>
        <v>-30.837662337719735</v>
      </c>
      <c r="AH6" s="382">
        <f t="array" ref="AH6">IF($G6=0, INDEX(LS_previous!$D$4:$AY$138, MATCH('Staging Table'!$A6, LS_previous!$B$4:$B$138, 0), MATCH(AH$4&amp;AH$5, LS_previous!$D$2:$AY$2&amp;LS_previous!$D$3:$AY$3, 0)),SUM(VLOOKUP($A6, LS_previous!$B$4:$AY$138, LS_previous!Z$149, FALSE), VLOOKUP('Staging Table'!$A6, LS_previous!$B$4:$AY$138,LS_previous!AX$149, FALSE))/2)</f>
        <v>-40.551285466654576</v>
      </c>
      <c r="AI6" s="382">
        <f t="array" ref="AI6">IF($G6=0, INDEX(LS_previous!$D$4:$AY$138, MATCH('Staging Table'!$A6, LS_previous!$B$4:$B$138, 0), MATCH(AI$4&amp;AI$5, LS_previous!$D$2:$AY$2&amp;LS_previous!$D$3:$AY$3, 0)),SUM(VLOOKUP($A6, LS_previous!$B$4:$AY$138, LS_previous!AA$149, FALSE), VLOOKUP('Staging Table'!$A6, LS_previous!$B$4:$AY$138,LS_previous!AY$149, FALSE))/2)</f>
        <v>-3.2655095465416224</v>
      </c>
      <c r="AJ6" s="384">
        <f t="array" ref="AJ6">INDEX(Demand_previous!$D$4:$AY$138, MATCH('Staging Table'!$A6, Demand_previous!$B$4:$B$138, 0), MATCH(AJ$4&amp;AJ$5,Demand_previous!$D$2:$AY$2&amp;Demand_previous!$D$3:$AY$3, 0))/1000</f>
        <v>0.11663194444444441</v>
      </c>
      <c r="AK6" s="384">
        <f t="array" ref="AK6">INDEX(Demand_previous!$D$4:$AY$138, MATCH('Staging Table'!$A6, Demand_previous!$B$4:$B$138, 0), MATCH(AK$4&amp;AK$5,Demand_previous!$D$2:$AY$2&amp;Demand_previous!$D$3:$AY$3, 0))/1000</f>
        <v>0.10890885416666657</v>
      </c>
      <c r="AL6" s="384">
        <f t="array" ref="AL6">INDEX(Demand_previous!$D$4:$AY$138, MATCH('Staging Table'!$A6, Demand_previous!$B$4:$B$138, 0), MATCH(AL$4&amp;AL$5,Demand_previous!$D$2:$AY$2&amp;Demand_previous!$D$3:$AY$3, 0))/1000</f>
        <v>0.14816826923076926</v>
      </c>
      <c r="AM6" s="384">
        <f t="array" ref="AM6">INDEX(Demand_previous!$D$4:$AY$138, MATCH('Staging Table'!$A6, Demand_previous!$B$4:$B$138, 0), MATCH(AM$4&amp;AM$5,Demand_previous!$D$2:$AY$2&amp;Demand_previous!$D$3:$AY$3, 0))/1000</f>
        <v>0.13027750000000002</v>
      </c>
      <c r="AN6" s="384">
        <f t="array" ref="AN6">INDEX(Demand_previous!$D$4:$AY$138, MATCH('Staging Table'!$A6, Demand_previous!$B$4:$B$138, 0), MATCH(AN$4&amp;AN$5,Demand_previous!$D$2:$AY$2&amp;Demand_previous!$D$3:$AY$3, 0))/1000</f>
        <v>0.17544499999999985</v>
      </c>
      <c r="AO6" s="384">
        <f t="array" ref="AO6">INDEX(Demand_previous!$D$4:$AY$138, MATCH('Staging Table'!$A6, Demand_previous!$B$4:$B$138, 0), MATCH(AO$4&amp;AO$5,Demand_previous!$D$2:$AY$2&amp;Demand_previous!$D$3:$AY$3, 0))/1000</f>
        <v>0.12165046296296289</v>
      </c>
      <c r="AP6" s="384">
        <f t="array" ref="AP6">INDEX(Demand_previous!$D$4:$AY$138, MATCH('Staging Table'!$A6, Demand_previous!$B$4:$B$138, 0), MATCH(AP$4&amp;AP$5,Demand_previous!$D$2:$AY$2&amp;Demand_previous!$D$3:$AY$3, 0))/1000</f>
        <v>3.1973557692307752E-2</v>
      </c>
      <c r="AQ6" s="384">
        <f t="array" ref="AQ6">INDEX(Demand_previous!$D$4:$AY$138, MATCH('Staging Table'!$A6, Demand_previous!$B$4:$B$138, 0), MATCH(AQ$4&amp;AQ$5,Demand_previous!$D$2:$AY$2&amp;Demand_previous!$D$3:$AY$3, 0))/1000</f>
        <v>2.9285000000000002E-2</v>
      </c>
      <c r="AR6" s="384">
        <f t="array" ref="AR6">INDEX(Demand_previous!$D$4:$AY$138, MATCH('Staging Table'!$A6, Demand_previous!$B$4:$B$138, 0), MATCH(AR$4&amp;AR$5,Demand_previous!$D$2:$AY$2&amp;Demand_previous!$D$3:$AY$3, 0))/1000</f>
        <v>6.7266826923076881E-2</v>
      </c>
      <c r="AS6" s="384">
        <f t="array" ref="AS6">INDEX(Demand_previous!$D$4:$AY$138, MATCH('Staging Table'!$A6, Demand_previous!$B$4:$B$138, 0), MATCH(AS$4&amp;AS$5,Demand_previous!$D$2:$AY$2&amp;Demand_previous!$D$3:$AY$3, 0))/1000</f>
        <v>3.9437499999999986E-2</v>
      </c>
      <c r="AT6" s="384">
        <f t="array" ref="AT6">INDEX(Demand_previous!$D$4:$AY$138, MATCH('Staging Table'!$A6, Demand_previous!$B$4:$B$138, 0), MATCH(AT$4&amp;AT$5,Demand_previous!$D$2:$AY$2&amp;Demand_previous!$D$3:$AY$3, 0))/1000</f>
        <v>5.7407407407407407E-2</v>
      </c>
      <c r="AU6" s="384">
        <f t="array" ref="AU6">INDEX(Demand_previous!$D$4:$AY$138, MATCH('Staging Table'!$A6, Demand_previous!$B$4:$B$138, 0), MATCH(AU$4&amp;AU$5,Demand_previous!$D$2:$AY$2&amp;Demand_previous!$D$3:$AY$3, 0))/1000</f>
        <v>4.3067500000000036E-2</v>
      </c>
      <c r="AV6" s="384">
        <f>IF($D6=0,IF(C6=0, MAX(AY6 - (VLOOKUP($A6,TOCA_previous!$A$2:$AI$137,MATCH("RHWM 2016",TOCA_previous!$A$2:$AI$2,0),FALSE)*$F$2*TOCA_previous!C3),0),0), 0)</f>
        <v>0</v>
      </c>
      <c r="AW6" s="427">
        <f>VLOOKUP($A6,REP_previous!$A$1:$D$135,MATCH("FY "&amp;$F$1&amp; " Total Refund",REP_previous!$A$1:$D$1,0),0)</f>
        <v>6185.7233574185739</v>
      </c>
      <c r="AX6" s="398">
        <f>MIN(VLOOKUP($A6,TOCA_previous!$A$2:$AI$137,MATCH("TRL - NLSL - Exisiting Resource "&amp;$F$1,TOCA_previous!$A$2:$AI$2,0),FALSE)*$F$2,(VLOOKUP($A6,TOCA_previous!$A$2:$AI$137,MATCH("RHWM 2016",TOCA_previous!$A$2:$AI$2,0),FALSE)*$F$2))</f>
        <v>4725.7920000000004</v>
      </c>
      <c r="AY6" s="398">
        <f>SUM(L6:AI6)+(F6*RT1SC!$C$3*$F$2)</f>
        <v>4733.460011117385</v>
      </c>
      <c r="AZ6" s="398">
        <f>VLOOKUP($A6,TOCA_previous!$A$2:$AI$137,MATCH("Above RHWM Not Served with LS "&amp;$F$1,TOCA_previous!$A$2:$AI$2,0),FALSE)*$F$2</f>
        <v>0</v>
      </c>
      <c r="BA6" s="399">
        <f>AY6-AX6</f>
        <v>7.6680111173845944</v>
      </c>
      <c r="BB6" s="399">
        <f>(VLOOKUP($A6,TOCA_previous!$A$2:$AI$137,MATCH("RHWM 2016",TOCA_previous!$A$2:$AI$2,0),FALSE)*$F$2) - $AX6</f>
        <v>35.135999999999513</v>
      </c>
      <c r="BC6" s="399">
        <f>IF(BA6&gt;0,IF(BB6&gt;0,(-1)*MIN(BA6,BB6),0),0)</f>
        <v>-7.6680111173845944</v>
      </c>
      <c r="BD6" s="400">
        <f>IF(BA6&lt;0,IF(AZ6&lt;ABS(BA6),MAX(0,ABS($BA6)-(AZ6)),0),0)</f>
        <v>0</v>
      </c>
      <c r="BE6" s="400">
        <f>IF(AND(AZ6&gt;0,BB6&gt;0),IF(AND(BA6&lt;=0,ABS(BA6)&lt;AZ6),(-1)*MIN(AZ6,AZ6-ABS(BA6),BB6),IF(AND(BA6&gt;0,BA6&lt;BB6),(-1)*MIN(AZ6,BB6-BA6),0)),0)</f>
        <v>0</v>
      </c>
      <c r="BF6" s="399">
        <f>IF($D6=0,SUM($BC6:$BE6),0)</f>
        <v>-7.6680111173845944</v>
      </c>
      <c r="BG6" s="206">
        <f>VLOOKUP($A6,TOCA_current!$A$2:$AI$137,MATCH(BG$4,TOCA_current!$A$2:$AI$2,0),FALSE)</f>
        <v>7.6500000000000003E-5</v>
      </c>
      <c r="BH6" s="206">
        <f>VLOOKUP($A6,TOCA_current!$A$2:$AI$137,MATCH(BH$4,TOCA_current!$A$2:$AI$2,0),FALSE)</f>
        <v>7.6500000000000003E-5</v>
      </c>
      <c r="BI6" s="391">
        <f>BG6-BH6</f>
        <v>0</v>
      </c>
      <c r="BJ6" s="206">
        <f>VLOOKUP($A6,TOCA_current!A2:BG137,MATCH(BJ$4,TOCA_current!$A$2:$BG$2,0),FALSE)</f>
        <v>4.4999999999999998E-2</v>
      </c>
      <c r="BK6" s="206">
        <f>IF(C6=0,0,BJ6)</f>
        <v>0</v>
      </c>
      <c r="BL6" s="206">
        <f>IF(C6=0,0,BG6)</f>
        <v>0</v>
      </c>
      <c r="BM6" s="381">
        <f>VLOOKUP($A6,IRD!$A$4:$G$139, 7, FALSE)</f>
        <v>0</v>
      </c>
      <c r="BN6" s="382">
        <f t="array" ref="BN6">IF($BI6=0, INDEX(LS_current!$D$4:$AY$139, MATCH('Staging Table'!$A6, LS_current!$B$4:$B$139, 0), MATCH(BN$4&amp;BN$5, LS_current!$D$2:$AY$2&amp;LS_current!$D$3:$AY$3, 0)),SUM(VLOOKUP($A6, LS_current!$B$4:$AY$139, LS_current!D$149, FALSE), VLOOKUP($A6, LS_current!$B$4:$AY$139,LS_current!D$149, FALSE))/2)</f>
        <v>-17.57379701770725</v>
      </c>
      <c r="BO6" s="382">
        <f t="array" ref="BO6">IF($BI6=0, INDEX(LS_current!$D$4:$AY$139, MATCH('Staging Table'!$A6, LS_current!$B$4:$B$139, 0), MATCH(BO$4&amp;BO$5, LS_current!$D$2:$AY$2&amp;LS_current!$D$3:$AY$3, 0)),SUM(VLOOKUP($A6, LS_current!$B$4:$AY$139, LS_current!E$149, FALSE), VLOOKUP($A6, LS_current!$B$4:$AY$139,LS_current!E$149, FALSE))/2)</f>
        <v>23.187708194910485</v>
      </c>
      <c r="BP6" s="382">
        <f t="array" ref="BP6">IF($BI6=0, INDEX(LS_current!$D$4:$AY$139, MATCH('Staging Table'!$A6, LS_current!$B$4:$B$139, 0), MATCH(BP$4&amp;BP$5, LS_current!$D$2:$AY$2&amp;LS_current!$D$3:$AY$3, 0)),SUM(VLOOKUP($A6, LS_current!$B$4:$AY$139, LS_current!F$149, FALSE), VLOOKUP($A6, LS_current!$B$4:$AY$139,LS_current!F$149, FALSE))/2)</f>
        <v>11.381228535006528</v>
      </c>
      <c r="BQ6" s="382">
        <f t="array" ref="BQ6">IF($BI6=0, INDEX(LS_current!$D$4:$AY$139, MATCH('Staging Table'!$A6, LS_current!$B$4:$B$139, 0), MATCH(BQ$4&amp;BQ$5, LS_current!$D$2:$AY$2&amp;LS_current!$D$3:$AY$3, 0)),SUM(VLOOKUP($A6, LS_current!$B$4:$AY$139, LS_current!G$149, FALSE), VLOOKUP($A6, LS_current!$B$4:$AY$139,LS_current!G$149, FALSE))/2)</f>
        <v>42.537668027544754</v>
      </c>
      <c r="BR6" s="382">
        <f t="array" ref="BR6">IF($BI6=0, INDEX(LS_current!$D$4:$AY$139, MATCH('Staging Table'!$A6, LS_current!$B$4:$B$139, 0), MATCH(BR$4&amp;BR$5, LS_current!$D$2:$AY$2&amp;LS_current!$D$3:$AY$3, 0)),SUM(VLOOKUP($A6, LS_current!$B$4:$AY$139, LS_current!H$149, FALSE), VLOOKUP($A6, LS_current!$B$4:$AY$139,LS_current!H$149, FALSE))/2)</f>
        <v>36.16736936074949</v>
      </c>
      <c r="BS6" s="382">
        <f t="array" ref="BS6">IF($BI6=0, INDEX(LS_current!$D$4:$AY$139, MATCH('Staging Table'!$A6, LS_current!$B$4:$B$139, 0), MATCH(BS$4&amp;BS$5, LS_current!$D$2:$AY$2&amp;LS_current!$D$3:$AY$3, 0)),SUM(VLOOKUP($A6, LS_current!$B$4:$AY$139, LS_current!I$149, FALSE), VLOOKUP($A6, LS_current!$B$4:$AY$139,LS_current!I$149, FALSE))/2)</f>
        <v>70.585283416434265</v>
      </c>
      <c r="BT6" s="382">
        <f t="array" ref="BT6">IF($BI6=0, INDEX(LS_current!$D$4:$AY$139, MATCH('Staging Table'!$A6, LS_current!$B$4:$B$139, 0), MATCH(BT$4&amp;BT$5, LS_current!$D$2:$AY$2&amp;LS_current!$D$3:$AY$3, 0)),SUM(VLOOKUP($A6, LS_current!$B$4:$AY$139, LS_current!J$149, FALSE), VLOOKUP($A6, LS_current!$B$4:$AY$139,LS_current!J$149, FALSE))/2)</f>
        <v>90.685337973628009</v>
      </c>
      <c r="BU6" s="382">
        <f t="array" ref="BU6">IF($BI6=0, INDEX(LS_current!$D$4:$AY$139, MATCH('Staging Table'!$A6, LS_current!$B$4:$B$139, 0), MATCH(BU$4&amp;BU$5, LS_current!$D$2:$AY$2&amp;LS_current!$D$3:$AY$3, 0)),SUM(VLOOKUP($A6, LS_current!$B$4:$AY$139, LS_current!K$149, FALSE), VLOOKUP($A6, LS_current!$B$4:$AY$139,LS_current!K$149, FALSE))/2)</f>
        <v>84.117676866631996</v>
      </c>
      <c r="BV6" s="382">
        <f t="array" ref="BV6">IF($BI6=0, INDEX(LS_current!$D$4:$AY$139, MATCH('Staging Table'!$A6, LS_current!$B$4:$B$139, 0), MATCH(BV$4&amp;BV$5, LS_current!$D$2:$AY$2&amp;LS_current!$D$3:$AY$3, 0)),SUM(VLOOKUP($A6, LS_current!$B$4:$AY$139, LS_current!L$149, FALSE), VLOOKUP($A6, LS_current!$B$4:$AY$139,LS_current!L$149, FALSE))/2)</f>
        <v>87.626826748668265</v>
      </c>
      <c r="BW6" s="382">
        <f t="array" ref="BW6">IF($BI6=0, INDEX(LS_current!$D$4:$AY$139, MATCH('Staging Table'!$A6, LS_current!$B$4:$B$139, 0), MATCH(BW$4&amp;BW$5, LS_current!$D$2:$AY$2&amp;LS_current!$D$3:$AY$3, 0)),SUM(VLOOKUP($A6, LS_current!$B$4:$AY$139, LS_current!M$149, FALSE), VLOOKUP($A6, LS_current!$B$4:$AY$139,LS_current!M$149, FALSE))/2)</f>
        <v>75.509634658237502</v>
      </c>
      <c r="BX6" s="382">
        <f t="array" ref="BX6">IF($BI6=0, INDEX(LS_current!$D$4:$AY$139, MATCH('Staging Table'!$A6, LS_current!$B$4:$B$139, 0), MATCH(BX$4&amp;BX$5, LS_current!$D$2:$AY$2&amp;LS_current!$D$3:$AY$3, 0)),SUM(VLOOKUP($A6, LS_current!$B$4:$AY$139, LS_current!N$149, FALSE), VLOOKUP($A6, LS_current!$B$4:$AY$139,LS_current!N$149, FALSE))/2)</f>
        <v>40.885634873929746</v>
      </c>
      <c r="BY6" s="382">
        <f t="array" ref="BY6">IF($BI6=0, INDEX(LS_current!$D$4:$AY$139, MATCH('Staging Table'!$A6, LS_current!$B$4:$B$139, 0), MATCH(BY$4&amp;BY$5, LS_current!$D$2:$AY$2&amp;LS_current!$D$3:$AY$3, 0)),SUM(VLOOKUP($A6, LS_current!$B$4:$AY$139, LS_current!O$149, FALSE), VLOOKUP($A6, LS_current!$B$4:$AY$139,LS_current!O$149, FALSE))/2)</f>
        <v>42.491959207373725</v>
      </c>
      <c r="BZ6" s="382">
        <f t="array" ref="BZ6">IF($BI6=0, INDEX(LS_current!$D$4:$AY$139, MATCH('Staging Table'!$A6, LS_current!$B$4:$B$139, 0), MATCH(BZ$4&amp;BZ$5, LS_current!$D$2:$AY$2&amp;LS_current!$D$3:$AY$3, 0)),SUM(VLOOKUP($A6, LS_current!$B$4:$AY$139, LS_current!P$149, FALSE), VLOOKUP($A6, LS_current!$B$4:$AY$139,LS_current!P$149, FALSE))/2)</f>
        <v>1.3786220377744769</v>
      </c>
      <c r="CA6" s="382">
        <f t="array" ref="CA6">IF($BI6=0, INDEX(LS_current!$D$4:$AY$139, MATCH('Staging Table'!$A6, LS_current!$B$4:$B$139, 0), MATCH(CA$4&amp;CA$5, LS_current!$D$2:$AY$2&amp;LS_current!$D$3:$AY$3, 0)),SUM(VLOOKUP($A6, LS_current!$B$4:$AY$139, LS_current!Q$149, FALSE), VLOOKUP($A6, LS_current!$B$4:$AY$139,LS_current!Q$149, FALSE))/2)</f>
        <v>41.82220049748949</v>
      </c>
      <c r="CB6" s="382">
        <f t="array" ref="CB6">IF($BI6=0, INDEX(LS_current!$D$4:$AY$139, MATCH('Staging Table'!$A6, LS_current!$B$4:$B$139, 0), MATCH(CB$4&amp;CB$5, LS_current!$D$2:$AY$2&amp;LS_current!$D$3:$AY$3, 0)),SUM(VLOOKUP($A6, LS_current!$B$4:$AY$139, LS_current!R$149, FALSE), VLOOKUP($A6, LS_current!$B$4:$AY$139,LS_current!R$149, FALSE))/2)</f>
        <v>-137.03545577138857</v>
      </c>
      <c r="CC6" s="382">
        <f t="array" ref="CC6">IF($BI6=0, INDEX(LS_current!$D$4:$AY$139, MATCH('Staging Table'!$A6, LS_current!$B$4:$B$139, 0), MATCH(CC$4&amp;CC$5, LS_current!$D$2:$AY$2&amp;LS_current!$D$3:$AY$3, 0)),SUM(VLOOKUP($A6, LS_current!$B$4:$AY$139, LS_current!S$149, FALSE), VLOOKUP($A6, LS_current!$B$4:$AY$139,LS_current!S$149, FALSE))/2)</f>
        <v>-50.752232525904475</v>
      </c>
      <c r="CD6" s="382">
        <f t="array" ref="CD6">IF($BI6=0, INDEX(LS_current!$D$4:$AY$139, MATCH('Staging Table'!$A6, LS_current!$B$4:$B$139, 0), MATCH(CD$4&amp;CD$5, LS_current!$D$2:$AY$2&amp;LS_current!$D$3:$AY$3, 0)),SUM(VLOOKUP($A6, LS_current!$B$4:$AY$139, LS_current!T$149, FALSE), VLOOKUP($A6, LS_current!$B$4:$AY$139,LS_current!T$149, FALSE))/2)</f>
        <v>-86.070317563849528</v>
      </c>
      <c r="CE6" s="382">
        <f t="array" ref="CE6">IF($BI6=0, INDEX(LS_current!$D$4:$AY$139, MATCH('Staging Table'!$A6, LS_current!$B$4:$B$139, 0), MATCH(CE$4&amp;CE$5, LS_current!$D$2:$AY$2&amp;LS_current!$D$3:$AY$3, 0)),SUM(VLOOKUP($A6, LS_current!$B$4:$AY$139, LS_current!U$149, FALSE), VLOOKUP($A6, LS_current!$B$4:$AY$139,LS_current!U$149, FALSE))/2)</f>
        <v>-26.786908045461502</v>
      </c>
      <c r="CF6" s="382">
        <f t="array" ref="CF6">IF($BI6=0, INDEX(LS_current!$D$4:$AY$139, MATCH('Staging Table'!$A6, LS_current!$B$4:$B$139, 0), MATCH(CF$4&amp;CF$5, LS_current!$D$2:$AY$2&amp;LS_current!$D$3:$AY$3, 0)),SUM(VLOOKUP($A6, LS_current!$B$4:$AY$139, LS_current!V$149, FALSE), VLOOKUP($A6, LS_current!$B$4:$AY$139,LS_current!V$149, FALSE))/2)</f>
        <v>-70.613885367338753</v>
      </c>
      <c r="CG6" s="382">
        <f t="array" ref="CG6">IF($BI6=0, INDEX(LS_current!$D$4:$AY$139, MATCH('Staging Table'!$A6, LS_current!$B$4:$B$139, 0), MATCH(CG$4&amp;CG$5, LS_current!$D$2:$AY$2&amp;LS_current!$D$3:$AY$3, 0)),SUM(VLOOKUP($A6, LS_current!$B$4:$AY$139, LS_current!W$149, FALSE), VLOOKUP($A6, LS_current!$B$4:$AY$139,LS_current!W$149, FALSE))/2)</f>
        <v>-4.115205226097018</v>
      </c>
      <c r="CH6" s="382">
        <f t="array" ref="CH6">IF($BI6=0, INDEX(LS_current!$D$4:$AY$139, MATCH('Staging Table'!$A6, LS_current!$B$4:$B$139, 0), MATCH(CH$4&amp;CH$5, LS_current!$D$2:$AY$2&amp;LS_current!$D$3:$AY$3, 0)),SUM(VLOOKUP($A6, LS_current!$B$4:$AY$139, LS_current!X$149, FALSE), VLOOKUP($A6, LS_current!$B$4:$AY$139,LS_current!X$149, FALSE))/2)</f>
        <v>-87.761628254241543</v>
      </c>
      <c r="CI6" s="382">
        <f t="array" ref="CI6">IF($BI6=0, INDEX(LS_current!$D$4:$AY$139, MATCH('Staging Table'!$A6, LS_current!$B$4:$B$139, 0), MATCH(CI$4&amp;CI$5, LS_current!$D$2:$AY$2&amp;LS_current!$D$3:$AY$3, 0)),SUM(VLOOKUP($A6, LS_current!$B$4:$AY$139, LS_current!Y$149, FALSE), VLOOKUP($A6, LS_current!$B$4:$AY$139,LS_current!Y$149, FALSE))/2)</f>
        <v>-25.705471177417991</v>
      </c>
      <c r="CJ6" s="382">
        <f t="array" ref="CJ6">IF($BI6=0, INDEX(LS_current!$D$4:$AY$139, MATCH('Staging Table'!$A6, LS_current!$B$4:$B$139, 0), MATCH(CJ$4&amp;CJ$5, LS_current!$D$2:$AY$2&amp;LS_current!$D$3:$AY$3, 0)),SUM(VLOOKUP($A6, LS_current!$B$4:$AY$139, LS_current!Z$149, FALSE), VLOOKUP($A6, LS_current!$B$4:$AY$139,LS_current!Z$149, FALSE))/2)</f>
        <v>-60.473514240049241</v>
      </c>
      <c r="CK6" s="382">
        <f t="array" ref="CK6">IF($BI6=0, INDEX(LS_current!$D$4:$AY$139, MATCH('Staging Table'!$A6, LS_current!$B$4:$B$139, 0), MATCH(CK$4&amp;CK$5, LS_current!$D$2:$AY$2&amp;LS_current!$D$3:$AY$3, 0)),SUM(VLOOKUP($A6, LS_current!$B$4:$AY$139, LS_current!AA$149, FALSE), VLOOKUP($A6, LS_current!$B$4:$AY$139,LS_current!AA$149, FALSE))/2)</f>
        <v>-2.047765750812502</v>
      </c>
      <c r="CL6" s="384">
        <f t="array" ref="CL6">INDEX(Demand_current!$D$4:$AY$138, MATCH($A6, Demand_current!$B$4:$B$138, 0), MATCH(CL$4&amp;CL$5,Demand_current!$D$2:$AY$2&amp;Demand_current!$D$3:$AY$3, 0))/1000</f>
        <v>9.7425480769230743E-2</v>
      </c>
      <c r="CM6" s="384">
        <f t="array" ref="CM6">INDEX(Demand_current!$D$4:$AY$138, MATCH($A6, Demand_current!$B$4:$B$138, 0), MATCH(CM$4&amp;CM$5,Demand_current!$D$2:$AY$2&amp;Demand_current!$D$3:$AY$3, 0))/1000</f>
        <v>0.13919249999999989</v>
      </c>
      <c r="CN6" s="384">
        <f t="array" ref="CN6">INDEX(Demand_current!$D$4:$AY$138, MATCH($A6, Demand_current!$B$4:$B$138, 0), MATCH(CN$4&amp;CN$5,Demand_current!$D$2:$AY$2&amp;Demand_current!$D$3:$AY$3, 0))/1000</f>
        <v>0.11845500000000003</v>
      </c>
      <c r="CO6" s="384">
        <f t="array" ref="CO6">INDEX(Demand_current!$D$4:$AY$138, MATCH($A6, Demand_current!$B$4:$B$138, 0), MATCH(CO$4&amp;CO$5,Demand_current!$D$2:$AY$2&amp;Demand_current!$D$3:$AY$3, 0))/1000</f>
        <v>0.16122836538461538</v>
      </c>
      <c r="CP6" s="384">
        <f t="array" ref="CP6">INDEX(Demand_current!$D$4:$AY$138, MATCH($A6, Demand_current!$B$4:$B$138, 0), MATCH(CP$4&amp;CP$5,Demand_current!$D$2:$AY$2&amp;Demand_current!$D$3:$AY$3, 0))/1000</f>
        <v>0.14613020833333312</v>
      </c>
      <c r="CQ6" s="384">
        <f t="array" ref="CQ6">INDEX(Demand_current!$D$4:$AY$138, MATCH($A6, Demand_current!$B$4:$B$138, 0), MATCH(CQ$4&amp;CQ$5,Demand_current!$D$2:$AY$2&amp;Demand_current!$D$3:$AY$3, 0))/1000</f>
        <v>0.12165046296296289</v>
      </c>
      <c r="CR6" s="384">
        <f t="array" ref="CR6">INDEX(Demand_current!$D$4:$AY$138, MATCH($A6, Demand_current!$B$4:$B$138, 0), MATCH(CR$4&amp;CR$5,Demand_current!$D$2:$AY$2&amp;Demand_current!$D$3:$AY$3, 0))/1000</f>
        <v>1.0252500000000053E-2</v>
      </c>
      <c r="CS6" s="384">
        <f t="array" ref="CS6">INDEX(Demand_current!$D$4:$AY$138, MATCH($A6, Demand_current!$B$4:$B$138, 0), MATCH(CS$4&amp;CS$5,Demand_current!$D$2:$AY$2&amp;Demand_current!$D$3:$AY$3, 0))/1000</f>
        <v>4.7504807692307693E-2</v>
      </c>
      <c r="CT6" s="384">
        <f t="array" ref="CT6">INDEX(Demand_current!$D$4:$AY$138, MATCH($A6, Demand_current!$B$4:$B$138, 0), MATCH(CT$4&amp;CT$5,Demand_current!$D$2:$AY$2&amp;Demand_current!$D$3:$AY$3, 0))/1000</f>
        <v>6.7266826923076881E-2</v>
      </c>
      <c r="CU6" s="384">
        <f t="array" ref="CU6">INDEX(Demand_current!$D$4:$AY$138, MATCH($A6, Demand_current!$B$4:$B$138, 0), MATCH(CU$4&amp;CU$5,Demand_current!$D$2:$AY$2&amp;Demand_current!$D$3:$AY$3, 0))/1000</f>
        <v>3.9437499999999986E-2</v>
      </c>
      <c r="CV6" s="384">
        <f t="array" ref="CV6">INDEX(Demand_current!$D$4:$AY$138, MATCH($A6, Demand_current!$B$4:$B$138, 0), MATCH(CV$4&amp;CV$5,Demand_current!$D$2:$AY$2&amp;Demand_current!$D$3:$AY$3, 0))/1000</f>
        <v>5.7407407407407407E-2</v>
      </c>
      <c r="CW6" s="384">
        <f t="array" ref="CW6">INDEX(Demand_current!$D$4:$AY$138, MATCH($A6, Demand_current!$B$4:$B$138, 0), MATCH(CW$4&amp;CW$5,Demand_current!$D$2:$AY$2&amp;Demand_current!$D$3:$AY$3, 0))/1000</f>
        <v>2.5653645833333349E-2</v>
      </c>
      <c r="CX6" s="384">
        <f>IF(D6=0,IF(C6=0,MAX(0,DA6 - (VLOOKUP($A6,TOCA_current!$A$2:$AI$137,MATCH("RHWM 2018",TOCA_current!$A$2:$AI$2,0),FALSE)*$BH$2)), 0),0)</f>
        <v>11.820067898109301</v>
      </c>
      <c r="CY6" s="427">
        <f>VLOOKUP($A6,REP_current!$A$1:$D$135,MATCH("FY "&amp;$BH$1&amp; " Total Refund",REP_current!$A$1:$D$1,0),0)</f>
        <v>6212.6606158474387</v>
      </c>
      <c r="CZ6" s="397">
        <f>MIN(VLOOKUP($A6,TOCA_current!$A$2:$AI$137,MATCH("TRL - NLSL - Existing Resource "&amp;$BH$1,TOCA_current!$A$2:$AI$2,0),FALSE)*$BH$2, VLOOKUP($A6,TOCA_current!$A$2:$AI$137,MATCH("RHWM 2018",TOCA_current!$A$2:$AI$2,0),FALSE)*$BH$2)</f>
        <v>4651.5600000000004</v>
      </c>
      <c r="DA6" s="397">
        <f>SUM(BN6:CK6)+(BH6*RT1SC!$C$4*$BH$2)</f>
        <v>4733.4600678981096</v>
      </c>
      <c r="DB6" s="397">
        <f>VLOOKUP($A6,TOCA_current!$A$2:$AI$137,MATCH("Above RHWM Not Served with LS "&amp;$BH$1,TOCA_current!$A$2:$AI$2,0),FALSE)*$BH$2</f>
        <v>0</v>
      </c>
      <c r="DC6" s="401">
        <f>DA6-CZ6</f>
        <v>81.900067898109228</v>
      </c>
      <c r="DD6" s="397">
        <f>(VLOOKUP($A6,TOCA_current!$A$2:$AI$137,MATCH("RHWM 2018",TOCA_current!$A$2:$AI$2,0),FALSE)*$BH$2) - $CZ6</f>
        <v>70.079999999999927</v>
      </c>
      <c r="DE6" s="397">
        <f>IF(DC6&gt;0,IF(DD6&gt;0,(-1)*MIN(DC6,DD6),0),0)</f>
        <v>-70.079999999999927</v>
      </c>
      <c r="DF6">
        <f>IF(DC6&lt;0,IF(DB6&lt;ABS(DC6),MAX(0,ABS($DC6)-(DB6)),0),0)</f>
        <v>0</v>
      </c>
      <c r="DG6">
        <f>IF(AND(DB6&gt;0,DD6&gt;0),IF(AND(DC6&lt;=0,ABS(DC6)&lt;DB6),(-1)*MIN(DB6,DB6-ABS(DC6),DD6),IF(AND(DC6&gt;0,DC6&lt;DD6),(-1)*MIN(DB6,DD6-DC6),0)),0)</f>
        <v>0</v>
      </c>
      <c r="DH6">
        <f>IF($D6=0,SUM(DE6:DG6),0)</f>
        <v>-70.079999999999927</v>
      </c>
    </row>
    <row r="7" spans="1:112">
      <c r="A7" s="274">
        <v>10015</v>
      </c>
      <c r="B7" s="275" t="s">
        <v>8</v>
      </c>
      <c r="C7" s="397">
        <v>0</v>
      </c>
      <c r="D7" s="397">
        <v>0</v>
      </c>
      <c r="E7" s="205">
        <f>VLOOKUP($A7,TOCA_previous!$A$2:$AI$137,MATCH(E$4,TOCA_previous!$A$2:$AI$2,0),FALSE)</f>
        <v>8.1299999999999997E-5</v>
      </c>
      <c r="F7" s="206">
        <f>VLOOKUP($A7,TOCA_previous!$A$2:$AI$137,MATCH(F$4,TOCA_previous!$A$2:$AI$2,0),FALSE)</f>
        <v>8.1299999999999997E-5</v>
      </c>
      <c r="G7" s="206">
        <f t="shared" ref="G7:G70" si="0">E7-F7</f>
        <v>0</v>
      </c>
      <c r="H7" s="206">
        <f>VLOOKUP($A7,TOCA_previous!$A$2:$AI$137,MATCH(H$4,TOCA_previous!$A$2:$AI$2,0),FALSE)</f>
        <v>0</v>
      </c>
      <c r="I7" s="206">
        <f t="shared" ref="I7:I70" si="1">IF(C7=0,0,H7)</f>
        <v>0</v>
      </c>
      <c r="J7" s="206">
        <f t="shared" ref="J7:J70" si="2">IF(C7=0,0,E7)</f>
        <v>0</v>
      </c>
      <c r="K7" s="381">
        <f>VLOOKUP(A7, IRD!$A$5:$C$139, 3, FALSE)</f>
        <v>0</v>
      </c>
      <c r="L7" s="382">
        <f t="array" ref="L7">IF($G7=0, INDEX(LS_previous!$D$4:$AY$138, MATCH('Staging Table'!$A7, LS_previous!$B$4:$B$138, 0), MATCH(L$4&amp;L$5, LS_previous!$D$2:$AY$2&amp;LS_previous!$D$3:$AY$3, 0)),SUM(VLOOKUP($A7, LS_previous!$B$4:$AY$138, LS_previous!D$149, FALSE), VLOOKUP('Staging Table'!$A7, LS_previous!$B$4:$AY$138,LS_previous!AB$149, FALSE))/2)</f>
        <v>-62.95395514826663</v>
      </c>
      <c r="M7" s="382">
        <f t="array" ref="M7">IF($G7=0, INDEX(LS_previous!$D$4:$AY$138, MATCH('Staging Table'!$A7, LS_previous!$B$4:$B$138, 0), MATCH(M$4&amp;M$5, LS_previous!$D$2:$AY$2&amp;LS_previous!$D$3:$AY$3, 0)),SUM(VLOOKUP($A7, LS_previous!$B$4:$AY$138, LS_previous!E$149, FALSE), VLOOKUP('Staging Table'!$A7, LS_previous!$B$4:$AY$138,LS_previous!AC$149, FALSE))/2)</f>
        <v>9.376837762496109</v>
      </c>
      <c r="N7" s="382">
        <f t="array" ref="N7">IF($G7=0, INDEX(LS_previous!$D$4:$AY$138, MATCH('Staging Table'!$A7, LS_previous!$B$4:$B$138, 0), MATCH(N$4&amp;N$5, LS_previous!$D$2:$AY$2&amp;LS_previous!$D$3:$AY$3, 0)),SUM(VLOOKUP($A7, LS_previous!$B$4:$AY$138, LS_previous!F$149, FALSE), VLOOKUP('Staging Table'!$A7, LS_previous!$B$4:$AY$138,LS_previous!AD$149, FALSE))/2)</f>
        <v>-199.00303400767325</v>
      </c>
      <c r="O7" s="382">
        <f t="array" ref="O7">IF($G7=0, INDEX(LS_previous!$D$4:$AY$138, MATCH('Staging Table'!$A7, LS_previous!$B$4:$B$138, 0), MATCH(O$4&amp;O$5, LS_previous!$D$2:$AY$2&amp;LS_previous!$D$3:$AY$3, 0)),SUM(VLOOKUP($A7, LS_previous!$B$4:$AY$138, LS_previous!G$149, FALSE), VLOOKUP('Staging Table'!$A7, LS_previous!$B$4:$AY$138,LS_previous!AE$149, FALSE))/2)</f>
        <v>-106.29923260217438</v>
      </c>
      <c r="P7" s="382">
        <f t="array" ref="P7">IF($G7=0, INDEX(LS_previous!$D$4:$AY$138, MATCH('Staging Table'!$A7, LS_previous!$B$4:$B$138, 0), MATCH(P$4&amp;P$5, LS_previous!$D$2:$AY$2&amp;LS_previous!$D$3:$AY$3, 0)),SUM(VLOOKUP($A7, LS_previous!$B$4:$AY$138, LS_previous!H$149, FALSE), VLOOKUP('Staging Table'!$A7, LS_previous!$B$4:$AY$138,LS_previous!AF$149, FALSE))/2)</f>
        <v>-186.92110087237648</v>
      </c>
      <c r="Q7" s="382">
        <f t="array" ref="Q7">IF($G7=0, INDEX(LS_previous!$D$4:$AY$138, MATCH('Staging Table'!$A7, LS_previous!$B$4:$B$138, 0), MATCH(Q$4&amp;Q$5, LS_previous!$D$2:$AY$2&amp;LS_previous!$D$3:$AY$3, 0)),SUM(VLOOKUP($A7, LS_previous!$B$4:$AY$138, LS_previous!I$149, FALSE), VLOOKUP('Staging Table'!$A7, LS_previous!$B$4:$AY$138,LS_previous!AG$149, FALSE))/2)</f>
        <v>-98.734383562220984</v>
      </c>
      <c r="R7" s="382">
        <f t="array" ref="R7">IF($G7=0, INDEX(LS_previous!$D$4:$AY$138, MATCH('Staging Table'!$A7, LS_previous!$B$4:$B$138, 0), MATCH(R$4&amp;R$5, LS_previous!$D$2:$AY$2&amp;LS_previous!$D$3:$AY$3, 0)),SUM(VLOOKUP($A7, LS_previous!$B$4:$AY$138, LS_previous!J$149, FALSE), VLOOKUP('Staging Table'!$A7, LS_previous!$B$4:$AY$138,LS_previous!AH$149, FALSE))/2)</f>
        <v>-128.84666642080208</v>
      </c>
      <c r="S7" s="382">
        <f t="array" ref="S7">IF($G7=0, INDEX(LS_previous!$D$4:$AY$138, MATCH('Staging Table'!$A7, LS_previous!$B$4:$B$138, 0), MATCH(S$4&amp;S$5, LS_previous!$D$2:$AY$2&amp;LS_previous!$D$3:$AY$3, 0)),SUM(VLOOKUP($A7, LS_previous!$B$4:$AY$138, LS_previous!K$149, FALSE), VLOOKUP('Staging Table'!$A7, LS_previous!$B$4:$AY$138,LS_previous!AI$149, FALSE))/2)</f>
        <v>-86.179558005965774</v>
      </c>
      <c r="T7" s="382">
        <f t="array" ref="T7">IF($G7=0, INDEX(LS_previous!$D$4:$AY$138, MATCH('Staging Table'!$A7, LS_previous!$B$4:$B$138, 0), MATCH(T$4&amp;T$5, LS_previous!$D$2:$AY$2&amp;LS_previous!$D$3:$AY$3, 0)),SUM(VLOOKUP($A7, LS_previous!$B$4:$AY$138, LS_previous!L$149, FALSE), VLOOKUP('Staging Table'!$A7, LS_previous!$B$4:$AY$138,LS_previous!AJ$149, FALSE))/2)</f>
        <v>-124.62970592013369</v>
      </c>
      <c r="U7" s="382">
        <f t="array" ref="U7">IF($G7=0, INDEX(LS_previous!$D$4:$AY$138, MATCH('Staging Table'!$A7, LS_previous!$B$4:$B$138, 0), MATCH(U$4&amp;U$5, LS_previous!$D$2:$AY$2&amp;LS_previous!$D$3:$AY$3, 0)),SUM(VLOOKUP($A7, LS_previous!$B$4:$AY$138, LS_previous!M$149, FALSE), VLOOKUP('Staging Table'!$A7, LS_previous!$B$4:$AY$138,LS_previous!AK$149, FALSE))/2)</f>
        <v>-79.783858335861112</v>
      </c>
      <c r="V7" s="382">
        <f t="array" ref="V7">IF($G7=0, INDEX(LS_previous!$D$4:$AY$138, MATCH('Staging Table'!$A7, LS_previous!$B$4:$B$138, 0), MATCH(V$4&amp;V$5, LS_previous!$D$2:$AY$2&amp;LS_previous!$D$3:$AY$3, 0)),SUM(VLOOKUP($A7, LS_previous!$B$4:$AY$138, LS_previous!N$149, FALSE), VLOOKUP('Staging Table'!$A7, LS_previous!$B$4:$AY$138,LS_previous!AL$149, FALSE))/2)</f>
        <v>-139.53138280784643</v>
      </c>
      <c r="W7" s="382">
        <f t="array" ref="W7">IF($G7=0, INDEX(LS_previous!$D$4:$AY$138, MATCH('Staging Table'!$A7, LS_previous!$B$4:$B$138, 0), MATCH(W$4&amp;W$5, LS_previous!$D$2:$AY$2&amp;LS_previous!$D$3:$AY$3, 0)),SUM(VLOOKUP($A7, LS_previous!$B$4:$AY$138, LS_previous!O$149, FALSE), VLOOKUP('Staging Table'!$A7, LS_previous!$B$4:$AY$138,LS_previous!AM$149, FALSE))/2)</f>
        <v>-89.675282118180661</v>
      </c>
      <c r="X7" s="382">
        <f t="array" ref="X7">IF($G7=0, INDEX(LS_previous!$D$4:$AY$138, MATCH('Staging Table'!$A7, LS_previous!$B$4:$B$138, 0), MATCH(X$4&amp;X$5, LS_previous!$D$2:$AY$2&amp;LS_previous!$D$3:$AY$3, 0)),SUM(VLOOKUP($A7, LS_previous!$B$4:$AY$138, LS_previous!P$149, FALSE), VLOOKUP('Staging Table'!$A7, LS_previous!$B$4:$AY$138,LS_previous!AN$149, FALSE))/2)</f>
        <v>-20.358243004556215</v>
      </c>
      <c r="Y7" s="382">
        <f t="array" ref="Y7">IF($G7=0, INDEX(LS_previous!$D$4:$AY$138, MATCH('Staging Table'!$A7, LS_previous!$B$4:$B$138, 0), MATCH(Y$4&amp;Y$5, LS_previous!$D$2:$AY$2&amp;LS_previous!$D$3:$AY$3, 0)),SUM(VLOOKUP($A7, LS_previous!$B$4:$AY$138, LS_previous!Q$149, FALSE), VLOOKUP('Staging Table'!$A7, LS_previous!$B$4:$AY$138,LS_previous!AO$149, FALSE))/2)</f>
        <v>-14.264126817794775</v>
      </c>
      <c r="Z7" s="382">
        <f t="array" ref="Z7">IF($G7=0, INDEX(LS_previous!$D$4:$AY$138, MATCH('Staging Table'!$A7, LS_previous!$B$4:$B$138, 0), MATCH(Z$4&amp;Z$5, LS_previous!$D$2:$AY$2&amp;LS_previous!$D$3:$AY$3, 0)),SUM(VLOOKUP($A7, LS_previous!$B$4:$AY$138, LS_previous!R$149, FALSE), VLOOKUP('Staging Table'!$A7, LS_previous!$B$4:$AY$138,LS_previous!AP$149, FALSE))/2)</f>
        <v>-16.545032899815396</v>
      </c>
      <c r="AA7" s="382">
        <f t="array" ref="AA7">IF($G7=0, INDEX(LS_previous!$D$4:$AY$138, MATCH('Staging Table'!$A7, LS_previous!$B$4:$B$138, 0), MATCH(AA$4&amp;AA$5, LS_previous!$D$2:$AY$2&amp;LS_previous!$D$3:$AY$3, 0)),SUM(VLOOKUP($A7, LS_previous!$B$4:$AY$138, LS_previous!S$149, FALSE), VLOOKUP('Staging Table'!$A7, LS_previous!$B$4:$AY$138,LS_previous!AQ$149, FALSE))/2)</f>
        <v>107.24257324882117</v>
      </c>
      <c r="AB7" s="382">
        <f t="array" ref="AB7">IF($G7=0, INDEX(LS_previous!$D$4:$AY$138, MATCH('Staging Table'!$A7, LS_previous!$B$4:$B$138, 0), MATCH(AB$4&amp;AB$5, LS_previous!$D$2:$AY$2&amp;LS_previous!$D$3:$AY$3, 0)),SUM(VLOOKUP($A7, LS_previous!$B$4:$AY$138, LS_previous!T$149, FALSE), VLOOKUP('Staging Table'!$A7, LS_previous!$B$4:$AY$138,LS_previous!AR$149, FALSE))/2)</f>
        <v>137.14665085868194</v>
      </c>
      <c r="AC7" s="382">
        <f t="array" ref="AC7">IF($G7=0, INDEX(LS_previous!$D$4:$AY$138, MATCH('Staging Table'!$A7, LS_previous!$B$4:$B$138, 0), MATCH(AC$4&amp;AC$5, LS_previous!$D$2:$AY$2&amp;LS_previous!$D$3:$AY$3, 0)),SUM(VLOOKUP($A7, LS_previous!$B$4:$AY$138, LS_previous!U$149, FALSE), VLOOKUP('Staging Table'!$A7, LS_previous!$B$4:$AY$138,LS_previous!AS$149, FALSE))/2)</f>
        <v>215.63712939772523</v>
      </c>
      <c r="AD7" s="382">
        <f t="array" ref="AD7">IF($G7=0, INDEX(LS_previous!$D$4:$AY$138, MATCH('Staging Table'!$A7, LS_previous!$B$4:$B$138, 0), MATCH(AD$4&amp;AD$5, LS_previous!$D$2:$AY$2&amp;LS_previous!$D$3:$AY$3, 0)),SUM(VLOOKUP($A7, LS_previous!$B$4:$AY$138, LS_previous!V$149, FALSE), VLOOKUP('Staging Table'!$A7, LS_previous!$B$4:$AY$138,LS_previous!AT$149, FALSE))/2)</f>
        <v>330.73566419845434</v>
      </c>
      <c r="AE7" s="382">
        <f t="array" ref="AE7">IF($G7=0, INDEX(LS_previous!$D$4:$AY$138, MATCH('Staging Table'!$A7, LS_previous!$B$4:$B$138, 0), MATCH(AE$4&amp;AE$5, LS_previous!$D$2:$AY$2&amp;LS_previous!$D$3:$AY$3, 0)),SUM(VLOOKUP($A7, LS_previous!$B$4:$AY$138, LS_previous!W$149, FALSE), VLOOKUP('Staging Table'!$A7, LS_previous!$B$4:$AY$138,LS_previous!AU$149, FALSE))/2)</f>
        <v>367.61328010352889</v>
      </c>
      <c r="AF7" s="382">
        <f t="array" ref="AF7">IF($G7=0, INDEX(LS_previous!$D$4:$AY$138, MATCH('Staging Table'!$A7, LS_previous!$B$4:$B$138, 0), MATCH(AF$4&amp;AF$5, LS_previous!$D$2:$AY$2&amp;LS_previous!$D$3:$AY$3, 0)),SUM(VLOOKUP($A7, LS_previous!$B$4:$AY$138, LS_previous!X$149, FALSE), VLOOKUP('Staging Table'!$A7, LS_previous!$B$4:$AY$138,LS_previous!AV$149, FALSE))/2)</f>
        <v>265.56137316446444</v>
      </c>
      <c r="AG7" s="382">
        <f t="array" ref="AG7">IF($G7=0, INDEX(LS_previous!$D$4:$AY$138, MATCH('Staging Table'!$A7, LS_previous!$B$4:$B$138, 0), MATCH(AG$4&amp;AG$5, LS_previous!$D$2:$AY$2&amp;LS_previous!$D$3:$AY$3, 0)),SUM(VLOOKUP($A7, LS_previous!$B$4:$AY$138, LS_previous!Y$149, FALSE), VLOOKUP('Staging Table'!$A7, LS_previous!$B$4:$AY$138,LS_previous!AW$149, FALSE))/2)</f>
        <v>316.65588119406993</v>
      </c>
      <c r="AH7" s="382">
        <f t="array" ref="AH7">IF($G7=0, INDEX(LS_previous!$D$4:$AY$138, MATCH('Staging Table'!$A7, LS_previous!$B$4:$B$138, 0), MATCH(AH$4&amp;AH$5, LS_previous!$D$2:$AY$2&amp;LS_previous!$D$3:$AY$3, 0)),SUM(VLOOKUP($A7, LS_previous!$B$4:$AY$138, LS_previous!Z$149, FALSE), VLOOKUP('Staging Table'!$A7, LS_previous!$B$4:$AY$138,LS_previous!AX$149, FALSE))/2)</f>
        <v>93.312527163129658</v>
      </c>
      <c r="AI7" s="382">
        <f t="array" ref="AI7">IF($G7=0, INDEX(LS_previous!$D$4:$AY$138, MATCH('Staging Table'!$A7, LS_previous!$B$4:$B$138, 0), MATCH(AI$4&amp;AI$5, LS_previous!$D$2:$AY$2&amp;LS_previous!$D$3:$AY$3, 0)),SUM(VLOOKUP($A7, LS_previous!$B$4:$AY$138, LS_previous!AA$149, FALSE), VLOOKUP('Staging Table'!$A7, LS_previous!$B$4:$AY$138,LS_previous!AY$149, FALSE))/2)</f>
        <v>202.05392173852161</v>
      </c>
      <c r="AJ7" s="384">
        <f t="array" ref="AJ7">INDEX(Demand_previous!$D$4:$AY$138, MATCH('Staging Table'!$A7, Demand_previous!$B$4:$B$138, 0), MATCH(AJ$4&amp;AJ$5,Demand_previous!$D$2:$AY$2&amp;Demand_previous!$D$3:$AY$3, 0))/1000</f>
        <v>0.55986574074074069</v>
      </c>
      <c r="AK7" s="384">
        <f t="array" ref="AK7">INDEX(Demand_previous!$D$4:$AY$138, MATCH('Staging Table'!$A7, Demand_previous!$B$4:$B$138, 0), MATCH(AK$4&amp;AK$5,Demand_previous!$D$2:$AY$2&amp;Demand_previous!$D$3:$AY$3, 0))/1000</f>
        <v>0</v>
      </c>
      <c r="AL7" s="384">
        <f t="array" ref="AL7">INDEX(Demand_previous!$D$4:$AY$138, MATCH('Staging Table'!$A7, Demand_previous!$B$4:$B$138, 0), MATCH(AL$4&amp;AL$5,Demand_previous!$D$2:$AY$2&amp;Demand_previous!$D$3:$AY$3, 0))/1000</f>
        <v>0</v>
      </c>
      <c r="AM7" s="384">
        <f t="array" ref="AM7">INDEX(Demand_previous!$D$4:$AY$138, MATCH('Staging Table'!$A7, Demand_previous!$B$4:$B$138, 0), MATCH(AM$4&amp;AM$5,Demand_previous!$D$2:$AY$2&amp;Demand_previous!$D$3:$AY$3, 0))/1000</f>
        <v>0.23670999999999998</v>
      </c>
      <c r="AN7" s="384">
        <f t="array" ref="AN7">INDEX(Demand_previous!$D$4:$AY$138, MATCH('Staging Table'!$A7, Demand_previous!$B$4:$B$138, 0), MATCH(AN$4&amp;AN$5,Demand_previous!$D$2:$AY$2&amp;Demand_previous!$D$3:$AY$3, 0))/1000</f>
        <v>0.16048000000000007</v>
      </c>
      <c r="AO7" s="384">
        <f t="array" ref="AO7">INDEX(Demand_previous!$D$4:$AY$138, MATCH('Staging Table'!$A7, Demand_previous!$B$4:$B$138, 0), MATCH(AO$4&amp;AO$5,Demand_previous!$D$2:$AY$2&amp;Demand_previous!$D$3:$AY$3, 0))/1000</f>
        <v>0.25351620370370365</v>
      </c>
      <c r="AP7" s="384">
        <f t="array" ref="AP7">INDEX(Demand_previous!$D$4:$AY$138, MATCH('Staging Table'!$A7, Demand_previous!$B$4:$B$138, 0), MATCH(AP$4&amp;AP$5,Demand_previous!$D$2:$AY$2&amp;Demand_previous!$D$3:$AY$3, 0))/1000</f>
        <v>0.72578846153846155</v>
      </c>
      <c r="AQ7" s="384">
        <f t="array" ref="AQ7">INDEX(Demand_previous!$D$4:$AY$138, MATCH('Staging Table'!$A7, Demand_previous!$B$4:$B$138, 0), MATCH(AQ$4&amp;AQ$5,Demand_previous!$D$2:$AY$2&amp;Demand_previous!$D$3:$AY$3, 0))/1000</f>
        <v>0.5961749999999999</v>
      </c>
      <c r="AR7" s="384">
        <f t="array" ref="AR7">INDEX(Demand_previous!$D$4:$AY$138, MATCH('Staging Table'!$A7, Demand_previous!$B$4:$B$138, 0), MATCH(AR$4&amp;AR$5,Demand_previous!$D$2:$AY$2&amp;Demand_previous!$D$3:$AY$3, 0))/1000</f>
        <v>0.54962980769230785</v>
      </c>
      <c r="AS7" s="384">
        <f t="array" ref="AS7">INDEX(Demand_previous!$D$4:$AY$138, MATCH('Staging Table'!$A7, Demand_previous!$B$4:$B$138, 0), MATCH(AS$4&amp;AS$5,Demand_previous!$D$2:$AY$2&amp;Demand_previous!$D$3:$AY$3, 0))/1000</f>
        <v>0.61463999999999985</v>
      </c>
      <c r="AT7" s="384">
        <f t="array" ref="AT7">INDEX(Demand_previous!$D$4:$AY$138, MATCH('Staging Table'!$A7, Demand_previous!$B$4:$B$138, 0), MATCH(AT$4&amp;AT$5,Demand_previous!$D$2:$AY$2&amp;Demand_previous!$D$3:$AY$3, 0))/1000</f>
        <v>0.35405092592592613</v>
      </c>
      <c r="AU7" s="384">
        <f t="array" ref="AU7">INDEX(Demand_previous!$D$4:$AY$138, MATCH('Staging Table'!$A7, Demand_previous!$B$4:$B$138, 0), MATCH(AU$4&amp;AU$5,Demand_previous!$D$2:$AY$2&amp;Demand_previous!$D$3:$AY$3, 0))/1000</f>
        <v>0.57640750000000018</v>
      </c>
      <c r="AV7" s="384">
        <f>IF($D7=0,IF(C7=0, MAX(AY7 - (VLOOKUP($A7,TOCA_previous!$A$2:$AI$137,MATCH("RHWM 2016",TOCA_previous!$A$2:$AI$2,0),FALSE)*$F$2*TOCA_previous!C4),0),0), 0)</f>
        <v>689.19301173822532</v>
      </c>
      <c r="AW7" s="427">
        <f>VLOOKUP($A7,REP_previous!$A$1:$D$135,MATCH("FY "&amp;$F$1&amp; " Total Refund",REP_previous!$A$1:$D$1,0),0)</f>
        <v>3175.5715127044245</v>
      </c>
      <c r="AX7" s="398">
        <f>MIN(VLOOKUP($A7,TOCA_previous!$A$2:$AI$137,MATCH("TRL - NLSL - Exisiting Resource "&amp;$F$1,TOCA_previous!$A$2:$AI$2,0),FALSE)*$F$2,(VLOOKUP($A7,TOCA_previous!$A$2:$AI$137,MATCH("RHWM 2016",TOCA_previous!$A$2:$AI$2,0),FALSE)*$F$2))</f>
        <v>4989.3119999999999</v>
      </c>
      <c r="AY7" s="384">
        <f>SUM(L7:AI7)+(F7*RT1SC!$C$3*$F$2)</f>
        <v>5678.5050117382252</v>
      </c>
      <c r="AZ7" s="398">
        <f>VLOOKUP($A7,TOCA_previous!$A$2:$AI$137,MATCH("Above RHWM Not Served with LS "&amp;$F$1,TOCA_previous!$A$2:$AI$2,0),FALSE)*$F$2</f>
        <v>0</v>
      </c>
      <c r="BA7" s="206">
        <f t="shared" ref="BA7:BA70" si="3">AY7-AX7</f>
        <v>689.19301173822532</v>
      </c>
      <c r="BB7" s="399">
        <f>(VLOOKUP($A7,TOCA_previous!$A$2:$AI$137,MATCH("RHWM 2016",TOCA_previous!$A$2:$AI$2,0),FALSE)*$F$2) - $AX7</f>
        <v>0</v>
      </c>
      <c r="BC7" s="206">
        <f t="shared" ref="BC7:BC70" si="4">IF(BA7&gt;0,IF(BB7&gt;0,(-1)*MIN(BA7,BB7),0),0)</f>
        <v>0</v>
      </c>
      <c r="BD7" s="400">
        <f t="shared" ref="BD7:BD70" si="5">IF(BA7&lt;0,IF(AZ7&lt;ABS(BA7),MAX(0,ABS($BA7)-(AZ7)),0),0)</f>
        <v>0</v>
      </c>
      <c r="BE7" s="392">
        <f t="shared" ref="BE7:BE70" si="6">IF(AND(AZ7&gt;0,BB7&gt;0),IF(AND(BA7&lt;=0,ABS(BA7)&lt;AZ7),(-1)*MIN(AZ7,AZ7-ABS(BA7),BB7),IF(AND(BA7&gt;0,BA7&lt;BB7),(-1)*MIN(AZ7,BB7-BA7),0)),0)</f>
        <v>0</v>
      </c>
      <c r="BF7" s="399">
        <f t="shared" ref="BF7:BF70" si="7">IF($D7=0,SUM($BC7:$BE7),0)</f>
        <v>0</v>
      </c>
      <c r="BG7" s="206">
        <f>VLOOKUP($A7,TOCA_current!$A$2:$AI$137,MATCH(BG$4,TOCA_current!$A$2:$AI$2,0),FALSE)</f>
        <v>8.1199999999999995E-5</v>
      </c>
      <c r="BH7" s="206">
        <f>VLOOKUP($A7,TOCA_current!$A$2:$AI$137,MATCH(BH$4,TOCA_current!$A$2:$AI$2,0),FALSE)</f>
        <v>8.1199999999999995E-5</v>
      </c>
      <c r="BI7" s="391">
        <f t="shared" ref="BI7:BI70" si="8">BG7-BH7</f>
        <v>0</v>
      </c>
      <c r="BJ7" s="206">
        <f>VLOOKUP($A7,TOCA_current!A3:BG138,MATCH(BJ$4,TOCA_current!$A$2:$BG$2,0),FALSE)</f>
        <v>0</v>
      </c>
      <c r="BK7" s="206">
        <f t="shared" ref="BK7:BK70" si="9">IF(C7=0,0,BJ7)</f>
        <v>0</v>
      </c>
      <c r="BL7" s="206">
        <f t="shared" ref="BL7:BL70" si="10">IF(C7=0,0,BG7)</f>
        <v>0</v>
      </c>
      <c r="BM7" s="381">
        <f>VLOOKUP($A7,IRD!$A$4:$G$139, 7, FALSE)</f>
        <v>0</v>
      </c>
      <c r="BN7" s="382">
        <f t="array" ref="BN7">IF($BI7=0, INDEX(LS_current!$D$4:$AY$139, MATCH('Staging Table'!$A7, LS_current!$B$4:$B$139, 0), MATCH(BN$4&amp;BN$5, LS_current!$D$2:$AY$2&amp;LS_current!$D$3:$AY$3, 0)),SUM(VLOOKUP($A7, LS_current!$B$4:$AY$139, LS_current!D$149, FALSE), VLOOKUP($A7, LS_current!$B$4:$AY$139,LS_current!D$149, FALSE))/2)</f>
        <v>-63.9763100370958</v>
      </c>
      <c r="BO7" s="382">
        <f t="array" ref="BO7">IF($BI7=0, INDEX(LS_current!$D$4:$AY$139, MATCH('Staging Table'!$A7, LS_current!$B$4:$B$139, 0), MATCH(BO$4&amp;BO$5, LS_current!$D$2:$AY$2&amp;LS_current!$D$3:$AY$3, 0)),SUM(VLOOKUP($A7, LS_current!$B$4:$AY$139, LS_current!E$149, FALSE), VLOOKUP($A7, LS_current!$B$4:$AY$139,LS_current!E$149, FALSE))/2)</f>
        <v>16.774683731068393</v>
      </c>
      <c r="BP7" s="382">
        <f t="array" ref="BP7">IF($BI7=0, INDEX(LS_current!$D$4:$AY$139, MATCH('Staging Table'!$A7, LS_current!$B$4:$B$139, 0), MATCH(BP$4&amp;BP$5, LS_current!$D$2:$AY$2&amp;LS_current!$D$3:$AY$3, 0)),SUM(VLOOKUP($A7, LS_current!$B$4:$AY$139, LS_current!F$149, FALSE), VLOOKUP($A7, LS_current!$B$4:$AY$139,LS_current!F$149, FALSE))/2)</f>
        <v>-204.70994565957477</v>
      </c>
      <c r="BQ7" s="382">
        <f t="array" ref="BQ7">IF($BI7=0, INDEX(LS_current!$D$4:$AY$139, MATCH('Staging Table'!$A7, LS_current!$B$4:$B$139, 0), MATCH(BQ$4&amp;BQ$5, LS_current!$D$2:$AY$2&amp;LS_current!$D$3:$AY$3, 0)),SUM(VLOOKUP($A7, LS_current!$B$4:$AY$139, LS_current!G$149, FALSE), VLOOKUP($A7, LS_current!$B$4:$AY$139,LS_current!G$149, FALSE))/2)</f>
        <v>-104.50087916553417</v>
      </c>
      <c r="BR7" s="382">
        <f t="array" ref="BR7">IF($BI7=0, INDEX(LS_current!$D$4:$AY$139, MATCH('Staging Table'!$A7, LS_current!$B$4:$B$139, 0), MATCH(BR$4&amp;BR$5, LS_current!$D$2:$AY$2&amp;LS_current!$D$3:$AY$3, 0)),SUM(VLOOKUP($A7, LS_current!$B$4:$AY$139, LS_current!H$149, FALSE), VLOOKUP($A7, LS_current!$B$4:$AY$139,LS_current!H$149, FALSE))/2)</f>
        <v>-195.90900271774041</v>
      </c>
      <c r="BS7" s="382">
        <f t="array" ref="BS7">IF($BI7=0, INDEX(LS_current!$D$4:$AY$139, MATCH('Staging Table'!$A7, LS_current!$B$4:$B$139, 0), MATCH(BS$4&amp;BS$5, LS_current!$D$2:$AY$2&amp;LS_current!$D$3:$AY$3, 0)),SUM(VLOOKUP($A7, LS_current!$B$4:$AY$139, LS_current!I$149, FALSE), VLOOKUP($A7, LS_current!$B$4:$AY$139,LS_current!I$149, FALSE))/2)</f>
        <v>-100.17298544556255</v>
      </c>
      <c r="BT7" s="382">
        <f t="array" ref="BT7">IF($BI7=0, INDEX(LS_current!$D$4:$AY$139, MATCH('Staging Table'!$A7, LS_current!$B$4:$B$139, 0), MATCH(BT$4&amp;BT$5, LS_current!$D$2:$AY$2&amp;LS_current!$D$3:$AY$3, 0)),SUM(VLOOKUP($A7, LS_current!$B$4:$AY$139, LS_current!J$149, FALSE), VLOOKUP($A7, LS_current!$B$4:$AY$139,LS_current!J$149, FALSE))/2)</f>
        <v>-131.29233145805756</v>
      </c>
      <c r="BU7" s="382">
        <f t="array" ref="BU7">IF($BI7=0, INDEX(LS_current!$D$4:$AY$139, MATCH('Staging Table'!$A7, LS_current!$B$4:$B$139, 0), MATCH(BU$4&amp;BU$5, LS_current!$D$2:$AY$2&amp;LS_current!$D$3:$AY$3, 0)),SUM(VLOOKUP($A7, LS_current!$B$4:$AY$139, LS_current!K$149, FALSE), VLOOKUP($A7, LS_current!$B$4:$AY$139,LS_current!K$149, FALSE))/2)</f>
        <v>-86.580376972934388</v>
      </c>
      <c r="BV7" s="382">
        <f t="array" ref="BV7">IF($BI7=0, INDEX(LS_current!$D$4:$AY$139, MATCH('Staging Table'!$A7, LS_current!$B$4:$B$139, 0), MATCH(BV$4&amp;BV$5, LS_current!$D$2:$AY$2&amp;LS_current!$D$3:$AY$3, 0)),SUM(VLOOKUP($A7, LS_current!$B$4:$AY$139, LS_current!L$149, FALSE), VLOOKUP($A7, LS_current!$B$4:$AY$139,LS_current!L$149, FALSE))/2)</f>
        <v>-107.49354337265538</v>
      </c>
      <c r="BW7" s="382">
        <f t="array" ref="BW7">IF($BI7=0, INDEX(LS_current!$D$4:$AY$139, MATCH('Staging Table'!$A7, LS_current!$B$4:$B$139, 0), MATCH(BW$4&amp;BW$5, LS_current!$D$2:$AY$2&amp;LS_current!$D$3:$AY$3, 0)),SUM(VLOOKUP($A7, LS_current!$B$4:$AY$139, LS_current!M$149, FALSE), VLOOKUP($A7, LS_current!$B$4:$AY$139,LS_current!M$149, FALSE))/2)</f>
        <v>-66.352748571909984</v>
      </c>
      <c r="BX7" s="382">
        <f t="array" ref="BX7">IF($BI7=0, INDEX(LS_current!$D$4:$AY$139, MATCH('Staging Table'!$A7, LS_current!$B$4:$B$139, 0), MATCH(BX$4&amp;BX$5, LS_current!$D$2:$AY$2&amp;LS_current!$D$3:$AY$3, 0)),SUM(VLOOKUP($A7, LS_current!$B$4:$AY$139, LS_current!N$149, FALSE), VLOOKUP($A7, LS_current!$B$4:$AY$139,LS_current!N$149, FALSE))/2)</f>
        <v>-126.09649082662619</v>
      </c>
      <c r="BY7" s="382">
        <f t="array" ref="BY7">IF($BI7=0, INDEX(LS_current!$D$4:$AY$139, MATCH('Staging Table'!$A7, LS_current!$B$4:$B$139, 0), MATCH(BY$4&amp;BY$5, LS_current!$D$2:$AY$2&amp;LS_current!$D$3:$AY$3, 0)),SUM(VLOOKUP($A7, LS_current!$B$4:$AY$139, LS_current!O$149, FALSE), VLOOKUP($A7, LS_current!$B$4:$AY$139,LS_current!O$149, FALSE))/2)</f>
        <v>-74.816154409950997</v>
      </c>
      <c r="BZ7" s="382">
        <f t="array" ref="BZ7">IF($BI7=0, INDEX(LS_current!$D$4:$AY$139, MATCH('Staging Table'!$A7, LS_current!$B$4:$B$139, 0), MATCH(BZ$4&amp;BZ$5, LS_current!$D$2:$AY$2&amp;LS_current!$D$3:$AY$3, 0)),SUM(VLOOKUP($A7, LS_current!$B$4:$AY$139, LS_current!P$149, FALSE), VLOOKUP($A7, LS_current!$B$4:$AY$139,LS_current!P$149, FALSE))/2)</f>
        <v>-44.786440399120409</v>
      </c>
      <c r="CA7" s="382">
        <f t="array" ref="CA7">IF($BI7=0, INDEX(LS_current!$D$4:$AY$139, MATCH('Staging Table'!$A7, LS_current!$B$4:$B$139, 0), MATCH(CA$4&amp;CA$5, LS_current!$D$2:$AY$2&amp;LS_current!$D$3:$AY$3, 0)),SUM(VLOOKUP($A7, LS_current!$B$4:$AY$139, LS_current!Q$149, FALSE), VLOOKUP($A7, LS_current!$B$4:$AY$139,LS_current!Q$149, FALSE))/2)</f>
        <v>-15.886889145148373</v>
      </c>
      <c r="CB7" s="382">
        <f t="array" ref="CB7">IF($BI7=0, INDEX(LS_current!$D$4:$AY$139, MATCH('Staging Table'!$A7, LS_current!$B$4:$B$139, 0), MATCH(CB$4&amp;CB$5, LS_current!$D$2:$AY$2&amp;LS_current!$D$3:$AY$3, 0)),SUM(VLOOKUP($A7, LS_current!$B$4:$AY$139, LS_current!R$149, FALSE), VLOOKUP($A7, LS_current!$B$4:$AY$139,LS_current!R$149, FALSE))/2)</f>
        <v>-13.052251093290863</v>
      </c>
      <c r="CC7" s="382">
        <f t="array" ref="CC7">IF($BI7=0, INDEX(LS_current!$D$4:$AY$139, MATCH('Staging Table'!$A7, LS_current!$B$4:$B$139, 0), MATCH(CC$4&amp;CC$5, LS_current!$D$2:$AY$2&amp;LS_current!$D$3:$AY$3, 0)),SUM(VLOOKUP($A7, LS_current!$B$4:$AY$139, LS_current!S$149, FALSE), VLOOKUP($A7, LS_current!$B$4:$AY$139,LS_current!S$149, FALSE))/2)</f>
        <v>104.45844992021642</v>
      </c>
      <c r="CD7" s="382">
        <f t="array" ref="CD7">IF($BI7=0, INDEX(LS_current!$D$4:$AY$139, MATCH('Staging Table'!$A7, LS_current!$B$4:$B$139, 0), MATCH(CD$4&amp;CD$5, LS_current!$D$2:$AY$2&amp;LS_current!$D$3:$AY$3, 0)),SUM(VLOOKUP($A7, LS_current!$B$4:$AY$139, LS_current!T$149, FALSE), VLOOKUP($A7, LS_current!$B$4:$AY$139,LS_current!T$149, FALSE))/2)</f>
        <v>138.81306684726047</v>
      </c>
      <c r="CE7" s="382">
        <f t="array" ref="CE7">IF($BI7=0, INDEX(LS_current!$D$4:$AY$139, MATCH('Staging Table'!$A7, LS_current!$B$4:$B$139, 0), MATCH(CE$4&amp;CE$5, LS_current!$D$2:$AY$2&amp;LS_current!$D$3:$AY$3, 0)),SUM(VLOOKUP($A7, LS_current!$B$4:$AY$139, LS_current!U$149, FALSE), VLOOKUP($A7, LS_current!$B$4:$AY$139,LS_current!U$149, FALSE))/2)</f>
        <v>227.08267538181082</v>
      </c>
      <c r="CF7" s="382">
        <f t="array" ref="CF7">IF($BI7=0, INDEX(LS_current!$D$4:$AY$139, MATCH('Staging Table'!$A7, LS_current!$B$4:$B$139, 0), MATCH(CF$4&amp;CF$5, LS_current!$D$2:$AY$2&amp;LS_current!$D$3:$AY$3, 0)),SUM(VLOOKUP($A7, LS_current!$B$4:$AY$139, LS_current!V$149, FALSE), VLOOKUP($A7, LS_current!$B$4:$AY$139,LS_current!V$149, FALSE))/2)</f>
        <v>347.04913082577906</v>
      </c>
      <c r="CG7" s="382">
        <f t="array" ref="CG7">IF($BI7=0, INDEX(LS_current!$D$4:$AY$139, MATCH('Staging Table'!$A7, LS_current!$B$4:$B$139, 0), MATCH(CG$4&amp;CG$5, LS_current!$D$2:$AY$2&amp;LS_current!$D$3:$AY$3, 0)),SUM(VLOOKUP($A7, LS_current!$B$4:$AY$139, LS_current!W$149, FALSE), VLOOKUP($A7, LS_current!$B$4:$AY$139,LS_current!W$149, FALSE))/2)</f>
        <v>377.70529196916243</v>
      </c>
      <c r="CH7" s="382">
        <f t="array" ref="CH7">IF($BI7=0, INDEX(LS_current!$D$4:$AY$139, MATCH('Staging Table'!$A7, LS_current!$B$4:$B$139, 0), MATCH(CH$4&amp;CH$5, LS_current!$D$2:$AY$2&amp;LS_current!$D$3:$AY$3, 0)),SUM(VLOOKUP($A7, LS_current!$B$4:$AY$139, LS_current!X$149, FALSE), VLOOKUP($A7, LS_current!$B$4:$AY$139,LS_current!X$149, FALSE))/2)</f>
        <v>267.32357628438677</v>
      </c>
      <c r="CI7" s="382">
        <f t="array" ref="CI7">IF($BI7=0, INDEX(LS_current!$D$4:$AY$139, MATCH('Staging Table'!$A7, LS_current!$B$4:$B$139, 0), MATCH(CI$4&amp;CI$5, LS_current!$D$2:$AY$2&amp;LS_current!$D$3:$AY$3, 0)),SUM(VLOOKUP($A7, LS_current!$B$4:$AY$139, LS_current!Y$149, FALSE), VLOOKUP($A7, LS_current!$B$4:$AY$139,LS_current!Y$149, FALSE))/2)</f>
        <v>321.34687503782561</v>
      </c>
      <c r="CJ7" s="382">
        <f t="array" ref="CJ7">IF($BI7=0, INDEX(LS_current!$D$4:$AY$139, MATCH('Staging Table'!$A7, LS_current!$B$4:$B$139, 0), MATCH(CJ$4&amp;CJ$5, LS_current!$D$2:$AY$2&amp;LS_current!$D$3:$AY$3, 0)),SUM(VLOOKUP($A7, LS_current!$B$4:$AY$139, LS_current!Z$149, FALSE), VLOOKUP($A7, LS_current!$B$4:$AY$139,LS_current!Z$149, FALSE))/2)</f>
        <v>71.00436004847063</v>
      </c>
      <c r="CK7" s="382">
        <f t="array" ref="CK7">IF($BI7=0, INDEX(LS_current!$D$4:$AY$139, MATCH('Staging Table'!$A7, LS_current!$B$4:$B$139, 0), MATCH(CK$4&amp;CK$5, LS_current!$D$2:$AY$2&amp;LS_current!$D$3:$AY$3, 0)),SUM(VLOOKUP($A7, LS_current!$B$4:$AY$139, LS_current!AA$149, FALSE), VLOOKUP($A7, LS_current!$B$4:$AY$139,LS_current!AA$149, FALSE))/2)</f>
        <v>202.62101334684999</v>
      </c>
      <c r="CL7" s="384">
        <f t="array" ref="CL7">INDEX(Demand_current!$D$4:$AY$138, MATCH($A7, Demand_current!$B$4:$B$138, 0), MATCH(CL$4&amp;CL$5,Demand_current!$D$2:$AY$2&amp;Demand_current!$D$3:$AY$3, 0))/1000</f>
        <v>0.54351442307692299</v>
      </c>
      <c r="CM7" s="384">
        <f t="array" ref="CM7">INDEX(Demand_current!$D$4:$AY$138, MATCH($A7, Demand_current!$B$4:$B$138, 0), MATCH(CM$4&amp;CM$5,Demand_current!$D$2:$AY$2&amp;Demand_current!$D$3:$AY$3, 0))/1000</f>
        <v>0</v>
      </c>
      <c r="CN7" s="384">
        <f t="array" ref="CN7">INDEX(Demand_current!$D$4:$AY$138, MATCH($A7, Demand_current!$B$4:$B$138, 0), MATCH(CN$4&amp;CN$5,Demand_current!$D$2:$AY$2&amp;Demand_current!$D$3:$AY$3, 0))/1000</f>
        <v>0</v>
      </c>
      <c r="CO7" s="384">
        <f t="array" ref="CO7">INDEX(Demand_current!$D$4:$AY$138, MATCH($A7, Demand_current!$B$4:$B$138, 0), MATCH(CO$4&amp;CO$5,Demand_current!$D$2:$AY$2&amp;Demand_current!$D$3:$AY$3, 0))/1000</f>
        <v>0.24768269230769224</v>
      </c>
      <c r="CP7" s="384">
        <f t="array" ref="CP7">INDEX(Demand_current!$D$4:$AY$138, MATCH($A7, Demand_current!$B$4:$B$138, 0), MATCH(CP$4&amp;CP$5,Demand_current!$D$2:$AY$2&amp;Demand_current!$D$3:$AY$3, 0))/1000</f>
        <v>0.15025000000000011</v>
      </c>
      <c r="CQ7" s="384">
        <f t="array" ref="CQ7">INDEX(Demand_current!$D$4:$AY$138, MATCH($A7, Demand_current!$B$4:$B$138, 0), MATCH(CQ$4&amp;CQ$5,Demand_current!$D$2:$AY$2&amp;Demand_current!$D$3:$AY$3, 0))/1000</f>
        <v>0.25351620370370365</v>
      </c>
      <c r="CR7" s="384">
        <f t="array" ref="CR7">INDEX(Demand_current!$D$4:$AY$138, MATCH($A7, Demand_current!$B$4:$B$138, 0), MATCH(CR$4&amp;CR$5,Demand_current!$D$2:$AY$2&amp;Demand_current!$D$3:$AY$3, 0))/1000</f>
        <v>0.70718000000000014</v>
      </c>
      <c r="CS7" s="384">
        <f t="array" ref="CS7">INDEX(Demand_current!$D$4:$AY$138, MATCH($A7, Demand_current!$B$4:$B$138, 0), MATCH(CS$4&amp;CS$5,Demand_current!$D$2:$AY$2&amp;Demand_current!$D$3:$AY$3, 0))/1000</f>
        <v>0.62824519230769238</v>
      </c>
      <c r="CT7" s="384">
        <f t="array" ref="CT7">INDEX(Demand_current!$D$4:$AY$138, MATCH($A7, Demand_current!$B$4:$B$138, 0), MATCH(CT$4&amp;CT$5,Demand_current!$D$2:$AY$2&amp;Demand_current!$D$3:$AY$3, 0))/1000</f>
        <v>0.54962980769230785</v>
      </c>
      <c r="CU7" s="384">
        <f t="array" ref="CU7">INDEX(Demand_current!$D$4:$AY$138, MATCH($A7, Demand_current!$B$4:$B$138, 0), MATCH(CU$4&amp;CU$5,Demand_current!$D$2:$AY$2&amp;Demand_current!$D$3:$AY$3, 0))/1000</f>
        <v>0.61463999999999985</v>
      </c>
      <c r="CV7" s="384">
        <f t="array" ref="CV7">INDEX(Demand_current!$D$4:$AY$138, MATCH($A7, Demand_current!$B$4:$B$138, 0), MATCH(CV$4&amp;CV$5,Demand_current!$D$2:$AY$2&amp;Demand_current!$D$3:$AY$3, 0))/1000</f>
        <v>0.35405092592592613</v>
      </c>
      <c r="CW7" s="384">
        <f t="array" ref="CW7">INDEX(Demand_current!$D$4:$AY$138, MATCH($A7, Demand_current!$B$4:$B$138, 0), MATCH(CW$4&amp;CW$5,Demand_current!$D$2:$AY$2&amp;Demand_current!$D$3:$AY$3, 0))/1000</f>
        <v>0.54384114583333354</v>
      </c>
      <c r="CX7" s="384">
        <f>IF(D7=0,IF(C7=0,MAX(0,DA7 - (VLOOKUP($A7,TOCA_current!$A$2:$AI$137,MATCH("RHWM 2018",TOCA_current!$A$2:$AI$2,0),FALSE)*$BH$2)), 0),0)</f>
        <v>737.86507206962779</v>
      </c>
      <c r="CY7" s="427">
        <f>VLOOKUP($A7,REP_current!$A$1:$D$135,MATCH("FY "&amp;$BH$1&amp; " Total Refund",REP_current!$A$1:$D$1,0),0)</f>
        <v>3220.9875879357182</v>
      </c>
      <c r="CZ7" s="432">
        <f>MIN(VLOOKUP($A7,TOCA_current!$A$2:$AI$137,MATCH("TRL - NLSL - Existing Resource "&amp;$BH$1,TOCA_current!$A$2:$AI$2,0),FALSE)*$BH$2, VLOOKUP($A7,TOCA_current!$A$2:$AI$137,MATCH("RHWM 2018",TOCA_current!$A$2:$AI$2,0),FALSE)*$BH$2)</f>
        <v>4940.6399999999994</v>
      </c>
      <c r="DA7" s="397">
        <f>SUM(BN7:CK7)+(BH7*RT1SC!$C$4*$BH$2)</f>
        <v>5678.5050720696272</v>
      </c>
      <c r="DB7" s="432">
        <f>VLOOKUP($A7,TOCA_current!$A$2:$AI$137,MATCH("Above RHWM Not Served with LS "&amp;$BH$1,TOCA_current!$A$2:$AI$2,0),FALSE)*$BH$2</f>
        <v>0</v>
      </c>
      <c r="DC7" s="401">
        <f t="shared" ref="DC7:DC70" si="11">DA7-CZ7</f>
        <v>737.86507206962779</v>
      </c>
      <c r="DD7" s="397">
        <f>(VLOOKUP($A7,TOCA_current!$A$2:$AI$137,MATCH("RHWM 2018",TOCA_current!$A$2:$AI$2,0),FALSE)*$BH$2) - $CZ7</f>
        <v>0</v>
      </c>
      <c r="DE7" s="397">
        <f t="shared" ref="DE7:DE70" si="12">IF(DC7&gt;0,IF(DD7&gt;0,(-1)*MIN(DC7,DD7),0),0)</f>
        <v>0</v>
      </c>
      <c r="DF7" s="397">
        <f t="shared" ref="DF7:DF70" si="13">IF(DC7&lt;0,IF(DB7&lt;ABS(DC7),MAX(0,ABS($DC7)-(DB7)),0),0)</f>
        <v>0</v>
      </c>
      <c r="DG7" s="397">
        <f t="shared" ref="DG7:DG70" si="14">IF(AND(DB7&gt;0,DD7&gt;0),IF(AND(DC7&lt;=0,ABS(DC7)&lt;DB7),(-1)*MIN(DB7,DB7-ABS(DC7),DD7),IF(AND(DC7&gt;0,DC7&lt;DD7),(-1)*MIN(DB7,DD7-DC7),0)),0)</f>
        <v>0</v>
      </c>
      <c r="DH7" s="397">
        <f t="shared" ref="DH7:DH70" si="15">IF($D7=0,SUM(DE7:DG7),0)</f>
        <v>0</v>
      </c>
    </row>
    <row r="8" spans="1:112">
      <c r="A8" s="274">
        <v>10024</v>
      </c>
      <c r="B8" s="275" t="s">
        <v>9</v>
      </c>
      <c r="C8" s="397">
        <v>0</v>
      </c>
      <c r="D8" s="397">
        <v>1</v>
      </c>
      <c r="E8" s="205">
        <f>VLOOKUP($A8,TOCA_previous!$A$2:$AI$137,MATCH(E$4,TOCA_previous!$A$2:$AI$2,0),FALSE)</f>
        <v>2.8585800000000001E-2</v>
      </c>
      <c r="F8" s="206">
        <f>VLOOKUP($A8,TOCA_previous!$A$2:$AI$137,MATCH(F$4,TOCA_previous!$A$2:$AI$2,0),FALSE)</f>
        <v>1.4887700000000002E-2</v>
      </c>
      <c r="G8" s="206">
        <f t="shared" si="0"/>
        <v>1.36981E-2</v>
      </c>
      <c r="H8" s="206">
        <f>VLOOKUP($A8,TOCA_previous!$A$2:$AI$137,MATCH(H$4,TOCA_previous!$A$2:$AI$2,0),FALSE)</f>
        <v>0</v>
      </c>
      <c r="I8" s="206">
        <f t="shared" si="1"/>
        <v>0</v>
      </c>
      <c r="J8" s="206">
        <f t="shared" si="2"/>
        <v>0</v>
      </c>
      <c r="K8" s="381">
        <f>VLOOKUP(A8, IRD!$A$5:$C$139, 3, FALSE)</f>
        <v>312239.2</v>
      </c>
      <c r="L8" s="382">
        <f>IF($G8=0, INDEX(LS_previous!$D$4:$AY$138, MATCH('Staging Table'!$A8, LS_previous!$B$4:$B$138, 0), MATCH(L$4&amp;L$5, LS_previous!$D$2:$AY$2&amp;LS_previous!$D$3:$AY$3, 0)),SUM(VLOOKUP($A8, LS_previous!$B$4:$AY$138, LS_previous!D$149, FALSE), VLOOKUP('Staging Table'!$A8, LS_previous!$B$4:$AY$138,LS_previous!AB$149, FALSE))/2)</f>
        <v>-11381.58176519864</v>
      </c>
      <c r="M8" s="382">
        <f t="array" ref="M8">IF($G8=0, INDEX(LS_previous!$D$4:$AY$138, MATCH('Staging Table'!$A8, LS_previous!$B$4:$B$138, 0), MATCH(M$4&amp;M$5, LS_previous!$D$2:$AY$2&amp;LS_previous!$D$3:$AY$3, 0)),SUM(VLOOKUP($A8, LS_previous!$B$4:$AY$138, LS_previous!E$149, FALSE), VLOOKUP('Staging Table'!$A8, LS_previous!$B$4:$AY$138,LS_previous!AC$149, FALSE))/2)</f>
        <v>-228.99411081899234</v>
      </c>
      <c r="N8" s="382">
        <f t="array" ref="N8">IF($G8=0, INDEX(LS_previous!$D$4:$AY$138, MATCH('Staging Table'!$A8, LS_previous!$B$4:$B$138, 0), MATCH(N$4&amp;N$5, LS_previous!$D$2:$AY$2&amp;LS_previous!$D$3:$AY$3, 0)),SUM(VLOOKUP($A8, LS_previous!$B$4:$AY$138, LS_previous!F$149, FALSE), VLOOKUP('Staging Table'!$A8, LS_previous!$B$4:$AY$138,LS_previous!AD$149, FALSE))/2)</f>
        <v>-19035.587849672225</v>
      </c>
      <c r="O8" s="382">
        <f t="array" ref="O8">IF($G8=0, INDEX(LS_previous!$D$4:$AY$138, MATCH('Staging Table'!$A8, LS_previous!$B$4:$B$138, 0), MATCH(O$4&amp;O$5, LS_previous!$D$2:$AY$2&amp;LS_previous!$D$3:$AY$3, 0)),SUM(VLOOKUP($A8, LS_previous!$B$4:$AY$138, LS_previous!G$149, FALSE), VLOOKUP('Staging Table'!$A8, LS_previous!$B$4:$AY$138,LS_previous!AE$149, FALSE))/2)</f>
        <v>-3492.6044179583041</v>
      </c>
      <c r="P8" s="382">
        <f t="array" ref="P8">IF($G8=0, INDEX(LS_previous!$D$4:$AY$138, MATCH('Staging Table'!$A8, LS_previous!$B$4:$B$138, 0), MATCH(P$4&amp;P$5, LS_previous!$D$2:$AY$2&amp;LS_previous!$D$3:$AY$3, 0)),SUM(VLOOKUP($A8, LS_previous!$B$4:$AY$138, LS_previous!H$149, FALSE), VLOOKUP('Staging Table'!$A8, LS_previous!$B$4:$AY$138,LS_previous!AF$149, FALSE))/2)</f>
        <v>-10085.681131577898</v>
      </c>
      <c r="Q8" s="382">
        <f t="array" ref="Q8">IF($G8=0, INDEX(LS_previous!$D$4:$AY$138, MATCH('Staging Table'!$A8, LS_previous!$B$4:$B$138, 0), MATCH(Q$4&amp;Q$5, LS_previous!$D$2:$AY$2&amp;LS_previous!$D$3:$AY$3, 0)),SUM(VLOOKUP($A8, LS_previous!$B$4:$AY$138, LS_previous!I$149, FALSE), VLOOKUP('Staging Table'!$A8, LS_previous!$B$4:$AY$138,LS_previous!AG$149, FALSE))/2)</f>
        <v>729.2991872679122</v>
      </c>
      <c r="R8" s="382">
        <f t="array" ref="R8">IF($G8=0, INDEX(LS_previous!$D$4:$AY$138, MATCH('Staging Table'!$A8, LS_previous!$B$4:$B$138, 0), MATCH(R$4&amp;R$5, LS_previous!$D$2:$AY$2&amp;LS_previous!$D$3:$AY$3, 0)),SUM(VLOOKUP($A8, LS_previous!$B$4:$AY$138, LS_previous!J$149, FALSE), VLOOKUP('Staging Table'!$A8, LS_previous!$B$4:$AY$138,LS_previous!AH$149, FALSE))/2)</f>
        <v>-1345.2113112866464</v>
      </c>
      <c r="S8" s="382">
        <f t="array" ref="S8">IF($G8=0, INDEX(LS_previous!$D$4:$AY$138, MATCH('Staging Table'!$A8, LS_previous!$B$4:$B$138, 0), MATCH(S$4&amp;S$5, LS_previous!$D$2:$AY$2&amp;LS_previous!$D$3:$AY$3, 0)),SUM(VLOOKUP($A8, LS_previous!$B$4:$AY$138, LS_previous!K$149, FALSE), VLOOKUP('Staging Table'!$A8, LS_previous!$B$4:$AY$138,LS_previous!AI$149, FALSE))/2)</f>
        <v>9379.5693387798565</v>
      </c>
      <c r="T8" s="382">
        <f t="array" ref="T8">IF($G8=0, INDEX(LS_previous!$D$4:$AY$138, MATCH('Staging Table'!$A8, LS_previous!$B$4:$B$138, 0), MATCH(T$4&amp;T$5, LS_previous!$D$2:$AY$2&amp;LS_previous!$D$3:$AY$3, 0)),SUM(VLOOKUP($A8, LS_previous!$B$4:$AY$138, LS_previous!L$149, FALSE), VLOOKUP('Staging Table'!$A8, LS_previous!$B$4:$AY$138,LS_previous!AJ$149, FALSE))/2)</f>
        <v>-5482.4417137943419</v>
      </c>
      <c r="U8" s="382">
        <f t="array" ref="U8">IF($G8=0, INDEX(LS_previous!$D$4:$AY$138, MATCH('Staging Table'!$A8, LS_previous!$B$4:$B$138, 0), MATCH(U$4&amp;U$5, LS_previous!$D$2:$AY$2&amp;LS_previous!$D$3:$AY$3, 0)),SUM(VLOOKUP($A8, LS_previous!$B$4:$AY$138, LS_previous!M$149, FALSE), VLOOKUP('Staging Table'!$A8, LS_previous!$B$4:$AY$138,LS_previous!AK$149, FALSE))/2)</f>
        <v>1689.7083200254565</v>
      </c>
      <c r="V8" s="382">
        <f t="array" ref="V8">IF($G8=0, INDEX(LS_previous!$D$4:$AY$138, MATCH('Staging Table'!$A8, LS_previous!$B$4:$B$138, 0), MATCH(V$4&amp;V$5, LS_previous!$D$2:$AY$2&amp;LS_previous!$D$3:$AY$3, 0)),SUM(VLOOKUP($A8, LS_previous!$B$4:$AY$138, LS_previous!N$149, FALSE), VLOOKUP('Staging Table'!$A8, LS_previous!$B$4:$AY$138,LS_previous!AL$149, FALSE))/2)</f>
        <v>-12641.471047784034</v>
      </c>
      <c r="W8" s="382">
        <f t="array" ref="W8">IF($G8=0, INDEX(LS_previous!$D$4:$AY$138, MATCH('Staging Table'!$A8, LS_previous!$B$4:$B$138, 0), MATCH(W$4&amp;W$5, LS_previous!$D$2:$AY$2&amp;LS_previous!$D$3:$AY$3, 0)),SUM(VLOOKUP($A8, LS_previous!$B$4:$AY$138, LS_previous!O$149, FALSE), VLOOKUP('Staging Table'!$A8, LS_previous!$B$4:$AY$138,LS_previous!AM$149, FALSE))/2)</f>
        <v>-3864.5665221460022</v>
      </c>
      <c r="X8" s="382">
        <f t="array" ref="X8">IF($G8=0, INDEX(LS_previous!$D$4:$AY$138, MATCH('Staging Table'!$A8, LS_previous!$B$4:$B$138, 0), MATCH(X$4&amp;X$5, LS_previous!$D$2:$AY$2&amp;LS_previous!$D$3:$AY$3, 0)),SUM(VLOOKUP($A8, LS_previous!$B$4:$AY$138, LS_previous!P$149, FALSE), VLOOKUP('Staging Table'!$A8, LS_previous!$B$4:$AY$138,LS_previous!AN$149, FALSE))/2)</f>
        <v>-2996.561559854701</v>
      </c>
      <c r="Y8" s="382">
        <f t="array" ref="Y8">IF($G8=0, INDEX(LS_previous!$D$4:$AY$138, MATCH('Staging Table'!$A8, LS_previous!$B$4:$B$138, 0), MATCH(Y$4&amp;Y$5, LS_previous!$D$2:$AY$2&amp;LS_previous!$D$3:$AY$3, 0)),SUM(VLOOKUP($A8, LS_previous!$B$4:$AY$138, LS_previous!Q$149, FALSE), VLOOKUP('Staging Table'!$A8, LS_previous!$B$4:$AY$138,LS_previous!AO$149, FALSE))/2)</f>
        <v>3745.1830258589052</v>
      </c>
      <c r="Z8" s="382">
        <f t="array" ref="Z8">IF($G8=0, INDEX(LS_previous!$D$4:$AY$138, MATCH('Staging Table'!$A8, LS_previous!$B$4:$B$138, 0), MATCH(Z$4&amp;Z$5, LS_previous!$D$2:$AY$2&amp;LS_previous!$D$3:$AY$3, 0)),SUM(VLOOKUP($A8, LS_previous!$B$4:$AY$138, LS_previous!R$149, FALSE), VLOOKUP('Staging Table'!$A8, LS_previous!$B$4:$AY$138,LS_previous!AP$149, FALSE))/2)</f>
        <v>-20092.138032208764</v>
      </c>
      <c r="AA8" s="382">
        <f t="array" ref="AA8">IF($G8=0, INDEX(LS_previous!$D$4:$AY$138, MATCH('Staging Table'!$A8, LS_previous!$B$4:$B$138, 0), MATCH(AA$4&amp;AA$5, LS_previous!$D$2:$AY$2&amp;LS_previous!$D$3:$AY$3, 0)),SUM(VLOOKUP($A8, LS_previous!$B$4:$AY$138, LS_previous!S$149, FALSE), VLOOKUP('Staging Table'!$A8, LS_previous!$B$4:$AY$138,LS_previous!AQ$149, FALSE))/2)</f>
        <v>636.58046009908503</v>
      </c>
      <c r="AB8" s="382">
        <f t="array" ref="AB8">IF($G8=0, INDEX(LS_previous!$D$4:$AY$138, MATCH('Staging Table'!$A8, LS_previous!$B$4:$B$138, 0), MATCH(AB$4&amp;AB$5, LS_previous!$D$2:$AY$2&amp;LS_previous!$D$3:$AY$3, 0)),SUM(VLOOKUP($A8, LS_previous!$B$4:$AY$138, LS_previous!T$149, FALSE), VLOOKUP('Staging Table'!$A8, LS_previous!$B$4:$AY$138,LS_previous!AR$149, FALSE))/2)</f>
        <v>2570.0352739299342</v>
      </c>
      <c r="AC8" s="382">
        <f t="array" ref="AC8">IF($G8=0, INDEX(LS_previous!$D$4:$AY$138, MATCH('Staging Table'!$A8, LS_previous!$B$4:$B$138, 0), MATCH(AC$4&amp;AC$5, LS_previous!$D$2:$AY$2&amp;LS_previous!$D$3:$AY$3, 0)),SUM(VLOOKUP($A8, LS_previous!$B$4:$AY$138, LS_previous!U$149, FALSE), VLOOKUP('Staging Table'!$A8, LS_previous!$B$4:$AY$138,LS_previous!AS$149, FALSE))/2)</f>
        <v>10395.975789738746</v>
      </c>
      <c r="AD8" s="382">
        <f t="array" ref="AD8">IF($G8=0, INDEX(LS_previous!$D$4:$AY$138, MATCH('Staging Table'!$A8, LS_previous!$B$4:$B$138, 0), MATCH(AD$4&amp;AD$5, LS_previous!$D$2:$AY$2&amp;LS_previous!$D$3:$AY$3, 0)),SUM(VLOOKUP($A8, LS_previous!$B$4:$AY$138, LS_previous!V$149, FALSE), VLOOKUP('Staging Table'!$A8, LS_previous!$B$4:$AY$138,LS_previous!AT$149, FALSE))/2)</f>
        <v>13198.297343991992</v>
      </c>
      <c r="AE8" s="382">
        <f t="array" ref="AE8">IF($G8=0, INDEX(LS_previous!$D$4:$AY$138, MATCH('Staging Table'!$A8, LS_previous!$B$4:$B$138, 0), MATCH(AE$4&amp;AE$5, LS_previous!$D$2:$AY$2&amp;LS_previous!$D$3:$AY$3, 0)),SUM(VLOOKUP($A8, LS_previous!$B$4:$AY$138, LS_previous!W$149, FALSE), VLOOKUP('Staging Table'!$A8, LS_previous!$B$4:$AY$138,LS_previous!AU$149, FALSE))/2)</f>
        <v>26974.645613523211</v>
      </c>
      <c r="AF8" s="382">
        <f t="array" ref="AF8">IF($G8=0, INDEX(LS_previous!$D$4:$AY$138, MATCH('Staging Table'!$A8, LS_previous!$B$4:$B$138, 0), MATCH(AF$4&amp;AF$5, LS_previous!$D$2:$AY$2&amp;LS_previous!$D$3:$AY$3, 0)),SUM(VLOOKUP($A8, LS_previous!$B$4:$AY$138, LS_previous!X$149, FALSE), VLOOKUP('Staging Table'!$A8, LS_previous!$B$4:$AY$138,LS_previous!AV$149, FALSE))/2)</f>
        <v>5750.4424447676247</v>
      </c>
      <c r="AG8" s="382">
        <f t="array" ref="AG8">IF($G8=0, INDEX(LS_previous!$D$4:$AY$138, MATCH('Staging Table'!$A8, LS_previous!$B$4:$B$138, 0), MATCH(AG$4&amp;AG$5, LS_previous!$D$2:$AY$2&amp;LS_previous!$D$3:$AY$3, 0)),SUM(VLOOKUP($A8, LS_previous!$B$4:$AY$138, LS_previous!Y$149, FALSE), VLOOKUP('Staging Table'!$A8, LS_previous!$B$4:$AY$138,LS_previous!AW$149, FALSE))/2)</f>
        <v>15154.186019844426</v>
      </c>
      <c r="AH8" s="382">
        <f t="array" ref="AH8">IF($G8=0, INDEX(LS_previous!$D$4:$AY$138, MATCH('Staging Table'!$A8, LS_previous!$B$4:$B$138, 0), MATCH(AH$4&amp;AH$5, LS_previous!$D$2:$AY$2&amp;LS_previous!$D$3:$AY$3, 0)),SUM(VLOOKUP($A8, LS_previous!$B$4:$AY$138, LS_previous!Z$149, FALSE), VLOOKUP('Staging Table'!$A8, LS_previous!$B$4:$AY$138,LS_previous!AX$149, FALSE))/2)</f>
        <v>-3684.6283468861293</v>
      </c>
      <c r="AI8" s="382">
        <f t="array" ref="AI8">IF($G8=0, INDEX(LS_previous!$D$4:$AY$138, MATCH('Staging Table'!$A8, LS_previous!$B$4:$B$138, 0), MATCH(AI$4&amp;AI$5, LS_previous!$D$2:$AY$2&amp;LS_previous!$D$3:$AY$3, 0)),SUM(VLOOKUP($A8, LS_previous!$B$4:$AY$138, LS_previous!AA$149, FALSE), VLOOKUP('Staging Table'!$A8, LS_previous!$B$4:$AY$138,LS_previous!AY$149, FALSE))/2)</f>
        <v>4106.9246136272322</v>
      </c>
      <c r="AJ8" s="384">
        <f t="array" ref="AJ8">INDEX(Demand_previous!$D$4:$AY$138, MATCH('Staging Table'!$A8, Demand_previous!$B$4:$B$138, 0), MATCH(AJ$4&amp;AJ$5,Demand_previous!$D$2:$AY$2&amp;Demand_previous!$D$3:$AY$3, 0))/1000</f>
        <v>0</v>
      </c>
      <c r="AK8" s="384">
        <f t="array" ref="AK8">INDEX(Demand_previous!$D$4:$AY$138, MATCH('Staging Table'!$A8, Demand_previous!$B$4:$B$138, 0), MATCH(AK$4&amp;AK$5,Demand_previous!$D$2:$AY$2&amp;Demand_previous!$D$3:$AY$3, 0))/1000</f>
        <v>0</v>
      </c>
      <c r="AL8" s="384">
        <f t="array" ref="AL8">INDEX(Demand_previous!$D$4:$AY$138, MATCH('Staging Table'!$A8, Demand_previous!$B$4:$B$138, 0), MATCH(AL$4&amp;AL$5,Demand_previous!$D$2:$AY$2&amp;Demand_previous!$D$3:$AY$3, 0))/1000</f>
        <v>0</v>
      </c>
      <c r="AM8" s="384">
        <f t="array" ref="AM8">INDEX(Demand_previous!$D$4:$AY$138, MATCH('Staging Table'!$A8, Demand_previous!$B$4:$B$138, 0), MATCH(AM$4&amp;AM$5,Demand_previous!$D$2:$AY$2&amp;Demand_previous!$D$3:$AY$3, 0))/1000</f>
        <v>0</v>
      </c>
      <c r="AN8" s="384">
        <f t="array" ref="AN8">INDEX(Demand_previous!$D$4:$AY$138, MATCH('Staging Table'!$A8, Demand_previous!$B$4:$B$138, 0), MATCH(AN$4&amp;AN$5,Demand_previous!$D$2:$AY$2&amp;Demand_previous!$D$3:$AY$3, 0))/1000</f>
        <v>0</v>
      </c>
      <c r="AO8" s="384">
        <f t="array" ref="AO8">INDEX(Demand_previous!$D$4:$AY$138, MATCH('Staging Table'!$A8, Demand_previous!$B$4:$B$138, 0), MATCH(AO$4&amp;AO$5,Demand_previous!$D$2:$AY$2&amp;Demand_previous!$D$3:$AY$3, 0))/1000</f>
        <v>0</v>
      </c>
      <c r="AP8" s="384">
        <f t="array" ref="AP8">INDEX(Demand_previous!$D$4:$AY$138, MATCH('Staging Table'!$A8, Demand_previous!$B$4:$B$138, 0), MATCH(AP$4&amp;AP$5,Demand_previous!$D$2:$AY$2&amp;Demand_previous!$D$3:$AY$3, 0))/1000</f>
        <v>0</v>
      </c>
      <c r="AQ8" s="384">
        <f t="array" ref="AQ8">INDEX(Demand_previous!$D$4:$AY$138, MATCH('Staging Table'!$A8, Demand_previous!$B$4:$B$138, 0), MATCH(AQ$4&amp;AQ$5,Demand_previous!$D$2:$AY$2&amp;Demand_previous!$D$3:$AY$3, 0))/1000</f>
        <v>0</v>
      </c>
      <c r="AR8" s="384">
        <f t="array" ref="AR8">INDEX(Demand_previous!$D$4:$AY$138, MATCH('Staging Table'!$A8, Demand_previous!$B$4:$B$138, 0), MATCH(AR$4&amp;AR$5,Demand_previous!$D$2:$AY$2&amp;Demand_previous!$D$3:$AY$3, 0))/1000</f>
        <v>0</v>
      </c>
      <c r="AS8" s="384">
        <f t="array" ref="AS8">INDEX(Demand_previous!$D$4:$AY$138, MATCH('Staging Table'!$A8, Demand_previous!$B$4:$B$138, 0), MATCH(AS$4&amp;AS$5,Demand_previous!$D$2:$AY$2&amp;Demand_previous!$D$3:$AY$3, 0))/1000</f>
        <v>0</v>
      </c>
      <c r="AT8" s="384">
        <f t="array" ref="AT8">INDEX(Demand_previous!$D$4:$AY$138, MATCH('Staging Table'!$A8, Demand_previous!$B$4:$B$138, 0), MATCH(AT$4&amp;AT$5,Demand_previous!$D$2:$AY$2&amp;Demand_previous!$D$3:$AY$3, 0))/1000</f>
        <v>0</v>
      </c>
      <c r="AU8" s="384">
        <f t="array" ref="AU8">INDEX(Demand_previous!$D$4:$AY$138, MATCH('Staging Table'!$A8, Demand_previous!$B$4:$B$138, 0), MATCH(AU$4&amp;AU$5,Demand_previous!$D$2:$AY$2&amp;Demand_previous!$D$3:$AY$3, 0))/1000</f>
        <v>0</v>
      </c>
      <c r="AV8" s="384">
        <f>IF($D8=0,IF(C8=0, MAX(AY8 - (VLOOKUP($A8,TOCA_previous!$A$2:$AI$137,MATCH("RHWM 2016",TOCA_previous!$A$2:$AI$2,0),FALSE)*$F$2*TOCA_previous!C5),0),0), 0)</f>
        <v>0</v>
      </c>
      <c r="AW8" s="427">
        <f>VLOOKUP($A8,REP_previous!$A$1:$D$135,MATCH("FY "&amp;$F$1&amp; " Total Refund",REP_previous!$A$1:$D$1,0),0)</f>
        <v>2191167.7605235497</v>
      </c>
      <c r="AX8" s="398">
        <f>MIN(VLOOKUP($A8,TOCA_previous!$A$2:$AI$137,MATCH("TRL - NLSL - Exisiting Resource "&amp;$F$1,TOCA_previous!$A$2:$AI$2,0),FALSE)*$F$2,(VLOOKUP($A8,TOCA_previous!$A$2:$AI$137,MATCH("RHWM 2016",TOCA_previous!$A$2:$AI$2,0),FALSE)*$F$2))</f>
        <v>1753435.7279999999</v>
      </c>
      <c r="AY8" s="384">
        <f>SUM(L8:AI8)+(F8*RT1SC!$C$3*$F$2)</f>
        <v>913202.24250899581</v>
      </c>
      <c r="AZ8" s="398">
        <f>VLOOKUP($A8,TOCA_previous!$A$2:$AI$137,MATCH("Above RHWM Not Served with LS "&amp;$F$1,TOCA_previous!$A$2:$AI$2,0),FALSE)*$F$2</f>
        <v>41890.896000000001</v>
      </c>
      <c r="BA8" s="206">
        <f t="shared" si="3"/>
        <v>-840233.48549100407</v>
      </c>
      <c r="BB8" s="399">
        <f>(VLOOKUP($A8,TOCA_previous!$A$2:$AI$137,MATCH("RHWM 2016",TOCA_previous!$A$2:$AI$2,0),FALSE)*$F$2) - $AX8</f>
        <v>0</v>
      </c>
      <c r="BC8" s="206">
        <f t="shared" si="4"/>
        <v>0</v>
      </c>
      <c r="BD8" s="400">
        <f t="shared" si="5"/>
        <v>798342.58949100412</v>
      </c>
      <c r="BE8" s="392">
        <f t="shared" si="6"/>
        <v>0</v>
      </c>
      <c r="BF8" s="399">
        <f t="shared" si="7"/>
        <v>0</v>
      </c>
      <c r="BG8" s="206">
        <f>VLOOKUP($A8,TOCA_current!$A$2:$AI$137,MATCH(BG$4,TOCA_current!$A$2:$AI$2,0),FALSE)</f>
        <v>2.8517399999999998E-2</v>
      </c>
      <c r="BH8" s="206">
        <f>VLOOKUP($A8,TOCA_current!$A$2:$AI$137,MATCH(BH$4,TOCA_current!$A$2:$AI$2,0),FALSE)</f>
        <v>1.4830899999999998E-2</v>
      </c>
      <c r="BI8" s="391">
        <f t="shared" si="8"/>
        <v>1.3686500000000001E-2</v>
      </c>
      <c r="BJ8" s="206">
        <f>VLOOKUP($A8,TOCA_current!A4:BG139,MATCH(BJ$4,TOCA_current!$A$2:$BG$2,0),FALSE)</f>
        <v>0</v>
      </c>
      <c r="BK8" s="206">
        <f t="shared" si="9"/>
        <v>0</v>
      </c>
      <c r="BL8" s="206">
        <f t="shared" si="10"/>
        <v>0</v>
      </c>
      <c r="BM8" s="381">
        <f>VLOOKUP($A8,IRD!$A$4:$G$139, 7, FALSE)</f>
        <v>312239.2</v>
      </c>
      <c r="BN8" s="382">
        <f t="array" ref="BN8">IF($BI8=0, INDEX(LS_current!$D$4:$AY$139, MATCH('Staging Table'!$A8, LS_current!$B$4:$B$139, 0), MATCH(BN$4&amp;BN$5, LS_current!$D$2:$AY$2&amp;LS_current!$D$3:$AY$3, 0)),SUM(VLOOKUP($A8, LS_current!$B$4:$AY$139, LS_current!D$149, FALSE), VLOOKUP($A8, LS_current!$B$4:$AY$139,LS_current!D$149, FALSE))/2)</f>
        <v>-12781.552816861622</v>
      </c>
      <c r="BO8" s="382">
        <f t="array" ref="BO8">IF($BI8=0, INDEX(LS_current!$D$4:$AY$139, MATCH('Staging Table'!$A8, LS_current!$B$4:$B$139, 0), MATCH(BO$4&amp;BO$5, LS_current!$D$2:$AY$2&amp;LS_current!$D$3:$AY$3, 0)),SUM(VLOOKUP($A8, LS_current!$B$4:$AY$139, LS_current!E$149, FALSE), VLOOKUP($A8, LS_current!$B$4:$AY$139,LS_current!E$149, FALSE))/2)</f>
        <v>1273.8688466391941</v>
      </c>
      <c r="BP8" s="382">
        <f t="array" ref="BP8">IF($BI8=0, INDEX(LS_current!$D$4:$AY$139, MATCH('Staging Table'!$A8, LS_current!$B$4:$B$139, 0), MATCH(BP$4&amp;BP$5, LS_current!$D$2:$AY$2&amp;LS_current!$D$3:$AY$3, 0)),SUM(VLOOKUP($A8, LS_current!$B$4:$AY$139, LS_current!F$149, FALSE), VLOOKUP($A8, LS_current!$B$4:$AY$139,LS_current!F$149, FALSE))/2)</f>
        <v>-20155.423247322498</v>
      </c>
      <c r="BQ8" s="382">
        <f t="array" ref="BQ8">IF($BI8=0, INDEX(LS_current!$D$4:$AY$139, MATCH('Staging Table'!$A8, LS_current!$B$4:$B$139, 0), MATCH(BQ$4&amp;BQ$5, LS_current!$D$2:$AY$2&amp;LS_current!$D$3:$AY$3, 0)),SUM(VLOOKUP($A8, LS_current!$B$4:$AY$139, LS_current!G$149, FALSE), VLOOKUP($A8, LS_current!$B$4:$AY$139,LS_current!G$149, FALSE))/2)</f>
        <v>-4505.3408437945873</v>
      </c>
      <c r="BR8" s="382">
        <f t="array" ref="BR8">IF($BI8=0, INDEX(LS_current!$D$4:$AY$139, MATCH('Staging Table'!$A8, LS_current!$B$4:$B$139, 0), MATCH(BR$4&amp;BR$5, LS_current!$D$2:$AY$2&amp;LS_current!$D$3:$AY$3, 0)),SUM(VLOOKUP($A8, LS_current!$B$4:$AY$139, LS_current!H$149, FALSE), VLOOKUP($A8, LS_current!$B$4:$AY$139,LS_current!H$149, FALSE))/2)</f>
        <v>-14096.998927420384</v>
      </c>
      <c r="BS8" s="382">
        <f t="array" ref="BS8">IF($BI8=0, INDEX(LS_current!$D$4:$AY$139, MATCH('Staging Table'!$A8, LS_current!$B$4:$B$139, 0), MATCH(BS$4&amp;BS$5, LS_current!$D$2:$AY$2&amp;LS_current!$D$3:$AY$3, 0)),SUM(VLOOKUP($A8, LS_current!$B$4:$AY$139, LS_current!I$149, FALSE), VLOOKUP($A8, LS_current!$B$4:$AY$139,LS_current!I$149, FALSE))/2)</f>
        <v>1351.340666938504</v>
      </c>
      <c r="BT8" s="382">
        <f t="array" ref="BT8">IF($BI8=0, INDEX(LS_current!$D$4:$AY$139, MATCH('Staging Table'!$A8, LS_current!$B$4:$B$139, 0), MATCH(BT$4&amp;BT$5, LS_current!$D$2:$AY$2&amp;LS_current!$D$3:$AY$3, 0)),SUM(VLOOKUP($A8, LS_current!$B$4:$AY$139, LS_current!J$149, FALSE), VLOOKUP($A8, LS_current!$B$4:$AY$139,LS_current!J$149, FALSE))/2)</f>
        <v>-726.98550518849515</v>
      </c>
      <c r="BU8" s="382">
        <f t="array" ref="BU8">IF($BI8=0, INDEX(LS_current!$D$4:$AY$139, MATCH('Staging Table'!$A8, LS_current!$B$4:$B$139, 0), MATCH(BU$4&amp;BU$5, LS_current!$D$2:$AY$2&amp;LS_current!$D$3:$AY$3, 0)),SUM(VLOOKUP($A8, LS_current!$B$4:$AY$139, LS_current!K$149, FALSE), VLOOKUP($A8, LS_current!$B$4:$AY$139,LS_current!K$149, FALSE))/2)</f>
        <v>7040.3581299520629</v>
      </c>
      <c r="BV8" s="382">
        <f t="array" ref="BV8">IF($BI8=0, INDEX(LS_current!$D$4:$AY$139, MATCH('Staging Table'!$A8, LS_current!$B$4:$B$139, 0), MATCH(BV$4&amp;BV$5, LS_current!$D$2:$AY$2&amp;LS_current!$D$3:$AY$3, 0)),SUM(VLOOKUP($A8, LS_current!$B$4:$AY$139, LS_current!L$149, FALSE), VLOOKUP($A8, LS_current!$B$4:$AY$139,LS_current!L$149, FALSE))/2)</f>
        <v>-3778.6775813487038</v>
      </c>
      <c r="BW8" s="382">
        <f t="array" ref="BW8">IF($BI8=0, INDEX(LS_current!$D$4:$AY$139, MATCH('Staging Table'!$A8, LS_current!$B$4:$B$139, 0), MATCH(BW$4&amp;BW$5, LS_current!$D$2:$AY$2&amp;LS_current!$D$3:$AY$3, 0)),SUM(VLOOKUP($A8, LS_current!$B$4:$AY$139, LS_current!M$149, FALSE), VLOOKUP($A8, LS_current!$B$4:$AY$139,LS_current!M$149, FALSE))/2)</f>
        <v>3437.2358621288186</v>
      </c>
      <c r="BX8" s="382">
        <f t="array" ref="BX8">IF($BI8=0, INDEX(LS_current!$D$4:$AY$139, MATCH('Staging Table'!$A8, LS_current!$B$4:$B$139, 0), MATCH(BX$4&amp;BX$5, LS_current!$D$2:$AY$2&amp;LS_current!$D$3:$AY$3, 0)),SUM(VLOOKUP($A8, LS_current!$B$4:$AY$139, LS_current!N$149, FALSE), VLOOKUP($A8, LS_current!$B$4:$AY$139,LS_current!N$149, FALSE))/2)</f>
        <v>-10834.962777101107</v>
      </c>
      <c r="BY8" s="382">
        <f t="array" ref="BY8">IF($BI8=0, INDEX(LS_current!$D$4:$AY$139, MATCH('Staging Table'!$A8, LS_current!$B$4:$B$139, 0), MATCH(BY$4&amp;BY$5, LS_current!$D$2:$AY$2&amp;LS_current!$D$3:$AY$3, 0)),SUM(VLOOKUP($A8, LS_current!$B$4:$AY$139, LS_current!O$149, FALSE), VLOOKUP($A8, LS_current!$B$4:$AY$139,LS_current!O$149, FALSE))/2)</f>
        <v>-1630.1677972726866</v>
      </c>
      <c r="BZ8" s="382">
        <f t="array" ref="BZ8">IF($BI8=0, INDEX(LS_current!$D$4:$AY$139, MATCH('Staging Table'!$A8, LS_current!$B$4:$B$139, 0), MATCH(BZ$4&amp;BZ$5, LS_current!$D$2:$AY$2&amp;LS_current!$D$3:$AY$3, 0)),SUM(VLOOKUP($A8, LS_current!$B$4:$AY$139, LS_current!P$149, FALSE), VLOOKUP($A8, LS_current!$B$4:$AY$139,LS_current!P$149, FALSE))/2)</f>
        <v>-8727.3107649669255</v>
      </c>
      <c r="CA8" s="382">
        <f t="array" ref="CA8">IF($BI8=0, INDEX(LS_current!$D$4:$AY$139, MATCH('Staging Table'!$A8, LS_current!$B$4:$B$139, 0), MATCH(CA$4&amp;CA$5, LS_current!$D$2:$AY$2&amp;LS_current!$D$3:$AY$3, 0)),SUM(VLOOKUP($A8, LS_current!$B$4:$AY$139, LS_current!Q$149, FALSE), VLOOKUP($A8, LS_current!$B$4:$AY$139,LS_current!Q$149, FALSE))/2)</f>
        <v>3684.2831955322545</v>
      </c>
      <c r="CB8" s="382">
        <f t="array" ref="CB8">IF($BI8=0, INDEX(LS_current!$D$4:$AY$139, MATCH('Staging Table'!$A8, LS_current!$B$4:$B$139, 0), MATCH(CB$4&amp;CB$5, LS_current!$D$2:$AY$2&amp;LS_current!$D$3:$AY$3, 0)),SUM(VLOOKUP($A8, LS_current!$B$4:$AY$139, LS_current!R$149, FALSE), VLOOKUP($A8, LS_current!$B$4:$AY$139,LS_current!R$149, FALSE))/2)</f>
        <v>-19206.053050978895</v>
      </c>
      <c r="CC8" s="382">
        <f t="array" ref="CC8">IF($BI8=0, INDEX(LS_current!$D$4:$AY$139, MATCH('Staging Table'!$A8, LS_current!$B$4:$B$139, 0), MATCH(CC$4&amp;CC$5, LS_current!$D$2:$AY$2&amp;LS_current!$D$3:$AY$3, 0)),SUM(VLOOKUP($A8, LS_current!$B$4:$AY$139, LS_current!S$149, FALSE), VLOOKUP($A8, LS_current!$B$4:$AY$139,LS_current!S$149, FALSE))/2)</f>
        <v>-1250.0004701756334</v>
      </c>
      <c r="CD8" s="382">
        <f t="array" ref="CD8">IF($BI8=0, INDEX(LS_current!$D$4:$AY$139, MATCH('Staging Table'!$A8, LS_current!$B$4:$B$139, 0), MATCH(CD$4&amp;CD$5, LS_current!$D$2:$AY$2&amp;LS_current!$D$3:$AY$3, 0)),SUM(VLOOKUP($A8, LS_current!$B$4:$AY$139, LS_current!T$149, FALSE), VLOOKUP($A8, LS_current!$B$4:$AY$139,LS_current!T$149, FALSE))/2)</f>
        <v>1984.7871835595433</v>
      </c>
      <c r="CE8" s="382">
        <f t="array" ref="CE8">IF($BI8=0, INDEX(LS_current!$D$4:$AY$139, MATCH('Staging Table'!$A8, LS_current!$B$4:$B$139, 0), MATCH(CE$4&amp;CE$5, LS_current!$D$2:$AY$2&amp;LS_current!$D$3:$AY$3, 0)),SUM(VLOOKUP($A8, LS_current!$B$4:$AY$139, LS_current!U$149, FALSE), VLOOKUP($A8, LS_current!$B$4:$AY$139,LS_current!U$149, FALSE))/2)</f>
        <v>11814.315649262291</v>
      </c>
      <c r="CF8" s="382">
        <f t="array" ref="CF8">IF($BI8=0, INDEX(LS_current!$D$4:$AY$139, MATCH('Staging Table'!$A8, LS_current!$B$4:$B$139, 0), MATCH(CF$4&amp;CF$5, LS_current!$D$2:$AY$2&amp;LS_current!$D$3:$AY$3, 0)),SUM(VLOOKUP($A8, LS_current!$B$4:$AY$139, LS_current!V$149, FALSE), VLOOKUP($A8, LS_current!$B$4:$AY$139,LS_current!V$149, FALSE))/2)</f>
        <v>15015.09143798086</v>
      </c>
      <c r="CG8" s="382">
        <f t="array" ref="CG8">IF($BI8=0, INDEX(LS_current!$D$4:$AY$139, MATCH('Staging Table'!$A8, LS_current!$B$4:$B$139, 0), MATCH(CG$4&amp;CG$5, LS_current!$D$2:$AY$2&amp;LS_current!$D$3:$AY$3, 0)),SUM(VLOOKUP($A8, LS_current!$B$4:$AY$139, LS_current!W$149, FALSE), VLOOKUP($A8, LS_current!$B$4:$AY$139,LS_current!W$149, FALSE))/2)</f>
        <v>27777.463585781414</v>
      </c>
      <c r="CH8" s="382">
        <f t="array" ref="CH8">IF($BI8=0, INDEX(LS_current!$D$4:$AY$139, MATCH('Staging Table'!$A8, LS_current!$B$4:$B$139, 0), MATCH(CH$4&amp;CH$5, LS_current!$D$2:$AY$2&amp;LS_current!$D$3:$AY$3, 0)),SUM(VLOOKUP($A8, LS_current!$B$4:$AY$139, LS_current!X$149, FALSE), VLOOKUP($A8, LS_current!$B$4:$AY$139,LS_current!X$149, FALSE))/2)</f>
        <v>5177.06004083882</v>
      </c>
      <c r="CI8" s="382">
        <f t="array" ref="CI8">IF($BI8=0, INDEX(LS_current!$D$4:$AY$139, MATCH('Staging Table'!$A8, LS_current!$B$4:$B$139, 0), MATCH(CI$4&amp;CI$5, LS_current!$D$2:$AY$2&amp;LS_current!$D$3:$AY$3, 0)),SUM(VLOOKUP($A8, LS_current!$B$4:$AY$139, LS_current!Y$149, FALSE), VLOOKUP($A8, LS_current!$B$4:$AY$139,LS_current!Y$149, FALSE))/2)</f>
        <v>15335.940443331136</v>
      </c>
      <c r="CJ8" s="382">
        <f t="array" ref="CJ8">IF($BI8=0, INDEX(LS_current!$D$4:$AY$139, MATCH('Staging Table'!$A8, LS_current!$B$4:$B$139, 0), MATCH(CJ$4&amp;CJ$5, LS_current!$D$2:$AY$2&amp;LS_current!$D$3:$AY$3, 0)),SUM(VLOOKUP($A8, LS_current!$B$4:$AY$139, LS_current!Z$149, FALSE), VLOOKUP($A8, LS_current!$B$4:$AY$139,LS_current!Z$149, FALSE))/2)</f>
        <v>-9957.3684711469978</v>
      </c>
      <c r="CK8" s="382">
        <f t="array" ref="CK8">IF($BI8=0, INDEX(LS_current!$D$4:$AY$139, MATCH('Staging Table'!$A8, LS_current!$B$4:$B$139, 0), MATCH(CK$4&amp;CK$5, LS_current!$D$2:$AY$2&amp;LS_current!$D$3:$AY$3, 0)),SUM(VLOOKUP($A8, LS_current!$B$4:$AY$139, LS_current!AA$149, FALSE), VLOOKUP($A8, LS_current!$B$4:$AY$139,LS_current!AA$149, FALSE))/2)</f>
        <v>4996.8574722388912</v>
      </c>
      <c r="CL8" s="384">
        <f t="array" ref="CL8">INDEX(Demand_current!$D$4:$AY$138, MATCH($A8, Demand_current!$B$4:$B$138, 0), MATCH(CL$4&amp;CL$5,Demand_current!$D$2:$AY$2&amp;Demand_current!$D$3:$AY$3, 0))/1000</f>
        <v>0</v>
      </c>
      <c r="CM8" s="384">
        <f t="array" ref="CM8">INDEX(Demand_current!$D$4:$AY$138, MATCH($A8, Demand_current!$B$4:$B$138, 0), MATCH(CM$4&amp;CM$5,Demand_current!$D$2:$AY$2&amp;Demand_current!$D$3:$AY$3, 0))/1000</f>
        <v>0</v>
      </c>
      <c r="CN8" s="384">
        <f t="array" ref="CN8">INDEX(Demand_current!$D$4:$AY$138, MATCH($A8, Demand_current!$B$4:$B$138, 0), MATCH(CN$4&amp;CN$5,Demand_current!$D$2:$AY$2&amp;Demand_current!$D$3:$AY$3, 0))/1000</f>
        <v>0</v>
      </c>
      <c r="CO8" s="384">
        <f t="array" ref="CO8">INDEX(Demand_current!$D$4:$AY$138, MATCH($A8, Demand_current!$B$4:$B$138, 0), MATCH(CO$4&amp;CO$5,Demand_current!$D$2:$AY$2&amp;Demand_current!$D$3:$AY$3, 0))/1000</f>
        <v>0</v>
      </c>
      <c r="CP8" s="384">
        <f t="array" ref="CP8">INDEX(Demand_current!$D$4:$AY$138, MATCH($A8, Demand_current!$B$4:$B$138, 0), MATCH(CP$4&amp;CP$5,Demand_current!$D$2:$AY$2&amp;Demand_current!$D$3:$AY$3, 0))/1000</f>
        <v>0</v>
      </c>
      <c r="CQ8" s="384">
        <f t="array" ref="CQ8">INDEX(Demand_current!$D$4:$AY$138, MATCH($A8, Demand_current!$B$4:$B$138, 0), MATCH(CQ$4&amp;CQ$5,Demand_current!$D$2:$AY$2&amp;Demand_current!$D$3:$AY$3, 0))/1000</f>
        <v>0</v>
      </c>
      <c r="CR8" s="384">
        <f t="array" ref="CR8">INDEX(Demand_current!$D$4:$AY$138, MATCH($A8, Demand_current!$B$4:$B$138, 0), MATCH(CR$4&amp;CR$5,Demand_current!$D$2:$AY$2&amp;Demand_current!$D$3:$AY$3, 0))/1000</f>
        <v>0</v>
      </c>
      <c r="CS8" s="384">
        <f t="array" ref="CS8">INDEX(Demand_current!$D$4:$AY$138, MATCH($A8, Demand_current!$B$4:$B$138, 0), MATCH(CS$4&amp;CS$5,Demand_current!$D$2:$AY$2&amp;Demand_current!$D$3:$AY$3, 0))/1000</f>
        <v>0</v>
      </c>
      <c r="CT8" s="384">
        <f t="array" ref="CT8">INDEX(Demand_current!$D$4:$AY$138, MATCH($A8, Demand_current!$B$4:$B$138, 0), MATCH(CT$4&amp;CT$5,Demand_current!$D$2:$AY$2&amp;Demand_current!$D$3:$AY$3, 0))/1000</f>
        <v>0</v>
      </c>
      <c r="CU8" s="384">
        <f t="array" ref="CU8">INDEX(Demand_current!$D$4:$AY$138, MATCH($A8, Demand_current!$B$4:$B$138, 0), MATCH(CU$4&amp;CU$5,Demand_current!$D$2:$AY$2&amp;Demand_current!$D$3:$AY$3, 0))/1000</f>
        <v>0</v>
      </c>
      <c r="CV8" s="384">
        <f t="array" ref="CV8">INDEX(Demand_current!$D$4:$AY$138, MATCH($A8, Demand_current!$B$4:$B$138, 0), MATCH(CV$4&amp;CV$5,Demand_current!$D$2:$AY$2&amp;Demand_current!$D$3:$AY$3, 0))/1000</f>
        <v>0</v>
      </c>
      <c r="CW8" s="384">
        <f t="array" ref="CW8">INDEX(Demand_current!$D$4:$AY$138, MATCH($A8, Demand_current!$B$4:$B$138, 0), MATCH(CW$4&amp;CW$5,Demand_current!$D$2:$AY$2&amp;Demand_current!$D$3:$AY$3, 0))/1000</f>
        <v>0</v>
      </c>
      <c r="CX8" s="384">
        <f>IF(D8=0,IF(C8=0,MAX(0,DA8 - (VLOOKUP($A8,TOCA_current!$A$2:$AI$137,MATCH("RHWM 2018",TOCA_current!$A$2:$AI$2,0),FALSE)*$BH$2)), 0),0)</f>
        <v>0</v>
      </c>
      <c r="CY8" s="427">
        <f>VLOOKUP($A8,REP_current!$A$1:$D$135,MATCH("FY "&amp;$BH$1&amp; " Total Refund",REP_current!$A$1:$D$1,0),0)</f>
        <v>2205817.9477037573</v>
      </c>
      <c r="CZ8" s="432">
        <f>MIN(VLOOKUP($A8,TOCA_current!$A$2:$AI$137,MATCH("TRL - NLSL - Existing Resource "&amp;$BH$1,TOCA_current!$A$2:$AI$2,0),FALSE)*$BH$2, VLOOKUP($A8,TOCA_current!$A$2:$AI$137,MATCH("RHWM 2018",TOCA_current!$A$2:$AI$2,0),FALSE)*$BH$2)</f>
        <v>1734909.24</v>
      </c>
      <c r="DA8" s="397">
        <f>SUM(BN8:CK8)+(BH8*RT1SC!$C$4*$BH$2)</f>
        <v>893503.01316326903</v>
      </c>
      <c r="DB8" s="432">
        <f>VLOOKUP($A8,TOCA_current!$A$2:$AI$137,MATCH("Above RHWM Not Served with LS "&amp;$BH$1,TOCA_current!$A$2:$AI$2,0),FALSE)*$BH$2</f>
        <v>95107.319999999992</v>
      </c>
      <c r="DC8" s="401">
        <f t="shared" si="11"/>
        <v>-841406.22683673096</v>
      </c>
      <c r="DD8" s="397">
        <f>(VLOOKUP($A8,TOCA_current!$A$2:$AI$137,MATCH("RHWM 2018",TOCA_current!$A$2:$AI$2,0),FALSE)*$BH$2) - $CZ8</f>
        <v>0</v>
      </c>
      <c r="DE8" s="397">
        <f t="shared" si="12"/>
        <v>0</v>
      </c>
      <c r="DF8" s="397">
        <f t="shared" si="13"/>
        <v>746298.90683673101</v>
      </c>
      <c r="DG8" s="397">
        <f t="shared" si="14"/>
        <v>0</v>
      </c>
      <c r="DH8" s="397">
        <f t="shared" si="15"/>
        <v>0</v>
      </c>
    </row>
    <row r="9" spans="1:112">
      <c r="A9" s="274">
        <v>10025</v>
      </c>
      <c r="B9" s="275" t="s">
        <v>10</v>
      </c>
      <c r="C9" s="397">
        <v>0</v>
      </c>
      <c r="D9" s="397">
        <v>0</v>
      </c>
      <c r="E9" s="205">
        <f>VLOOKUP($A9,TOCA_previous!$A$2:$AI$137,MATCH(E$4,TOCA_previous!$A$2:$AI$2,0),FALSE)</f>
        <v>9.4629999999999992E-3</v>
      </c>
      <c r="F9" s="206">
        <f>VLOOKUP($A9,TOCA_previous!$A$2:$AI$137,MATCH(F$4,TOCA_previous!$A$2:$AI$2,0),FALSE)</f>
        <v>9.4629999999999992E-3</v>
      </c>
      <c r="G9" s="206">
        <f t="shared" si="0"/>
        <v>0</v>
      </c>
      <c r="H9" s="206">
        <f>VLOOKUP($A9,TOCA_previous!$A$2:$AI$137,MATCH(H$4,TOCA_previous!$A$2:$AI$2,0),FALSE)</f>
        <v>6.3130000000000006E-2</v>
      </c>
      <c r="I9" s="206">
        <f t="shared" si="1"/>
        <v>0</v>
      </c>
      <c r="J9" s="206">
        <f t="shared" si="2"/>
        <v>0</v>
      </c>
      <c r="K9" s="381">
        <f>VLOOKUP(A9, IRD!$A$5:$C$139, 3, FALSE)</f>
        <v>82900.857000000004</v>
      </c>
      <c r="L9" s="382">
        <f t="array" ref="L9">IF($G9=0, INDEX(LS_previous!$D$4:$AY$138, MATCH('Staging Table'!$A9, LS_previous!$B$4:$B$138, 0), MATCH(L$4&amp;L$5, LS_previous!$D$2:$AY$2&amp;LS_previous!$D$3:$AY$3, 0)),SUM(VLOOKUP($A9, LS_previous!$B$4:$AY$138, LS_previous!D$149, FALSE), VLOOKUP('Staging Table'!$A9, LS_previous!$B$4:$AY$138,LS_previous!AB$149, FALSE))/2)</f>
        <v>-2903.7009048960244</v>
      </c>
      <c r="M9" s="382">
        <f t="array" ref="M9">IF($G9=0, INDEX(LS_previous!$D$4:$AY$138, MATCH('Staging Table'!$A9, LS_previous!$B$4:$B$138, 0), MATCH(M$4&amp;M$5, LS_previous!$D$2:$AY$2&amp;LS_previous!$D$3:$AY$3, 0)),SUM(VLOOKUP($A9, LS_previous!$B$4:$AY$138, LS_previous!E$149, FALSE), VLOOKUP('Staging Table'!$A9, LS_previous!$B$4:$AY$138,LS_previous!AC$149, FALSE))/2)</f>
        <v>-65.757682084860789</v>
      </c>
      <c r="N9" s="382">
        <f t="array" ref="N9">IF($G9=0, INDEX(LS_previous!$D$4:$AY$138, MATCH('Staging Table'!$A9, LS_previous!$B$4:$B$138, 0), MATCH(N$4&amp;N$5, LS_previous!$D$2:$AY$2&amp;LS_previous!$D$3:$AY$3, 0)),SUM(VLOOKUP($A9, LS_previous!$B$4:$AY$138, LS_previous!F$149, FALSE), VLOOKUP('Staging Table'!$A9, LS_previous!$B$4:$AY$138,LS_previous!AD$149, FALSE))/2)</f>
        <v>-11850.411169921419</v>
      </c>
      <c r="O9" s="382">
        <f t="array" ref="O9">IF($G9=0, INDEX(LS_previous!$D$4:$AY$138, MATCH('Staging Table'!$A9, LS_previous!$B$4:$B$138, 0), MATCH(O$4&amp;O$5, LS_previous!$D$2:$AY$2&amp;LS_previous!$D$3:$AY$3, 0)),SUM(VLOOKUP($A9, LS_previous!$B$4:$AY$138, LS_previous!G$149, FALSE), VLOOKUP('Staging Table'!$A9, LS_previous!$B$4:$AY$138,LS_previous!AE$149, FALSE))/2)</f>
        <v>-4072.1017135839611</v>
      </c>
      <c r="P9" s="382">
        <f t="array" ref="P9">IF($G9=0, INDEX(LS_previous!$D$4:$AY$138, MATCH('Staging Table'!$A9, LS_previous!$B$4:$B$138, 0), MATCH(P$4&amp;P$5, LS_previous!$D$2:$AY$2&amp;LS_previous!$D$3:$AY$3, 0)),SUM(VLOOKUP($A9, LS_previous!$B$4:$AY$138, LS_previous!H$149, FALSE), VLOOKUP('Staging Table'!$A9, LS_previous!$B$4:$AY$138,LS_previous!AF$149, FALSE))/2)</f>
        <v>-6301.8055861660323</v>
      </c>
      <c r="Q9" s="382">
        <f t="array" ref="Q9">IF($G9=0, INDEX(LS_previous!$D$4:$AY$138, MATCH('Staging Table'!$A9, LS_previous!$B$4:$B$138, 0), MATCH(Q$4&amp;Q$5, LS_previous!$D$2:$AY$2&amp;LS_previous!$D$3:$AY$3, 0)),SUM(VLOOKUP($A9, LS_previous!$B$4:$AY$138, LS_previous!I$149, FALSE), VLOOKUP('Staging Table'!$A9, LS_previous!$B$4:$AY$138,LS_previous!AG$149, FALSE))/2)</f>
        <v>1243.5740510541546</v>
      </c>
      <c r="R9" s="382">
        <f t="array" ref="R9">IF($G9=0, INDEX(LS_previous!$D$4:$AY$138, MATCH('Staging Table'!$A9, LS_previous!$B$4:$B$138, 0), MATCH(R$4&amp;R$5, LS_previous!$D$2:$AY$2&amp;LS_previous!$D$3:$AY$3, 0)),SUM(VLOOKUP($A9, LS_previous!$B$4:$AY$138, LS_previous!J$149, FALSE), VLOOKUP('Staging Table'!$A9, LS_previous!$B$4:$AY$138,LS_previous!AH$149, FALSE))/2)</f>
        <v>-1838.9050607632198</v>
      </c>
      <c r="S9" s="382">
        <f t="array" ref="S9">IF($G9=0, INDEX(LS_previous!$D$4:$AY$138, MATCH('Staging Table'!$A9, LS_previous!$B$4:$B$138, 0), MATCH(S$4&amp;S$5, LS_previous!$D$2:$AY$2&amp;LS_previous!$D$3:$AY$3, 0)),SUM(VLOOKUP($A9, LS_previous!$B$4:$AY$138, LS_previous!K$149, FALSE), VLOOKUP('Staging Table'!$A9, LS_previous!$B$4:$AY$138,LS_previous!AI$149, FALSE))/2)</f>
        <v>1511.8704020854384</v>
      </c>
      <c r="T9" s="382">
        <f t="array" ref="T9">IF($G9=0, INDEX(LS_previous!$D$4:$AY$138, MATCH('Staging Table'!$A9, LS_previous!$B$4:$B$138, 0), MATCH(T$4&amp;T$5, LS_previous!$D$2:$AY$2&amp;LS_previous!$D$3:$AY$3, 0)),SUM(VLOOKUP($A9, LS_previous!$B$4:$AY$138, LS_previous!L$149, FALSE), VLOOKUP('Staging Table'!$A9, LS_previous!$B$4:$AY$138,LS_previous!AJ$149, FALSE))/2)</f>
        <v>-4938.37687112208</v>
      </c>
      <c r="U9" s="382">
        <f t="array" ref="U9">IF($G9=0, INDEX(LS_previous!$D$4:$AY$138, MATCH('Staging Table'!$A9, LS_previous!$B$4:$B$138, 0), MATCH(U$4&amp;U$5, LS_previous!$D$2:$AY$2&amp;LS_previous!$D$3:$AY$3, 0)),SUM(VLOOKUP($A9, LS_previous!$B$4:$AY$138, LS_previous!M$149, FALSE), VLOOKUP('Staging Table'!$A9, LS_previous!$B$4:$AY$138,LS_previous!AK$149, FALSE))/2)</f>
        <v>-1135.0813534102526</v>
      </c>
      <c r="V9" s="382">
        <f t="array" ref="V9">IF($G9=0, INDEX(LS_previous!$D$4:$AY$138, MATCH('Staging Table'!$A9, LS_previous!$B$4:$B$138, 0), MATCH(V$4&amp;V$5, LS_previous!$D$2:$AY$2&amp;LS_previous!$D$3:$AY$3, 0)),SUM(VLOOKUP($A9, LS_previous!$B$4:$AY$138, LS_previous!N$149, FALSE), VLOOKUP('Staging Table'!$A9, LS_previous!$B$4:$AY$138,LS_previous!AL$149, FALSE))/2)</f>
        <v>-10576.302634817352</v>
      </c>
      <c r="W9" s="382">
        <f t="array" ref="W9">IF($G9=0, INDEX(LS_previous!$D$4:$AY$138, MATCH('Staging Table'!$A9, LS_previous!$B$4:$B$138, 0), MATCH(W$4&amp;W$5, LS_previous!$D$2:$AY$2&amp;LS_previous!$D$3:$AY$3, 0)),SUM(VLOOKUP($A9, LS_previous!$B$4:$AY$138, LS_previous!O$149, FALSE), VLOOKUP('Staging Table'!$A9, LS_previous!$B$4:$AY$138,LS_previous!AM$149, FALSE))/2)</f>
        <v>-4116.0976615540385</v>
      </c>
      <c r="X9" s="382">
        <f t="array" ref="X9">IF($G9=0, INDEX(LS_previous!$D$4:$AY$138, MATCH('Staging Table'!$A9, LS_previous!$B$4:$B$138, 0), MATCH(X$4&amp;X$5, LS_previous!$D$2:$AY$2&amp;LS_previous!$D$3:$AY$3, 0)),SUM(VLOOKUP($A9, LS_previous!$B$4:$AY$138, LS_previous!P$149, FALSE), VLOOKUP('Staging Table'!$A9, LS_previous!$B$4:$AY$138,LS_previous!AN$149, FALSE))/2)</f>
        <v>-183.73082105922731</v>
      </c>
      <c r="Y9" s="382">
        <f t="array" ref="Y9">IF($G9=0, INDEX(LS_previous!$D$4:$AY$138, MATCH('Staging Table'!$A9, LS_previous!$B$4:$B$138, 0), MATCH(Y$4&amp;Y$5, LS_previous!$D$2:$AY$2&amp;LS_previous!$D$3:$AY$3, 0)),SUM(VLOOKUP($A9, LS_previous!$B$4:$AY$138, LS_previous!Q$149, FALSE), VLOOKUP('Staging Table'!$A9, LS_previous!$B$4:$AY$138,LS_previous!AO$149, FALSE))/2)</f>
        <v>1000.4740076655398</v>
      </c>
      <c r="Z9" s="382">
        <f t="array" ref="Z9">IF($G9=0, INDEX(LS_previous!$D$4:$AY$138, MATCH('Staging Table'!$A9, LS_previous!$B$4:$B$138, 0), MATCH(Z$4&amp;Z$5, LS_previous!$D$2:$AY$2&amp;LS_previous!$D$3:$AY$3, 0)),SUM(VLOOKUP($A9, LS_previous!$B$4:$AY$138, LS_previous!R$149, FALSE), VLOOKUP('Staging Table'!$A9, LS_previous!$B$4:$AY$138,LS_previous!AP$149, FALSE))/2)</f>
        <v>-12791.016920429924</v>
      </c>
      <c r="AA9" s="382">
        <f t="array" ref="AA9">IF($G9=0, INDEX(LS_previous!$D$4:$AY$138, MATCH('Staging Table'!$A9, LS_previous!$B$4:$B$138, 0), MATCH(AA$4&amp;AA$5, LS_previous!$D$2:$AY$2&amp;LS_previous!$D$3:$AY$3, 0)),SUM(VLOOKUP($A9, LS_previous!$B$4:$AY$138, LS_previous!S$149, FALSE), VLOOKUP('Staging Table'!$A9, LS_previous!$B$4:$AY$138,LS_previous!AQ$149, FALSE))/2)</f>
        <v>-3590.1588431292112</v>
      </c>
      <c r="AB9" s="382">
        <f t="array" ref="AB9">IF($G9=0, INDEX(LS_previous!$D$4:$AY$138, MATCH('Staging Table'!$A9, LS_previous!$B$4:$B$138, 0), MATCH(AB$4&amp;AB$5, LS_previous!$D$2:$AY$2&amp;LS_previous!$D$3:$AY$3, 0)),SUM(VLOOKUP($A9, LS_previous!$B$4:$AY$138, LS_previous!T$149, FALSE), VLOOKUP('Staging Table'!$A9, LS_previous!$B$4:$AY$138,LS_previous!AR$149, FALSE))/2)</f>
        <v>-3937.3923570023762</v>
      </c>
      <c r="AC9" s="382">
        <f t="array" ref="AC9">IF($G9=0, INDEX(LS_previous!$D$4:$AY$138, MATCH('Staging Table'!$A9, LS_previous!$B$4:$B$138, 0), MATCH(AC$4&amp;AC$5, LS_previous!$D$2:$AY$2&amp;LS_previous!$D$3:$AY$3, 0)),SUM(VLOOKUP($A9, LS_previous!$B$4:$AY$138, LS_previous!U$149, FALSE), VLOOKUP('Staging Table'!$A9, LS_previous!$B$4:$AY$138,LS_previous!AS$149, FALSE))/2)</f>
        <v>1792.9962680279714</v>
      </c>
      <c r="AD9" s="382">
        <f t="array" ref="AD9">IF($G9=0, INDEX(LS_previous!$D$4:$AY$138, MATCH('Staging Table'!$A9, LS_previous!$B$4:$B$138, 0), MATCH(AD$4&amp;AD$5, LS_previous!$D$2:$AY$2&amp;LS_previous!$D$3:$AY$3, 0)),SUM(VLOOKUP($A9, LS_previous!$B$4:$AY$138, LS_previous!V$149, FALSE), VLOOKUP('Staging Table'!$A9, LS_previous!$B$4:$AY$138,LS_previous!AT$149, FALSE))/2)</f>
        <v>7188.1153494461614</v>
      </c>
      <c r="AE9" s="382">
        <f t="array" ref="AE9">IF($G9=0, INDEX(LS_previous!$D$4:$AY$138, MATCH('Staging Table'!$A9, LS_previous!$B$4:$B$138, 0), MATCH(AE$4&amp;AE$5, LS_previous!$D$2:$AY$2&amp;LS_previous!$D$3:$AY$3, 0)),SUM(VLOOKUP($A9, LS_previous!$B$4:$AY$138, LS_previous!W$149, FALSE), VLOOKUP('Staging Table'!$A9, LS_previous!$B$4:$AY$138,LS_previous!AU$149, FALSE))/2)</f>
        <v>8862.0139030712671</v>
      </c>
      <c r="AF9" s="382">
        <f t="array" ref="AF9">IF($G9=0, INDEX(LS_previous!$D$4:$AY$138, MATCH('Staging Table'!$A9, LS_previous!$B$4:$B$138, 0), MATCH(AF$4&amp;AF$5, LS_previous!$D$2:$AY$2&amp;LS_previous!$D$3:$AY$3, 0)),SUM(VLOOKUP($A9, LS_previous!$B$4:$AY$138, LS_previous!X$149, FALSE), VLOOKUP('Staging Table'!$A9, LS_previous!$B$4:$AY$138,LS_previous!AV$149, FALSE))/2)</f>
        <v>2812.1542565230884</v>
      </c>
      <c r="AG9" s="382">
        <f t="array" ref="AG9">IF($G9=0, INDEX(LS_previous!$D$4:$AY$138, MATCH('Staging Table'!$A9, LS_previous!$B$4:$B$138, 0), MATCH(AG$4&amp;AG$5, LS_previous!$D$2:$AY$2&amp;LS_previous!$D$3:$AY$3, 0)),SUM(VLOOKUP($A9, LS_previous!$B$4:$AY$138, LS_previous!Y$149, FALSE), VLOOKUP('Staging Table'!$A9, LS_previous!$B$4:$AY$138,LS_previous!AW$149, FALSE))/2)</f>
        <v>6069.1966142617966</v>
      </c>
      <c r="AH9" s="382">
        <f t="array" ref="AH9">IF($G9=0, INDEX(LS_previous!$D$4:$AY$138, MATCH('Staging Table'!$A9, LS_previous!$B$4:$B$138, 0), MATCH(AH$4&amp;AH$5, LS_previous!$D$2:$AY$2&amp;LS_previous!$D$3:$AY$3, 0)),SUM(VLOOKUP($A9, LS_previous!$B$4:$AY$138, LS_previous!Z$149, FALSE), VLOOKUP('Staging Table'!$A9, LS_previous!$B$4:$AY$138,LS_previous!AX$149, FALSE))/2)</f>
        <v>-2075.9303684539227</v>
      </c>
      <c r="AI9" s="382">
        <f t="array" ref="AI9">IF($G9=0, INDEX(LS_previous!$D$4:$AY$138, MATCH('Staging Table'!$A9, LS_previous!$B$4:$B$138, 0), MATCH(AI$4&amp;AI$5, LS_previous!$D$2:$AY$2&amp;LS_previous!$D$3:$AY$3, 0)),SUM(VLOOKUP($A9, LS_previous!$B$4:$AY$138, LS_previous!AA$149, FALSE), VLOOKUP('Staging Table'!$A9, LS_previous!$B$4:$AY$138,LS_previous!AY$149, FALSE))/2)</f>
        <v>1978.8438722217743</v>
      </c>
      <c r="AJ9" s="384">
        <f t="array" ref="AJ9">INDEX(Demand_previous!$D$4:$AY$138, MATCH('Staging Table'!$A9, Demand_previous!$B$4:$B$138, 0), MATCH(AJ$4&amp;AJ$5,Demand_previous!$D$2:$AY$2&amp;Demand_previous!$D$3:$AY$3, 0))/1000</f>
        <v>4.5095555555555595</v>
      </c>
      <c r="AK9" s="384">
        <f t="array" ref="AK9">INDEX(Demand_previous!$D$4:$AY$138, MATCH('Staging Table'!$A9, Demand_previous!$B$4:$B$138, 0), MATCH(AK$4&amp;AK$5,Demand_previous!$D$2:$AY$2&amp;Demand_previous!$D$3:$AY$3, 0))/1000</f>
        <v>0</v>
      </c>
      <c r="AL9" s="384">
        <f t="array" ref="AL9">INDEX(Demand_previous!$D$4:$AY$138, MATCH('Staging Table'!$A9, Demand_previous!$B$4:$B$138, 0), MATCH(AL$4&amp;AL$5,Demand_previous!$D$2:$AY$2&amp;Demand_previous!$D$3:$AY$3, 0))/1000</f>
        <v>11.521884615384627</v>
      </c>
      <c r="AM9" s="384">
        <f t="array" ref="AM9">INDEX(Demand_previous!$D$4:$AY$138, MATCH('Staging Table'!$A9, Demand_previous!$B$4:$B$138, 0), MATCH(AM$4&amp;AM$5,Demand_previous!$D$2:$AY$2&amp;Demand_previous!$D$3:$AY$3, 0))/1000</f>
        <v>5.648517499999997</v>
      </c>
      <c r="AN9" s="384">
        <f t="array" ref="AN9">INDEX(Demand_previous!$D$4:$AY$138, MATCH('Staging Table'!$A9, Demand_previous!$B$4:$B$138, 0), MATCH(AN$4&amp;AN$5,Demand_previous!$D$2:$AY$2&amp;Demand_previous!$D$3:$AY$3, 0))/1000</f>
        <v>6.253362500000005</v>
      </c>
      <c r="AO9" s="384">
        <f t="array" ref="AO9">INDEX(Demand_previous!$D$4:$AY$138, MATCH('Staging Table'!$A9, Demand_previous!$B$4:$B$138, 0), MATCH(AO$4&amp;AO$5,Demand_previous!$D$2:$AY$2&amp;Demand_previous!$D$3:$AY$3, 0))/1000</f>
        <v>3.7644560185185121</v>
      </c>
      <c r="AP9" s="384">
        <f t="array" ref="AP9">INDEX(Demand_previous!$D$4:$AY$138, MATCH('Staging Table'!$A9, Demand_previous!$B$4:$B$138, 0), MATCH(AP$4&amp;AP$5,Demand_previous!$D$2:$AY$2&amp;Demand_previous!$D$3:$AY$3, 0))/1000</f>
        <v>0</v>
      </c>
      <c r="AQ9" s="384">
        <f t="array" ref="AQ9">INDEX(Demand_previous!$D$4:$AY$138, MATCH('Staging Table'!$A9, Demand_previous!$B$4:$B$138, 0), MATCH(AQ$4&amp;AQ$5,Demand_previous!$D$2:$AY$2&amp;Demand_previous!$D$3:$AY$3, 0))/1000</f>
        <v>0</v>
      </c>
      <c r="AR9" s="384">
        <f t="array" ref="AR9">INDEX(Demand_previous!$D$4:$AY$138, MATCH('Staging Table'!$A9, Demand_previous!$B$4:$B$138, 0), MATCH(AR$4&amp;AR$5,Demand_previous!$D$2:$AY$2&amp;Demand_previous!$D$3:$AY$3, 0))/1000</f>
        <v>9.287954326923078</v>
      </c>
      <c r="AS9" s="384">
        <f t="array" ref="AS9">INDEX(Demand_previous!$D$4:$AY$138, MATCH('Staging Table'!$A9, Demand_previous!$B$4:$B$138, 0), MATCH(AS$4&amp;AS$5,Demand_previous!$D$2:$AY$2&amp;Demand_previous!$D$3:$AY$3, 0))/1000</f>
        <v>7.087270000000002</v>
      </c>
      <c r="AT9" s="384">
        <f t="array" ref="AT9">INDEX(Demand_previous!$D$4:$AY$138, MATCH('Staging Table'!$A9, Demand_previous!$B$4:$B$138, 0), MATCH(AT$4&amp;AT$5,Demand_previous!$D$2:$AY$2&amp;Demand_previous!$D$3:$AY$3, 0))/1000</f>
        <v>7.7709074074074138</v>
      </c>
      <c r="AU9" s="384">
        <f t="array" ref="AU9">INDEX(Demand_previous!$D$4:$AY$138, MATCH('Staging Table'!$A9, Demand_previous!$B$4:$B$138, 0), MATCH(AU$4&amp;AU$5,Demand_previous!$D$2:$AY$2&amp;Demand_previous!$D$3:$AY$3, 0))/1000</f>
        <v>13.7675625</v>
      </c>
      <c r="AV9" s="384">
        <f>IF($D9=0,IF(C9=0, MAX(AY9 - (VLOOKUP($A9,TOCA_previous!$A$2:$AI$137,MATCH("RHWM 2016",TOCA_previous!$A$2:$AI$2,0),FALSE)*$F$2*TOCA_previous!C6),0),0), 0)</f>
        <v>0</v>
      </c>
      <c r="AW9" s="427">
        <f>VLOOKUP($A9,REP_previous!$A$1:$D$135,MATCH("FY "&amp;$F$1&amp; " Total Refund",REP_previous!$A$1:$D$1,0),0)</f>
        <v>735537.58363613952</v>
      </c>
      <c r="AX9" s="398">
        <f>MIN(VLOOKUP($A9,TOCA_previous!$A$2:$AI$137,MATCH("TRL - NLSL - Exisiting Resource "&amp;$F$1,TOCA_previous!$A$2:$AI$2,0),FALSE)*$F$2,(VLOOKUP($A9,TOCA_previous!$A$2:$AI$137,MATCH("RHWM 2016",TOCA_previous!$A$2:$AI$2,0),FALSE)*$F$2))</f>
        <v>580455.50400000007</v>
      </c>
      <c r="AY9" s="384">
        <f>SUM(L9:AI9)+(F9*RT1SC!$C$3*$F$2)</f>
        <v>542537.38736628334</v>
      </c>
      <c r="AZ9" s="398">
        <f>VLOOKUP($A9,TOCA_previous!$A$2:$AI$137,MATCH("Above RHWM Not Served with LS "&amp;$F$1,TOCA_previous!$A$2:$AI$2,0),FALSE)*$F$2</f>
        <v>30278.448</v>
      </c>
      <c r="BA9" s="206">
        <f t="shared" si="3"/>
        <v>-37918.116633716738</v>
      </c>
      <c r="BB9" s="399">
        <f>(VLOOKUP($A9,TOCA_previous!$A$2:$AI$137,MATCH("RHWM 2016",TOCA_previous!$A$2:$AI$2,0),FALSE)*$F$2) - $AX9</f>
        <v>0</v>
      </c>
      <c r="BC9" s="206">
        <f t="shared" si="4"/>
        <v>0</v>
      </c>
      <c r="BD9" s="400">
        <f t="shared" si="5"/>
        <v>7639.6686337167375</v>
      </c>
      <c r="BE9" s="392">
        <f t="shared" si="6"/>
        <v>0</v>
      </c>
      <c r="BF9" s="399">
        <f t="shared" si="7"/>
        <v>7639.6686337167375</v>
      </c>
      <c r="BG9" s="206">
        <f>VLOOKUP($A9,TOCA_current!$A$2:$AI$137,MATCH(BG$4,TOCA_current!$A$2:$AI$2,0),FALSE)</f>
        <v>8.4525999999999994E-3</v>
      </c>
      <c r="BH9" s="206">
        <f>VLOOKUP($A9,TOCA_current!$A$2:$AI$137,MATCH(BH$4,TOCA_current!$A$2:$AI$2,0),FALSE)</f>
        <v>8.4525999999999994E-3</v>
      </c>
      <c r="BI9" s="391">
        <f t="shared" si="8"/>
        <v>0</v>
      </c>
      <c r="BJ9" s="206">
        <f>VLOOKUP($A9,TOCA_current!A5:BG140,MATCH(BJ$4,TOCA_current!$A$2:$BG$2,0),FALSE)</f>
        <v>6.6141869101563833E-2</v>
      </c>
      <c r="BK9" s="206">
        <f t="shared" si="9"/>
        <v>0</v>
      </c>
      <c r="BL9" s="206">
        <f t="shared" si="10"/>
        <v>0</v>
      </c>
      <c r="BM9" s="381">
        <f>VLOOKUP($A9,IRD!$A$4:$G$139, 7, FALSE)</f>
        <v>82900.857000000004</v>
      </c>
      <c r="BN9" s="382">
        <f t="array" ref="BN9">IF($BI9=0, INDEX(LS_current!$D$4:$AY$139, MATCH('Staging Table'!$A9, LS_current!$B$4:$B$139, 0), MATCH(BN$4&amp;BN$5, LS_current!$D$2:$AY$2&amp;LS_current!$D$3:$AY$3, 0)),SUM(VLOOKUP($A9, LS_current!$B$4:$AY$139, LS_current!D$149, FALSE), VLOOKUP($A9, LS_current!$B$4:$AY$139,LS_current!D$149, FALSE))/2)</f>
        <v>-1640.5557761029086</v>
      </c>
      <c r="BO9" s="382">
        <f t="array" ref="BO9">IF($BI9=0, INDEX(LS_current!$D$4:$AY$139, MATCH('Staging Table'!$A9, LS_current!$B$4:$B$139, 0), MATCH(BO$4&amp;BO$5, LS_current!$D$2:$AY$2&amp;LS_current!$D$3:$AY$3, 0)),SUM(VLOOKUP($A9, LS_current!$B$4:$AY$139, LS_current!E$149, FALSE), VLOOKUP($A9, LS_current!$B$4:$AY$139,LS_current!E$149, FALSE))/2)</f>
        <v>1021.9967057294198</v>
      </c>
      <c r="BP9" s="382">
        <f t="array" ref="BP9">IF($BI9=0, INDEX(LS_current!$D$4:$AY$139, MATCH('Staging Table'!$A9, LS_current!$B$4:$B$139, 0), MATCH(BP$4&amp;BP$5, LS_current!$D$2:$AY$2&amp;LS_current!$D$3:$AY$3, 0)),SUM(VLOOKUP($A9, LS_current!$B$4:$AY$139, LS_current!F$149, FALSE), VLOOKUP($A9, LS_current!$B$4:$AY$139,LS_current!F$149, FALSE))/2)</f>
        <v>-10575.62525470593</v>
      </c>
      <c r="BQ9" s="382">
        <f t="array" ref="BQ9">IF($BI9=0, INDEX(LS_current!$D$4:$AY$139, MATCH('Staging Table'!$A9, LS_current!$B$4:$B$139, 0), MATCH(BQ$4&amp;BQ$5, LS_current!$D$2:$AY$2&amp;LS_current!$D$3:$AY$3, 0)),SUM(VLOOKUP($A9, LS_current!$B$4:$AY$139, LS_current!G$149, FALSE), VLOOKUP($A9, LS_current!$B$4:$AY$139,LS_current!G$149, FALSE))/2)</f>
        <v>-2993.1368945147078</v>
      </c>
      <c r="BR9" s="382">
        <f t="array" ref="BR9">IF($BI9=0, INDEX(LS_current!$D$4:$AY$139, MATCH('Staging Table'!$A9, LS_current!$B$4:$B$139, 0), MATCH(BR$4&amp;BR$5, LS_current!$D$2:$AY$2&amp;LS_current!$D$3:$AY$3, 0)),SUM(VLOOKUP($A9, LS_current!$B$4:$AY$139, LS_current!H$149, FALSE), VLOOKUP($A9, LS_current!$B$4:$AY$139,LS_current!H$149, FALSE))/2)</f>
        <v>-5383.3563469454712</v>
      </c>
      <c r="BS9" s="382">
        <f t="array" ref="BS9">IF($BI9=0, INDEX(LS_current!$D$4:$AY$139, MATCH('Staging Table'!$A9, LS_current!$B$4:$B$139, 0), MATCH(BS$4&amp;BS$5, LS_current!$D$2:$AY$2&amp;LS_current!$D$3:$AY$3, 0)),SUM(VLOOKUP($A9, LS_current!$B$4:$AY$139, LS_current!I$149, FALSE), VLOOKUP($A9, LS_current!$B$4:$AY$139,LS_current!I$149, FALSE))/2)</f>
        <v>1755.6710249117968</v>
      </c>
      <c r="BT9" s="382">
        <f t="array" ref="BT9">IF($BI9=0, INDEX(LS_current!$D$4:$AY$139, MATCH('Staging Table'!$A9, LS_current!$B$4:$B$139, 0), MATCH(BT$4&amp;BT$5, LS_current!$D$2:$AY$2&amp;LS_current!$D$3:$AY$3, 0)),SUM(VLOOKUP($A9, LS_current!$B$4:$AY$139, LS_current!J$149, FALSE), VLOOKUP($A9, LS_current!$B$4:$AY$139,LS_current!J$149, FALSE))/2)</f>
        <v>-879.11117835440382</v>
      </c>
      <c r="BU9" s="382">
        <f t="array" ref="BU9">IF($BI9=0, INDEX(LS_current!$D$4:$AY$139, MATCH('Staging Table'!$A9, LS_current!$B$4:$B$139, 0), MATCH(BU$4&amp;BU$5, LS_current!$D$2:$AY$2&amp;LS_current!$D$3:$AY$3, 0)),SUM(VLOOKUP($A9, LS_current!$B$4:$AY$139, LS_current!K$149, FALSE), VLOOKUP($A9, LS_current!$B$4:$AY$139,LS_current!K$149, FALSE))/2)</f>
        <v>2032.3410246129915</v>
      </c>
      <c r="BV9" s="382">
        <f t="array" ref="BV9">IF($BI9=0, INDEX(LS_current!$D$4:$AY$139, MATCH('Staging Table'!$A9, LS_current!$B$4:$B$139, 0), MATCH(BV$4&amp;BV$5, LS_current!$D$2:$AY$2&amp;LS_current!$D$3:$AY$3, 0)),SUM(VLOOKUP($A9, LS_current!$B$4:$AY$139, LS_current!L$149, FALSE), VLOOKUP($A9, LS_current!$B$4:$AY$139,LS_current!L$149, FALSE))/2)</f>
        <v>-1945.201018617081</v>
      </c>
      <c r="BW9" s="382">
        <f t="array" ref="BW9">IF($BI9=0, INDEX(LS_current!$D$4:$AY$139, MATCH('Staging Table'!$A9, LS_current!$B$4:$B$139, 0), MATCH(BW$4&amp;BW$5, LS_current!$D$2:$AY$2&amp;LS_current!$D$3:$AY$3, 0)),SUM(VLOOKUP($A9, LS_current!$B$4:$AY$139, LS_current!M$149, FALSE), VLOOKUP($A9, LS_current!$B$4:$AY$139,LS_current!M$149, FALSE))/2)</f>
        <v>741.07874656494459</v>
      </c>
      <c r="BX9" s="382">
        <f t="array" ref="BX9">IF($BI9=0, INDEX(LS_current!$D$4:$AY$139, MATCH('Staging Table'!$A9, LS_current!$B$4:$B$139, 0), MATCH(BX$4&amp;BX$5, LS_current!$D$2:$AY$2&amp;LS_current!$D$3:$AY$3, 0)),SUM(VLOOKUP($A9, LS_current!$B$4:$AY$139, LS_current!N$149, FALSE), VLOOKUP($A9, LS_current!$B$4:$AY$139,LS_current!N$149, FALSE))/2)</f>
        <v>-7798.7001694721766</v>
      </c>
      <c r="BY9" s="382">
        <f t="array" ref="BY9">IF($BI9=0, INDEX(LS_current!$D$4:$AY$139, MATCH('Staging Table'!$A9, LS_current!$B$4:$B$139, 0), MATCH(BY$4&amp;BY$5, LS_current!$D$2:$AY$2&amp;LS_current!$D$3:$AY$3, 0)),SUM(VLOOKUP($A9, LS_current!$B$4:$AY$139, LS_current!O$149, FALSE), VLOOKUP($A9, LS_current!$B$4:$AY$139,LS_current!O$149, FALSE))/2)</f>
        <v>-1928.2133961274831</v>
      </c>
      <c r="BZ9" s="382">
        <f t="array" ref="BZ9">IF($BI9=0, INDEX(LS_current!$D$4:$AY$139, MATCH('Staging Table'!$A9, LS_current!$B$4:$B$139, 0), MATCH(BZ$4&amp;BZ$5, LS_current!$D$2:$AY$2&amp;LS_current!$D$3:$AY$3, 0)),SUM(VLOOKUP($A9, LS_current!$B$4:$AY$139, LS_current!P$149, FALSE), VLOOKUP($A9, LS_current!$B$4:$AY$139,LS_current!P$149, FALSE))/2)</f>
        <v>-1693.4560753399601</v>
      </c>
      <c r="CA9" s="382">
        <f t="array" ref="CA9">IF($BI9=0, INDEX(LS_current!$D$4:$AY$139, MATCH('Staging Table'!$A9, LS_current!$B$4:$B$139, 0), MATCH(CA$4&amp;CA$5, LS_current!$D$2:$AY$2&amp;LS_current!$D$3:$AY$3, 0)),SUM(VLOOKUP($A9, LS_current!$B$4:$AY$139, LS_current!Q$149, FALSE), VLOOKUP($A9, LS_current!$B$4:$AY$139,LS_current!Q$149, FALSE))/2)</f>
        <v>1060.922337582746</v>
      </c>
      <c r="CB9" s="382">
        <f t="array" ref="CB9">IF($BI9=0, INDEX(LS_current!$D$4:$AY$139, MATCH('Staging Table'!$A9, LS_current!$B$4:$B$139, 0), MATCH(CB$4&amp;CB$5, LS_current!$D$2:$AY$2&amp;LS_current!$D$3:$AY$3, 0)),SUM(VLOOKUP($A9, LS_current!$B$4:$AY$139, LS_current!R$149, FALSE), VLOOKUP($A9, LS_current!$B$4:$AY$139,LS_current!R$149, FALSE))/2)</f>
        <v>-9895.5714974279581</v>
      </c>
      <c r="CC9" s="382">
        <f t="array" ref="CC9">IF($BI9=0, INDEX(LS_current!$D$4:$AY$139, MATCH('Staging Table'!$A9, LS_current!$B$4:$B$139, 0), MATCH(CC$4&amp;CC$5, LS_current!$D$2:$AY$2&amp;LS_current!$D$3:$AY$3, 0)),SUM(VLOOKUP($A9, LS_current!$B$4:$AY$139, LS_current!S$149, FALSE), VLOOKUP($A9, LS_current!$B$4:$AY$139,LS_current!S$149, FALSE))/2)</f>
        <v>-2788.7961182805229</v>
      </c>
      <c r="CD9" s="382">
        <f t="array" ref="CD9">IF($BI9=0, INDEX(LS_current!$D$4:$AY$139, MATCH('Staging Table'!$A9, LS_current!$B$4:$B$139, 0), MATCH(CD$4&amp;CD$5, LS_current!$D$2:$AY$2&amp;LS_current!$D$3:$AY$3, 0)),SUM(VLOOKUP($A9, LS_current!$B$4:$AY$139, LS_current!T$149, FALSE), VLOOKUP($A9, LS_current!$B$4:$AY$139,LS_current!T$149, FALSE))/2)</f>
        <v>-2010.1108567345655</v>
      </c>
      <c r="CE9" s="382">
        <f t="array" ref="CE9">IF($BI9=0, INDEX(LS_current!$D$4:$AY$139, MATCH('Staging Table'!$A9, LS_current!$B$4:$B$139, 0), MATCH(CE$4&amp;CE$5, LS_current!$D$2:$AY$2&amp;LS_current!$D$3:$AY$3, 0)),SUM(VLOOKUP($A9, LS_current!$B$4:$AY$139, LS_current!U$149, FALSE), VLOOKUP($A9, LS_current!$B$4:$AY$139,LS_current!U$149, FALSE))/2)</f>
        <v>3693.9297824174173</v>
      </c>
      <c r="CF9" s="382">
        <f t="array" ref="CF9">IF($BI9=0, INDEX(LS_current!$D$4:$AY$139, MATCH('Staging Table'!$A9, LS_current!$B$4:$B$139, 0), MATCH(CF$4&amp;CF$5, LS_current!$D$2:$AY$2&amp;LS_current!$D$3:$AY$3, 0)),SUM(VLOOKUP($A9, LS_current!$B$4:$AY$139, LS_current!V$149, FALSE), VLOOKUP($A9, LS_current!$B$4:$AY$139,LS_current!V$149, FALSE))/2)</f>
        <v>10463.566739137681</v>
      </c>
      <c r="CG9" s="382">
        <f t="array" ref="CG9">IF($BI9=0, INDEX(LS_current!$D$4:$AY$139, MATCH('Staging Table'!$A9, LS_current!$B$4:$B$139, 0), MATCH(CG$4&amp;CG$5, LS_current!$D$2:$AY$2&amp;LS_current!$D$3:$AY$3, 0)),SUM(VLOOKUP($A9, LS_current!$B$4:$AY$139, LS_current!W$149, FALSE), VLOOKUP($A9, LS_current!$B$4:$AY$139,LS_current!W$149, FALSE))/2)</f>
        <v>10219.562402691405</v>
      </c>
      <c r="CH9" s="382">
        <f t="array" ref="CH9">IF($BI9=0, INDEX(LS_current!$D$4:$AY$139, MATCH('Staging Table'!$A9, LS_current!$B$4:$B$139, 0), MATCH(CH$4&amp;CH$5, LS_current!$D$2:$AY$2&amp;LS_current!$D$3:$AY$3, 0)),SUM(VLOOKUP($A9, LS_current!$B$4:$AY$139, LS_current!X$149, FALSE), VLOOKUP($A9, LS_current!$B$4:$AY$139,LS_current!X$149, FALSE))/2)</f>
        <v>4665.5985283424598</v>
      </c>
      <c r="CI9" s="382">
        <f t="array" ref="CI9">IF($BI9=0, INDEX(LS_current!$D$4:$AY$139, MATCH('Staging Table'!$A9, LS_current!$B$4:$B$139, 0), MATCH(CI$4&amp;CI$5, LS_current!$D$2:$AY$2&amp;LS_current!$D$3:$AY$3, 0)),SUM(VLOOKUP($A9, LS_current!$B$4:$AY$139, LS_current!Y$149, FALSE), VLOOKUP($A9, LS_current!$B$4:$AY$139,LS_current!Y$149, FALSE))/2)</f>
        <v>7024.694940205969</v>
      </c>
      <c r="CJ9" s="382">
        <f t="array" ref="CJ9">IF($BI9=0, INDEX(LS_current!$D$4:$AY$139, MATCH('Staging Table'!$A9, LS_current!$B$4:$B$139, 0), MATCH(CJ$4&amp;CJ$5, LS_current!$D$2:$AY$2&amp;LS_current!$D$3:$AY$3, 0)),SUM(VLOOKUP($A9, LS_current!$B$4:$AY$139, LS_current!Z$149, FALSE), VLOOKUP($A9, LS_current!$B$4:$AY$139,LS_current!Z$149, FALSE))/2)</f>
        <v>-3231.9665720972553</v>
      </c>
      <c r="CK9" s="382">
        <f t="array" ref="CK9">IF($BI9=0, INDEX(LS_current!$D$4:$AY$139, MATCH('Staging Table'!$A9, LS_current!$B$4:$B$139, 0), MATCH(CK$4&amp;CK$5, LS_current!$D$2:$AY$2&amp;LS_current!$D$3:$AY$3, 0)),SUM(VLOOKUP($A9, LS_current!$B$4:$AY$139, LS_current!AA$149, FALSE), VLOOKUP($A9, LS_current!$B$4:$AY$139,LS_current!AA$149, FALSE))/2)</f>
        <v>2278.6740001919279</v>
      </c>
      <c r="CL9" s="384">
        <f t="array" ref="CL9">INDEX(Demand_current!$D$4:$AY$138, MATCH($A9, Demand_current!$B$4:$B$138, 0), MATCH(CL$4&amp;CL$5,Demand_current!$D$2:$AY$2&amp;Demand_current!$D$3:$AY$3, 0))/1000</f>
        <v>3.3018846153846155</v>
      </c>
      <c r="CM9" s="384">
        <f t="array" ref="CM9">INDEX(Demand_current!$D$4:$AY$138, MATCH($A9, Demand_current!$B$4:$B$138, 0), MATCH(CM$4&amp;CM$5,Demand_current!$D$2:$AY$2&amp;Demand_current!$D$3:$AY$3, 0))/1000</f>
        <v>0.69683250000000996</v>
      </c>
      <c r="CN9" s="384">
        <f t="array" ref="CN9">INDEX(Demand_current!$D$4:$AY$138, MATCH($A9, Demand_current!$B$4:$B$138, 0), MATCH(CN$4&amp;CN$5,Demand_current!$D$2:$AY$2&amp;Demand_current!$D$3:$AY$3, 0))/1000</f>
        <v>10.148200000000001</v>
      </c>
      <c r="CO9" s="384">
        <f t="array" ref="CO9">INDEX(Demand_current!$D$4:$AY$138, MATCH($A9, Demand_current!$B$4:$B$138, 0), MATCH(CO$4&amp;CO$5,Demand_current!$D$2:$AY$2&amp;Demand_current!$D$3:$AY$3, 0))/1000</f>
        <v>10.442497596153856</v>
      </c>
      <c r="CP9" s="384">
        <f t="array" ref="CP9">INDEX(Demand_current!$D$4:$AY$138, MATCH($A9, Demand_current!$B$4:$B$138, 0), MATCH(CP$4&amp;CP$5,Demand_current!$D$2:$AY$2&amp;Demand_current!$D$3:$AY$3, 0))/1000</f>
        <v>6.2743359375000054</v>
      </c>
      <c r="CQ9" s="384">
        <f t="array" ref="CQ9">INDEX(Demand_current!$D$4:$AY$138, MATCH($A9, Demand_current!$B$4:$B$138, 0), MATCH(CQ$4&amp;CQ$5,Demand_current!$D$2:$AY$2&amp;Demand_current!$D$3:$AY$3, 0))/1000</f>
        <v>5.6244560185185115</v>
      </c>
      <c r="CR9" s="384">
        <f t="array" ref="CR9">INDEX(Demand_current!$D$4:$AY$138, MATCH($A9, Demand_current!$B$4:$B$138, 0), MATCH(CR$4&amp;CR$5,Demand_current!$D$2:$AY$2&amp;Demand_current!$D$3:$AY$3, 0))/1000</f>
        <v>0</v>
      </c>
      <c r="CS9" s="384">
        <f t="array" ref="CS9">INDEX(Demand_current!$D$4:$AY$138, MATCH($A9, Demand_current!$B$4:$B$138, 0), MATCH(CS$4&amp;CS$5,Demand_current!$D$2:$AY$2&amp;Demand_current!$D$3:$AY$3, 0))/1000</f>
        <v>3.9438389423076998</v>
      </c>
      <c r="CT9" s="384">
        <f t="array" ref="CT9">INDEX(Demand_current!$D$4:$AY$138, MATCH($A9, Demand_current!$B$4:$B$138, 0), MATCH(CT$4&amp;CT$5,Demand_current!$D$2:$AY$2&amp;Demand_current!$D$3:$AY$3, 0))/1000</f>
        <v>11.171954326923077</v>
      </c>
      <c r="CU9" s="384">
        <f t="array" ref="CU9">INDEX(Demand_current!$D$4:$AY$138, MATCH($A9, Demand_current!$B$4:$B$138, 0), MATCH(CU$4&amp;CU$5,Demand_current!$D$2:$AY$2&amp;Demand_current!$D$3:$AY$3, 0))/1000</f>
        <v>8.2902700000000031</v>
      </c>
      <c r="CV9" s="384">
        <f t="array" ref="CV9">INDEX(Demand_current!$D$4:$AY$138, MATCH($A9, Demand_current!$B$4:$B$138, 0), MATCH(CV$4&amp;CV$5,Demand_current!$D$2:$AY$2&amp;Demand_current!$D$3:$AY$3, 0))/1000</f>
        <v>9.3289074074074136</v>
      </c>
      <c r="CW9" s="384">
        <f t="array" ref="CW9">INDEX(Demand_current!$D$4:$AY$138, MATCH($A9, Demand_current!$B$4:$B$138, 0), MATCH(CW$4&amp;CW$5,Demand_current!$D$2:$AY$2&amp;Demand_current!$D$3:$AY$3, 0))/1000</f>
        <v>13.2059609375</v>
      </c>
      <c r="CX9" s="384">
        <f>IF(D9=0,IF(C9=0,MAX(0,DA9 - (VLOOKUP($A9,TOCA_current!$A$2:$AI$137,MATCH("RHWM 2018",TOCA_current!$A$2:$AI$2,0),FALSE)*$BH$2)), 0),0)</f>
        <v>0</v>
      </c>
      <c r="CY9" s="427">
        <f>VLOOKUP($A9,REP_current!$A$1:$D$135,MATCH("FY "&amp;$BH$1&amp; " Total Refund",REP_current!$A$1:$D$1,0),0)</f>
        <v>701205.67308877385</v>
      </c>
      <c r="CZ9" s="432">
        <f>MIN(VLOOKUP($A9,TOCA_current!$A$2:$AI$137,MATCH("TRL - NLSL - Existing Resource "&amp;$BH$1,TOCA_current!$A$2:$AI$2,0),FALSE)*$BH$2, VLOOKUP($A9,TOCA_current!$A$2:$AI$137,MATCH("RHWM 2018",TOCA_current!$A$2:$AI$2,0),FALSE)*$BH$2)</f>
        <v>514229.51999999996</v>
      </c>
      <c r="DA9" s="397">
        <f>SUM(BN9:CK9)+(BH9*RT1SC!$C$4*$BH$2)</f>
        <v>506423.80150216422</v>
      </c>
      <c r="DB9" s="432">
        <f>VLOOKUP($A9,TOCA_current!$A$2:$AI$137,MATCH("Above RHWM Not Served with LS "&amp;$BH$1,TOCA_current!$A$2:$AI$2,0),FALSE)*$BH$2</f>
        <v>66392.039999999994</v>
      </c>
      <c r="DC9" s="401">
        <f t="shared" si="11"/>
        <v>-7805.71849783574</v>
      </c>
      <c r="DD9" s="397">
        <f>(VLOOKUP($A9,TOCA_current!$A$2:$AI$137,MATCH("RHWM 2018",TOCA_current!$A$2:$AI$2,0),FALSE)*$BH$2) - $CZ9</f>
        <v>0</v>
      </c>
      <c r="DE9" s="397">
        <f t="shared" si="12"/>
        <v>0</v>
      </c>
      <c r="DF9" s="397">
        <f t="shared" si="13"/>
        <v>0</v>
      </c>
      <c r="DG9" s="397">
        <f t="shared" si="14"/>
        <v>0</v>
      </c>
      <c r="DH9" s="397">
        <f t="shared" si="15"/>
        <v>0</v>
      </c>
    </row>
    <row r="10" spans="1:112">
      <c r="A10" s="274">
        <v>10027</v>
      </c>
      <c r="B10" s="275" t="s">
        <v>11</v>
      </c>
      <c r="C10" s="397">
        <v>0</v>
      </c>
      <c r="D10" s="397">
        <v>0</v>
      </c>
      <c r="E10" s="205">
        <f>VLOOKUP($A10,TOCA_previous!$A$2:$AI$137,MATCH(E$4,TOCA_previous!$A$2:$AI$2,0),FALSE)</f>
        <v>8.6777E-3</v>
      </c>
      <c r="F10" s="206">
        <f>VLOOKUP($A10,TOCA_previous!$A$2:$AI$137,MATCH(F$4,TOCA_previous!$A$2:$AI$2,0),FALSE)</f>
        <v>8.6777E-3</v>
      </c>
      <c r="G10" s="206">
        <f t="shared" si="0"/>
        <v>0</v>
      </c>
      <c r="H10" s="206">
        <f>VLOOKUP($A10,TOCA_previous!$A$2:$AI$137,MATCH(H$4,TOCA_previous!$A$2:$AI$2,0),FALSE)</f>
        <v>7.0120000000000002E-2</v>
      </c>
      <c r="I10" s="206">
        <f t="shared" si="1"/>
        <v>0</v>
      </c>
      <c r="J10" s="206">
        <f t="shared" si="2"/>
        <v>0</v>
      </c>
      <c r="K10" s="381">
        <f>VLOOKUP(A10, IRD!$A$5:$C$139, 3, FALSE)</f>
        <v>209669.54</v>
      </c>
      <c r="L10" s="382">
        <f t="array" ref="L10">IF($G10=0, INDEX(LS_previous!$D$4:$AY$138, MATCH('Staging Table'!$A10, LS_previous!$B$4:$B$138, 0), MATCH(L$4&amp;L$5, LS_previous!$D$2:$AY$2&amp;LS_previous!$D$3:$AY$3, 0)),SUM(VLOOKUP($A10, LS_previous!$B$4:$AY$138, LS_previous!D$149, FALSE), VLOOKUP('Staging Table'!$A10, LS_previous!$B$4:$AY$138,LS_previous!AB$149, FALSE))/2)</f>
        <v>-3546.0643528919209</v>
      </c>
      <c r="M10" s="382">
        <f t="array" ref="M10">IF($G10=0, INDEX(LS_previous!$D$4:$AY$138, MATCH('Staging Table'!$A10, LS_previous!$B$4:$B$138, 0), MATCH(M$4&amp;M$5, LS_previous!$D$2:$AY$2&amp;LS_previous!$D$3:$AY$3, 0)),SUM(VLOOKUP($A10, LS_previous!$B$4:$AY$138, LS_previous!E$149, FALSE), VLOOKUP('Staging Table'!$A10, LS_previous!$B$4:$AY$138,LS_previous!AC$149, FALSE))/2)</f>
        <v>437.90267345156644</v>
      </c>
      <c r="N10" s="382">
        <f t="array" ref="N10">IF($G10=0, INDEX(LS_previous!$D$4:$AY$138, MATCH('Staging Table'!$A10, LS_previous!$B$4:$B$138, 0), MATCH(N$4&amp;N$5, LS_previous!$D$2:$AY$2&amp;LS_previous!$D$3:$AY$3, 0)),SUM(VLOOKUP($A10, LS_previous!$B$4:$AY$138, LS_previous!F$149, FALSE), VLOOKUP('Staging Table'!$A10, LS_previous!$B$4:$AY$138,LS_previous!AD$149, FALSE))/2)</f>
        <v>-16457.772278085926</v>
      </c>
      <c r="O10" s="382">
        <f t="array" ref="O10">IF($G10=0, INDEX(LS_previous!$D$4:$AY$138, MATCH('Staging Table'!$A10, LS_previous!$B$4:$B$138, 0), MATCH(O$4&amp;O$5, LS_previous!$D$2:$AY$2&amp;LS_previous!$D$3:$AY$3, 0)),SUM(VLOOKUP($A10, LS_previous!$B$4:$AY$138, LS_previous!G$149, FALSE), VLOOKUP('Staging Table'!$A10, LS_previous!$B$4:$AY$138,LS_previous!AE$149, FALSE))/2)</f>
        <v>-7904.2246008842358</v>
      </c>
      <c r="P10" s="382">
        <f t="array" ref="P10">IF($G10=0, INDEX(LS_previous!$D$4:$AY$138, MATCH('Staging Table'!$A10, LS_previous!$B$4:$B$138, 0), MATCH(P$4&amp;P$5, LS_previous!$D$2:$AY$2&amp;LS_previous!$D$3:$AY$3, 0)),SUM(VLOOKUP($A10, LS_previous!$B$4:$AY$138, LS_previous!H$149, FALSE), VLOOKUP('Staging Table'!$A10, LS_previous!$B$4:$AY$138,LS_previous!AF$149, FALSE))/2)</f>
        <v>-12855.246652401245</v>
      </c>
      <c r="Q10" s="382">
        <f t="array" ref="Q10">IF($G10=0, INDEX(LS_previous!$D$4:$AY$138, MATCH('Staging Table'!$A10, LS_previous!$B$4:$B$138, 0), MATCH(Q$4&amp;Q$5, LS_previous!$D$2:$AY$2&amp;LS_previous!$D$3:$AY$3, 0)),SUM(VLOOKUP($A10, LS_previous!$B$4:$AY$138, LS_previous!I$149, FALSE), VLOOKUP('Staging Table'!$A10, LS_previous!$B$4:$AY$138,LS_previous!AG$149, FALSE))/2)</f>
        <v>-5814.0926326923163</v>
      </c>
      <c r="R10" s="382">
        <f t="array" ref="R10">IF($G10=0, INDEX(LS_previous!$D$4:$AY$138, MATCH('Staging Table'!$A10, LS_previous!$B$4:$B$138, 0), MATCH(R$4&amp;R$5, LS_previous!$D$2:$AY$2&amp;LS_previous!$D$3:$AY$3, 0)),SUM(VLOOKUP($A10, LS_previous!$B$4:$AY$138, LS_previous!J$149, FALSE), VLOOKUP('Staging Table'!$A10, LS_previous!$B$4:$AY$138,LS_previous!AH$149, FALSE))/2)</f>
        <v>-10381.639034437816</v>
      </c>
      <c r="S10" s="382">
        <f t="array" ref="S10">IF($G10=0, INDEX(LS_previous!$D$4:$AY$138, MATCH('Staging Table'!$A10, LS_previous!$B$4:$B$138, 0), MATCH(S$4&amp;S$5, LS_previous!$D$2:$AY$2&amp;LS_previous!$D$3:$AY$3, 0)),SUM(VLOOKUP($A10, LS_previous!$B$4:$AY$138, LS_previous!K$149, FALSE), VLOOKUP('Staging Table'!$A10, LS_previous!$B$4:$AY$138,LS_previous!AI$149, FALSE))/2)</f>
        <v>-4716.0492842357835</v>
      </c>
      <c r="T10" s="382">
        <f t="array" ref="T10">IF($G10=0, INDEX(LS_previous!$D$4:$AY$138, MATCH('Staging Table'!$A10, LS_previous!$B$4:$B$138, 0), MATCH(T$4&amp;T$5, LS_previous!$D$2:$AY$2&amp;LS_previous!$D$3:$AY$3, 0)),SUM(VLOOKUP($A10, LS_previous!$B$4:$AY$138, LS_previous!L$149, FALSE), VLOOKUP('Staging Table'!$A10, LS_previous!$B$4:$AY$138,LS_previous!AJ$149, FALSE))/2)</f>
        <v>-9679.281605942735</v>
      </c>
      <c r="U10" s="382">
        <f t="array" ref="U10">IF($G10=0, INDEX(LS_previous!$D$4:$AY$138, MATCH('Staging Table'!$A10, LS_previous!$B$4:$B$138, 0), MATCH(U$4&amp;U$5, LS_previous!$D$2:$AY$2&amp;LS_previous!$D$3:$AY$3, 0)),SUM(VLOOKUP($A10, LS_previous!$B$4:$AY$138, LS_previous!M$149, FALSE), VLOOKUP('Staging Table'!$A10, LS_previous!$B$4:$AY$138,LS_previous!AK$149, FALSE))/2)</f>
        <v>-4414.7613503210578</v>
      </c>
      <c r="V10" s="382">
        <f t="array" ref="V10">IF($G10=0, INDEX(LS_previous!$D$4:$AY$138, MATCH('Staging Table'!$A10, LS_previous!$B$4:$B$138, 0), MATCH(V$4&amp;V$5, LS_previous!$D$2:$AY$2&amp;LS_previous!$D$3:$AY$3, 0)),SUM(VLOOKUP($A10, LS_previous!$B$4:$AY$138, LS_previous!N$149, FALSE), VLOOKUP('Staging Table'!$A10, LS_previous!$B$4:$AY$138,LS_previous!AL$149, FALSE))/2)</f>
        <v>-12874.071416871453</v>
      </c>
      <c r="W10" s="382">
        <f t="array" ref="W10">IF($G10=0, INDEX(LS_previous!$D$4:$AY$138, MATCH('Staging Table'!$A10, LS_previous!$B$4:$B$138, 0), MATCH(W$4&amp;W$5, LS_previous!$D$2:$AY$2&amp;LS_previous!$D$3:$AY$3, 0)),SUM(VLOOKUP($A10, LS_previous!$B$4:$AY$138, LS_previous!O$149, FALSE), VLOOKUP('Staging Table'!$A10, LS_previous!$B$4:$AY$138,LS_previous!AM$149, FALSE))/2)</f>
        <v>-7072.5209746240635</v>
      </c>
      <c r="X10" s="382">
        <f t="array" ref="X10">IF($G10=0, INDEX(LS_previous!$D$4:$AY$138, MATCH('Staging Table'!$A10, LS_previous!$B$4:$B$138, 0), MATCH(X$4&amp;X$5, LS_previous!$D$2:$AY$2&amp;LS_previous!$D$3:$AY$3, 0)),SUM(VLOOKUP($A10, LS_previous!$B$4:$AY$138, LS_previous!P$149, FALSE), VLOOKUP('Staging Table'!$A10, LS_previous!$B$4:$AY$138,LS_previous!AN$149, FALSE))/2)</f>
        <v>1479.0666983931442</v>
      </c>
      <c r="Y10" s="382">
        <f t="array" ref="Y10">IF($G10=0, INDEX(LS_previous!$D$4:$AY$138, MATCH('Staging Table'!$A10, LS_previous!$B$4:$B$138, 0), MATCH(Y$4&amp;Y$5, LS_previous!$D$2:$AY$2&amp;LS_previous!$D$3:$AY$3, 0)),SUM(VLOOKUP($A10, LS_previous!$B$4:$AY$138, LS_previous!Q$149, FALSE), VLOOKUP('Staging Table'!$A10, LS_previous!$B$4:$AY$138,LS_previous!AO$149, FALSE))/2)</f>
        <v>2610.3344995476327</v>
      </c>
      <c r="Z10" s="382">
        <f t="array" ref="Z10">IF($G10=0, INDEX(LS_previous!$D$4:$AY$138, MATCH('Staging Table'!$A10, LS_previous!$B$4:$B$138, 0), MATCH(Z$4&amp;Z$5, LS_previous!$D$2:$AY$2&amp;LS_previous!$D$3:$AY$3, 0)),SUM(VLOOKUP($A10, LS_previous!$B$4:$AY$138, LS_previous!R$149, FALSE), VLOOKUP('Staging Table'!$A10, LS_previous!$B$4:$AY$138,LS_previous!AP$149, FALSE))/2)</f>
        <v>-443.83684864364477</v>
      </c>
      <c r="AA10" s="382">
        <f t="array" ref="AA10">IF($G10=0, INDEX(LS_previous!$D$4:$AY$138, MATCH('Staging Table'!$A10, LS_previous!$B$4:$B$138, 0), MATCH(AA$4&amp;AA$5, LS_previous!$D$2:$AY$2&amp;LS_previous!$D$3:$AY$3, 0)),SUM(VLOOKUP($A10, LS_previous!$B$4:$AY$138, LS_previous!S$149, FALSE), VLOOKUP('Staging Table'!$A10, LS_previous!$B$4:$AY$138,LS_previous!AQ$149, FALSE))/2)</f>
        <v>6751.5511412213455</v>
      </c>
      <c r="AB10" s="382">
        <f t="array" ref="AB10">IF($G10=0, INDEX(LS_previous!$D$4:$AY$138, MATCH('Staging Table'!$A10, LS_previous!$B$4:$B$138, 0), MATCH(AB$4&amp;AB$5, LS_previous!$D$2:$AY$2&amp;LS_previous!$D$3:$AY$3, 0)),SUM(VLOOKUP($A10, LS_previous!$B$4:$AY$138, LS_previous!T$149, FALSE), VLOOKUP('Staging Table'!$A10, LS_previous!$B$4:$AY$138,LS_previous!AR$149, FALSE))/2)</f>
        <v>12401.610695650477</v>
      </c>
      <c r="AC10" s="382">
        <f t="array" ref="AC10">IF($G10=0, INDEX(LS_previous!$D$4:$AY$138, MATCH('Staging Table'!$A10, LS_previous!$B$4:$B$138, 0), MATCH(AC$4&amp;AC$5, LS_previous!$D$2:$AY$2&amp;LS_previous!$D$3:$AY$3, 0)),SUM(VLOOKUP($A10, LS_previous!$B$4:$AY$138, LS_previous!U$149, FALSE), VLOOKUP('Staging Table'!$A10, LS_previous!$B$4:$AY$138,LS_previous!AS$149, FALSE))/2)</f>
        <v>12111.226630684381</v>
      </c>
      <c r="AD10" s="382">
        <f t="array" ref="AD10">IF($G10=0, INDEX(LS_previous!$D$4:$AY$138, MATCH('Staging Table'!$A10, LS_previous!$B$4:$B$138, 0), MATCH(AD$4&amp;AD$5, LS_previous!$D$2:$AY$2&amp;LS_previous!$D$3:$AY$3, 0)),SUM(VLOOKUP($A10, LS_previous!$B$4:$AY$138, LS_previous!V$149, FALSE), VLOOKUP('Staging Table'!$A10, LS_previous!$B$4:$AY$138,LS_previous!AT$149, FALSE))/2)</f>
        <v>18132.916526628866</v>
      </c>
      <c r="AE10" s="382">
        <f t="array" ref="AE10">IF($G10=0, INDEX(LS_previous!$D$4:$AY$138, MATCH('Staging Table'!$A10, LS_previous!$B$4:$B$138, 0), MATCH(AE$4&amp;AE$5, LS_previous!$D$2:$AY$2&amp;LS_previous!$D$3:$AY$3, 0)),SUM(VLOOKUP($A10, LS_previous!$B$4:$AY$138, LS_previous!W$149, FALSE), VLOOKUP('Staging Table'!$A10, LS_previous!$B$4:$AY$138,LS_previous!AU$149, FALSE))/2)</f>
        <v>20001.919468073716</v>
      </c>
      <c r="AF10" s="382">
        <f t="array" ref="AF10">IF($G10=0, INDEX(LS_previous!$D$4:$AY$138, MATCH('Staging Table'!$A10, LS_previous!$B$4:$B$138, 0), MATCH(AF$4&amp;AF$5, LS_previous!$D$2:$AY$2&amp;LS_previous!$D$3:$AY$3, 0)),SUM(VLOOKUP($A10, LS_previous!$B$4:$AY$138, LS_previous!X$149, FALSE), VLOOKUP('Staging Table'!$A10, LS_previous!$B$4:$AY$138,LS_previous!AV$149, FALSE))/2)</f>
        <v>13682.822278096835</v>
      </c>
      <c r="AG10" s="382">
        <f t="array" ref="AG10">IF($G10=0, INDEX(LS_previous!$D$4:$AY$138, MATCH('Staging Table'!$A10, LS_previous!$B$4:$B$138, 0), MATCH(AG$4&amp;AG$5, LS_previous!$D$2:$AY$2&amp;LS_previous!$D$3:$AY$3, 0)),SUM(VLOOKUP($A10, LS_previous!$B$4:$AY$138, LS_previous!Y$149, FALSE), VLOOKUP('Staging Table'!$A10, LS_previous!$B$4:$AY$138,LS_previous!AW$149, FALSE))/2)</f>
        <v>14910.454931584025</v>
      </c>
      <c r="AH10" s="382">
        <f t="array" ref="AH10">IF($G10=0, INDEX(LS_previous!$D$4:$AY$138, MATCH('Staging Table'!$A10, LS_previous!$B$4:$B$138, 0), MATCH(AH$4&amp;AH$5, LS_previous!$D$2:$AY$2&amp;LS_previous!$D$3:$AY$3, 0)),SUM(VLOOKUP($A10, LS_previous!$B$4:$AY$138, LS_previous!Z$149, FALSE), VLOOKUP('Staging Table'!$A10, LS_previous!$B$4:$AY$138,LS_previous!AX$149, FALSE))/2)</f>
        <v>9145.2635715066463</v>
      </c>
      <c r="AI10" s="382">
        <f t="array" ref="AI10">IF($G10=0, INDEX(LS_previous!$D$4:$AY$138, MATCH('Staging Table'!$A10, LS_previous!$B$4:$B$138, 0), MATCH(AI$4&amp;AI$5, LS_previous!$D$2:$AY$2&amp;LS_previous!$D$3:$AY$3, 0)),SUM(VLOOKUP($A10, LS_previous!$B$4:$AY$138, LS_previous!AA$149, FALSE), VLOOKUP('Staging Table'!$A10, LS_previous!$B$4:$AY$138,LS_previous!AY$149, FALSE))/2)</f>
        <v>9644.0870377659157</v>
      </c>
      <c r="AJ10" s="384">
        <f t="array" ref="AJ10">INDEX(Demand_previous!$D$4:$AY$138, MATCH('Staging Table'!$A10, Demand_previous!$B$4:$B$138, 0), MATCH(AJ$4&amp;AJ$5,Demand_previous!$D$2:$AY$2&amp;Demand_previous!$D$3:$AY$3, 0))/1000</f>
        <v>9.2926180555555646</v>
      </c>
      <c r="AK10" s="384">
        <f t="array" ref="AK10">INDEX(Demand_previous!$D$4:$AY$138, MATCH('Staging Table'!$A10, Demand_previous!$B$4:$B$138, 0), MATCH(AK$4&amp;AK$5,Demand_previous!$D$2:$AY$2&amp;Demand_previous!$D$3:$AY$3, 0))/1000</f>
        <v>2.9297343749999989</v>
      </c>
      <c r="AL10" s="384">
        <f t="array" ref="AL10">INDEX(Demand_previous!$D$4:$AY$138, MATCH('Staging Table'!$A10, Demand_previous!$B$4:$B$138, 0), MATCH(AL$4&amp;AL$5,Demand_previous!$D$2:$AY$2&amp;Demand_previous!$D$3:$AY$3, 0))/1000</f>
        <v>7.6343293269230825</v>
      </c>
      <c r="AM10" s="384">
        <f t="array" ref="AM10">INDEX(Demand_previous!$D$4:$AY$138, MATCH('Staging Table'!$A10, Demand_previous!$B$4:$B$138, 0), MATCH(AM$4&amp;AM$5,Demand_previous!$D$2:$AY$2&amp;Demand_previous!$D$3:$AY$3, 0))/1000</f>
        <v>7.1834675000000026</v>
      </c>
      <c r="AN10" s="384">
        <f t="array" ref="AN10">INDEX(Demand_previous!$D$4:$AY$138, MATCH('Staging Table'!$A10, Demand_previous!$B$4:$B$138, 0), MATCH(AN$4&amp;AN$5,Demand_previous!$D$2:$AY$2&amp;Demand_previous!$D$3:$AY$3, 0))/1000</f>
        <v>2.9497574999999969</v>
      </c>
      <c r="AO10" s="384">
        <f t="array" ref="AO10">INDEX(Demand_previous!$D$4:$AY$138, MATCH('Staging Table'!$A10, Demand_previous!$B$4:$B$138, 0), MATCH(AO$4&amp;AO$5,Demand_previous!$D$2:$AY$2&amp;Demand_previous!$D$3:$AY$3, 0))/1000</f>
        <v>3.975210648148142</v>
      </c>
      <c r="AP10" s="384">
        <f t="array" ref="AP10">INDEX(Demand_previous!$D$4:$AY$138, MATCH('Staging Table'!$A10, Demand_previous!$B$4:$B$138, 0), MATCH(AP$4&amp;AP$5,Demand_previous!$D$2:$AY$2&amp;Demand_previous!$D$3:$AY$3, 0))/1000</f>
        <v>8.3328774038461582</v>
      </c>
      <c r="AQ10" s="384">
        <f t="array" ref="AQ10">INDEX(Demand_previous!$D$4:$AY$138, MATCH('Staging Table'!$A10, Demand_previous!$B$4:$B$138, 0), MATCH(AQ$4&amp;AQ$5,Demand_previous!$D$2:$AY$2&amp;Demand_previous!$D$3:$AY$3, 0))/1000</f>
        <v>0</v>
      </c>
      <c r="AR10" s="384">
        <f t="array" ref="AR10">INDEX(Demand_previous!$D$4:$AY$138, MATCH('Staging Table'!$A10, Demand_previous!$B$4:$B$138, 0), MATCH(AR$4&amp;AR$5,Demand_previous!$D$2:$AY$2&amp;Demand_previous!$D$3:$AY$3, 0))/1000</f>
        <v>12.75117307692307</v>
      </c>
      <c r="AS10" s="384">
        <f t="array" ref="AS10">INDEX(Demand_previous!$D$4:$AY$138, MATCH('Staging Table'!$A10, Demand_previous!$B$4:$B$138, 0), MATCH(AS$4&amp;AS$5,Demand_previous!$D$2:$AY$2&amp;Demand_previous!$D$3:$AY$3, 0))/1000</f>
        <v>10.692789999999995</v>
      </c>
      <c r="AT10" s="384">
        <f t="array" ref="AT10">INDEX(Demand_previous!$D$4:$AY$138, MATCH('Staging Table'!$A10, Demand_previous!$B$4:$B$138, 0), MATCH(AT$4&amp;AT$5,Demand_previous!$D$2:$AY$2&amp;Demand_previous!$D$3:$AY$3, 0))/1000</f>
        <v>17.429020833333336</v>
      </c>
      <c r="AU10" s="384">
        <f t="array" ref="AU10">INDEX(Demand_previous!$D$4:$AY$138, MATCH('Staging Table'!$A10, Demand_previous!$B$4:$B$138, 0), MATCH(AU$4&amp;AU$5,Demand_previous!$D$2:$AY$2&amp;Demand_previous!$D$3:$AY$3, 0))/1000</f>
        <v>10.737872500000007</v>
      </c>
      <c r="AV10" s="384">
        <f>IF($D10=0,IF(C10=0, MAX(AY10 - (VLOOKUP($A10,TOCA_previous!$A$2:$AI$137,MATCH("RHWM 2016",TOCA_previous!$A$2:$AI$2,0),FALSE)*$F$2*TOCA_previous!C7),0),0), 0)</f>
        <v>25150.620252900291</v>
      </c>
      <c r="AW10" s="427">
        <f>VLOOKUP($A10,REP_previous!$A$1:$D$135,MATCH("FY "&amp;$F$1&amp; " Total Refund",REP_previous!$A$1:$D$1,0),0)</f>
        <v>519507.54082069505</v>
      </c>
      <c r="AX10" s="398">
        <f>MIN(VLOOKUP($A10,TOCA_previous!$A$2:$AI$137,MATCH("TRL - NLSL - Exisiting Resource "&amp;$F$1,TOCA_previous!$A$2:$AI$2,0),FALSE)*$F$2,(VLOOKUP($A10,TOCA_previous!$A$2:$AI$137,MATCH("RHWM 2016",TOCA_previous!$A$2:$AI$2,0),FALSE)*$F$2))</f>
        <v>532284.04800000007</v>
      </c>
      <c r="AY10" s="384">
        <f>SUM(L10:AI10)+(F10*RT1SC!$C$3*$F$2)</f>
        <v>557434.66825290036</v>
      </c>
      <c r="AZ10" s="398">
        <f>VLOOKUP($A10,TOCA_previous!$A$2:$AI$137,MATCH("Above RHWM Not Served with LS "&amp;$F$1,TOCA_previous!$A$2:$AI$2,0),FALSE)*$F$2</f>
        <v>939.88800000000003</v>
      </c>
      <c r="BA10" s="206">
        <f t="shared" si="3"/>
        <v>25150.620252900291</v>
      </c>
      <c r="BB10" s="399">
        <f>(VLOOKUP($A10,TOCA_previous!$A$2:$AI$137,MATCH("RHWM 2016",TOCA_previous!$A$2:$AI$2,0),FALSE)*$F$2) - $AX10</f>
        <v>0</v>
      </c>
      <c r="BC10" s="206">
        <f t="shared" si="4"/>
        <v>0</v>
      </c>
      <c r="BD10" s="400">
        <f t="shared" si="5"/>
        <v>0</v>
      </c>
      <c r="BE10" s="392">
        <f t="shared" si="6"/>
        <v>0</v>
      </c>
      <c r="BF10" s="399">
        <f t="shared" si="7"/>
        <v>0</v>
      </c>
      <c r="BG10" s="206">
        <f>VLOOKUP($A10,TOCA_current!$A$2:$AI$137,MATCH(BG$4,TOCA_current!$A$2:$AI$2,0),FALSE)</f>
        <v>8.6700000000000006E-3</v>
      </c>
      <c r="BH10" s="206">
        <f>VLOOKUP($A10,TOCA_current!$A$2:$AI$137,MATCH(BH$4,TOCA_current!$A$2:$AI$2,0),FALSE)</f>
        <v>8.6700000000000006E-3</v>
      </c>
      <c r="BI10" s="391">
        <f t="shared" si="8"/>
        <v>0</v>
      </c>
      <c r="BJ10" s="206">
        <f>VLOOKUP($A10,TOCA_current!A6:BG141,MATCH(BJ$4,TOCA_current!$A$2:$BG$2,0),FALSE)</f>
        <v>7.4102670564007184E-2</v>
      </c>
      <c r="BK10" s="206">
        <f t="shared" si="9"/>
        <v>0</v>
      </c>
      <c r="BL10" s="206">
        <f t="shared" si="10"/>
        <v>0</v>
      </c>
      <c r="BM10" s="381">
        <f>VLOOKUP($A10,IRD!$A$4:$G$139, 7, FALSE)</f>
        <v>209669.54</v>
      </c>
      <c r="BN10" s="382">
        <f t="array" ref="BN10">IF($BI10=0, INDEX(LS_current!$D$4:$AY$139, MATCH('Staging Table'!$A10, LS_current!$B$4:$B$139, 0), MATCH(BN$4&amp;BN$5, LS_current!$D$2:$AY$2&amp;LS_current!$D$3:$AY$3, 0)),SUM(VLOOKUP($A10, LS_current!$B$4:$AY$139, LS_current!D$149, FALSE), VLOOKUP($A10, LS_current!$B$4:$AY$139,LS_current!D$149, FALSE))/2)</f>
        <v>-5086.095995340158</v>
      </c>
      <c r="BO10" s="382">
        <f t="array" ref="BO10">IF($BI10=0, INDEX(LS_current!$D$4:$AY$139, MATCH('Staging Table'!$A10, LS_current!$B$4:$B$139, 0), MATCH(BO$4&amp;BO$5, LS_current!$D$2:$AY$2&amp;LS_current!$D$3:$AY$3, 0)),SUM(VLOOKUP($A10, LS_current!$B$4:$AY$139, LS_current!E$149, FALSE), VLOOKUP($A10, LS_current!$B$4:$AY$139,LS_current!E$149, FALSE))/2)</f>
        <v>98.52259542318825</v>
      </c>
      <c r="BP10" s="382">
        <f t="array" ref="BP10">IF($BI10=0, INDEX(LS_current!$D$4:$AY$139, MATCH('Staging Table'!$A10, LS_current!$B$4:$B$139, 0), MATCH(BP$4&amp;BP$5, LS_current!$D$2:$AY$2&amp;LS_current!$D$3:$AY$3, 0)),SUM(VLOOKUP($A10, LS_current!$B$4:$AY$139, LS_current!F$149, FALSE), VLOOKUP($A10, LS_current!$B$4:$AY$139,LS_current!F$149, FALSE))/2)</f>
        <v>-18448.280099365926</v>
      </c>
      <c r="BQ10" s="382">
        <f t="array" ref="BQ10">IF($BI10=0, INDEX(LS_current!$D$4:$AY$139, MATCH('Staging Table'!$A10, LS_current!$B$4:$B$139, 0), MATCH(BQ$4&amp;BQ$5, LS_current!$D$2:$AY$2&amp;LS_current!$D$3:$AY$3, 0)),SUM(VLOOKUP($A10, LS_current!$B$4:$AY$139, LS_current!G$149, FALSE), VLOOKUP($A10, LS_current!$B$4:$AY$139,LS_current!G$149, FALSE))/2)</f>
        <v>-8815.3982902115913</v>
      </c>
      <c r="BR10" s="382">
        <f t="array" ref="BR10">IF($BI10=0, INDEX(LS_current!$D$4:$AY$139, MATCH('Staging Table'!$A10, LS_current!$B$4:$B$139, 0), MATCH(BR$4&amp;BR$5, LS_current!$D$2:$AY$2&amp;LS_current!$D$3:$AY$3, 0)),SUM(VLOOKUP($A10, LS_current!$B$4:$AY$139, LS_current!H$149, FALSE), VLOOKUP($A10, LS_current!$B$4:$AY$139,LS_current!H$149, FALSE))/2)</f>
        <v>-15192.280472448392</v>
      </c>
      <c r="BS10" s="382">
        <f t="array" ref="BS10">IF($BI10=0, INDEX(LS_current!$D$4:$AY$139, MATCH('Staging Table'!$A10, LS_current!$B$4:$B$139, 0), MATCH(BS$4&amp;BS$5, LS_current!$D$2:$AY$2&amp;LS_current!$D$3:$AY$3, 0)),SUM(VLOOKUP($A10, LS_current!$B$4:$AY$139, LS_current!I$149, FALSE), VLOOKUP($A10, LS_current!$B$4:$AY$139,LS_current!I$149, FALSE))/2)</f>
        <v>-7152.9438794707839</v>
      </c>
      <c r="BT10" s="382">
        <f t="array" ref="BT10">IF($BI10=0, INDEX(LS_current!$D$4:$AY$139, MATCH('Staging Table'!$A10, LS_current!$B$4:$B$139, 0), MATCH(BT$4&amp;BT$5, LS_current!$D$2:$AY$2&amp;LS_current!$D$3:$AY$3, 0)),SUM(VLOOKUP($A10, LS_current!$B$4:$AY$139, LS_current!J$149, FALSE), VLOOKUP($A10, LS_current!$B$4:$AY$139,LS_current!J$149, FALSE))/2)</f>
        <v>-12076.932696322163</v>
      </c>
      <c r="BU10" s="382">
        <f t="array" ref="BU10">IF($BI10=0, INDEX(LS_current!$D$4:$AY$139, MATCH('Staging Table'!$A10, LS_current!$B$4:$B$139, 0), MATCH(BU$4&amp;BU$5, LS_current!$D$2:$AY$2&amp;LS_current!$D$3:$AY$3, 0)),SUM(VLOOKUP($A10, LS_current!$B$4:$AY$139, LS_current!K$149, FALSE), VLOOKUP($A10, LS_current!$B$4:$AY$139,LS_current!K$149, FALSE))/2)</f>
        <v>-5885.0949551150406</v>
      </c>
      <c r="BV10" s="382">
        <f t="array" ref="BV10">IF($BI10=0, INDEX(LS_current!$D$4:$AY$139, MATCH('Staging Table'!$A10, LS_current!$B$4:$B$139, 0), MATCH(BV$4&amp;BV$5, LS_current!$D$2:$AY$2&amp;LS_current!$D$3:$AY$3, 0)),SUM(VLOOKUP($A10, LS_current!$B$4:$AY$139, LS_current!L$149, FALSE), VLOOKUP($A10, LS_current!$B$4:$AY$139,LS_current!L$149, FALSE))/2)</f>
        <v>-9170.0919684842684</v>
      </c>
      <c r="BW10" s="382">
        <f t="array" ref="BW10">IF($BI10=0, INDEX(LS_current!$D$4:$AY$139, MATCH('Staging Table'!$A10, LS_current!$B$4:$B$139, 0), MATCH(BW$4&amp;BW$5, LS_current!$D$2:$AY$2&amp;LS_current!$D$3:$AY$3, 0)),SUM(VLOOKUP($A10, LS_current!$B$4:$AY$139, LS_current!M$149, FALSE), VLOOKUP($A10, LS_current!$B$4:$AY$139,LS_current!M$149, FALSE))/2)</f>
        <v>-3970.2404053997507</v>
      </c>
      <c r="BX10" s="382">
        <f t="array" ref="BX10">IF($BI10=0, INDEX(LS_current!$D$4:$AY$139, MATCH('Staging Table'!$A10, LS_current!$B$4:$B$139, 0), MATCH(BX$4&amp;BX$5, LS_current!$D$2:$AY$2&amp;LS_current!$D$3:$AY$3, 0)),SUM(VLOOKUP($A10, LS_current!$B$4:$AY$139, LS_current!N$149, FALSE), VLOOKUP($A10, LS_current!$B$4:$AY$139,LS_current!N$149, FALSE))/2)</f>
        <v>-12927.307047621298</v>
      </c>
      <c r="BY10" s="382">
        <f t="array" ref="BY10">IF($BI10=0, INDEX(LS_current!$D$4:$AY$139, MATCH('Staging Table'!$A10, LS_current!$B$4:$B$139, 0), MATCH(BY$4&amp;BY$5, LS_current!$D$2:$AY$2&amp;LS_current!$D$3:$AY$3, 0)),SUM(VLOOKUP($A10, LS_current!$B$4:$AY$139, LS_current!O$149, FALSE), VLOOKUP($A10, LS_current!$B$4:$AY$139,LS_current!O$149, FALSE))/2)</f>
        <v>-6555.9382898309777</v>
      </c>
      <c r="BZ10" s="382">
        <f t="array" ref="BZ10">IF($BI10=0, INDEX(LS_current!$D$4:$AY$139, MATCH('Staging Table'!$A10, LS_current!$B$4:$B$139, 0), MATCH(BZ$4&amp;BZ$5, LS_current!$D$2:$AY$2&amp;LS_current!$D$3:$AY$3, 0)),SUM(VLOOKUP($A10, LS_current!$B$4:$AY$139, LS_current!P$149, FALSE), VLOOKUP($A10, LS_current!$B$4:$AY$139,LS_current!P$149, FALSE))/2)</f>
        <v>-2504.135835718891</v>
      </c>
      <c r="CA10" s="382">
        <f t="array" ref="CA10">IF($BI10=0, INDEX(LS_current!$D$4:$AY$139, MATCH('Staging Table'!$A10, LS_current!$B$4:$B$139, 0), MATCH(CA$4&amp;CA$5, LS_current!$D$2:$AY$2&amp;LS_current!$D$3:$AY$3, 0)),SUM(VLOOKUP($A10, LS_current!$B$4:$AY$139, LS_current!Q$149, FALSE), VLOOKUP($A10, LS_current!$B$4:$AY$139,LS_current!Q$149, FALSE))/2)</f>
        <v>1335.5307230488106</v>
      </c>
      <c r="CB10" s="382">
        <f t="array" ref="CB10">IF($BI10=0, INDEX(LS_current!$D$4:$AY$139, MATCH('Staging Table'!$A10, LS_current!$B$4:$B$139, 0), MATCH(CB$4&amp;CB$5, LS_current!$D$2:$AY$2&amp;LS_current!$D$3:$AY$3, 0)),SUM(VLOOKUP($A10, LS_current!$B$4:$AY$139, LS_current!R$149, FALSE), VLOOKUP($A10, LS_current!$B$4:$AY$139,LS_current!R$149, FALSE))/2)</f>
        <v>-1508.984987424039</v>
      </c>
      <c r="CC10" s="382">
        <f t="array" ref="CC10">IF($BI10=0, INDEX(LS_current!$D$4:$AY$139, MATCH('Staging Table'!$A10, LS_current!$B$4:$B$139, 0), MATCH(CC$4&amp;CC$5, LS_current!$D$2:$AY$2&amp;LS_current!$D$3:$AY$3, 0)),SUM(VLOOKUP($A10, LS_current!$B$4:$AY$139, LS_current!S$149, FALSE), VLOOKUP($A10, LS_current!$B$4:$AY$139,LS_current!S$149, FALSE))/2)</f>
        <v>5326.4569803974919</v>
      </c>
      <c r="CD10" s="382">
        <f t="array" ref="CD10">IF($BI10=0, INDEX(LS_current!$D$4:$AY$139, MATCH('Staging Table'!$A10, LS_current!$B$4:$B$139, 0), MATCH(CD$4&amp;CD$5, LS_current!$D$2:$AY$2&amp;LS_current!$D$3:$AY$3, 0)),SUM(VLOOKUP($A10, LS_current!$B$4:$AY$139, LS_current!T$149, FALSE), VLOOKUP($A10, LS_current!$B$4:$AY$139,LS_current!T$149, FALSE))/2)</f>
        <v>11145.648009430392</v>
      </c>
      <c r="CE10" s="382">
        <f t="array" ref="CE10">IF($BI10=0, INDEX(LS_current!$D$4:$AY$139, MATCH('Staging Table'!$A10, LS_current!$B$4:$B$139, 0), MATCH(CE$4&amp;CE$5, LS_current!$D$2:$AY$2&amp;LS_current!$D$3:$AY$3, 0)),SUM(VLOOKUP($A10, LS_current!$B$4:$AY$139, LS_current!U$149, FALSE), VLOOKUP($A10, LS_current!$B$4:$AY$139,LS_current!U$149, FALSE))/2)</f>
        <v>12287.166088181031</v>
      </c>
      <c r="CF10" s="382">
        <f t="array" ref="CF10">IF($BI10=0, INDEX(LS_current!$D$4:$AY$139, MATCH('Staging Table'!$A10, LS_current!$B$4:$B$139, 0), MATCH(CF$4&amp;CF$5, LS_current!$D$2:$AY$2&amp;LS_current!$D$3:$AY$3, 0)),SUM(VLOOKUP($A10, LS_current!$B$4:$AY$139, LS_current!V$149, FALSE), VLOOKUP($A10, LS_current!$B$4:$AY$139,LS_current!V$149, FALSE))/2)</f>
        <v>18496.343658368274</v>
      </c>
      <c r="CG10" s="382">
        <f t="array" ref="CG10">IF($BI10=0, INDEX(LS_current!$D$4:$AY$139, MATCH('Staging Table'!$A10, LS_current!$B$4:$B$139, 0), MATCH(CG$4&amp;CG$5, LS_current!$D$2:$AY$2&amp;LS_current!$D$3:$AY$3, 0)),SUM(VLOOKUP($A10, LS_current!$B$4:$AY$139, LS_current!W$149, FALSE), VLOOKUP($A10, LS_current!$B$4:$AY$139,LS_current!W$149, FALSE))/2)</f>
        <v>19897.163741042335</v>
      </c>
      <c r="CH10" s="382">
        <f t="array" ref="CH10">IF($BI10=0, INDEX(LS_current!$D$4:$AY$139, MATCH('Staging Table'!$A10, LS_current!$B$4:$B$139, 0), MATCH(CH$4&amp;CH$5, LS_current!$D$2:$AY$2&amp;LS_current!$D$3:$AY$3, 0)),SUM(VLOOKUP($A10, LS_current!$B$4:$AY$139, LS_current!X$149, FALSE), VLOOKUP($A10, LS_current!$B$4:$AY$139,LS_current!X$149, FALSE))/2)</f>
        <v>12382.387797852625</v>
      </c>
      <c r="CI10" s="382">
        <f t="array" ref="CI10">IF($BI10=0, INDEX(LS_current!$D$4:$AY$139, MATCH('Staging Table'!$A10, LS_current!$B$4:$B$139, 0), MATCH(CI$4&amp;CI$5, LS_current!$D$2:$AY$2&amp;LS_current!$D$3:$AY$3, 0)),SUM(VLOOKUP($A10, LS_current!$B$4:$AY$139, LS_current!Y$149, FALSE), VLOOKUP($A10, LS_current!$B$4:$AY$139,LS_current!Y$149, FALSE))/2)</f>
        <v>14338.434933225963</v>
      </c>
      <c r="CJ10" s="382">
        <f t="array" ref="CJ10">IF($BI10=0, INDEX(LS_current!$D$4:$AY$139, MATCH('Staging Table'!$A10, LS_current!$B$4:$B$139, 0), MATCH(CJ$4&amp;CJ$5, LS_current!$D$2:$AY$2&amp;LS_current!$D$3:$AY$3, 0)),SUM(VLOOKUP($A10, LS_current!$B$4:$AY$139, LS_current!Z$149, FALSE), VLOOKUP($A10, LS_current!$B$4:$AY$139,LS_current!Z$149, FALSE))/2)</f>
        <v>5442.9767194610868</v>
      </c>
      <c r="CK10" s="382">
        <f t="array" ref="CK10">IF($BI10=0, INDEX(LS_current!$D$4:$AY$139, MATCH('Staging Table'!$A10, LS_current!$B$4:$B$139, 0), MATCH(CK$4&amp;CK$5, LS_current!$D$2:$AY$2&amp;LS_current!$D$3:$AY$3, 0)),SUM(VLOOKUP($A10, LS_current!$B$4:$AY$139, LS_current!AA$149, FALSE), VLOOKUP($A10, LS_current!$B$4:$AY$139,LS_current!AA$149, FALSE))/2)</f>
        <v>8548.1185482412511</v>
      </c>
      <c r="CL10" s="384">
        <f t="array" ref="CL10">INDEX(Demand_current!$D$4:$AY$138, MATCH($A10, Demand_current!$B$4:$B$138, 0), MATCH(CL$4&amp;CL$5,Demand_current!$D$2:$AY$2&amp;Demand_current!$D$3:$AY$3, 0))/1000</f>
        <v>7.2606802884615433</v>
      </c>
      <c r="CM10" s="384">
        <f t="array" ref="CM10">INDEX(Demand_current!$D$4:$AY$138, MATCH($A10, Demand_current!$B$4:$B$138, 0), MATCH(CM$4&amp;CM$5,Demand_current!$D$2:$AY$2&amp;Demand_current!$D$3:$AY$3, 0))/1000</f>
        <v>4.4528649999999992</v>
      </c>
      <c r="CN10" s="384">
        <f t="array" ref="CN10">INDEX(Demand_current!$D$4:$AY$138, MATCH($A10, Demand_current!$B$4:$B$138, 0), MATCH(CN$4&amp;CN$5,Demand_current!$D$2:$AY$2&amp;Demand_current!$D$3:$AY$3, 0))/1000</f>
        <v>5.9860224999999998</v>
      </c>
      <c r="CO10" s="384">
        <f t="array" ref="CO10">INDEX(Demand_current!$D$4:$AY$138, MATCH($A10, Demand_current!$B$4:$B$138, 0), MATCH(CO$4&amp;CO$5,Demand_current!$D$2:$AY$2&amp;Demand_current!$D$3:$AY$3, 0))/1000</f>
        <v>8.6829110576923121</v>
      </c>
      <c r="CP10" s="384">
        <f t="array" ref="CP10">INDEX(Demand_current!$D$4:$AY$138, MATCH($A10, Demand_current!$B$4:$B$138, 0), MATCH(CP$4&amp;CP$5,Demand_current!$D$2:$AY$2&amp;Demand_current!$D$3:$AY$3, 0))/1000</f>
        <v>1.4759557291666638</v>
      </c>
      <c r="CQ10" s="384">
        <f t="array" ref="CQ10">INDEX(Demand_current!$D$4:$AY$138, MATCH($A10, Demand_current!$B$4:$B$138, 0), MATCH(CQ$4&amp;CQ$5,Demand_current!$D$2:$AY$2&amp;Demand_current!$D$3:$AY$3, 0))/1000</f>
        <v>3.975210648148142</v>
      </c>
      <c r="CR10" s="384">
        <f t="array" ref="CR10">INDEX(Demand_current!$D$4:$AY$138, MATCH($A10, Demand_current!$B$4:$B$138, 0), MATCH(CR$4&amp;CR$5,Demand_current!$D$2:$AY$2&amp;Demand_current!$D$3:$AY$3, 0))/1000</f>
        <v>5.991232500000006</v>
      </c>
      <c r="CS10" s="384">
        <f t="array" ref="CS10">INDEX(Demand_current!$D$4:$AY$138, MATCH($A10, Demand_current!$B$4:$B$138, 0), MATCH(CS$4&amp;CS$5,Demand_current!$D$2:$AY$2&amp;Demand_current!$D$3:$AY$3, 0))/1000</f>
        <v>0</v>
      </c>
      <c r="CT10" s="384">
        <f t="array" ref="CT10">INDEX(Demand_current!$D$4:$AY$138, MATCH($A10, Demand_current!$B$4:$B$138, 0), MATCH(CT$4&amp;CT$5,Demand_current!$D$2:$AY$2&amp;Demand_current!$D$3:$AY$3, 0))/1000</f>
        <v>12.75117307692307</v>
      </c>
      <c r="CU10" s="384">
        <f t="array" ref="CU10">INDEX(Demand_current!$D$4:$AY$138, MATCH($A10, Demand_current!$B$4:$B$138, 0), MATCH(CU$4&amp;CU$5,Demand_current!$D$2:$AY$2&amp;Demand_current!$D$3:$AY$3, 0))/1000</f>
        <v>10.692789999999995</v>
      </c>
      <c r="CV10" s="384">
        <f t="array" ref="CV10">INDEX(Demand_current!$D$4:$AY$138, MATCH($A10, Demand_current!$B$4:$B$138, 0), MATCH(CV$4&amp;CV$5,Demand_current!$D$2:$AY$2&amp;Demand_current!$D$3:$AY$3, 0))/1000</f>
        <v>17.429020833333336</v>
      </c>
      <c r="CW10" s="384">
        <f t="array" ref="CW10">INDEX(Demand_current!$D$4:$AY$138, MATCH($A10, Demand_current!$B$4:$B$138, 0), MATCH(CW$4&amp;CW$5,Demand_current!$D$2:$AY$2&amp;Demand_current!$D$3:$AY$3, 0))/1000</f>
        <v>7.3422421875000037</v>
      </c>
      <c r="CX10" s="384">
        <f>IF(D10=0,IF(C10=0,MAX(0,DA10 - (VLOOKUP($A10,TOCA_current!$A$2:$AI$137,MATCH("RHWM 2018",TOCA_current!$A$2:$AI$2,0),FALSE)*$BH$2)), 0),0)</f>
        <v>3.4026951191481203</v>
      </c>
      <c r="CY10" s="427">
        <f>VLOOKUP($A10,REP_current!$A$1:$D$135,MATCH("FY "&amp;$BH$1&amp; " Total Refund",REP_current!$A$1:$D$1,0),0)</f>
        <v>524473.06420202751</v>
      </c>
      <c r="CZ10" s="432">
        <f>MIN(VLOOKUP($A10,TOCA_current!$A$2:$AI$137,MATCH("TRL - NLSL - Existing Resource "&amp;$BH$1,TOCA_current!$A$2:$AI$2,0),FALSE)*$BH$2, VLOOKUP($A10,TOCA_current!$A$2:$AI$137,MATCH("RHWM 2018",TOCA_current!$A$2:$AI$2,0),FALSE)*$BH$2)</f>
        <v>527457.12</v>
      </c>
      <c r="DA10" s="397">
        <f>SUM(BN10:CK10)+(BH10*RT1SC!$C$4*$BH$2)</f>
        <v>527460.52269511914</v>
      </c>
      <c r="DB10" s="432">
        <f>VLOOKUP($A10,TOCA_current!$A$2:$AI$137,MATCH("Above RHWM Not Served with LS "&amp;$BH$1,TOCA_current!$A$2:$AI$2,0),FALSE)*$BH$2</f>
        <v>30914.04</v>
      </c>
      <c r="DC10" s="401">
        <f t="shared" si="11"/>
        <v>3.4026951191481203</v>
      </c>
      <c r="DD10" s="397">
        <f>(VLOOKUP($A10,TOCA_current!$A$2:$AI$137,MATCH("RHWM 2018",TOCA_current!$A$2:$AI$2,0),FALSE)*$BH$2) - $CZ10</f>
        <v>0</v>
      </c>
      <c r="DE10" s="397">
        <f t="shared" si="12"/>
        <v>0</v>
      </c>
      <c r="DF10" s="397">
        <f t="shared" si="13"/>
        <v>0</v>
      </c>
      <c r="DG10" s="397">
        <f t="shared" si="14"/>
        <v>0</v>
      </c>
      <c r="DH10" s="397">
        <f t="shared" si="15"/>
        <v>0</v>
      </c>
    </row>
    <row r="11" spans="1:112">
      <c r="A11" s="274">
        <v>10029</v>
      </c>
      <c r="B11" s="275" t="s">
        <v>12</v>
      </c>
      <c r="C11" s="397">
        <v>1</v>
      </c>
      <c r="D11" s="397">
        <v>0</v>
      </c>
      <c r="E11" s="205">
        <f>VLOOKUP($A11,TOCA_previous!$A$2:$AI$137,MATCH(E$4,TOCA_previous!$A$2:$AI$2,0),FALSE)</f>
        <v>2.4979999999999998E-3</v>
      </c>
      <c r="F11" s="206">
        <f>VLOOKUP($A11,TOCA_previous!$A$2:$AI$137,MATCH(F$4,TOCA_previous!$A$2:$AI$2,0),FALSE)</f>
        <v>2.4979999999999998E-3</v>
      </c>
      <c r="G11" s="206">
        <f t="shared" si="0"/>
        <v>0</v>
      </c>
      <c r="H11" s="206">
        <f>VLOOKUP($A11,TOCA_previous!$A$2:$AI$137,MATCH(H$4,TOCA_previous!$A$2:$AI$2,0),FALSE)</f>
        <v>6.2010000000000003E-2</v>
      </c>
      <c r="I11" s="206">
        <f t="shared" si="1"/>
        <v>6.2010000000000003E-2</v>
      </c>
      <c r="J11" s="206">
        <f t="shared" si="2"/>
        <v>2.4979999999999998E-3</v>
      </c>
      <c r="K11" s="381">
        <f>VLOOKUP(A11, IRD!$A$5:$C$139, 3, FALSE)</f>
        <v>0</v>
      </c>
      <c r="L11" s="382">
        <f t="array" ref="L11">IF($G11=0, INDEX(LS_previous!$D$4:$AY$138, MATCH('Staging Table'!$A11, LS_previous!$B$4:$B$138, 0), MATCH(L$4&amp;L$5, LS_previous!$D$2:$AY$2&amp;LS_previous!$D$3:$AY$3, 0)),SUM(VLOOKUP($A11, LS_previous!$B$4:$AY$138, LS_previous!D$149, FALSE), VLOOKUP('Staging Table'!$A11, LS_previous!$B$4:$AY$138,LS_previous!AB$149, FALSE))/2)</f>
        <v>0</v>
      </c>
      <c r="M11" s="382">
        <f t="array" ref="M11">IF($G11=0, INDEX(LS_previous!$D$4:$AY$138, MATCH('Staging Table'!$A11, LS_previous!$B$4:$B$138, 0), MATCH(M$4&amp;M$5, LS_previous!$D$2:$AY$2&amp;LS_previous!$D$3:$AY$3, 0)),SUM(VLOOKUP($A11, LS_previous!$B$4:$AY$138, LS_previous!E$149, FALSE), VLOOKUP('Staging Table'!$A11, LS_previous!$B$4:$AY$138,LS_previous!AC$149, FALSE))/2)</f>
        <v>0</v>
      </c>
      <c r="N11" s="382">
        <f t="array" ref="N11">IF($G11=0, INDEX(LS_previous!$D$4:$AY$138, MATCH('Staging Table'!$A11, LS_previous!$B$4:$B$138, 0), MATCH(N$4&amp;N$5, LS_previous!$D$2:$AY$2&amp;LS_previous!$D$3:$AY$3, 0)),SUM(VLOOKUP($A11, LS_previous!$B$4:$AY$138, LS_previous!F$149, FALSE), VLOOKUP('Staging Table'!$A11, LS_previous!$B$4:$AY$138,LS_previous!AD$149, FALSE))/2)</f>
        <v>0</v>
      </c>
      <c r="O11" s="382">
        <f t="array" ref="O11">IF($G11=0, INDEX(LS_previous!$D$4:$AY$138, MATCH('Staging Table'!$A11, LS_previous!$B$4:$B$138, 0), MATCH(O$4&amp;O$5, LS_previous!$D$2:$AY$2&amp;LS_previous!$D$3:$AY$3, 0)),SUM(VLOOKUP($A11, LS_previous!$B$4:$AY$138, LS_previous!G$149, FALSE), VLOOKUP('Staging Table'!$A11, LS_previous!$B$4:$AY$138,LS_previous!AE$149, FALSE))/2)</f>
        <v>0</v>
      </c>
      <c r="P11" s="382">
        <f t="array" ref="P11">IF($G11=0, INDEX(LS_previous!$D$4:$AY$138, MATCH('Staging Table'!$A11, LS_previous!$B$4:$B$138, 0), MATCH(P$4&amp;P$5, LS_previous!$D$2:$AY$2&amp;LS_previous!$D$3:$AY$3, 0)),SUM(VLOOKUP($A11, LS_previous!$B$4:$AY$138, LS_previous!H$149, FALSE), VLOOKUP('Staging Table'!$A11, LS_previous!$B$4:$AY$138,LS_previous!AF$149, FALSE))/2)</f>
        <v>0</v>
      </c>
      <c r="Q11" s="382">
        <f t="array" ref="Q11">IF($G11=0, INDEX(LS_previous!$D$4:$AY$138, MATCH('Staging Table'!$A11, LS_previous!$B$4:$B$138, 0), MATCH(Q$4&amp;Q$5, LS_previous!$D$2:$AY$2&amp;LS_previous!$D$3:$AY$3, 0)),SUM(VLOOKUP($A11, LS_previous!$B$4:$AY$138, LS_previous!I$149, FALSE), VLOOKUP('Staging Table'!$A11, LS_previous!$B$4:$AY$138,LS_previous!AG$149, FALSE))/2)</f>
        <v>0</v>
      </c>
      <c r="R11" s="382">
        <f t="array" ref="R11">IF($G11=0, INDEX(LS_previous!$D$4:$AY$138, MATCH('Staging Table'!$A11, LS_previous!$B$4:$B$138, 0), MATCH(R$4&amp;R$5, LS_previous!$D$2:$AY$2&amp;LS_previous!$D$3:$AY$3, 0)),SUM(VLOOKUP($A11, LS_previous!$B$4:$AY$138, LS_previous!J$149, FALSE), VLOOKUP('Staging Table'!$A11, LS_previous!$B$4:$AY$138,LS_previous!AH$149, FALSE))/2)</f>
        <v>0</v>
      </c>
      <c r="S11" s="382">
        <f t="array" ref="S11">IF($G11=0, INDEX(LS_previous!$D$4:$AY$138, MATCH('Staging Table'!$A11, LS_previous!$B$4:$B$138, 0), MATCH(S$4&amp;S$5, LS_previous!$D$2:$AY$2&amp;LS_previous!$D$3:$AY$3, 0)),SUM(VLOOKUP($A11, LS_previous!$B$4:$AY$138, LS_previous!K$149, FALSE), VLOOKUP('Staging Table'!$A11, LS_previous!$B$4:$AY$138,LS_previous!AI$149, FALSE))/2)</f>
        <v>0</v>
      </c>
      <c r="T11" s="382">
        <f t="array" ref="T11">IF($G11=0, INDEX(LS_previous!$D$4:$AY$138, MATCH('Staging Table'!$A11, LS_previous!$B$4:$B$138, 0), MATCH(T$4&amp;T$5, LS_previous!$D$2:$AY$2&amp;LS_previous!$D$3:$AY$3, 0)),SUM(VLOOKUP($A11, LS_previous!$B$4:$AY$138, LS_previous!L$149, FALSE), VLOOKUP('Staging Table'!$A11, LS_previous!$B$4:$AY$138,LS_previous!AJ$149, FALSE))/2)</f>
        <v>0</v>
      </c>
      <c r="U11" s="382">
        <f t="array" ref="U11">IF($G11=0, INDEX(LS_previous!$D$4:$AY$138, MATCH('Staging Table'!$A11, LS_previous!$B$4:$B$138, 0), MATCH(U$4&amp;U$5, LS_previous!$D$2:$AY$2&amp;LS_previous!$D$3:$AY$3, 0)),SUM(VLOOKUP($A11, LS_previous!$B$4:$AY$138, LS_previous!M$149, FALSE), VLOOKUP('Staging Table'!$A11, LS_previous!$B$4:$AY$138,LS_previous!AK$149, FALSE))/2)</f>
        <v>0</v>
      </c>
      <c r="V11" s="382">
        <f t="array" ref="V11">IF($G11=0, INDEX(LS_previous!$D$4:$AY$138, MATCH('Staging Table'!$A11, LS_previous!$B$4:$B$138, 0), MATCH(V$4&amp;V$5, LS_previous!$D$2:$AY$2&amp;LS_previous!$D$3:$AY$3, 0)),SUM(VLOOKUP($A11, LS_previous!$B$4:$AY$138, LS_previous!N$149, FALSE), VLOOKUP('Staging Table'!$A11, LS_previous!$B$4:$AY$138,LS_previous!AL$149, FALSE))/2)</f>
        <v>0</v>
      </c>
      <c r="W11" s="382">
        <f t="array" ref="W11">IF($G11=0, INDEX(LS_previous!$D$4:$AY$138, MATCH('Staging Table'!$A11, LS_previous!$B$4:$B$138, 0), MATCH(W$4&amp;W$5, LS_previous!$D$2:$AY$2&amp;LS_previous!$D$3:$AY$3, 0)),SUM(VLOOKUP($A11, LS_previous!$B$4:$AY$138, LS_previous!O$149, FALSE), VLOOKUP('Staging Table'!$A11, LS_previous!$B$4:$AY$138,LS_previous!AM$149, FALSE))/2)</f>
        <v>0</v>
      </c>
      <c r="X11" s="382">
        <f t="array" ref="X11">IF($G11=0, INDEX(LS_previous!$D$4:$AY$138, MATCH('Staging Table'!$A11, LS_previous!$B$4:$B$138, 0), MATCH(X$4&amp;X$5, LS_previous!$D$2:$AY$2&amp;LS_previous!$D$3:$AY$3, 0)),SUM(VLOOKUP($A11, LS_previous!$B$4:$AY$138, LS_previous!P$149, FALSE), VLOOKUP('Staging Table'!$A11, LS_previous!$B$4:$AY$138,LS_previous!AN$149, FALSE))/2)</f>
        <v>0</v>
      </c>
      <c r="Y11" s="382">
        <f t="array" ref="Y11">IF($G11=0, INDEX(LS_previous!$D$4:$AY$138, MATCH('Staging Table'!$A11, LS_previous!$B$4:$B$138, 0), MATCH(Y$4&amp;Y$5, LS_previous!$D$2:$AY$2&amp;LS_previous!$D$3:$AY$3, 0)),SUM(VLOOKUP($A11, LS_previous!$B$4:$AY$138, LS_previous!Q$149, FALSE), VLOOKUP('Staging Table'!$A11, LS_previous!$B$4:$AY$138,LS_previous!AO$149, FALSE))/2)</f>
        <v>0</v>
      </c>
      <c r="Z11" s="382">
        <f t="array" ref="Z11">IF($G11=0, INDEX(LS_previous!$D$4:$AY$138, MATCH('Staging Table'!$A11, LS_previous!$B$4:$B$138, 0), MATCH(Z$4&amp;Z$5, LS_previous!$D$2:$AY$2&amp;LS_previous!$D$3:$AY$3, 0)),SUM(VLOOKUP($A11, LS_previous!$B$4:$AY$138, LS_previous!R$149, FALSE), VLOOKUP('Staging Table'!$A11, LS_previous!$B$4:$AY$138,LS_previous!AP$149, FALSE))/2)</f>
        <v>0</v>
      </c>
      <c r="AA11" s="382">
        <f t="array" ref="AA11">IF($G11=0, INDEX(LS_previous!$D$4:$AY$138, MATCH('Staging Table'!$A11, LS_previous!$B$4:$B$138, 0), MATCH(AA$4&amp;AA$5, LS_previous!$D$2:$AY$2&amp;LS_previous!$D$3:$AY$3, 0)),SUM(VLOOKUP($A11, LS_previous!$B$4:$AY$138, LS_previous!S$149, FALSE), VLOOKUP('Staging Table'!$A11, LS_previous!$B$4:$AY$138,LS_previous!AQ$149, FALSE))/2)</f>
        <v>0</v>
      </c>
      <c r="AB11" s="382">
        <f t="array" ref="AB11">IF($G11=0, INDEX(LS_previous!$D$4:$AY$138, MATCH('Staging Table'!$A11, LS_previous!$B$4:$B$138, 0), MATCH(AB$4&amp;AB$5, LS_previous!$D$2:$AY$2&amp;LS_previous!$D$3:$AY$3, 0)),SUM(VLOOKUP($A11, LS_previous!$B$4:$AY$138, LS_previous!T$149, FALSE), VLOOKUP('Staging Table'!$A11, LS_previous!$B$4:$AY$138,LS_previous!AR$149, FALSE))/2)</f>
        <v>0</v>
      </c>
      <c r="AC11" s="382">
        <f t="array" ref="AC11">IF($G11=0, INDEX(LS_previous!$D$4:$AY$138, MATCH('Staging Table'!$A11, LS_previous!$B$4:$B$138, 0), MATCH(AC$4&amp;AC$5, LS_previous!$D$2:$AY$2&amp;LS_previous!$D$3:$AY$3, 0)),SUM(VLOOKUP($A11, LS_previous!$B$4:$AY$138, LS_previous!U$149, FALSE), VLOOKUP('Staging Table'!$A11, LS_previous!$B$4:$AY$138,LS_previous!AS$149, FALSE))/2)</f>
        <v>0</v>
      </c>
      <c r="AD11" s="382">
        <f t="array" ref="AD11">IF($G11=0, INDEX(LS_previous!$D$4:$AY$138, MATCH('Staging Table'!$A11, LS_previous!$B$4:$B$138, 0), MATCH(AD$4&amp;AD$5, LS_previous!$D$2:$AY$2&amp;LS_previous!$D$3:$AY$3, 0)),SUM(VLOOKUP($A11, LS_previous!$B$4:$AY$138, LS_previous!V$149, FALSE), VLOOKUP('Staging Table'!$A11, LS_previous!$B$4:$AY$138,LS_previous!AT$149, FALSE))/2)</f>
        <v>0</v>
      </c>
      <c r="AE11" s="382">
        <f t="array" ref="AE11">IF($G11=0, INDEX(LS_previous!$D$4:$AY$138, MATCH('Staging Table'!$A11, LS_previous!$B$4:$B$138, 0), MATCH(AE$4&amp;AE$5, LS_previous!$D$2:$AY$2&amp;LS_previous!$D$3:$AY$3, 0)),SUM(VLOOKUP($A11, LS_previous!$B$4:$AY$138, LS_previous!W$149, FALSE), VLOOKUP('Staging Table'!$A11, LS_previous!$B$4:$AY$138,LS_previous!AU$149, FALSE))/2)</f>
        <v>0</v>
      </c>
      <c r="AF11" s="382">
        <f t="array" ref="AF11">IF($G11=0, INDEX(LS_previous!$D$4:$AY$138, MATCH('Staging Table'!$A11, LS_previous!$B$4:$B$138, 0), MATCH(AF$4&amp;AF$5, LS_previous!$D$2:$AY$2&amp;LS_previous!$D$3:$AY$3, 0)),SUM(VLOOKUP($A11, LS_previous!$B$4:$AY$138, LS_previous!X$149, FALSE), VLOOKUP('Staging Table'!$A11, LS_previous!$B$4:$AY$138,LS_previous!AV$149, FALSE))/2)</f>
        <v>0</v>
      </c>
      <c r="AG11" s="382">
        <f t="array" ref="AG11">IF($G11=0, INDEX(LS_previous!$D$4:$AY$138, MATCH('Staging Table'!$A11, LS_previous!$B$4:$B$138, 0), MATCH(AG$4&amp;AG$5, LS_previous!$D$2:$AY$2&amp;LS_previous!$D$3:$AY$3, 0)),SUM(VLOOKUP($A11, LS_previous!$B$4:$AY$138, LS_previous!Y$149, FALSE), VLOOKUP('Staging Table'!$A11, LS_previous!$B$4:$AY$138,LS_previous!AW$149, FALSE))/2)</f>
        <v>0</v>
      </c>
      <c r="AH11" s="382">
        <f t="array" ref="AH11">IF($G11=0, INDEX(LS_previous!$D$4:$AY$138, MATCH('Staging Table'!$A11, LS_previous!$B$4:$B$138, 0), MATCH(AH$4&amp;AH$5, LS_previous!$D$2:$AY$2&amp;LS_previous!$D$3:$AY$3, 0)),SUM(VLOOKUP($A11, LS_previous!$B$4:$AY$138, LS_previous!Z$149, FALSE), VLOOKUP('Staging Table'!$A11, LS_previous!$B$4:$AY$138,LS_previous!AX$149, FALSE))/2)</f>
        <v>0</v>
      </c>
      <c r="AI11" s="382">
        <f t="array" ref="AI11">IF($G11=0, INDEX(LS_previous!$D$4:$AY$138, MATCH('Staging Table'!$A11, LS_previous!$B$4:$B$138, 0), MATCH(AI$4&amp;AI$5, LS_previous!$D$2:$AY$2&amp;LS_previous!$D$3:$AY$3, 0)),SUM(VLOOKUP($A11, LS_previous!$B$4:$AY$138, LS_previous!AA$149, FALSE), VLOOKUP('Staging Table'!$A11, LS_previous!$B$4:$AY$138,LS_previous!AY$149, FALSE))/2)</f>
        <v>0</v>
      </c>
      <c r="AJ11" s="384">
        <f t="array" ref="AJ11">INDEX(Demand_previous!$D$4:$AY$138, MATCH('Staging Table'!$A11, Demand_previous!$B$4:$B$138, 0), MATCH(AJ$4&amp;AJ$5,Demand_previous!$D$2:$AY$2&amp;Demand_previous!$D$3:$AY$3, 0))/1000</f>
        <v>0</v>
      </c>
      <c r="AK11" s="384">
        <f t="array" ref="AK11">INDEX(Demand_previous!$D$4:$AY$138, MATCH('Staging Table'!$A11, Demand_previous!$B$4:$B$138, 0), MATCH(AK$4&amp;AK$5,Demand_previous!$D$2:$AY$2&amp;Demand_previous!$D$3:$AY$3, 0))/1000</f>
        <v>0</v>
      </c>
      <c r="AL11" s="384">
        <f t="array" ref="AL11">INDEX(Demand_previous!$D$4:$AY$138, MATCH('Staging Table'!$A11, Demand_previous!$B$4:$B$138, 0), MATCH(AL$4&amp;AL$5,Demand_previous!$D$2:$AY$2&amp;Demand_previous!$D$3:$AY$3, 0))/1000</f>
        <v>0</v>
      </c>
      <c r="AM11" s="384">
        <f t="array" ref="AM11">INDEX(Demand_previous!$D$4:$AY$138, MATCH('Staging Table'!$A11, Demand_previous!$B$4:$B$138, 0), MATCH(AM$4&amp;AM$5,Demand_previous!$D$2:$AY$2&amp;Demand_previous!$D$3:$AY$3, 0))/1000</f>
        <v>0</v>
      </c>
      <c r="AN11" s="384">
        <f t="array" ref="AN11">INDEX(Demand_previous!$D$4:$AY$138, MATCH('Staging Table'!$A11, Demand_previous!$B$4:$B$138, 0), MATCH(AN$4&amp;AN$5,Demand_previous!$D$2:$AY$2&amp;Demand_previous!$D$3:$AY$3, 0))/1000</f>
        <v>0</v>
      </c>
      <c r="AO11" s="384">
        <f t="array" ref="AO11">INDEX(Demand_previous!$D$4:$AY$138, MATCH('Staging Table'!$A11, Demand_previous!$B$4:$B$138, 0), MATCH(AO$4&amp;AO$5,Demand_previous!$D$2:$AY$2&amp;Demand_previous!$D$3:$AY$3, 0))/1000</f>
        <v>0</v>
      </c>
      <c r="AP11" s="384">
        <f t="array" ref="AP11">INDEX(Demand_previous!$D$4:$AY$138, MATCH('Staging Table'!$A11, Demand_previous!$B$4:$B$138, 0), MATCH(AP$4&amp;AP$5,Demand_previous!$D$2:$AY$2&amp;Demand_previous!$D$3:$AY$3, 0))/1000</f>
        <v>0</v>
      </c>
      <c r="AQ11" s="384">
        <f t="array" ref="AQ11">INDEX(Demand_previous!$D$4:$AY$138, MATCH('Staging Table'!$A11, Demand_previous!$B$4:$B$138, 0), MATCH(AQ$4&amp;AQ$5,Demand_previous!$D$2:$AY$2&amp;Demand_previous!$D$3:$AY$3, 0))/1000</f>
        <v>0</v>
      </c>
      <c r="AR11" s="384">
        <f t="array" ref="AR11">INDEX(Demand_previous!$D$4:$AY$138, MATCH('Staging Table'!$A11, Demand_previous!$B$4:$B$138, 0), MATCH(AR$4&amp;AR$5,Demand_previous!$D$2:$AY$2&amp;Demand_previous!$D$3:$AY$3, 0))/1000</f>
        <v>0</v>
      </c>
      <c r="AS11" s="384">
        <f t="array" ref="AS11">INDEX(Demand_previous!$D$4:$AY$138, MATCH('Staging Table'!$A11, Demand_previous!$B$4:$B$138, 0), MATCH(AS$4&amp;AS$5,Demand_previous!$D$2:$AY$2&amp;Demand_previous!$D$3:$AY$3, 0))/1000</f>
        <v>0</v>
      </c>
      <c r="AT11" s="384">
        <f t="array" ref="AT11">INDEX(Demand_previous!$D$4:$AY$138, MATCH('Staging Table'!$A11, Demand_previous!$B$4:$B$138, 0), MATCH(AT$4&amp;AT$5,Demand_previous!$D$2:$AY$2&amp;Demand_previous!$D$3:$AY$3, 0))/1000</f>
        <v>0</v>
      </c>
      <c r="AU11" s="384">
        <f t="array" ref="AU11">INDEX(Demand_previous!$D$4:$AY$138, MATCH('Staging Table'!$A11, Demand_previous!$B$4:$B$138, 0), MATCH(AU$4&amp;AU$5,Demand_previous!$D$2:$AY$2&amp;Demand_previous!$D$3:$AY$3, 0))/1000</f>
        <v>0</v>
      </c>
      <c r="AV11" s="384">
        <f>IF($D11=0,IF(C11=0, MAX(AY11 - (VLOOKUP($A11,TOCA_previous!$A$2:$AI$137,MATCH("RHWM 2016",TOCA_previous!$A$2:$AI$2,0),FALSE)*$F$2*TOCA_previous!C8),0),0), 0)</f>
        <v>0</v>
      </c>
      <c r="AW11" s="427">
        <f>VLOOKUP($A11,REP_previous!$A$1:$D$135,MATCH("FY "&amp;$F$1&amp; " Total Refund",REP_previous!$A$1:$D$1,0),0)</f>
        <v>200448.68090632977</v>
      </c>
      <c r="AX11" s="398">
        <f>MIN(VLOOKUP($A11,TOCA_previous!$A$2:$AI$137,MATCH("TRL - NLSL - Exisiting Resource "&amp;$F$1,TOCA_previous!$A$2:$AI$2,0),FALSE)*$F$2,(VLOOKUP($A11,TOCA_previous!$A$2:$AI$137,MATCH("RHWM 2016",TOCA_previous!$A$2:$AI$2,0),FALSE)*$F$2))</f>
        <v>153228.09599999999</v>
      </c>
      <c r="AY11" s="384">
        <f>SUM(L11:AI11)+(F11*RT1SC!$C$3*$F$2)</f>
        <v>153225.86776272001</v>
      </c>
      <c r="AZ11" s="398">
        <f>VLOOKUP($A11,TOCA_previous!$A$2:$AI$137,MATCH("Above RHWM Not Served with LS "&amp;$F$1,TOCA_previous!$A$2:$AI$2,0),FALSE)*$F$2</f>
        <v>19526.831999999999</v>
      </c>
      <c r="BA11" s="206">
        <f t="shared" si="3"/>
        <v>-2.2282372799818404</v>
      </c>
      <c r="BB11" s="399">
        <f>(VLOOKUP($A11,TOCA_previous!$A$2:$AI$137,MATCH("RHWM 2016",TOCA_previous!$A$2:$AI$2,0),FALSE)*$F$2) - $AX11</f>
        <v>0</v>
      </c>
      <c r="BC11" s="206">
        <f t="shared" si="4"/>
        <v>0</v>
      </c>
      <c r="BD11" s="400">
        <f t="shared" si="5"/>
        <v>0</v>
      </c>
      <c r="BE11" s="392">
        <f t="shared" si="6"/>
        <v>0</v>
      </c>
      <c r="BF11" s="399">
        <f t="shared" si="7"/>
        <v>0</v>
      </c>
      <c r="BG11" s="206">
        <f>VLOOKUP($A11,TOCA_current!$A$2:$AI$137,MATCH(BG$4,TOCA_current!$A$2:$AI$2,0),FALSE)</f>
        <v>2.4957999999999998E-3</v>
      </c>
      <c r="BH11" s="206">
        <f>VLOOKUP($A11,TOCA_current!$A$2:$AI$137,MATCH(BH$4,TOCA_current!$A$2:$AI$2,0),FALSE)</f>
        <v>2.4957999999999998E-3</v>
      </c>
      <c r="BI11" s="391">
        <f t="shared" si="8"/>
        <v>0</v>
      </c>
      <c r="BJ11" s="206">
        <f>VLOOKUP($A11,TOCA_current!A7:BG142,MATCH(BJ$4,TOCA_current!$A$2:$BG$2,0),FALSE)</f>
        <v>6.353891420988865E-2</v>
      </c>
      <c r="BK11" s="206">
        <f t="shared" si="9"/>
        <v>6.353891420988865E-2</v>
      </c>
      <c r="BL11" s="206">
        <f t="shared" si="10"/>
        <v>2.4957999999999998E-3</v>
      </c>
      <c r="BM11" s="381">
        <f>VLOOKUP($A11,IRD!$A$4:$G$139, 7, FALSE)</f>
        <v>0</v>
      </c>
      <c r="BN11" s="382">
        <f t="array" ref="BN11">IF($BI11=0, INDEX(LS_current!$D$4:$AY$139, MATCH('Staging Table'!$A11, LS_current!$B$4:$B$139, 0), MATCH(BN$4&amp;BN$5, LS_current!$D$2:$AY$2&amp;LS_current!$D$3:$AY$3, 0)),SUM(VLOOKUP($A11, LS_current!$B$4:$AY$139, LS_current!D$149, FALSE), VLOOKUP($A11, LS_current!$B$4:$AY$139,LS_current!D$149, FALSE))/2)</f>
        <v>0</v>
      </c>
      <c r="BO11" s="382">
        <f t="array" ref="BO11">IF($BI11=0, INDEX(LS_current!$D$4:$AY$139, MATCH('Staging Table'!$A11, LS_current!$B$4:$B$139, 0), MATCH(BO$4&amp;BO$5, LS_current!$D$2:$AY$2&amp;LS_current!$D$3:$AY$3, 0)),SUM(VLOOKUP($A11, LS_current!$B$4:$AY$139, LS_current!E$149, FALSE), VLOOKUP($A11, LS_current!$B$4:$AY$139,LS_current!E$149, FALSE))/2)</f>
        <v>0</v>
      </c>
      <c r="BP11" s="382">
        <f t="array" ref="BP11">IF($BI11=0, INDEX(LS_current!$D$4:$AY$139, MATCH('Staging Table'!$A11, LS_current!$B$4:$B$139, 0), MATCH(BP$4&amp;BP$5, LS_current!$D$2:$AY$2&amp;LS_current!$D$3:$AY$3, 0)),SUM(VLOOKUP($A11, LS_current!$B$4:$AY$139, LS_current!F$149, FALSE), VLOOKUP($A11, LS_current!$B$4:$AY$139,LS_current!F$149, FALSE))/2)</f>
        <v>0</v>
      </c>
      <c r="BQ11" s="382">
        <f t="array" ref="BQ11">IF($BI11=0, INDEX(LS_current!$D$4:$AY$139, MATCH('Staging Table'!$A11, LS_current!$B$4:$B$139, 0), MATCH(BQ$4&amp;BQ$5, LS_current!$D$2:$AY$2&amp;LS_current!$D$3:$AY$3, 0)),SUM(VLOOKUP($A11, LS_current!$B$4:$AY$139, LS_current!G$149, FALSE), VLOOKUP($A11, LS_current!$B$4:$AY$139,LS_current!G$149, FALSE))/2)</f>
        <v>0</v>
      </c>
      <c r="BR11" s="382">
        <f t="array" ref="BR11">IF($BI11=0, INDEX(LS_current!$D$4:$AY$139, MATCH('Staging Table'!$A11, LS_current!$B$4:$B$139, 0), MATCH(BR$4&amp;BR$5, LS_current!$D$2:$AY$2&amp;LS_current!$D$3:$AY$3, 0)),SUM(VLOOKUP($A11, LS_current!$B$4:$AY$139, LS_current!H$149, FALSE), VLOOKUP($A11, LS_current!$B$4:$AY$139,LS_current!H$149, FALSE))/2)</f>
        <v>0</v>
      </c>
      <c r="BS11" s="382">
        <f t="array" ref="BS11">IF($BI11=0, INDEX(LS_current!$D$4:$AY$139, MATCH('Staging Table'!$A11, LS_current!$B$4:$B$139, 0), MATCH(BS$4&amp;BS$5, LS_current!$D$2:$AY$2&amp;LS_current!$D$3:$AY$3, 0)),SUM(VLOOKUP($A11, LS_current!$B$4:$AY$139, LS_current!I$149, FALSE), VLOOKUP($A11, LS_current!$B$4:$AY$139,LS_current!I$149, FALSE))/2)</f>
        <v>0</v>
      </c>
      <c r="BT11" s="382">
        <f t="array" ref="BT11">IF($BI11=0, INDEX(LS_current!$D$4:$AY$139, MATCH('Staging Table'!$A11, LS_current!$B$4:$B$139, 0), MATCH(BT$4&amp;BT$5, LS_current!$D$2:$AY$2&amp;LS_current!$D$3:$AY$3, 0)),SUM(VLOOKUP($A11, LS_current!$B$4:$AY$139, LS_current!J$149, FALSE), VLOOKUP($A11, LS_current!$B$4:$AY$139,LS_current!J$149, FALSE))/2)</f>
        <v>0</v>
      </c>
      <c r="BU11" s="382">
        <f t="array" ref="BU11">IF($BI11=0, INDEX(LS_current!$D$4:$AY$139, MATCH('Staging Table'!$A11, LS_current!$B$4:$B$139, 0), MATCH(BU$4&amp;BU$5, LS_current!$D$2:$AY$2&amp;LS_current!$D$3:$AY$3, 0)),SUM(VLOOKUP($A11, LS_current!$B$4:$AY$139, LS_current!K$149, FALSE), VLOOKUP($A11, LS_current!$B$4:$AY$139,LS_current!K$149, FALSE))/2)</f>
        <v>0</v>
      </c>
      <c r="BV11" s="382">
        <f t="array" ref="BV11">IF($BI11=0, INDEX(LS_current!$D$4:$AY$139, MATCH('Staging Table'!$A11, LS_current!$B$4:$B$139, 0), MATCH(BV$4&amp;BV$5, LS_current!$D$2:$AY$2&amp;LS_current!$D$3:$AY$3, 0)),SUM(VLOOKUP($A11, LS_current!$B$4:$AY$139, LS_current!L$149, FALSE), VLOOKUP($A11, LS_current!$B$4:$AY$139,LS_current!L$149, FALSE))/2)</f>
        <v>0</v>
      </c>
      <c r="BW11" s="382">
        <f t="array" ref="BW11">IF($BI11=0, INDEX(LS_current!$D$4:$AY$139, MATCH('Staging Table'!$A11, LS_current!$B$4:$B$139, 0), MATCH(BW$4&amp;BW$5, LS_current!$D$2:$AY$2&amp;LS_current!$D$3:$AY$3, 0)),SUM(VLOOKUP($A11, LS_current!$B$4:$AY$139, LS_current!M$149, FALSE), VLOOKUP($A11, LS_current!$B$4:$AY$139,LS_current!M$149, FALSE))/2)</f>
        <v>0</v>
      </c>
      <c r="BX11" s="382">
        <f t="array" ref="BX11">IF($BI11=0, INDEX(LS_current!$D$4:$AY$139, MATCH('Staging Table'!$A11, LS_current!$B$4:$B$139, 0), MATCH(BX$4&amp;BX$5, LS_current!$D$2:$AY$2&amp;LS_current!$D$3:$AY$3, 0)),SUM(VLOOKUP($A11, LS_current!$B$4:$AY$139, LS_current!N$149, FALSE), VLOOKUP($A11, LS_current!$B$4:$AY$139,LS_current!N$149, FALSE))/2)</f>
        <v>0</v>
      </c>
      <c r="BY11" s="382">
        <f t="array" ref="BY11">IF($BI11=0, INDEX(LS_current!$D$4:$AY$139, MATCH('Staging Table'!$A11, LS_current!$B$4:$B$139, 0), MATCH(BY$4&amp;BY$5, LS_current!$D$2:$AY$2&amp;LS_current!$D$3:$AY$3, 0)),SUM(VLOOKUP($A11, LS_current!$B$4:$AY$139, LS_current!O$149, FALSE), VLOOKUP($A11, LS_current!$B$4:$AY$139,LS_current!O$149, FALSE))/2)</f>
        <v>0</v>
      </c>
      <c r="BZ11" s="382">
        <f t="array" ref="BZ11">IF($BI11=0, INDEX(LS_current!$D$4:$AY$139, MATCH('Staging Table'!$A11, LS_current!$B$4:$B$139, 0), MATCH(BZ$4&amp;BZ$5, LS_current!$D$2:$AY$2&amp;LS_current!$D$3:$AY$3, 0)),SUM(VLOOKUP($A11, LS_current!$B$4:$AY$139, LS_current!P$149, FALSE), VLOOKUP($A11, LS_current!$B$4:$AY$139,LS_current!P$149, FALSE))/2)</f>
        <v>0</v>
      </c>
      <c r="CA11" s="382">
        <f t="array" ref="CA11">IF($BI11=0, INDEX(LS_current!$D$4:$AY$139, MATCH('Staging Table'!$A11, LS_current!$B$4:$B$139, 0), MATCH(CA$4&amp;CA$5, LS_current!$D$2:$AY$2&amp;LS_current!$D$3:$AY$3, 0)),SUM(VLOOKUP($A11, LS_current!$B$4:$AY$139, LS_current!Q$149, FALSE), VLOOKUP($A11, LS_current!$B$4:$AY$139,LS_current!Q$149, FALSE))/2)</f>
        <v>0</v>
      </c>
      <c r="CB11" s="382">
        <f t="array" ref="CB11">IF($BI11=0, INDEX(LS_current!$D$4:$AY$139, MATCH('Staging Table'!$A11, LS_current!$B$4:$B$139, 0), MATCH(CB$4&amp;CB$5, LS_current!$D$2:$AY$2&amp;LS_current!$D$3:$AY$3, 0)),SUM(VLOOKUP($A11, LS_current!$B$4:$AY$139, LS_current!R$149, FALSE), VLOOKUP($A11, LS_current!$B$4:$AY$139,LS_current!R$149, FALSE))/2)</f>
        <v>0</v>
      </c>
      <c r="CC11" s="382">
        <f t="array" ref="CC11">IF($BI11=0, INDEX(LS_current!$D$4:$AY$139, MATCH('Staging Table'!$A11, LS_current!$B$4:$B$139, 0), MATCH(CC$4&amp;CC$5, LS_current!$D$2:$AY$2&amp;LS_current!$D$3:$AY$3, 0)),SUM(VLOOKUP($A11, LS_current!$B$4:$AY$139, LS_current!S$149, FALSE), VLOOKUP($A11, LS_current!$B$4:$AY$139,LS_current!S$149, FALSE))/2)</f>
        <v>0</v>
      </c>
      <c r="CD11" s="382">
        <f t="array" ref="CD11">IF($BI11=0, INDEX(LS_current!$D$4:$AY$139, MATCH('Staging Table'!$A11, LS_current!$B$4:$B$139, 0), MATCH(CD$4&amp;CD$5, LS_current!$D$2:$AY$2&amp;LS_current!$D$3:$AY$3, 0)),SUM(VLOOKUP($A11, LS_current!$B$4:$AY$139, LS_current!T$149, FALSE), VLOOKUP($A11, LS_current!$B$4:$AY$139,LS_current!T$149, FALSE))/2)</f>
        <v>0</v>
      </c>
      <c r="CE11" s="382">
        <f t="array" ref="CE11">IF($BI11=0, INDEX(LS_current!$D$4:$AY$139, MATCH('Staging Table'!$A11, LS_current!$B$4:$B$139, 0), MATCH(CE$4&amp;CE$5, LS_current!$D$2:$AY$2&amp;LS_current!$D$3:$AY$3, 0)),SUM(VLOOKUP($A11, LS_current!$B$4:$AY$139, LS_current!U$149, FALSE), VLOOKUP($A11, LS_current!$B$4:$AY$139,LS_current!U$149, FALSE))/2)</f>
        <v>0</v>
      </c>
      <c r="CF11" s="382">
        <f t="array" ref="CF11">IF($BI11=0, INDEX(LS_current!$D$4:$AY$139, MATCH('Staging Table'!$A11, LS_current!$B$4:$B$139, 0), MATCH(CF$4&amp;CF$5, LS_current!$D$2:$AY$2&amp;LS_current!$D$3:$AY$3, 0)),SUM(VLOOKUP($A11, LS_current!$B$4:$AY$139, LS_current!V$149, FALSE), VLOOKUP($A11, LS_current!$B$4:$AY$139,LS_current!V$149, FALSE))/2)</f>
        <v>0</v>
      </c>
      <c r="CG11" s="382">
        <f t="array" ref="CG11">IF($BI11=0, INDEX(LS_current!$D$4:$AY$139, MATCH('Staging Table'!$A11, LS_current!$B$4:$B$139, 0), MATCH(CG$4&amp;CG$5, LS_current!$D$2:$AY$2&amp;LS_current!$D$3:$AY$3, 0)),SUM(VLOOKUP($A11, LS_current!$B$4:$AY$139, LS_current!W$149, FALSE), VLOOKUP($A11, LS_current!$B$4:$AY$139,LS_current!W$149, FALSE))/2)</f>
        <v>0</v>
      </c>
      <c r="CH11" s="382">
        <f t="array" ref="CH11">IF($BI11=0, INDEX(LS_current!$D$4:$AY$139, MATCH('Staging Table'!$A11, LS_current!$B$4:$B$139, 0), MATCH(CH$4&amp;CH$5, LS_current!$D$2:$AY$2&amp;LS_current!$D$3:$AY$3, 0)),SUM(VLOOKUP($A11, LS_current!$B$4:$AY$139, LS_current!X$149, FALSE), VLOOKUP($A11, LS_current!$B$4:$AY$139,LS_current!X$149, FALSE))/2)</f>
        <v>0</v>
      </c>
      <c r="CI11" s="382">
        <f t="array" ref="CI11">IF($BI11=0, INDEX(LS_current!$D$4:$AY$139, MATCH('Staging Table'!$A11, LS_current!$B$4:$B$139, 0), MATCH(CI$4&amp;CI$5, LS_current!$D$2:$AY$2&amp;LS_current!$D$3:$AY$3, 0)),SUM(VLOOKUP($A11, LS_current!$B$4:$AY$139, LS_current!Y$149, FALSE), VLOOKUP($A11, LS_current!$B$4:$AY$139,LS_current!Y$149, FALSE))/2)</f>
        <v>0</v>
      </c>
      <c r="CJ11" s="382">
        <f t="array" ref="CJ11">IF($BI11=0, INDEX(LS_current!$D$4:$AY$139, MATCH('Staging Table'!$A11, LS_current!$B$4:$B$139, 0), MATCH(CJ$4&amp;CJ$5, LS_current!$D$2:$AY$2&amp;LS_current!$D$3:$AY$3, 0)),SUM(VLOOKUP($A11, LS_current!$B$4:$AY$139, LS_current!Z$149, FALSE), VLOOKUP($A11, LS_current!$B$4:$AY$139,LS_current!Z$149, FALSE))/2)</f>
        <v>0</v>
      </c>
      <c r="CK11" s="382">
        <f t="array" ref="CK11">IF($BI11=0, INDEX(LS_current!$D$4:$AY$139, MATCH('Staging Table'!$A11, LS_current!$B$4:$B$139, 0), MATCH(CK$4&amp;CK$5, LS_current!$D$2:$AY$2&amp;LS_current!$D$3:$AY$3, 0)),SUM(VLOOKUP($A11, LS_current!$B$4:$AY$139, LS_current!AA$149, FALSE), VLOOKUP($A11, LS_current!$B$4:$AY$139,LS_current!AA$149, FALSE))/2)</f>
        <v>0</v>
      </c>
      <c r="CL11" s="384">
        <f t="array" ref="CL11">INDEX(Demand_current!$D$4:$AY$138, MATCH($A11, Demand_current!$B$4:$B$138, 0), MATCH(CL$4&amp;CL$5,Demand_current!$D$2:$AY$2&amp;Demand_current!$D$3:$AY$3, 0))/1000</f>
        <v>0</v>
      </c>
      <c r="CM11" s="384">
        <f t="array" ref="CM11">INDEX(Demand_current!$D$4:$AY$138, MATCH($A11, Demand_current!$B$4:$B$138, 0), MATCH(CM$4&amp;CM$5,Demand_current!$D$2:$AY$2&amp;Demand_current!$D$3:$AY$3, 0))/1000</f>
        <v>0</v>
      </c>
      <c r="CN11" s="384">
        <f t="array" ref="CN11">INDEX(Demand_current!$D$4:$AY$138, MATCH($A11, Demand_current!$B$4:$B$138, 0), MATCH(CN$4&amp;CN$5,Demand_current!$D$2:$AY$2&amp;Demand_current!$D$3:$AY$3, 0))/1000</f>
        <v>0</v>
      </c>
      <c r="CO11" s="384">
        <f t="array" ref="CO11">INDEX(Demand_current!$D$4:$AY$138, MATCH($A11, Demand_current!$B$4:$B$138, 0), MATCH(CO$4&amp;CO$5,Demand_current!$D$2:$AY$2&amp;Demand_current!$D$3:$AY$3, 0))/1000</f>
        <v>0</v>
      </c>
      <c r="CP11" s="384">
        <f t="array" ref="CP11">INDEX(Demand_current!$D$4:$AY$138, MATCH($A11, Demand_current!$B$4:$B$138, 0), MATCH(CP$4&amp;CP$5,Demand_current!$D$2:$AY$2&amp;Demand_current!$D$3:$AY$3, 0))/1000</f>
        <v>0</v>
      </c>
      <c r="CQ11" s="384">
        <f t="array" ref="CQ11">INDEX(Demand_current!$D$4:$AY$138, MATCH($A11, Demand_current!$B$4:$B$138, 0), MATCH(CQ$4&amp;CQ$5,Demand_current!$D$2:$AY$2&amp;Demand_current!$D$3:$AY$3, 0))/1000</f>
        <v>0</v>
      </c>
      <c r="CR11" s="384">
        <f t="array" ref="CR11">INDEX(Demand_current!$D$4:$AY$138, MATCH($A11, Demand_current!$B$4:$B$138, 0), MATCH(CR$4&amp;CR$5,Demand_current!$D$2:$AY$2&amp;Demand_current!$D$3:$AY$3, 0))/1000</f>
        <v>0</v>
      </c>
      <c r="CS11" s="384">
        <f t="array" ref="CS11">INDEX(Demand_current!$D$4:$AY$138, MATCH($A11, Demand_current!$B$4:$B$138, 0), MATCH(CS$4&amp;CS$5,Demand_current!$D$2:$AY$2&amp;Demand_current!$D$3:$AY$3, 0))/1000</f>
        <v>0</v>
      </c>
      <c r="CT11" s="384">
        <f t="array" ref="CT11">INDEX(Demand_current!$D$4:$AY$138, MATCH($A11, Demand_current!$B$4:$B$138, 0), MATCH(CT$4&amp;CT$5,Demand_current!$D$2:$AY$2&amp;Demand_current!$D$3:$AY$3, 0))/1000</f>
        <v>0</v>
      </c>
      <c r="CU11" s="384">
        <f t="array" ref="CU11">INDEX(Demand_current!$D$4:$AY$138, MATCH($A11, Demand_current!$B$4:$B$138, 0), MATCH(CU$4&amp;CU$5,Demand_current!$D$2:$AY$2&amp;Demand_current!$D$3:$AY$3, 0))/1000</f>
        <v>0</v>
      </c>
      <c r="CV11" s="384">
        <f t="array" ref="CV11">INDEX(Demand_current!$D$4:$AY$138, MATCH($A11, Demand_current!$B$4:$B$138, 0), MATCH(CV$4&amp;CV$5,Demand_current!$D$2:$AY$2&amp;Demand_current!$D$3:$AY$3, 0))/1000</f>
        <v>0</v>
      </c>
      <c r="CW11" s="384">
        <f t="array" ref="CW11">INDEX(Demand_current!$D$4:$AY$138, MATCH($A11, Demand_current!$B$4:$B$138, 0), MATCH(CW$4&amp;CW$5,Demand_current!$D$2:$AY$2&amp;Demand_current!$D$3:$AY$3, 0))/1000</f>
        <v>0</v>
      </c>
      <c r="CX11" s="384">
        <f>IF(D11=0,IF(C11=0,MAX(0,DA11 - (VLOOKUP($A11,TOCA_current!$A$2:$AI$137,MATCH("RHWM 2018",TOCA_current!$A$2:$AI$2,0),FALSE)*$BH$2)), 0),0)</f>
        <v>0</v>
      </c>
      <c r="CY11" s="427">
        <f>VLOOKUP($A11,REP_current!$A$1:$D$135,MATCH("FY "&amp;$BH$1&amp; " Total Refund",REP_current!$A$1:$D$1,0),0)</f>
        <v>201878.73449378833</v>
      </c>
      <c r="CZ11" s="432">
        <f>MIN(VLOOKUP($A11,TOCA_current!$A$2:$AI$137,MATCH("TRL - NLSL - Existing Resource "&amp;$BH$1,TOCA_current!$A$2:$AI$2,0),FALSE)*$BH$2, VLOOKUP($A11,TOCA_current!$A$2:$AI$137,MATCH("RHWM 2018",TOCA_current!$A$2:$AI$2,0),FALSE)*$BH$2)</f>
        <v>151837.07999999999</v>
      </c>
      <c r="DA11" s="397">
        <f>SUM(BN11:CK11)+(BH11*RT1SC!$C$4*$BH$2)</f>
        <v>151836.61262596797</v>
      </c>
      <c r="DB11" s="432">
        <f>VLOOKUP($A11,TOCA_current!$A$2:$AI$137,MATCH("Above RHWM Not Served with LS "&amp;$BH$1,TOCA_current!$A$2:$AI$2,0),FALSE)*$BH$2</f>
        <v>23573.16</v>
      </c>
      <c r="DC11" s="401">
        <f t="shared" si="11"/>
        <v>-0.46737403201404959</v>
      </c>
      <c r="DD11" s="397">
        <f>(VLOOKUP($A11,TOCA_current!$A$2:$AI$137,MATCH("RHWM 2018",TOCA_current!$A$2:$AI$2,0),FALSE)*$BH$2) - $CZ11</f>
        <v>0</v>
      </c>
      <c r="DE11" s="397">
        <f t="shared" si="12"/>
        <v>0</v>
      </c>
      <c r="DF11" s="397">
        <f t="shared" si="13"/>
        <v>0</v>
      </c>
      <c r="DG11" s="397">
        <f t="shared" si="14"/>
        <v>0</v>
      </c>
      <c r="DH11" s="397">
        <f t="shared" si="15"/>
        <v>0</v>
      </c>
    </row>
    <row r="12" spans="1:112">
      <c r="A12" s="274">
        <v>10044</v>
      </c>
      <c r="B12" s="275" t="s">
        <v>13</v>
      </c>
      <c r="C12" s="397">
        <v>0</v>
      </c>
      <c r="D12" s="397">
        <v>0</v>
      </c>
      <c r="E12" s="205">
        <f>VLOOKUP($A12,TOCA_previous!$A$2:$AI$137,MATCH(E$4,TOCA_previous!$A$2:$AI$2,0),FALSE)</f>
        <v>2.8800000000000002E-3</v>
      </c>
      <c r="F12" s="206">
        <f>VLOOKUP($A12,TOCA_previous!$A$2:$AI$137,MATCH(F$4,TOCA_previous!$A$2:$AI$2,0),FALSE)</f>
        <v>2.8800000000000002E-3</v>
      </c>
      <c r="G12" s="206">
        <f t="shared" si="0"/>
        <v>0</v>
      </c>
      <c r="H12" s="206">
        <f>VLOOKUP($A12,TOCA_previous!$A$2:$AI$137,MATCH(H$4,TOCA_previous!$A$2:$AI$2,0),FALSE)</f>
        <v>0</v>
      </c>
      <c r="I12" s="206">
        <f t="shared" si="1"/>
        <v>0</v>
      </c>
      <c r="J12" s="206">
        <f t="shared" si="2"/>
        <v>0</v>
      </c>
      <c r="K12" s="381">
        <f>VLOOKUP(A12, IRD!$A$5:$C$139, 3, FALSE)</f>
        <v>0</v>
      </c>
      <c r="L12" s="382">
        <f t="array" ref="L12">IF($G12=0, INDEX(LS_previous!$D$4:$AY$138, MATCH('Staging Table'!$A12, LS_previous!$B$4:$B$138, 0), MATCH(L$4&amp;L$5, LS_previous!$D$2:$AY$2&amp;LS_previous!$D$3:$AY$3, 0)),SUM(VLOOKUP($A12, LS_previous!$B$4:$AY$138, LS_previous!D$149, FALSE), VLOOKUP('Staging Table'!$A12, LS_previous!$B$4:$AY$138,LS_previous!AB$149, FALSE))/2)</f>
        <v>-705.4082598647974</v>
      </c>
      <c r="M12" s="382">
        <f t="array" ref="M12">IF($G12=0, INDEX(LS_previous!$D$4:$AY$138, MATCH('Staging Table'!$A12, LS_previous!$B$4:$B$138, 0), MATCH(M$4&amp;M$5, LS_previous!$D$2:$AY$2&amp;LS_previous!$D$3:$AY$3, 0)),SUM(VLOOKUP($A12, LS_previous!$B$4:$AY$138, LS_previous!E$149, FALSE), VLOOKUP('Staging Table'!$A12, LS_previous!$B$4:$AY$138,LS_previous!AC$149, FALSE))/2)</f>
        <v>-530.12124531379141</v>
      </c>
      <c r="N12" s="382">
        <f t="array" ref="N12">IF($G12=0, INDEX(LS_previous!$D$4:$AY$138, MATCH('Staging Table'!$A12, LS_previous!$B$4:$B$138, 0), MATCH(N$4&amp;N$5, LS_previous!$D$2:$AY$2&amp;LS_previous!$D$3:$AY$3, 0)),SUM(VLOOKUP($A12, LS_previous!$B$4:$AY$138, LS_previous!F$149, FALSE), VLOOKUP('Staging Table'!$A12, LS_previous!$B$4:$AY$138,LS_previous!AD$149, FALSE))/2)</f>
        <v>-737.18514565927399</v>
      </c>
      <c r="O12" s="382">
        <f t="array" ref="O12">IF($G12=0, INDEX(LS_previous!$D$4:$AY$138, MATCH('Staging Table'!$A12, LS_previous!$B$4:$B$138, 0), MATCH(O$4&amp;O$5, LS_previous!$D$2:$AY$2&amp;LS_previous!$D$3:$AY$3, 0)),SUM(VLOOKUP($A12, LS_previous!$B$4:$AY$138, LS_previous!G$149, FALSE), VLOOKUP('Staging Table'!$A12, LS_previous!$B$4:$AY$138,LS_previous!AE$149, FALSE))/2)</f>
        <v>-752.3477822172481</v>
      </c>
      <c r="P12" s="382">
        <f t="array" ref="P12">IF($G12=0, INDEX(LS_previous!$D$4:$AY$138, MATCH('Staging Table'!$A12, LS_previous!$B$4:$B$138, 0), MATCH(P$4&amp;P$5, LS_previous!$D$2:$AY$2&amp;LS_previous!$D$3:$AY$3, 0)),SUM(VLOOKUP($A12, LS_previous!$B$4:$AY$138, LS_previous!H$149, FALSE), VLOOKUP('Staging Table'!$A12, LS_previous!$B$4:$AY$138,LS_previous!AF$149, FALSE))/2)</f>
        <v>634.0125927128629</v>
      </c>
      <c r="Q12" s="382">
        <f t="array" ref="Q12">IF($G12=0, INDEX(LS_previous!$D$4:$AY$138, MATCH('Staging Table'!$A12, LS_previous!$B$4:$B$138, 0), MATCH(Q$4&amp;Q$5, LS_previous!$D$2:$AY$2&amp;LS_previous!$D$3:$AY$3, 0)),SUM(VLOOKUP($A12, LS_previous!$B$4:$AY$138, LS_previous!I$149, FALSE), VLOOKUP('Staging Table'!$A12, LS_previous!$B$4:$AY$138,LS_previous!AG$149, FALSE))/2)</f>
        <v>553.65972989918191</v>
      </c>
      <c r="R12" s="382">
        <f t="array" ref="R12">IF($G12=0, INDEX(LS_previous!$D$4:$AY$138, MATCH('Staging Table'!$A12, LS_previous!$B$4:$B$138, 0), MATCH(R$4&amp;R$5, LS_previous!$D$2:$AY$2&amp;LS_previous!$D$3:$AY$3, 0)),SUM(VLOOKUP($A12, LS_previous!$B$4:$AY$138, LS_previous!J$149, FALSE), VLOOKUP('Staging Table'!$A12, LS_previous!$B$4:$AY$138,LS_previous!AH$149, FALSE))/2)</f>
        <v>1938.8464367538727</v>
      </c>
      <c r="S12" s="382">
        <f t="array" ref="S12">IF($G12=0, INDEX(LS_previous!$D$4:$AY$138, MATCH('Staging Table'!$A12, LS_previous!$B$4:$B$138, 0), MATCH(S$4&amp;S$5, LS_previous!$D$2:$AY$2&amp;LS_previous!$D$3:$AY$3, 0)),SUM(VLOOKUP($A12, LS_previous!$B$4:$AY$138, LS_previous!K$149, FALSE), VLOOKUP('Staging Table'!$A12, LS_previous!$B$4:$AY$138,LS_previous!AI$149, FALSE))/2)</f>
        <v>638.69318133848083</v>
      </c>
      <c r="T12" s="382">
        <f t="array" ref="T12">IF($G12=0, INDEX(LS_previous!$D$4:$AY$138, MATCH('Staging Table'!$A12, LS_previous!$B$4:$B$138, 0), MATCH(T$4&amp;T$5, LS_previous!$D$2:$AY$2&amp;LS_previous!$D$3:$AY$3, 0)),SUM(VLOOKUP($A12, LS_previous!$B$4:$AY$138, LS_previous!L$149, FALSE), VLOOKUP('Staging Table'!$A12, LS_previous!$B$4:$AY$138,LS_previous!AJ$149, FALSE))/2)</f>
        <v>1264.4161666668506</v>
      </c>
      <c r="U12" s="382">
        <f t="array" ref="U12">IF($G12=0, INDEX(LS_previous!$D$4:$AY$138, MATCH('Staging Table'!$A12, LS_previous!$B$4:$B$138, 0), MATCH(U$4&amp;U$5, LS_previous!$D$2:$AY$2&amp;LS_previous!$D$3:$AY$3, 0)),SUM(VLOOKUP($A12, LS_previous!$B$4:$AY$138, LS_previous!M$149, FALSE), VLOOKUP('Staging Table'!$A12, LS_previous!$B$4:$AY$138,LS_previous!AK$149, FALSE))/2)</f>
        <v>224.57404419089744</v>
      </c>
      <c r="V12" s="382">
        <f t="array" ref="V12">IF($G12=0, INDEX(LS_previous!$D$4:$AY$138, MATCH('Staging Table'!$A12, LS_previous!$B$4:$B$138, 0), MATCH(V$4&amp;V$5, LS_previous!$D$2:$AY$2&amp;LS_previous!$D$3:$AY$3, 0)),SUM(VLOOKUP($A12, LS_previous!$B$4:$AY$138, LS_previous!N$149, FALSE), VLOOKUP('Staging Table'!$A12, LS_previous!$B$4:$AY$138,LS_previous!AL$149, FALSE))/2)</f>
        <v>-121.0761437465917</v>
      </c>
      <c r="W12" s="382">
        <f t="array" ref="W12">IF($G12=0, INDEX(LS_previous!$D$4:$AY$138, MATCH('Staging Table'!$A12, LS_previous!$B$4:$B$138, 0), MATCH(W$4&amp;W$5, LS_previous!$D$2:$AY$2&amp;LS_previous!$D$3:$AY$3, 0)),SUM(VLOOKUP($A12, LS_previous!$B$4:$AY$138, LS_previous!O$149, FALSE), VLOOKUP('Staging Table'!$A12, LS_previous!$B$4:$AY$138,LS_previous!AM$149, FALSE))/2)</f>
        <v>-956.70201968462879</v>
      </c>
      <c r="X12" s="382">
        <f t="array" ref="X12">IF($G12=0, INDEX(LS_previous!$D$4:$AY$138, MATCH('Staging Table'!$A12, LS_previous!$B$4:$B$138, 0), MATCH(X$4&amp;X$5, LS_previous!$D$2:$AY$2&amp;LS_previous!$D$3:$AY$3, 0)),SUM(VLOOKUP($A12, LS_previous!$B$4:$AY$138, LS_previous!P$149, FALSE), VLOOKUP('Staging Table'!$A12, LS_previous!$B$4:$AY$138,LS_previous!AN$149, FALSE))/2)</f>
        <v>447.00995998619965</v>
      </c>
      <c r="Y12" s="382">
        <f t="array" ref="Y12">IF($G12=0, INDEX(LS_previous!$D$4:$AY$138, MATCH('Staging Table'!$A12, LS_previous!$B$4:$B$138, 0), MATCH(Y$4&amp;Y$5, LS_previous!$D$2:$AY$2&amp;LS_previous!$D$3:$AY$3, 0)),SUM(VLOOKUP($A12, LS_previous!$B$4:$AY$138, LS_previous!Q$149, FALSE), VLOOKUP('Staging Table'!$A12, LS_previous!$B$4:$AY$138,LS_previous!AO$149, FALSE))/2)</f>
        <v>-45.776311626679671</v>
      </c>
      <c r="Z12" s="382">
        <f t="array" ref="Z12">IF($G12=0, INDEX(LS_previous!$D$4:$AY$138, MATCH('Staging Table'!$A12, LS_previous!$B$4:$B$138, 0), MATCH(Z$4&amp;Z$5, LS_previous!$D$2:$AY$2&amp;LS_previous!$D$3:$AY$3, 0)),SUM(VLOOKUP($A12, LS_previous!$B$4:$AY$138, LS_previous!R$149, FALSE), VLOOKUP('Staging Table'!$A12, LS_previous!$B$4:$AY$138,LS_previous!AP$149, FALSE))/2)</f>
        <v>-4461.9099772628324</v>
      </c>
      <c r="AA12" s="382">
        <f t="array" ref="AA12">IF($G12=0, INDEX(LS_previous!$D$4:$AY$138, MATCH('Staging Table'!$A12, LS_previous!$B$4:$B$138, 0), MATCH(AA$4&amp;AA$5, LS_previous!$D$2:$AY$2&amp;LS_previous!$D$3:$AY$3, 0)),SUM(VLOOKUP($A12, LS_previous!$B$4:$AY$138, LS_previous!S$149, FALSE), VLOOKUP('Staging Table'!$A12, LS_previous!$B$4:$AY$138,LS_previous!AQ$149, FALSE))/2)</f>
        <v>-2683.3083719974793</v>
      </c>
      <c r="AB12" s="382">
        <f t="array" ref="AB12">IF($G12=0, INDEX(LS_previous!$D$4:$AY$138, MATCH('Staging Table'!$A12, LS_previous!$B$4:$B$138, 0), MATCH(AB$4&amp;AB$5, LS_previous!$D$2:$AY$2&amp;LS_previous!$D$3:$AY$3, 0)),SUM(VLOOKUP($A12, LS_previous!$B$4:$AY$138, LS_previous!T$149, FALSE), VLOOKUP('Staging Table'!$A12, LS_previous!$B$4:$AY$138,LS_previous!AR$149, FALSE))/2)</f>
        <v>-1981.6924234562885</v>
      </c>
      <c r="AC12" s="382">
        <f t="array" ref="AC12">IF($G12=0, INDEX(LS_previous!$D$4:$AY$138, MATCH('Staging Table'!$A12, LS_previous!$B$4:$B$138, 0), MATCH(AC$4&amp;AC$5, LS_previous!$D$2:$AY$2&amp;LS_previous!$D$3:$AY$3, 0)),SUM(VLOOKUP($A12, LS_previous!$B$4:$AY$138, LS_previous!U$149, FALSE), VLOOKUP('Staging Table'!$A12, LS_previous!$B$4:$AY$138,LS_previous!AS$149, FALSE))/2)</f>
        <v>-1638.9211947669296</v>
      </c>
      <c r="AD12" s="382">
        <f t="array" ref="AD12">IF($G12=0, INDEX(LS_previous!$D$4:$AY$138, MATCH('Staging Table'!$A12, LS_previous!$B$4:$B$138, 0), MATCH(AD$4&amp;AD$5, LS_previous!$D$2:$AY$2&amp;LS_previous!$D$3:$AY$3, 0)),SUM(VLOOKUP($A12, LS_previous!$B$4:$AY$138, LS_previous!V$149, FALSE), VLOOKUP('Staging Table'!$A12, LS_previous!$B$4:$AY$138,LS_previous!AT$149, FALSE))/2)</f>
        <v>-678.36471474110294</v>
      </c>
      <c r="AE12" s="382">
        <f t="array" ref="AE12">IF($G12=0, INDEX(LS_previous!$D$4:$AY$138, MATCH('Staging Table'!$A12, LS_previous!$B$4:$B$138, 0), MATCH(AE$4&amp;AE$5, LS_previous!$D$2:$AY$2&amp;LS_previous!$D$3:$AY$3, 0)),SUM(VLOOKUP($A12, LS_previous!$B$4:$AY$138, LS_previous!W$149, FALSE), VLOOKUP('Staging Table'!$A12, LS_previous!$B$4:$AY$138,LS_previous!AU$149, FALSE))/2)</f>
        <v>91.051815475562762</v>
      </c>
      <c r="AF12" s="382">
        <f t="array" ref="AF12">IF($G12=0, INDEX(LS_previous!$D$4:$AY$138, MATCH('Staging Table'!$A12, LS_previous!$B$4:$B$138, 0), MATCH(AF$4&amp;AF$5, LS_previous!$D$2:$AY$2&amp;LS_previous!$D$3:$AY$3, 0)),SUM(VLOOKUP($A12, LS_previous!$B$4:$AY$138, LS_previous!X$149, FALSE), VLOOKUP('Staging Table'!$A12, LS_previous!$B$4:$AY$138,LS_previous!AV$149, FALSE))/2)</f>
        <v>-711.29361483815956</v>
      </c>
      <c r="AG12" s="382">
        <f t="array" ref="AG12">IF($G12=0, INDEX(LS_previous!$D$4:$AY$138, MATCH('Staging Table'!$A12, LS_previous!$B$4:$B$138, 0), MATCH(AG$4&amp;AG$5, LS_previous!$D$2:$AY$2&amp;LS_previous!$D$3:$AY$3, 0)),SUM(VLOOKUP($A12, LS_previous!$B$4:$AY$138, LS_previous!Y$149, FALSE), VLOOKUP('Staging Table'!$A12, LS_previous!$B$4:$AY$138,LS_previous!AW$149, FALSE))/2)</f>
        <v>-516.90844847575045</v>
      </c>
      <c r="AH12" s="382">
        <f t="array" ref="AH12">IF($G12=0, INDEX(LS_previous!$D$4:$AY$138, MATCH('Staging Table'!$A12, LS_previous!$B$4:$B$138, 0), MATCH(AH$4&amp;AH$5, LS_previous!$D$2:$AY$2&amp;LS_previous!$D$3:$AY$3, 0)),SUM(VLOOKUP($A12, LS_previous!$B$4:$AY$138, LS_previous!Z$149, FALSE), VLOOKUP('Staging Table'!$A12, LS_previous!$B$4:$AY$138,LS_previous!AX$149, FALSE))/2)</f>
        <v>-230.44682005149662</v>
      </c>
      <c r="AI12" s="382">
        <f t="array" ref="AI12">IF($G12=0, INDEX(LS_previous!$D$4:$AY$138, MATCH('Staging Table'!$A12, LS_previous!$B$4:$B$138, 0), MATCH(AI$4&amp;AI$5, LS_previous!$D$2:$AY$2&amp;LS_previous!$D$3:$AY$3, 0)),SUM(VLOOKUP($A12, LS_previous!$B$4:$AY$138, LS_previous!AA$149, FALSE), VLOOKUP('Staging Table'!$A12, LS_previous!$B$4:$AY$138,LS_previous!AY$149, FALSE))/2)</f>
        <v>-374.78972070181771</v>
      </c>
      <c r="AJ12" s="384">
        <f t="array" ref="AJ12">INDEX(Demand_previous!$D$4:$AY$138, MATCH('Staging Table'!$A12, Demand_previous!$B$4:$B$138, 0), MATCH(AJ$4&amp;AJ$5,Demand_previous!$D$2:$AY$2&amp;Demand_previous!$D$3:$AY$3, 0))/1000</f>
        <v>2.6595069444444461</v>
      </c>
      <c r="AK12" s="384">
        <f t="array" ref="AK12">INDEX(Demand_previous!$D$4:$AY$138, MATCH('Staging Table'!$A12, Demand_previous!$B$4:$B$138, 0), MATCH(AK$4&amp;AK$5,Demand_previous!$D$2:$AY$2&amp;Demand_previous!$D$3:$AY$3, 0))/1000</f>
        <v>0</v>
      </c>
      <c r="AL12" s="384">
        <f t="array" ref="AL12">INDEX(Demand_previous!$D$4:$AY$138, MATCH('Staging Table'!$A12, Demand_previous!$B$4:$B$138, 0), MATCH(AL$4&amp;AL$5,Demand_previous!$D$2:$AY$2&amp;Demand_previous!$D$3:$AY$3, 0))/1000</f>
        <v>2.8223004807692318</v>
      </c>
      <c r="AM12" s="384">
        <f t="array" ref="AM12">INDEX(Demand_previous!$D$4:$AY$138, MATCH('Staging Table'!$A12, Demand_previous!$B$4:$B$138, 0), MATCH(AM$4&amp;AM$5,Demand_previous!$D$2:$AY$2&amp;Demand_previous!$D$3:$AY$3, 0))/1000</f>
        <v>2.8428949999999977</v>
      </c>
      <c r="AN12" s="384">
        <f t="array" ref="AN12">INDEX(Demand_previous!$D$4:$AY$138, MATCH('Staging Table'!$A12, Demand_previous!$B$4:$B$138, 0), MATCH(AN$4&amp;AN$5,Demand_previous!$D$2:$AY$2&amp;Demand_previous!$D$3:$AY$3, 0))/1000</f>
        <v>2.5392549999999963</v>
      </c>
      <c r="AO12" s="384">
        <f t="array" ref="AO12">INDEX(Demand_previous!$D$4:$AY$138, MATCH('Staging Table'!$A12, Demand_previous!$B$4:$B$138, 0), MATCH(AO$4&amp;AO$5,Demand_previous!$D$2:$AY$2&amp;Demand_previous!$D$3:$AY$3, 0))/1000</f>
        <v>3.31001851851852</v>
      </c>
      <c r="AP12" s="384">
        <f t="array" ref="AP12">INDEX(Demand_previous!$D$4:$AY$138, MATCH('Staging Table'!$A12, Demand_previous!$B$4:$B$138, 0), MATCH(AP$4&amp;AP$5,Demand_previous!$D$2:$AY$2&amp;Demand_previous!$D$3:$AY$3, 0))/1000</f>
        <v>2.7100384615384607</v>
      </c>
      <c r="AQ12" s="384">
        <f t="array" ref="AQ12">INDEX(Demand_previous!$D$4:$AY$138, MATCH('Staging Table'!$A12, Demand_previous!$B$4:$B$138, 0), MATCH(AQ$4&amp;AQ$5,Demand_previous!$D$2:$AY$2&amp;Demand_previous!$D$3:$AY$3, 0))/1000</f>
        <v>0.47881999999999936</v>
      </c>
      <c r="AR12" s="384">
        <f t="array" ref="AR12">INDEX(Demand_previous!$D$4:$AY$138, MATCH('Staging Table'!$A12, Demand_previous!$B$4:$B$138, 0), MATCH(AR$4&amp;AR$5,Demand_previous!$D$2:$AY$2&amp;Demand_previous!$D$3:$AY$3, 0))/1000</f>
        <v>1.7045024038461554</v>
      </c>
      <c r="AS12" s="384">
        <f t="array" ref="AS12">INDEX(Demand_previous!$D$4:$AY$138, MATCH('Staging Table'!$A12, Demand_previous!$B$4:$B$138, 0), MATCH(AS$4&amp;AS$5,Demand_previous!$D$2:$AY$2&amp;Demand_previous!$D$3:$AY$3, 0))/1000</f>
        <v>1.3790849999999999</v>
      </c>
      <c r="AT12" s="384">
        <f t="array" ref="AT12">INDEX(Demand_previous!$D$4:$AY$138, MATCH('Staging Table'!$A12, Demand_previous!$B$4:$B$138, 0), MATCH(AT$4&amp;AT$5,Demand_previous!$D$2:$AY$2&amp;Demand_previous!$D$3:$AY$3, 0))/1000</f>
        <v>3.0217592592592579</v>
      </c>
      <c r="AU12" s="384">
        <f t="array" ref="AU12">INDEX(Demand_previous!$D$4:$AY$138, MATCH('Staging Table'!$A12, Demand_previous!$B$4:$B$138, 0), MATCH(AU$4&amp;AU$5,Demand_previous!$D$2:$AY$2&amp;Demand_previous!$D$3:$AY$3, 0))/1000</f>
        <v>3.8805474999999996</v>
      </c>
      <c r="AV12" s="384">
        <f>IF($D12=0,IF(C12=0, MAX(AY12 - (VLOOKUP($A12,TOCA_previous!$A$2:$AI$137,MATCH("RHWM 2016",TOCA_previous!$A$2:$AI$2,0),FALSE)*$F$2*TOCA_previous!C9),0),0), 0)</f>
        <v>0</v>
      </c>
      <c r="AW12" s="427">
        <f>VLOOKUP($A12,REP_previous!$A$1:$D$135,MATCH("FY "&amp;$F$1&amp; " Total Refund",REP_previous!$A$1:$D$1,0),0)</f>
        <v>259285.64198385429</v>
      </c>
      <c r="AX12" s="398">
        <f>MIN(VLOOKUP($A12,TOCA_previous!$A$2:$AI$137,MATCH("TRL - NLSL - Exisiting Resource "&amp;$F$1,TOCA_previous!$A$2:$AI$2,0),FALSE)*$F$2,(VLOOKUP($A12,TOCA_previous!$A$2:$AI$137,MATCH("RHWM 2016",TOCA_previous!$A$2:$AI$2,0),FALSE)*$F$2))</f>
        <v>176655.024</v>
      </c>
      <c r="AY12" s="384">
        <f>SUM(L12:AI12)+(F12*RT1SC!$C$3*$F$2)</f>
        <v>165323.53741581904</v>
      </c>
      <c r="AZ12" s="398">
        <f>VLOOKUP($A12,TOCA_previous!$A$2:$AI$137,MATCH("Above RHWM Not Served with LS "&amp;$F$1,TOCA_previous!$A$2:$AI$2,0),FALSE)*$F$2</f>
        <v>14765.904</v>
      </c>
      <c r="BA12" s="206">
        <f t="shared" si="3"/>
        <v>-11331.486584180966</v>
      </c>
      <c r="BB12" s="399">
        <f>(VLOOKUP($A12,TOCA_previous!$A$2:$AI$137,MATCH("RHWM 2016",TOCA_previous!$A$2:$AI$2,0),FALSE)*$F$2) - $AX12</f>
        <v>0</v>
      </c>
      <c r="BC12" s="206">
        <f t="shared" si="4"/>
        <v>0</v>
      </c>
      <c r="BD12" s="400">
        <f t="shared" si="5"/>
        <v>0</v>
      </c>
      <c r="BE12" s="392">
        <f t="shared" si="6"/>
        <v>0</v>
      </c>
      <c r="BF12" s="399">
        <f t="shared" si="7"/>
        <v>0</v>
      </c>
      <c r="BG12" s="206">
        <f>VLOOKUP($A12,TOCA_current!$A$2:$AI$137,MATCH(BG$4,TOCA_current!$A$2:$AI$2,0),FALSE)</f>
        <v>2.8774E-3</v>
      </c>
      <c r="BH12" s="206">
        <f>VLOOKUP($A12,TOCA_current!$A$2:$AI$137,MATCH(BH$4,TOCA_current!$A$2:$AI$2,0),FALSE)</f>
        <v>2.8774E-3</v>
      </c>
      <c r="BI12" s="391">
        <f t="shared" si="8"/>
        <v>0</v>
      </c>
      <c r="BJ12" s="206">
        <f>VLOOKUP($A12,TOCA_current!A8:BG143,MATCH(BJ$4,TOCA_current!$A$2:$BG$2,0),FALSE)</f>
        <v>0</v>
      </c>
      <c r="BK12" s="206">
        <f t="shared" si="9"/>
        <v>0</v>
      </c>
      <c r="BL12" s="206">
        <f t="shared" si="10"/>
        <v>0</v>
      </c>
      <c r="BM12" s="381">
        <f>VLOOKUP($A12,IRD!$A$4:$G$139, 7, FALSE)</f>
        <v>0</v>
      </c>
      <c r="BN12" s="382">
        <f t="array" ref="BN12">IF($BI12=0, INDEX(LS_current!$D$4:$AY$139, MATCH('Staging Table'!$A12, LS_current!$B$4:$B$139, 0), MATCH(BN$4&amp;BN$5, LS_current!$D$2:$AY$2&amp;LS_current!$D$3:$AY$3, 0)),SUM(VLOOKUP($A12, LS_current!$B$4:$AY$139, LS_current!D$149, FALSE), VLOOKUP($A12, LS_current!$B$4:$AY$139,LS_current!D$149, FALSE))/2)</f>
        <v>-18.306651486940609</v>
      </c>
      <c r="BO12" s="382">
        <f t="array" ref="BO12">IF($BI12=0, INDEX(LS_current!$D$4:$AY$139, MATCH('Staging Table'!$A12, LS_current!$B$4:$B$139, 0), MATCH(BO$4&amp;BO$5, LS_current!$D$2:$AY$2&amp;LS_current!$D$3:$AY$3, 0)),SUM(VLOOKUP($A12, LS_current!$B$4:$AY$139, LS_current!E$149, FALSE), VLOOKUP($A12, LS_current!$B$4:$AY$139,LS_current!E$149, FALSE))/2)</f>
        <v>254.86987398739166</v>
      </c>
      <c r="BP12" s="382">
        <f t="array" ref="BP12">IF($BI12=0, INDEX(LS_current!$D$4:$AY$139, MATCH('Staging Table'!$A12, LS_current!$B$4:$B$139, 0), MATCH(BP$4&amp;BP$5, LS_current!$D$2:$AY$2&amp;LS_current!$D$3:$AY$3, 0)),SUM(VLOOKUP($A12, LS_current!$B$4:$AY$139, LS_current!F$149, FALSE), VLOOKUP($A12, LS_current!$B$4:$AY$139,LS_current!F$149, FALSE))/2)</f>
        <v>-297.28613350813248</v>
      </c>
      <c r="BQ12" s="382">
        <f t="array" ref="BQ12">IF($BI12=0, INDEX(LS_current!$D$4:$AY$139, MATCH('Staging Table'!$A12, LS_current!$B$4:$B$139, 0), MATCH(BQ$4&amp;BQ$5, LS_current!$D$2:$AY$2&amp;LS_current!$D$3:$AY$3, 0)),SUM(VLOOKUP($A12, LS_current!$B$4:$AY$139, LS_current!G$149, FALSE), VLOOKUP($A12, LS_current!$B$4:$AY$139,LS_current!G$149, FALSE))/2)</f>
        <v>-124.16540284369512</v>
      </c>
      <c r="BR12" s="382">
        <f t="array" ref="BR12">IF($BI12=0, INDEX(LS_current!$D$4:$AY$139, MATCH('Staging Table'!$A12, LS_current!$B$4:$B$139, 0), MATCH(BR$4&amp;BR$5, LS_current!$D$2:$AY$2&amp;LS_current!$D$3:$AY$3, 0)),SUM(VLOOKUP($A12, LS_current!$B$4:$AY$139, LS_current!H$149, FALSE), VLOOKUP($A12, LS_current!$B$4:$AY$139,LS_current!H$149, FALSE))/2)</f>
        <v>1011.5566130538646</v>
      </c>
      <c r="BS12" s="382">
        <f t="array" ref="BS12">IF($BI12=0, INDEX(LS_current!$D$4:$AY$139, MATCH('Staging Table'!$A12, LS_current!$B$4:$B$139, 0), MATCH(BS$4&amp;BS$5, LS_current!$D$2:$AY$2&amp;LS_current!$D$3:$AY$3, 0)),SUM(VLOOKUP($A12, LS_current!$B$4:$AY$139, LS_current!I$149, FALSE), VLOOKUP($A12, LS_current!$B$4:$AY$139,LS_current!I$149, FALSE))/2)</f>
        <v>1052.0316758489935</v>
      </c>
      <c r="BT12" s="382">
        <f t="array" ref="BT12">IF($BI12=0, INDEX(LS_current!$D$4:$AY$139, MATCH('Staging Table'!$A12, LS_current!$B$4:$B$139, 0), MATCH(BT$4&amp;BT$5, LS_current!$D$2:$AY$2&amp;LS_current!$D$3:$AY$3, 0)),SUM(VLOOKUP($A12, LS_current!$B$4:$AY$139, LS_current!J$149, FALSE), VLOOKUP($A12, LS_current!$B$4:$AY$139,LS_current!J$149, FALSE))/2)</f>
        <v>2521.762037716564</v>
      </c>
      <c r="BU12" s="382">
        <f t="array" ref="BU12">IF($BI12=0, INDEX(LS_current!$D$4:$AY$139, MATCH('Staging Table'!$A12, LS_current!$B$4:$B$139, 0), MATCH(BU$4&amp;BU$5, LS_current!$D$2:$AY$2&amp;LS_current!$D$3:$AY$3, 0)),SUM(VLOOKUP($A12, LS_current!$B$4:$AY$139, LS_current!K$149, FALSE), VLOOKUP($A12, LS_current!$B$4:$AY$139,LS_current!K$149, FALSE))/2)</f>
        <v>1200.9964642620507</v>
      </c>
      <c r="BV12" s="382">
        <f t="array" ref="BV12">IF($BI12=0, INDEX(LS_current!$D$4:$AY$139, MATCH('Staging Table'!$A12, LS_current!$B$4:$B$139, 0), MATCH(BV$4&amp;BV$5, LS_current!$D$2:$AY$2&amp;LS_current!$D$3:$AY$3, 0)),SUM(VLOOKUP($A12, LS_current!$B$4:$AY$139, LS_current!L$149, FALSE), VLOOKUP($A12, LS_current!$B$4:$AY$139,LS_current!L$149, FALSE))/2)</f>
        <v>2541.4662155113474</v>
      </c>
      <c r="BW12" s="382">
        <f t="array" ref="BW12">IF($BI12=0, INDEX(LS_current!$D$4:$AY$139, MATCH('Staging Table'!$A12, LS_current!$B$4:$B$139, 0), MATCH(BW$4&amp;BW$5, LS_current!$D$2:$AY$2&amp;LS_current!$D$3:$AY$3, 0)),SUM(VLOOKUP($A12, LS_current!$B$4:$AY$139, LS_current!M$149, FALSE), VLOOKUP($A12, LS_current!$B$4:$AY$139,LS_current!M$149, FALSE))/2)</f>
        <v>1196.5463603348044</v>
      </c>
      <c r="BX12" s="382">
        <f t="array" ref="BX12">IF($BI12=0, INDEX(LS_current!$D$4:$AY$139, MATCH('Staging Table'!$A12, LS_current!$B$4:$B$139, 0), MATCH(BX$4&amp;BX$5, LS_current!$D$2:$AY$2&amp;LS_current!$D$3:$AY$3, 0)),SUM(VLOOKUP($A12, LS_current!$B$4:$AY$139, LS_current!N$149, FALSE), VLOOKUP($A12, LS_current!$B$4:$AY$139,LS_current!N$149, FALSE))/2)</f>
        <v>1078.2084913234703</v>
      </c>
      <c r="BY12" s="382">
        <f t="array" ref="BY12">IF($BI12=0, INDEX(LS_current!$D$4:$AY$139, MATCH('Staging Table'!$A12, LS_current!$B$4:$B$139, 0), MATCH(BY$4&amp;BY$5, LS_current!$D$2:$AY$2&amp;LS_current!$D$3:$AY$3, 0)),SUM(VLOOKUP($A12, LS_current!$B$4:$AY$139, LS_current!O$149, FALSE), VLOOKUP($A12, LS_current!$B$4:$AY$139,LS_current!O$149, FALSE))/2)</f>
        <v>90.818910108459932</v>
      </c>
      <c r="BZ12" s="382">
        <f t="array" ref="BZ12">IF($BI12=0, INDEX(LS_current!$D$4:$AY$139, MATCH('Staging Table'!$A12, LS_current!$B$4:$B$139, 0), MATCH(BZ$4&amp;BZ$5, LS_current!$D$2:$AY$2&amp;LS_current!$D$3:$AY$3, 0)),SUM(VLOOKUP($A12, LS_current!$B$4:$AY$139, LS_current!P$149, FALSE), VLOOKUP($A12, LS_current!$B$4:$AY$139,LS_current!P$149, FALSE))/2)</f>
        <v>278.18688171885333</v>
      </c>
      <c r="CA12" s="382">
        <f t="array" ref="CA12">IF($BI12=0, INDEX(LS_current!$D$4:$AY$139, MATCH('Staging Table'!$A12, LS_current!$B$4:$B$139, 0), MATCH(CA$4&amp;CA$5, LS_current!$D$2:$AY$2&amp;LS_current!$D$3:$AY$3, 0)),SUM(VLOOKUP($A12, LS_current!$B$4:$AY$139, LS_current!Q$149, FALSE), VLOOKUP($A12, LS_current!$B$4:$AY$139,LS_current!Q$149, FALSE))/2)</f>
        <v>406.22739622844801</v>
      </c>
      <c r="CB12" s="382">
        <f t="array" ref="CB12">IF($BI12=0, INDEX(LS_current!$D$4:$AY$139, MATCH('Staging Table'!$A12, LS_current!$B$4:$B$139, 0), MATCH(CB$4&amp;CB$5, LS_current!$D$2:$AY$2&amp;LS_current!$D$3:$AY$3, 0)),SUM(VLOOKUP($A12, LS_current!$B$4:$AY$139, LS_current!R$149, FALSE), VLOOKUP($A12, LS_current!$B$4:$AY$139,LS_current!R$149, FALSE))/2)</f>
        <v>-3669.8029913280188</v>
      </c>
      <c r="CC12" s="382">
        <f t="array" ref="CC12">IF($BI12=0, INDEX(LS_current!$D$4:$AY$139, MATCH('Staging Table'!$A12, LS_current!$B$4:$B$139, 0), MATCH(CC$4&amp;CC$5, LS_current!$D$2:$AY$2&amp;LS_current!$D$3:$AY$3, 0)),SUM(VLOOKUP($A12, LS_current!$B$4:$AY$139, LS_current!S$149, FALSE), VLOOKUP($A12, LS_current!$B$4:$AY$139,LS_current!S$149, FALSE))/2)</f>
        <v>-2205.9589211769608</v>
      </c>
      <c r="CD12" s="382">
        <f t="array" ref="CD12">IF($BI12=0, INDEX(LS_current!$D$4:$AY$139, MATCH('Staging Table'!$A12, LS_current!$B$4:$B$139, 0), MATCH(CD$4&amp;CD$5, LS_current!$D$2:$AY$2&amp;LS_current!$D$3:$AY$3, 0)),SUM(VLOOKUP($A12, LS_current!$B$4:$AY$139, LS_current!T$149, FALSE), VLOOKUP($A12, LS_current!$B$4:$AY$139,LS_current!T$149, FALSE))/2)</f>
        <v>-1226.6222543558251</v>
      </c>
      <c r="CE12" s="382">
        <f t="array" ref="CE12">IF($BI12=0, INDEX(LS_current!$D$4:$AY$139, MATCH('Staging Table'!$A12, LS_current!$B$4:$B$139, 0), MATCH(CE$4&amp;CE$5, LS_current!$D$2:$AY$2&amp;LS_current!$D$3:$AY$3, 0)),SUM(VLOOKUP($A12, LS_current!$B$4:$AY$139, LS_current!U$149, FALSE), VLOOKUP($A12, LS_current!$B$4:$AY$139,LS_current!U$149, FALSE))/2)</f>
        <v>-724.16805241844304</v>
      </c>
      <c r="CF12" s="382">
        <f t="array" ref="CF12">IF($BI12=0, INDEX(LS_current!$D$4:$AY$139, MATCH('Staging Table'!$A12, LS_current!$B$4:$B$139, 0), MATCH(CF$4&amp;CF$5, LS_current!$D$2:$AY$2&amp;LS_current!$D$3:$AY$3, 0)),SUM(VLOOKUP($A12, LS_current!$B$4:$AY$139, LS_current!V$149, FALSE), VLOOKUP($A12, LS_current!$B$4:$AY$139,LS_current!V$149, FALSE))/2)</f>
        <v>569.07072214404434</v>
      </c>
      <c r="CG12" s="382">
        <f t="array" ref="CG12">IF($BI12=0, INDEX(LS_current!$D$4:$AY$139, MATCH('Staging Table'!$A12, LS_current!$B$4:$B$139, 0), MATCH(CG$4&amp;CG$5, LS_current!$D$2:$AY$2&amp;LS_current!$D$3:$AY$3, 0)),SUM(VLOOKUP($A12, LS_current!$B$4:$AY$139, LS_current!W$149, FALSE), VLOOKUP($A12, LS_current!$B$4:$AY$139,LS_current!W$149, FALSE))/2)</f>
        <v>1025.3050063062547</v>
      </c>
      <c r="CH12" s="382">
        <f t="array" ref="CH12">IF($BI12=0, INDEX(LS_current!$D$4:$AY$139, MATCH('Staging Table'!$A12, LS_current!$B$4:$B$139, 0), MATCH(CH$4&amp;CH$5, LS_current!$D$2:$AY$2&amp;LS_current!$D$3:$AY$3, 0)),SUM(VLOOKUP($A12, LS_current!$B$4:$AY$139, LS_current!X$149, FALSE), VLOOKUP($A12, LS_current!$B$4:$AY$139,LS_current!X$149, FALSE))/2)</f>
        <v>74.08356158490642</v>
      </c>
      <c r="CI12" s="382">
        <f t="array" ref="CI12">IF($BI12=0, INDEX(LS_current!$D$4:$AY$139, MATCH('Staging Table'!$A12, LS_current!$B$4:$B$139, 0), MATCH(CI$4&amp;CI$5, LS_current!$D$2:$AY$2&amp;LS_current!$D$3:$AY$3, 0)),SUM(VLOOKUP($A12, LS_current!$B$4:$AY$139, LS_current!Y$149, FALSE), VLOOKUP($A12, LS_current!$B$4:$AY$139,LS_current!Y$149, FALSE))/2)</f>
        <v>172.13610632807195</v>
      </c>
      <c r="CJ12" s="382">
        <f t="array" ref="CJ12">IF($BI12=0, INDEX(LS_current!$D$4:$AY$139, MATCH('Staging Table'!$A12, LS_current!$B$4:$B$139, 0), MATCH(CJ$4&amp;CJ$5, LS_current!$D$2:$AY$2&amp;LS_current!$D$3:$AY$3, 0)),SUM(VLOOKUP($A12, LS_current!$B$4:$AY$139, LS_current!Z$149, FALSE), VLOOKUP($A12, LS_current!$B$4:$AY$139,LS_current!Z$149, FALSE))/2)</f>
        <v>-351.10370685382622</v>
      </c>
      <c r="CK12" s="382">
        <f t="array" ref="CK12">IF($BI12=0, INDEX(LS_current!$D$4:$AY$139, MATCH('Staging Table'!$A12, LS_current!$B$4:$B$139, 0), MATCH(CK$4&amp;CK$5, LS_current!$D$2:$AY$2&amp;LS_current!$D$3:$AY$3, 0)),SUM(VLOOKUP($A12, LS_current!$B$4:$AY$139, LS_current!AA$149, FALSE), VLOOKUP($A12, LS_current!$B$4:$AY$139,LS_current!AA$149, FALSE))/2)</f>
        <v>181.63639906682511</v>
      </c>
      <c r="CL12" s="384">
        <f t="array" ref="CL12">INDEX(Demand_current!$D$4:$AY$138, MATCH($A12, Demand_current!$B$4:$B$138, 0), MATCH(CL$4&amp;CL$5,Demand_current!$D$2:$AY$2&amp;Demand_current!$D$3:$AY$3, 0))/1000</f>
        <v>1.8798725961538501</v>
      </c>
      <c r="CM12" s="384">
        <f t="array" ref="CM12">INDEX(Demand_current!$D$4:$AY$138, MATCH($A12, Demand_current!$B$4:$B$138, 0), MATCH(CM$4&amp;CM$5,Demand_current!$D$2:$AY$2&amp;Demand_current!$D$3:$AY$3, 0))/1000</f>
        <v>0.63796000000000053</v>
      </c>
      <c r="CN12" s="384">
        <f t="array" ref="CN12">INDEX(Demand_current!$D$4:$AY$138, MATCH($A12, Demand_current!$B$4:$B$138, 0), MATCH(CN$4&amp;CN$5,Demand_current!$D$2:$AY$2&amp;Demand_current!$D$3:$AY$3, 0))/1000</f>
        <v>1.7382325000000014</v>
      </c>
      <c r="CO12" s="384">
        <f t="array" ref="CO12">INDEX(Demand_current!$D$4:$AY$138, MATCH($A12, Demand_current!$B$4:$B$138, 0), MATCH(CO$4&amp;CO$5,Demand_current!$D$2:$AY$2&amp;Demand_current!$D$3:$AY$3, 0))/1000</f>
        <v>3.9215528846153829</v>
      </c>
      <c r="CP12" s="384">
        <f t="array" ref="CP12">INDEX(Demand_current!$D$4:$AY$138, MATCH($A12, Demand_current!$B$4:$B$138, 0), MATCH(CP$4&amp;CP$5,Demand_current!$D$2:$AY$2&amp;Demand_current!$D$3:$AY$3, 0))/1000</f>
        <v>1.5152239583333325</v>
      </c>
      <c r="CQ12" s="384">
        <f t="array" ref="CQ12">INDEX(Demand_current!$D$4:$AY$138, MATCH($A12, Demand_current!$B$4:$B$138, 0), MATCH(CQ$4&amp;CQ$5,Demand_current!$D$2:$AY$2&amp;Demand_current!$D$3:$AY$3, 0))/1000</f>
        <v>3.3100185185185165</v>
      </c>
      <c r="CR12" s="384">
        <f t="array" ref="CR12">INDEX(Demand_current!$D$4:$AY$138, MATCH($A12, Demand_current!$B$4:$B$138, 0), MATCH(CR$4&amp;CR$5,Demand_current!$D$2:$AY$2&amp;Demand_current!$D$3:$AY$3, 0))/1000</f>
        <v>1.8712799999999996</v>
      </c>
      <c r="CS12" s="384">
        <f t="array" ref="CS12">INDEX(Demand_current!$D$4:$AY$138, MATCH($A12, Demand_current!$B$4:$B$138, 0), MATCH(CS$4&amp;CS$5,Demand_current!$D$2:$AY$2&amp;Demand_current!$D$3:$AY$3, 0))/1000</f>
        <v>1.3068653846153819</v>
      </c>
      <c r="CT12" s="384">
        <f t="array" ref="CT12">INDEX(Demand_current!$D$4:$AY$138, MATCH($A12, Demand_current!$B$4:$B$138, 0), MATCH(CT$4&amp;CT$5,Demand_current!$D$2:$AY$2&amp;Demand_current!$D$3:$AY$3, 0))/1000</f>
        <v>1.7045024038461554</v>
      </c>
      <c r="CU12" s="384">
        <f t="array" ref="CU12">INDEX(Demand_current!$D$4:$AY$138, MATCH($A12, Demand_current!$B$4:$B$138, 0), MATCH(CU$4&amp;CU$5,Demand_current!$D$2:$AY$2&amp;Demand_current!$D$3:$AY$3, 0))/1000</f>
        <v>1.3790849999999999</v>
      </c>
      <c r="CV12" s="384">
        <f t="array" ref="CV12">INDEX(Demand_current!$D$4:$AY$138, MATCH($A12, Demand_current!$B$4:$B$138, 0), MATCH(CV$4&amp;CV$5,Demand_current!$D$2:$AY$2&amp;Demand_current!$D$3:$AY$3, 0))/1000</f>
        <v>3.0217592592592579</v>
      </c>
      <c r="CW12" s="384">
        <f t="array" ref="CW12">INDEX(Demand_current!$D$4:$AY$138, MATCH($A12, Demand_current!$B$4:$B$138, 0), MATCH(CW$4&amp;CW$5,Demand_current!$D$2:$AY$2&amp;Demand_current!$D$3:$AY$3, 0))/1000</f>
        <v>3.0251953125000002</v>
      </c>
      <c r="CX12" s="384">
        <f>IF(D12=0,IF(C12=0,MAX(0,DA12 - (VLOOKUP($A12,TOCA_current!$A$2:$AI$137,MATCH("RHWM 2018",TOCA_current!$A$2:$AI$2,0),FALSE)*$BH$2)), 0),0)</f>
        <v>5038.3635538564704</v>
      </c>
      <c r="CY12" s="427">
        <f>VLOOKUP($A12,REP_current!$A$1:$D$135,MATCH("FY "&amp;$BH$1&amp; " Total Refund",REP_current!$A$1:$D$1,0),0)</f>
        <v>260931.86102272948</v>
      </c>
      <c r="CZ12" s="432">
        <f>MIN(VLOOKUP($A12,TOCA_current!$A$2:$AI$137,MATCH("TRL - NLSL - Existing Resource "&amp;$BH$1,TOCA_current!$A$2:$AI$2,0),FALSE)*$BH$2, VLOOKUP($A12,TOCA_current!$A$2:$AI$137,MATCH("RHWM 2018",TOCA_current!$A$2:$AI$2,0),FALSE)*$BH$2)</f>
        <v>175051.08000000002</v>
      </c>
      <c r="DA12" s="397">
        <f>SUM(BN12:CK12)+(BH12*RT1SC!$C$4*$BH$2)</f>
        <v>180089.44355385649</v>
      </c>
      <c r="DB12" s="432">
        <f>VLOOKUP($A12,TOCA_current!$A$2:$AI$137,MATCH("Above RHWM Not Served with LS "&amp;$BH$1,TOCA_current!$A$2:$AI$2,0),FALSE)*$BH$2</f>
        <v>0</v>
      </c>
      <c r="DC12" s="401">
        <f t="shared" si="11"/>
        <v>5038.3635538564704</v>
      </c>
      <c r="DD12" s="397">
        <f>(VLOOKUP($A12,TOCA_current!$A$2:$AI$137,MATCH("RHWM 2018",TOCA_current!$A$2:$AI$2,0),FALSE)*$BH$2) - $CZ12</f>
        <v>0</v>
      </c>
      <c r="DE12" s="397">
        <f t="shared" si="12"/>
        <v>0</v>
      </c>
      <c r="DF12" s="397">
        <f t="shared" si="13"/>
        <v>0</v>
      </c>
      <c r="DG12" s="397">
        <f t="shared" si="14"/>
        <v>0</v>
      </c>
      <c r="DH12" s="397">
        <f t="shared" si="15"/>
        <v>0</v>
      </c>
    </row>
    <row r="13" spans="1:112">
      <c r="A13" s="274">
        <v>10046</v>
      </c>
      <c r="B13" s="275" t="s">
        <v>14</v>
      </c>
      <c r="C13" s="397">
        <v>1</v>
      </c>
      <c r="D13" s="397">
        <v>0</v>
      </c>
      <c r="E13" s="205">
        <f>VLOOKUP($A13,TOCA_previous!$A$2:$AI$137,MATCH(E$4,TOCA_previous!$A$2:$AI$2,0),FALSE)</f>
        <v>1.16069E-2</v>
      </c>
      <c r="F13" s="206">
        <f>VLOOKUP($A13,TOCA_previous!$A$2:$AI$137,MATCH(F$4,TOCA_previous!$A$2:$AI$2,0),FALSE)</f>
        <v>1.16069E-2</v>
      </c>
      <c r="G13" s="206">
        <f t="shared" si="0"/>
        <v>0</v>
      </c>
      <c r="H13" s="206">
        <f>VLOOKUP($A13,TOCA_previous!$A$2:$AI$137,MATCH(H$4,TOCA_previous!$A$2:$AI$2,0),FALSE)</f>
        <v>7.1080000000000004E-2</v>
      </c>
      <c r="I13" s="206">
        <f t="shared" si="1"/>
        <v>7.1080000000000004E-2</v>
      </c>
      <c r="J13" s="206">
        <f t="shared" si="2"/>
        <v>1.16069E-2</v>
      </c>
      <c r="K13" s="381">
        <f>VLOOKUP(A13, IRD!$A$5:$C$139, 3, FALSE)</f>
        <v>41085.457000000002</v>
      </c>
      <c r="L13" s="382">
        <f t="array" ref="L13">IF($G13=0, INDEX(LS_previous!$D$4:$AY$138, MATCH('Staging Table'!$A13, LS_previous!$B$4:$B$138, 0), MATCH(L$4&amp;L$5, LS_previous!$D$2:$AY$2&amp;LS_previous!$D$3:$AY$3, 0)),SUM(VLOOKUP($A13, LS_previous!$B$4:$AY$138, LS_previous!D$149, FALSE), VLOOKUP('Staging Table'!$A13, LS_previous!$B$4:$AY$138,LS_previous!AB$149, FALSE))/2)</f>
        <v>0</v>
      </c>
      <c r="M13" s="382">
        <f t="array" ref="M13">IF($G13=0, INDEX(LS_previous!$D$4:$AY$138, MATCH('Staging Table'!$A13, LS_previous!$B$4:$B$138, 0), MATCH(M$4&amp;M$5, LS_previous!$D$2:$AY$2&amp;LS_previous!$D$3:$AY$3, 0)),SUM(VLOOKUP($A13, LS_previous!$B$4:$AY$138, LS_previous!E$149, FALSE), VLOOKUP('Staging Table'!$A13, LS_previous!$B$4:$AY$138,LS_previous!AC$149, FALSE))/2)</f>
        <v>0</v>
      </c>
      <c r="N13" s="382">
        <f t="array" ref="N13">IF($G13=0, INDEX(LS_previous!$D$4:$AY$138, MATCH('Staging Table'!$A13, LS_previous!$B$4:$B$138, 0), MATCH(N$4&amp;N$5, LS_previous!$D$2:$AY$2&amp;LS_previous!$D$3:$AY$3, 0)),SUM(VLOOKUP($A13, LS_previous!$B$4:$AY$138, LS_previous!F$149, FALSE), VLOOKUP('Staging Table'!$A13, LS_previous!$B$4:$AY$138,LS_previous!AD$149, FALSE))/2)</f>
        <v>0</v>
      </c>
      <c r="O13" s="382">
        <f t="array" ref="O13">IF($G13=0, INDEX(LS_previous!$D$4:$AY$138, MATCH('Staging Table'!$A13, LS_previous!$B$4:$B$138, 0), MATCH(O$4&amp;O$5, LS_previous!$D$2:$AY$2&amp;LS_previous!$D$3:$AY$3, 0)),SUM(VLOOKUP($A13, LS_previous!$B$4:$AY$138, LS_previous!G$149, FALSE), VLOOKUP('Staging Table'!$A13, LS_previous!$B$4:$AY$138,LS_previous!AE$149, FALSE))/2)</f>
        <v>0</v>
      </c>
      <c r="P13" s="382">
        <f t="array" ref="P13">IF($G13=0, INDEX(LS_previous!$D$4:$AY$138, MATCH('Staging Table'!$A13, LS_previous!$B$4:$B$138, 0), MATCH(P$4&amp;P$5, LS_previous!$D$2:$AY$2&amp;LS_previous!$D$3:$AY$3, 0)),SUM(VLOOKUP($A13, LS_previous!$B$4:$AY$138, LS_previous!H$149, FALSE), VLOOKUP('Staging Table'!$A13, LS_previous!$B$4:$AY$138,LS_previous!AF$149, FALSE))/2)</f>
        <v>0</v>
      </c>
      <c r="Q13" s="382">
        <f t="array" ref="Q13">IF($G13=0, INDEX(LS_previous!$D$4:$AY$138, MATCH('Staging Table'!$A13, LS_previous!$B$4:$B$138, 0), MATCH(Q$4&amp;Q$5, LS_previous!$D$2:$AY$2&amp;LS_previous!$D$3:$AY$3, 0)),SUM(VLOOKUP($A13, LS_previous!$B$4:$AY$138, LS_previous!I$149, FALSE), VLOOKUP('Staging Table'!$A13, LS_previous!$B$4:$AY$138,LS_previous!AG$149, FALSE))/2)</f>
        <v>0</v>
      </c>
      <c r="R13" s="382">
        <f t="array" ref="R13">IF($G13=0, INDEX(LS_previous!$D$4:$AY$138, MATCH('Staging Table'!$A13, LS_previous!$B$4:$B$138, 0), MATCH(R$4&amp;R$5, LS_previous!$D$2:$AY$2&amp;LS_previous!$D$3:$AY$3, 0)),SUM(VLOOKUP($A13, LS_previous!$B$4:$AY$138, LS_previous!J$149, FALSE), VLOOKUP('Staging Table'!$A13, LS_previous!$B$4:$AY$138,LS_previous!AH$149, FALSE))/2)</f>
        <v>0</v>
      </c>
      <c r="S13" s="382">
        <f t="array" ref="S13">IF($G13=0, INDEX(LS_previous!$D$4:$AY$138, MATCH('Staging Table'!$A13, LS_previous!$B$4:$B$138, 0), MATCH(S$4&amp;S$5, LS_previous!$D$2:$AY$2&amp;LS_previous!$D$3:$AY$3, 0)),SUM(VLOOKUP($A13, LS_previous!$B$4:$AY$138, LS_previous!K$149, FALSE), VLOOKUP('Staging Table'!$A13, LS_previous!$B$4:$AY$138,LS_previous!AI$149, FALSE))/2)</f>
        <v>0</v>
      </c>
      <c r="T13" s="382">
        <f t="array" ref="T13">IF($G13=0, INDEX(LS_previous!$D$4:$AY$138, MATCH('Staging Table'!$A13, LS_previous!$B$4:$B$138, 0), MATCH(T$4&amp;T$5, LS_previous!$D$2:$AY$2&amp;LS_previous!$D$3:$AY$3, 0)),SUM(VLOOKUP($A13, LS_previous!$B$4:$AY$138, LS_previous!L$149, FALSE), VLOOKUP('Staging Table'!$A13, LS_previous!$B$4:$AY$138,LS_previous!AJ$149, FALSE))/2)</f>
        <v>0</v>
      </c>
      <c r="U13" s="382">
        <f t="array" ref="U13">IF($G13=0, INDEX(LS_previous!$D$4:$AY$138, MATCH('Staging Table'!$A13, LS_previous!$B$4:$B$138, 0), MATCH(U$4&amp;U$5, LS_previous!$D$2:$AY$2&amp;LS_previous!$D$3:$AY$3, 0)),SUM(VLOOKUP($A13, LS_previous!$B$4:$AY$138, LS_previous!M$149, FALSE), VLOOKUP('Staging Table'!$A13, LS_previous!$B$4:$AY$138,LS_previous!AK$149, FALSE))/2)</f>
        <v>0</v>
      </c>
      <c r="V13" s="382">
        <f t="array" ref="V13">IF($G13=0, INDEX(LS_previous!$D$4:$AY$138, MATCH('Staging Table'!$A13, LS_previous!$B$4:$B$138, 0), MATCH(V$4&amp;V$5, LS_previous!$D$2:$AY$2&amp;LS_previous!$D$3:$AY$3, 0)),SUM(VLOOKUP($A13, LS_previous!$B$4:$AY$138, LS_previous!N$149, FALSE), VLOOKUP('Staging Table'!$A13, LS_previous!$B$4:$AY$138,LS_previous!AL$149, FALSE))/2)</f>
        <v>0</v>
      </c>
      <c r="W13" s="382">
        <f t="array" ref="W13">IF($G13=0, INDEX(LS_previous!$D$4:$AY$138, MATCH('Staging Table'!$A13, LS_previous!$B$4:$B$138, 0), MATCH(W$4&amp;W$5, LS_previous!$D$2:$AY$2&amp;LS_previous!$D$3:$AY$3, 0)),SUM(VLOOKUP($A13, LS_previous!$B$4:$AY$138, LS_previous!O$149, FALSE), VLOOKUP('Staging Table'!$A13, LS_previous!$B$4:$AY$138,LS_previous!AM$149, FALSE))/2)</f>
        <v>0</v>
      </c>
      <c r="X13" s="382">
        <f t="array" ref="X13">IF($G13=0, INDEX(LS_previous!$D$4:$AY$138, MATCH('Staging Table'!$A13, LS_previous!$B$4:$B$138, 0), MATCH(X$4&amp;X$5, LS_previous!$D$2:$AY$2&amp;LS_previous!$D$3:$AY$3, 0)),SUM(VLOOKUP($A13, LS_previous!$B$4:$AY$138, LS_previous!P$149, FALSE), VLOOKUP('Staging Table'!$A13, LS_previous!$B$4:$AY$138,LS_previous!AN$149, FALSE))/2)</f>
        <v>0</v>
      </c>
      <c r="Y13" s="382">
        <f t="array" ref="Y13">IF($G13=0, INDEX(LS_previous!$D$4:$AY$138, MATCH('Staging Table'!$A13, LS_previous!$B$4:$B$138, 0), MATCH(Y$4&amp;Y$5, LS_previous!$D$2:$AY$2&amp;LS_previous!$D$3:$AY$3, 0)),SUM(VLOOKUP($A13, LS_previous!$B$4:$AY$138, LS_previous!Q$149, FALSE), VLOOKUP('Staging Table'!$A13, LS_previous!$B$4:$AY$138,LS_previous!AO$149, FALSE))/2)</f>
        <v>0</v>
      </c>
      <c r="Z13" s="382">
        <f t="array" ref="Z13">IF($G13=0, INDEX(LS_previous!$D$4:$AY$138, MATCH('Staging Table'!$A13, LS_previous!$B$4:$B$138, 0), MATCH(Z$4&amp;Z$5, LS_previous!$D$2:$AY$2&amp;LS_previous!$D$3:$AY$3, 0)),SUM(VLOOKUP($A13, LS_previous!$B$4:$AY$138, LS_previous!R$149, FALSE), VLOOKUP('Staging Table'!$A13, LS_previous!$B$4:$AY$138,LS_previous!AP$149, FALSE))/2)</f>
        <v>0</v>
      </c>
      <c r="AA13" s="382">
        <f t="array" ref="AA13">IF($G13=0, INDEX(LS_previous!$D$4:$AY$138, MATCH('Staging Table'!$A13, LS_previous!$B$4:$B$138, 0), MATCH(AA$4&amp;AA$5, LS_previous!$D$2:$AY$2&amp;LS_previous!$D$3:$AY$3, 0)),SUM(VLOOKUP($A13, LS_previous!$B$4:$AY$138, LS_previous!S$149, FALSE), VLOOKUP('Staging Table'!$A13, LS_previous!$B$4:$AY$138,LS_previous!AQ$149, FALSE))/2)</f>
        <v>0</v>
      </c>
      <c r="AB13" s="382">
        <f t="array" ref="AB13">IF($G13=0, INDEX(LS_previous!$D$4:$AY$138, MATCH('Staging Table'!$A13, LS_previous!$B$4:$B$138, 0), MATCH(AB$4&amp;AB$5, LS_previous!$D$2:$AY$2&amp;LS_previous!$D$3:$AY$3, 0)),SUM(VLOOKUP($A13, LS_previous!$B$4:$AY$138, LS_previous!T$149, FALSE), VLOOKUP('Staging Table'!$A13, LS_previous!$B$4:$AY$138,LS_previous!AR$149, FALSE))/2)</f>
        <v>0</v>
      </c>
      <c r="AC13" s="382">
        <f t="array" ref="AC13">IF($G13=0, INDEX(LS_previous!$D$4:$AY$138, MATCH('Staging Table'!$A13, LS_previous!$B$4:$B$138, 0), MATCH(AC$4&amp;AC$5, LS_previous!$D$2:$AY$2&amp;LS_previous!$D$3:$AY$3, 0)),SUM(VLOOKUP($A13, LS_previous!$B$4:$AY$138, LS_previous!U$149, FALSE), VLOOKUP('Staging Table'!$A13, LS_previous!$B$4:$AY$138,LS_previous!AS$149, FALSE))/2)</f>
        <v>0</v>
      </c>
      <c r="AD13" s="382">
        <f t="array" ref="AD13">IF($G13=0, INDEX(LS_previous!$D$4:$AY$138, MATCH('Staging Table'!$A13, LS_previous!$B$4:$B$138, 0), MATCH(AD$4&amp;AD$5, LS_previous!$D$2:$AY$2&amp;LS_previous!$D$3:$AY$3, 0)),SUM(VLOOKUP($A13, LS_previous!$B$4:$AY$138, LS_previous!V$149, FALSE), VLOOKUP('Staging Table'!$A13, LS_previous!$B$4:$AY$138,LS_previous!AT$149, FALSE))/2)</f>
        <v>0</v>
      </c>
      <c r="AE13" s="382">
        <f t="array" ref="AE13">IF($G13=0, INDEX(LS_previous!$D$4:$AY$138, MATCH('Staging Table'!$A13, LS_previous!$B$4:$B$138, 0), MATCH(AE$4&amp;AE$5, LS_previous!$D$2:$AY$2&amp;LS_previous!$D$3:$AY$3, 0)),SUM(VLOOKUP($A13, LS_previous!$B$4:$AY$138, LS_previous!W$149, FALSE), VLOOKUP('Staging Table'!$A13, LS_previous!$B$4:$AY$138,LS_previous!AU$149, FALSE))/2)</f>
        <v>0</v>
      </c>
      <c r="AF13" s="382">
        <f t="array" ref="AF13">IF($G13=0, INDEX(LS_previous!$D$4:$AY$138, MATCH('Staging Table'!$A13, LS_previous!$B$4:$B$138, 0), MATCH(AF$4&amp;AF$5, LS_previous!$D$2:$AY$2&amp;LS_previous!$D$3:$AY$3, 0)),SUM(VLOOKUP($A13, LS_previous!$B$4:$AY$138, LS_previous!X$149, FALSE), VLOOKUP('Staging Table'!$A13, LS_previous!$B$4:$AY$138,LS_previous!AV$149, FALSE))/2)</f>
        <v>0</v>
      </c>
      <c r="AG13" s="382">
        <f t="array" ref="AG13">IF($G13=0, INDEX(LS_previous!$D$4:$AY$138, MATCH('Staging Table'!$A13, LS_previous!$B$4:$B$138, 0), MATCH(AG$4&amp;AG$5, LS_previous!$D$2:$AY$2&amp;LS_previous!$D$3:$AY$3, 0)),SUM(VLOOKUP($A13, LS_previous!$B$4:$AY$138, LS_previous!Y$149, FALSE), VLOOKUP('Staging Table'!$A13, LS_previous!$B$4:$AY$138,LS_previous!AW$149, FALSE))/2)</f>
        <v>0</v>
      </c>
      <c r="AH13" s="382">
        <f t="array" ref="AH13">IF($G13=0, INDEX(LS_previous!$D$4:$AY$138, MATCH('Staging Table'!$A13, LS_previous!$B$4:$B$138, 0), MATCH(AH$4&amp;AH$5, LS_previous!$D$2:$AY$2&amp;LS_previous!$D$3:$AY$3, 0)),SUM(VLOOKUP($A13, LS_previous!$B$4:$AY$138, LS_previous!Z$149, FALSE), VLOOKUP('Staging Table'!$A13, LS_previous!$B$4:$AY$138,LS_previous!AX$149, FALSE))/2)</f>
        <v>0</v>
      </c>
      <c r="AI13" s="382">
        <f t="array" ref="AI13">IF($G13=0, INDEX(LS_previous!$D$4:$AY$138, MATCH('Staging Table'!$A13, LS_previous!$B$4:$B$138, 0), MATCH(AI$4&amp;AI$5, LS_previous!$D$2:$AY$2&amp;LS_previous!$D$3:$AY$3, 0)),SUM(VLOOKUP($A13, LS_previous!$B$4:$AY$138, LS_previous!AA$149, FALSE), VLOOKUP('Staging Table'!$A13, LS_previous!$B$4:$AY$138,LS_previous!AY$149, FALSE))/2)</f>
        <v>0</v>
      </c>
      <c r="AJ13" s="384">
        <f t="array" ref="AJ13">INDEX(Demand_previous!$D$4:$AY$138, MATCH('Staging Table'!$A13, Demand_previous!$B$4:$B$138, 0), MATCH(AJ$4&amp;AJ$5,Demand_previous!$D$2:$AY$2&amp;Demand_previous!$D$3:$AY$3, 0))/1000</f>
        <v>0</v>
      </c>
      <c r="AK13" s="384">
        <f t="array" ref="AK13">INDEX(Demand_previous!$D$4:$AY$138, MATCH('Staging Table'!$A13, Demand_previous!$B$4:$B$138, 0), MATCH(AK$4&amp;AK$5,Demand_previous!$D$2:$AY$2&amp;Demand_previous!$D$3:$AY$3, 0))/1000</f>
        <v>0</v>
      </c>
      <c r="AL13" s="384">
        <f t="array" ref="AL13">INDEX(Demand_previous!$D$4:$AY$138, MATCH('Staging Table'!$A13, Demand_previous!$B$4:$B$138, 0), MATCH(AL$4&amp;AL$5,Demand_previous!$D$2:$AY$2&amp;Demand_previous!$D$3:$AY$3, 0))/1000</f>
        <v>0</v>
      </c>
      <c r="AM13" s="384">
        <f t="array" ref="AM13">INDEX(Demand_previous!$D$4:$AY$138, MATCH('Staging Table'!$A13, Demand_previous!$B$4:$B$138, 0), MATCH(AM$4&amp;AM$5,Demand_previous!$D$2:$AY$2&amp;Demand_previous!$D$3:$AY$3, 0))/1000</f>
        <v>0</v>
      </c>
      <c r="AN13" s="384">
        <f t="array" ref="AN13">INDEX(Demand_previous!$D$4:$AY$138, MATCH('Staging Table'!$A13, Demand_previous!$B$4:$B$138, 0), MATCH(AN$4&amp;AN$5,Demand_previous!$D$2:$AY$2&amp;Demand_previous!$D$3:$AY$3, 0))/1000</f>
        <v>0</v>
      </c>
      <c r="AO13" s="384">
        <f t="array" ref="AO13">INDEX(Demand_previous!$D$4:$AY$138, MATCH('Staging Table'!$A13, Demand_previous!$B$4:$B$138, 0), MATCH(AO$4&amp;AO$5,Demand_previous!$D$2:$AY$2&amp;Demand_previous!$D$3:$AY$3, 0))/1000</f>
        <v>0</v>
      </c>
      <c r="AP13" s="384">
        <f t="array" ref="AP13">INDEX(Demand_previous!$D$4:$AY$138, MATCH('Staging Table'!$A13, Demand_previous!$B$4:$B$138, 0), MATCH(AP$4&amp;AP$5,Demand_previous!$D$2:$AY$2&amp;Demand_previous!$D$3:$AY$3, 0))/1000</f>
        <v>0</v>
      </c>
      <c r="AQ13" s="384">
        <f t="array" ref="AQ13">INDEX(Demand_previous!$D$4:$AY$138, MATCH('Staging Table'!$A13, Demand_previous!$B$4:$B$138, 0), MATCH(AQ$4&amp;AQ$5,Demand_previous!$D$2:$AY$2&amp;Demand_previous!$D$3:$AY$3, 0))/1000</f>
        <v>0</v>
      </c>
      <c r="AR13" s="384">
        <f t="array" ref="AR13">INDEX(Demand_previous!$D$4:$AY$138, MATCH('Staging Table'!$A13, Demand_previous!$B$4:$B$138, 0), MATCH(AR$4&amp;AR$5,Demand_previous!$D$2:$AY$2&amp;Demand_previous!$D$3:$AY$3, 0))/1000</f>
        <v>0</v>
      </c>
      <c r="AS13" s="384">
        <f t="array" ref="AS13">INDEX(Demand_previous!$D$4:$AY$138, MATCH('Staging Table'!$A13, Demand_previous!$B$4:$B$138, 0), MATCH(AS$4&amp;AS$5,Demand_previous!$D$2:$AY$2&amp;Demand_previous!$D$3:$AY$3, 0))/1000</f>
        <v>0</v>
      </c>
      <c r="AT13" s="384">
        <f t="array" ref="AT13">INDEX(Demand_previous!$D$4:$AY$138, MATCH('Staging Table'!$A13, Demand_previous!$B$4:$B$138, 0), MATCH(AT$4&amp;AT$5,Demand_previous!$D$2:$AY$2&amp;Demand_previous!$D$3:$AY$3, 0))/1000</f>
        <v>0</v>
      </c>
      <c r="AU13" s="384">
        <f t="array" ref="AU13">INDEX(Demand_previous!$D$4:$AY$138, MATCH('Staging Table'!$A13, Demand_previous!$B$4:$B$138, 0), MATCH(AU$4&amp;AU$5,Demand_previous!$D$2:$AY$2&amp;Demand_previous!$D$3:$AY$3, 0))/1000</f>
        <v>0</v>
      </c>
      <c r="AV13" s="384">
        <f>IF($D13=0,IF(C13=0, MAX(AY13 - (VLOOKUP($A13,TOCA_previous!$A$2:$AI$137,MATCH("RHWM 2016",TOCA_previous!$A$2:$AI$2,0),FALSE)*$F$2*TOCA_previous!C10),0),0), 0)</f>
        <v>0</v>
      </c>
      <c r="AW13" s="427">
        <f>VLOOKUP($A13,REP_previous!$A$1:$D$135,MATCH("FY "&amp;$F$1&amp; " Total Refund",REP_previous!$A$1:$D$1,0),0)</f>
        <v>853901.3276445209</v>
      </c>
      <c r="AX13" s="398">
        <f>MIN(VLOOKUP($A13,TOCA_previous!$A$2:$AI$137,MATCH("TRL - NLSL - Exisiting Resource "&amp;$F$1,TOCA_previous!$A$2:$AI$2,0),FALSE)*$F$2,(VLOOKUP($A13,TOCA_previous!$A$2:$AI$137,MATCH("RHWM 2016",TOCA_previous!$A$2:$AI$2,0),FALSE)*$F$2))</f>
        <v>711960.76800000004</v>
      </c>
      <c r="AY13" s="384">
        <f>SUM(L13:AI13)+(F13*RT1SC!$C$3*$F$2)</f>
        <v>711960.49821261596</v>
      </c>
      <c r="AZ13" s="398">
        <f>VLOOKUP($A13,TOCA_previous!$A$2:$AI$137,MATCH("Above RHWM Not Served with LS "&amp;$F$1,TOCA_previous!$A$2:$AI$2,0),FALSE)*$F$2</f>
        <v>10944.864</v>
      </c>
      <c r="BA13" s="206">
        <f t="shared" si="3"/>
        <v>-0.26978738408070058</v>
      </c>
      <c r="BB13" s="399">
        <f>(VLOOKUP($A13,TOCA_previous!$A$2:$AI$137,MATCH("RHWM 2016",TOCA_previous!$A$2:$AI$2,0),FALSE)*$F$2) - $AX13</f>
        <v>0</v>
      </c>
      <c r="BC13" s="206">
        <f t="shared" si="4"/>
        <v>0</v>
      </c>
      <c r="BD13" s="400">
        <f t="shared" si="5"/>
        <v>0</v>
      </c>
      <c r="BE13" s="392">
        <f t="shared" si="6"/>
        <v>0</v>
      </c>
      <c r="BF13" s="399">
        <f t="shared" si="7"/>
        <v>0</v>
      </c>
      <c r="BG13" s="206">
        <f>VLOOKUP($A13,TOCA_current!$A$2:$AI$137,MATCH(BG$4,TOCA_current!$A$2:$AI$2,0),FALSE)</f>
        <v>1.15967E-2</v>
      </c>
      <c r="BH13" s="206">
        <f>VLOOKUP($A13,TOCA_current!$A$2:$AI$137,MATCH(BH$4,TOCA_current!$A$2:$AI$2,0),FALSE)</f>
        <v>1.15967E-2</v>
      </c>
      <c r="BI13" s="391">
        <f t="shared" si="8"/>
        <v>0</v>
      </c>
      <c r="BJ13" s="206">
        <f>VLOOKUP($A13,TOCA_current!A9:BG144,MATCH(BJ$4,TOCA_current!$A$2:$BG$2,0),FALSE)</f>
        <v>7.1799173050895865E-2</v>
      </c>
      <c r="BK13" s="206">
        <f t="shared" si="9"/>
        <v>7.1799173050895865E-2</v>
      </c>
      <c r="BL13" s="206">
        <f t="shared" si="10"/>
        <v>1.15967E-2</v>
      </c>
      <c r="BM13" s="381">
        <f>VLOOKUP($A13,IRD!$A$4:$G$139, 7, FALSE)</f>
        <v>41085.457000000002</v>
      </c>
      <c r="BN13" s="382">
        <f t="array" ref="BN13">IF($BI13=0, INDEX(LS_current!$D$4:$AY$139, MATCH('Staging Table'!$A13, LS_current!$B$4:$B$139, 0), MATCH(BN$4&amp;BN$5, LS_current!$D$2:$AY$2&amp;LS_current!$D$3:$AY$3, 0)),SUM(VLOOKUP($A13, LS_current!$B$4:$AY$139, LS_current!D$149, FALSE), VLOOKUP($A13, LS_current!$B$4:$AY$139,LS_current!D$149, FALSE))/2)</f>
        <v>0</v>
      </c>
      <c r="BO13" s="382">
        <f t="array" ref="BO13">IF($BI13=0, INDEX(LS_current!$D$4:$AY$139, MATCH('Staging Table'!$A13, LS_current!$B$4:$B$139, 0), MATCH(BO$4&amp;BO$5, LS_current!$D$2:$AY$2&amp;LS_current!$D$3:$AY$3, 0)),SUM(VLOOKUP($A13, LS_current!$B$4:$AY$139, LS_current!E$149, FALSE), VLOOKUP($A13, LS_current!$B$4:$AY$139,LS_current!E$149, FALSE))/2)</f>
        <v>0</v>
      </c>
      <c r="BP13" s="382">
        <f t="array" ref="BP13">IF($BI13=0, INDEX(LS_current!$D$4:$AY$139, MATCH('Staging Table'!$A13, LS_current!$B$4:$B$139, 0), MATCH(BP$4&amp;BP$5, LS_current!$D$2:$AY$2&amp;LS_current!$D$3:$AY$3, 0)),SUM(VLOOKUP($A13, LS_current!$B$4:$AY$139, LS_current!F$149, FALSE), VLOOKUP($A13, LS_current!$B$4:$AY$139,LS_current!F$149, FALSE))/2)</f>
        <v>0</v>
      </c>
      <c r="BQ13" s="382">
        <f t="array" ref="BQ13">IF($BI13=0, INDEX(LS_current!$D$4:$AY$139, MATCH('Staging Table'!$A13, LS_current!$B$4:$B$139, 0), MATCH(BQ$4&amp;BQ$5, LS_current!$D$2:$AY$2&amp;LS_current!$D$3:$AY$3, 0)),SUM(VLOOKUP($A13, LS_current!$B$4:$AY$139, LS_current!G$149, FALSE), VLOOKUP($A13, LS_current!$B$4:$AY$139,LS_current!G$149, FALSE))/2)</f>
        <v>0</v>
      </c>
      <c r="BR13" s="382">
        <f t="array" ref="BR13">IF($BI13=0, INDEX(LS_current!$D$4:$AY$139, MATCH('Staging Table'!$A13, LS_current!$B$4:$B$139, 0), MATCH(BR$4&amp;BR$5, LS_current!$D$2:$AY$2&amp;LS_current!$D$3:$AY$3, 0)),SUM(VLOOKUP($A13, LS_current!$B$4:$AY$139, LS_current!H$149, FALSE), VLOOKUP($A13, LS_current!$B$4:$AY$139,LS_current!H$149, FALSE))/2)</f>
        <v>0</v>
      </c>
      <c r="BS13" s="382">
        <f t="array" ref="BS13">IF($BI13=0, INDEX(LS_current!$D$4:$AY$139, MATCH('Staging Table'!$A13, LS_current!$B$4:$B$139, 0), MATCH(BS$4&amp;BS$5, LS_current!$D$2:$AY$2&amp;LS_current!$D$3:$AY$3, 0)),SUM(VLOOKUP($A13, LS_current!$B$4:$AY$139, LS_current!I$149, FALSE), VLOOKUP($A13, LS_current!$B$4:$AY$139,LS_current!I$149, FALSE))/2)</f>
        <v>0</v>
      </c>
      <c r="BT13" s="382">
        <f t="array" ref="BT13">IF($BI13=0, INDEX(LS_current!$D$4:$AY$139, MATCH('Staging Table'!$A13, LS_current!$B$4:$B$139, 0), MATCH(BT$4&amp;BT$5, LS_current!$D$2:$AY$2&amp;LS_current!$D$3:$AY$3, 0)),SUM(VLOOKUP($A13, LS_current!$B$4:$AY$139, LS_current!J$149, FALSE), VLOOKUP($A13, LS_current!$B$4:$AY$139,LS_current!J$149, FALSE))/2)</f>
        <v>0</v>
      </c>
      <c r="BU13" s="382">
        <f t="array" ref="BU13">IF($BI13=0, INDEX(LS_current!$D$4:$AY$139, MATCH('Staging Table'!$A13, LS_current!$B$4:$B$139, 0), MATCH(BU$4&amp;BU$5, LS_current!$D$2:$AY$2&amp;LS_current!$D$3:$AY$3, 0)),SUM(VLOOKUP($A13, LS_current!$B$4:$AY$139, LS_current!K$149, FALSE), VLOOKUP($A13, LS_current!$B$4:$AY$139,LS_current!K$149, FALSE))/2)</f>
        <v>0</v>
      </c>
      <c r="BV13" s="382">
        <f t="array" ref="BV13">IF($BI13=0, INDEX(LS_current!$D$4:$AY$139, MATCH('Staging Table'!$A13, LS_current!$B$4:$B$139, 0), MATCH(BV$4&amp;BV$5, LS_current!$D$2:$AY$2&amp;LS_current!$D$3:$AY$3, 0)),SUM(VLOOKUP($A13, LS_current!$B$4:$AY$139, LS_current!L$149, FALSE), VLOOKUP($A13, LS_current!$B$4:$AY$139,LS_current!L$149, FALSE))/2)</f>
        <v>0</v>
      </c>
      <c r="BW13" s="382">
        <f t="array" ref="BW13">IF($BI13=0, INDEX(LS_current!$D$4:$AY$139, MATCH('Staging Table'!$A13, LS_current!$B$4:$B$139, 0), MATCH(BW$4&amp;BW$5, LS_current!$D$2:$AY$2&amp;LS_current!$D$3:$AY$3, 0)),SUM(VLOOKUP($A13, LS_current!$B$4:$AY$139, LS_current!M$149, FALSE), VLOOKUP($A13, LS_current!$B$4:$AY$139,LS_current!M$149, FALSE))/2)</f>
        <v>0</v>
      </c>
      <c r="BX13" s="382">
        <f t="array" ref="BX13">IF($BI13=0, INDEX(LS_current!$D$4:$AY$139, MATCH('Staging Table'!$A13, LS_current!$B$4:$B$139, 0), MATCH(BX$4&amp;BX$5, LS_current!$D$2:$AY$2&amp;LS_current!$D$3:$AY$3, 0)),SUM(VLOOKUP($A13, LS_current!$B$4:$AY$139, LS_current!N$149, FALSE), VLOOKUP($A13, LS_current!$B$4:$AY$139,LS_current!N$149, FALSE))/2)</f>
        <v>0</v>
      </c>
      <c r="BY13" s="382">
        <f t="array" ref="BY13">IF($BI13=0, INDEX(LS_current!$D$4:$AY$139, MATCH('Staging Table'!$A13, LS_current!$B$4:$B$139, 0), MATCH(BY$4&amp;BY$5, LS_current!$D$2:$AY$2&amp;LS_current!$D$3:$AY$3, 0)),SUM(VLOOKUP($A13, LS_current!$B$4:$AY$139, LS_current!O$149, FALSE), VLOOKUP($A13, LS_current!$B$4:$AY$139,LS_current!O$149, FALSE))/2)</f>
        <v>0</v>
      </c>
      <c r="BZ13" s="382">
        <f t="array" ref="BZ13">IF($BI13=0, INDEX(LS_current!$D$4:$AY$139, MATCH('Staging Table'!$A13, LS_current!$B$4:$B$139, 0), MATCH(BZ$4&amp;BZ$5, LS_current!$D$2:$AY$2&amp;LS_current!$D$3:$AY$3, 0)),SUM(VLOOKUP($A13, LS_current!$B$4:$AY$139, LS_current!P$149, FALSE), VLOOKUP($A13, LS_current!$B$4:$AY$139,LS_current!P$149, FALSE))/2)</f>
        <v>0</v>
      </c>
      <c r="CA13" s="382">
        <f t="array" ref="CA13">IF($BI13=0, INDEX(LS_current!$D$4:$AY$139, MATCH('Staging Table'!$A13, LS_current!$B$4:$B$139, 0), MATCH(CA$4&amp;CA$5, LS_current!$D$2:$AY$2&amp;LS_current!$D$3:$AY$3, 0)),SUM(VLOOKUP($A13, LS_current!$B$4:$AY$139, LS_current!Q$149, FALSE), VLOOKUP($A13, LS_current!$B$4:$AY$139,LS_current!Q$149, FALSE))/2)</f>
        <v>0</v>
      </c>
      <c r="CB13" s="382">
        <f t="array" ref="CB13">IF($BI13=0, INDEX(LS_current!$D$4:$AY$139, MATCH('Staging Table'!$A13, LS_current!$B$4:$B$139, 0), MATCH(CB$4&amp;CB$5, LS_current!$D$2:$AY$2&amp;LS_current!$D$3:$AY$3, 0)),SUM(VLOOKUP($A13, LS_current!$B$4:$AY$139, LS_current!R$149, FALSE), VLOOKUP($A13, LS_current!$B$4:$AY$139,LS_current!R$149, FALSE))/2)</f>
        <v>0</v>
      </c>
      <c r="CC13" s="382">
        <f t="array" ref="CC13">IF($BI13=0, INDEX(LS_current!$D$4:$AY$139, MATCH('Staging Table'!$A13, LS_current!$B$4:$B$139, 0), MATCH(CC$4&amp;CC$5, LS_current!$D$2:$AY$2&amp;LS_current!$D$3:$AY$3, 0)),SUM(VLOOKUP($A13, LS_current!$B$4:$AY$139, LS_current!S$149, FALSE), VLOOKUP($A13, LS_current!$B$4:$AY$139,LS_current!S$149, FALSE))/2)</f>
        <v>0</v>
      </c>
      <c r="CD13" s="382">
        <f t="array" ref="CD13">IF($BI13=0, INDEX(LS_current!$D$4:$AY$139, MATCH('Staging Table'!$A13, LS_current!$B$4:$B$139, 0), MATCH(CD$4&amp;CD$5, LS_current!$D$2:$AY$2&amp;LS_current!$D$3:$AY$3, 0)),SUM(VLOOKUP($A13, LS_current!$B$4:$AY$139, LS_current!T$149, FALSE), VLOOKUP($A13, LS_current!$B$4:$AY$139,LS_current!T$149, FALSE))/2)</f>
        <v>0</v>
      </c>
      <c r="CE13" s="382">
        <f t="array" ref="CE13">IF($BI13=0, INDEX(LS_current!$D$4:$AY$139, MATCH('Staging Table'!$A13, LS_current!$B$4:$B$139, 0), MATCH(CE$4&amp;CE$5, LS_current!$D$2:$AY$2&amp;LS_current!$D$3:$AY$3, 0)),SUM(VLOOKUP($A13, LS_current!$B$4:$AY$139, LS_current!U$149, FALSE), VLOOKUP($A13, LS_current!$B$4:$AY$139,LS_current!U$149, FALSE))/2)</f>
        <v>0</v>
      </c>
      <c r="CF13" s="382">
        <f t="array" ref="CF13">IF($BI13=0, INDEX(LS_current!$D$4:$AY$139, MATCH('Staging Table'!$A13, LS_current!$B$4:$B$139, 0), MATCH(CF$4&amp;CF$5, LS_current!$D$2:$AY$2&amp;LS_current!$D$3:$AY$3, 0)),SUM(VLOOKUP($A13, LS_current!$B$4:$AY$139, LS_current!V$149, FALSE), VLOOKUP($A13, LS_current!$B$4:$AY$139,LS_current!V$149, FALSE))/2)</f>
        <v>0</v>
      </c>
      <c r="CG13" s="382">
        <f t="array" ref="CG13">IF($BI13=0, INDEX(LS_current!$D$4:$AY$139, MATCH('Staging Table'!$A13, LS_current!$B$4:$B$139, 0), MATCH(CG$4&amp;CG$5, LS_current!$D$2:$AY$2&amp;LS_current!$D$3:$AY$3, 0)),SUM(VLOOKUP($A13, LS_current!$B$4:$AY$139, LS_current!W$149, FALSE), VLOOKUP($A13, LS_current!$B$4:$AY$139,LS_current!W$149, FALSE))/2)</f>
        <v>0</v>
      </c>
      <c r="CH13" s="382">
        <f t="array" ref="CH13">IF($BI13=0, INDEX(LS_current!$D$4:$AY$139, MATCH('Staging Table'!$A13, LS_current!$B$4:$B$139, 0), MATCH(CH$4&amp;CH$5, LS_current!$D$2:$AY$2&amp;LS_current!$D$3:$AY$3, 0)),SUM(VLOOKUP($A13, LS_current!$B$4:$AY$139, LS_current!X$149, FALSE), VLOOKUP($A13, LS_current!$B$4:$AY$139,LS_current!X$149, FALSE))/2)</f>
        <v>0</v>
      </c>
      <c r="CI13" s="382">
        <f t="array" ref="CI13">IF($BI13=0, INDEX(LS_current!$D$4:$AY$139, MATCH('Staging Table'!$A13, LS_current!$B$4:$B$139, 0), MATCH(CI$4&amp;CI$5, LS_current!$D$2:$AY$2&amp;LS_current!$D$3:$AY$3, 0)),SUM(VLOOKUP($A13, LS_current!$B$4:$AY$139, LS_current!Y$149, FALSE), VLOOKUP($A13, LS_current!$B$4:$AY$139,LS_current!Y$149, FALSE))/2)</f>
        <v>0</v>
      </c>
      <c r="CJ13" s="382">
        <f t="array" ref="CJ13">IF($BI13=0, INDEX(LS_current!$D$4:$AY$139, MATCH('Staging Table'!$A13, LS_current!$B$4:$B$139, 0), MATCH(CJ$4&amp;CJ$5, LS_current!$D$2:$AY$2&amp;LS_current!$D$3:$AY$3, 0)),SUM(VLOOKUP($A13, LS_current!$B$4:$AY$139, LS_current!Z$149, FALSE), VLOOKUP($A13, LS_current!$B$4:$AY$139,LS_current!Z$149, FALSE))/2)</f>
        <v>0</v>
      </c>
      <c r="CK13" s="382">
        <f t="array" ref="CK13">IF($BI13=0, INDEX(LS_current!$D$4:$AY$139, MATCH('Staging Table'!$A13, LS_current!$B$4:$B$139, 0), MATCH(CK$4&amp;CK$5, LS_current!$D$2:$AY$2&amp;LS_current!$D$3:$AY$3, 0)),SUM(VLOOKUP($A13, LS_current!$B$4:$AY$139, LS_current!AA$149, FALSE), VLOOKUP($A13, LS_current!$B$4:$AY$139,LS_current!AA$149, FALSE))/2)</f>
        <v>0</v>
      </c>
      <c r="CL13" s="384">
        <f t="array" ref="CL13">INDEX(Demand_current!$D$4:$AY$138, MATCH($A13, Demand_current!$B$4:$B$138, 0), MATCH(CL$4&amp;CL$5,Demand_current!$D$2:$AY$2&amp;Demand_current!$D$3:$AY$3, 0))/1000</f>
        <v>0</v>
      </c>
      <c r="CM13" s="384">
        <f t="array" ref="CM13">INDEX(Demand_current!$D$4:$AY$138, MATCH($A13, Demand_current!$B$4:$B$138, 0), MATCH(CM$4&amp;CM$5,Demand_current!$D$2:$AY$2&amp;Demand_current!$D$3:$AY$3, 0))/1000</f>
        <v>0</v>
      </c>
      <c r="CN13" s="384">
        <f t="array" ref="CN13">INDEX(Demand_current!$D$4:$AY$138, MATCH($A13, Demand_current!$B$4:$B$138, 0), MATCH(CN$4&amp;CN$5,Demand_current!$D$2:$AY$2&amp;Demand_current!$D$3:$AY$3, 0))/1000</f>
        <v>0</v>
      </c>
      <c r="CO13" s="384">
        <f t="array" ref="CO13">INDEX(Demand_current!$D$4:$AY$138, MATCH($A13, Demand_current!$B$4:$B$138, 0), MATCH(CO$4&amp;CO$5,Demand_current!$D$2:$AY$2&amp;Demand_current!$D$3:$AY$3, 0))/1000</f>
        <v>0</v>
      </c>
      <c r="CP13" s="384">
        <f t="array" ref="CP13">INDEX(Demand_current!$D$4:$AY$138, MATCH($A13, Demand_current!$B$4:$B$138, 0), MATCH(CP$4&amp;CP$5,Demand_current!$D$2:$AY$2&amp;Demand_current!$D$3:$AY$3, 0))/1000</f>
        <v>0</v>
      </c>
      <c r="CQ13" s="384">
        <f t="array" ref="CQ13">INDEX(Demand_current!$D$4:$AY$138, MATCH($A13, Demand_current!$B$4:$B$138, 0), MATCH(CQ$4&amp;CQ$5,Demand_current!$D$2:$AY$2&amp;Demand_current!$D$3:$AY$3, 0))/1000</f>
        <v>0</v>
      </c>
      <c r="CR13" s="384">
        <f t="array" ref="CR13">INDEX(Demand_current!$D$4:$AY$138, MATCH($A13, Demand_current!$B$4:$B$138, 0), MATCH(CR$4&amp;CR$5,Demand_current!$D$2:$AY$2&amp;Demand_current!$D$3:$AY$3, 0))/1000</f>
        <v>0</v>
      </c>
      <c r="CS13" s="384">
        <f t="array" ref="CS13">INDEX(Demand_current!$D$4:$AY$138, MATCH($A13, Demand_current!$B$4:$B$138, 0), MATCH(CS$4&amp;CS$5,Demand_current!$D$2:$AY$2&amp;Demand_current!$D$3:$AY$3, 0))/1000</f>
        <v>0</v>
      </c>
      <c r="CT13" s="384">
        <f t="array" ref="CT13">INDEX(Demand_current!$D$4:$AY$138, MATCH($A13, Demand_current!$B$4:$B$138, 0), MATCH(CT$4&amp;CT$5,Demand_current!$D$2:$AY$2&amp;Demand_current!$D$3:$AY$3, 0))/1000</f>
        <v>0</v>
      </c>
      <c r="CU13" s="384">
        <f t="array" ref="CU13">INDEX(Demand_current!$D$4:$AY$138, MATCH($A13, Demand_current!$B$4:$B$138, 0), MATCH(CU$4&amp;CU$5,Demand_current!$D$2:$AY$2&amp;Demand_current!$D$3:$AY$3, 0))/1000</f>
        <v>0</v>
      </c>
      <c r="CV13" s="384">
        <f t="array" ref="CV13">INDEX(Demand_current!$D$4:$AY$138, MATCH($A13, Demand_current!$B$4:$B$138, 0), MATCH(CV$4&amp;CV$5,Demand_current!$D$2:$AY$2&amp;Demand_current!$D$3:$AY$3, 0))/1000</f>
        <v>0</v>
      </c>
      <c r="CW13" s="384">
        <f t="array" ref="CW13">INDEX(Demand_current!$D$4:$AY$138, MATCH($A13, Demand_current!$B$4:$B$138, 0), MATCH(CW$4&amp;CW$5,Demand_current!$D$2:$AY$2&amp;Demand_current!$D$3:$AY$3, 0))/1000</f>
        <v>0</v>
      </c>
      <c r="CX13" s="384">
        <f>IF(D13=0,IF(C13=0,MAX(0,DA13 - (VLOOKUP($A13,TOCA_current!$A$2:$AI$137,MATCH("RHWM 2018",TOCA_current!$A$2:$AI$2,0),FALSE)*$BH$2)), 0),0)</f>
        <v>0</v>
      </c>
      <c r="CY13" s="427">
        <f>VLOOKUP($A13,REP_current!$A$1:$D$135,MATCH("FY "&amp;$BH$1&amp; " Total Refund",REP_current!$A$1:$D$1,0),0)</f>
        <v>860546.92159758043</v>
      </c>
      <c r="CZ13" s="432">
        <f>MIN(VLOOKUP($A13,TOCA_current!$A$2:$AI$137,MATCH("TRL - NLSL - Existing Resource "&amp;$BH$1,TOCA_current!$A$2:$AI$2,0),FALSE)*$BH$2, VLOOKUP($A13,TOCA_current!$A$2:$AI$137,MATCH("RHWM 2018",TOCA_current!$A$2:$AI$2,0),FALSE)*$BH$2)</f>
        <v>705504.12000000011</v>
      </c>
      <c r="DA13" s="397">
        <f>SUM(BN13:CK13)+(BH13*RT1SC!$C$4*$BH$2)</f>
        <v>705506.70952783199</v>
      </c>
      <c r="DB13" s="432">
        <f>VLOOKUP($A13,TOCA_current!$A$2:$AI$137,MATCH("Above RHWM Not Served with LS "&amp;$BH$1,TOCA_current!$A$2:$AI$2,0),FALSE)*$BH$2</f>
        <v>18133.199999999997</v>
      </c>
      <c r="DC13" s="401">
        <f t="shared" si="11"/>
        <v>2.5895278318785131</v>
      </c>
      <c r="DD13" s="397">
        <f>(VLOOKUP($A13,TOCA_current!$A$2:$AI$137,MATCH("RHWM 2018",TOCA_current!$A$2:$AI$2,0),FALSE)*$BH$2) - $CZ13</f>
        <v>0</v>
      </c>
      <c r="DE13" s="397">
        <f t="shared" si="12"/>
        <v>0</v>
      </c>
      <c r="DF13" s="397">
        <f t="shared" si="13"/>
        <v>0</v>
      </c>
      <c r="DG13" s="397">
        <f t="shared" si="14"/>
        <v>0</v>
      </c>
      <c r="DH13" s="397">
        <f t="shared" si="15"/>
        <v>0</v>
      </c>
    </row>
    <row r="14" spans="1:112">
      <c r="A14" s="274">
        <v>10047</v>
      </c>
      <c r="B14" s="275" t="s">
        <v>15</v>
      </c>
      <c r="C14" s="397">
        <v>0</v>
      </c>
      <c r="D14" s="397">
        <v>0</v>
      </c>
      <c r="E14" s="205">
        <f>VLOOKUP($A14,TOCA_previous!$A$2:$AI$137,MATCH(E$4,TOCA_previous!$A$2:$AI$2,0),FALSE)</f>
        <v>2.1925E-2</v>
      </c>
      <c r="F14" s="206">
        <f>VLOOKUP($A14,TOCA_previous!$A$2:$AI$137,MATCH(F$4,TOCA_previous!$A$2:$AI$2,0),FALSE)</f>
        <v>2.1925E-2</v>
      </c>
      <c r="G14" s="206">
        <f t="shared" si="0"/>
        <v>0</v>
      </c>
      <c r="H14" s="206">
        <f>VLOOKUP($A14,TOCA_previous!$A$2:$AI$137,MATCH(H$4,TOCA_previous!$A$2:$AI$2,0),FALSE)</f>
        <v>0</v>
      </c>
      <c r="I14" s="206">
        <f t="shared" si="1"/>
        <v>0</v>
      </c>
      <c r="J14" s="206">
        <f t="shared" si="2"/>
        <v>0</v>
      </c>
      <c r="K14" s="381">
        <f>VLOOKUP(A14, IRD!$A$5:$C$139, 3, FALSE)</f>
        <v>0</v>
      </c>
      <c r="L14" s="382">
        <f t="array" ref="L14">IF($G14=0, INDEX(LS_previous!$D$4:$AY$138, MATCH('Staging Table'!$A14, LS_previous!$B$4:$B$138, 0), MATCH(L$4&amp;L$5, LS_previous!$D$2:$AY$2&amp;LS_previous!$D$3:$AY$3, 0)),SUM(VLOOKUP($A14, LS_previous!$B$4:$AY$138, LS_previous!D$149, FALSE), VLOOKUP('Staging Table'!$A14, LS_previous!$B$4:$AY$138,LS_previous!AB$149, FALSE))/2)</f>
        <v>-600.61059810264851</v>
      </c>
      <c r="M14" s="382">
        <f t="array" ref="M14">IF($G14=0, INDEX(LS_previous!$D$4:$AY$138, MATCH('Staging Table'!$A14, LS_previous!$B$4:$B$138, 0), MATCH(M$4&amp;M$5, LS_previous!$D$2:$AY$2&amp;LS_previous!$D$3:$AY$3, 0)),SUM(VLOOKUP($A14, LS_previous!$B$4:$AY$138, LS_previous!E$149, FALSE), VLOOKUP('Staging Table'!$A14, LS_previous!$B$4:$AY$138,LS_previous!AC$149, FALSE))/2)</f>
        <v>8211.7056376719192</v>
      </c>
      <c r="N14" s="382">
        <f t="array" ref="N14">IF($G14=0, INDEX(LS_previous!$D$4:$AY$138, MATCH('Staging Table'!$A14, LS_previous!$B$4:$B$138, 0), MATCH(N$4&amp;N$5, LS_previous!$D$2:$AY$2&amp;LS_previous!$D$3:$AY$3, 0)),SUM(VLOOKUP($A14, LS_previous!$B$4:$AY$138, LS_previous!F$149, FALSE), VLOOKUP('Staging Table'!$A14, LS_previous!$B$4:$AY$138,LS_previous!AD$149, FALSE))/2)</f>
        <v>-6333.2013606178953</v>
      </c>
      <c r="O14" s="382">
        <f t="array" ref="O14">IF($G14=0, INDEX(LS_previous!$D$4:$AY$138, MATCH('Staging Table'!$A14, LS_previous!$B$4:$B$138, 0), MATCH(O$4&amp;O$5, LS_previous!$D$2:$AY$2&amp;LS_previous!$D$3:$AY$3, 0)),SUM(VLOOKUP($A14, LS_previous!$B$4:$AY$138, LS_previous!G$149, FALSE), VLOOKUP('Staging Table'!$A14, LS_previous!$B$4:$AY$138,LS_previous!AE$149, FALSE))/2)</f>
        <v>4323.7763037801633</v>
      </c>
      <c r="P14" s="382">
        <f t="array" ref="P14">IF($G14=0, INDEX(LS_previous!$D$4:$AY$138, MATCH('Staging Table'!$A14, LS_previous!$B$4:$B$138, 0), MATCH(P$4&amp;P$5, LS_previous!$D$2:$AY$2&amp;LS_previous!$D$3:$AY$3, 0)),SUM(VLOOKUP($A14, LS_previous!$B$4:$AY$138, LS_previous!H$149, FALSE), VLOOKUP('Staging Table'!$A14, LS_previous!$B$4:$AY$138,LS_previous!AF$149, FALSE))/2)</f>
        <v>212.24488896859111</v>
      </c>
      <c r="Q14" s="382">
        <f t="array" ref="Q14">IF($G14=0, INDEX(LS_previous!$D$4:$AY$138, MATCH('Staging Table'!$A14, LS_previous!$B$4:$B$138, 0), MATCH(Q$4&amp;Q$5, LS_previous!$D$2:$AY$2&amp;LS_previous!$D$3:$AY$3, 0)),SUM(VLOOKUP($A14, LS_previous!$B$4:$AY$138, LS_previous!I$149, FALSE), VLOOKUP('Staging Table'!$A14, LS_previous!$B$4:$AY$138,LS_previous!AG$149, FALSE))/2)</f>
        <v>10462.376626055411</v>
      </c>
      <c r="R14" s="382">
        <f t="array" ref="R14">IF($G14=0, INDEX(LS_previous!$D$4:$AY$138, MATCH('Staging Table'!$A14, LS_previous!$B$4:$B$138, 0), MATCH(R$4&amp;R$5, LS_previous!$D$2:$AY$2&amp;LS_previous!$D$3:$AY$3, 0)),SUM(VLOOKUP($A14, LS_previous!$B$4:$AY$138, LS_previous!J$149, FALSE), VLOOKUP('Staging Table'!$A14, LS_previous!$B$4:$AY$138,LS_previous!AH$149, FALSE))/2)</f>
        <v>14207.788304107184</v>
      </c>
      <c r="S14" s="382">
        <f t="array" ref="S14">IF($G14=0, INDEX(LS_previous!$D$4:$AY$138, MATCH('Staging Table'!$A14, LS_previous!$B$4:$B$138, 0), MATCH(S$4&amp;S$5, LS_previous!$D$2:$AY$2&amp;LS_previous!$D$3:$AY$3, 0)),SUM(VLOOKUP($A14, LS_previous!$B$4:$AY$138, LS_previous!K$149, FALSE), VLOOKUP('Staging Table'!$A14, LS_previous!$B$4:$AY$138,LS_previous!AI$149, FALSE))/2)</f>
        <v>14914.078599252156</v>
      </c>
      <c r="T14" s="382">
        <f t="array" ref="T14">IF($G14=0, INDEX(LS_previous!$D$4:$AY$138, MATCH('Staging Table'!$A14, LS_previous!$B$4:$B$138, 0), MATCH(T$4&amp;T$5, LS_previous!$D$2:$AY$2&amp;LS_previous!$D$3:$AY$3, 0)),SUM(VLOOKUP($A14, LS_previous!$B$4:$AY$138, LS_previous!L$149, FALSE), VLOOKUP('Staging Table'!$A14, LS_previous!$B$4:$AY$138,LS_previous!AJ$149, FALSE))/2)</f>
        <v>7262.3176125592654</v>
      </c>
      <c r="U14" s="382">
        <f t="array" ref="U14">IF($G14=0, INDEX(LS_previous!$D$4:$AY$138, MATCH('Staging Table'!$A14, LS_previous!$B$4:$B$138, 0), MATCH(U$4&amp;U$5, LS_previous!$D$2:$AY$2&amp;LS_previous!$D$3:$AY$3, 0)),SUM(VLOOKUP($A14, LS_previous!$B$4:$AY$138, LS_previous!M$149, FALSE), VLOOKUP('Staging Table'!$A14, LS_previous!$B$4:$AY$138,LS_previous!AK$149, FALSE))/2)</f>
        <v>8820.0319961407804</v>
      </c>
      <c r="V14" s="382">
        <f t="array" ref="V14">IF($G14=0, INDEX(LS_previous!$D$4:$AY$138, MATCH('Staging Table'!$A14, LS_previous!$B$4:$B$138, 0), MATCH(V$4&amp;V$5, LS_previous!$D$2:$AY$2&amp;LS_previous!$D$3:$AY$3, 0)),SUM(VLOOKUP($A14, LS_previous!$B$4:$AY$138, LS_previous!N$149, FALSE), VLOOKUP('Staging Table'!$A14, LS_previous!$B$4:$AY$138,LS_previous!AL$149, FALSE))/2)</f>
        <v>3324.7842181791784</v>
      </c>
      <c r="W14" s="382">
        <f t="array" ref="W14">IF($G14=0, INDEX(LS_previous!$D$4:$AY$138, MATCH('Staging Table'!$A14, LS_previous!$B$4:$B$138, 0), MATCH(W$4&amp;W$5, LS_previous!$D$2:$AY$2&amp;LS_previous!$D$3:$AY$3, 0)),SUM(VLOOKUP($A14, LS_previous!$B$4:$AY$138, LS_previous!O$149, FALSE), VLOOKUP('Staging Table'!$A14, LS_previous!$B$4:$AY$138,LS_previous!AM$149, FALSE))/2)</f>
        <v>4030.5794595189291</v>
      </c>
      <c r="X14" s="382">
        <f t="array" ref="X14">IF($G14=0, INDEX(LS_previous!$D$4:$AY$138, MATCH('Staging Table'!$A14, LS_previous!$B$4:$B$138, 0), MATCH(X$4&amp;X$5, LS_previous!$D$2:$AY$2&amp;LS_previous!$D$3:$AY$3, 0)),SUM(VLOOKUP($A14, LS_previous!$B$4:$AY$138, LS_previous!P$149, FALSE), VLOOKUP('Staging Table'!$A14, LS_previous!$B$4:$AY$138,LS_previous!AN$149, FALSE))/2)</f>
        <v>2663.3068932977258</v>
      </c>
      <c r="Y14" s="382">
        <f t="array" ref="Y14">IF($G14=0, INDEX(LS_previous!$D$4:$AY$138, MATCH('Staging Table'!$A14, LS_previous!$B$4:$B$138, 0), MATCH(Y$4&amp;Y$5, LS_previous!$D$2:$AY$2&amp;LS_previous!$D$3:$AY$3, 0)),SUM(VLOOKUP($A14, LS_previous!$B$4:$AY$138, LS_previous!Q$149, FALSE), VLOOKUP('Staging Table'!$A14, LS_previous!$B$4:$AY$138,LS_previous!AO$149, FALSE))/2)</f>
        <v>8206.4850113142602</v>
      </c>
      <c r="Z14" s="382">
        <f t="array" ref="Z14">IF($G14=0, INDEX(LS_previous!$D$4:$AY$138, MATCH('Staging Table'!$A14, LS_previous!$B$4:$B$138, 0), MATCH(Z$4&amp;Z$5, LS_previous!$D$2:$AY$2&amp;LS_previous!$D$3:$AY$3, 0)),SUM(VLOOKUP($A14, LS_previous!$B$4:$AY$138, LS_previous!R$149, FALSE), VLOOKUP('Staging Table'!$A14, LS_previous!$B$4:$AY$138,LS_previous!AP$149, FALSE))/2)</f>
        <v>-35012.744767877644</v>
      </c>
      <c r="AA14" s="382">
        <f t="array" ref="AA14">IF($G14=0, INDEX(LS_previous!$D$4:$AY$138, MATCH('Staging Table'!$A14, LS_previous!$B$4:$B$138, 0), MATCH(AA$4&amp;AA$5, LS_previous!$D$2:$AY$2&amp;LS_previous!$D$3:$AY$3, 0)),SUM(VLOOKUP($A14, LS_previous!$B$4:$AY$138, LS_previous!S$149, FALSE), VLOOKUP('Staging Table'!$A14, LS_previous!$B$4:$AY$138,LS_previous!AQ$149, FALSE))/2)</f>
        <v>-10390.7252277933</v>
      </c>
      <c r="AB14" s="382">
        <f t="array" ref="AB14">IF($G14=0, INDEX(LS_previous!$D$4:$AY$138, MATCH('Staging Table'!$A14, LS_previous!$B$4:$B$138, 0), MATCH(AB$4&amp;AB$5, LS_previous!$D$2:$AY$2&amp;LS_previous!$D$3:$AY$3, 0)),SUM(VLOOKUP($A14, LS_previous!$B$4:$AY$138, LS_previous!T$149, FALSE), VLOOKUP('Staging Table'!$A14, LS_previous!$B$4:$AY$138,LS_previous!AR$149, FALSE))/2)</f>
        <v>-16902.174520583016</v>
      </c>
      <c r="AC14" s="382">
        <f t="array" ref="AC14">IF($G14=0, INDEX(LS_previous!$D$4:$AY$138, MATCH('Staging Table'!$A14, LS_previous!$B$4:$B$138, 0), MATCH(AC$4&amp;AC$5, LS_previous!$D$2:$AY$2&amp;LS_previous!$D$3:$AY$3, 0)),SUM(VLOOKUP($A14, LS_previous!$B$4:$AY$138, LS_previous!U$149, FALSE), VLOOKUP('Staging Table'!$A14, LS_previous!$B$4:$AY$138,LS_previous!AS$149, FALSE))/2)</f>
        <v>-4186.4783143281093</v>
      </c>
      <c r="AD14" s="382">
        <f t="array" ref="AD14">IF($G14=0, INDEX(LS_previous!$D$4:$AY$138, MATCH('Staging Table'!$A14, LS_previous!$B$4:$B$138, 0), MATCH(AD$4&amp;AD$5, LS_previous!$D$2:$AY$2&amp;LS_previous!$D$3:$AY$3, 0)),SUM(VLOOKUP($A14, LS_previous!$B$4:$AY$138, LS_previous!V$149, FALSE), VLOOKUP('Staging Table'!$A14, LS_previous!$B$4:$AY$138,LS_previous!AT$149, FALSE))/2)</f>
        <v>-14415.451680798149</v>
      </c>
      <c r="AE14" s="382">
        <f t="array" ref="AE14">IF($G14=0, INDEX(LS_previous!$D$4:$AY$138, MATCH('Staging Table'!$A14, LS_previous!$B$4:$B$138, 0), MATCH(AE$4&amp;AE$5, LS_previous!$D$2:$AY$2&amp;LS_previous!$D$3:$AY$3, 0)),SUM(VLOOKUP($A14, LS_previous!$B$4:$AY$138, LS_previous!W$149, FALSE), VLOOKUP('Staging Table'!$A14, LS_previous!$B$4:$AY$138,LS_previous!AU$149, FALSE))/2)</f>
        <v>6098.2589233686522</v>
      </c>
      <c r="AF14" s="382">
        <f t="array" ref="AF14">IF($G14=0, INDEX(LS_previous!$D$4:$AY$138, MATCH('Staging Table'!$A14, LS_previous!$B$4:$B$138, 0), MATCH(AF$4&amp;AF$5, LS_previous!$D$2:$AY$2&amp;LS_previous!$D$3:$AY$3, 0)),SUM(VLOOKUP($A14, LS_previous!$B$4:$AY$138, LS_previous!X$149, FALSE), VLOOKUP('Staging Table'!$A14, LS_previous!$B$4:$AY$138,LS_previous!AV$149, FALSE))/2)</f>
        <v>-14082.527606016192</v>
      </c>
      <c r="AG14" s="382">
        <f t="array" ref="AG14">IF($G14=0, INDEX(LS_previous!$D$4:$AY$138, MATCH('Staging Table'!$A14, LS_previous!$B$4:$B$138, 0), MATCH(AG$4&amp;AG$5, LS_previous!$D$2:$AY$2&amp;LS_previous!$D$3:$AY$3, 0)),SUM(VLOOKUP($A14, LS_previous!$B$4:$AY$138, LS_previous!Y$149, FALSE), VLOOKUP('Staging Table'!$A14, LS_previous!$B$4:$AY$138,LS_previous!AW$149, FALSE))/2)</f>
        <v>1294.7739382531799</v>
      </c>
      <c r="AH14" s="382">
        <f t="array" ref="AH14">IF($G14=0, INDEX(LS_previous!$D$4:$AY$138, MATCH('Staging Table'!$A14, LS_previous!$B$4:$B$138, 0), MATCH(AH$4&amp;AH$5, LS_previous!$D$2:$AY$2&amp;LS_previous!$D$3:$AY$3, 0)),SUM(VLOOKUP($A14, LS_previous!$B$4:$AY$138, LS_previous!Z$149, FALSE), VLOOKUP('Staging Table'!$A14, LS_previous!$B$4:$AY$138,LS_previous!AX$149, FALSE))/2)</f>
        <v>-1620.70899813508</v>
      </c>
      <c r="AI14" s="382">
        <f t="array" ref="AI14">IF($G14=0, INDEX(LS_previous!$D$4:$AY$138, MATCH('Staging Table'!$A14, LS_previous!$B$4:$B$138, 0), MATCH(AI$4&amp;AI$5, LS_previous!$D$2:$AY$2&amp;LS_previous!$D$3:$AY$3, 0)),SUM(VLOOKUP($A14, LS_previous!$B$4:$AY$138, LS_previous!AA$149, FALSE), VLOOKUP('Staging Table'!$A14, LS_previous!$B$4:$AY$138,LS_previous!AY$149, FALSE))/2)</f>
        <v>8545.6021453516223</v>
      </c>
      <c r="AJ14" s="384">
        <f t="array" ref="AJ14">INDEX(Demand_previous!$D$4:$AY$138, MATCH('Staging Table'!$A14, Demand_previous!$B$4:$B$138, 0), MATCH(AJ$4&amp;AJ$5,Demand_previous!$D$2:$AY$2&amp;Demand_previous!$D$3:$AY$3, 0))/1000</f>
        <v>18.731393518518516</v>
      </c>
      <c r="AK14" s="384">
        <f t="array" ref="AK14">INDEX(Demand_previous!$D$4:$AY$138, MATCH('Staging Table'!$A14, Demand_previous!$B$4:$B$138, 0), MATCH(AK$4&amp;AK$5,Demand_previous!$D$2:$AY$2&amp;Demand_previous!$D$3:$AY$3, 0))/1000</f>
        <v>0</v>
      </c>
      <c r="AL14" s="384">
        <f t="array" ref="AL14">INDEX(Demand_previous!$D$4:$AY$138, MATCH('Staging Table'!$A14, Demand_previous!$B$4:$B$138, 0), MATCH(AL$4&amp;AL$5,Demand_previous!$D$2:$AY$2&amp;Demand_previous!$D$3:$AY$3, 0))/1000</f>
        <v>34.009396634615371</v>
      </c>
      <c r="AM14" s="384">
        <f t="array" ref="AM14">INDEX(Demand_previous!$D$4:$AY$138, MATCH('Staging Table'!$A14, Demand_previous!$B$4:$B$138, 0), MATCH(AM$4&amp;AM$5,Demand_previous!$D$2:$AY$2&amp;Demand_previous!$D$3:$AY$3, 0))/1000</f>
        <v>12.084980000000016</v>
      </c>
      <c r="AN14" s="384">
        <f t="array" ref="AN14">INDEX(Demand_previous!$D$4:$AY$138, MATCH('Staging Table'!$A14, Demand_previous!$B$4:$B$138, 0), MATCH(AN$4&amp;AN$5,Demand_previous!$D$2:$AY$2&amp;Demand_previous!$D$3:$AY$3, 0))/1000</f>
        <v>25.297915000000017</v>
      </c>
      <c r="AO14" s="384">
        <f t="array" ref="AO14">INDEX(Demand_previous!$D$4:$AY$138, MATCH('Staging Table'!$A14, Demand_previous!$B$4:$B$138, 0), MATCH(AO$4&amp;AO$5,Demand_previous!$D$2:$AY$2&amp;Demand_previous!$D$3:$AY$3, 0))/1000</f>
        <v>27.259435185185197</v>
      </c>
      <c r="AP14" s="384">
        <f t="array" ref="AP14">INDEX(Demand_previous!$D$4:$AY$138, MATCH('Staging Table'!$A14, Demand_previous!$B$4:$B$138, 0), MATCH(AP$4&amp;AP$5,Demand_previous!$D$2:$AY$2&amp;Demand_previous!$D$3:$AY$3, 0))/1000</f>
        <v>34.36584855769231</v>
      </c>
      <c r="AQ14" s="384">
        <f t="array" ref="AQ14">INDEX(Demand_previous!$D$4:$AY$138, MATCH('Staging Table'!$A14, Demand_previous!$B$4:$B$138, 0), MATCH(AQ$4&amp;AQ$5,Demand_previous!$D$2:$AY$2&amp;Demand_previous!$D$3:$AY$3, 0))/1000</f>
        <v>0</v>
      </c>
      <c r="AR14" s="384">
        <f t="array" ref="AR14">INDEX(Demand_previous!$D$4:$AY$138, MATCH('Staging Table'!$A14, Demand_previous!$B$4:$B$138, 0), MATCH(AR$4&amp;AR$5,Demand_previous!$D$2:$AY$2&amp;Demand_previous!$D$3:$AY$3, 0))/1000</f>
        <v>7.4637740384615441</v>
      </c>
      <c r="AS14" s="384">
        <f t="array" ref="AS14">INDEX(Demand_previous!$D$4:$AY$138, MATCH('Staging Table'!$A14, Demand_previous!$B$4:$B$138, 0), MATCH(AS$4&amp;AS$5,Demand_previous!$D$2:$AY$2&amp;Demand_previous!$D$3:$AY$3, 0))/1000</f>
        <v>9.9749600000000029</v>
      </c>
      <c r="AT14" s="384">
        <f t="array" ref="AT14">INDEX(Demand_previous!$D$4:$AY$138, MATCH('Staging Table'!$A14, Demand_previous!$B$4:$B$138, 0), MATCH(AT$4&amp;AT$5,Demand_previous!$D$2:$AY$2&amp;Demand_previous!$D$3:$AY$3, 0))/1000</f>
        <v>11.758995370370373</v>
      </c>
      <c r="AU14" s="384">
        <f t="array" ref="AU14">INDEX(Demand_previous!$D$4:$AY$138, MATCH('Staging Table'!$A14, Demand_previous!$B$4:$B$138, 0), MATCH(AU$4&amp;AU$5,Demand_previous!$D$2:$AY$2&amp;Demand_previous!$D$3:$AY$3, 0))/1000</f>
        <v>0.31310499999998237</v>
      </c>
      <c r="AV14" s="384">
        <f>IF($D14=0,IF(C14=0, MAX(AY14 - (VLOOKUP($A14,TOCA_previous!$A$2:$AI$137,MATCH("RHWM 2016",TOCA_previous!$A$2:$AI$2,0),FALSE)*$F$2*TOCA_previous!C11),0),0), 0)</f>
        <v>0</v>
      </c>
      <c r="AW14" s="427">
        <f>VLOOKUP($A14,REP_previous!$A$1:$D$135,MATCH("FY "&amp;$F$1&amp; " Total Refund",REP_previous!$A$1:$D$1,0),0)</f>
        <v>1339673.477140269</v>
      </c>
      <c r="AX14" s="398">
        <f>MIN(VLOOKUP($A14,TOCA_previous!$A$2:$AI$137,MATCH("TRL - NLSL - Exisiting Resource "&amp;$F$1,TOCA_previous!$A$2:$AI$2,0),FALSE)*$F$2,(VLOOKUP($A14,TOCA_previous!$A$2:$AI$137,MATCH("RHWM 2016",TOCA_previous!$A$2:$AI$2,0),FALSE)*$F$2))</f>
        <v>1344865.5360000001</v>
      </c>
      <c r="AY14" s="384">
        <f>SUM(L14:AI14)+(F14*RT1SC!$C$3*$F$2)</f>
        <v>1343900.2411655667</v>
      </c>
      <c r="AZ14" s="398">
        <f>VLOOKUP($A14,TOCA_previous!$A$2:$AI$137,MATCH("Above RHWM Not Served with LS "&amp;$F$1,TOCA_previous!$A$2:$AI$2,0),FALSE)*$F$2</f>
        <v>0</v>
      </c>
      <c r="BA14" s="206">
        <f t="shared" si="3"/>
        <v>-965.2948344333563</v>
      </c>
      <c r="BB14" s="399">
        <f>(VLOOKUP($A14,TOCA_previous!$A$2:$AI$137,MATCH("RHWM 2016",TOCA_previous!$A$2:$AI$2,0),FALSE)*$F$2) - $AX14</f>
        <v>17919.35999999987</v>
      </c>
      <c r="BC14" s="206">
        <f t="shared" si="4"/>
        <v>0</v>
      </c>
      <c r="BD14" s="400">
        <f t="shared" si="5"/>
        <v>965.2948344333563</v>
      </c>
      <c r="BE14" s="392">
        <f t="shared" si="6"/>
        <v>0</v>
      </c>
      <c r="BF14" s="399">
        <f t="shared" si="7"/>
        <v>965.2948344333563</v>
      </c>
      <c r="BG14" s="206">
        <f>VLOOKUP($A14,TOCA_current!$A$2:$AI$137,MATCH(BG$4,TOCA_current!$A$2:$AI$2,0),FALSE)</f>
        <v>2.2011099999999999E-2</v>
      </c>
      <c r="BH14" s="206">
        <f>VLOOKUP($A14,TOCA_current!$A$2:$AI$137,MATCH(BH$4,TOCA_current!$A$2:$AI$2,0),FALSE)</f>
        <v>2.2011099999999999E-2</v>
      </c>
      <c r="BI14" s="391">
        <f t="shared" si="8"/>
        <v>0</v>
      </c>
      <c r="BJ14" s="206">
        <f>VLOOKUP($A14,TOCA_current!A10:BG145,MATCH(BJ$4,TOCA_current!$A$2:$BG$2,0),FALSE)</f>
        <v>0</v>
      </c>
      <c r="BK14" s="206">
        <f t="shared" si="9"/>
        <v>0</v>
      </c>
      <c r="BL14" s="206">
        <f t="shared" si="10"/>
        <v>0</v>
      </c>
      <c r="BM14" s="381">
        <f>VLOOKUP($A14,IRD!$A$4:$G$139, 7, FALSE)</f>
        <v>0</v>
      </c>
      <c r="BN14" s="382">
        <f t="array" ref="BN14">IF($BI14=0, INDEX(LS_current!$D$4:$AY$139, MATCH('Staging Table'!$A14, LS_current!$B$4:$B$139, 0), MATCH(BN$4&amp;BN$5, LS_current!$D$2:$AY$2&amp;LS_current!$D$3:$AY$3, 0)),SUM(VLOOKUP($A14, LS_current!$B$4:$AY$139, LS_current!D$149, FALSE), VLOOKUP($A14, LS_current!$B$4:$AY$139,LS_current!D$149, FALSE))/2)</f>
        <v>-1221.1411534177314</v>
      </c>
      <c r="BO14" s="382">
        <f t="array" ref="BO14">IF($BI14=0, INDEX(LS_current!$D$4:$AY$139, MATCH('Staging Table'!$A14, LS_current!$B$4:$B$139, 0), MATCH(BO$4&amp;BO$5, LS_current!$D$2:$AY$2&amp;LS_current!$D$3:$AY$3, 0)),SUM(VLOOKUP($A14, LS_current!$B$4:$AY$139, LS_current!E$149, FALSE), VLOOKUP($A14, LS_current!$B$4:$AY$139,LS_current!E$149, FALSE))/2)</f>
        <v>10021.422281686202</v>
      </c>
      <c r="BP14" s="382">
        <f t="array" ref="BP14">IF($BI14=0, INDEX(LS_current!$D$4:$AY$139, MATCH('Staging Table'!$A14, LS_current!$B$4:$B$139, 0), MATCH(BP$4&amp;BP$5, LS_current!$D$2:$AY$2&amp;LS_current!$D$3:$AY$3, 0)),SUM(VLOOKUP($A14, LS_current!$B$4:$AY$139, LS_current!F$149, FALSE), VLOOKUP($A14, LS_current!$B$4:$AY$139,LS_current!F$149, FALSE))/2)</f>
        <v>-8285.1132796485908</v>
      </c>
      <c r="BQ14" s="382">
        <f t="array" ref="BQ14">IF($BI14=0, INDEX(LS_current!$D$4:$AY$139, MATCH('Staging Table'!$A14, LS_current!$B$4:$B$139, 0), MATCH(BQ$4&amp;BQ$5, LS_current!$D$2:$AY$2&amp;LS_current!$D$3:$AY$3, 0)),SUM(VLOOKUP($A14, LS_current!$B$4:$AY$139, LS_current!G$149, FALSE), VLOOKUP($A14, LS_current!$B$4:$AY$139,LS_current!G$149, FALSE))/2)</f>
        <v>4566.392974131908</v>
      </c>
      <c r="BR14" s="382">
        <f t="array" ref="BR14">IF($BI14=0, INDEX(LS_current!$D$4:$AY$139, MATCH('Staging Table'!$A14, LS_current!$B$4:$B$139, 0), MATCH(BR$4&amp;BR$5, LS_current!$D$2:$AY$2&amp;LS_current!$D$3:$AY$3, 0)),SUM(VLOOKUP($A14, LS_current!$B$4:$AY$139, LS_current!H$149, FALSE), VLOOKUP($A14, LS_current!$B$4:$AY$139,LS_current!H$149, FALSE))/2)</f>
        <v>-2614.8911184785102</v>
      </c>
      <c r="BS14" s="382">
        <f t="array" ref="BS14">IF($BI14=0, INDEX(LS_current!$D$4:$AY$139, MATCH('Staging Table'!$A14, LS_current!$B$4:$B$139, 0), MATCH(BS$4&amp;BS$5, LS_current!$D$2:$AY$2&amp;LS_current!$D$3:$AY$3, 0)),SUM(VLOOKUP($A14, LS_current!$B$4:$AY$139, LS_current!I$149, FALSE), VLOOKUP($A14, LS_current!$B$4:$AY$139,LS_current!I$149, FALSE))/2)</f>
        <v>9830.3251386598276</v>
      </c>
      <c r="BT14" s="382">
        <f t="array" ref="BT14">IF($BI14=0, INDEX(LS_current!$D$4:$AY$139, MATCH('Staging Table'!$A14, LS_current!$B$4:$B$139, 0), MATCH(BT$4&amp;BT$5, LS_current!$D$2:$AY$2&amp;LS_current!$D$3:$AY$3, 0)),SUM(VLOOKUP($A14, LS_current!$B$4:$AY$139, LS_current!J$149, FALSE), VLOOKUP($A14, LS_current!$B$4:$AY$139,LS_current!J$149, FALSE))/2)</f>
        <v>13206.518781324499</v>
      </c>
      <c r="BU14" s="382">
        <f t="array" ref="BU14">IF($BI14=0, INDEX(LS_current!$D$4:$AY$139, MATCH('Staging Table'!$A14, LS_current!$B$4:$B$139, 0), MATCH(BU$4&amp;BU$5, LS_current!$D$2:$AY$2&amp;LS_current!$D$3:$AY$3, 0)),SUM(VLOOKUP($A14, LS_current!$B$4:$AY$139, LS_current!K$149, FALSE), VLOOKUP($A14, LS_current!$B$4:$AY$139,LS_current!K$149, FALSE))/2)</f>
        <v>14594.595283387236</v>
      </c>
      <c r="BV14" s="382">
        <f t="array" ref="BV14">IF($BI14=0, INDEX(LS_current!$D$4:$AY$139, MATCH('Staging Table'!$A14, LS_current!$B$4:$B$139, 0), MATCH(BV$4&amp;BV$5, LS_current!$D$2:$AY$2&amp;LS_current!$D$3:$AY$3, 0)),SUM(VLOOKUP($A14, LS_current!$B$4:$AY$139, LS_current!L$149, FALSE), VLOOKUP($A14, LS_current!$B$4:$AY$139,LS_current!L$149, FALSE))/2)</f>
        <v>11597.169451602771</v>
      </c>
      <c r="BW14" s="382">
        <f t="array" ref="BW14">IF($BI14=0, INDEX(LS_current!$D$4:$AY$139, MATCH('Staging Table'!$A14, LS_current!$B$4:$B$139, 0), MATCH(BW$4&amp;BW$5, LS_current!$D$2:$AY$2&amp;LS_current!$D$3:$AY$3, 0)),SUM(VLOOKUP($A14, LS_current!$B$4:$AY$139, LS_current!M$149, FALSE), VLOOKUP($A14, LS_current!$B$4:$AY$139,LS_current!M$149, FALSE))/2)</f>
        <v>12275.123230404337</v>
      </c>
      <c r="BX14" s="382">
        <f t="array" ref="BX14">IF($BI14=0, INDEX(LS_current!$D$4:$AY$139, MATCH('Staging Table'!$A14, LS_current!$B$4:$B$139, 0), MATCH(BX$4&amp;BX$5, LS_current!$D$2:$AY$2&amp;LS_current!$D$3:$AY$3, 0)),SUM(VLOOKUP($A14, LS_current!$B$4:$AY$139, LS_current!N$149, FALSE), VLOOKUP($A14, LS_current!$B$4:$AY$139,LS_current!N$149, FALSE))/2)</f>
        <v>6608.4127643601969</v>
      </c>
      <c r="BY14" s="382">
        <f t="array" ref="BY14">IF($BI14=0, INDEX(LS_current!$D$4:$AY$139, MATCH('Staging Table'!$A14, LS_current!$B$4:$B$139, 0), MATCH(BY$4&amp;BY$5, LS_current!$D$2:$AY$2&amp;LS_current!$D$3:$AY$3, 0)),SUM(VLOOKUP($A14, LS_current!$B$4:$AY$139, LS_current!O$149, FALSE), VLOOKUP($A14, LS_current!$B$4:$AY$139,LS_current!O$149, FALSE))/2)</f>
        <v>7840.4253739794076</v>
      </c>
      <c r="BZ14" s="382">
        <f t="array" ref="BZ14">IF($BI14=0, INDEX(LS_current!$D$4:$AY$139, MATCH('Staging Table'!$A14, LS_current!$B$4:$B$139, 0), MATCH(BZ$4&amp;BZ$5, LS_current!$D$2:$AY$2&amp;LS_current!$D$3:$AY$3, 0)),SUM(VLOOKUP($A14, LS_current!$B$4:$AY$139, LS_current!P$149, FALSE), VLOOKUP($A14, LS_current!$B$4:$AY$139,LS_current!P$149, FALSE))/2)</f>
        <v>-4256.3382988802841</v>
      </c>
      <c r="CA14" s="382">
        <f t="array" ref="CA14">IF($BI14=0, INDEX(LS_current!$D$4:$AY$139, MATCH('Staging Table'!$A14, LS_current!$B$4:$B$139, 0), MATCH(CA$4&amp;CA$5, LS_current!$D$2:$AY$2&amp;LS_current!$D$3:$AY$3, 0)),SUM(VLOOKUP($A14, LS_current!$B$4:$AY$139, LS_current!Q$149, FALSE), VLOOKUP($A14, LS_current!$B$4:$AY$139,LS_current!Q$149, FALSE))/2)</f>
        <v>7584.6994610495603</v>
      </c>
      <c r="CB14" s="382">
        <f t="array" ref="CB14">IF($BI14=0, INDEX(LS_current!$D$4:$AY$139, MATCH('Staging Table'!$A14, LS_current!$B$4:$B$139, 0), MATCH(CB$4&amp;CB$5, LS_current!$D$2:$AY$2&amp;LS_current!$D$3:$AY$3, 0)),SUM(VLOOKUP($A14, LS_current!$B$4:$AY$139, LS_current!R$149, FALSE), VLOOKUP($A14, LS_current!$B$4:$AY$139,LS_current!R$149, FALSE))/2)</f>
        <v>-34553.413746792292</v>
      </c>
      <c r="CC14" s="382">
        <f t="array" ref="CC14">IF($BI14=0, INDEX(LS_current!$D$4:$AY$139, MATCH('Staging Table'!$A14, LS_current!$B$4:$B$139, 0), MATCH(CC$4&amp;CC$5, LS_current!$D$2:$AY$2&amp;LS_current!$D$3:$AY$3, 0)),SUM(VLOOKUP($A14, LS_current!$B$4:$AY$139, LS_current!S$149, FALSE), VLOOKUP($A14, LS_current!$B$4:$AY$139,LS_current!S$149, FALSE))/2)</f>
        <v>-11416.142683018763</v>
      </c>
      <c r="CD14" s="382">
        <f t="array" ref="CD14">IF($BI14=0, INDEX(LS_current!$D$4:$AY$139, MATCH('Staging Table'!$A14, LS_current!$B$4:$B$139, 0), MATCH(CD$4&amp;CD$5, LS_current!$D$2:$AY$2&amp;LS_current!$D$3:$AY$3, 0)),SUM(VLOOKUP($A14, LS_current!$B$4:$AY$139, LS_current!T$149, FALSE), VLOOKUP($A14, LS_current!$B$4:$AY$139,LS_current!T$149, FALSE))/2)</f>
        <v>-16843.596316727409</v>
      </c>
      <c r="CE14" s="382">
        <f t="array" ref="CE14">IF($BI14=0, INDEX(LS_current!$D$4:$AY$139, MATCH('Staging Table'!$A14, LS_current!$B$4:$B$139, 0), MATCH(CE$4&amp;CE$5, LS_current!$D$2:$AY$2&amp;LS_current!$D$3:$AY$3, 0)),SUM(VLOOKUP($A14, LS_current!$B$4:$AY$139, LS_current!U$149, FALSE), VLOOKUP($A14, LS_current!$B$4:$AY$139,LS_current!U$149, FALSE))/2)</f>
        <v>-1306.4289199929117</v>
      </c>
      <c r="CF14" s="382">
        <f t="array" ref="CF14">IF($BI14=0, INDEX(LS_current!$D$4:$AY$139, MATCH('Staging Table'!$A14, LS_current!$B$4:$B$139, 0), MATCH(CF$4&amp;CF$5, LS_current!$D$2:$AY$2&amp;LS_current!$D$3:$AY$3, 0)),SUM(VLOOKUP($A14, LS_current!$B$4:$AY$139, LS_current!V$149, FALSE), VLOOKUP($A14, LS_current!$B$4:$AY$139,LS_current!V$149, FALSE))/2)</f>
        <v>-10358.989355673599</v>
      </c>
      <c r="CG14" s="382">
        <f t="array" ref="CG14">IF($BI14=0, INDEX(LS_current!$D$4:$AY$139, MATCH('Staging Table'!$A14, LS_current!$B$4:$B$139, 0), MATCH(CG$4&amp;CG$5, LS_current!$D$2:$AY$2&amp;LS_current!$D$3:$AY$3, 0)),SUM(VLOOKUP($A14, LS_current!$B$4:$AY$139, LS_current!W$149, FALSE), VLOOKUP($A14, LS_current!$B$4:$AY$139,LS_current!W$149, FALSE))/2)</f>
        <v>8638.2560882072721</v>
      </c>
      <c r="CH14" s="382">
        <f t="array" ref="CH14">IF($BI14=0, INDEX(LS_current!$D$4:$AY$139, MATCH('Staging Table'!$A14, LS_current!$B$4:$B$139, 0), MATCH(CH$4&amp;CH$5, LS_current!$D$2:$AY$2&amp;LS_current!$D$3:$AY$3, 0)),SUM(VLOOKUP($A14, LS_current!$B$4:$AY$139, LS_current!X$149, FALSE), VLOOKUP($A14, LS_current!$B$4:$AY$139,LS_current!X$149, FALSE))/2)</f>
        <v>-13995.980761659281</v>
      </c>
      <c r="CI14" s="382">
        <f t="array" ref="CI14">IF($BI14=0, INDEX(LS_current!$D$4:$AY$139, MATCH('Staging Table'!$A14, LS_current!$B$4:$B$139, 0), MATCH(CI$4&amp;CI$5, LS_current!$D$2:$AY$2&amp;LS_current!$D$3:$AY$3, 0)),SUM(VLOOKUP($A14, LS_current!$B$4:$AY$139, LS_current!Y$149, FALSE), VLOOKUP($A14, LS_current!$B$4:$AY$139,LS_current!Y$149, FALSE))/2)</f>
        <v>2367.5385485847655</v>
      </c>
      <c r="CJ14" s="382">
        <f t="array" ref="CJ14">IF($BI14=0, INDEX(LS_current!$D$4:$AY$139, MATCH('Staging Table'!$A14, LS_current!$B$4:$B$139, 0), MATCH(CJ$4&amp;CJ$5, LS_current!$D$2:$AY$2&amp;LS_current!$D$3:$AY$3, 0)),SUM(VLOOKUP($A14, LS_current!$B$4:$AY$139, LS_current!Z$149, FALSE), VLOOKUP($A14, LS_current!$B$4:$AY$139,LS_current!Z$149, FALSE))/2)</f>
        <v>-7973.2444782895036</v>
      </c>
      <c r="CK14" s="382">
        <f t="array" ref="CK14">IF($BI14=0, INDEX(LS_current!$D$4:$AY$139, MATCH('Staging Table'!$A14, LS_current!$B$4:$B$139, 0), MATCH(CK$4&amp;CK$5, LS_current!$D$2:$AY$2&amp;LS_current!$D$3:$AY$3, 0)),SUM(VLOOKUP($A14, LS_current!$B$4:$AY$139, LS_current!AA$149, FALSE), VLOOKUP($A14, LS_current!$B$4:$AY$139,LS_current!AA$149, FALSE))/2)</f>
        <v>8508.648105650871</v>
      </c>
      <c r="CL14" s="384">
        <f t="array" ref="CL14">INDEX(Demand_current!$D$4:$AY$138, MATCH($A14, Demand_current!$B$4:$B$138, 0), MATCH(CL$4&amp;CL$5,Demand_current!$D$2:$AY$2&amp;Demand_current!$D$3:$AY$3, 0))/1000</f>
        <v>12.863716346153851</v>
      </c>
      <c r="CM14" s="384">
        <f t="array" ref="CM14">INDEX(Demand_current!$D$4:$AY$138, MATCH($A14, Demand_current!$B$4:$B$138, 0), MATCH(CM$4&amp;CM$5,Demand_current!$D$2:$AY$2&amp;Demand_current!$D$3:$AY$3, 0))/1000</f>
        <v>5.7565000000000097</v>
      </c>
      <c r="CN14" s="384">
        <f t="array" ref="CN14">INDEX(Demand_current!$D$4:$AY$138, MATCH($A14, Demand_current!$B$4:$B$138, 0), MATCH(CN$4&amp;CN$5,Demand_current!$D$2:$AY$2&amp;Demand_current!$D$3:$AY$3, 0))/1000</f>
        <v>26.712132499999996</v>
      </c>
      <c r="CO14" s="384">
        <f t="array" ref="CO14">INDEX(Demand_current!$D$4:$AY$138, MATCH($A14, Demand_current!$B$4:$B$138, 0), MATCH(CO$4&amp;CO$5,Demand_current!$D$2:$AY$2&amp;Demand_current!$D$3:$AY$3, 0))/1000</f>
        <v>19.751326923076917</v>
      </c>
      <c r="CP14" s="384">
        <f t="array" ref="CP14">INDEX(Demand_current!$D$4:$AY$138, MATCH($A14, Demand_current!$B$4:$B$138, 0), MATCH(CP$4&amp;CP$5,Demand_current!$D$2:$AY$2&amp;Demand_current!$D$3:$AY$3, 0))/1000</f>
        <v>18.281536458333335</v>
      </c>
      <c r="CQ14" s="384">
        <f t="array" ref="CQ14">INDEX(Demand_current!$D$4:$AY$138, MATCH($A14, Demand_current!$B$4:$B$138, 0), MATCH(CQ$4&amp;CQ$5,Demand_current!$D$2:$AY$2&amp;Demand_current!$D$3:$AY$3, 0))/1000</f>
        <v>27.259435185185197</v>
      </c>
      <c r="CR14" s="384">
        <f t="array" ref="CR14">INDEX(Demand_current!$D$4:$AY$138, MATCH($A14, Demand_current!$B$4:$B$138, 0), MATCH(CR$4&amp;CR$5,Demand_current!$D$2:$AY$2&amp;Demand_current!$D$3:$AY$3, 0))/1000</f>
        <v>28.563522499999998</v>
      </c>
      <c r="CS14" s="384">
        <f t="array" ref="CS14">INDEX(Demand_current!$D$4:$AY$138, MATCH($A14, Demand_current!$B$4:$B$138, 0), MATCH(CS$4&amp;CS$5,Demand_current!$D$2:$AY$2&amp;Demand_current!$D$3:$AY$3, 0))/1000</f>
        <v>1.6272139423076801</v>
      </c>
      <c r="CT14" s="384">
        <f t="array" ref="CT14">INDEX(Demand_current!$D$4:$AY$138, MATCH($A14, Demand_current!$B$4:$B$138, 0), MATCH(CT$4&amp;CT$5,Demand_current!$D$2:$AY$2&amp;Demand_current!$D$3:$AY$3, 0))/1000</f>
        <v>7.4637740384615441</v>
      </c>
      <c r="CU14" s="384">
        <f t="array" ref="CU14">INDEX(Demand_current!$D$4:$AY$138, MATCH($A14, Demand_current!$B$4:$B$138, 0), MATCH(CU$4&amp;CU$5,Demand_current!$D$2:$AY$2&amp;Demand_current!$D$3:$AY$3, 0))/1000</f>
        <v>9.9749600000000029</v>
      </c>
      <c r="CV14" s="384">
        <f t="array" ref="CV14">INDEX(Demand_current!$D$4:$AY$138, MATCH($A14, Demand_current!$B$4:$B$138, 0), MATCH(CV$4&amp;CV$5,Demand_current!$D$2:$AY$2&amp;Demand_current!$D$3:$AY$3, 0))/1000</f>
        <v>11.758995370370373</v>
      </c>
      <c r="CW14" s="384">
        <f t="array" ref="CW14">INDEX(Demand_current!$D$4:$AY$138, MATCH($A14, Demand_current!$B$4:$B$138, 0), MATCH(CW$4&amp;CW$5,Demand_current!$D$2:$AY$2&amp;Demand_current!$D$3:$AY$3, 0))/1000</f>
        <v>0</v>
      </c>
      <c r="CX14" s="384">
        <f>IF(D14=0,IF(C14=0,MAX(0,DA14 - (VLOOKUP($A14,TOCA_current!$A$2:$AI$137,MATCH("RHWM 2018",TOCA_current!$A$2:$AI$2,0),FALSE)*$BH$2)), 0),0)</f>
        <v>0</v>
      </c>
      <c r="CY14" s="427">
        <f>VLOOKUP($A14,REP_current!$A$1:$D$135,MATCH("FY "&amp;$BH$1&amp; " Total Refund",REP_current!$A$1:$D$1,0),0)</f>
        <v>1356406.4002414742</v>
      </c>
      <c r="CZ14" s="432">
        <f>MIN(VLOOKUP($A14,TOCA_current!$A$2:$AI$137,MATCH("TRL - NLSL - Existing Resource "&amp;$BH$1,TOCA_current!$A$2:$AI$2,0),FALSE)*$BH$2, VLOOKUP($A14,TOCA_current!$A$2:$AI$137,MATCH("RHWM 2018",TOCA_current!$A$2:$AI$2,0),FALSE)*$BH$2)</f>
        <v>1339088.6400000001</v>
      </c>
      <c r="DA14" s="397">
        <f>SUM(BN14:CK14)+(BH14*RT1SC!$C$4*$BH$2)</f>
        <v>1343900.2575361058</v>
      </c>
      <c r="DB14" s="432">
        <f>VLOOKUP($A14,TOCA_current!$A$2:$AI$137,MATCH("Above RHWM Not Served with LS "&amp;$BH$1,TOCA_current!$A$2:$AI$2,0),FALSE)*$BH$2</f>
        <v>0</v>
      </c>
      <c r="DC14" s="401">
        <f t="shared" si="11"/>
        <v>4811.6175361056812</v>
      </c>
      <c r="DD14" s="397">
        <f>(VLOOKUP($A14,TOCA_current!$A$2:$AI$137,MATCH("RHWM 2018",TOCA_current!$A$2:$AI$2,0),FALSE)*$BH$2) - $CZ14</f>
        <v>11335.439999999711</v>
      </c>
      <c r="DE14" s="397">
        <f t="shared" si="12"/>
        <v>-4811.6175361056812</v>
      </c>
      <c r="DF14" s="397">
        <f t="shared" si="13"/>
        <v>0</v>
      </c>
      <c r="DG14" s="397">
        <f t="shared" si="14"/>
        <v>0</v>
      </c>
      <c r="DH14" s="397">
        <f t="shared" si="15"/>
        <v>-4811.6175361056812</v>
      </c>
    </row>
    <row r="15" spans="1:112">
      <c r="A15" s="274">
        <v>10055</v>
      </c>
      <c r="B15" s="275" t="s">
        <v>16</v>
      </c>
      <c r="C15" s="397">
        <v>0</v>
      </c>
      <c r="D15" s="397">
        <v>0</v>
      </c>
      <c r="E15" s="205">
        <f>VLOOKUP($A15,TOCA_previous!$A$2:$AI$137,MATCH(E$4,TOCA_previous!$A$2:$AI$2,0),FALSE)</f>
        <v>5.6400000000000002E-5</v>
      </c>
      <c r="F15" s="206">
        <f>VLOOKUP($A15,TOCA_previous!$A$2:$AI$137,MATCH(F$4,TOCA_previous!$A$2:$AI$2,0),FALSE)</f>
        <v>5.6400000000000002E-5</v>
      </c>
      <c r="G15" s="206">
        <f t="shared" si="0"/>
        <v>0</v>
      </c>
      <c r="H15" s="206">
        <f>VLOOKUP($A15,TOCA_previous!$A$2:$AI$137,MATCH(H$4,TOCA_previous!$A$2:$AI$2,0),FALSE)</f>
        <v>0</v>
      </c>
      <c r="I15" s="206">
        <f t="shared" si="1"/>
        <v>0</v>
      </c>
      <c r="J15" s="206">
        <f t="shared" si="2"/>
        <v>0</v>
      </c>
      <c r="K15" s="381">
        <f>VLOOKUP(A15, IRD!$A$5:$C$139, 3, FALSE)</f>
        <v>0</v>
      </c>
      <c r="L15" s="382">
        <f t="array" ref="L15">IF($G15=0, INDEX(LS_previous!$D$4:$AY$138, MATCH('Staging Table'!$A15, LS_previous!$B$4:$B$138, 0), MATCH(L$4&amp;L$5, LS_previous!$D$2:$AY$2&amp;LS_previous!$D$3:$AY$3, 0)),SUM(VLOOKUP($A15, LS_previous!$B$4:$AY$138, LS_previous!D$149, FALSE), VLOOKUP('Staging Table'!$A15, LS_previous!$B$4:$AY$138,LS_previous!AB$149, FALSE))/2)</f>
        <v>-38.884356339018922</v>
      </c>
      <c r="M15" s="382">
        <f t="array" ref="M15">IF($G15=0, INDEX(LS_previous!$D$4:$AY$138, MATCH('Staging Table'!$A15, LS_previous!$B$4:$B$138, 0), MATCH(M$4&amp;M$5, LS_previous!$D$2:$AY$2&amp;LS_previous!$D$3:$AY$3, 0)),SUM(VLOOKUP($A15, LS_previous!$B$4:$AY$138, LS_previous!E$149, FALSE), VLOOKUP('Staging Table'!$A15, LS_previous!$B$4:$AY$138,LS_previous!AC$149, FALSE))/2)</f>
        <v>-5.0306660540617401</v>
      </c>
      <c r="N15" s="382">
        <f t="array" ref="N15">IF($G15=0, INDEX(LS_previous!$D$4:$AY$138, MATCH('Staging Table'!$A15, LS_previous!$B$4:$B$138, 0), MATCH(N$4&amp;N$5, LS_previous!$D$2:$AY$2&amp;LS_previous!$D$3:$AY$3, 0)),SUM(VLOOKUP($A15, LS_previous!$B$4:$AY$138, LS_previous!F$149, FALSE), VLOOKUP('Staging Table'!$A15, LS_previous!$B$4:$AY$138,LS_previous!AD$149, FALSE))/2)</f>
        <v>-29.162735769160776</v>
      </c>
      <c r="O15" s="382">
        <f t="array" ref="O15">IF($G15=0, INDEX(LS_previous!$D$4:$AY$138, MATCH('Staging Table'!$A15, LS_previous!$B$4:$B$138, 0), MATCH(O$4&amp;O$5, LS_previous!$D$2:$AY$2&amp;LS_previous!$D$3:$AY$3, 0)),SUM(VLOOKUP($A15, LS_previous!$B$4:$AY$138, LS_previous!G$149, FALSE), VLOOKUP('Staging Table'!$A15, LS_previous!$B$4:$AY$138,LS_previous!AE$149, FALSE))/2)</f>
        <v>10.088569264912223</v>
      </c>
      <c r="P15" s="382">
        <f t="array" ref="P15">IF($G15=0, INDEX(LS_previous!$D$4:$AY$138, MATCH('Staging Table'!$A15, LS_previous!$B$4:$B$138, 0), MATCH(P$4&amp;P$5, LS_previous!$D$2:$AY$2&amp;LS_previous!$D$3:$AY$3, 0)),SUM(VLOOKUP($A15, LS_previous!$B$4:$AY$138, LS_previous!H$149, FALSE), VLOOKUP('Staging Table'!$A15, LS_previous!$B$4:$AY$138,LS_previous!AF$149, FALSE))/2)</f>
        <v>42.88411452396025</v>
      </c>
      <c r="Q15" s="382">
        <f t="array" ref="Q15">IF($G15=0, INDEX(LS_previous!$D$4:$AY$138, MATCH('Staging Table'!$A15, LS_previous!$B$4:$B$138, 0), MATCH(Q$4&amp;Q$5, LS_previous!$D$2:$AY$2&amp;LS_previous!$D$3:$AY$3, 0)),SUM(VLOOKUP($A15, LS_previous!$B$4:$AY$138, LS_previous!I$149, FALSE), VLOOKUP('Staging Table'!$A15, LS_previous!$B$4:$AY$138,LS_previous!AG$149, FALSE))/2)</f>
        <v>73.660530960525648</v>
      </c>
      <c r="R15" s="382">
        <f t="array" ref="R15">IF($G15=0, INDEX(LS_previous!$D$4:$AY$138, MATCH('Staging Table'!$A15, LS_previous!$B$4:$B$138, 0), MATCH(R$4&amp;R$5, LS_previous!$D$2:$AY$2&amp;LS_previous!$D$3:$AY$3, 0)),SUM(VLOOKUP($A15, LS_previous!$B$4:$AY$138, LS_previous!J$149, FALSE), VLOOKUP('Staging Table'!$A15, LS_previous!$B$4:$AY$138,LS_previous!AH$149, FALSE))/2)</f>
        <v>68.457253553096706</v>
      </c>
      <c r="S15" s="382">
        <f t="array" ref="S15">IF($G15=0, INDEX(LS_previous!$D$4:$AY$138, MATCH('Staging Table'!$A15, LS_previous!$B$4:$B$138, 0), MATCH(S$4&amp;S$5, LS_previous!$D$2:$AY$2&amp;LS_previous!$D$3:$AY$3, 0)),SUM(VLOOKUP($A15, LS_previous!$B$4:$AY$138, LS_previous!K$149, FALSE), VLOOKUP('Staging Table'!$A15, LS_previous!$B$4:$AY$138,LS_previous!AI$149, FALSE))/2)</f>
        <v>78.124111051211941</v>
      </c>
      <c r="T15" s="382">
        <f t="array" ref="T15">IF($G15=0, INDEX(LS_previous!$D$4:$AY$138, MATCH('Staging Table'!$A15, LS_previous!$B$4:$B$138, 0), MATCH(T$4&amp;T$5, LS_previous!$D$2:$AY$2&amp;LS_previous!$D$3:$AY$3, 0)),SUM(VLOOKUP($A15, LS_previous!$B$4:$AY$138, LS_previous!L$149, FALSE), VLOOKUP('Staging Table'!$A15, LS_previous!$B$4:$AY$138,LS_previous!AJ$149, FALSE))/2)</f>
        <v>41.263480763892488</v>
      </c>
      <c r="U15" s="382">
        <f t="array" ref="U15">IF($G15=0, INDEX(LS_previous!$D$4:$AY$138, MATCH('Staging Table'!$A15, LS_previous!$B$4:$B$138, 0), MATCH(U$4&amp;U$5, LS_previous!$D$2:$AY$2&amp;LS_previous!$D$3:$AY$3, 0)),SUM(VLOOKUP($A15, LS_previous!$B$4:$AY$138, LS_previous!M$149, FALSE), VLOOKUP('Staging Table'!$A15, LS_previous!$B$4:$AY$138,LS_previous!AK$149, FALSE))/2)</f>
        <v>50.663349198738416</v>
      </c>
      <c r="V15" s="382">
        <f t="array" ref="V15">IF($G15=0, INDEX(LS_previous!$D$4:$AY$138, MATCH('Staging Table'!$A15, LS_previous!$B$4:$B$138, 0), MATCH(V$4&amp;V$5, LS_previous!$D$2:$AY$2&amp;LS_previous!$D$3:$AY$3, 0)),SUM(VLOOKUP($A15, LS_previous!$B$4:$AY$138, LS_previous!N$149, FALSE), VLOOKUP('Staging Table'!$A15, LS_previous!$B$4:$AY$138,LS_previous!AL$149, FALSE))/2)</f>
        <v>-7.8363578150373883</v>
      </c>
      <c r="W15" s="382">
        <f t="array" ref="W15">IF($G15=0, INDEX(LS_previous!$D$4:$AY$138, MATCH('Staging Table'!$A15, LS_previous!$B$4:$B$138, 0), MATCH(W$4&amp;W$5, LS_previous!$D$2:$AY$2&amp;LS_previous!$D$3:$AY$3, 0)),SUM(VLOOKUP($A15, LS_previous!$B$4:$AY$138, LS_previous!O$149, FALSE), VLOOKUP('Staging Table'!$A15, LS_previous!$B$4:$AY$138,LS_previous!AM$149, FALSE))/2)</f>
        <v>9.280553364509359</v>
      </c>
      <c r="X15" s="382">
        <f t="array" ref="X15">IF($G15=0, INDEX(LS_previous!$D$4:$AY$138, MATCH('Staging Table'!$A15, LS_previous!$B$4:$B$138, 0), MATCH(X$4&amp;X$5, LS_previous!$D$2:$AY$2&amp;LS_previous!$D$3:$AY$3, 0)),SUM(VLOOKUP($A15, LS_previous!$B$4:$AY$138, LS_previous!P$149, FALSE), VLOOKUP('Staging Table'!$A15, LS_previous!$B$4:$AY$138,LS_previous!AN$149, FALSE))/2)</f>
        <v>-10.148648283603592</v>
      </c>
      <c r="Y15" s="382">
        <f t="array" ref="Y15">IF($G15=0, INDEX(LS_previous!$D$4:$AY$138, MATCH('Staging Table'!$A15, LS_previous!$B$4:$B$138, 0), MATCH(Y$4&amp;Y$5, LS_previous!$D$2:$AY$2&amp;LS_previous!$D$3:$AY$3, 0)),SUM(VLOOKUP($A15, LS_previous!$B$4:$AY$138, LS_previous!Q$149, FALSE), VLOOKUP('Staging Table'!$A15, LS_previous!$B$4:$AY$138,LS_previous!AO$149, FALSE))/2)</f>
        <v>13.634668480644223</v>
      </c>
      <c r="Z15" s="382">
        <f t="array" ref="Z15">IF($G15=0, INDEX(LS_previous!$D$4:$AY$138, MATCH('Staging Table'!$A15, LS_previous!$B$4:$B$138, 0), MATCH(Z$4&amp;Z$5, LS_previous!$D$2:$AY$2&amp;LS_previous!$D$3:$AY$3, 0)),SUM(VLOOKUP($A15, LS_previous!$B$4:$AY$138, LS_previous!R$149, FALSE), VLOOKUP('Staging Table'!$A15, LS_previous!$B$4:$AY$138,LS_previous!AP$149, FALSE))/2)</f>
        <v>-119.78348038806384</v>
      </c>
      <c r="AA15" s="382">
        <f t="array" ref="AA15">IF($G15=0, INDEX(LS_previous!$D$4:$AY$138, MATCH('Staging Table'!$A15, LS_previous!$B$4:$B$138, 0), MATCH(AA$4&amp;AA$5, LS_previous!$D$2:$AY$2&amp;LS_previous!$D$3:$AY$3, 0)),SUM(VLOOKUP($A15, LS_previous!$B$4:$AY$138, LS_previous!S$149, FALSE), VLOOKUP('Staging Table'!$A15, LS_previous!$B$4:$AY$138,LS_previous!AQ$149, FALSE))/2)</f>
        <v>-49.296912284950608</v>
      </c>
      <c r="AB15" s="382">
        <f t="array" ref="AB15">IF($G15=0, INDEX(LS_previous!$D$4:$AY$138, MATCH('Staging Table'!$A15, LS_previous!$B$4:$B$138, 0), MATCH(AB$4&amp;AB$5, LS_previous!$D$2:$AY$2&amp;LS_previous!$D$3:$AY$3, 0)),SUM(VLOOKUP($A15, LS_previous!$B$4:$AY$138, LS_previous!T$149, FALSE), VLOOKUP('Staging Table'!$A15, LS_previous!$B$4:$AY$138,LS_previous!AR$149, FALSE))/2)</f>
        <v>-74.586637042685638</v>
      </c>
      <c r="AC15" s="382">
        <f t="array" ref="AC15">IF($G15=0, INDEX(LS_previous!$D$4:$AY$138, MATCH('Staging Table'!$A15, LS_previous!$B$4:$B$138, 0), MATCH(AC$4&amp;AC$5, LS_previous!$D$2:$AY$2&amp;LS_previous!$D$3:$AY$3, 0)),SUM(VLOOKUP($A15, LS_previous!$B$4:$AY$138, LS_previous!U$149, FALSE), VLOOKUP('Staging Table'!$A15, LS_previous!$B$4:$AY$138,LS_previous!AS$149, FALSE))/2)</f>
        <v>-42.194330897519038</v>
      </c>
      <c r="AD15" s="382">
        <f t="array" ref="AD15">IF($G15=0, INDEX(LS_previous!$D$4:$AY$138, MATCH('Staging Table'!$A15, LS_previous!$B$4:$B$138, 0), MATCH(AD$4&amp;AD$5, LS_previous!$D$2:$AY$2&amp;LS_previous!$D$3:$AY$3, 0)),SUM(VLOOKUP($A15, LS_previous!$B$4:$AY$138, LS_previous!V$149, FALSE), VLOOKUP('Staging Table'!$A15, LS_previous!$B$4:$AY$138,LS_previous!AT$149, FALSE))/2)</f>
        <v>-49.356476497013261</v>
      </c>
      <c r="AE15" s="382">
        <f t="array" ref="AE15">IF($G15=0, INDEX(LS_previous!$D$4:$AY$138, MATCH('Staging Table'!$A15, LS_previous!$B$4:$B$138, 0), MATCH(AE$4&amp;AE$5, LS_previous!$D$2:$AY$2&amp;LS_previous!$D$3:$AY$3, 0)),SUM(VLOOKUP($A15, LS_previous!$B$4:$AY$138, LS_previous!W$149, FALSE), VLOOKUP('Staging Table'!$A15, LS_previous!$B$4:$AY$138,LS_previous!AU$149, FALSE))/2)</f>
        <v>-11.718702363603569</v>
      </c>
      <c r="AF15" s="382">
        <f t="array" ref="AF15">IF($G15=0, INDEX(LS_previous!$D$4:$AY$138, MATCH('Staging Table'!$A15, LS_previous!$B$4:$B$138, 0), MATCH(AF$4&amp;AF$5, LS_previous!$D$2:$AY$2&amp;LS_previous!$D$3:$AY$3, 0)),SUM(VLOOKUP($A15, LS_previous!$B$4:$AY$138, LS_previous!X$149, FALSE), VLOOKUP('Staging Table'!$A15, LS_previous!$B$4:$AY$138,LS_previous!AV$149, FALSE))/2)</f>
        <v>-62.165556623913972</v>
      </c>
      <c r="AG15" s="382">
        <f t="array" ref="AG15">IF($G15=0, INDEX(LS_previous!$D$4:$AY$138, MATCH('Staging Table'!$A15, LS_previous!$B$4:$B$138, 0), MATCH(AG$4&amp;AG$5, LS_previous!$D$2:$AY$2&amp;LS_previous!$D$3:$AY$3, 0)),SUM(VLOOKUP($A15, LS_previous!$B$4:$AY$138, LS_previous!Y$149, FALSE), VLOOKUP('Staging Table'!$A15, LS_previous!$B$4:$AY$138,LS_previous!AW$149, FALSE))/2)</f>
        <v>-29.11612669931678</v>
      </c>
      <c r="AH15" s="382">
        <f t="array" ref="AH15">IF($G15=0, INDEX(LS_previous!$D$4:$AY$138, MATCH('Staging Table'!$A15, LS_previous!$B$4:$B$138, 0), MATCH(AH$4&amp;AH$5, LS_previous!$D$2:$AY$2&amp;LS_previous!$D$3:$AY$3, 0)),SUM(VLOOKUP($A15, LS_previous!$B$4:$AY$138, LS_previous!Z$149, FALSE), VLOOKUP('Staging Table'!$A15, LS_previous!$B$4:$AY$138,LS_previous!AX$149, FALSE))/2)</f>
        <v>-42.046294809341802</v>
      </c>
      <c r="AI15" s="382">
        <f t="array" ref="AI15">IF($G15=0, INDEX(LS_previous!$D$4:$AY$138, MATCH('Staging Table'!$A15, LS_previous!$B$4:$B$138, 0), MATCH(AI$4&amp;AI$5, LS_previous!$D$2:$AY$2&amp;LS_previous!$D$3:$AY$3, 0)),SUM(VLOOKUP($A15, LS_previous!$B$4:$AY$138, LS_previous!AA$149, FALSE), VLOOKUP('Staging Table'!$A15, LS_previous!$B$4:$AY$138,LS_previous!AY$149, FALSE))/2)</f>
        <v>-17.629552447077245</v>
      </c>
      <c r="AJ15" s="384">
        <f t="array" ref="AJ15">INDEX(Demand_previous!$D$4:$AY$138, MATCH('Staging Table'!$A15, Demand_previous!$B$4:$B$138, 0), MATCH(AJ$4&amp;AJ$5,Demand_previous!$D$2:$AY$2&amp;Demand_previous!$D$3:$AY$3, 0))/1000</f>
        <v>0.13398842592592591</v>
      </c>
      <c r="AK15" s="384">
        <f t="array" ref="AK15">INDEX(Demand_previous!$D$4:$AY$138, MATCH('Staging Table'!$A15, Demand_previous!$B$4:$B$138, 0), MATCH(AK$4&amp;AK$5,Demand_previous!$D$2:$AY$2&amp;Demand_previous!$D$3:$AY$3, 0))/1000</f>
        <v>9.6596354166666731E-2</v>
      </c>
      <c r="AL15" s="384">
        <f t="array" ref="AL15">INDEX(Demand_previous!$D$4:$AY$138, MATCH('Staging Table'!$A15, Demand_previous!$B$4:$B$138, 0), MATCH(AL$4&amp;AL$5,Demand_previous!$D$2:$AY$2&amp;Demand_previous!$D$3:$AY$3, 0))/1000</f>
        <v>0.29693749999999985</v>
      </c>
      <c r="AM15" s="384">
        <f t="array" ref="AM15">INDEX(Demand_previous!$D$4:$AY$138, MATCH('Staging Table'!$A15, Demand_previous!$B$4:$B$138, 0), MATCH(AM$4&amp;AM$5,Demand_previous!$D$2:$AY$2&amp;Demand_previous!$D$3:$AY$3, 0))/1000</f>
        <v>0.23848249999999988</v>
      </c>
      <c r="AN15" s="384">
        <f t="array" ref="AN15">INDEX(Demand_previous!$D$4:$AY$138, MATCH('Staging Table'!$A15, Demand_previous!$B$4:$B$138, 0), MATCH(AN$4&amp;AN$5,Demand_previous!$D$2:$AY$2&amp;Demand_previous!$D$3:$AY$3, 0))/1000</f>
        <v>0.14536999999999997</v>
      </c>
      <c r="AO15" s="384">
        <f t="array" ref="AO15">INDEX(Demand_previous!$D$4:$AY$138, MATCH('Staging Table'!$A15, Demand_previous!$B$4:$B$138, 0), MATCH(AO$4&amp;AO$5,Demand_previous!$D$2:$AY$2&amp;Demand_previous!$D$3:$AY$3, 0))/1000</f>
        <v>0.17204398148148148</v>
      </c>
      <c r="AP15" s="384">
        <f t="array" ref="AP15">INDEX(Demand_previous!$D$4:$AY$138, MATCH('Staging Table'!$A15, Demand_previous!$B$4:$B$138, 0), MATCH(AP$4&amp;AP$5,Demand_previous!$D$2:$AY$2&amp;Demand_previous!$D$3:$AY$3, 0))/1000</f>
        <v>2.3716346153846213E-2</v>
      </c>
      <c r="AQ15" s="384">
        <f t="array" ref="AQ15">INDEX(Demand_previous!$D$4:$AY$138, MATCH('Staging Table'!$A15, Demand_previous!$B$4:$B$138, 0), MATCH(AQ$4&amp;AQ$5,Demand_previous!$D$2:$AY$2&amp;Demand_previous!$D$3:$AY$3, 0))/1000</f>
        <v>3.0317500000000053E-2</v>
      </c>
      <c r="AR15" s="384">
        <f t="array" ref="AR15">INDEX(Demand_previous!$D$4:$AY$138, MATCH('Staging Table'!$A15, Demand_previous!$B$4:$B$138, 0), MATCH(AR$4&amp;AR$5,Demand_previous!$D$2:$AY$2&amp;Demand_previous!$D$3:$AY$3, 0))/1000</f>
        <v>4.5468749999999974E-2</v>
      </c>
      <c r="AS15" s="384">
        <f t="array" ref="AS15">INDEX(Demand_previous!$D$4:$AY$138, MATCH('Staging Table'!$A15, Demand_previous!$B$4:$B$138, 0), MATCH(AS$4&amp;AS$5,Demand_previous!$D$2:$AY$2&amp;Demand_previous!$D$3:$AY$3, 0))/1000</f>
        <v>7.594500000000004E-2</v>
      </c>
      <c r="AT15" s="384">
        <f t="array" ref="AT15">INDEX(Demand_previous!$D$4:$AY$138, MATCH('Staging Table'!$A15, Demand_previous!$B$4:$B$138, 0), MATCH(AT$4&amp;AT$5,Demand_previous!$D$2:$AY$2&amp;Demand_previous!$D$3:$AY$3, 0))/1000</f>
        <v>7.5824074074074099E-2</v>
      </c>
      <c r="AU15" s="384">
        <f t="array" ref="AU15">INDEX(Demand_previous!$D$4:$AY$138, MATCH('Staging Table'!$A15, Demand_previous!$B$4:$B$138, 0), MATCH(AU$4&amp;AU$5,Demand_previous!$D$2:$AY$2&amp;Demand_previous!$D$3:$AY$3, 0))/1000</f>
        <v>0</v>
      </c>
      <c r="AV15" s="384">
        <f>IF($D15=0,IF(C15=0, MAX(AY15 - (VLOOKUP($A15,TOCA_previous!$A$2:$AI$137,MATCH("RHWM 2016",TOCA_previous!$A$2:$AI$2,0),FALSE)*$F$2*TOCA_previous!C12),0),0), 0)</f>
        <v>0</v>
      </c>
      <c r="AW15" s="427">
        <f>VLOOKUP($A15,REP_previous!$A$1:$D$135,MATCH("FY "&amp;$F$1&amp; " Total Refund",REP_previous!$A$1:$D$1,0),0)</f>
        <v>2202.9794995883099</v>
      </c>
      <c r="AX15" s="398">
        <f>MIN(VLOOKUP($A15,TOCA_previous!$A$2:$AI$137,MATCH("TRL - NLSL - Exisiting Resource "&amp;$F$1,TOCA_previous!$A$2:$AI$2,0),FALSE)*$F$2,(VLOOKUP($A15,TOCA_previous!$A$2:$AI$137,MATCH("RHWM 2016",TOCA_previous!$A$2:$AI$2,0),FALSE)*$F$2))</f>
        <v>3460.8960000000002</v>
      </c>
      <c r="AY15" s="384">
        <f>SUM(L15:AI15)+(F15*RT1SC!$C$3*$F$2)</f>
        <v>3258.6430081431236</v>
      </c>
      <c r="AZ15" s="398">
        <f>VLOOKUP($A15,TOCA_previous!$A$2:$AI$137,MATCH("Above RHWM Not Served with LS "&amp;$F$1,TOCA_previous!$A$2:$AI$2,0),FALSE)*$F$2</f>
        <v>0</v>
      </c>
      <c r="BA15" s="206">
        <f t="shared" si="3"/>
        <v>-202.25299185687663</v>
      </c>
      <c r="BB15" s="399">
        <f>(VLOOKUP($A15,TOCA_previous!$A$2:$AI$137,MATCH("RHWM 2016",TOCA_previous!$A$2:$AI$2,0),FALSE)*$F$2) - $AX15</f>
        <v>0</v>
      </c>
      <c r="BC15" s="206">
        <f t="shared" si="4"/>
        <v>0</v>
      </c>
      <c r="BD15" s="400">
        <f>IF(BA15&lt;0,IF(AZ15&lt;ABS(BA15),MAX(0,ABS($BA15)-(AZ15)),0),0)</f>
        <v>202.25299185687663</v>
      </c>
      <c r="BE15" s="392">
        <f t="shared" si="6"/>
        <v>0</v>
      </c>
      <c r="BF15" s="399">
        <f t="shared" si="7"/>
        <v>202.25299185687663</v>
      </c>
      <c r="BG15" s="206">
        <f>VLOOKUP($A15,TOCA_current!$A$2:$AI$137,MATCH(BG$4,TOCA_current!$A$2:$AI$2,0),FALSE)</f>
        <v>5.63E-5</v>
      </c>
      <c r="BH15" s="206">
        <f>VLOOKUP($A15,TOCA_current!$A$2:$AI$137,MATCH(BH$4,TOCA_current!$A$2:$AI$2,0),FALSE)</f>
        <v>5.63E-5</v>
      </c>
      <c r="BI15" s="391">
        <f t="shared" si="8"/>
        <v>0</v>
      </c>
      <c r="BJ15" s="206">
        <f>VLOOKUP($A15,TOCA_current!A11:BG146,MATCH(BJ$4,TOCA_current!$A$2:$BG$2,0),FALSE)</f>
        <v>0</v>
      </c>
      <c r="BK15" s="206">
        <f t="shared" si="9"/>
        <v>0</v>
      </c>
      <c r="BL15" s="206">
        <f t="shared" si="10"/>
        <v>0</v>
      </c>
      <c r="BM15" s="381">
        <f>VLOOKUP($A15,IRD!$A$4:$G$139, 7, FALSE)</f>
        <v>0</v>
      </c>
      <c r="BN15" s="382">
        <f t="array" ref="BN15">IF($BI15=0, INDEX(LS_current!$D$4:$AY$139, MATCH('Staging Table'!$A15, LS_current!$B$4:$B$139, 0), MATCH(BN$4&amp;BN$5, LS_current!$D$2:$AY$2&amp;LS_current!$D$3:$AY$3, 0)),SUM(VLOOKUP($A15, LS_current!$B$4:$AY$139, LS_current!D$149, FALSE), VLOOKUP($A15, LS_current!$B$4:$AY$139,LS_current!D$149, FALSE))/2)</f>
        <v>-39.500187870547961</v>
      </c>
      <c r="BO15" s="382">
        <f t="array" ref="BO15">IF($BI15=0, INDEX(LS_current!$D$4:$AY$139, MATCH('Staging Table'!$A15, LS_current!$B$4:$B$139, 0), MATCH(BO$4&amp;BO$5, LS_current!$D$2:$AY$2&amp;LS_current!$D$3:$AY$3, 0)),SUM(VLOOKUP($A15, LS_current!$B$4:$AY$139, LS_current!E$149, FALSE), VLOOKUP($A15, LS_current!$B$4:$AY$139,LS_current!E$149, FALSE))/2)</f>
        <v>0.15162184801910428</v>
      </c>
      <c r="BP15" s="382">
        <f t="array" ref="BP15">IF($BI15=0, INDEX(LS_current!$D$4:$AY$139, MATCH('Staging Table'!$A15, LS_current!$B$4:$B$139, 0), MATCH(BP$4&amp;BP$5, LS_current!$D$2:$AY$2&amp;LS_current!$D$3:$AY$3, 0)),SUM(VLOOKUP($A15, LS_current!$B$4:$AY$139, LS_current!F$149, FALSE), VLOOKUP($A15, LS_current!$B$4:$AY$139,LS_current!F$149, FALSE))/2)</f>
        <v>-33.009937692537676</v>
      </c>
      <c r="BQ15" s="382">
        <f t="array" ref="BQ15">IF($BI15=0, INDEX(LS_current!$D$4:$AY$139, MATCH('Staging Table'!$A15, LS_current!$B$4:$B$139, 0), MATCH(BQ$4&amp;BQ$5, LS_current!$D$2:$AY$2&amp;LS_current!$D$3:$AY$3, 0)),SUM(VLOOKUP($A15, LS_current!$B$4:$AY$139, LS_current!G$149, FALSE), VLOOKUP($A15, LS_current!$B$4:$AY$139,LS_current!G$149, FALSE))/2)</f>
        <v>11.401785750990456</v>
      </c>
      <c r="BR15" s="382">
        <f t="array" ref="BR15">IF($BI15=0, INDEX(LS_current!$D$4:$AY$139, MATCH('Staging Table'!$A15, LS_current!$B$4:$B$139, 0), MATCH(BR$4&amp;BR$5, LS_current!$D$2:$AY$2&amp;LS_current!$D$3:$AY$3, 0)),SUM(VLOOKUP($A15, LS_current!$B$4:$AY$139, LS_current!H$149, FALSE), VLOOKUP($A15, LS_current!$B$4:$AY$139,LS_current!H$149, FALSE))/2)</f>
        <v>36.758202549152912</v>
      </c>
      <c r="BS15" s="382">
        <f t="array" ref="BS15">IF($BI15=0, INDEX(LS_current!$D$4:$AY$139, MATCH('Staging Table'!$A15, LS_current!$B$4:$B$139, 0), MATCH(BS$4&amp;BS$5, LS_current!$D$2:$AY$2&amp;LS_current!$D$3:$AY$3, 0)),SUM(VLOOKUP($A15, LS_current!$B$4:$AY$139, LS_current!I$149, FALSE), VLOOKUP($A15, LS_current!$B$4:$AY$139,LS_current!I$149, FALSE))/2)</f>
        <v>72.728651716931381</v>
      </c>
      <c r="BT15" s="382">
        <f t="array" ref="BT15">IF($BI15=0, INDEX(LS_current!$D$4:$AY$139, MATCH('Staging Table'!$A15, LS_current!$B$4:$B$139, 0), MATCH(BT$4&amp;BT$5, LS_current!$D$2:$AY$2&amp;LS_current!$D$3:$AY$3, 0)),SUM(VLOOKUP($A15, LS_current!$B$4:$AY$139, LS_current!J$149, FALSE), VLOOKUP($A15, LS_current!$B$4:$AY$139,LS_current!J$149, FALSE))/2)</f>
        <v>66.853193828957615</v>
      </c>
      <c r="BU15" s="382">
        <f t="array" ref="BU15">IF($BI15=0, INDEX(LS_current!$D$4:$AY$139, MATCH('Staging Table'!$A15, LS_current!$B$4:$B$139, 0), MATCH(BU$4&amp;BU$5, LS_current!$D$2:$AY$2&amp;LS_current!$D$3:$AY$3, 0)),SUM(VLOOKUP($A15, LS_current!$B$4:$AY$139, LS_current!K$149, FALSE), VLOOKUP($A15, LS_current!$B$4:$AY$139,LS_current!K$149, FALSE))/2)</f>
        <v>77.903312517534403</v>
      </c>
      <c r="BV15" s="382">
        <f t="array" ref="BV15">IF($BI15=0, INDEX(LS_current!$D$4:$AY$139, MATCH('Staging Table'!$A15, LS_current!$B$4:$B$139, 0), MATCH(BV$4&amp;BV$5, LS_current!$D$2:$AY$2&amp;LS_current!$D$3:$AY$3, 0)),SUM(VLOOKUP($A15, LS_current!$B$4:$AY$139, LS_current!L$149, FALSE), VLOOKUP($A15, LS_current!$B$4:$AY$139,LS_current!L$149, FALSE))/2)</f>
        <v>53.228885567974146</v>
      </c>
      <c r="BW15" s="382">
        <f t="array" ref="BW15">IF($BI15=0, INDEX(LS_current!$D$4:$AY$139, MATCH('Staging Table'!$A15, LS_current!$B$4:$B$139, 0), MATCH(BW$4&amp;BW$5, LS_current!$D$2:$AY$2&amp;LS_current!$D$3:$AY$3, 0)),SUM(VLOOKUP($A15, LS_current!$B$4:$AY$139, LS_current!M$149, FALSE), VLOOKUP($A15, LS_current!$B$4:$AY$139,LS_current!M$149, FALSE))/2)</f>
        <v>60.026111519722505</v>
      </c>
      <c r="BX15" s="382">
        <f t="array" ref="BX15">IF($BI15=0, INDEX(LS_current!$D$4:$AY$139, MATCH('Staging Table'!$A15, LS_current!$B$4:$B$139, 0), MATCH(BX$4&amp;BX$5, LS_current!$D$2:$AY$2&amp;LS_current!$D$3:$AY$3, 0)),SUM(VLOOKUP($A15, LS_current!$B$4:$AY$139, LS_current!N$149, FALSE), VLOOKUP($A15, LS_current!$B$4:$AY$139,LS_current!N$149, FALSE))/2)</f>
        <v>1.5757495869574427</v>
      </c>
      <c r="BY15" s="382">
        <f t="array" ref="BY15">IF($BI15=0, INDEX(LS_current!$D$4:$AY$139, MATCH('Staging Table'!$A15, LS_current!$B$4:$B$139, 0), MATCH(BY$4&amp;BY$5, LS_current!$D$2:$AY$2&amp;LS_current!$D$3:$AY$3, 0)),SUM(VLOOKUP($A15, LS_current!$B$4:$AY$139, LS_current!O$149, FALSE), VLOOKUP($A15, LS_current!$B$4:$AY$139,LS_current!O$149, FALSE))/2)</f>
        <v>19.642192200982251</v>
      </c>
      <c r="BZ15" s="382">
        <f t="array" ref="BZ15">IF($BI15=0, INDEX(LS_current!$D$4:$AY$139, MATCH('Staging Table'!$A15, LS_current!$B$4:$B$139, 0), MATCH(BZ$4&amp;BZ$5, LS_current!$D$2:$AY$2&amp;LS_current!$D$3:$AY$3, 0)),SUM(VLOOKUP($A15, LS_current!$B$4:$AY$139, LS_current!P$149, FALSE), VLOOKUP($A15, LS_current!$B$4:$AY$139,LS_current!P$149, FALSE))/2)</f>
        <v>-27.005258552592124</v>
      </c>
      <c r="CA15" s="382">
        <f t="array" ref="CA15">IF($BI15=0, INDEX(LS_current!$D$4:$AY$139, MATCH('Staging Table'!$A15, LS_current!$B$4:$B$139, 0), MATCH(CA$4&amp;CA$5, LS_current!$D$2:$AY$2&amp;LS_current!$D$3:$AY$3, 0)),SUM(VLOOKUP($A15, LS_current!$B$4:$AY$139, LS_current!Q$149, FALSE), VLOOKUP($A15, LS_current!$B$4:$AY$139,LS_current!Q$149, FALSE))/2)</f>
        <v>12.558798536060905</v>
      </c>
      <c r="CB15" s="382">
        <f t="array" ref="CB15">IF($BI15=0, INDEX(LS_current!$D$4:$AY$139, MATCH('Staging Table'!$A15, LS_current!$B$4:$B$139, 0), MATCH(CB$4&amp;CB$5, LS_current!$D$2:$AY$2&amp;LS_current!$D$3:$AY$3, 0)),SUM(VLOOKUP($A15, LS_current!$B$4:$AY$139, LS_current!R$149, FALSE), VLOOKUP($A15, LS_current!$B$4:$AY$139,LS_current!R$149, FALSE))/2)</f>
        <v>-117.22971843044674</v>
      </c>
      <c r="CC15" s="382">
        <f t="array" ref="CC15">IF($BI15=0, INDEX(LS_current!$D$4:$AY$139, MATCH('Staging Table'!$A15, LS_current!$B$4:$B$139, 0), MATCH(CC$4&amp;CC$5, LS_current!$D$2:$AY$2&amp;LS_current!$D$3:$AY$3, 0)),SUM(VLOOKUP($A15, LS_current!$B$4:$AY$139, LS_current!S$149, FALSE), VLOOKUP($A15, LS_current!$B$4:$AY$139,LS_current!S$149, FALSE))/2)</f>
        <v>-51.153952826253871</v>
      </c>
      <c r="CD15" s="382">
        <f t="array" ref="CD15">IF($BI15=0, INDEX(LS_current!$D$4:$AY$139, MATCH('Staging Table'!$A15, LS_current!$B$4:$B$139, 0), MATCH(CD$4&amp;CD$5, LS_current!$D$2:$AY$2&amp;LS_current!$D$3:$AY$3, 0)),SUM(VLOOKUP($A15, LS_current!$B$4:$AY$139, LS_current!T$149, FALSE), VLOOKUP($A15, LS_current!$B$4:$AY$139,LS_current!T$149, FALSE))/2)</f>
        <v>-73.324735671172888</v>
      </c>
      <c r="CE15" s="382">
        <f t="array" ref="CE15">IF($BI15=0, INDEX(LS_current!$D$4:$AY$139, MATCH('Staging Table'!$A15, LS_current!$B$4:$B$139, 0), MATCH(CE$4&amp;CE$5, LS_current!$D$2:$AY$2&amp;LS_current!$D$3:$AY$3, 0)),SUM(VLOOKUP($A15, LS_current!$B$4:$AY$139, LS_current!U$149, FALSE), VLOOKUP($A15, LS_current!$B$4:$AY$139,LS_current!U$149, FALSE))/2)</f>
        <v>-34.19828788182329</v>
      </c>
      <c r="CF15" s="382">
        <f t="array" ref="CF15">IF($BI15=0, INDEX(LS_current!$D$4:$AY$139, MATCH('Staging Table'!$A15, LS_current!$B$4:$B$139, 0), MATCH(CF$4&amp;CF$5, LS_current!$D$2:$AY$2&amp;LS_current!$D$3:$AY$3, 0)),SUM(VLOOKUP($A15, LS_current!$B$4:$AY$139, LS_current!V$149, FALSE), VLOOKUP($A15, LS_current!$B$4:$AY$139,LS_current!V$149, FALSE))/2)</f>
        <v>-37.946486878185254</v>
      </c>
      <c r="CG15" s="382">
        <f t="array" ref="CG15">IF($BI15=0, INDEX(LS_current!$D$4:$AY$139, MATCH('Staging Table'!$A15, LS_current!$B$4:$B$139, 0), MATCH(CG$4&amp;CG$5, LS_current!$D$2:$AY$2&amp;LS_current!$D$3:$AY$3, 0)),SUM(VLOOKUP($A15, LS_current!$B$4:$AY$139, LS_current!W$149, FALSE), VLOOKUP($A15, LS_current!$B$4:$AY$139,LS_current!W$149, FALSE))/2)</f>
        <v>-4.6684059376374023</v>
      </c>
      <c r="CH15" s="382">
        <f t="array" ref="CH15">IF($BI15=0, INDEX(LS_current!$D$4:$AY$139, MATCH('Staging Table'!$A15, LS_current!$B$4:$B$139, 0), MATCH(CH$4&amp;CH$5, LS_current!$D$2:$AY$2&amp;LS_current!$D$3:$AY$3, 0)),SUM(VLOOKUP($A15, LS_current!$B$4:$AY$139, LS_current!X$149, FALSE), VLOOKUP($A15, LS_current!$B$4:$AY$139,LS_current!X$149, FALSE))/2)</f>
        <v>-60.83778393089932</v>
      </c>
      <c r="CI15" s="382">
        <f t="array" ref="CI15">IF($BI15=0, INDEX(LS_current!$D$4:$AY$139, MATCH('Staging Table'!$A15, LS_current!$B$4:$B$139, 0), MATCH(CI$4&amp;CI$5, LS_current!$D$2:$AY$2&amp;LS_current!$D$3:$AY$3, 0)),SUM(VLOOKUP($A15, LS_current!$B$4:$AY$139, LS_current!Y$149, FALSE), VLOOKUP($A15, LS_current!$B$4:$AY$139,LS_current!Y$149, FALSE))/2)</f>
        <v>-25.809767676975596</v>
      </c>
      <c r="CJ15" s="382">
        <f t="array" ref="CJ15">IF($BI15=0, INDEX(LS_current!$D$4:$AY$139, MATCH('Staging Table'!$A15, LS_current!$B$4:$B$139, 0), MATCH(CJ$4&amp;CJ$5, LS_current!$D$2:$AY$2&amp;LS_current!$D$3:$AY$3, 0)),SUM(VLOOKUP($A15, LS_current!$B$4:$AY$139, LS_current!Z$149, FALSE), VLOOKUP($A15, LS_current!$B$4:$AY$139,LS_current!Z$149, FALSE))/2)</f>
        <v>-57.430931394964333</v>
      </c>
      <c r="CK15" s="382">
        <f t="array" ref="CK15">IF($BI15=0, INDEX(LS_current!$D$4:$AY$139, MATCH('Staging Table'!$A15, LS_current!$B$4:$B$139, 0), MATCH(CK$4&amp;CK$5, LS_current!$D$2:$AY$2&amp;LS_current!$D$3:$AY$3, 0)),SUM(VLOOKUP($A15, LS_current!$B$4:$AY$139, LS_current!AA$149, FALSE), VLOOKUP($A15, LS_current!$B$4:$AY$139,LS_current!AA$149, FALSE))/2)</f>
        <v>-17.18470995778749</v>
      </c>
      <c r="CL15" s="384">
        <f t="array" ref="CL15">INDEX(Demand_current!$D$4:$AY$138, MATCH($A15, Demand_current!$B$4:$B$138, 0), MATCH(CL$4&amp;CL$5,Demand_current!$D$2:$AY$2&amp;Demand_current!$D$3:$AY$3, 0))/1000</f>
        <v>0.12221874999999999</v>
      </c>
      <c r="CM15" s="384">
        <f t="array" ref="CM15">INDEX(Demand_current!$D$4:$AY$138, MATCH($A15, Demand_current!$B$4:$B$138, 0), MATCH(CM$4&amp;CM$5,Demand_current!$D$2:$AY$2&amp;Demand_current!$D$3:$AY$3, 0))/1000</f>
        <v>0.11457250000000002</v>
      </c>
      <c r="CN15" s="384">
        <f t="array" ref="CN15">INDEX(Demand_current!$D$4:$AY$138, MATCH($A15, Demand_current!$B$4:$B$138, 0), MATCH(CN$4&amp;CN$5,Demand_current!$D$2:$AY$2&amp;Demand_current!$D$3:$AY$3, 0))/1000</f>
        <v>0.27409499999999987</v>
      </c>
      <c r="CO15" s="384">
        <f t="array" ref="CO15">INDEX(Demand_current!$D$4:$AY$138, MATCH($A15, Demand_current!$B$4:$B$138, 0), MATCH(CO$4&amp;CO$5,Demand_current!$D$2:$AY$2&amp;Demand_current!$D$3:$AY$3, 0))/1000</f>
        <v>0.26127163461538455</v>
      </c>
      <c r="CP15" s="384">
        <f t="array" ref="CP15">INDEX(Demand_current!$D$4:$AY$138, MATCH($A15, Demand_current!$B$4:$B$138, 0), MATCH(CP$4&amp;CP$5,Demand_current!$D$2:$AY$2&amp;Demand_current!$D$3:$AY$3, 0))/1000</f>
        <v>0.12496874999999993</v>
      </c>
      <c r="CQ15" s="384">
        <f t="array" ref="CQ15">INDEX(Demand_current!$D$4:$AY$138, MATCH($A15, Demand_current!$B$4:$B$138, 0), MATCH(CQ$4&amp;CQ$5,Demand_current!$D$2:$AY$2&amp;Demand_current!$D$3:$AY$3, 0))/1000</f>
        <v>0.17204398148148148</v>
      </c>
      <c r="CR15" s="384">
        <f t="array" ref="CR15">INDEX(Demand_current!$D$4:$AY$138, MATCH($A15, Demand_current!$B$4:$B$138, 0), MATCH(CR$4&amp;CR$5,Demand_current!$D$2:$AY$2&amp;Demand_current!$D$3:$AY$3, 0))/1000</f>
        <v>1.0425000000000073E-2</v>
      </c>
      <c r="CS15" s="384">
        <f t="array" ref="CS15">INDEX(Demand_current!$D$4:$AY$138, MATCH($A15, Demand_current!$B$4:$B$138, 0), MATCH(CS$4&amp;CS$5,Demand_current!$D$2:$AY$2&amp;Demand_current!$D$3:$AY$3, 0))/1000</f>
        <v>4.2151442307692355E-2</v>
      </c>
      <c r="CT15" s="384">
        <f t="array" ref="CT15">INDEX(Demand_current!$D$4:$AY$138, MATCH($A15, Demand_current!$B$4:$B$138, 0), MATCH(CT$4&amp;CT$5,Demand_current!$D$2:$AY$2&amp;Demand_current!$D$3:$AY$3, 0))/1000</f>
        <v>4.5468749999999974E-2</v>
      </c>
      <c r="CU15" s="384">
        <f t="array" ref="CU15">INDEX(Demand_current!$D$4:$AY$138, MATCH($A15, Demand_current!$B$4:$B$138, 0), MATCH(CU$4&amp;CU$5,Demand_current!$D$2:$AY$2&amp;Demand_current!$D$3:$AY$3, 0))/1000</f>
        <v>7.594500000000004E-2</v>
      </c>
      <c r="CV15" s="384">
        <f t="array" ref="CV15">INDEX(Demand_current!$D$4:$AY$138, MATCH($A15, Demand_current!$B$4:$B$138, 0), MATCH(CV$4&amp;CV$5,Demand_current!$D$2:$AY$2&amp;Demand_current!$D$3:$AY$3, 0))/1000</f>
        <v>7.5824074074074099E-2</v>
      </c>
      <c r="CW15" s="384">
        <f t="array" ref="CW15">INDEX(Demand_current!$D$4:$AY$138, MATCH($A15, Demand_current!$B$4:$B$138, 0), MATCH(CW$4&amp;CW$5,Demand_current!$D$2:$AY$2&amp;Demand_current!$D$3:$AY$3, 0))/1000</f>
        <v>0</v>
      </c>
      <c r="CX15" s="384">
        <f>IF(D15=0,IF(C15=0,MAX(0,DA15 - (VLOOKUP($A15,TOCA_current!$A$2:$AI$137,MATCH("RHWM 2018",TOCA_current!$A$2:$AI$2,0),FALSE)*$BH$2)), 0),0)</f>
        <v>0</v>
      </c>
      <c r="CY15" s="427">
        <f>VLOOKUP($A15,REP_current!$A$1:$D$135,MATCH("FY "&amp;$BH$1&amp; " Total Refund",REP_current!$A$1:$D$1,0),0)</f>
        <v>2233.2709507485338</v>
      </c>
      <c r="CZ15" s="432">
        <f>MIN(VLOOKUP($A15,TOCA_current!$A$2:$AI$137,MATCH("TRL - NLSL - Existing Resource "&amp;$BH$1,TOCA_current!$A$2:$AI$2,0),FALSE)*$BH$2, VLOOKUP($A15,TOCA_current!$A$2:$AI$137,MATCH("RHWM 2018",TOCA_current!$A$2:$AI$2,0),FALSE)*$BH$2)</f>
        <v>3425.1600000000003</v>
      </c>
      <c r="DA15" s="397">
        <f>SUM(BN15:CK15)+(BH15*RT1SC!$C$4*$BH$2)</f>
        <v>3258.6430499694588</v>
      </c>
      <c r="DB15" s="432">
        <f>VLOOKUP($A15,TOCA_current!$A$2:$AI$137,MATCH("Above RHWM Not Served with LS "&amp;$BH$1,TOCA_current!$A$2:$AI$2,0),FALSE)*$BH$2</f>
        <v>0</v>
      </c>
      <c r="DC15" s="401">
        <f t="shared" si="11"/>
        <v>-166.51695003054147</v>
      </c>
      <c r="DD15" s="397">
        <f>(VLOOKUP($A15,TOCA_current!$A$2:$AI$137,MATCH("RHWM 2018",TOCA_current!$A$2:$AI$2,0),FALSE)*$BH$2) - $CZ15</f>
        <v>8.7599999999997635</v>
      </c>
      <c r="DE15" s="397">
        <f t="shared" si="12"/>
        <v>0</v>
      </c>
      <c r="DF15" s="397">
        <f t="shared" si="13"/>
        <v>166.51695003054147</v>
      </c>
      <c r="DG15" s="397">
        <f t="shared" si="14"/>
        <v>0</v>
      </c>
      <c r="DH15" s="397">
        <f t="shared" si="15"/>
        <v>166.51695003054147</v>
      </c>
    </row>
    <row r="16" spans="1:112">
      <c r="A16" s="274">
        <v>10057</v>
      </c>
      <c r="B16" s="275" t="s">
        <v>17</v>
      </c>
      <c r="C16" s="397">
        <v>0</v>
      </c>
      <c r="D16" s="397">
        <v>0</v>
      </c>
      <c r="E16" s="205">
        <f>VLOOKUP($A16,TOCA_previous!$A$2:$AI$137,MATCH(E$4,TOCA_previous!$A$2:$AI$2,0),FALSE)</f>
        <v>2.9876E-3</v>
      </c>
      <c r="F16" s="206">
        <f>VLOOKUP($A16,TOCA_previous!$A$2:$AI$137,MATCH(F$4,TOCA_previous!$A$2:$AI$2,0),FALSE)</f>
        <v>2.9876E-3</v>
      </c>
      <c r="G16" s="206">
        <f t="shared" si="0"/>
        <v>0</v>
      </c>
      <c r="H16" s="206">
        <f>VLOOKUP($A16,TOCA_previous!$A$2:$AI$137,MATCH(H$4,TOCA_previous!$A$2:$AI$2,0),FALSE)</f>
        <v>0</v>
      </c>
      <c r="I16" s="206">
        <f t="shared" si="1"/>
        <v>0</v>
      </c>
      <c r="J16" s="206">
        <f t="shared" si="2"/>
        <v>0</v>
      </c>
      <c r="K16" s="381">
        <f>VLOOKUP(A16, IRD!$A$5:$C$139, 3, FALSE)</f>
        <v>0</v>
      </c>
      <c r="L16" s="382">
        <f t="array" ref="L16">IF($G16=0, INDEX(LS_previous!$D$4:$AY$138, MATCH('Staging Table'!$A16, LS_previous!$B$4:$B$138, 0), MATCH(L$4&amp;L$5, LS_previous!$D$2:$AY$2&amp;LS_previous!$D$3:$AY$3, 0)),SUM(VLOOKUP($A16, LS_previous!$B$4:$AY$138, LS_previous!D$149, FALSE), VLOOKUP('Staging Table'!$A16, LS_previous!$B$4:$AY$138,LS_previous!AB$149, FALSE))/2)</f>
        <v>-491.13451415696545</v>
      </c>
      <c r="M16" s="382">
        <f t="array" ref="M16">IF($G16=0, INDEX(LS_previous!$D$4:$AY$138, MATCH('Staging Table'!$A16, LS_previous!$B$4:$B$138, 0), MATCH(M$4&amp;M$5, LS_previous!$D$2:$AY$2&amp;LS_previous!$D$3:$AY$3, 0)),SUM(VLOOKUP($A16, LS_previous!$B$4:$AY$138, LS_previous!E$149, FALSE), VLOOKUP('Staging Table'!$A16, LS_previous!$B$4:$AY$138,LS_previous!AC$149, FALSE))/2)</f>
        <v>-221.21928906232097</v>
      </c>
      <c r="N16" s="382">
        <f t="array" ref="N16">IF($G16=0, INDEX(LS_previous!$D$4:$AY$138, MATCH('Staging Table'!$A16, LS_previous!$B$4:$B$138, 0), MATCH(N$4&amp;N$5, LS_previous!$D$2:$AY$2&amp;LS_previous!$D$3:$AY$3, 0)),SUM(VLOOKUP($A16, LS_previous!$B$4:$AY$138, LS_previous!F$149, FALSE), VLOOKUP('Staging Table'!$A16, LS_previous!$B$4:$AY$138,LS_previous!AD$149, FALSE))/2)</f>
        <v>-606.98005290682158</v>
      </c>
      <c r="O16" s="382">
        <f t="array" ref="O16">IF($G16=0, INDEX(LS_previous!$D$4:$AY$138, MATCH('Staging Table'!$A16, LS_previous!$B$4:$B$138, 0), MATCH(O$4&amp;O$5, LS_previous!$D$2:$AY$2&amp;LS_previous!$D$3:$AY$3, 0)),SUM(VLOOKUP($A16, LS_previous!$B$4:$AY$138, LS_previous!G$149, FALSE), VLOOKUP('Staging Table'!$A16, LS_previous!$B$4:$AY$138,LS_previous!AE$149, FALSE))/2)</f>
        <v>-346.16002241397473</v>
      </c>
      <c r="P16" s="382">
        <f t="array" ref="P16">IF($G16=0, INDEX(LS_previous!$D$4:$AY$138, MATCH('Staging Table'!$A16, LS_previous!$B$4:$B$138, 0), MATCH(P$4&amp;P$5, LS_previous!$D$2:$AY$2&amp;LS_previous!$D$3:$AY$3, 0)),SUM(VLOOKUP($A16, LS_previous!$B$4:$AY$138, LS_previous!H$149, FALSE), VLOOKUP('Staging Table'!$A16, LS_previous!$B$4:$AY$138,LS_previous!AF$149, FALSE))/2)</f>
        <v>353.7768466628313</v>
      </c>
      <c r="Q16" s="382">
        <f t="array" ref="Q16">IF($G16=0, INDEX(LS_previous!$D$4:$AY$138, MATCH('Staging Table'!$A16, LS_previous!$B$4:$B$138, 0), MATCH(Q$4&amp;Q$5, LS_previous!$D$2:$AY$2&amp;LS_previous!$D$3:$AY$3, 0)),SUM(VLOOKUP($A16, LS_previous!$B$4:$AY$138, LS_previous!I$149, FALSE), VLOOKUP('Staging Table'!$A16, LS_previous!$B$4:$AY$138,LS_previous!AG$149, FALSE))/2)</f>
        <v>701.92662939124875</v>
      </c>
      <c r="R16" s="382">
        <f t="array" ref="R16">IF($G16=0, INDEX(LS_previous!$D$4:$AY$138, MATCH('Staging Table'!$A16, LS_previous!$B$4:$B$138, 0), MATCH(R$4&amp;R$5, LS_previous!$D$2:$AY$2&amp;LS_previous!$D$3:$AY$3, 0)),SUM(VLOOKUP($A16, LS_previous!$B$4:$AY$138, LS_previous!J$149, FALSE), VLOOKUP('Staging Table'!$A16, LS_previous!$B$4:$AY$138,LS_previous!AH$149, FALSE))/2)</f>
        <v>2397.8059914048172</v>
      </c>
      <c r="S16" s="382">
        <f t="array" ref="S16">IF($G16=0, INDEX(LS_previous!$D$4:$AY$138, MATCH('Staging Table'!$A16, LS_previous!$B$4:$B$138, 0), MATCH(S$4&amp;S$5, LS_previous!$D$2:$AY$2&amp;LS_previous!$D$3:$AY$3, 0)),SUM(VLOOKUP($A16, LS_previous!$B$4:$AY$138, LS_previous!K$149, FALSE), VLOOKUP('Staging Table'!$A16, LS_previous!$B$4:$AY$138,LS_previous!AI$149, FALSE))/2)</f>
        <v>1256.8206556134892</v>
      </c>
      <c r="T16" s="382">
        <f t="array" ref="T16">IF($G16=0, INDEX(LS_previous!$D$4:$AY$138, MATCH('Staging Table'!$A16, LS_previous!$B$4:$B$138, 0), MATCH(T$4&amp;T$5, LS_previous!$D$2:$AY$2&amp;LS_previous!$D$3:$AY$3, 0)),SUM(VLOOKUP($A16, LS_previous!$B$4:$AY$138, LS_previous!L$149, FALSE), VLOOKUP('Staging Table'!$A16, LS_previous!$B$4:$AY$138,LS_previous!AJ$149, FALSE))/2)</f>
        <v>1414.1809703937079</v>
      </c>
      <c r="U16" s="382">
        <f t="array" ref="U16">IF($G16=0, INDEX(LS_previous!$D$4:$AY$138, MATCH('Staging Table'!$A16, LS_previous!$B$4:$B$138, 0), MATCH(U$4&amp;U$5, LS_previous!$D$2:$AY$2&amp;LS_previous!$D$3:$AY$3, 0)),SUM(VLOOKUP($A16, LS_previous!$B$4:$AY$138, LS_previous!M$149, FALSE), VLOOKUP('Staging Table'!$A16, LS_previous!$B$4:$AY$138,LS_previous!AK$149, FALSE))/2)</f>
        <v>598.03429195302942</v>
      </c>
      <c r="V16" s="382">
        <f t="array" ref="V16">IF($G16=0, INDEX(LS_previous!$D$4:$AY$138, MATCH('Staging Table'!$A16, LS_previous!$B$4:$B$138, 0), MATCH(V$4&amp;V$5, LS_previous!$D$2:$AY$2&amp;LS_previous!$D$3:$AY$3, 0)),SUM(VLOOKUP($A16, LS_previous!$B$4:$AY$138, LS_previous!N$149, FALSE), VLOOKUP('Staging Table'!$A16, LS_previous!$B$4:$AY$138,LS_previous!AL$149, FALSE))/2)</f>
        <v>46.868655882877647</v>
      </c>
      <c r="W16" s="382">
        <f t="array" ref="W16">IF($G16=0, INDEX(LS_previous!$D$4:$AY$138, MATCH('Staging Table'!$A16, LS_previous!$B$4:$B$138, 0), MATCH(W$4&amp;W$5, LS_previous!$D$2:$AY$2&amp;LS_previous!$D$3:$AY$3, 0)),SUM(VLOOKUP($A16, LS_previous!$B$4:$AY$138, LS_previous!O$149, FALSE), VLOOKUP('Staging Table'!$A16, LS_previous!$B$4:$AY$138,LS_previous!AM$149, FALSE))/2)</f>
        <v>-588.87878667006862</v>
      </c>
      <c r="X16" s="382">
        <f t="array" ref="X16">IF($G16=0, INDEX(LS_previous!$D$4:$AY$138, MATCH('Staging Table'!$A16, LS_previous!$B$4:$B$138, 0), MATCH(X$4&amp;X$5, LS_previous!$D$2:$AY$2&amp;LS_previous!$D$3:$AY$3, 0)),SUM(VLOOKUP($A16, LS_previous!$B$4:$AY$138, LS_previous!P$149, FALSE), VLOOKUP('Staging Table'!$A16, LS_previous!$B$4:$AY$138,LS_previous!AN$149, FALSE))/2)</f>
        <v>630.0959643245742</v>
      </c>
      <c r="Y16" s="382">
        <f t="array" ref="Y16">IF($G16=0, INDEX(LS_previous!$D$4:$AY$138, MATCH('Staging Table'!$A16, LS_previous!$B$4:$B$138, 0), MATCH(Y$4&amp;Y$5, LS_previous!$D$2:$AY$2&amp;LS_previous!$D$3:$AY$3, 0)),SUM(VLOOKUP($A16, LS_previous!$B$4:$AY$138, LS_previous!Q$149, FALSE), VLOOKUP('Staging Table'!$A16, LS_previous!$B$4:$AY$138,LS_previous!AO$149, FALSE))/2)</f>
        <v>292.17927575837984</v>
      </c>
      <c r="Z16" s="382">
        <f t="array" ref="Z16">IF($G16=0, INDEX(LS_previous!$D$4:$AY$138, MATCH('Staging Table'!$A16, LS_previous!$B$4:$B$138, 0), MATCH(Z$4&amp;Z$5, LS_previous!$D$2:$AY$2&amp;LS_previous!$D$3:$AY$3, 0)),SUM(VLOOKUP($A16, LS_previous!$B$4:$AY$138, LS_previous!R$149, FALSE), VLOOKUP('Staging Table'!$A16, LS_previous!$B$4:$AY$138,LS_previous!AP$149, FALSE))/2)</f>
        <v>-4820.9299150244578</v>
      </c>
      <c r="AA16" s="382">
        <f t="array" ref="AA16">IF($G16=0, INDEX(LS_previous!$D$4:$AY$138, MATCH('Staging Table'!$A16, LS_previous!$B$4:$B$138, 0), MATCH(AA$4&amp;AA$5, LS_previous!$D$2:$AY$2&amp;LS_previous!$D$3:$AY$3, 0)),SUM(VLOOKUP($A16, LS_previous!$B$4:$AY$138, LS_previous!S$149, FALSE), VLOOKUP('Staging Table'!$A16, LS_previous!$B$4:$AY$138,LS_previous!AQ$149, FALSE))/2)</f>
        <v>-2537.408197562384</v>
      </c>
      <c r="AB16" s="382">
        <f t="array" ref="AB16">IF($G16=0, INDEX(LS_previous!$D$4:$AY$138, MATCH('Staging Table'!$A16, LS_previous!$B$4:$B$138, 0), MATCH(AB$4&amp;AB$5, LS_previous!$D$2:$AY$2&amp;LS_previous!$D$3:$AY$3, 0)),SUM(VLOOKUP($A16, LS_previous!$B$4:$AY$138, LS_previous!T$149, FALSE), VLOOKUP('Staging Table'!$A16, LS_previous!$B$4:$AY$138,LS_previous!AR$149, FALSE))/2)</f>
        <v>-2467.7903480270843</v>
      </c>
      <c r="AC16" s="382">
        <f t="array" ref="AC16">IF($G16=0, INDEX(LS_previous!$D$4:$AY$138, MATCH('Staging Table'!$A16, LS_previous!$B$4:$B$138, 0), MATCH(AC$4&amp;AC$5, LS_previous!$D$2:$AY$2&amp;LS_previous!$D$3:$AY$3, 0)),SUM(VLOOKUP($A16, LS_previous!$B$4:$AY$138, LS_previous!U$149, FALSE), VLOOKUP('Staging Table'!$A16, LS_previous!$B$4:$AY$138,LS_previous!AS$149, FALSE))/2)</f>
        <v>-1781.2175069047498</v>
      </c>
      <c r="AD16" s="382">
        <f t="array" ref="AD16">IF($G16=0, INDEX(LS_previous!$D$4:$AY$138, MATCH('Staging Table'!$A16, LS_previous!$B$4:$B$138, 0), MATCH(AD$4&amp;AD$5, LS_previous!$D$2:$AY$2&amp;LS_previous!$D$3:$AY$3, 0)),SUM(VLOOKUP($A16, LS_previous!$B$4:$AY$138, LS_previous!V$149, FALSE), VLOOKUP('Staging Table'!$A16, LS_previous!$B$4:$AY$138,LS_previous!AT$149, FALSE))/2)</f>
        <v>-162.37207061129084</v>
      </c>
      <c r="AE16" s="382">
        <f t="array" ref="AE16">IF($G16=0, INDEX(LS_previous!$D$4:$AY$138, MATCH('Staging Table'!$A16, LS_previous!$B$4:$B$138, 0), MATCH(AE$4&amp;AE$5, LS_previous!$D$2:$AY$2&amp;LS_previous!$D$3:$AY$3, 0)),SUM(VLOOKUP($A16, LS_previous!$B$4:$AY$138, LS_previous!W$149, FALSE), VLOOKUP('Staging Table'!$A16, LS_previous!$B$4:$AY$138,LS_previous!AU$149, FALSE))/2)</f>
        <v>486.86126983152462</v>
      </c>
      <c r="AF16" s="382">
        <f t="array" ref="AF16">IF($G16=0, INDEX(LS_previous!$D$4:$AY$138, MATCH('Staging Table'!$A16, LS_previous!$B$4:$B$138, 0), MATCH(AF$4&amp;AF$5, LS_previous!$D$2:$AY$2&amp;LS_previous!$D$3:$AY$3, 0)),SUM(VLOOKUP($A16, LS_previous!$B$4:$AY$138, LS_previous!X$149, FALSE), VLOOKUP('Staging Table'!$A16, LS_previous!$B$4:$AY$138,LS_previous!AV$149, FALSE))/2)</f>
        <v>-576.09440017030647</v>
      </c>
      <c r="AG16" s="382">
        <f t="array" ref="AG16">IF($G16=0, INDEX(LS_previous!$D$4:$AY$138, MATCH('Staging Table'!$A16, LS_previous!$B$4:$B$138, 0), MATCH(AG$4&amp;AG$5, LS_previous!$D$2:$AY$2&amp;LS_previous!$D$3:$AY$3, 0)),SUM(VLOOKUP($A16, LS_previous!$B$4:$AY$138, LS_previous!Y$149, FALSE), VLOOKUP('Staging Table'!$A16, LS_previous!$B$4:$AY$138,LS_previous!AW$149, FALSE))/2)</f>
        <v>-441.05749870352429</v>
      </c>
      <c r="AH16" s="382">
        <f t="array" ref="AH16">IF($G16=0, INDEX(LS_previous!$D$4:$AY$138, MATCH('Staging Table'!$A16, LS_previous!$B$4:$B$138, 0), MATCH(AH$4&amp;AH$5, LS_previous!$D$2:$AY$2&amp;LS_previous!$D$3:$AY$3, 0)),SUM(VLOOKUP($A16, LS_previous!$B$4:$AY$138, LS_previous!Z$149, FALSE), VLOOKUP('Staging Table'!$A16, LS_previous!$B$4:$AY$138,LS_previous!AX$149, FALSE))/2)</f>
        <v>-832.19627610619682</v>
      </c>
      <c r="AI16" s="382">
        <f t="array" ref="AI16">IF($G16=0, INDEX(LS_previous!$D$4:$AY$138, MATCH('Staging Table'!$A16, LS_previous!$B$4:$B$138, 0), MATCH(AI$4&amp;AI$5, LS_previous!$D$2:$AY$2&amp;LS_previous!$D$3:$AY$3, 0)),SUM(VLOOKUP($A16, LS_previous!$B$4:$AY$138, LS_previous!AA$149, FALSE), VLOOKUP('Staging Table'!$A16, LS_previous!$B$4:$AY$138,LS_previous!AY$149, FALSE))/2)</f>
        <v>-503.68037040581476</v>
      </c>
      <c r="AJ16" s="384">
        <f t="array" ref="AJ16">INDEX(Demand_previous!$D$4:$AY$138, MATCH('Staging Table'!$A16, Demand_previous!$B$4:$B$138, 0), MATCH(AJ$4&amp;AJ$5,Demand_previous!$D$2:$AY$2&amp;Demand_previous!$D$3:$AY$3, 0))/1000</f>
        <v>2.2978055555555521</v>
      </c>
      <c r="AK16" s="384">
        <f t="array" ref="AK16">INDEX(Demand_previous!$D$4:$AY$138, MATCH('Staging Table'!$A16, Demand_previous!$B$4:$B$138, 0), MATCH(AK$4&amp;AK$5,Demand_previous!$D$2:$AY$2&amp;Demand_previous!$D$3:$AY$3, 0))/1000</f>
        <v>0</v>
      </c>
      <c r="AL16" s="384">
        <f t="array" ref="AL16">INDEX(Demand_previous!$D$4:$AY$138, MATCH('Staging Table'!$A16, Demand_previous!$B$4:$B$138, 0), MATCH(AL$4&amp;AL$5,Demand_previous!$D$2:$AY$2&amp;Demand_previous!$D$3:$AY$3, 0))/1000</f>
        <v>5.1455625000000005</v>
      </c>
      <c r="AM16" s="384">
        <f t="array" ref="AM16">INDEX(Demand_previous!$D$4:$AY$138, MATCH('Staging Table'!$A16, Demand_previous!$B$4:$B$138, 0), MATCH(AM$4&amp;AM$5,Demand_previous!$D$2:$AY$2&amp;Demand_previous!$D$3:$AY$3, 0))/1000</f>
        <v>2.9130974999999966</v>
      </c>
      <c r="AN16" s="384">
        <f t="array" ref="AN16">INDEX(Demand_previous!$D$4:$AY$138, MATCH('Staging Table'!$A16, Demand_previous!$B$4:$B$138, 0), MATCH(AN$4&amp;AN$5,Demand_previous!$D$2:$AY$2&amp;Demand_previous!$D$3:$AY$3, 0))/1000</f>
        <v>3.5980325000000022</v>
      </c>
      <c r="AO16" s="384">
        <f t="array" ref="AO16">INDEX(Demand_previous!$D$4:$AY$138, MATCH('Staging Table'!$A16, Demand_previous!$B$4:$B$138, 0), MATCH(AO$4&amp;AO$5,Demand_previous!$D$2:$AY$2&amp;Demand_previous!$D$3:$AY$3, 0))/1000</f>
        <v>5.2312824074074049</v>
      </c>
      <c r="AP16" s="384">
        <f t="array" ref="AP16">INDEX(Demand_previous!$D$4:$AY$138, MATCH('Staging Table'!$A16, Demand_previous!$B$4:$B$138, 0), MATCH(AP$4&amp;AP$5,Demand_previous!$D$2:$AY$2&amp;Demand_previous!$D$3:$AY$3, 0))/1000</f>
        <v>4.4925312500000025</v>
      </c>
      <c r="AQ16" s="384">
        <f t="array" ref="AQ16">INDEX(Demand_previous!$D$4:$AY$138, MATCH('Staging Table'!$A16, Demand_previous!$B$4:$B$138, 0), MATCH(AQ$4&amp;AQ$5,Demand_previous!$D$2:$AY$2&amp;Demand_previous!$D$3:$AY$3, 0))/1000</f>
        <v>0</v>
      </c>
      <c r="AR16" s="384">
        <f t="array" ref="AR16">INDEX(Demand_previous!$D$4:$AY$138, MATCH('Staging Table'!$A16, Demand_previous!$B$4:$B$138, 0), MATCH(AR$4&amp;AR$5,Demand_previous!$D$2:$AY$2&amp;Demand_previous!$D$3:$AY$3, 0))/1000</f>
        <v>1.5895913461538473</v>
      </c>
      <c r="AS16" s="384">
        <f t="array" ref="AS16">INDEX(Demand_previous!$D$4:$AY$138, MATCH('Staging Table'!$A16, Demand_previous!$B$4:$B$138, 0), MATCH(AS$4&amp;AS$5,Demand_previous!$D$2:$AY$2&amp;Demand_previous!$D$3:$AY$3, 0))/1000</f>
        <v>3.5062025000000001</v>
      </c>
      <c r="AT16" s="384">
        <f t="array" ref="AT16">INDEX(Demand_previous!$D$4:$AY$138, MATCH('Staging Table'!$A16, Demand_previous!$B$4:$B$138, 0), MATCH(AT$4&amp;AT$5,Demand_previous!$D$2:$AY$2&amp;Demand_previous!$D$3:$AY$3, 0))/1000</f>
        <v>3.8397685185185164</v>
      </c>
      <c r="AU16" s="384">
        <f t="array" ref="AU16">INDEX(Demand_previous!$D$4:$AY$138, MATCH('Staging Table'!$A16, Demand_previous!$B$4:$B$138, 0), MATCH(AU$4&amp;AU$5,Demand_previous!$D$2:$AY$2&amp;Demand_previous!$D$3:$AY$3, 0))/1000</f>
        <v>5.7072349999999972</v>
      </c>
      <c r="AV16" s="384">
        <f>IF($D16=0,IF(C16=0, MAX(AY16 - (VLOOKUP($A16,TOCA_previous!$A$2:$AI$137,MATCH("RHWM 2016",TOCA_previous!$A$2:$AI$2,0),FALSE)*$F$2*TOCA_previous!C13),0),0), 0)</f>
        <v>0</v>
      </c>
      <c r="AW16" s="427">
        <f>VLOOKUP($A16,REP_previous!$A$1:$D$135,MATCH("FY "&amp;$F$1&amp; " Total Refund",REP_previous!$A$1:$D$1,0),0)</f>
        <v>278213.73557358782</v>
      </c>
      <c r="AX16" s="398">
        <f>MIN(VLOOKUP($A16,TOCA_previous!$A$2:$AI$137,MATCH("TRL - NLSL - Exisiting Resource "&amp;$F$1,TOCA_previous!$A$2:$AI$2,0),FALSE)*$F$2,(VLOOKUP($A16,TOCA_previous!$A$2:$AI$137,MATCH("RHWM 2016",TOCA_previous!$A$2:$AI$2,0),FALSE)*$F$2))</f>
        <v>183260.592</v>
      </c>
      <c r="AY16" s="384">
        <f>SUM(L16:AI16)+(F16*RT1SC!$C$3*$F$2)</f>
        <v>175059.07843135452</v>
      </c>
      <c r="AZ16" s="398">
        <f>VLOOKUP($A16,TOCA_previous!$A$2:$AI$137,MATCH("Above RHWM Not Served with LS "&amp;$F$1,TOCA_previous!$A$2:$AI$2,0),FALSE)*$F$2</f>
        <v>0</v>
      </c>
      <c r="BA16" s="206">
        <f t="shared" si="3"/>
        <v>-8201.5135686454887</v>
      </c>
      <c r="BB16" s="399">
        <f>(VLOOKUP($A16,TOCA_previous!$A$2:$AI$137,MATCH("RHWM 2016",TOCA_previous!$A$2:$AI$2,0),FALSE)*$F$2) - $AX16</f>
        <v>0</v>
      </c>
      <c r="BC16" s="206">
        <f t="shared" si="4"/>
        <v>0</v>
      </c>
      <c r="BD16" s="400">
        <f t="shared" si="5"/>
        <v>8201.5135686454887</v>
      </c>
      <c r="BE16" s="392">
        <f t="shared" si="6"/>
        <v>0</v>
      </c>
      <c r="BF16" s="399">
        <f t="shared" si="7"/>
        <v>8201.5135686454887</v>
      </c>
      <c r="BG16" s="206">
        <f>VLOOKUP($A16,TOCA_current!$A$2:$AI$137,MATCH(BG$4,TOCA_current!$A$2:$AI$2,0),FALSE)</f>
        <v>2.9851000000000001E-3</v>
      </c>
      <c r="BH16" s="206">
        <f>VLOOKUP($A16,TOCA_current!$A$2:$AI$137,MATCH(BH$4,TOCA_current!$A$2:$AI$2,0),FALSE)</f>
        <v>2.9851000000000001E-3</v>
      </c>
      <c r="BI16" s="391">
        <f t="shared" si="8"/>
        <v>0</v>
      </c>
      <c r="BJ16" s="206">
        <f>VLOOKUP($A16,TOCA_current!A12:BG147,MATCH(BJ$4,TOCA_current!$A$2:$BG$2,0),FALSE)</f>
        <v>0</v>
      </c>
      <c r="BK16" s="206">
        <f t="shared" si="9"/>
        <v>0</v>
      </c>
      <c r="BL16" s="206">
        <f t="shared" si="10"/>
        <v>0</v>
      </c>
      <c r="BM16" s="381">
        <f>VLOOKUP($A16,IRD!$A$4:$G$139, 7, FALSE)</f>
        <v>0</v>
      </c>
      <c r="BN16" s="382">
        <f t="array" ref="BN16">IF($BI16=0, INDEX(LS_current!$D$4:$AY$139, MATCH('Staging Table'!$A16, LS_current!$B$4:$B$139, 0), MATCH(BN$4&amp;BN$5, LS_current!$D$2:$AY$2&amp;LS_current!$D$3:$AY$3, 0)),SUM(VLOOKUP($A16, LS_current!$B$4:$AY$139, LS_current!D$149, FALSE), VLOOKUP($A16, LS_current!$B$4:$AY$139,LS_current!D$149, FALSE))/2)</f>
        <v>-532.28657748441765</v>
      </c>
      <c r="BO16" s="382">
        <f t="array" ref="BO16">IF($BI16=0, INDEX(LS_current!$D$4:$AY$139, MATCH('Staging Table'!$A16, LS_current!$B$4:$B$139, 0), MATCH(BO$4&amp;BO$5, LS_current!$D$2:$AY$2&amp;LS_current!$D$3:$AY$3, 0)),SUM(VLOOKUP($A16, LS_current!$B$4:$AY$139, LS_current!E$149, FALSE), VLOOKUP($A16, LS_current!$B$4:$AY$139,LS_current!E$149, FALSE))/2)</f>
        <v>48.709972975520031</v>
      </c>
      <c r="BP16" s="382">
        <f t="array" ref="BP16">IF($BI16=0, INDEX(LS_current!$D$4:$AY$139, MATCH('Staging Table'!$A16, LS_current!$B$4:$B$139, 0), MATCH(BP$4&amp;BP$5, LS_current!$D$2:$AY$2&amp;LS_current!$D$3:$AY$3, 0)),SUM(VLOOKUP($A16, LS_current!$B$4:$AY$139, LS_current!F$149, FALSE), VLOOKUP($A16, LS_current!$B$4:$AY$139,LS_current!F$149, FALSE))/2)</f>
        <v>-820.98652941375258</v>
      </c>
      <c r="BQ16" s="382">
        <f t="array" ref="BQ16">IF($BI16=0, INDEX(LS_current!$D$4:$AY$139, MATCH('Staging Table'!$A16, LS_current!$B$4:$B$139, 0), MATCH(BQ$4&amp;BQ$5, LS_current!$D$2:$AY$2&amp;LS_current!$D$3:$AY$3, 0)),SUM(VLOOKUP($A16, LS_current!$B$4:$AY$139, LS_current!G$149, FALSE), VLOOKUP($A16, LS_current!$B$4:$AY$139,LS_current!G$149, FALSE))/2)</f>
        <v>-282.59258001275975</v>
      </c>
      <c r="BR16" s="382">
        <f t="array" ref="BR16">IF($BI16=0, INDEX(LS_current!$D$4:$AY$139, MATCH('Staging Table'!$A16, LS_current!$B$4:$B$139, 0), MATCH(BR$4&amp;BR$5, LS_current!$D$2:$AY$2&amp;LS_current!$D$3:$AY$3, 0)),SUM(VLOOKUP($A16, LS_current!$B$4:$AY$139, LS_current!H$149, FALSE), VLOOKUP($A16, LS_current!$B$4:$AY$139,LS_current!H$149, FALSE))/2)</f>
        <v>19.300725212724501</v>
      </c>
      <c r="BS16" s="382">
        <f t="array" ref="BS16">IF($BI16=0, INDEX(LS_current!$D$4:$AY$139, MATCH('Staging Table'!$A16, LS_current!$B$4:$B$139, 0), MATCH(BS$4&amp;BS$5, LS_current!$D$2:$AY$2&amp;LS_current!$D$3:$AY$3, 0)),SUM(VLOOKUP($A16, LS_current!$B$4:$AY$139, LS_current!I$149, FALSE), VLOOKUP($A16, LS_current!$B$4:$AY$139,LS_current!I$149, FALSE))/2)</f>
        <v>646.52500426664028</v>
      </c>
      <c r="BT16" s="382">
        <f t="array" ref="BT16">IF($BI16=0, INDEX(LS_current!$D$4:$AY$139, MATCH('Staging Table'!$A16, LS_current!$B$4:$B$139, 0), MATCH(BT$4&amp;BT$5, LS_current!$D$2:$AY$2&amp;LS_current!$D$3:$AY$3, 0)),SUM(VLOOKUP($A16, LS_current!$B$4:$AY$139, LS_current!J$149, FALSE), VLOOKUP($A16, LS_current!$B$4:$AY$139,LS_current!J$149, FALSE))/2)</f>
        <v>2304.3825488245348</v>
      </c>
      <c r="BU16" s="382">
        <f t="array" ref="BU16">IF($BI16=0, INDEX(LS_current!$D$4:$AY$139, MATCH('Staging Table'!$A16, LS_current!$B$4:$B$139, 0), MATCH(BU$4&amp;BU$5, LS_current!$D$2:$AY$2&amp;LS_current!$D$3:$AY$3, 0)),SUM(VLOOKUP($A16, LS_current!$B$4:$AY$139, LS_current!K$149, FALSE), VLOOKUP($A16, LS_current!$B$4:$AY$139,LS_current!K$149, FALSE))/2)</f>
        <v>1239.8950603213489</v>
      </c>
      <c r="BV16" s="382">
        <f t="array" ref="BV16">IF($BI16=0, INDEX(LS_current!$D$4:$AY$139, MATCH('Staging Table'!$A16, LS_current!$B$4:$B$139, 0), MATCH(BV$4&amp;BV$5, LS_current!$D$2:$AY$2&amp;LS_current!$D$3:$AY$3, 0)),SUM(VLOOKUP($A16, LS_current!$B$4:$AY$139, LS_current!L$149, FALSE), VLOOKUP($A16, LS_current!$B$4:$AY$139,LS_current!L$149, FALSE))/2)</f>
        <v>2040.9220108163336</v>
      </c>
      <c r="BW16" s="382">
        <f t="array" ref="BW16">IF($BI16=0, INDEX(LS_current!$D$4:$AY$139, MATCH('Staging Table'!$A16, LS_current!$B$4:$B$139, 0), MATCH(BW$4&amp;BW$5, LS_current!$D$2:$AY$2&amp;LS_current!$D$3:$AY$3, 0)),SUM(VLOOKUP($A16, LS_current!$B$4:$AY$139, LS_current!M$149, FALSE), VLOOKUP($A16, LS_current!$B$4:$AY$139,LS_current!M$149, FALSE))/2)</f>
        <v>1089.8633871673819</v>
      </c>
      <c r="BX16" s="382">
        <f t="array" ref="BX16">IF($BI16=0, INDEX(LS_current!$D$4:$AY$139, MATCH('Staging Table'!$A16, LS_current!$B$4:$B$139, 0), MATCH(BX$4&amp;BX$5, LS_current!$D$2:$AY$2&amp;LS_current!$D$3:$AY$3, 0)),SUM(VLOOKUP($A16, LS_current!$B$4:$AY$139, LS_current!N$149, FALSE), VLOOKUP($A16, LS_current!$B$4:$AY$139,LS_current!N$149, FALSE))/2)</f>
        <v>537.04463218519777</v>
      </c>
      <c r="BY16" s="382">
        <f t="array" ref="BY16">IF($BI16=0, INDEX(LS_current!$D$4:$AY$139, MATCH('Staging Table'!$A16, LS_current!$B$4:$B$139, 0), MATCH(BY$4&amp;BY$5, LS_current!$D$2:$AY$2&amp;LS_current!$D$3:$AY$3, 0)),SUM(VLOOKUP($A16, LS_current!$B$4:$AY$139, LS_current!O$149, FALSE), VLOOKUP($A16, LS_current!$B$4:$AY$139,LS_current!O$149, FALSE))/2)</f>
        <v>-44.888480654492014</v>
      </c>
      <c r="BZ16" s="382">
        <f t="array" ref="BZ16">IF($BI16=0, INDEX(LS_current!$D$4:$AY$139, MATCH('Staging Table'!$A16, LS_current!$B$4:$B$139, 0), MATCH(BZ$4&amp;BZ$5, LS_current!$D$2:$AY$2&amp;LS_current!$D$3:$AY$3, 0)),SUM(VLOOKUP($A16, LS_current!$B$4:$AY$139, LS_current!P$149, FALSE), VLOOKUP($A16, LS_current!$B$4:$AY$139,LS_current!P$149, FALSE))/2)</f>
        <v>-271.03559156914162</v>
      </c>
      <c r="CA16" s="382">
        <f t="array" ref="CA16">IF($BI16=0, INDEX(LS_current!$D$4:$AY$139, MATCH('Staging Table'!$A16, LS_current!$B$4:$B$139, 0), MATCH(CA$4&amp;CA$5, LS_current!$D$2:$AY$2&amp;LS_current!$D$3:$AY$3, 0)),SUM(VLOOKUP($A16, LS_current!$B$4:$AY$139, LS_current!Q$149, FALSE), VLOOKUP($A16, LS_current!$B$4:$AY$139,LS_current!Q$149, FALSE))/2)</f>
        <v>230.63283143863919</v>
      </c>
      <c r="CB16" s="382">
        <f t="array" ref="CB16">IF($BI16=0, INDEX(LS_current!$D$4:$AY$139, MATCH('Staging Table'!$A16, LS_current!$B$4:$B$139, 0), MATCH(CB$4&amp;CB$5, LS_current!$D$2:$AY$2&amp;LS_current!$D$3:$AY$3, 0)),SUM(VLOOKUP($A16, LS_current!$B$4:$AY$139, LS_current!R$149, FALSE), VLOOKUP($A16, LS_current!$B$4:$AY$139,LS_current!R$149, FALSE))/2)</f>
        <v>-4697.5919820022491</v>
      </c>
      <c r="CC16" s="382">
        <f t="array" ref="CC16">IF($BI16=0, INDEX(LS_current!$D$4:$AY$139, MATCH('Staging Table'!$A16, LS_current!$B$4:$B$139, 0), MATCH(CC$4&amp;CC$5, LS_current!$D$2:$AY$2&amp;LS_current!$D$3:$AY$3, 0)),SUM(VLOOKUP($A16, LS_current!$B$4:$AY$139, LS_current!S$149, FALSE), VLOOKUP($A16, LS_current!$B$4:$AY$139,LS_current!S$149, FALSE))/2)</f>
        <v>-2642.5717936349993</v>
      </c>
      <c r="CD16" s="382">
        <f t="array" ref="CD16">IF($BI16=0, INDEX(LS_current!$D$4:$AY$139, MATCH('Staging Table'!$A16, LS_current!$B$4:$B$139, 0), MATCH(CD$4&amp;CD$5, LS_current!$D$2:$AY$2&amp;LS_current!$D$3:$AY$3, 0)),SUM(VLOOKUP($A16, LS_current!$B$4:$AY$139, LS_current!T$149, FALSE), VLOOKUP($A16, LS_current!$B$4:$AY$139,LS_current!T$149, FALSE))/2)</f>
        <v>-2410.6138073182638</v>
      </c>
      <c r="CE16" s="382">
        <f t="array" ref="CE16">IF($BI16=0, INDEX(LS_current!$D$4:$AY$139, MATCH('Staging Table'!$A16, LS_current!$B$4:$B$139, 0), MATCH(CE$4&amp;CE$5, LS_current!$D$2:$AY$2&amp;LS_current!$D$3:$AY$3, 0)),SUM(VLOOKUP($A16, LS_current!$B$4:$AY$139, LS_current!U$149, FALSE), VLOOKUP($A16, LS_current!$B$4:$AY$139,LS_current!U$149, FALSE))/2)</f>
        <v>-1362.7647896275439</v>
      </c>
      <c r="CF16" s="382">
        <f t="array" ref="CF16">IF($BI16=0, INDEX(LS_current!$D$4:$AY$139, MATCH('Staging Table'!$A16, LS_current!$B$4:$B$139, 0), MATCH(CF$4&amp;CF$5, LS_current!$D$2:$AY$2&amp;LS_current!$D$3:$AY$3, 0)),SUM(VLOOKUP($A16, LS_current!$B$4:$AY$139, LS_current!V$149, FALSE), VLOOKUP($A16, LS_current!$B$4:$AY$139,LS_current!V$149, FALSE))/2)</f>
        <v>433.54936980335879</v>
      </c>
      <c r="CG16" s="382">
        <f t="array" ref="CG16">IF($BI16=0, INDEX(LS_current!$D$4:$AY$139, MATCH('Staging Table'!$A16, LS_current!$B$4:$B$139, 0), MATCH(CG$4&amp;CG$5, LS_current!$D$2:$AY$2&amp;LS_current!$D$3:$AY$3, 0)),SUM(VLOOKUP($A16, LS_current!$B$4:$AY$139, LS_current!W$149, FALSE), VLOOKUP($A16, LS_current!$B$4:$AY$139,LS_current!W$149, FALSE))/2)</f>
        <v>855.83395267421929</v>
      </c>
      <c r="CH16" s="382">
        <f t="array" ref="CH16">IF($BI16=0, INDEX(LS_current!$D$4:$AY$139, MATCH('Staging Table'!$A16, LS_current!$B$4:$B$139, 0), MATCH(CH$4&amp;CH$5, LS_current!$D$2:$AY$2&amp;LS_current!$D$3:$AY$3, 0)),SUM(VLOOKUP($A16, LS_current!$B$4:$AY$139, LS_current!X$149, FALSE), VLOOKUP($A16, LS_current!$B$4:$AY$139,LS_current!X$149, FALSE))/2)</f>
        <v>-515.37568760439717</v>
      </c>
      <c r="CI16" s="382">
        <f t="array" ref="CI16">IF($BI16=0, INDEX(LS_current!$D$4:$AY$139, MATCH('Staging Table'!$A16, LS_current!$B$4:$B$139, 0), MATCH(CI$4&amp;CI$5, LS_current!$D$2:$AY$2&amp;LS_current!$D$3:$AY$3, 0)),SUM(VLOOKUP($A16, LS_current!$B$4:$AY$139, LS_current!Y$149, FALSE), VLOOKUP($A16, LS_current!$B$4:$AY$139,LS_current!Y$149, FALSE))/2)</f>
        <v>-270.67161976092029</v>
      </c>
      <c r="CJ16" s="382">
        <f t="array" ref="CJ16">IF($BI16=0, INDEX(LS_current!$D$4:$AY$139, MATCH('Staging Table'!$A16, LS_current!$B$4:$B$139, 0), MATCH(CJ$4&amp;CJ$5, LS_current!$D$2:$AY$2&amp;LS_current!$D$3:$AY$3, 0)),SUM(VLOOKUP($A16, LS_current!$B$4:$AY$139, LS_current!Z$149, FALSE), VLOOKUP($A16, LS_current!$B$4:$AY$139,LS_current!Z$149, FALSE))/2)</f>
        <v>-1655.4692896466795</v>
      </c>
      <c r="CK16" s="382">
        <f t="array" ref="CK16">IF($BI16=0, INDEX(LS_current!$D$4:$AY$139, MATCH('Staging Table'!$A16, LS_current!$B$4:$B$139, 0), MATCH(CK$4&amp;CK$5, LS_current!$D$2:$AY$2&amp;LS_current!$D$3:$AY$3, 0)),SUM(VLOOKUP($A16, LS_current!$B$4:$AY$139, LS_current!AA$149, FALSE), VLOOKUP($A16, LS_current!$B$4:$AY$139,LS_current!AA$149, FALSE))/2)</f>
        <v>-484.8139182058876</v>
      </c>
      <c r="CL16" s="384">
        <f t="array" ref="CL16">INDEX(Demand_current!$D$4:$AY$138, MATCH($A16, Demand_current!$B$4:$B$138, 0), MATCH(CL$4&amp;CL$5,Demand_current!$D$2:$AY$2&amp;Demand_current!$D$3:$AY$3, 0))/1000</f>
        <v>1.5306826923076891</v>
      </c>
      <c r="CM16" s="384">
        <f t="array" ref="CM16">INDEX(Demand_current!$D$4:$AY$138, MATCH($A16, Demand_current!$B$4:$B$138, 0), MATCH(CM$4&amp;CM$5,Demand_current!$D$2:$AY$2&amp;Demand_current!$D$3:$AY$3, 0))/1000</f>
        <v>0.84403750000000333</v>
      </c>
      <c r="CN16" s="384">
        <f t="array" ref="CN16">INDEX(Demand_current!$D$4:$AY$138, MATCH($A16, Demand_current!$B$4:$B$138, 0), MATCH(CN$4&amp;CN$5,Demand_current!$D$2:$AY$2&amp;Demand_current!$D$3:$AY$3, 0))/1000</f>
        <v>4.1155449999999973</v>
      </c>
      <c r="CO16" s="384">
        <f t="array" ref="CO16">INDEX(Demand_current!$D$4:$AY$138, MATCH($A16, Demand_current!$B$4:$B$138, 0), MATCH(CO$4&amp;CO$5,Demand_current!$D$2:$AY$2&amp;Demand_current!$D$3:$AY$3, 0))/1000</f>
        <v>4.0072475961538432</v>
      </c>
      <c r="CP16" s="384">
        <f t="array" ref="CP16">INDEX(Demand_current!$D$4:$AY$138, MATCH($A16, Demand_current!$B$4:$B$138, 0), MATCH(CP$4&amp;CP$5,Demand_current!$D$2:$AY$2&amp;Demand_current!$D$3:$AY$3, 0))/1000</f>
        <v>2.590950520833335</v>
      </c>
      <c r="CQ16" s="384">
        <f t="array" ref="CQ16">INDEX(Demand_current!$D$4:$AY$138, MATCH($A16, Demand_current!$B$4:$B$138, 0), MATCH(CQ$4&amp;CQ$5,Demand_current!$D$2:$AY$2&amp;Demand_current!$D$3:$AY$3, 0))/1000</f>
        <v>5.2312824074074049</v>
      </c>
      <c r="CR16" s="384">
        <f t="array" ref="CR16">INDEX(Demand_current!$D$4:$AY$138, MATCH($A16, Demand_current!$B$4:$B$138, 0), MATCH(CR$4&amp;CR$5,Demand_current!$D$2:$AY$2&amp;Demand_current!$D$3:$AY$3, 0))/1000</f>
        <v>3.668112500000003</v>
      </c>
      <c r="CS16" s="384">
        <f t="array" ref="CS16">INDEX(Demand_current!$D$4:$AY$138, MATCH($A16, Demand_current!$B$4:$B$138, 0), MATCH(CS$4&amp;CS$5,Demand_current!$D$2:$AY$2&amp;Demand_current!$D$3:$AY$3, 0))/1000</f>
        <v>0</v>
      </c>
      <c r="CT16" s="384">
        <f t="array" ref="CT16">INDEX(Demand_current!$D$4:$AY$138, MATCH($A16, Demand_current!$B$4:$B$138, 0), MATCH(CT$4&amp;CT$5,Demand_current!$D$2:$AY$2&amp;Demand_current!$D$3:$AY$3, 0))/1000</f>
        <v>1.5895913461538473</v>
      </c>
      <c r="CU16" s="384">
        <f t="array" ref="CU16">INDEX(Demand_current!$D$4:$AY$138, MATCH($A16, Demand_current!$B$4:$B$138, 0), MATCH(CU$4&amp;CU$5,Demand_current!$D$2:$AY$2&amp;Demand_current!$D$3:$AY$3, 0))/1000</f>
        <v>3.5062025000000001</v>
      </c>
      <c r="CV16" s="384">
        <f t="array" ref="CV16">INDEX(Demand_current!$D$4:$AY$138, MATCH($A16, Demand_current!$B$4:$B$138, 0), MATCH(CV$4&amp;CV$5,Demand_current!$D$2:$AY$2&amp;Demand_current!$D$3:$AY$3, 0))/1000</f>
        <v>3.8397685185185164</v>
      </c>
      <c r="CW16" s="384">
        <f t="array" ref="CW16">INDEX(Demand_current!$D$4:$AY$138, MATCH($A16, Demand_current!$B$4:$B$138, 0), MATCH(CW$4&amp;CW$5,Demand_current!$D$2:$AY$2&amp;Demand_current!$D$3:$AY$3, 0))/1000</f>
        <v>4.9504114583333312</v>
      </c>
      <c r="CX16" s="384">
        <f>IF(D16=0,IF(C16=0,MAX(0,DA16 - (VLOOKUP($A16,TOCA_current!$A$2:$AI$137,MATCH("RHWM 2018",TOCA_current!$A$2:$AI$2,0),FALSE)*$BH$2)), 0),0)</f>
        <v>0</v>
      </c>
      <c r="CY16" s="427">
        <f>VLOOKUP($A16,REP_current!$A$1:$D$135,MATCH("FY "&amp;$BH$1&amp; " Total Refund",REP_current!$A$1:$D$1,0),0)</f>
        <v>279929.27915920061</v>
      </c>
      <c r="CZ16" s="432">
        <f>MIN(VLOOKUP($A16,TOCA_current!$A$2:$AI$137,MATCH("TRL - NLSL - Existing Resource "&amp;$BH$1,TOCA_current!$A$2:$AI$2,0),FALSE)*$BH$2, VLOOKUP($A16,TOCA_current!$A$2:$AI$137,MATCH("RHWM 2018",TOCA_current!$A$2:$AI$2,0),FALSE)*$BH$2)</f>
        <v>181603.56000000003</v>
      </c>
      <c r="DA16" s="397">
        <f>SUM(BN16:CK16)+(BH16*RT1SC!$C$4*$BH$2)</f>
        <v>175059.08064944641</v>
      </c>
      <c r="DB16" s="432">
        <f>VLOOKUP($A16,TOCA_current!$A$2:$AI$137,MATCH("Above RHWM Not Served with LS "&amp;$BH$1,TOCA_current!$A$2:$AI$2,0),FALSE)*$BH$2</f>
        <v>0</v>
      </c>
      <c r="DC16" s="401">
        <f t="shared" si="11"/>
        <v>-6544.4793505536218</v>
      </c>
      <c r="DD16" s="397">
        <f>(VLOOKUP($A16,TOCA_current!$A$2:$AI$137,MATCH("RHWM 2018",TOCA_current!$A$2:$AI$2,0),FALSE)*$BH$2) - $CZ16</f>
        <v>0</v>
      </c>
      <c r="DE16" s="397">
        <f t="shared" si="12"/>
        <v>0</v>
      </c>
      <c r="DF16" s="397">
        <f t="shared" si="13"/>
        <v>6544.4793505536218</v>
      </c>
      <c r="DG16" s="397">
        <f t="shared" si="14"/>
        <v>0</v>
      </c>
      <c r="DH16" s="397">
        <f t="shared" si="15"/>
        <v>6544.4793505536218</v>
      </c>
    </row>
    <row r="17" spans="1:112">
      <c r="A17" s="274">
        <v>10059</v>
      </c>
      <c r="B17" s="275" t="s">
        <v>18</v>
      </c>
      <c r="C17" s="397">
        <v>0</v>
      </c>
      <c r="D17" s="397">
        <v>0</v>
      </c>
      <c r="E17" s="205">
        <f>VLOOKUP($A17,TOCA_previous!$A$2:$AI$137,MATCH(E$4,TOCA_previous!$A$2:$AI$2,0),FALSE)</f>
        <v>1.0819E-3</v>
      </c>
      <c r="F17" s="206">
        <f>VLOOKUP($A17,TOCA_previous!$A$2:$AI$137,MATCH(F$4,TOCA_previous!$A$2:$AI$2,0),FALSE)</f>
        <v>1.0819E-3</v>
      </c>
      <c r="G17" s="206">
        <f t="shared" si="0"/>
        <v>0</v>
      </c>
      <c r="H17" s="206">
        <f>VLOOKUP($A17,TOCA_previous!$A$2:$AI$137,MATCH(H$4,TOCA_previous!$A$2:$AI$2,0),FALSE)</f>
        <v>0</v>
      </c>
      <c r="I17" s="206">
        <f t="shared" si="1"/>
        <v>0</v>
      </c>
      <c r="J17" s="206">
        <f t="shared" si="2"/>
        <v>0</v>
      </c>
      <c r="K17" s="381">
        <f>VLOOKUP(A17, IRD!$A$5:$C$139, 3, FALSE)</f>
        <v>0</v>
      </c>
      <c r="L17" s="382">
        <f t="array" ref="L17">IF($G17=0, INDEX(LS_previous!$D$4:$AY$138, MATCH('Staging Table'!$A17, LS_previous!$B$4:$B$138, 0), MATCH(L$4&amp;L$5, LS_previous!$D$2:$AY$2&amp;LS_previous!$D$3:$AY$3, 0)),SUM(VLOOKUP($A17, LS_previous!$B$4:$AY$138, LS_previous!D$149, FALSE), VLOOKUP('Staging Table'!$A17, LS_previous!$B$4:$AY$138,LS_previous!AB$149, FALSE))/2)</f>
        <v>-129.45435147490343</v>
      </c>
      <c r="M17" s="382">
        <f t="array" ref="M17">IF($G17=0, INDEX(LS_previous!$D$4:$AY$138, MATCH('Staging Table'!$A17, LS_previous!$B$4:$B$138, 0), MATCH(M$4&amp;M$5, LS_previous!$D$2:$AY$2&amp;LS_previous!$D$3:$AY$3, 0)),SUM(VLOOKUP($A17, LS_previous!$B$4:$AY$138, LS_previous!E$149, FALSE), VLOOKUP('Staging Table'!$A17, LS_previous!$B$4:$AY$138,LS_previous!AC$149, FALSE))/2)</f>
        <v>-1.0654185086773396</v>
      </c>
      <c r="N17" s="382">
        <f t="array" ref="N17">IF($G17=0, INDEX(LS_previous!$D$4:$AY$138, MATCH('Staging Table'!$A17, LS_previous!$B$4:$B$138, 0), MATCH(N$4&amp;N$5, LS_previous!$D$2:$AY$2&amp;LS_previous!$D$3:$AY$3, 0)),SUM(VLOOKUP($A17, LS_previous!$B$4:$AY$138, LS_previous!F$149, FALSE), VLOOKUP('Staging Table'!$A17, LS_previous!$B$4:$AY$138,LS_previous!AD$149, FALSE))/2)</f>
        <v>-33.653424266933143</v>
      </c>
      <c r="O17" s="382">
        <f t="array" ref="O17">IF($G17=0, INDEX(LS_previous!$D$4:$AY$138, MATCH('Staging Table'!$A17, LS_previous!$B$4:$B$138, 0), MATCH(O$4&amp;O$5, LS_previous!$D$2:$AY$2&amp;LS_previous!$D$3:$AY$3, 0)),SUM(VLOOKUP($A17, LS_previous!$B$4:$AY$138, LS_previous!G$149, FALSE), VLOOKUP('Staging Table'!$A17, LS_previous!$B$4:$AY$138,LS_previous!AE$149, FALSE))/2)</f>
        <v>60.436873895541794</v>
      </c>
      <c r="P17" s="382">
        <f t="array" ref="P17">IF($G17=0, INDEX(LS_previous!$D$4:$AY$138, MATCH('Staging Table'!$A17, LS_previous!$B$4:$B$138, 0), MATCH(P$4&amp;P$5, LS_previous!$D$2:$AY$2&amp;LS_previous!$D$3:$AY$3, 0)),SUM(VLOOKUP($A17, LS_previous!$B$4:$AY$138, LS_previous!H$149, FALSE), VLOOKUP('Staging Table'!$A17, LS_previous!$B$4:$AY$138,LS_previous!AF$149, FALSE))/2)</f>
        <v>257.24129970696049</v>
      </c>
      <c r="Q17" s="382">
        <f t="array" ref="Q17">IF($G17=0, INDEX(LS_previous!$D$4:$AY$138, MATCH('Staging Table'!$A17, LS_previous!$B$4:$B$138, 0), MATCH(Q$4&amp;Q$5, LS_previous!$D$2:$AY$2&amp;LS_previous!$D$3:$AY$3, 0)),SUM(VLOOKUP($A17, LS_previous!$B$4:$AY$138, LS_previous!I$149, FALSE), VLOOKUP('Staging Table'!$A17, LS_previous!$B$4:$AY$138,LS_previous!AG$149, FALSE))/2)</f>
        <v>434.23325613816814</v>
      </c>
      <c r="R17" s="382">
        <f t="array" ref="R17">IF($G17=0, INDEX(LS_previous!$D$4:$AY$138, MATCH('Staging Table'!$A17, LS_previous!$B$4:$B$138, 0), MATCH(R$4&amp;R$5, LS_previous!$D$2:$AY$2&amp;LS_previous!$D$3:$AY$3, 0)),SUM(VLOOKUP($A17, LS_previous!$B$4:$AY$138, LS_previous!J$149, FALSE), VLOOKUP('Staging Table'!$A17, LS_previous!$B$4:$AY$138,LS_previous!AH$149, FALSE))/2)</f>
        <v>1165.7165694875057</v>
      </c>
      <c r="S17" s="382">
        <f t="array" ref="S17">IF($G17=0, INDEX(LS_previous!$D$4:$AY$138, MATCH('Staging Table'!$A17, LS_previous!$B$4:$B$138, 0), MATCH(S$4&amp;S$5, LS_previous!$D$2:$AY$2&amp;LS_previous!$D$3:$AY$3, 0)),SUM(VLOOKUP($A17, LS_previous!$B$4:$AY$138, LS_previous!K$149, FALSE), VLOOKUP('Staging Table'!$A17, LS_previous!$B$4:$AY$138,LS_previous!AI$149, FALSE))/2)</f>
        <v>807.1408412465637</v>
      </c>
      <c r="T17" s="382">
        <f t="array" ref="T17">IF($G17=0, INDEX(LS_previous!$D$4:$AY$138, MATCH('Staging Table'!$A17, LS_previous!$B$4:$B$138, 0), MATCH(T$4&amp;T$5, LS_previous!$D$2:$AY$2&amp;LS_previous!$D$3:$AY$3, 0)),SUM(VLOOKUP($A17, LS_previous!$B$4:$AY$138, LS_previous!L$149, FALSE), VLOOKUP('Staging Table'!$A17, LS_previous!$B$4:$AY$138,LS_previous!AJ$149, FALSE))/2)</f>
        <v>747.28354323502299</v>
      </c>
      <c r="U17" s="382">
        <f t="array" ref="U17">IF($G17=0, INDEX(LS_previous!$D$4:$AY$138, MATCH('Staging Table'!$A17, LS_previous!$B$4:$B$138, 0), MATCH(U$4&amp;U$5, LS_previous!$D$2:$AY$2&amp;LS_previous!$D$3:$AY$3, 0)),SUM(VLOOKUP($A17, LS_previous!$B$4:$AY$138, LS_previous!M$149, FALSE), VLOOKUP('Staging Table'!$A17, LS_previous!$B$4:$AY$138,LS_previous!AK$149, FALSE))/2)</f>
        <v>429.17158507296267</v>
      </c>
      <c r="V17" s="382">
        <f t="array" ref="V17">IF($G17=0, INDEX(LS_previous!$D$4:$AY$138, MATCH('Staging Table'!$A17, LS_previous!$B$4:$B$138, 0), MATCH(V$4&amp;V$5, LS_previous!$D$2:$AY$2&amp;LS_previous!$D$3:$AY$3, 0)),SUM(VLOOKUP($A17, LS_previous!$B$4:$AY$138, LS_previous!N$149, FALSE), VLOOKUP('Staging Table'!$A17, LS_previous!$B$4:$AY$138,LS_previous!AL$149, FALSE))/2)</f>
        <v>400.21658475019603</v>
      </c>
      <c r="W17" s="382">
        <f t="array" ref="W17">IF($G17=0, INDEX(LS_previous!$D$4:$AY$138, MATCH('Staging Table'!$A17, LS_previous!$B$4:$B$138, 0), MATCH(W$4&amp;W$5, LS_previous!$D$2:$AY$2&amp;LS_previous!$D$3:$AY$3, 0)),SUM(VLOOKUP($A17, LS_previous!$B$4:$AY$138, LS_previous!O$149, FALSE), VLOOKUP('Staging Table'!$A17, LS_previous!$B$4:$AY$138,LS_previous!AM$149, FALSE))/2)</f>
        <v>115.88787916777801</v>
      </c>
      <c r="X17" s="382">
        <f t="array" ref="X17">IF($G17=0, INDEX(LS_previous!$D$4:$AY$138, MATCH('Staging Table'!$A17, LS_previous!$B$4:$B$138, 0), MATCH(X$4&amp;X$5, LS_previous!$D$2:$AY$2&amp;LS_previous!$D$3:$AY$3, 0)),SUM(VLOOKUP($A17, LS_previous!$B$4:$AY$138, LS_previous!P$149, FALSE), VLOOKUP('Staging Table'!$A17, LS_previous!$B$4:$AY$138,LS_previous!AN$149, FALSE))/2)</f>
        <v>448.60816351009407</v>
      </c>
      <c r="Y17" s="382">
        <f t="array" ref="Y17">IF($G17=0, INDEX(LS_previous!$D$4:$AY$138, MATCH('Staging Table'!$A17, LS_previous!$B$4:$B$138, 0), MATCH(Y$4&amp;Y$5, LS_previous!$D$2:$AY$2&amp;LS_previous!$D$3:$AY$3, 0)),SUM(VLOOKUP($A17, LS_previous!$B$4:$AY$138, LS_previous!Q$149, FALSE), VLOOKUP('Staging Table'!$A17, LS_previous!$B$4:$AY$138,LS_previous!AO$149, FALSE))/2)</f>
        <v>415.41787817746399</v>
      </c>
      <c r="Z17" s="382">
        <f t="array" ref="Z17">IF($G17=0, INDEX(LS_previous!$D$4:$AY$138, MATCH('Staging Table'!$A17, LS_previous!$B$4:$B$138, 0), MATCH(Z$4&amp;Z$5, LS_previous!$D$2:$AY$2&amp;LS_previous!$D$3:$AY$3, 0)),SUM(VLOOKUP($A17, LS_previous!$B$4:$AY$138, LS_previous!R$149, FALSE), VLOOKUP('Staging Table'!$A17, LS_previous!$B$4:$AY$138,LS_previous!AP$149, FALSE))/2)</f>
        <v>-1782.7365768057844</v>
      </c>
      <c r="AA17" s="382">
        <f t="array" ref="AA17">IF($G17=0, INDEX(LS_previous!$D$4:$AY$138, MATCH('Staging Table'!$A17, LS_previous!$B$4:$B$138, 0), MATCH(AA$4&amp;AA$5, LS_previous!$D$2:$AY$2&amp;LS_previous!$D$3:$AY$3, 0)),SUM(VLOOKUP($A17, LS_previous!$B$4:$AY$138, LS_previous!S$149, FALSE), VLOOKUP('Staging Table'!$A17, LS_previous!$B$4:$AY$138,LS_previous!AQ$149, FALSE))/2)</f>
        <v>-802.92619682780264</v>
      </c>
      <c r="AB17" s="382">
        <f t="array" ref="AB17">IF($G17=0, INDEX(LS_previous!$D$4:$AY$138, MATCH('Staging Table'!$A17, LS_previous!$B$4:$B$138, 0), MATCH(AB$4&amp;AB$5, LS_previous!$D$2:$AY$2&amp;LS_previous!$D$3:$AY$3, 0)),SUM(VLOOKUP($A17, LS_previous!$B$4:$AY$138, LS_previous!T$149, FALSE), VLOOKUP('Staging Table'!$A17, LS_previous!$B$4:$AY$138,LS_previous!AR$149, FALSE))/2)</f>
        <v>-926.90152688797116</v>
      </c>
      <c r="AC17" s="382">
        <f t="array" ref="AC17">IF($G17=0, INDEX(LS_previous!$D$4:$AY$138, MATCH('Staging Table'!$A17, LS_previous!$B$4:$B$138, 0), MATCH(AC$4&amp;AC$5, LS_previous!$D$2:$AY$2&amp;LS_previous!$D$3:$AY$3, 0)),SUM(VLOOKUP($A17, LS_previous!$B$4:$AY$138, LS_previous!U$149, FALSE), VLOOKUP('Staging Table'!$A17, LS_previous!$B$4:$AY$138,LS_previous!AS$149, FALSE))/2)</f>
        <v>-547.78242195081293</v>
      </c>
      <c r="AD17" s="382">
        <f t="array" ref="AD17">IF($G17=0, INDEX(LS_previous!$D$4:$AY$138, MATCH('Staging Table'!$A17, LS_previous!$B$4:$B$138, 0), MATCH(AD$4&amp;AD$5, LS_previous!$D$2:$AY$2&amp;LS_previous!$D$3:$AY$3, 0)),SUM(VLOOKUP($A17, LS_previous!$B$4:$AY$138, LS_previous!V$149, FALSE), VLOOKUP('Staging Table'!$A17, LS_previous!$B$4:$AY$138,LS_previous!AT$149, FALSE))/2)</f>
        <v>-856.72123620777711</v>
      </c>
      <c r="AE17" s="382">
        <f t="array" ref="AE17">IF($G17=0, INDEX(LS_previous!$D$4:$AY$138, MATCH('Staging Table'!$A17, LS_previous!$B$4:$B$138, 0), MATCH(AE$4&amp;AE$5, LS_previous!$D$2:$AY$2&amp;LS_previous!$D$3:$AY$3, 0)),SUM(VLOOKUP($A17, LS_previous!$B$4:$AY$138, LS_previous!W$149, FALSE), VLOOKUP('Staging Table'!$A17, LS_previous!$B$4:$AY$138,LS_previous!AU$149, FALSE))/2)</f>
        <v>-128.56621963089901</v>
      </c>
      <c r="AF17" s="382">
        <f t="array" ref="AF17">IF($G17=0, INDEX(LS_previous!$D$4:$AY$138, MATCH('Staging Table'!$A17, LS_previous!$B$4:$B$138, 0), MATCH(AF$4&amp;AF$5, LS_previous!$D$2:$AY$2&amp;LS_previous!$D$3:$AY$3, 0)),SUM(VLOOKUP($A17, LS_previous!$B$4:$AY$138, LS_previous!X$149, FALSE), VLOOKUP('Staging Table'!$A17, LS_previous!$B$4:$AY$138,LS_previous!AV$149, FALSE))/2)</f>
        <v>-848.3497253796545</v>
      </c>
      <c r="AG17" s="382">
        <f t="array" ref="AG17">IF($G17=0, INDEX(LS_previous!$D$4:$AY$138, MATCH('Staging Table'!$A17, LS_previous!$B$4:$B$138, 0), MATCH(AG$4&amp;AG$5, LS_previous!$D$2:$AY$2&amp;LS_previous!$D$3:$AY$3, 0)),SUM(VLOOKUP($A17, LS_previous!$B$4:$AY$138, LS_previous!Y$149, FALSE), VLOOKUP('Staging Table'!$A17, LS_previous!$B$4:$AY$138,LS_previous!AW$149, FALSE))/2)</f>
        <v>-352.68517510622019</v>
      </c>
      <c r="AH17" s="382">
        <f t="array" ref="AH17">IF($G17=0, INDEX(LS_previous!$D$4:$AY$138, MATCH('Staging Table'!$A17, LS_previous!$B$4:$B$138, 0), MATCH(AH$4&amp;AH$5, LS_previous!$D$2:$AY$2&amp;LS_previous!$D$3:$AY$3, 0)),SUM(VLOOKUP($A17, LS_previous!$B$4:$AY$138, LS_previous!Z$149, FALSE), VLOOKUP('Staging Table'!$A17, LS_previous!$B$4:$AY$138,LS_previous!AX$149, FALSE))/2)</f>
        <v>-186.29409670615041</v>
      </c>
      <c r="AI17" s="382">
        <f t="array" ref="AI17">IF($G17=0, INDEX(LS_previous!$D$4:$AY$138, MATCH('Staging Table'!$A17, LS_previous!$B$4:$B$138, 0), MATCH(AI$4&amp;AI$5, LS_previous!$D$2:$AY$2&amp;LS_previous!$D$3:$AY$3, 0)),SUM(VLOOKUP($A17, LS_previous!$B$4:$AY$138, LS_previous!AA$149, FALSE), VLOOKUP('Staging Table'!$A17, LS_previous!$B$4:$AY$138,LS_previous!AY$149, FALSE))/2)</f>
        <v>-18.780975044199749</v>
      </c>
      <c r="AJ17" s="384">
        <f t="array" ref="AJ17">INDEX(Demand_previous!$D$4:$AY$138, MATCH('Staging Table'!$A17, Demand_previous!$B$4:$B$138, 0), MATCH(AJ$4&amp;AJ$5,Demand_previous!$D$2:$AY$2&amp;Demand_previous!$D$3:$AY$3, 0))/1000</f>
        <v>1.0889282407407403</v>
      </c>
      <c r="AK17" s="384">
        <f t="array" ref="AK17">INDEX(Demand_previous!$D$4:$AY$138, MATCH('Staging Table'!$A17, Demand_previous!$B$4:$B$138, 0), MATCH(AK$4&amp;AK$5,Demand_previous!$D$2:$AY$2&amp;Demand_previous!$D$3:$AY$3, 0))/1000</f>
        <v>0.27408072916666631</v>
      </c>
      <c r="AL17" s="384">
        <f t="array" ref="AL17">INDEX(Demand_previous!$D$4:$AY$138, MATCH('Staging Table'!$A17, Demand_previous!$B$4:$B$138, 0), MATCH(AL$4&amp;AL$5,Demand_previous!$D$2:$AY$2&amp;Demand_previous!$D$3:$AY$3, 0))/1000</f>
        <v>1.8696298076923079</v>
      </c>
      <c r="AM17" s="384">
        <f t="array" ref="AM17">INDEX(Demand_previous!$D$4:$AY$138, MATCH('Staging Table'!$A17, Demand_previous!$B$4:$B$138, 0), MATCH(AM$4&amp;AM$5,Demand_previous!$D$2:$AY$2&amp;Demand_previous!$D$3:$AY$3, 0))/1000</f>
        <v>2.2826424999999988</v>
      </c>
      <c r="AN17" s="384">
        <f t="array" ref="AN17">INDEX(Demand_previous!$D$4:$AY$138, MATCH('Staging Table'!$A17, Demand_previous!$B$4:$B$138, 0), MATCH(AN$4&amp;AN$5,Demand_previous!$D$2:$AY$2&amp;Demand_previous!$D$3:$AY$3, 0))/1000</f>
        <v>1.5032574999999992</v>
      </c>
      <c r="AO17" s="384">
        <f t="array" ref="AO17">INDEX(Demand_previous!$D$4:$AY$138, MATCH('Staging Table'!$A17, Demand_previous!$B$4:$B$138, 0), MATCH(AO$4&amp;AO$5,Demand_previous!$D$2:$AY$2&amp;Demand_previous!$D$3:$AY$3, 0))/1000</f>
        <v>3.6463125000000005</v>
      </c>
      <c r="AP17" s="384">
        <f t="array" ref="AP17">INDEX(Demand_previous!$D$4:$AY$138, MATCH('Staging Table'!$A17, Demand_previous!$B$4:$B$138, 0), MATCH(AP$4&amp;AP$5,Demand_previous!$D$2:$AY$2&amp;Demand_previous!$D$3:$AY$3, 0))/1000</f>
        <v>2.0045673076923065</v>
      </c>
      <c r="AQ17" s="384">
        <f t="array" ref="AQ17">INDEX(Demand_previous!$D$4:$AY$138, MATCH('Staging Table'!$A17, Demand_previous!$B$4:$B$138, 0), MATCH(AQ$4&amp;AQ$5,Demand_previous!$D$2:$AY$2&amp;Demand_previous!$D$3:$AY$3, 0))/1000</f>
        <v>0</v>
      </c>
      <c r="AR17" s="384">
        <f t="array" ref="AR17">INDEX(Demand_previous!$D$4:$AY$138, MATCH('Staging Table'!$A17, Demand_previous!$B$4:$B$138, 0), MATCH(AR$4&amp;AR$5,Demand_previous!$D$2:$AY$2&amp;Demand_previous!$D$3:$AY$3, 0))/1000</f>
        <v>8.1449519230769596E-2</v>
      </c>
      <c r="AS17" s="384">
        <f t="array" ref="AS17">INDEX(Demand_previous!$D$4:$AY$138, MATCH('Staging Table'!$A17, Demand_previous!$B$4:$B$138, 0), MATCH(AS$4&amp;AS$5,Demand_previous!$D$2:$AY$2&amp;Demand_previous!$D$3:$AY$3, 0))/1000</f>
        <v>0.57315000000000016</v>
      </c>
      <c r="AT17" s="384">
        <f t="array" ref="AT17">INDEX(Demand_previous!$D$4:$AY$138, MATCH('Staging Table'!$A17, Demand_previous!$B$4:$B$138, 0), MATCH(AT$4&amp;AT$5,Demand_previous!$D$2:$AY$2&amp;Demand_previous!$D$3:$AY$3, 0))/1000</f>
        <v>0.49891898148148117</v>
      </c>
      <c r="AU17" s="384">
        <f t="array" ref="AU17">INDEX(Demand_previous!$D$4:$AY$138, MATCH('Staging Table'!$A17, Demand_previous!$B$4:$B$138, 0), MATCH(AU$4&amp;AU$5,Demand_previous!$D$2:$AY$2&amp;Demand_previous!$D$3:$AY$3, 0))/1000</f>
        <v>0</v>
      </c>
      <c r="AV17" s="384">
        <f>IF($D17=0,IF(C17=0, MAX(AY17 - (VLOOKUP($A17,TOCA_previous!$A$2:$AI$137,MATCH("RHWM 2016",TOCA_previous!$A$2:$AI$2,0),FALSE)*$F$2*TOCA_previous!C14),0),0), 0)</f>
        <v>0</v>
      </c>
      <c r="AW17" s="427">
        <f>VLOOKUP($A17,REP_previous!$A$1:$D$135,MATCH("FY "&amp;$F$1&amp; " Total Refund",REP_previous!$A$1:$D$1,0),0)</f>
        <v>97813.179086137359</v>
      </c>
      <c r="AX17" s="398">
        <f>MIN(VLOOKUP($A17,TOCA_previous!$A$2:$AI$137,MATCH("TRL - NLSL - Exisiting Resource "&amp;$F$1,TOCA_previous!$A$2:$AI$2,0),FALSE)*$F$2,(VLOOKUP($A17,TOCA_previous!$A$2:$AI$137,MATCH("RHWM 2016",TOCA_previous!$A$2:$AI$2,0),FALSE)*$F$2))</f>
        <v>66363.12</v>
      </c>
      <c r="AY17" s="384">
        <f>SUM(L17:AI17)+(F17*RT1SC!$C$3*$F$2)</f>
        <v>65028.554156206475</v>
      </c>
      <c r="AZ17" s="398">
        <f>VLOOKUP($A17,TOCA_previous!$A$2:$AI$137,MATCH("Above RHWM Not Served with LS "&amp;$F$1,TOCA_previous!$A$2:$AI$2,0),FALSE)*$F$2</f>
        <v>0</v>
      </c>
      <c r="BA17" s="206">
        <f t="shared" si="3"/>
        <v>-1334.5658437935199</v>
      </c>
      <c r="BB17" s="399">
        <f>(VLOOKUP($A17,TOCA_previous!$A$2:$AI$137,MATCH("RHWM 2016",TOCA_previous!$A$2:$AI$2,0),FALSE)*$F$2) - $AX17</f>
        <v>87.840000000011059</v>
      </c>
      <c r="BC17" s="206">
        <f t="shared" si="4"/>
        <v>0</v>
      </c>
      <c r="BD17" s="400">
        <f t="shared" si="5"/>
        <v>1334.5658437935199</v>
      </c>
      <c r="BE17" s="392">
        <f t="shared" si="6"/>
        <v>0</v>
      </c>
      <c r="BF17" s="399">
        <f t="shared" si="7"/>
        <v>1334.5658437935199</v>
      </c>
      <c r="BG17" s="206">
        <f>VLOOKUP($A17,TOCA_current!$A$2:$AI$137,MATCH(BG$4,TOCA_current!$A$2:$AI$2,0),FALSE)</f>
        <v>1.075E-3</v>
      </c>
      <c r="BH17" s="206">
        <f>VLOOKUP($A17,TOCA_current!$A$2:$AI$137,MATCH(BH$4,TOCA_current!$A$2:$AI$2,0),FALSE)</f>
        <v>1.075E-3</v>
      </c>
      <c r="BI17" s="391">
        <f t="shared" si="8"/>
        <v>0</v>
      </c>
      <c r="BJ17" s="206">
        <f>VLOOKUP($A17,TOCA_current!A13:BG148,MATCH(BJ$4,TOCA_current!$A$2:$BG$2,0),FALSE)</f>
        <v>0</v>
      </c>
      <c r="BK17" s="206">
        <f t="shared" si="9"/>
        <v>0</v>
      </c>
      <c r="BL17" s="206">
        <f t="shared" si="10"/>
        <v>0</v>
      </c>
      <c r="BM17" s="381">
        <f>VLOOKUP($A17,IRD!$A$4:$G$139, 7, FALSE)</f>
        <v>0</v>
      </c>
      <c r="BN17" s="382">
        <f t="array" ref="BN17">IF($BI17=0, INDEX(LS_current!$D$4:$AY$139, MATCH('Staging Table'!$A17, LS_current!$B$4:$B$139, 0), MATCH(BN$4&amp;BN$5, LS_current!$D$2:$AY$2&amp;LS_current!$D$3:$AY$3, 0)),SUM(VLOOKUP($A17, LS_current!$B$4:$AY$139, LS_current!D$149, FALSE), VLOOKUP($A17, LS_current!$B$4:$AY$139,LS_current!D$149, FALSE))/2)</f>
        <v>-126.07489273248757</v>
      </c>
      <c r="BO17" s="382">
        <f t="array" ref="BO17">IF($BI17=0, INDEX(LS_current!$D$4:$AY$139, MATCH('Staging Table'!$A17, LS_current!$B$4:$B$139, 0), MATCH(BO$4&amp;BO$5, LS_current!$D$2:$AY$2&amp;LS_current!$D$3:$AY$3, 0)),SUM(VLOOKUP($A17, LS_current!$B$4:$AY$139, LS_current!E$149, FALSE), VLOOKUP($A17, LS_current!$B$4:$AY$139,LS_current!E$149, FALSE))/2)</f>
        <v>106.51029816377513</v>
      </c>
      <c r="BP17" s="382">
        <f t="array" ref="BP17">IF($BI17=0, INDEX(LS_current!$D$4:$AY$139, MATCH('Staging Table'!$A17, LS_current!$B$4:$B$139, 0), MATCH(BP$4&amp;BP$5, LS_current!$D$2:$AY$2&amp;LS_current!$D$3:$AY$3, 0)),SUM(VLOOKUP($A17, LS_current!$B$4:$AY$139, LS_current!F$149, FALSE), VLOOKUP($A17, LS_current!$B$4:$AY$139,LS_current!F$149, FALSE))/2)</f>
        <v>-89.261906207424545</v>
      </c>
      <c r="BQ17" s="382">
        <f t="array" ref="BQ17">IF($BI17=0, INDEX(LS_current!$D$4:$AY$139, MATCH('Staging Table'!$A17, LS_current!$B$4:$B$139, 0), MATCH(BQ$4&amp;BQ$5, LS_current!$D$2:$AY$2&amp;LS_current!$D$3:$AY$3, 0)),SUM(VLOOKUP($A17, LS_current!$B$4:$AY$139, LS_current!G$149, FALSE), VLOOKUP($A17, LS_current!$B$4:$AY$139,LS_current!G$149, FALSE))/2)</f>
        <v>96.306269668112691</v>
      </c>
      <c r="BR17" s="382">
        <f t="array" ref="BR17">IF($BI17=0, INDEX(LS_current!$D$4:$AY$139, MATCH('Staging Table'!$A17, LS_current!$B$4:$B$139, 0), MATCH(BR$4&amp;BR$5, LS_current!$D$2:$AY$2&amp;LS_current!$D$3:$AY$3, 0)),SUM(VLOOKUP($A17, LS_current!$B$4:$AY$139, LS_current!H$149, FALSE), VLOOKUP($A17, LS_current!$B$4:$AY$139,LS_current!H$149, FALSE))/2)</f>
        <v>157.49847140922475</v>
      </c>
      <c r="BS17" s="382">
        <f t="array" ref="BS17">IF($BI17=0, INDEX(LS_current!$D$4:$AY$139, MATCH('Staging Table'!$A17, LS_current!$B$4:$B$139, 0), MATCH(BS$4&amp;BS$5, LS_current!$D$2:$AY$2&amp;LS_current!$D$3:$AY$3, 0)),SUM(VLOOKUP($A17, LS_current!$B$4:$AY$139, LS_current!I$149, FALSE), VLOOKUP($A17, LS_current!$B$4:$AY$139,LS_current!I$149, FALSE))/2)</f>
        <v>427.11184539433771</v>
      </c>
      <c r="BT17" s="382">
        <f t="array" ref="BT17">IF($BI17=0, INDEX(LS_current!$D$4:$AY$139, MATCH('Staging Table'!$A17, LS_current!$B$4:$B$139, 0), MATCH(BT$4&amp;BT$5, LS_current!$D$2:$AY$2&amp;LS_current!$D$3:$AY$3, 0)),SUM(VLOOKUP($A17, LS_current!$B$4:$AY$139, LS_current!J$149, FALSE), VLOOKUP($A17, LS_current!$B$4:$AY$139,LS_current!J$149, FALSE))/2)</f>
        <v>1150.0026512634004</v>
      </c>
      <c r="BU17" s="382">
        <f t="array" ref="BU17">IF($BI17=0, INDEX(LS_current!$D$4:$AY$139, MATCH('Staging Table'!$A17, LS_current!$B$4:$B$139, 0), MATCH(BU$4&amp;BU$5, LS_current!$D$2:$AY$2&amp;LS_current!$D$3:$AY$3, 0)),SUM(VLOOKUP($A17, LS_current!$B$4:$AY$139, LS_current!K$149, FALSE), VLOOKUP($A17, LS_current!$B$4:$AY$139,LS_current!K$149, FALSE))/2)</f>
        <v>812.21913243959989</v>
      </c>
      <c r="BV17" s="382">
        <f t="array" ref="BV17">IF($BI17=0, INDEX(LS_current!$D$4:$AY$139, MATCH('Staging Table'!$A17, LS_current!$B$4:$B$139, 0), MATCH(BV$4&amp;BV$5, LS_current!$D$2:$AY$2&amp;LS_current!$D$3:$AY$3, 0)),SUM(VLOOKUP($A17, LS_current!$B$4:$AY$139, LS_current!L$149, FALSE), VLOOKUP($A17, LS_current!$B$4:$AY$139,LS_current!L$149, FALSE))/2)</f>
        <v>989.43149352703767</v>
      </c>
      <c r="BW17" s="382">
        <f t="array" ref="BW17">IF($BI17=0, INDEX(LS_current!$D$4:$AY$139, MATCH('Staging Table'!$A17, LS_current!$B$4:$B$139, 0), MATCH(BW$4&amp;BW$5, LS_current!$D$2:$AY$2&amp;LS_current!$D$3:$AY$3, 0)),SUM(VLOOKUP($A17, LS_current!$B$4:$AY$139, LS_current!M$149, FALSE), VLOOKUP($A17, LS_current!$B$4:$AY$139,LS_current!M$149, FALSE))/2)</f>
        <v>616.13247395562485</v>
      </c>
      <c r="BX17" s="382">
        <f t="array" ref="BX17">IF($BI17=0, INDEX(LS_current!$D$4:$AY$139, MATCH('Staging Table'!$A17, LS_current!$B$4:$B$139, 0), MATCH(BX$4&amp;BX$5, LS_current!$D$2:$AY$2&amp;LS_current!$D$3:$AY$3, 0)),SUM(VLOOKUP($A17, LS_current!$B$4:$AY$139, LS_current!N$149, FALSE), VLOOKUP($A17, LS_current!$B$4:$AY$139,LS_current!N$149, FALSE))/2)</f>
        <v>595.72356848986192</v>
      </c>
      <c r="BY17" s="382">
        <f t="array" ref="BY17">IF($BI17=0, INDEX(LS_current!$D$4:$AY$139, MATCH('Staging Table'!$A17, LS_current!$B$4:$B$139, 0), MATCH(BY$4&amp;BY$5, LS_current!$D$2:$AY$2&amp;LS_current!$D$3:$AY$3, 0)),SUM(VLOOKUP($A17, LS_current!$B$4:$AY$139, LS_current!O$149, FALSE), VLOOKUP($A17, LS_current!$B$4:$AY$139,LS_current!O$149, FALSE))/2)</f>
        <v>323.34720454806256</v>
      </c>
      <c r="BZ17" s="382">
        <f t="array" ref="BZ17">IF($BI17=0, INDEX(LS_current!$D$4:$AY$139, MATCH('Staging Table'!$A17, LS_current!$B$4:$B$139, 0), MATCH(BZ$4&amp;BZ$5, LS_current!$D$2:$AY$2&amp;LS_current!$D$3:$AY$3, 0)),SUM(VLOOKUP($A17, LS_current!$B$4:$AY$139, LS_current!P$149, FALSE), VLOOKUP($A17, LS_current!$B$4:$AY$139,LS_current!P$149, FALSE))/2)</f>
        <v>139.87508092297503</v>
      </c>
      <c r="CA17" s="382">
        <f t="array" ref="CA17">IF($BI17=0, INDEX(LS_current!$D$4:$AY$139, MATCH('Staging Table'!$A17, LS_current!$B$4:$B$139, 0), MATCH(CA$4&amp;CA$5, LS_current!$D$2:$AY$2&amp;LS_current!$D$3:$AY$3, 0)),SUM(VLOOKUP($A17, LS_current!$B$4:$AY$139, LS_current!Q$149, FALSE), VLOOKUP($A17, LS_current!$B$4:$AY$139,LS_current!Q$149, FALSE))/2)</f>
        <v>402.89383705622504</v>
      </c>
      <c r="CB17" s="382">
        <f t="array" ref="CB17">IF($BI17=0, INDEX(LS_current!$D$4:$AY$139, MATCH('Staging Table'!$A17, LS_current!$B$4:$B$139, 0), MATCH(CB$4&amp;CB$5, LS_current!$D$2:$AY$2&amp;LS_current!$D$3:$AY$3, 0)),SUM(VLOOKUP($A17, LS_current!$B$4:$AY$139, LS_current!R$149, FALSE), VLOOKUP($A17, LS_current!$B$4:$AY$139,LS_current!R$149, FALSE))/2)</f>
        <v>-1712.4853980946755</v>
      </c>
      <c r="CC17" s="382">
        <f t="array" ref="CC17">IF($BI17=0, INDEX(LS_current!$D$4:$AY$139, MATCH('Staging Table'!$A17, LS_current!$B$4:$B$139, 0), MATCH(CC$4&amp;CC$5, LS_current!$D$2:$AY$2&amp;LS_current!$D$3:$AY$3, 0)),SUM(VLOOKUP($A17, LS_current!$B$4:$AY$139, LS_current!S$149, FALSE), VLOOKUP($A17, LS_current!$B$4:$AY$139,LS_current!S$149, FALSE))/2)</f>
        <v>-826.45056817447471</v>
      </c>
      <c r="CD17" s="382">
        <f t="array" ref="CD17">IF($BI17=0, INDEX(LS_current!$D$4:$AY$139, MATCH('Staging Table'!$A17, LS_current!$B$4:$B$139, 0), MATCH(CD$4&amp;CD$5, LS_current!$D$2:$AY$2&amp;LS_current!$D$3:$AY$3, 0)),SUM(VLOOKUP($A17, LS_current!$B$4:$AY$139, LS_current!T$149, FALSE), VLOOKUP($A17, LS_current!$B$4:$AY$139,LS_current!T$149, FALSE))/2)</f>
        <v>-885.47550171422517</v>
      </c>
      <c r="CE17" s="382">
        <f t="array" ref="CE17">IF($BI17=0, INDEX(LS_current!$D$4:$AY$139, MATCH('Staging Table'!$A17, LS_current!$B$4:$B$139, 0), MATCH(CE$4&amp;CE$5, LS_current!$D$2:$AY$2&amp;LS_current!$D$3:$AY$3, 0)),SUM(VLOOKUP($A17, LS_current!$B$4:$AY$139, LS_current!U$149, FALSE), VLOOKUP($A17, LS_current!$B$4:$AY$139,LS_current!U$149, FALSE))/2)</f>
        <v>-385.29515227282513</v>
      </c>
      <c r="CF17" s="382">
        <f t="array" ref="CF17">IF($BI17=0, INDEX(LS_current!$D$4:$AY$139, MATCH('Staging Table'!$A17, LS_current!$B$4:$B$139, 0), MATCH(CF$4&amp;CF$5, LS_current!$D$2:$AY$2&amp;LS_current!$D$3:$AY$3, 0)),SUM(VLOOKUP($A17, LS_current!$B$4:$AY$139, LS_current!V$149, FALSE), VLOOKUP($A17, LS_current!$B$4:$AY$139,LS_current!V$149, FALSE))/2)</f>
        <v>-622.73714731881273</v>
      </c>
      <c r="CG17" s="382">
        <f t="array" ref="CG17">IF($BI17=0, INDEX(LS_current!$D$4:$AY$139, MATCH('Staging Table'!$A17, LS_current!$B$4:$B$139, 0), MATCH(CG$4&amp;CG$5, LS_current!$D$2:$AY$2&amp;LS_current!$D$3:$AY$3, 0)),SUM(VLOOKUP($A17, LS_current!$B$4:$AY$139, LS_current!W$149, FALSE), VLOOKUP($A17, LS_current!$B$4:$AY$139,LS_current!W$149, FALSE))/2)</f>
        <v>14.679018064649881</v>
      </c>
      <c r="CH17" s="382">
        <f t="array" ref="CH17">IF($BI17=0, INDEX(LS_current!$D$4:$AY$139, MATCH('Staging Table'!$A17, LS_current!$B$4:$B$139, 0), MATCH(CH$4&amp;CH$5, LS_current!$D$2:$AY$2&amp;LS_current!$D$3:$AY$3, 0)),SUM(VLOOKUP($A17, LS_current!$B$4:$AY$139, LS_current!X$149, FALSE), VLOOKUP($A17, LS_current!$B$4:$AY$139,LS_current!X$149, FALSE))/2)</f>
        <v>-805.75425978182557</v>
      </c>
      <c r="CI17" s="382">
        <f t="array" ref="CI17">IF($BI17=0, INDEX(LS_current!$D$4:$AY$139, MATCH('Staging Table'!$A17, LS_current!$B$4:$B$139, 0), MATCH(CI$4&amp;CI$5, LS_current!$D$2:$AY$2&amp;LS_current!$D$3:$AY$3, 0)),SUM(VLOOKUP($A17, LS_current!$B$4:$AY$139, LS_current!Y$149, FALSE), VLOOKUP($A17, LS_current!$B$4:$AY$139,LS_current!Y$149, FALSE))/2)</f>
        <v>-280.78770608790001</v>
      </c>
      <c r="CJ17" s="382">
        <f t="array" ref="CJ17">IF($BI17=0, INDEX(LS_current!$D$4:$AY$139, MATCH('Staging Table'!$A17, LS_current!$B$4:$B$139, 0), MATCH(CJ$4&amp;CJ$5, LS_current!$D$2:$AY$2&amp;LS_current!$D$3:$AY$3, 0)),SUM(VLOOKUP($A17, LS_current!$B$4:$AY$139, LS_current!Z$149, FALSE), VLOOKUP($A17, LS_current!$B$4:$AY$139,LS_current!Z$149, FALSE))/2)</f>
        <v>-466.58728507258684</v>
      </c>
      <c r="CK17" s="382">
        <f t="array" ref="CK17">IF($BI17=0, INDEX(LS_current!$D$4:$AY$139, MATCH('Staging Table'!$A17, LS_current!$B$4:$B$139, 0), MATCH(CK$4&amp;CK$5, LS_current!$D$2:$AY$2&amp;LS_current!$D$3:$AY$3, 0)),SUM(VLOOKUP($A17, LS_current!$B$4:$AY$139, LS_current!AA$149, FALSE), VLOOKUP($A17, LS_current!$B$4:$AY$139,LS_current!AA$149, FALSE))/2)</f>
        <v>-1.8813553218749348</v>
      </c>
      <c r="CL17" s="384">
        <f t="array" ref="CL17">INDEX(Demand_current!$D$4:$AY$138, MATCH($A17, Demand_current!$B$4:$B$138, 0), MATCH(CL$4&amp;CL$5,Demand_current!$D$2:$AY$2&amp;Demand_current!$D$3:$AY$3, 0))/1000</f>
        <v>0.80827163461538465</v>
      </c>
      <c r="CM17" s="384">
        <f t="array" ref="CM17">INDEX(Demand_current!$D$4:$AY$138, MATCH($A17, Demand_current!$B$4:$B$138, 0), MATCH(CM$4&amp;CM$5,Demand_current!$D$2:$AY$2&amp;Demand_current!$D$3:$AY$3, 0))/1000</f>
        <v>0.67367750000000015</v>
      </c>
      <c r="CN17" s="384">
        <f t="array" ref="CN17">INDEX(Demand_current!$D$4:$AY$138, MATCH($A17, Demand_current!$B$4:$B$138, 0), MATCH(CN$4&amp;CN$5,Demand_current!$D$2:$AY$2&amp;Demand_current!$D$3:$AY$3, 0))/1000</f>
        <v>1.485815000000001</v>
      </c>
      <c r="CO17" s="384">
        <f t="array" ref="CO17">INDEX(Demand_current!$D$4:$AY$138, MATCH($A17, Demand_current!$B$4:$B$138, 0), MATCH(CO$4&amp;CO$5,Demand_current!$D$2:$AY$2&amp;Demand_current!$D$3:$AY$3, 0))/1000</f>
        <v>2.7056177884615371</v>
      </c>
      <c r="CP17" s="384">
        <f t="array" ref="CP17">INDEX(Demand_current!$D$4:$AY$138, MATCH($A17, Demand_current!$B$4:$B$138, 0), MATCH(CP$4&amp;CP$5,Demand_current!$D$2:$AY$2&amp;Demand_current!$D$3:$AY$3, 0))/1000</f>
        <v>1.1165182291666662</v>
      </c>
      <c r="CQ17" s="384">
        <f t="array" ref="CQ17">INDEX(Demand_current!$D$4:$AY$138, MATCH($A17, Demand_current!$B$4:$B$138, 0), MATCH(CQ$4&amp;CQ$5,Demand_current!$D$2:$AY$2&amp;Demand_current!$D$3:$AY$3, 0))/1000</f>
        <v>3.6463125000000005</v>
      </c>
      <c r="CR17" s="384">
        <f t="array" ref="CR17">INDEX(Demand_current!$D$4:$AY$138, MATCH($A17, Demand_current!$B$4:$B$138, 0), MATCH(CR$4&amp;CR$5,Demand_current!$D$2:$AY$2&amp;Demand_current!$D$3:$AY$3, 0))/1000</f>
        <v>1.6877499999999999</v>
      </c>
      <c r="CS17" s="384">
        <f t="array" ref="CS17">INDEX(Demand_current!$D$4:$AY$138, MATCH($A17, Demand_current!$B$4:$B$138, 0), MATCH(CS$4&amp;CS$5,Demand_current!$D$2:$AY$2&amp;Demand_current!$D$3:$AY$3, 0))/1000</f>
        <v>0</v>
      </c>
      <c r="CT17" s="384">
        <f t="array" ref="CT17">INDEX(Demand_current!$D$4:$AY$138, MATCH($A17, Demand_current!$B$4:$B$138, 0), MATCH(CT$4&amp;CT$5,Demand_current!$D$2:$AY$2&amp;Demand_current!$D$3:$AY$3, 0))/1000</f>
        <v>8.1449519230769596E-2</v>
      </c>
      <c r="CU17" s="384">
        <f t="array" ref="CU17">INDEX(Demand_current!$D$4:$AY$138, MATCH($A17, Demand_current!$B$4:$B$138, 0), MATCH(CU$4&amp;CU$5,Demand_current!$D$2:$AY$2&amp;Demand_current!$D$3:$AY$3, 0))/1000</f>
        <v>0.57315000000000016</v>
      </c>
      <c r="CV17" s="384">
        <f t="array" ref="CV17">INDEX(Demand_current!$D$4:$AY$138, MATCH($A17, Demand_current!$B$4:$B$138, 0), MATCH(CV$4&amp;CV$5,Demand_current!$D$2:$AY$2&amp;Demand_current!$D$3:$AY$3, 0))/1000</f>
        <v>0.49891898148148117</v>
      </c>
      <c r="CW17" s="384">
        <f t="array" ref="CW17">INDEX(Demand_current!$D$4:$AY$138, MATCH($A17, Demand_current!$B$4:$B$138, 0), MATCH(CW$4&amp;CW$5,Demand_current!$D$2:$AY$2&amp;Demand_current!$D$3:$AY$3, 0))/1000</f>
        <v>0</v>
      </c>
      <c r="CX17" s="384">
        <f>IF(D17=0,IF(C17=0,MAX(0,DA17 - (VLOOKUP($A17,TOCA_current!$A$2:$AI$137,MATCH("RHWM 2018",TOCA_current!$A$2:$AI$2,0),FALSE)*$BH$2)), 0),0)</f>
        <v>0</v>
      </c>
      <c r="CY17" s="427">
        <f>VLOOKUP($A17,REP_current!$A$1:$D$135,MATCH("FY "&amp;$BH$1&amp; " Total Refund",REP_current!$A$1:$D$1,0),0)</f>
        <v>98196.636354647344</v>
      </c>
      <c r="CZ17" s="432">
        <f>MIN(VLOOKUP($A17,TOCA_current!$A$2:$AI$137,MATCH("TRL - NLSL - Existing Resource "&amp;$BH$1,TOCA_current!$A$2:$AI$2,0),FALSE)*$BH$2, VLOOKUP($A17,TOCA_current!$A$2:$AI$137,MATCH("RHWM 2018",TOCA_current!$A$2:$AI$2,0),FALSE)*$BH$2)</f>
        <v>65402.16</v>
      </c>
      <c r="DA17" s="397">
        <f>SUM(BN17:CK17)+(BH17*RT1SC!$C$4*$BH$2)</f>
        <v>65028.554954123771</v>
      </c>
      <c r="DB17" s="432">
        <f>VLOOKUP($A17,TOCA_current!$A$2:$AI$137,MATCH("Above RHWM Not Served with LS "&amp;$BH$1,TOCA_current!$A$2:$AI$2,0),FALSE)*$BH$2</f>
        <v>0</v>
      </c>
      <c r="DC17" s="401">
        <f t="shared" si="11"/>
        <v>-373.60504587623291</v>
      </c>
      <c r="DD17" s="397">
        <f>(VLOOKUP($A17,TOCA_current!$A$2:$AI$137,MATCH("RHWM 2018",TOCA_current!$A$2:$AI$2,0),FALSE)*$BH$2) - $CZ17</f>
        <v>438</v>
      </c>
      <c r="DE17" s="397">
        <f t="shared" si="12"/>
        <v>0</v>
      </c>
      <c r="DF17" s="397">
        <f t="shared" si="13"/>
        <v>373.60504587623291</v>
      </c>
      <c r="DG17" s="397">
        <f t="shared" si="14"/>
        <v>0</v>
      </c>
      <c r="DH17" s="397">
        <f t="shared" si="15"/>
        <v>373.60504587623291</v>
      </c>
    </row>
    <row r="18" spans="1:112">
      <c r="A18" s="274">
        <v>10061</v>
      </c>
      <c r="B18" s="275" t="s">
        <v>19</v>
      </c>
      <c r="C18" s="397">
        <v>0</v>
      </c>
      <c r="D18" s="397">
        <v>0</v>
      </c>
      <c r="E18" s="205">
        <f>VLOOKUP($A18,TOCA_previous!$A$2:$AI$137,MATCH(E$4,TOCA_previous!$A$2:$AI$2,0),FALSE)</f>
        <v>1.2403E-3</v>
      </c>
      <c r="F18" s="206">
        <f>VLOOKUP($A18,TOCA_previous!$A$2:$AI$137,MATCH(F$4,TOCA_previous!$A$2:$AI$2,0),FALSE)</f>
        <v>1.2403E-3</v>
      </c>
      <c r="G18" s="206">
        <f t="shared" si="0"/>
        <v>0</v>
      </c>
      <c r="H18" s="206">
        <f>VLOOKUP($A18,TOCA_previous!$A$2:$AI$137,MATCH(H$4,TOCA_previous!$A$2:$AI$2,0),FALSE)</f>
        <v>0</v>
      </c>
      <c r="I18" s="206">
        <f t="shared" si="1"/>
        <v>0</v>
      </c>
      <c r="J18" s="206">
        <f t="shared" si="2"/>
        <v>0</v>
      </c>
      <c r="K18" s="381">
        <f>VLOOKUP(A18, IRD!$A$5:$C$139, 3, FALSE)</f>
        <v>0</v>
      </c>
      <c r="L18" s="382">
        <f t="array" ref="L18">IF($G18=0, INDEX(LS_previous!$D$4:$AY$138, MATCH('Staging Table'!$A18, LS_previous!$B$4:$B$138, 0), MATCH(L$4&amp;L$5, LS_previous!$D$2:$AY$2&amp;LS_previous!$D$3:$AY$3, 0)),SUM(VLOOKUP($A18, LS_previous!$B$4:$AY$138, LS_previous!D$149, FALSE), VLOOKUP('Staging Table'!$A18, LS_previous!$B$4:$AY$138,LS_previous!AB$149, FALSE))/2)</f>
        <v>98.45683923253273</v>
      </c>
      <c r="M18" s="382">
        <f t="array" ref="M18">IF($G18=0, INDEX(LS_previous!$D$4:$AY$138, MATCH('Staging Table'!$A18, LS_previous!$B$4:$B$138, 0), MATCH(M$4&amp;M$5, LS_previous!$D$2:$AY$2&amp;LS_previous!$D$3:$AY$3, 0)),SUM(VLOOKUP($A18, LS_previous!$B$4:$AY$138, LS_previous!E$149, FALSE), VLOOKUP('Staging Table'!$A18, LS_previous!$B$4:$AY$138,LS_previous!AC$149, FALSE))/2)</f>
        <v>347.98341299906406</v>
      </c>
      <c r="N18" s="382">
        <f t="array" ref="N18">IF($G18=0, INDEX(LS_previous!$D$4:$AY$138, MATCH('Staging Table'!$A18, LS_previous!$B$4:$B$138, 0), MATCH(N$4&amp;N$5, LS_previous!$D$2:$AY$2&amp;LS_previous!$D$3:$AY$3, 0)),SUM(VLOOKUP($A18, LS_previous!$B$4:$AY$138, LS_previous!F$149, FALSE), VLOOKUP('Staging Table'!$A18, LS_previous!$B$4:$AY$138,LS_previous!AD$149, FALSE))/2)</f>
        <v>-192.19776727819317</v>
      </c>
      <c r="O18" s="382">
        <f t="array" ref="O18">IF($G18=0, INDEX(LS_previous!$D$4:$AY$138, MATCH('Staging Table'!$A18, LS_previous!$B$4:$B$138, 0), MATCH(O$4&amp;O$5, LS_previous!$D$2:$AY$2&amp;LS_previous!$D$3:$AY$3, 0)),SUM(VLOOKUP($A18, LS_previous!$B$4:$AY$138, LS_previous!G$149, FALSE), VLOOKUP('Staging Table'!$A18, LS_previous!$B$4:$AY$138,LS_previous!AE$149, FALSE))/2)</f>
        <v>163.73702587359321</v>
      </c>
      <c r="P18" s="382">
        <f t="array" ref="P18">IF($G18=0, INDEX(LS_previous!$D$4:$AY$138, MATCH('Staging Table'!$A18, LS_previous!$B$4:$B$138, 0), MATCH(P$4&amp;P$5, LS_previous!$D$2:$AY$2&amp;LS_previous!$D$3:$AY$3, 0)),SUM(VLOOKUP($A18, LS_previous!$B$4:$AY$138, LS_previous!H$149, FALSE), VLOOKUP('Staging Table'!$A18, LS_previous!$B$4:$AY$138,LS_previous!AF$149, FALSE))/2)</f>
        <v>214.53238730616886</v>
      </c>
      <c r="Q18" s="382">
        <f t="array" ref="Q18">IF($G18=0, INDEX(LS_previous!$D$4:$AY$138, MATCH('Staging Table'!$A18, LS_previous!$B$4:$B$138, 0), MATCH(Q$4&amp;Q$5, LS_previous!$D$2:$AY$2&amp;LS_previous!$D$3:$AY$3, 0)),SUM(VLOOKUP($A18, LS_previous!$B$4:$AY$138, LS_previous!I$149, FALSE), VLOOKUP('Staging Table'!$A18, LS_previous!$B$4:$AY$138,LS_previous!AG$149, FALSE))/2)</f>
        <v>583.59989628262338</v>
      </c>
      <c r="R18" s="382">
        <f t="array" ref="R18">IF($G18=0, INDEX(LS_previous!$D$4:$AY$138, MATCH('Staging Table'!$A18, LS_previous!$B$4:$B$138, 0), MATCH(R$4&amp;R$5, LS_previous!$D$2:$AY$2&amp;LS_previous!$D$3:$AY$3, 0)),SUM(VLOOKUP($A18, LS_previous!$B$4:$AY$138, LS_previous!J$149, FALSE), VLOOKUP('Staging Table'!$A18, LS_previous!$B$4:$AY$138,LS_previous!AH$149, FALSE))/2)</f>
        <v>1013.8758135089683</v>
      </c>
      <c r="S18" s="382">
        <f t="array" ref="S18">IF($G18=0, INDEX(LS_previous!$D$4:$AY$138, MATCH('Staging Table'!$A18, LS_previous!$B$4:$B$138, 0), MATCH(S$4&amp;S$5, LS_previous!$D$2:$AY$2&amp;LS_previous!$D$3:$AY$3, 0)),SUM(VLOOKUP($A18, LS_previous!$B$4:$AY$138, LS_previous!K$149, FALSE), VLOOKUP('Staging Table'!$A18, LS_previous!$B$4:$AY$138,LS_previous!AI$149, FALSE))/2)</f>
        <v>846.00762122018023</v>
      </c>
      <c r="T18" s="382">
        <f t="array" ref="T18">IF($G18=0, INDEX(LS_previous!$D$4:$AY$138, MATCH('Staging Table'!$A18, LS_previous!$B$4:$B$138, 0), MATCH(T$4&amp;T$5, LS_previous!$D$2:$AY$2&amp;LS_previous!$D$3:$AY$3, 0)),SUM(VLOOKUP($A18, LS_previous!$B$4:$AY$138, LS_previous!L$149, FALSE), VLOOKUP('Staging Table'!$A18, LS_previous!$B$4:$AY$138,LS_previous!AJ$149, FALSE))/2)</f>
        <v>790.11404240169941</v>
      </c>
      <c r="U18" s="382">
        <f t="array" ref="U18">IF($G18=0, INDEX(LS_previous!$D$4:$AY$138, MATCH('Staging Table'!$A18, LS_previous!$B$4:$B$138, 0), MATCH(U$4&amp;U$5, LS_previous!$D$2:$AY$2&amp;LS_previous!$D$3:$AY$3, 0)),SUM(VLOOKUP($A18, LS_previous!$B$4:$AY$138, LS_previous!M$149, FALSE), VLOOKUP('Staging Table'!$A18, LS_previous!$B$4:$AY$138,LS_previous!AK$149, FALSE))/2)</f>
        <v>664.20592750346191</v>
      </c>
      <c r="V18" s="382">
        <f t="array" ref="V18">IF($G18=0, INDEX(LS_previous!$D$4:$AY$138, MATCH('Staging Table'!$A18, LS_previous!$B$4:$B$138, 0), MATCH(V$4&amp;V$5, LS_previous!$D$2:$AY$2&amp;LS_previous!$D$3:$AY$3, 0)),SUM(VLOOKUP($A18, LS_previous!$B$4:$AY$138, LS_previous!N$149, FALSE), VLOOKUP('Staging Table'!$A18, LS_previous!$B$4:$AY$138,LS_previous!AL$149, FALSE))/2)</f>
        <v>350.47519684413373</v>
      </c>
      <c r="W18" s="382">
        <f t="array" ref="W18">IF($G18=0, INDEX(LS_previous!$D$4:$AY$138, MATCH('Staging Table'!$A18, LS_previous!$B$4:$B$138, 0), MATCH(W$4&amp;W$5, LS_previous!$D$2:$AY$2&amp;LS_previous!$D$3:$AY$3, 0)),SUM(VLOOKUP($A18, LS_previous!$B$4:$AY$138, LS_previous!O$149, FALSE), VLOOKUP('Staging Table'!$A18, LS_previous!$B$4:$AY$138,LS_previous!AM$149, FALSE))/2)</f>
        <v>204.10426308512342</v>
      </c>
      <c r="X18" s="382">
        <f t="array" ref="X18">IF($G18=0, INDEX(LS_previous!$D$4:$AY$138, MATCH('Staging Table'!$A18, LS_previous!$B$4:$B$138, 0), MATCH(X$4&amp;X$5, LS_previous!$D$2:$AY$2&amp;LS_previous!$D$3:$AY$3, 0)),SUM(VLOOKUP($A18, LS_previous!$B$4:$AY$138, LS_previous!P$149, FALSE), VLOOKUP('Staging Table'!$A18, LS_previous!$B$4:$AY$138,LS_previous!AN$149, FALSE))/2)</f>
        <v>324.28915130933501</v>
      </c>
      <c r="Y18" s="382">
        <f t="array" ref="Y18">IF($G18=0, INDEX(LS_previous!$D$4:$AY$138, MATCH('Staging Table'!$A18, LS_previous!$B$4:$B$138, 0), MATCH(Y$4&amp;Y$5, LS_previous!$D$2:$AY$2&amp;LS_previous!$D$3:$AY$3, 0)),SUM(VLOOKUP($A18, LS_previous!$B$4:$AY$138, LS_previous!Q$149, FALSE), VLOOKUP('Staging Table'!$A18, LS_previous!$B$4:$AY$138,LS_previous!AO$149, FALSE))/2)</f>
        <v>478.56209603799675</v>
      </c>
      <c r="Z18" s="382">
        <f t="array" ref="Z18">IF($G18=0, INDEX(LS_previous!$D$4:$AY$138, MATCH('Staging Table'!$A18, LS_previous!$B$4:$B$138, 0), MATCH(Z$4&amp;Z$5, LS_previous!$D$2:$AY$2&amp;LS_previous!$D$3:$AY$3, 0)),SUM(VLOOKUP($A18, LS_previous!$B$4:$AY$138, LS_previous!R$149, FALSE), VLOOKUP('Staging Table'!$A18, LS_previous!$B$4:$AY$138,LS_previous!AP$149, FALSE))/2)</f>
        <v>-1882.3195855552403</v>
      </c>
      <c r="AA18" s="382">
        <f t="array" ref="AA18">IF($G18=0, INDEX(LS_previous!$D$4:$AY$138, MATCH('Staging Table'!$A18, LS_previous!$B$4:$B$138, 0), MATCH(AA$4&amp;AA$5, LS_previous!$D$2:$AY$2&amp;LS_previous!$D$3:$AY$3, 0)),SUM(VLOOKUP($A18, LS_previous!$B$4:$AY$138, LS_previous!S$149, FALSE), VLOOKUP('Staging Table'!$A18, LS_previous!$B$4:$AY$138,LS_previous!AQ$149, FALSE))/2)</f>
        <v>-682.79539728766395</v>
      </c>
      <c r="AB18" s="382">
        <f t="array" ref="AB18">IF($G18=0, INDEX(LS_previous!$D$4:$AY$138, MATCH('Staging Table'!$A18, LS_previous!$B$4:$B$138, 0), MATCH(AB$4&amp;AB$5, LS_previous!$D$2:$AY$2&amp;LS_previous!$D$3:$AY$3, 0)),SUM(VLOOKUP($A18, LS_previous!$B$4:$AY$138, LS_previous!T$149, FALSE), VLOOKUP('Staging Table'!$A18, LS_previous!$B$4:$AY$138,LS_previous!AR$149, FALSE))/2)</f>
        <v>-929.49163517806664</v>
      </c>
      <c r="AC18" s="382">
        <f t="array" ref="AC18">IF($G18=0, INDEX(LS_previous!$D$4:$AY$138, MATCH('Staging Table'!$A18, LS_previous!$B$4:$B$138, 0), MATCH(AC$4&amp;AC$5, LS_previous!$D$2:$AY$2&amp;LS_previous!$D$3:$AY$3, 0)),SUM(VLOOKUP($A18, LS_previous!$B$4:$AY$138, LS_previous!U$149, FALSE), VLOOKUP('Staging Table'!$A18, LS_previous!$B$4:$AY$138,LS_previous!AS$149, FALSE))/2)</f>
        <v>-362.67345766299422</v>
      </c>
      <c r="AD18" s="382">
        <f t="array" ref="AD18">IF($G18=0, INDEX(LS_previous!$D$4:$AY$138, MATCH('Staging Table'!$A18, LS_previous!$B$4:$B$138, 0), MATCH(AD$4&amp;AD$5, LS_previous!$D$2:$AY$2&amp;LS_previous!$D$3:$AY$3, 0)),SUM(VLOOKUP($A18, LS_previous!$B$4:$AY$138, LS_previous!V$149, FALSE), VLOOKUP('Staging Table'!$A18, LS_previous!$B$4:$AY$138,LS_previous!AT$149, FALSE))/2)</f>
        <v>-693.13642551853718</v>
      </c>
      <c r="AE18" s="382">
        <f t="array" ref="AE18">IF($G18=0, INDEX(LS_previous!$D$4:$AY$138, MATCH('Staging Table'!$A18, LS_previous!$B$4:$B$138, 0), MATCH(AE$4&amp;AE$5, LS_previous!$D$2:$AY$2&amp;LS_previous!$D$3:$AY$3, 0)),SUM(VLOOKUP($A18, LS_previous!$B$4:$AY$138, LS_previous!W$149, FALSE), VLOOKUP('Staging Table'!$A18, LS_previous!$B$4:$AY$138,LS_previous!AU$149, FALSE))/2)</f>
        <v>286.65576522025731</v>
      </c>
      <c r="AF18" s="382">
        <f t="array" ref="AF18">IF($G18=0, INDEX(LS_previous!$D$4:$AY$138, MATCH('Staging Table'!$A18, LS_previous!$B$4:$B$138, 0), MATCH(AF$4&amp;AF$5, LS_previous!$D$2:$AY$2&amp;LS_previous!$D$3:$AY$3, 0)),SUM(VLOOKUP($A18, LS_previous!$B$4:$AY$138, LS_previous!X$149, FALSE), VLOOKUP('Staging Table'!$A18, LS_previous!$B$4:$AY$138,LS_previous!AV$149, FALSE))/2)</f>
        <v>-691.27971419575351</v>
      </c>
      <c r="AG18" s="382">
        <f t="array" ref="AG18">IF($G18=0, INDEX(LS_previous!$D$4:$AY$138, MATCH('Staging Table'!$A18, LS_previous!$B$4:$B$138, 0), MATCH(AG$4&amp;AG$5, LS_previous!$D$2:$AY$2&amp;LS_previous!$D$3:$AY$3, 0)),SUM(VLOOKUP($A18, LS_previous!$B$4:$AY$138, LS_previous!Y$149, FALSE), VLOOKUP('Staging Table'!$A18, LS_previous!$B$4:$AY$138,LS_previous!AW$149, FALSE))/2)</f>
        <v>2.1714052276133771</v>
      </c>
      <c r="AH18" s="382">
        <f t="array" ref="AH18">IF($G18=0, INDEX(LS_previous!$D$4:$AY$138, MATCH('Staging Table'!$A18, LS_previous!$B$4:$B$138, 0), MATCH(AH$4&amp;AH$5, LS_previous!$D$2:$AY$2&amp;LS_previous!$D$3:$AY$3, 0)),SUM(VLOOKUP($A18, LS_previous!$B$4:$AY$138, LS_previous!Z$149, FALSE), VLOOKUP('Staging Table'!$A18, LS_previous!$B$4:$AY$138,LS_previous!AX$149, FALSE))/2)</f>
        <v>-30.945626808982524</v>
      </c>
      <c r="AI18" s="382">
        <f t="array" ref="AI18">IF($G18=0, INDEX(LS_previous!$D$4:$AY$138, MATCH('Staging Table'!$A18, LS_previous!$B$4:$B$138, 0), MATCH(AI$4&amp;AI$5, LS_previous!$D$2:$AY$2&amp;LS_previous!$D$3:$AY$3, 0)),SUM(VLOOKUP($A18, LS_previous!$B$4:$AY$138, LS_previous!AA$149, FALSE), VLOOKUP('Staging Table'!$A18, LS_previous!$B$4:$AY$138,LS_previous!AY$149, FALSE))/2)</f>
        <v>285.31900531720021</v>
      </c>
      <c r="AJ18" s="384">
        <f t="array" ref="AJ18">INDEX(Demand_previous!$D$4:$AY$138, MATCH('Staging Table'!$A18, Demand_previous!$B$4:$B$138, 0), MATCH(AJ$4&amp;AJ$5,Demand_previous!$D$2:$AY$2&amp;Demand_previous!$D$3:$AY$3, 0))/1000</f>
        <v>1.075124999999999</v>
      </c>
      <c r="AK18" s="384">
        <f t="array" ref="AK18">INDEX(Demand_previous!$D$4:$AY$138, MATCH('Staging Table'!$A18, Demand_previous!$B$4:$B$138, 0), MATCH(AK$4&amp;AK$5,Demand_previous!$D$2:$AY$2&amp;Demand_previous!$D$3:$AY$3, 0))/1000</f>
        <v>0.34151041666666604</v>
      </c>
      <c r="AL18" s="384">
        <f t="array" ref="AL18">INDEX(Demand_previous!$D$4:$AY$138, MATCH('Staging Table'!$A18, Demand_previous!$B$4:$B$138, 0), MATCH(AL$4&amp;AL$5,Demand_previous!$D$2:$AY$2&amp;Demand_previous!$D$3:$AY$3, 0))/1000</f>
        <v>2.0309807692307684</v>
      </c>
      <c r="AM18" s="384">
        <f t="array" ref="AM18">INDEX(Demand_previous!$D$4:$AY$138, MATCH('Staging Table'!$A18, Demand_previous!$B$4:$B$138, 0), MATCH(AM$4&amp;AM$5,Demand_previous!$D$2:$AY$2&amp;Demand_previous!$D$3:$AY$3, 0))/1000</f>
        <v>0.84081000000000117</v>
      </c>
      <c r="AN18" s="384">
        <f t="array" ref="AN18">INDEX(Demand_previous!$D$4:$AY$138, MATCH('Staging Table'!$A18, Demand_previous!$B$4:$B$138, 0), MATCH(AN$4&amp;AN$5,Demand_previous!$D$2:$AY$2&amp;Demand_previous!$D$3:$AY$3, 0))/1000</f>
        <v>1.5237725000000009</v>
      </c>
      <c r="AO18" s="384">
        <f t="array" ref="AO18">INDEX(Demand_previous!$D$4:$AY$138, MATCH('Staging Table'!$A18, Demand_previous!$B$4:$B$138, 0), MATCH(AO$4&amp;AO$5,Demand_previous!$D$2:$AY$2&amp;Demand_previous!$D$3:$AY$3, 0))/1000</f>
        <v>1.2592708333333333</v>
      </c>
      <c r="AP18" s="384">
        <f t="array" ref="AP18">INDEX(Demand_previous!$D$4:$AY$138, MATCH('Staging Table'!$A18, Demand_previous!$B$4:$B$138, 0), MATCH(AP$4&amp;AP$5,Demand_previous!$D$2:$AY$2&amp;Demand_previous!$D$3:$AY$3, 0))/1000</f>
        <v>1.3636730769230765</v>
      </c>
      <c r="AQ18" s="384">
        <f t="array" ref="AQ18">INDEX(Demand_previous!$D$4:$AY$138, MATCH('Staging Table'!$A18, Demand_previous!$B$4:$B$138, 0), MATCH(AQ$4&amp;AQ$5,Demand_previous!$D$2:$AY$2&amp;Demand_previous!$D$3:$AY$3, 0))/1000</f>
        <v>0.35007500000000047</v>
      </c>
      <c r="AR18" s="384">
        <f t="array" ref="AR18">INDEX(Demand_previous!$D$4:$AY$138, MATCH('Staging Table'!$A18, Demand_previous!$B$4:$B$138, 0), MATCH(AR$4&amp;AR$5,Demand_previous!$D$2:$AY$2&amp;Demand_previous!$D$3:$AY$3, 0))/1000</f>
        <v>0.88335576923076942</v>
      </c>
      <c r="AS18" s="384">
        <f t="array" ref="AS18">INDEX(Demand_previous!$D$4:$AY$138, MATCH('Staging Table'!$A18, Demand_previous!$B$4:$B$138, 0), MATCH(AS$4&amp;AS$5,Demand_previous!$D$2:$AY$2&amp;Demand_previous!$D$3:$AY$3, 0))/1000</f>
        <v>0.82106249999999936</v>
      </c>
      <c r="AT18" s="384">
        <f t="array" ref="AT18">INDEX(Demand_previous!$D$4:$AY$138, MATCH('Staging Table'!$A18, Demand_previous!$B$4:$B$138, 0), MATCH(AT$4&amp;AT$5,Demand_previous!$D$2:$AY$2&amp;Demand_previous!$D$3:$AY$3, 0))/1000</f>
        <v>1.0864745370370377</v>
      </c>
      <c r="AU18" s="384">
        <f t="array" ref="AU18">INDEX(Demand_previous!$D$4:$AY$138, MATCH('Staging Table'!$A18, Demand_previous!$B$4:$B$138, 0), MATCH(AU$4&amp;AU$5,Demand_previous!$D$2:$AY$2&amp;Demand_previous!$D$3:$AY$3, 0))/1000</f>
        <v>1.1994149999999995</v>
      </c>
      <c r="AV18" s="384">
        <f>IF($D18=0,IF(C18=0, MAX(AY18 - (VLOOKUP($A18,TOCA_previous!$A$2:$AI$137,MATCH("RHWM 2016",TOCA_previous!$A$2:$AI$2,0),FALSE)*$F$2*TOCA_previous!C15),0),0), 0)</f>
        <v>1190.3071790765098</v>
      </c>
      <c r="AW18" s="427">
        <f>VLOOKUP($A18,REP_previous!$A$1:$D$135,MATCH("FY "&amp;$F$1&amp; " Total Refund",REP_previous!$A$1:$D$1,0),0)</f>
        <v>108952.17491767902</v>
      </c>
      <c r="AX18" s="398">
        <f>MIN(VLOOKUP($A18,TOCA_previous!$A$2:$AI$137,MATCH("TRL - NLSL - Exisiting Resource "&amp;$F$1,TOCA_previous!$A$2:$AI$2,0),FALSE)*$F$2,(VLOOKUP($A18,TOCA_previous!$A$2:$AI$137,MATCH("RHWM 2016",TOCA_previous!$A$2:$AI$2,0),FALSE)*$F$2))</f>
        <v>76078.224000000002</v>
      </c>
      <c r="AY18" s="384">
        <f>SUM(L18:AI18)+(F18*RT1SC!$C$3*$F$2)</f>
        <v>77268.531179076512</v>
      </c>
      <c r="AZ18" s="398">
        <f>VLOOKUP($A18,TOCA_previous!$A$2:$AI$137,MATCH("Above RHWM Not Served with LS "&amp;$F$1,TOCA_previous!$A$2:$AI$2,0),FALSE)*$F$2</f>
        <v>0</v>
      </c>
      <c r="BA18" s="206">
        <f t="shared" si="3"/>
        <v>1190.3071790765098</v>
      </c>
      <c r="BB18" s="399">
        <f>(VLOOKUP($A18,TOCA_previous!$A$2:$AI$137,MATCH("RHWM 2016",TOCA_previous!$A$2:$AI$2,0),FALSE)*$F$2) - $AX18</f>
        <v>0</v>
      </c>
      <c r="BC18" s="206">
        <f t="shared" si="4"/>
        <v>0</v>
      </c>
      <c r="BD18" s="400">
        <f t="shared" si="5"/>
        <v>0</v>
      </c>
      <c r="BE18" s="392">
        <f t="shared" si="6"/>
        <v>0</v>
      </c>
      <c r="BF18" s="399">
        <f t="shared" si="7"/>
        <v>0</v>
      </c>
      <c r="BG18" s="206">
        <f>VLOOKUP($A18,TOCA_current!$A$2:$AI$137,MATCH(BG$4,TOCA_current!$A$2:$AI$2,0),FALSE)</f>
        <v>1.2392E-3</v>
      </c>
      <c r="BH18" s="206">
        <f>VLOOKUP($A18,TOCA_current!$A$2:$AI$137,MATCH(BH$4,TOCA_current!$A$2:$AI$2,0),FALSE)</f>
        <v>1.2392E-3</v>
      </c>
      <c r="BI18" s="391">
        <f t="shared" si="8"/>
        <v>0</v>
      </c>
      <c r="BJ18" s="206">
        <f>VLOOKUP($A18,TOCA_current!A14:BG149,MATCH(BJ$4,TOCA_current!$A$2:$BG$2,0),FALSE)</f>
        <v>0</v>
      </c>
      <c r="BK18" s="206">
        <f t="shared" si="9"/>
        <v>0</v>
      </c>
      <c r="BL18" s="206">
        <f t="shared" si="10"/>
        <v>0</v>
      </c>
      <c r="BM18" s="381">
        <f>VLOOKUP($A18,IRD!$A$4:$G$139, 7, FALSE)</f>
        <v>0</v>
      </c>
      <c r="BN18" s="382">
        <f t="array" ref="BN18">IF($BI18=0, INDEX(LS_current!$D$4:$AY$139, MATCH('Staging Table'!$A18, LS_current!$B$4:$B$139, 0), MATCH(BN$4&amp;BN$5, LS_current!$D$2:$AY$2&amp;LS_current!$D$3:$AY$3, 0)),SUM(VLOOKUP($A18, LS_current!$B$4:$AY$139, LS_current!D$149, FALSE), VLOOKUP($A18, LS_current!$B$4:$AY$139,LS_current!D$149, FALSE))/2)</f>
        <v>81.562056675257281</v>
      </c>
      <c r="BO18" s="382">
        <f t="array" ref="BO18">IF($BI18=0, INDEX(LS_current!$D$4:$AY$139, MATCH('Staging Table'!$A18, LS_current!$B$4:$B$139, 0), MATCH(BO$4&amp;BO$5, LS_current!$D$2:$AY$2&amp;LS_current!$D$3:$AY$3, 0)),SUM(VLOOKUP($A18, LS_current!$B$4:$AY$139, LS_current!E$149, FALSE), VLOOKUP($A18, LS_current!$B$4:$AY$139,LS_current!E$149, FALSE))/2)</f>
        <v>460.14618817167434</v>
      </c>
      <c r="BP18" s="382">
        <f t="array" ref="BP18">IF($BI18=0, INDEX(LS_current!$D$4:$AY$139, MATCH('Staging Table'!$A18, LS_current!$B$4:$B$139, 0), MATCH(BP$4&amp;BP$5, LS_current!$D$2:$AY$2&amp;LS_current!$D$3:$AY$3, 0)),SUM(VLOOKUP($A18, LS_current!$B$4:$AY$139, LS_current!F$149, FALSE), VLOOKUP($A18, LS_current!$B$4:$AY$139,LS_current!F$149, FALSE))/2)</f>
        <v>-280.815545090456</v>
      </c>
      <c r="BQ18" s="382">
        <f t="array" ref="BQ18">IF($BI18=0, INDEX(LS_current!$D$4:$AY$139, MATCH('Staging Table'!$A18, LS_current!$B$4:$B$139, 0), MATCH(BQ$4&amp;BQ$5, LS_current!$D$2:$AY$2&amp;LS_current!$D$3:$AY$3, 0)),SUM(VLOOKUP($A18, LS_current!$B$4:$AY$139, LS_current!G$149, FALSE), VLOOKUP($A18, LS_current!$B$4:$AY$139,LS_current!G$149, FALSE))/2)</f>
        <v>190.26017411416296</v>
      </c>
      <c r="BR18" s="382">
        <f t="array" ref="BR18">IF($BI18=0, INDEX(LS_current!$D$4:$AY$139, MATCH('Staging Table'!$A18, LS_current!$B$4:$B$139, 0), MATCH(BR$4&amp;BR$5, LS_current!$D$2:$AY$2&amp;LS_current!$D$3:$AY$3, 0)),SUM(VLOOKUP($A18, LS_current!$B$4:$AY$139, LS_current!H$149, FALSE), VLOOKUP($A18, LS_current!$B$4:$AY$139,LS_current!H$149, FALSE))/2)</f>
        <v>75.896451135174175</v>
      </c>
      <c r="BS18" s="382">
        <f t="array" ref="BS18">IF($BI18=0, INDEX(LS_current!$D$4:$AY$139, MATCH('Staging Table'!$A18, LS_current!$B$4:$B$139, 0), MATCH(BS$4&amp;BS$5, LS_current!$D$2:$AY$2&amp;LS_current!$D$3:$AY$3, 0)),SUM(VLOOKUP($A18, LS_current!$B$4:$AY$139, LS_current!I$149, FALSE), VLOOKUP($A18, LS_current!$B$4:$AY$139,LS_current!I$149, FALSE))/2)</f>
        <v>560.73406940712903</v>
      </c>
      <c r="BT18" s="382">
        <f t="array" ref="BT18">IF($BI18=0, INDEX(LS_current!$D$4:$AY$139, MATCH('Staging Table'!$A18, LS_current!$B$4:$B$139, 0), MATCH(BT$4&amp;BT$5, LS_current!$D$2:$AY$2&amp;LS_current!$D$3:$AY$3, 0)),SUM(VLOOKUP($A18, LS_current!$B$4:$AY$139, LS_current!J$149, FALSE), VLOOKUP($A18, LS_current!$B$4:$AY$139,LS_current!J$149, FALSE))/2)</f>
        <v>975.27890218195807</v>
      </c>
      <c r="BU18" s="382">
        <f t="array" ref="BU18">IF($BI18=0, INDEX(LS_current!$D$4:$AY$139, MATCH('Staging Table'!$A18, LS_current!$B$4:$B$139, 0), MATCH(BU$4&amp;BU$5, LS_current!$D$2:$AY$2&amp;LS_current!$D$3:$AY$3, 0)),SUM(VLOOKUP($A18, LS_current!$B$4:$AY$139, LS_current!K$149, FALSE), VLOOKUP($A18, LS_current!$B$4:$AY$139,LS_current!K$149, FALSE))/2)</f>
        <v>839.09712383176975</v>
      </c>
      <c r="BV18" s="382">
        <f t="array" ref="BV18">IF($BI18=0, INDEX(LS_current!$D$4:$AY$139, MATCH('Staging Table'!$A18, LS_current!$B$4:$B$139, 0), MATCH(BV$4&amp;BV$5, LS_current!$D$2:$AY$2&amp;LS_current!$D$3:$AY$3, 0)),SUM(VLOOKUP($A18, LS_current!$B$4:$AY$139, LS_current!L$149, FALSE), VLOOKUP($A18, LS_current!$B$4:$AY$139,LS_current!L$149, FALSE))/2)</f>
        <v>1050.4625203522833</v>
      </c>
      <c r="BW18" s="382">
        <f t="array" ref="BW18">IF($BI18=0, INDEX(LS_current!$D$4:$AY$139, MATCH('Staging Table'!$A18, LS_current!$B$4:$B$139, 0), MATCH(BW$4&amp;BW$5, LS_current!$D$2:$AY$2&amp;LS_current!$D$3:$AY$3, 0)),SUM(VLOOKUP($A18, LS_current!$B$4:$AY$139, LS_current!M$149, FALSE), VLOOKUP($A18, LS_current!$B$4:$AY$139,LS_current!M$149, FALSE))/2)</f>
        <v>868.48019174493993</v>
      </c>
      <c r="BX18" s="382">
        <f t="array" ref="BX18">IF($BI18=0, INDEX(LS_current!$D$4:$AY$139, MATCH('Staging Table'!$A18, LS_current!$B$4:$B$139, 0), MATCH(BX$4&amp;BX$5, LS_current!$D$2:$AY$2&amp;LS_current!$D$3:$AY$3, 0)),SUM(VLOOKUP($A18, LS_current!$B$4:$AY$139, LS_current!N$149, FALSE), VLOOKUP($A18, LS_current!$B$4:$AY$139,LS_current!N$149, FALSE))/2)</f>
        <v>554.15794295129035</v>
      </c>
      <c r="BY18" s="382">
        <f t="array" ref="BY18">IF($BI18=0, INDEX(LS_current!$D$4:$AY$139, MATCH('Staging Table'!$A18, LS_current!$B$4:$B$139, 0), MATCH(BY$4&amp;BY$5, LS_current!$D$2:$AY$2&amp;LS_current!$D$3:$AY$3, 0)),SUM(VLOOKUP($A18, LS_current!$B$4:$AY$139, LS_current!O$149, FALSE), VLOOKUP($A18, LS_current!$B$4:$AY$139,LS_current!O$149, FALSE))/2)</f>
        <v>430.04989476833407</v>
      </c>
      <c r="BZ18" s="382">
        <f t="array" ref="BZ18">IF($BI18=0, INDEX(LS_current!$D$4:$AY$139, MATCH('Staging Table'!$A18, LS_current!$B$4:$B$139, 0), MATCH(BZ$4&amp;BZ$5, LS_current!$D$2:$AY$2&amp;LS_current!$D$3:$AY$3, 0)),SUM(VLOOKUP($A18, LS_current!$B$4:$AY$139, LS_current!P$149, FALSE), VLOOKUP($A18, LS_current!$B$4:$AY$139,LS_current!P$149, FALSE))/2)</f>
        <v>-49.632632297906639</v>
      </c>
      <c r="CA18" s="382">
        <f t="array" ref="CA18">IF($BI18=0, INDEX(LS_current!$D$4:$AY$139, MATCH('Staging Table'!$A18, LS_current!$B$4:$B$139, 0), MATCH(CA$4&amp;CA$5, LS_current!$D$2:$AY$2&amp;LS_current!$D$3:$AY$3, 0)),SUM(VLOOKUP($A18, LS_current!$B$4:$AY$139, LS_current!Q$149, FALSE), VLOOKUP($A18, LS_current!$B$4:$AY$139,LS_current!Q$149, FALSE))/2)</f>
        <v>453.11232230704536</v>
      </c>
      <c r="CB18" s="382">
        <f t="array" ref="CB18">IF($BI18=0, INDEX(LS_current!$D$4:$AY$139, MATCH('Staging Table'!$A18, LS_current!$B$4:$B$139, 0), MATCH(CB$4&amp;CB$5, LS_current!$D$2:$AY$2&amp;LS_current!$D$3:$AY$3, 0)),SUM(VLOOKUP($A18, LS_current!$B$4:$AY$139, LS_current!R$149, FALSE), VLOOKUP($A18, LS_current!$B$4:$AY$139,LS_current!R$149, FALSE))/2)</f>
        <v>-1830.8507580641135</v>
      </c>
      <c r="CC18" s="382">
        <f t="array" ref="CC18">IF($BI18=0, INDEX(LS_current!$D$4:$AY$139, MATCH('Staging Table'!$A18, LS_current!$B$4:$B$139, 0), MATCH(CC$4&amp;CC$5, LS_current!$D$2:$AY$2&amp;LS_current!$D$3:$AY$3, 0)),SUM(VLOOKUP($A18, LS_current!$B$4:$AY$139, LS_current!S$149, FALSE), VLOOKUP($A18, LS_current!$B$4:$AY$139,LS_current!S$149, FALSE))/2)</f>
        <v>-726.30310909935724</v>
      </c>
      <c r="CD18" s="382">
        <f t="array" ref="CD18">IF($BI18=0, INDEX(LS_current!$D$4:$AY$139, MATCH('Staging Table'!$A18, LS_current!$B$4:$B$139, 0), MATCH(CD$4&amp;CD$5, LS_current!$D$2:$AY$2&amp;LS_current!$D$3:$AY$3, 0)),SUM(VLOOKUP($A18, LS_current!$B$4:$AY$139, LS_current!T$149, FALSE), VLOOKUP($A18, LS_current!$B$4:$AY$139,LS_current!T$149, FALSE))/2)</f>
        <v>-905.54009313885399</v>
      </c>
      <c r="CE18" s="382">
        <f t="array" ref="CE18">IF($BI18=0, INDEX(LS_current!$D$4:$AY$139, MATCH('Staging Table'!$A18, LS_current!$B$4:$B$139, 0), MATCH(CE$4&amp;CE$5, LS_current!$D$2:$AY$2&amp;LS_current!$D$3:$AY$3, 0)),SUM(VLOOKUP($A18, LS_current!$B$4:$AY$139, LS_current!U$149, FALSE), VLOOKUP($A18, LS_current!$B$4:$AY$139,LS_current!U$149, FALSE))/2)</f>
        <v>-188.83959934556697</v>
      </c>
      <c r="CF18" s="382">
        <f t="array" ref="CF18">IF($BI18=0, INDEX(LS_current!$D$4:$AY$139, MATCH('Staging Table'!$A18, LS_current!$B$4:$B$139, 0), MATCH(CF$4&amp;CF$5, LS_current!$D$2:$AY$2&amp;LS_current!$D$3:$AY$3, 0)),SUM(VLOOKUP($A18, LS_current!$B$4:$AY$139, LS_current!V$149, FALSE), VLOOKUP($A18, LS_current!$B$4:$AY$139,LS_current!V$149, FALSE))/2)</f>
        <v>-445.55162414648612</v>
      </c>
      <c r="CG18" s="382">
        <f t="array" ref="CG18">IF($BI18=0, INDEX(LS_current!$D$4:$AY$139, MATCH('Staging Table'!$A18, LS_current!$B$4:$B$139, 0), MATCH(CG$4&amp;CG$5, LS_current!$D$2:$AY$2&amp;LS_current!$D$3:$AY$3, 0)),SUM(VLOOKUP($A18, LS_current!$B$4:$AY$139, LS_current!W$149, FALSE), VLOOKUP($A18, LS_current!$B$4:$AY$139,LS_current!W$149, FALSE))/2)</f>
        <v>439.93430305647826</v>
      </c>
      <c r="CH18" s="382">
        <f t="array" ref="CH18">IF($BI18=0, INDEX(LS_current!$D$4:$AY$139, MATCH('Staging Table'!$A18, LS_current!$B$4:$B$139, 0), MATCH(CH$4&amp;CH$5, LS_current!$D$2:$AY$2&amp;LS_current!$D$3:$AY$3, 0)),SUM(VLOOKUP($A18, LS_current!$B$4:$AY$139, LS_current!X$149, FALSE), VLOOKUP($A18, LS_current!$B$4:$AY$139,LS_current!X$149, FALSE))/2)</f>
        <v>-665.85881611315199</v>
      </c>
      <c r="CI18" s="382">
        <f t="array" ref="CI18">IF($BI18=0, INDEX(LS_current!$D$4:$AY$139, MATCH('Staging Table'!$A18, LS_current!$B$4:$B$139, 0), MATCH(CI$4&amp;CI$5, LS_current!$D$2:$AY$2&amp;LS_current!$D$3:$AY$3, 0)),SUM(VLOOKUP($A18, LS_current!$B$4:$AY$139, LS_current!Y$149, FALSE), VLOOKUP($A18, LS_current!$B$4:$AY$139,LS_current!Y$149, FALSE))/2)</f>
        <v>73.012644665929656</v>
      </c>
      <c r="CJ18" s="382">
        <f t="array" ref="CJ18">IF($BI18=0, INDEX(LS_current!$D$4:$AY$139, MATCH('Staging Table'!$A18, LS_current!$B$4:$B$139, 0), MATCH(CJ$4&amp;CJ$5, LS_current!$D$2:$AY$2&amp;LS_current!$D$3:$AY$3, 0)),SUM(VLOOKUP($A18, LS_current!$B$4:$AY$139, LS_current!Z$149, FALSE), VLOOKUP($A18, LS_current!$B$4:$AY$139,LS_current!Z$149, FALSE))/2)</f>
        <v>-372.54195354600006</v>
      </c>
      <c r="CK18" s="382">
        <f t="array" ref="CK18">IF($BI18=0, INDEX(LS_current!$D$4:$AY$139, MATCH('Staging Table'!$A18, LS_current!$B$4:$B$139, 0), MATCH(CK$4&amp;CK$5, LS_current!$D$2:$AY$2&amp;LS_current!$D$3:$AY$3, 0)),SUM(VLOOKUP($A18, LS_current!$B$4:$AY$139, LS_current!AA$149, FALSE), VLOOKUP($A18, LS_current!$B$4:$AY$139,LS_current!AA$149, FALSE))/2)</f>
        <v>293.25573570710003</v>
      </c>
      <c r="CL18" s="384">
        <f t="array" ref="CL18">INDEX(Demand_current!$D$4:$AY$138, MATCH($A18, Demand_current!$B$4:$B$138, 0), MATCH(CL$4&amp;CL$5,Demand_current!$D$2:$AY$2&amp;Demand_current!$D$3:$AY$3, 0))/1000</f>
        <v>0.73139903846153853</v>
      </c>
      <c r="CM18" s="384">
        <f t="array" ref="CM18">INDEX(Demand_current!$D$4:$AY$138, MATCH($A18, Demand_current!$B$4:$B$138, 0), MATCH(CM$4&amp;CM$5,Demand_current!$D$2:$AY$2&amp;Demand_current!$D$3:$AY$3, 0))/1000</f>
        <v>0.78360999999999859</v>
      </c>
      <c r="CN18" s="384">
        <f t="array" ref="CN18">INDEX(Demand_current!$D$4:$AY$138, MATCH($A18, Demand_current!$B$4:$B$138, 0), MATCH(CN$4&amp;CN$5,Demand_current!$D$2:$AY$2&amp;Demand_current!$D$3:$AY$3, 0))/1000</f>
        <v>1.5987</v>
      </c>
      <c r="CO18" s="384">
        <f t="array" ref="CO18">INDEX(Demand_current!$D$4:$AY$138, MATCH($A18, Demand_current!$B$4:$B$138, 0), MATCH(CO$4&amp;CO$5,Demand_current!$D$2:$AY$2&amp;Demand_current!$D$3:$AY$3, 0))/1000</f>
        <v>1.2947019230769232</v>
      </c>
      <c r="CP18" s="384">
        <f t="array" ref="CP18">INDEX(Demand_current!$D$4:$AY$138, MATCH($A18, Demand_current!$B$4:$B$138, 0), MATCH(CP$4&amp;CP$5,Demand_current!$D$2:$AY$2&amp;Demand_current!$D$3:$AY$3, 0))/1000</f>
        <v>1.087346354166667</v>
      </c>
      <c r="CQ18" s="384">
        <f t="array" ref="CQ18">INDEX(Demand_current!$D$4:$AY$138, MATCH($A18, Demand_current!$B$4:$B$138, 0), MATCH(CQ$4&amp;CQ$5,Demand_current!$D$2:$AY$2&amp;Demand_current!$D$3:$AY$3, 0))/1000</f>
        <v>1.2592708333333333</v>
      </c>
      <c r="CR18" s="384">
        <f t="array" ref="CR18">INDEX(Demand_current!$D$4:$AY$138, MATCH($A18, Demand_current!$B$4:$B$138, 0), MATCH(CR$4&amp;CR$5,Demand_current!$D$2:$AY$2&amp;Demand_current!$D$3:$AY$3, 0))/1000</f>
        <v>1.0187399999999995</v>
      </c>
      <c r="CS18" s="384">
        <f t="array" ref="CS18">INDEX(Demand_current!$D$4:$AY$138, MATCH($A18, Demand_current!$B$4:$B$138, 0), MATCH(CS$4&amp;CS$5,Demand_current!$D$2:$AY$2&amp;Demand_current!$D$3:$AY$3, 0))/1000</f>
        <v>0.68261057692307692</v>
      </c>
      <c r="CT18" s="384">
        <f t="array" ref="CT18">INDEX(Demand_current!$D$4:$AY$138, MATCH($A18, Demand_current!$B$4:$B$138, 0), MATCH(CT$4&amp;CT$5,Demand_current!$D$2:$AY$2&amp;Demand_current!$D$3:$AY$3, 0))/1000</f>
        <v>0.88335576923076942</v>
      </c>
      <c r="CU18" s="384">
        <f t="array" ref="CU18">INDEX(Demand_current!$D$4:$AY$138, MATCH($A18, Demand_current!$B$4:$B$138, 0), MATCH(CU$4&amp;CU$5,Demand_current!$D$2:$AY$2&amp;Demand_current!$D$3:$AY$3, 0))/1000</f>
        <v>0.82106249999999936</v>
      </c>
      <c r="CV18" s="384">
        <f t="array" ref="CV18">INDEX(Demand_current!$D$4:$AY$138, MATCH($A18, Demand_current!$B$4:$B$138, 0), MATCH(CV$4&amp;CV$5,Demand_current!$D$2:$AY$2&amp;Demand_current!$D$3:$AY$3, 0))/1000</f>
        <v>1.0864745370370377</v>
      </c>
      <c r="CW18" s="384">
        <f t="array" ref="CW18">INDEX(Demand_current!$D$4:$AY$138, MATCH($A18, Demand_current!$B$4:$B$138, 0), MATCH(CW$4&amp;CW$5,Demand_current!$D$2:$AY$2&amp;Demand_current!$D$3:$AY$3, 0))/1000</f>
        <v>0.85409895833333249</v>
      </c>
      <c r="CX18" s="384">
        <f>IF(D18=0,IF(C18=0,MAX(0,DA18 - (VLOOKUP($A18,TOCA_current!$A$2:$AI$137,MATCH("RHWM 2018",TOCA_current!$A$2:$AI$2,0),FALSE)*$BH$2)), 0),0)</f>
        <v>1879.9720998606208</v>
      </c>
      <c r="CY18" s="427">
        <f>VLOOKUP($A18,REP_current!$A$1:$D$135,MATCH("FY "&amp;$BH$1&amp; " Total Refund",REP_current!$A$1:$D$1,0),0)</f>
        <v>109661.91720420276</v>
      </c>
      <c r="CZ18" s="432">
        <f>MIN(VLOOKUP($A18,TOCA_current!$A$2:$AI$137,MATCH("TRL - NLSL - Existing Resource "&amp;$BH$1,TOCA_current!$A$2:$AI$2,0),FALSE)*$BH$2, VLOOKUP($A18,TOCA_current!$A$2:$AI$137,MATCH("RHWM 2018",TOCA_current!$A$2:$AI$2,0),FALSE)*$BH$2)</f>
        <v>75388.56</v>
      </c>
      <c r="DA18" s="397">
        <f>SUM(BN18:CK18)+(BH18*RT1SC!$C$4*$BH$2)</f>
        <v>77268.532099860618</v>
      </c>
      <c r="DB18" s="432">
        <f>VLOOKUP($A18,TOCA_current!$A$2:$AI$137,MATCH("Above RHWM Not Served with LS "&amp;$BH$1,TOCA_current!$A$2:$AI$2,0),FALSE)*$BH$2</f>
        <v>0</v>
      </c>
      <c r="DC18" s="401">
        <f t="shared" si="11"/>
        <v>1879.9720998606208</v>
      </c>
      <c r="DD18" s="397">
        <f>(VLOOKUP($A18,TOCA_current!$A$2:$AI$137,MATCH("RHWM 2018",TOCA_current!$A$2:$AI$2,0),FALSE)*$BH$2) - $CZ18</f>
        <v>0</v>
      </c>
      <c r="DE18" s="397">
        <f t="shared" si="12"/>
        <v>0</v>
      </c>
      <c r="DF18" s="397">
        <f t="shared" si="13"/>
        <v>0</v>
      </c>
      <c r="DG18" s="397">
        <f t="shared" si="14"/>
        <v>0</v>
      </c>
      <c r="DH18" s="397">
        <f t="shared" si="15"/>
        <v>0</v>
      </c>
    </row>
    <row r="19" spans="1:112">
      <c r="A19" s="274">
        <v>10062</v>
      </c>
      <c r="B19" s="275" t="s">
        <v>20</v>
      </c>
      <c r="C19" s="397">
        <v>0</v>
      </c>
      <c r="D19" s="397">
        <v>0</v>
      </c>
      <c r="E19" s="205">
        <f>VLOOKUP($A19,TOCA_previous!$A$2:$AI$137,MATCH(E$4,TOCA_previous!$A$2:$AI$2,0),FALSE)</f>
        <v>7.5440000000000001E-4</v>
      </c>
      <c r="F19" s="206">
        <f>VLOOKUP($A19,TOCA_previous!$A$2:$AI$137,MATCH(F$4,TOCA_previous!$A$2:$AI$2,0),FALSE)</f>
        <v>7.5440000000000001E-4</v>
      </c>
      <c r="G19" s="206">
        <f t="shared" si="0"/>
        <v>0</v>
      </c>
      <c r="H19" s="206">
        <f>VLOOKUP($A19,TOCA_previous!$A$2:$AI$137,MATCH(H$4,TOCA_previous!$A$2:$AI$2,0),FALSE)</f>
        <v>0</v>
      </c>
      <c r="I19" s="206">
        <f t="shared" si="1"/>
        <v>0</v>
      </c>
      <c r="J19" s="206">
        <f t="shared" si="2"/>
        <v>0</v>
      </c>
      <c r="K19" s="381">
        <f>VLOOKUP(A19, IRD!$A$5:$C$139, 3, FALSE)</f>
        <v>0</v>
      </c>
      <c r="L19" s="382">
        <f t="array" ref="L19">IF($G19=0, INDEX(LS_previous!$D$4:$AY$138, MATCH('Staging Table'!$A19, LS_previous!$B$4:$B$138, 0), MATCH(L$4&amp;L$5, LS_previous!$D$2:$AY$2&amp;LS_previous!$D$3:$AY$3, 0)),SUM(VLOOKUP($A19, LS_previous!$B$4:$AY$138, LS_previous!D$149, FALSE), VLOOKUP('Staging Table'!$A19, LS_previous!$B$4:$AY$138,LS_previous!AB$149, FALSE))/2)</f>
        <v>991.34719109652724</v>
      </c>
      <c r="M19" s="382">
        <f t="array" ref="M19">IF($G19=0, INDEX(LS_previous!$D$4:$AY$138, MATCH('Staging Table'!$A19, LS_previous!$B$4:$B$138, 0), MATCH(M$4&amp;M$5, LS_previous!$D$2:$AY$2&amp;LS_previous!$D$3:$AY$3, 0)),SUM(VLOOKUP($A19, LS_previous!$B$4:$AY$138, LS_previous!E$149, FALSE), VLOOKUP('Staging Table'!$A19, LS_previous!$B$4:$AY$138,LS_previous!AC$149, FALSE))/2)</f>
        <v>240.2709349080817</v>
      </c>
      <c r="N19" s="382">
        <f t="array" ref="N19">IF($G19=0, INDEX(LS_previous!$D$4:$AY$138, MATCH('Staging Table'!$A19, LS_previous!$B$4:$B$138, 0), MATCH(N$4&amp;N$5, LS_previous!$D$2:$AY$2&amp;LS_previous!$D$3:$AY$3, 0)),SUM(VLOOKUP($A19, LS_previous!$B$4:$AY$138, LS_previous!F$149, FALSE), VLOOKUP('Staging Table'!$A19, LS_previous!$B$4:$AY$138,LS_previous!AD$149, FALSE))/2)</f>
        <v>1069.3434421231409</v>
      </c>
      <c r="O19" s="382">
        <f t="array" ref="O19">IF($G19=0, INDEX(LS_previous!$D$4:$AY$138, MATCH('Staging Table'!$A19, LS_previous!$B$4:$B$138, 0), MATCH(O$4&amp;O$5, LS_previous!$D$2:$AY$2&amp;LS_previous!$D$3:$AY$3, 0)),SUM(VLOOKUP($A19, LS_previous!$B$4:$AY$138, LS_previous!G$149, FALSE), VLOOKUP('Staging Table'!$A19, LS_previous!$B$4:$AY$138,LS_previous!AE$149, FALSE))/2)</f>
        <v>558.56171371364871</v>
      </c>
      <c r="P19" s="382">
        <f t="array" ref="P19">IF($G19=0, INDEX(LS_previous!$D$4:$AY$138, MATCH('Staging Table'!$A19, LS_previous!$B$4:$B$138, 0), MATCH(P$4&amp;P$5, LS_previous!$D$2:$AY$2&amp;LS_previous!$D$3:$AY$3, 0)),SUM(VLOOKUP($A19, LS_previous!$B$4:$AY$138, LS_previous!H$149, FALSE), VLOOKUP('Staging Table'!$A19, LS_previous!$B$4:$AY$138,LS_previous!AF$149, FALSE))/2)</f>
        <v>2132.5966949800641</v>
      </c>
      <c r="Q19" s="382">
        <f t="array" ref="Q19">IF($G19=0, INDEX(LS_previous!$D$4:$AY$138, MATCH('Staging Table'!$A19, LS_previous!$B$4:$B$138, 0), MATCH(Q$4&amp;Q$5, LS_previous!$D$2:$AY$2&amp;LS_previous!$D$3:$AY$3, 0)),SUM(VLOOKUP($A19, LS_previous!$B$4:$AY$138, LS_previous!I$149, FALSE), VLOOKUP('Staging Table'!$A19, LS_previous!$B$4:$AY$138,LS_previous!AG$149, FALSE))/2)</f>
        <v>1227.7681800819246</v>
      </c>
      <c r="R19" s="382">
        <f t="array" ref="R19">IF($G19=0, INDEX(LS_previous!$D$4:$AY$138, MATCH('Staging Table'!$A19, LS_previous!$B$4:$B$138, 0), MATCH(R$4&amp;R$5, LS_previous!$D$2:$AY$2&amp;LS_previous!$D$3:$AY$3, 0)),SUM(VLOOKUP($A19, LS_previous!$B$4:$AY$138, LS_previous!J$149, FALSE), VLOOKUP('Staging Table'!$A19, LS_previous!$B$4:$AY$138,LS_previous!AH$149, FALSE))/2)</f>
        <v>2371.1977177385838</v>
      </c>
      <c r="S19" s="382">
        <f t="array" ref="S19">IF($G19=0, INDEX(LS_previous!$D$4:$AY$138, MATCH('Staging Table'!$A19, LS_previous!$B$4:$B$138, 0), MATCH(S$4&amp;S$5, LS_previous!$D$2:$AY$2&amp;LS_previous!$D$3:$AY$3, 0)),SUM(VLOOKUP($A19, LS_previous!$B$4:$AY$138, LS_previous!K$149, FALSE), VLOOKUP('Staging Table'!$A19, LS_previous!$B$4:$AY$138,LS_previous!AI$149, FALSE))/2)</f>
        <v>1438.4104925006077</v>
      </c>
      <c r="T19" s="382">
        <f t="array" ref="T19">IF($G19=0, INDEX(LS_previous!$D$4:$AY$138, MATCH('Staging Table'!$A19, LS_previous!$B$4:$B$138, 0), MATCH(T$4&amp;T$5, LS_previous!$D$2:$AY$2&amp;LS_previous!$D$3:$AY$3, 0)),SUM(VLOOKUP($A19, LS_previous!$B$4:$AY$138, LS_previous!L$149, FALSE), VLOOKUP('Staging Table'!$A19, LS_previous!$B$4:$AY$138,LS_previous!AJ$149, FALSE))/2)</f>
        <v>1918.4385086574557</v>
      </c>
      <c r="U19" s="382">
        <f t="array" ref="U19">IF($G19=0, INDEX(LS_previous!$D$4:$AY$138, MATCH('Staging Table'!$A19, LS_previous!$B$4:$B$138, 0), MATCH(U$4&amp;U$5, LS_previous!$D$2:$AY$2&amp;LS_previous!$D$3:$AY$3, 0)),SUM(VLOOKUP($A19, LS_previous!$B$4:$AY$138, LS_previous!M$149, FALSE), VLOOKUP('Staging Table'!$A19, LS_previous!$B$4:$AY$138,LS_previous!AK$149, FALSE))/2)</f>
        <v>1007.9131460200044</v>
      </c>
      <c r="V19" s="382">
        <f t="array" ref="V19">IF($G19=0, INDEX(LS_previous!$D$4:$AY$138, MATCH('Staging Table'!$A19, LS_previous!$B$4:$B$138, 0), MATCH(V$4&amp;V$5, LS_previous!$D$2:$AY$2&amp;LS_previous!$D$3:$AY$3, 0)),SUM(VLOOKUP($A19, LS_previous!$B$4:$AY$138, LS_previous!N$149, FALSE), VLOOKUP('Staging Table'!$A19, LS_previous!$B$4:$AY$138,LS_previous!AL$149, FALSE))/2)</f>
        <v>1284.8506323463794</v>
      </c>
      <c r="W19" s="382">
        <f t="array" ref="W19">IF($G19=0, INDEX(LS_previous!$D$4:$AY$138, MATCH('Staging Table'!$A19, LS_previous!$B$4:$B$138, 0), MATCH(W$4&amp;W$5, LS_previous!$D$2:$AY$2&amp;LS_previous!$D$3:$AY$3, 0)),SUM(VLOOKUP($A19, LS_previous!$B$4:$AY$138, LS_previous!O$149, FALSE), VLOOKUP('Staging Table'!$A19, LS_previous!$B$4:$AY$138,LS_previous!AM$149, FALSE))/2)</f>
        <v>476.9002173437209</v>
      </c>
      <c r="X19" s="382">
        <f t="array" ref="X19">IF($G19=0, INDEX(LS_previous!$D$4:$AY$138, MATCH('Staging Table'!$A19, LS_previous!$B$4:$B$138, 0), MATCH(X$4&amp;X$5, LS_previous!$D$2:$AY$2&amp;LS_previous!$D$3:$AY$3, 0)),SUM(VLOOKUP($A19, LS_previous!$B$4:$AY$138, LS_previous!P$149, FALSE), VLOOKUP('Staging Table'!$A19, LS_previous!$B$4:$AY$138,LS_previous!AN$149, FALSE))/2)</f>
        <v>742.86703785194095</v>
      </c>
      <c r="Y19" s="382">
        <f t="array" ref="Y19">IF($G19=0, INDEX(LS_previous!$D$4:$AY$138, MATCH('Staging Table'!$A19, LS_previous!$B$4:$B$138, 0), MATCH(Y$4&amp;Y$5, LS_previous!$D$2:$AY$2&amp;LS_previous!$D$3:$AY$3, 0)),SUM(VLOOKUP($A19, LS_previous!$B$4:$AY$138, LS_previous!Q$149, FALSE), VLOOKUP('Staging Table'!$A19, LS_previous!$B$4:$AY$138,LS_previous!AO$149, FALSE))/2)</f>
        <v>-28.357023017766096</v>
      </c>
      <c r="Z19" s="382">
        <f t="array" ref="Z19">IF($G19=0, INDEX(LS_previous!$D$4:$AY$138, MATCH('Staging Table'!$A19, LS_previous!$B$4:$B$138, 0), MATCH(Z$4&amp;Z$5, LS_previous!$D$2:$AY$2&amp;LS_previous!$D$3:$AY$3, 0)),SUM(VLOOKUP($A19, LS_previous!$B$4:$AY$138, LS_previous!R$149, FALSE), VLOOKUP('Staging Table'!$A19, LS_previous!$B$4:$AY$138,LS_previous!AP$149, FALSE))/2)</f>
        <v>-1593.3667234885697</v>
      </c>
      <c r="AA19" s="382">
        <f t="array" ref="AA19">IF($G19=0, INDEX(LS_previous!$D$4:$AY$138, MATCH('Staging Table'!$A19, LS_previous!$B$4:$B$138, 0), MATCH(AA$4&amp;AA$5, LS_previous!$D$2:$AY$2&amp;LS_previous!$D$3:$AY$3, 0)),SUM(VLOOKUP($A19, LS_previous!$B$4:$AY$138, LS_previous!S$149, FALSE), VLOOKUP('Staging Table'!$A19, LS_previous!$B$4:$AY$138,LS_previous!AQ$149, FALSE))/2)</f>
        <v>-1322.6853941093395</v>
      </c>
      <c r="AB19" s="382">
        <f t="array" ref="AB19">IF($G19=0, INDEX(LS_previous!$D$4:$AY$138, MATCH('Staging Table'!$A19, LS_previous!$B$4:$B$138, 0), MATCH(AB$4&amp;AB$5, LS_previous!$D$2:$AY$2&amp;LS_previous!$D$3:$AY$3, 0)),SUM(VLOOKUP($A19, LS_previous!$B$4:$AY$138, LS_previous!T$149, FALSE), VLOOKUP('Staging Table'!$A19, LS_previous!$B$4:$AY$138,LS_previous!AR$149, FALSE))/2)</f>
        <v>-905.88978342202199</v>
      </c>
      <c r="AC19" s="382">
        <f t="array" ref="AC19">IF($G19=0, INDEX(LS_previous!$D$4:$AY$138, MATCH('Staging Table'!$A19, LS_previous!$B$4:$B$138, 0), MATCH(AC$4&amp;AC$5, LS_previous!$D$2:$AY$2&amp;LS_previous!$D$3:$AY$3, 0)),SUM(VLOOKUP($A19, LS_previous!$B$4:$AY$138, LS_previous!U$149, FALSE), VLOOKUP('Staging Table'!$A19, LS_previous!$B$4:$AY$138,LS_previous!AS$149, FALSE))/2)</f>
        <v>-1061.0029579625598</v>
      </c>
      <c r="AD19" s="382">
        <f t="array" ref="AD19">IF($G19=0, INDEX(LS_previous!$D$4:$AY$138, MATCH('Staging Table'!$A19, LS_previous!$B$4:$B$138, 0), MATCH(AD$4&amp;AD$5, LS_previous!$D$2:$AY$2&amp;LS_previous!$D$3:$AY$3, 0)),SUM(VLOOKUP($A19, LS_previous!$B$4:$AY$138, LS_previous!V$149, FALSE), VLOOKUP('Staging Table'!$A19, LS_previous!$B$4:$AY$138,LS_previous!AT$149, FALSE))/2)</f>
        <v>-102.7116288891275</v>
      </c>
      <c r="AE19" s="382">
        <f t="array" ref="AE19">IF($G19=0, INDEX(LS_previous!$D$4:$AY$138, MATCH('Staging Table'!$A19, LS_previous!$B$4:$B$138, 0), MATCH(AE$4&amp;AE$5, LS_previous!$D$2:$AY$2&amp;LS_previous!$D$3:$AY$3, 0)),SUM(VLOOKUP($A19, LS_previous!$B$4:$AY$138, LS_previous!W$149, FALSE), VLOOKUP('Staging Table'!$A19, LS_previous!$B$4:$AY$138,LS_previous!AU$149, FALSE))/2)</f>
        <v>-459.56794083515115</v>
      </c>
      <c r="AF19" s="382">
        <f t="array" ref="AF19">IF($G19=0, INDEX(LS_previous!$D$4:$AY$138, MATCH('Staging Table'!$A19, LS_previous!$B$4:$B$138, 0), MATCH(AF$4&amp;AF$5, LS_previous!$D$2:$AY$2&amp;LS_previous!$D$3:$AY$3, 0)),SUM(VLOOKUP($A19, LS_previous!$B$4:$AY$138, LS_previous!X$149, FALSE), VLOOKUP('Staging Table'!$A19, LS_previous!$B$4:$AY$138,LS_previous!AV$149, FALSE))/2)</f>
        <v>466.53142700211538</v>
      </c>
      <c r="AG19" s="382">
        <f t="array" ref="AG19">IF($G19=0, INDEX(LS_previous!$D$4:$AY$138, MATCH('Staging Table'!$A19, LS_previous!$B$4:$B$138, 0), MATCH(AG$4&amp;AG$5, LS_previous!$D$2:$AY$2&amp;LS_previous!$D$3:$AY$3, 0)),SUM(VLOOKUP($A19, LS_previous!$B$4:$AY$138, LS_previous!Y$149, FALSE), VLOOKUP('Staging Table'!$A19, LS_previous!$B$4:$AY$138,LS_previous!AW$149, FALSE))/2)</f>
        <v>42.69498613537985</v>
      </c>
      <c r="AH19" s="382">
        <f t="array" ref="AH19">IF($G19=0, INDEX(LS_previous!$D$4:$AY$138, MATCH('Staging Table'!$A19, LS_previous!$B$4:$B$138, 0), MATCH(AH$4&amp;AH$5, LS_previous!$D$2:$AY$2&amp;LS_previous!$D$3:$AY$3, 0)),SUM(VLOOKUP($A19, LS_previous!$B$4:$AY$138, LS_previous!Z$149, FALSE), VLOOKUP('Staging Table'!$A19, LS_previous!$B$4:$AY$138,LS_previous!AX$149, FALSE))/2)</f>
        <v>887.58254602539978</v>
      </c>
      <c r="AI19" s="382">
        <f t="array" ref="AI19">IF($G19=0, INDEX(LS_previous!$D$4:$AY$138, MATCH('Staging Table'!$A19, LS_previous!$B$4:$B$138, 0), MATCH(AI$4&amp;AI$5, LS_previous!$D$2:$AY$2&amp;LS_previous!$D$3:$AY$3, 0)),SUM(VLOOKUP($A19, LS_previous!$B$4:$AY$138, LS_previous!AA$149, FALSE), VLOOKUP('Staging Table'!$A19, LS_previous!$B$4:$AY$138,LS_previous!AY$149, FALSE))/2)</f>
        <v>173.42027010505194</v>
      </c>
      <c r="AJ19" s="384">
        <f t="array" ref="AJ19">INDEX(Demand_previous!$D$4:$AY$138, MATCH('Staging Table'!$A19, Demand_previous!$B$4:$B$138, 0), MATCH(AJ$4&amp;AJ$5,Demand_previous!$D$2:$AY$2&amp;Demand_previous!$D$3:$AY$3, 0))/1000</f>
        <v>1.0770370370370386</v>
      </c>
      <c r="AK19" s="384">
        <f t="array" ref="AK19">INDEX(Demand_previous!$D$4:$AY$138, MATCH('Staging Table'!$A19, Demand_previous!$B$4:$B$138, 0), MATCH(AK$4&amp;AK$5,Demand_previous!$D$2:$AY$2&amp;Demand_previous!$D$3:$AY$3, 0))/1000</f>
        <v>1.2102526041666659</v>
      </c>
      <c r="AL19" s="384">
        <f t="array" ref="AL19">INDEX(Demand_previous!$D$4:$AY$138, MATCH('Staging Table'!$A19, Demand_previous!$B$4:$B$138, 0), MATCH(AL$4&amp;AL$5,Demand_previous!$D$2:$AY$2&amp;Demand_previous!$D$3:$AY$3, 0))/1000</f>
        <v>1.8578028846153851</v>
      </c>
      <c r="AM19" s="384">
        <f t="array" ref="AM19">INDEX(Demand_previous!$D$4:$AY$138, MATCH('Staging Table'!$A19, Demand_previous!$B$4:$B$138, 0), MATCH(AM$4&amp;AM$5,Demand_previous!$D$2:$AY$2&amp;Demand_previous!$D$3:$AY$3, 0))/1000</f>
        <v>1.2037499999999999</v>
      </c>
      <c r="AN19" s="384">
        <f t="array" ref="AN19">INDEX(Demand_previous!$D$4:$AY$138, MATCH('Staging Table'!$A19, Demand_previous!$B$4:$B$138, 0), MATCH(AN$4&amp;AN$5,Demand_previous!$D$2:$AY$2&amp;Demand_previous!$D$3:$AY$3, 0))/1000</f>
        <v>1.6790075</v>
      </c>
      <c r="AO19" s="384">
        <f t="array" ref="AO19">INDEX(Demand_previous!$D$4:$AY$138, MATCH('Staging Table'!$A19, Demand_previous!$B$4:$B$138, 0), MATCH(AO$4&amp;AO$5,Demand_previous!$D$2:$AY$2&amp;Demand_previous!$D$3:$AY$3, 0))/1000</f>
        <v>1.3140092592592587</v>
      </c>
      <c r="AP19" s="384">
        <f t="array" ref="AP19">INDEX(Demand_previous!$D$4:$AY$138, MATCH('Staging Table'!$A19, Demand_previous!$B$4:$B$138, 0), MATCH(AP$4&amp;AP$5,Demand_previous!$D$2:$AY$2&amp;Demand_previous!$D$3:$AY$3, 0))/1000</f>
        <v>1.2642043269230774</v>
      </c>
      <c r="AQ19" s="384">
        <f t="array" ref="AQ19">INDEX(Demand_previous!$D$4:$AY$138, MATCH('Staging Table'!$A19, Demand_previous!$B$4:$B$138, 0), MATCH(AQ$4&amp;AQ$5,Demand_previous!$D$2:$AY$2&amp;Demand_previous!$D$3:$AY$3, 0))/1000</f>
        <v>0.2758649999999998</v>
      </c>
      <c r="AR19" s="384">
        <f t="array" ref="AR19">INDEX(Demand_previous!$D$4:$AY$138, MATCH('Staging Table'!$A19, Demand_previous!$B$4:$B$138, 0), MATCH(AR$4&amp;AR$5,Demand_previous!$D$2:$AY$2&amp;Demand_previous!$D$3:$AY$3, 0))/1000</f>
        <v>0.70315384615384535</v>
      </c>
      <c r="AS19" s="384">
        <f t="array" ref="AS19">INDEX(Demand_previous!$D$4:$AY$138, MATCH('Staging Table'!$A19, Demand_previous!$B$4:$B$138, 0), MATCH(AS$4&amp;AS$5,Demand_previous!$D$2:$AY$2&amp;Demand_previous!$D$3:$AY$3, 0))/1000</f>
        <v>1.0367824999999993</v>
      </c>
      <c r="AT19" s="384">
        <f t="array" ref="AT19">INDEX(Demand_previous!$D$4:$AY$138, MATCH('Staging Table'!$A19, Demand_previous!$B$4:$B$138, 0), MATCH(AT$4&amp;AT$5,Demand_previous!$D$2:$AY$2&amp;Demand_previous!$D$3:$AY$3, 0))/1000</f>
        <v>1.1142800925925929</v>
      </c>
      <c r="AU19" s="384">
        <f t="array" ref="AU19">INDEX(Demand_previous!$D$4:$AY$138, MATCH('Staging Table'!$A19, Demand_previous!$B$4:$B$138, 0), MATCH(AU$4&amp;AU$5,Demand_previous!$D$2:$AY$2&amp;Demand_previous!$D$3:$AY$3, 0))/1000</f>
        <v>0.99964750000000069</v>
      </c>
      <c r="AV19" s="384">
        <f>IF($D19=0,IF(C19=0, MAX(AY19 - (VLOOKUP($A19,TOCA_previous!$A$2:$AI$137,MATCH("RHWM 2016",TOCA_previous!$A$2:$AI$2,0),FALSE)*$F$2*TOCA_previous!C16),0),0), 0)</f>
        <v>11557.459108921488</v>
      </c>
      <c r="AW19" s="427">
        <f>VLOOKUP($A19,REP_previous!$A$1:$D$135,MATCH("FY "&amp;$F$1&amp; " Total Refund",REP_previous!$A$1:$D$1,0),0)</f>
        <v>75055.468138536322</v>
      </c>
      <c r="AX19" s="398">
        <f>MIN(VLOOKUP($A19,TOCA_previous!$A$2:$AI$137,MATCH("TRL - NLSL - Exisiting Resource "&amp;$F$1,TOCA_previous!$A$2:$AI$2,0),FALSE)*$F$2,(VLOOKUP($A19,TOCA_previous!$A$2:$AI$137,MATCH("RHWM 2016",TOCA_previous!$A$2:$AI$2,0),FALSE)*$F$2))</f>
        <v>46274.112000000001</v>
      </c>
      <c r="AY19" s="384">
        <f>SUM(L19:AI19)+(F19*RT1SC!$C$3*$F$2)</f>
        <v>57831.571108921489</v>
      </c>
      <c r="AZ19" s="398">
        <f>VLOOKUP($A19,TOCA_previous!$A$2:$AI$137,MATCH("Above RHWM Not Served with LS "&amp;$F$1,TOCA_previous!$A$2:$AI$2,0),FALSE)*$F$2</f>
        <v>0</v>
      </c>
      <c r="BA19" s="206">
        <f t="shared" si="3"/>
        <v>11557.459108921488</v>
      </c>
      <c r="BB19" s="399">
        <f>(VLOOKUP($A19,TOCA_previous!$A$2:$AI$137,MATCH("RHWM 2016",TOCA_previous!$A$2:$AI$2,0),FALSE)*$F$2) - $AX19</f>
        <v>0</v>
      </c>
      <c r="BC19" s="206">
        <f t="shared" si="4"/>
        <v>0</v>
      </c>
      <c r="BD19" s="400">
        <f t="shared" si="5"/>
        <v>0</v>
      </c>
      <c r="BE19" s="392">
        <f t="shared" si="6"/>
        <v>0</v>
      </c>
      <c r="BF19" s="399">
        <f t="shared" si="7"/>
        <v>0</v>
      </c>
      <c r="BG19" s="206">
        <f>VLOOKUP($A19,TOCA_current!$A$2:$AI$137,MATCH(BG$4,TOCA_current!$A$2:$AI$2,0),FALSE)</f>
        <v>7.5370000000000005E-4</v>
      </c>
      <c r="BH19" s="206">
        <f>VLOOKUP($A19,TOCA_current!$A$2:$AI$137,MATCH(BH$4,TOCA_current!$A$2:$AI$2,0),FALSE)</f>
        <v>7.5370000000000005E-4</v>
      </c>
      <c r="BI19" s="391">
        <f t="shared" si="8"/>
        <v>0</v>
      </c>
      <c r="BJ19" s="206">
        <f>VLOOKUP($A19,TOCA_current!A15:BG150,MATCH(BJ$4,TOCA_current!$A$2:$BG$2,0),FALSE)</f>
        <v>0</v>
      </c>
      <c r="BK19" s="206">
        <f t="shared" si="9"/>
        <v>0</v>
      </c>
      <c r="BL19" s="206">
        <f t="shared" si="10"/>
        <v>0</v>
      </c>
      <c r="BM19" s="381">
        <f>VLOOKUP($A19,IRD!$A$4:$G$139, 7, FALSE)</f>
        <v>0</v>
      </c>
      <c r="BN19" s="382">
        <f t="array" ref="BN19">IF($BI19=0, INDEX(LS_current!$D$4:$AY$139, MATCH('Staging Table'!$A19, LS_current!$B$4:$B$139, 0), MATCH(BN$4&amp;BN$5, LS_current!$D$2:$AY$2&amp;LS_current!$D$3:$AY$3, 0)),SUM(VLOOKUP($A19, LS_current!$B$4:$AY$139, LS_current!D$149, FALSE), VLOOKUP($A19, LS_current!$B$4:$AY$139,LS_current!D$149, FALSE))/2)</f>
        <v>511.08545474188259</v>
      </c>
      <c r="BO19" s="382">
        <f t="array" ref="BO19">IF($BI19=0, INDEX(LS_current!$D$4:$AY$139, MATCH('Staging Table'!$A19, LS_current!$B$4:$B$139, 0), MATCH(BO$4&amp;BO$5, LS_current!$D$2:$AY$2&amp;LS_current!$D$3:$AY$3, 0)),SUM(VLOOKUP($A19, LS_current!$B$4:$AY$139, LS_current!E$149, FALSE), VLOOKUP($A19, LS_current!$B$4:$AY$139,LS_current!E$149, FALSE))/2)</f>
        <v>-62.096476254849449</v>
      </c>
      <c r="BP19" s="382">
        <f t="array" ref="BP19">IF($BI19=0, INDEX(LS_current!$D$4:$AY$139, MATCH('Staging Table'!$A19, LS_current!$B$4:$B$139, 0), MATCH(BP$4&amp;BP$5, LS_current!$D$2:$AY$2&amp;LS_current!$D$3:$AY$3, 0)),SUM(VLOOKUP($A19, LS_current!$B$4:$AY$139, LS_current!F$149, FALSE), VLOOKUP($A19, LS_current!$B$4:$AY$139,LS_current!F$149, FALSE))/2)</f>
        <v>563.55553394554818</v>
      </c>
      <c r="BQ19" s="382">
        <f t="array" ref="BQ19">IF($BI19=0, INDEX(LS_current!$D$4:$AY$139, MATCH('Staging Table'!$A19, LS_current!$B$4:$B$139, 0), MATCH(BQ$4&amp;BQ$5, LS_current!$D$2:$AY$2&amp;LS_current!$D$3:$AY$3, 0)),SUM(VLOOKUP($A19, LS_current!$B$4:$AY$139, LS_current!G$149, FALSE), VLOOKUP($A19, LS_current!$B$4:$AY$139,LS_current!G$149, FALSE))/2)</f>
        <v>212.0304639524245</v>
      </c>
      <c r="BR19" s="382">
        <f t="array" ref="BR19">IF($BI19=0, INDEX(LS_current!$D$4:$AY$139, MATCH('Staging Table'!$A19, LS_current!$B$4:$B$139, 0), MATCH(BR$4&amp;BR$5, LS_current!$D$2:$AY$2&amp;LS_current!$D$3:$AY$3, 0)),SUM(VLOOKUP($A19, LS_current!$B$4:$AY$139, LS_current!H$149, FALSE), VLOOKUP($A19, LS_current!$B$4:$AY$139,LS_current!H$149, FALSE))/2)</f>
        <v>1596.3831200940772</v>
      </c>
      <c r="BS19" s="382">
        <f t="array" ref="BS19">IF($BI19=0, INDEX(LS_current!$D$4:$AY$139, MATCH('Staging Table'!$A19, LS_current!$B$4:$B$139, 0), MATCH(BS$4&amp;BS$5, LS_current!$D$2:$AY$2&amp;LS_current!$D$3:$AY$3, 0)),SUM(VLOOKUP($A19, LS_current!$B$4:$AY$139, LS_current!I$149, FALSE), VLOOKUP($A19, LS_current!$B$4:$AY$139,LS_current!I$149, FALSE))/2)</f>
        <v>825.20705504531406</v>
      </c>
      <c r="BT19" s="382">
        <f t="array" ref="BT19">IF($BI19=0, INDEX(LS_current!$D$4:$AY$139, MATCH('Staging Table'!$A19, LS_current!$B$4:$B$139, 0), MATCH(BT$4&amp;BT$5, LS_current!$D$2:$AY$2&amp;LS_current!$D$3:$AY$3, 0)),SUM(VLOOKUP($A19, LS_current!$B$4:$AY$139, LS_current!J$149, FALSE), VLOOKUP($A19, LS_current!$B$4:$AY$139,LS_current!J$149, FALSE))/2)</f>
        <v>1877.7350317741621</v>
      </c>
      <c r="BU19" s="382">
        <f t="array" ref="BU19">IF($BI19=0, INDEX(LS_current!$D$4:$AY$139, MATCH('Staging Table'!$A19, LS_current!$B$4:$B$139, 0), MATCH(BU$4&amp;BU$5, LS_current!$D$2:$AY$2&amp;LS_current!$D$3:$AY$3, 0)),SUM(VLOOKUP($A19, LS_current!$B$4:$AY$139, LS_current!K$149, FALSE), VLOOKUP($A19, LS_current!$B$4:$AY$139,LS_current!K$149, FALSE))/2)</f>
        <v>1063.6250895997455</v>
      </c>
      <c r="BV19" s="382">
        <f t="array" ref="BV19">IF($BI19=0, INDEX(LS_current!$D$4:$AY$139, MATCH('Staging Table'!$A19, LS_current!$B$4:$B$139, 0), MATCH(BV$4&amp;BV$5, LS_current!$D$2:$AY$2&amp;LS_current!$D$3:$AY$3, 0)),SUM(VLOOKUP($A19, LS_current!$B$4:$AY$139, LS_current!L$149, FALSE), VLOOKUP($A19, LS_current!$B$4:$AY$139,LS_current!L$149, FALSE))/2)</f>
        <v>1642.9512211826307</v>
      </c>
      <c r="BW19" s="382">
        <f t="array" ref="BW19">IF($BI19=0, INDEX(LS_current!$D$4:$AY$139, MATCH('Staging Table'!$A19, LS_current!$B$4:$B$139, 0), MATCH(BW$4&amp;BW$5, LS_current!$D$2:$AY$2&amp;LS_current!$D$3:$AY$3, 0)),SUM(VLOOKUP($A19, LS_current!$B$4:$AY$139, LS_current!M$149, FALSE), VLOOKUP($A19, LS_current!$B$4:$AY$139,LS_current!M$149, FALSE))/2)</f>
        <v>806.76660839102715</v>
      </c>
      <c r="BX19" s="382">
        <f t="array" ref="BX19">IF($BI19=0, INDEX(LS_current!$D$4:$AY$139, MATCH('Staging Table'!$A19, LS_current!$B$4:$B$139, 0), MATCH(BX$4&amp;BX$5, LS_current!$D$2:$AY$2&amp;LS_current!$D$3:$AY$3, 0)),SUM(VLOOKUP($A19, LS_current!$B$4:$AY$139, LS_current!N$149, FALSE), VLOOKUP($A19, LS_current!$B$4:$AY$139,LS_current!N$149, FALSE))/2)</f>
        <v>920.67150201935738</v>
      </c>
      <c r="BY19" s="382">
        <f t="array" ref="BY19">IF($BI19=0, INDEX(LS_current!$D$4:$AY$139, MATCH('Staging Table'!$A19, LS_current!$B$4:$B$139, 0), MATCH(BY$4&amp;BY$5, LS_current!$D$2:$AY$2&amp;LS_current!$D$3:$AY$3, 0)),SUM(VLOOKUP($A19, LS_current!$B$4:$AY$139, LS_current!O$149, FALSE), VLOOKUP($A19, LS_current!$B$4:$AY$139,LS_current!O$149, FALSE))/2)</f>
        <v>262.95337587709287</v>
      </c>
      <c r="BZ19" s="382">
        <f t="array" ref="BZ19">IF($BI19=0, INDEX(LS_current!$D$4:$AY$139, MATCH('Staging Table'!$A19, LS_current!$B$4:$B$139, 0), MATCH(BZ$4&amp;BZ$5, LS_current!$D$2:$AY$2&amp;LS_current!$D$3:$AY$3, 0)),SUM(VLOOKUP($A19, LS_current!$B$4:$AY$139, LS_current!P$149, FALSE), VLOOKUP($A19, LS_current!$B$4:$AY$139,LS_current!P$149, FALSE))/2)</f>
        <v>63.52366836432202</v>
      </c>
      <c r="CA19" s="382">
        <f t="array" ref="CA19">IF($BI19=0, INDEX(LS_current!$D$4:$AY$139, MATCH('Staging Table'!$A19, LS_current!$B$4:$B$139, 0), MATCH(CA$4&amp;CA$5, LS_current!$D$2:$AY$2&amp;LS_current!$D$3:$AY$3, 0)),SUM(VLOOKUP($A19, LS_current!$B$4:$AY$139, LS_current!Q$149, FALSE), VLOOKUP($A19, LS_current!$B$4:$AY$139,LS_current!Q$149, FALSE))/2)</f>
        <v>-405.38620503323091</v>
      </c>
      <c r="CB19" s="382">
        <f t="array" ref="CB19">IF($BI19=0, INDEX(LS_current!$D$4:$AY$139, MATCH('Staging Table'!$A19, LS_current!$B$4:$B$139, 0), MATCH(CB$4&amp;CB$5, LS_current!$D$2:$AY$2&amp;LS_current!$D$3:$AY$3, 0)),SUM(VLOOKUP($A19, LS_current!$B$4:$AY$139, LS_current!R$149, FALSE), VLOOKUP($A19, LS_current!$B$4:$AY$139,LS_current!R$149, FALSE))/2)</f>
        <v>-2032.0092838548439</v>
      </c>
      <c r="CC19" s="382">
        <f t="array" ref="CC19">IF($BI19=0, INDEX(LS_current!$D$4:$AY$139, MATCH('Staging Table'!$A19, LS_current!$B$4:$B$139, 0), MATCH(CC$4&amp;CC$5, LS_current!$D$2:$AY$2&amp;LS_current!$D$3:$AY$3, 0)),SUM(VLOOKUP($A19, LS_current!$B$4:$AY$139, LS_current!S$149, FALSE), VLOOKUP($A19, LS_current!$B$4:$AY$139,LS_current!S$149, FALSE))/2)</f>
        <v>-1719.7133915656759</v>
      </c>
      <c r="CD19" s="382">
        <f t="array" ref="CD19">IF($BI19=0, INDEX(LS_current!$D$4:$AY$139, MATCH('Staging Table'!$A19, LS_current!$B$4:$B$139, 0), MATCH(CD$4&amp;CD$5, LS_current!$D$2:$AY$2&amp;LS_current!$D$3:$AY$3, 0)),SUM(VLOOKUP($A19, LS_current!$B$4:$AY$139, LS_current!T$149, FALSE), VLOOKUP($A19, LS_current!$B$4:$AY$139,LS_current!T$149, FALSE))/2)</f>
        <v>-1361.2945679460572</v>
      </c>
      <c r="CE19" s="382">
        <f t="array" ref="CE19">IF($BI19=0, INDEX(LS_current!$D$4:$AY$139, MATCH('Staging Table'!$A19, LS_current!$B$4:$B$139, 0), MATCH(CE$4&amp;CE$5, LS_current!$D$2:$AY$2&amp;LS_current!$D$3:$AY$3, 0)),SUM(VLOOKUP($A19, LS_current!$B$4:$AY$139, LS_current!U$149, FALSE), VLOOKUP($A19, LS_current!$B$4:$AY$139,LS_current!U$149, FALSE))/2)</f>
        <v>-1298.7337384818868</v>
      </c>
      <c r="CF19" s="382">
        <f t="array" ref="CF19">IF($BI19=0, INDEX(LS_current!$D$4:$AY$139, MATCH('Staging Table'!$A19, LS_current!$B$4:$B$139, 0), MATCH(CF$4&amp;CF$5, LS_current!$D$2:$AY$2&amp;LS_current!$D$3:$AY$3, 0)),SUM(VLOOKUP($A19, LS_current!$B$4:$AY$139, LS_current!V$149, FALSE), VLOOKUP($A19, LS_current!$B$4:$AY$139,LS_current!V$149, FALSE))/2)</f>
        <v>-404.02682877599</v>
      </c>
      <c r="CG19" s="382">
        <f t="array" ref="CG19">IF($BI19=0, INDEX(LS_current!$D$4:$AY$139, MATCH('Staging Table'!$A19, LS_current!$B$4:$B$139, 0), MATCH(CG$4&amp;CG$5, LS_current!$D$2:$AY$2&amp;LS_current!$D$3:$AY$3, 0)),SUM(VLOOKUP($A19, LS_current!$B$4:$AY$139, LS_current!W$149, FALSE), VLOOKUP($A19, LS_current!$B$4:$AY$139,LS_current!W$149, FALSE))/2)</f>
        <v>-755.00811998574272</v>
      </c>
      <c r="CH19" s="382">
        <f t="array" ref="CH19">IF($BI19=0, INDEX(LS_current!$D$4:$AY$139, MATCH('Staging Table'!$A19, LS_current!$B$4:$B$139, 0), MATCH(CH$4&amp;CH$5, LS_current!$D$2:$AY$2&amp;LS_current!$D$3:$AY$3, 0)),SUM(VLOOKUP($A19, LS_current!$B$4:$AY$139, LS_current!X$149, FALSE), VLOOKUP($A19, LS_current!$B$4:$AY$139,LS_current!X$149, FALSE))/2)</f>
        <v>-6.0602211140112558</v>
      </c>
      <c r="CI19" s="382">
        <f t="array" ref="CI19">IF($BI19=0, INDEX(LS_current!$D$4:$AY$139, MATCH('Staging Table'!$A19, LS_current!$B$4:$B$139, 0), MATCH(CI$4&amp;CI$5, LS_current!$D$2:$AY$2&amp;LS_current!$D$3:$AY$3, 0)),SUM(VLOOKUP($A19, LS_current!$B$4:$AY$139, LS_current!Y$149, FALSE), VLOOKUP($A19, LS_current!$B$4:$AY$139,LS_current!Y$149, FALSE))/2)</f>
        <v>-266.72392714274429</v>
      </c>
      <c r="CJ19" s="382">
        <f t="array" ref="CJ19">IF($BI19=0, INDEX(LS_current!$D$4:$AY$139, MATCH('Staging Table'!$A19, LS_current!$B$4:$B$139, 0), MATCH(CJ$4&amp;CJ$5, LS_current!$D$2:$AY$2&amp;LS_current!$D$3:$AY$3, 0)),SUM(VLOOKUP($A19, LS_current!$B$4:$AY$139, LS_current!Z$149, FALSE), VLOOKUP($A19, LS_current!$B$4:$AY$139,LS_current!Z$149, FALSE))/2)</f>
        <v>245.98207473561934</v>
      </c>
      <c r="CK19" s="382">
        <f t="array" ref="CK19">IF($BI19=0, INDEX(LS_current!$D$4:$AY$139, MATCH('Staging Table'!$A19, LS_current!$B$4:$B$139, 0), MATCH(CK$4&amp;CK$5, LS_current!$D$2:$AY$2&amp;LS_current!$D$3:$AY$3, 0)),SUM(VLOOKUP($A19, LS_current!$B$4:$AY$139, LS_current!AA$149, FALSE), VLOOKUP($A19, LS_current!$B$4:$AY$139,LS_current!AA$149, FALSE))/2)</f>
        <v>-201.38033916846257</v>
      </c>
      <c r="CL19" s="384">
        <f t="array" ref="CL19">INDEX(Demand_current!$D$4:$AY$138, MATCH($A19, Demand_current!$B$4:$B$138, 0), MATCH(CL$4&amp;CL$5,Demand_current!$D$2:$AY$2&amp;Demand_current!$D$3:$AY$3, 0))/1000</f>
        <v>0.73553846153846214</v>
      </c>
      <c r="CM19" s="384">
        <f t="array" ref="CM19">INDEX(Demand_current!$D$4:$AY$138, MATCH($A19, Demand_current!$B$4:$B$138, 0), MATCH(CM$4&amp;CM$5,Demand_current!$D$2:$AY$2&amp;Demand_current!$D$3:$AY$3, 0))/1000</f>
        <v>1.6577225000000004</v>
      </c>
      <c r="CN19" s="384">
        <f t="array" ref="CN19">INDEX(Demand_current!$D$4:$AY$138, MATCH($A19, Demand_current!$B$4:$B$138, 0), MATCH(CN$4&amp;CN$5,Demand_current!$D$2:$AY$2&amp;Demand_current!$D$3:$AY$3, 0))/1000</f>
        <v>1.3780350000000008</v>
      </c>
      <c r="CO19" s="384">
        <f t="array" ref="CO19">INDEX(Demand_current!$D$4:$AY$138, MATCH($A19, Demand_current!$B$4:$B$138, 0), MATCH(CO$4&amp;CO$5,Demand_current!$D$2:$AY$2&amp;Demand_current!$D$3:$AY$3, 0))/1000</f>
        <v>1.6673750000000003</v>
      </c>
      <c r="CP19" s="384">
        <f t="array" ref="CP19">INDEX(Demand_current!$D$4:$AY$138, MATCH($A19, Demand_current!$B$4:$B$138, 0), MATCH(CP$4&amp;CP$5,Demand_current!$D$2:$AY$2&amp;Demand_current!$D$3:$AY$3, 0))/1000</f>
        <v>1.2326328124999995</v>
      </c>
      <c r="CQ19" s="384">
        <f t="array" ref="CQ19">INDEX(Demand_current!$D$4:$AY$138, MATCH($A19, Demand_current!$B$4:$B$138, 0), MATCH(CQ$4&amp;CQ$5,Demand_current!$D$2:$AY$2&amp;Demand_current!$D$3:$AY$3, 0))/1000</f>
        <v>1.3140092592592587</v>
      </c>
      <c r="CR19" s="384">
        <f t="array" ref="CR19">INDEX(Demand_current!$D$4:$AY$138, MATCH($A19, Demand_current!$B$4:$B$138, 0), MATCH(CR$4&amp;CR$5,Demand_current!$D$2:$AY$2&amp;Demand_current!$D$3:$AY$3, 0))/1000</f>
        <v>0.89809249999999974</v>
      </c>
      <c r="CS19" s="384">
        <f t="array" ref="CS19">INDEX(Demand_current!$D$4:$AY$138, MATCH($A19, Demand_current!$B$4:$B$138, 0), MATCH(CS$4&amp;CS$5,Demand_current!$D$2:$AY$2&amp;Demand_current!$D$3:$AY$3, 0))/1000</f>
        <v>0.61067788461538464</v>
      </c>
      <c r="CT19" s="384">
        <f t="array" ref="CT19">INDEX(Demand_current!$D$4:$AY$138, MATCH($A19, Demand_current!$B$4:$B$138, 0), MATCH(CT$4&amp;CT$5,Demand_current!$D$2:$AY$2&amp;Demand_current!$D$3:$AY$3, 0))/1000</f>
        <v>0.70315384615384535</v>
      </c>
      <c r="CU19" s="384">
        <f t="array" ref="CU19">INDEX(Demand_current!$D$4:$AY$138, MATCH($A19, Demand_current!$B$4:$B$138, 0), MATCH(CU$4&amp;CU$5,Demand_current!$D$2:$AY$2&amp;Demand_current!$D$3:$AY$3, 0))/1000</f>
        <v>1.0367824999999993</v>
      </c>
      <c r="CV19" s="384">
        <f t="array" ref="CV19">INDEX(Demand_current!$D$4:$AY$138, MATCH($A19, Demand_current!$B$4:$B$138, 0), MATCH(CV$4&amp;CV$5,Demand_current!$D$2:$AY$2&amp;Demand_current!$D$3:$AY$3, 0))/1000</f>
        <v>1.1142800925925929</v>
      </c>
      <c r="CW19" s="384">
        <f t="array" ref="CW19">INDEX(Demand_current!$D$4:$AY$138, MATCH($A19, Demand_current!$B$4:$B$138, 0), MATCH(CW$4&amp;CW$5,Demand_current!$D$2:$AY$2&amp;Demand_current!$D$3:$AY$3, 0))/1000</f>
        <v>0.65863281249999939</v>
      </c>
      <c r="CX19" s="384">
        <f>IF(D19=0,IF(C19=0,MAX(0,DA19 - (VLOOKUP($A19,TOCA_current!$A$2:$AI$137,MATCH("RHWM 2018",TOCA_current!$A$2:$AI$2,0),FALSE)*$BH$2)), 0),0)</f>
        <v>2082.9316689517073</v>
      </c>
      <c r="CY19" s="427">
        <f>VLOOKUP($A19,REP_current!$A$1:$D$135,MATCH("FY "&amp;$BH$1&amp; " Total Refund",REP_current!$A$1:$D$1,0),0)</f>
        <v>75485.934594487466</v>
      </c>
      <c r="CZ19" s="432">
        <f>MIN(VLOOKUP($A19,TOCA_current!$A$2:$AI$137,MATCH("TRL - NLSL - Existing Resource "&amp;$BH$1,TOCA_current!$A$2:$AI$2,0),FALSE)*$BH$2, VLOOKUP($A19,TOCA_current!$A$2:$AI$137,MATCH("RHWM 2018",TOCA_current!$A$2:$AI$2,0),FALSE)*$BH$2)</f>
        <v>45849.84</v>
      </c>
      <c r="DA19" s="397">
        <f>SUM(BN19:CK19)+(BH19*RT1SC!$C$4*$BH$2)</f>
        <v>47932.771668951704</v>
      </c>
      <c r="DB19" s="432">
        <f>VLOOKUP($A19,TOCA_current!$A$2:$AI$137,MATCH("Above RHWM Not Served with LS "&amp;$BH$1,TOCA_current!$A$2:$AI$2,0),FALSE)*$BH$2</f>
        <v>9898.7999999999993</v>
      </c>
      <c r="DC19" s="401">
        <f t="shared" si="11"/>
        <v>2082.9316689517073</v>
      </c>
      <c r="DD19" s="397">
        <f>(VLOOKUP($A19,TOCA_current!$A$2:$AI$137,MATCH("RHWM 2018",TOCA_current!$A$2:$AI$2,0),FALSE)*$BH$2) - $CZ19</f>
        <v>0</v>
      </c>
      <c r="DE19" s="397">
        <f t="shared" si="12"/>
        <v>0</v>
      </c>
      <c r="DF19" s="397">
        <f t="shared" si="13"/>
        <v>0</v>
      </c>
      <c r="DG19" s="397">
        <f t="shared" si="14"/>
        <v>0</v>
      </c>
      <c r="DH19" s="397">
        <f t="shared" si="15"/>
        <v>0</v>
      </c>
    </row>
    <row r="20" spans="1:112">
      <c r="A20" s="274">
        <v>10064</v>
      </c>
      <c r="B20" s="275" t="s">
        <v>21</v>
      </c>
      <c r="C20" s="397">
        <v>0</v>
      </c>
      <c r="D20" s="397">
        <v>0</v>
      </c>
      <c r="E20" s="205">
        <f>VLOOKUP($A20,TOCA_previous!$A$2:$AI$137,MATCH(E$4,TOCA_previous!$A$2:$AI$2,0),FALSE)</f>
        <v>1.9692999999999998E-3</v>
      </c>
      <c r="F20" s="206">
        <f>VLOOKUP($A20,TOCA_previous!$A$2:$AI$137,MATCH(F$4,TOCA_previous!$A$2:$AI$2,0),FALSE)</f>
        <v>1.9692999999999998E-3</v>
      </c>
      <c r="G20" s="206">
        <f t="shared" si="0"/>
        <v>0</v>
      </c>
      <c r="H20" s="206">
        <f>VLOOKUP($A20,TOCA_previous!$A$2:$AI$137,MATCH(H$4,TOCA_previous!$A$2:$AI$2,0),FALSE)</f>
        <v>0</v>
      </c>
      <c r="I20" s="206">
        <f t="shared" si="1"/>
        <v>0</v>
      </c>
      <c r="J20" s="206">
        <f t="shared" si="2"/>
        <v>0</v>
      </c>
      <c r="K20" s="381">
        <f>VLOOKUP(A20, IRD!$A$5:$C$139, 3, FALSE)</f>
        <v>0</v>
      </c>
      <c r="L20" s="382">
        <f t="array" ref="L20">IF($G20=0, INDEX(LS_previous!$D$4:$AY$138, MATCH('Staging Table'!$A20, LS_previous!$B$4:$B$138, 0), MATCH(L$4&amp;L$5, LS_previous!$D$2:$AY$2&amp;LS_previous!$D$3:$AY$3, 0)),SUM(VLOOKUP($A20, LS_previous!$B$4:$AY$138, LS_previous!D$149, FALSE), VLOOKUP('Staging Table'!$A20, LS_previous!$B$4:$AY$138,LS_previous!AB$149, FALSE))/2)</f>
        <v>-492.95069217074251</v>
      </c>
      <c r="M20" s="382">
        <f t="array" ref="M20">IF($G20=0, INDEX(LS_previous!$D$4:$AY$138, MATCH('Staging Table'!$A20, LS_previous!$B$4:$B$138, 0), MATCH(M$4&amp;M$5, LS_previous!$D$2:$AY$2&amp;LS_previous!$D$3:$AY$3, 0)),SUM(VLOOKUP($A20, LS_previous!$B$4:$AY$138, LS_previous!E$149, FALSE), VLOOKUP('Staging Table'!$A20, LS_previous!$B$4:$AY$138,LS_previous!AC$149, FALSE))/2)</f>
        <v>-108.53508972098916</v>
      </c>
      <c r="N20" s="382">
        <f t="array" ref="N20">IF($G20=0, INDEX(LS_previous!$D$4:$AY$138, MATCH('Staging Table'!$A20, LS_previous!$B$4:$B$138, 0), MATCH(N$4&amp;N$5, LS_previous!$D$2:$AY$2&amp;LS_previous!$D$3:$AY$3, 0)),SUM(VLOOKUP($A20, LS_previous!$B$4:$AY$138, LS_previous!F$149, FALSE), VLOOKUP('Staging Table'!$A20, LS_previous!$B$4:$AY$138,LS_previous!AD$149, FALSE))/2)</f>
        <v>-857.75160727319508</v>
      </c>
      <c r="O20" s="382">
        <f t="array" ref="O20">IF($G20=0, INDEX(LS_previous!$D$4:$AY$138, MATCH('Staging Table'!$A20, LS_previous!$B$4:$B$138, 0), MATCH(O$4&amp;O$5, LS_previous!$D$2:$AY$2&amp;LS_previous!$D$3:$AY$3, 0)),SUM(VLOOKUP($A20, LS_previous!$B$4:$AY$138, LS_previous!G$149, FALSE), VLOOKUP('Staging Table'!$A20, LS_previous!$B$4:$AY$138,LS_previous!AE$149, FALSE))/2)</f>
        <v>-275.20595650014729</v>
      </c>
      <c r="P20" s="382">
        <f t="array" ref="P20">IF($G20=0, INDEX(LS_previous!$D$4:$AY$138, MATCH('Staging Table'!$A20, LS_previous!$B$4:$B$138, 0), MATCH(P$4&amp;P$5, LS_previous!$D$2:$AY$2&amp;LS_previous!$D$3:$AY$3, 0)),SUM(VLOOKUP($A20, LS_previous!$B$4:$AY$138, LS_previous!H$149, FALSE), VLOOKUP('Staging Table'!$A20, LS_previous!$B$4:$AY$138,LS_previous!AF$149, FALSE))/2)</f>
        <v>565.04916546161257</v>
      </c>
      <c r="Q20" s="382">
        <f t="array" ref="Q20">IF($G20=0, INDEX(LS_previous!$D$4:$AY$138, MATCH('Staging Table'!$A20, LS_previous!$B$4:$B$138, 0), MATCH(Q$4&amp;Q$5, LS_previous!$D$2:$AY$2&amp;LS_previous!$D$3:$AY$3, 0)),SUM(VLOOKUP($A20, LS_previous!$B$4:$AY$138, LS_previous!I$149, FALSE), VLOOKUP('Staging Table'!$A20, LS_previous!$B$4:$AY$138,LS_previous!AG$149, FALSE))/2)</f>
        <v>968.27420603835435</v>
      </c>
      <c r="R20" s="382">
        <f t="array" ref="R20">IF($G20=0, INDEX(LS_previous!$D$4:$AY$138, MATCH('Staging Table'!$A20, LS_previous!$B$4:$B$138, 0), MATCH(R$4&amp;R$5, LS_previous!$D$2:$AY$2&amp;LS_previous!$D$3:$AY$3, 0)),SUM(VLOOKUP($A20, LS_previous!$B$4:$AY$138, LS_previous!J$149, FALSE), VLOOKUP('Staging Table'!$A20, LS_previous!$B$4:$AY$138,LS_previous!AH$149, FALSE))/2)</f>
        <v>1805.9856865622933</v>
      </c>
      <c r="S20" s="382">
        <f t="array" ref="S20">IF($G20=0, INDEX(LS_previous!$D$4:$AY$138, MATCH('Staging Table'!$A20, LS_previous!$B$4:$B$138, 0), MATCH(S$4&amp;S$5, LS_previous!$D$2:$AY$2&amp;LS_previous!$D$3:$AY$3, 0)),SUM(VLOOKUP($A20, LS_previous!$B$4:$AY$138, LS_previous!K$149, FALSE), VLOOKUP('Staging Table'!$A20, LS_previous!$B$4:$AY$138,LS_previous!AI$149, FALSE))/2)</f>
        <v>1311.3329608714839</v>
      </c>
      <c r="T20" s="382">
        <f t="array" ref="T20">IF($G20=0, INDEX(LS_previous!$D$4:$AY$138, MATCH('Staging Table'!$A20, LS_previous!$B$4:$B$138, 0), MATCH(T$4&amp;T$5, LS_previous!$D$2:$AY$2&amp;LS_previous!$D$3:$AY$3, 0)),SUM(VLOOKUP($A20, LS_previous!$B$4:$AY$138, LS_previous!L$149, FALSE), VLOOKUP('Staging Table'!$A20, LS_previous!$B$4:$AY$138,LS_previous!AJ$149, FALSE))/2)</f>
        <v>1170.0072033392462</v>
      </c>
      <c r="U20" s="382">
        <f t="array" ref="U20">IF($G20=0, INDEX(LS_previous!$D$4:$AY$138, MATCH('Staging Table'!$A20, LS_previous!$B$4:$B$138, 0), MATCH(U$4&amp;U$5, LS_previous!$D$2:$AY$2&amp;LS_previous!$D$3:$AY$3, 0)),SUM(VLOOKUP($A20, LS_previous!$B$4:$AY$138, LS_previous!M$149, FALSE), VLOOKUP('Staging Table'!$A20, LS_previous!$B$4:$AY$138,LS_previous!AK$149, FALSE))/2)</f>
        <v>814.86352618928368</v>
      </c>
      <c r="V20" s="382">
        <f t="array" ref="V20">IF($G20=0, INDEX(LS_previous!$D$4:$AY$138, MATCH('Staging Table'!$A20, LS_previous!$B$4:$B$138, 0), MATCH(V$4&amp;V$5, LS_previous!$D$2:$AY$2&amp;LS_previous!$D$3:$AY$3, 0)),SUM(VLOOKUP($A20, LS_previous!$B$4:$AY$138, LS_previous!N$149, FALSE), VLOOKUP('Staging Table'!$A20, LS_previous!$B$4:$AY$138,LS_previous!AL$149, FALSE))/2)</f>
        <v>230.74692295827845</v>
      </c>
      <c r="W20" s="382">
        <f t="array" ref="W20">IF($G20=0, INDEX(LS_previous!$D$4:$AY$138, MATCH('Staging Table'!$A20, LS_previous!$B$4:$B$138, 0), MATCH(W$4&amp;W$5, LS_previous!$D$2:$AY$2&amp;LS_previous!$D$3:$AY$3, 0)),SUM(VLOOKUP($A20, LS_previous!$B$4:$AY$138, LS_previous!O$149, FALSE), VLOOKUP('Staging Table'!$A20, LS_previous!$B$4:$AY$138,LS_previous!AM$149, FALSE))/2)</f>
        <v>-56.104595022547983</v>
      </c>
      <c r="X20" s="382">
        <f t="array" ref="X20">IF($G20=0, INDEX(LS_previous!$D$4:$AY$138, MATCH('Staging Table'!$A20, LS_previous!$B$4:$B$138, 0), MATCH(X$4&amp;X$5, LS_previous!$D$2:$AY$2&amp;LS_previous!$D$3:$AY$3, 0)),SUM(VLOOKUP($A20, LS_previous!$B$4:$AY$138, LS_previous!P$149, FALSE), VLOOKUP('Staging Table'!$A20, LS_previous!$B$4:$AY$138,LS_previous!AN$149, FALSE))/2)</f>
        <v>421.54619743084277</v>
      </c>
      <c r="Y20" s="382">
        <f t="array" ref="Y20">IF($G20=0, INDEX(LS_previous!$D$4:$AY$138, MATCH('Staging Table'!$A20, LS_previous!$B$4:$B$138, 0), MATCH(Y$4&amp;Y$5, LS_previous!$D$2:$AY$2&amp;LS_previous!$D$3:$AY$3, 0)),SUM(VLOOKUP($A20, LS_previous!$B$4:$AY$138, LS_previous!Q$149, FALSE), VLOOKUP('Staging Table'!$A20, LS_previous!$B$4:$AY$138,LS_previous!AO$149, FALSE))/2)</f>
        <v>314.28725778249418</v>
      </c>
      <c r="Z20" s="382">
        <f t="array" ref="Z20">IF($G20=0, INDEX(LS_previous!$D$4:$AY$138, MATCH('Staging Table'!$A20, LS_previous!$B$4:$B$138, 0), MATCH(Z$4&amp;Z$5, LS_previous!$D$2:$AY$2&amp;LS_previous!$D$3:$AY$3, 0)),SUM(VLOOKUP($A20, LS_previous!$B$4:$AY$138, LS_previous!R$149, FALSE), VLOOKUP('Staging Table'!$A20, LS_previous!$B$4:$AY$138,LS_previous!AP$149, FALSE))/2)</f>
        <v>-3013.2227735498946</v>
      </c>
      <c r="AA20" s="382">
        <f t="array" ref="AA20">IF($G20=0, INDEX(LS_previous!$D$4:$AY$138, MATCH('Staging Table'!$A20, LS_previous!$B$4:$B$138, 0), MATCH(AA$4&amp;AA$5, LS_previous!$D$2:$AY$2&amp;LS_previous!$D$3:$AY$3, 0)),SUM(VLOOKUP($A20, LS_previous!$B$4:$AY$138, LS_previous!S$149, FALSE), VLOOKUP('Staging Table'!$A20, LS_previous!$B$4:$AY$138,LS_previous!AQ$149, FALSE))/2)</f>
        <v>-1514.9976039495255</v>
      </c>
      <c r="AB20" s="382">
        <f t="array" ref="AB20">IF($G20=0, INDEX(LS_previous!$D$4:$AY$138, MATCH('Staging Table'!$A20, LS_previous!$B$4:$B$138, 0), MATCH(AB$4&amp;AB$5, LS_previous!$D$2:$AY$2&amp;LS_previous!$D$3:$AY$3, 0)),SUM(VLOOKUP($A20, LS_previous!$B$4:$AY$138, LS_previous!T$149, FALSE), VLOOKUP('Staging Table'!$A20, LS_previous!$B$4:$AY$138,LS_previous!AR$149, FALSE))/2)</f>
        <v>-1147.3923267404389</v>
      </c>
      <c r="AC20" s="382">
        <f t="array" ref="AC20">IF($G20=0, INDEX(LS_previous!$D$4:$AY$138, MATCH('Staging Table'!$A20, LS_previous!$B$4:$B$138, 0), MATCH(AC$4&amp;AC$5, LS_previous!$D$2:$AY$2&amp;LS_previous!$D$3:$AY$3, 0)),SUM(VLOOKUP($A20, LS_previous!$B$4:$AY$138, LS_previous!U$149, FALSE), VLOOKUP('Staging Table'!$A20, LS_previous!$B$4:$AY$138,LS_previous!AS$149, FALSE))/2)</f>
        <v>-867.5760538383729</v>
      </c>
      <c r="AD20" s="382">
        <f t="array" ref="AD20">IF($G20=0, INDEX(LS_previous!$D$4:$AY$138, MATCH('Staging Table'!$A20, LS_previous!$B$4:$B$138, 0), MATCH(AD$4&amp;AD$5, LS_previous!$D$2:$AY$2&amp;LS_previous!$D$3:$AY$3, 0)),SUM(VLOOKUP($A20, LS_previous!$B$4:$AY$138, LS_previous!V$149, FALSE), VLOOKUP('Staging Table'!$A20, LS_previous!$B$4:$AY$138,LS_previous!AT$149, FALSE))/2)</f>
        <v>32.780862312621139</v>
      </c>
      <c r="AE20" s="382">
        <f t="array" ref="AE20">IF($G20=0, INDEX(LS_previous!$D$4:$AY$138, MATCH('Staging Table'!$A20, LS_previous!$B$4:$B$138, 0), MATCH(AE$4&amp;AE$5, LS_previous!$D$2:$AY$2&amp;LS_previous!$D$3:$AY$3, 0)),SUM(VLOOKUP($A20, LS_previous!$B$4:$AY$138, LS_previous!W$149, FALSE), VLOOKUP('Staging Table'!$A20, LS_previous!$B$4:$AY$138,LS_previous!AU$149, FALSE))/2)</f>
        <v>519.94405913750916</v>
      </c>
      <c r="AF20" s="382">
        <f t="array" ref="AF20">IF($G20=0, INDEX(LS_previous!$D$4:$AY$138, MATCH('Staging Table'!$A20, LS_previous!$B$4:$B$138, 0), MATCH(AF$4&amp;AF$5, LS_previous!$D$2:$AY$2&amp;LS_previous!$D$3:$AY$3, 0)),SUM(VLOOKUP($A20, LS_previous!$B$4:$AY$138, LS_previous!X$149, FALSE), VLOOKUP('Staging Table'!$A20, LS_previous!$B$4:$AY$138,LS_previous!AV$149, FALSE))/2)</f>
        <v>-176.79968545166139</v>
      </c>
      <c r="AG20" s="382">
        <f t="array" ref="AG20">IF($G20=0, INDEX(LS_previous!$D$4:$AY$138, MATCH('Staging Table'!$A20, LS_previous!$B$4:$B$138, 0), MATCH(AG$4&amp;AG$5, LS_previous!$D$2:$AY$2&amp;LS_previous!$D$3:$AY$3, 0)),SUM(VLOOKUP($A20, LS_previous!$B$4:$AY$138, LS_previous!Y$149, FALSE), VLOOKUP('Staging Table'!$A20, LS_previous!$B$4:$AY$138,LS_previous!AW$149, FALSE))/2)</f>
        <v>-82.369423917810309</v>
      </c>
      <c r="AH20" s="382">
        <f t="array" ref="AH20">IF($G20=0, INDEX(LS_previous!$D$4:$AY$138, MATCH('Staging Table'!$A20, LS_previous!$B$4:$B$138, 0), MATCH(AH$4&amp;AH$5, LS_previous!$D$2:$AY$2&amp;LS_previous!$D$3:$AY$3, 0)),SUM(VLOOKUP($A20, LS_previous!$B$4:$AY$138, LS_previous!Z$149, FALSE), VLOOKUP('Staging Table'!$A20, LS_previous!$B$4:$AY$138,LS_previous!AX$149, FALSE))/2)</f>
        <v>-85.880043759517321</v>
      </c>
      <c r="AI20" s="382">
        <f t="array" ref="AI20">IF($G20=0, INDEX(LS_previous!$D$4:$AY$138, MATCH('Staging Table'!$A20, LS_previous!$B$4:$B$138, 0), MATCH(AI$4&amp;AI$5, LS_previous!$D$2:$AY$2&amp;LS_previous!$D$3:$AY$3, 0)),SUM(VLOOKUP($A20, LS_previous!$B$4:$AY$138, LS_previous!AA$149, FALSE), VLOOKUP('Staging Table'!$A20, LS_previous!$B$4:$AY$138,LS_previous!AY$149, FALSE))/2)</f>
        <v>20.376960389553005</v>
      </c>
      <c r="AJ20" s="384">
        <f t="array" ref="AJ20">INDEX(Demand_previous!$D$4:$AY$138, MATCH('Staging Table'!$A20, Demand_previous!$B$4:$B$138, 0), MATCH(AJ$4&amp;AJ$5,Demand_previous!$D$2:$AY$2&amp;Demand_previous!$D$3:$AY$3, 0))/1000</f>
        <v>2.1913333333333327</v>
      </c>
      <c r="AK20" s="384">
        <f t="array" ref="AK20">INDEX(Demand_previous!$D$4:$AY$138, MATCH('Staging Table'!$A20, Demand_previous!$B$4:$B$138, 0), MATCH(AK$4&amp;AK$5,Demand_previous!$D$2:$AY$2&amp;Demand_previous!$D$3:$AY$3, 0))/1000</f>
        <v>0.23131770833333265</v>
      </c>
      <c r="AL20" s="384">
        <f t="array" ref="AL20">INDEX(Demand_previous!$D$4:$AY$138, MATCH('Staging Table'!$A20, Demand_previous!$B$4:$B$138, 0), MATCH(AL$4&amp;AL$5,Demand_previous!$D$2:$AY$2&amp;Demand_previous!$D$3:$AY$3, 0))/1000</f>
        <v>2.1605576923076941</v>
      </c>
      <c r="AM20" s="384">
        <f t="array" ref="AM20">INDEX(Demand_previous!$D$4:$AY$138, MATCH('Staging Table'!$A20, Demand_previous!$B$4:$B$138, 0), MATCH(AM$4&amp;AM$5,Demand_previous!$D$2:$AY$2&amp;Demand_previous!$D$3:$AY$3, 0))/1000</f>
        <v>1.1970474999999976</v>
      </c>
      <c r="AN20" s="384">
        <f t="array" ref="AN20">INDEX(Demand_previous!$D$4:$AY$138, MATCH('Staging Table'!$A20, Demand_previous!$B$4:$B$138, 0), MATCH(AN$4&amp;AN$5,Demand_previous!$D$2:$AY$2&amp;Demand_previous!$D$3:$AY$3, 0))/1000</f>
        <v>1.4146925000000006</v>
      </c>
      <c r="AO20" s="384">
        <f t="array" ref="AO20">INDEX(Demand_previous!$D$4:$AY$138, MATCH('Staging Table'!$A20, Demand_previous!$B$4:$B$138, 0), MATCH(AO$4&amp;AO$5,Demand_previous!$D$2:$AY$2&amp;Demand_previous!$D$3:$AY$3, 0))/1000</f>
        <v>2.0439375000000015</v>
      </c>
      <c r="AP20" s="384">
        <f t="array" ref="AP20">INDEX(Demand_previous!$D$4:$AY$138, MATCH('Staging Table'!$A20, Demand_previous!$B$4:$B$138, 0), MATCH(AP$4&amp;AP$5,Demand_previous!$D$2:$AY$2&amp;Demand_previous!$D$3:$AY$3, 0))/1000</f>
        <v>1.4156105769230769</v>
      </c>
      <c r="AQ20" s="384">
        <f t="array" ref="AQ20">INDEX(Demand_previous!$D$4:$AY$138, MATCH('Staging Table'!$A20, Demand_previous!$B$4:$B$138, 0), MATCH(AQ$4&amp;AQ$5,Demand_previous!$D$2:$AY$2&amp;Demand_previous!$D$3:$AY$3, 0))/1000</f>
        <v>0.81671000000000049</v>
      </c>
      <c r="AR20" s="384">
        <f t="array" ref="AR20">INDEX(Demand_previous!$D$4:$AY$138, MATCH('Staging Table'!$A20, Demand_previous!$B$4:$B$138, 0), MATCH(AR$4&amp;AR$5,Demand_previous!$D$2:$AY$2&amp;Demand_previous!$D$3:$AY$3, 0))/1000</f>
        <v>2.0624783653846164</v>
      </c>
      <c r="AS20" s="384">
        <f t="array" ref="AS20">INDEX(Demand_previous!$D$4:$AY$138, MATCH('Staging Table'!$A20, Demand_previous!$B$4:$B$138, 0), MATCH(AS$4&amp;AS$5,Demand_previous!$D$2:$AY$2&amp;Demand_previous!$D$3:$AY$3, 0))/1000</f>
        <v>2.2883850000000008</v>
      </c>
      <c r="AT20" s="384">
        <f t="array" ref="AT20">INDEX(Demand_previous!$D$4:$AY$138, MATCH('Staging Table'!$A20, Demand_previous!$B$4:$B$138, 0), MATCH(AT$4&amp;AT$5,Demand_previous!$D$2:$AY$2&amp;Demand_previous!$D$3:$AY$3, 0))/1000</f>
        <v>1.7391296296296295</v>
      </c>
      <c r="AU20" s="384">
        <f t="array" ref="AU20">INDEX(Demand_previous!$D$4:$AY$138, MATCH('Staging Table'!$A20, Demand_previous!$B$4:$B$138, 0), MATCH(AU$4&amp;AU$5,Demand_previous!$D$2:$AY$2&amp;Demand_previous!$D$3:$AY$3, 0))/1000</f>
        <v>2.3221600000000002</v>
      </c>
      <c r="AV20" s="384">
        <f>IF($D20=0,IF(C20=0, MAX(AY20 - (VLOOKUP($A20,TOCA_previous!$A$2:$AI$137,MATCH("RHWM 2016",TOCA_previous!$A$2:$AI$2,0),FALSE)*$F$2*TOCA_previous!C17),0),0), 0)</f>
        <v>0</v>
      </c>
      <c r="AW20" s="427">
        <f>VLOOKUP($A20,REP_previous!$A$1:$D$135,MATCH("FY "&amp;$F$1&amp; " Total Refund",REP_previous!$A$1:$D$1,0),0)</f>
        <v>182306.41019592181</v>
      </c>
      <c r="AX20" s="398">
        <f>MIN(VLOOKUP($A20,TOCA_previous!$A$2:$AI$137,MATCH("TRL - NLSL - Exisiting Resource "&amp;$F$1,TOCA_previous!$A$2:$AI$2,0),FALSE)*$F$2,(VLOOKUP($A20,TOCA_previous!$A$2:$AI$137,MATCH("RHWM 2016",TOCA_previous!$A$2:$AI$2,0),FALSE)*$F$2))</f>
        <v>120797.568</v>
      </c>
      <c r="AY20" s="384">
        <f>SUM(L20:AI20)+(F20*RT1SC!$C$3*$F$2)</f>
        <v>120292.1262843307</v>
      </c>
      <c r="AZ20" s="398">
        <f>VLOOKUP($A20,TOCA_previous!$A$2:$AI$137,MATCH("Above RHWM Not Served with LS "&amp;$F$1,TOCA_previous!$A$2:$AI$2,0),FALSE)*$F$2</f>
        <v>0</v>
      </c>
      <c r="BA20" s="206">
        <f t="shared" si="3"/>
        <v>-505.44171566929435</v>
      </c>
      <c r="BB20" s="399">
        <f>(VLOOKUP($A20,TOCA_previous!$A$2:$AI$137,MATCH("RHWM 2016",TOCA_previous!$A$2:$AI$2,0),FALSE)*$F$2) - $AX20</f>
        <v>1537.1999999999971</v>
      </c>
      <c r="BC20" s="206">
        <f t="shared" si="4"/>
        <v>0</v>
      </c>
      <c r="BD20" s="400">
        <f t="shared" si="5"/>
        <v>505.44171566929435</v>
      </c>
      <c r="BE20" s="392">
        <f t="shared" si="6"/>
        <v>0</v>
      </c>
      <c r="BF20" s="399">
        <f t="shared" si="7"/>
        <v>505.44171566929435</v>
      </c>
      <c r="BG20" s="206">
        <f>VLOOKUP($A20,TOCA_current!$A$2:$AI$137,MATCH(BG$4,TOCA_current!$A$2:$AI$2,0),FALSE)</f>
        <v>1.9926000000000002E-3</v>
      </c>
      <c r="BH20" s="206">
        <f>VLOOKUP($A20,TOCA_current!$A$2:$AI$137,MATCH(BH$4,TOCA_current!$A$2:$AI$2,0),FALSE)</f>
        <v>1.9926000000000002E-3</v>
      </c>
      <c r="BI20" s="391">
        <f t="shared" si="8"/>
        <v>0</v>
      </c>
      <c r="BJ20" s="206">
        <f>VLOOKUP($A20,TOCA_current!A16:BG151,MATCH(BJ$4,TOCA_current!$A$2:$BG$2,0),FALSE)</f>
        <v>0</v>
      </c>
      <c r="BK20" s="206">
        <f t="shared" si="9"/>
        <v>0</v>
      </c>
      <c r="BL20" s="206">
        <f t="shared" si="10"/>
        <v>0</v>
      </c>
      <c r="BM20" s="381">
        <f>VLOOKUP($A20,IRD!$A$4:$G$139, 7, FALSE)</f>
        <v>0</v>
      </c>
      <c r="BN20" s="382">
        <f t="array" ref="BN20">IF($BI20=0, INDEX(LS_current!$D$4:$AY$139, MATCH('Staging Table'!$A20, LS_current!$B$4:$B$139, 0), MATCH(BN$4&amp;BN$5, LS_current!$D$2:$AY$2&amp;LS_current!$D$3:$AY$3, 0)),SUM(VLOOKUP($A20, LS_current!$B$4:$AY$139, LS_current!D$149, FALSE), VLOOKUP($A20, LS_current!$B$4:$AY$139,LS_current!D$149, FALSE))/2)</f>
        <v>-598.65558349651656</v>
      </c>
      <c r="BO20" s="382">
        <f t="array" ref="BO20">IF($BI20=0, INDEX(LS_current!$D$4:$AY$139, MATCH('Staging Table'!$A20, LS_current!$B$4:$B$139, 0), MATCH(BO$4&amp;BO$5, LS_current!$D$2:$AY$2&amp;LS_current!$D$3:$AY$3, 0)),SUM(VLOOKUP($A20, LS_current!$B$4:$AY$139, LS_current!E$149, FALSE), VLOOKUP($A20, LS_current!$B$4:$AY$139,LS_current!E$149, FALSE))/2)</f>
        <v>26.529458159197929</v>
      </c>
      <c r="BP20" s="382">
        <f t="array" ref="BP20">IF($BI20=0, INDEX(LS_current!$D$4:$AY$139, MATCH('Staging Table'!$A20, LS_current!$B$4:$B$139, 0), MATCH(BP$4&amp;BP$5, LS_current!$D$2:$AY$2&amp;LS_current!$D$3:$AY$3, 0)),SUM(VLOOKUP($A20, LS_current!$B$4:$AY$139, LS_current!F$149, FALSE), VLOOKUP($A20, LS_current!$B$4:$AY$139,LS_current!F$149, FALSE))/2)</f>
        <v>-1092.3135532175947</v>
      </c>
      <c r="BQ20" s="382">
        <f t="array" ref="BQ20">IF($BI20=0, INDEX(LS_current!$D$4:$AY$139, MATCH('Staging Table'!$A20, LS_current!$B$4:$B$139, 0), MATCH(BQ$4&amp;BQ$5, LS_current!$D$2:$AY$2&amp;LS_current!$D$3:$AY$3, 0)),SUM(VLOOKUP($A20, LS_current!$B$4:$AY$139, LS_current!G$149, FALSE), VLOOKUP($A20, LS_current!$B$4:$AY$139,LS_current!G$149, FALSE))/2)</f>
        <v>-288.70730572959883</v>
      </c>
      <c r="BR20" s="382">
        <f t="array" ref="BR20">IF($BI20=0, INDEX(LS_current!$D$4:$AY$139, MATCH('Staging Table'!$A20, LS_current!$B$4:$B$139, 0), MATCH(BR$4&amp;BR$5, LS_current!$D$2:$AY$2&amp;LS_current!$D$3:$AY$3, 0)),SUM(VLOOKUP($A20, LS_current!$B$4:$AY$139, LS_current!H$149, FALSE), VLOOKUP($A20, LS_current!$B$4:$AY$139,LS_current!H$149, FALSE))/2)</f>
        <v>253.19557370234543</v>
      </c>
      <c r="BS20" s="382">
        <f t="array" ref="BS20">IF($BI20=0, INDEX(LS_current!$D$4:$AY$139, MATCH('Staging Table'!$A20, LS_current!$B$4:$B$139, 0), MATCH(BS$4&amp;BS$5, LS_current!$D$2:$AY$2&amp;LS_current!$D$3:$AY$3, 0)),SUM(VLOOKUP($A20, LS_current!$B$4:$AY$139, LS_current!I$149, FALSE), VLOOKUP($A20, LS_current!$B$4:$AY$139,LS_current!I$149, FALSE))/2)</f>
        <v>875.83475863512285</v>
      </c>
      <c r="BT20" s="382">
        <f t="array" ref="BT20">IF($BI20=0, INDEX(LS_current!$D$4:$AY$139, MATCH('Staging Table'!$A20, LS_current!$B$4:$B$139, 0), MATCH(BT$4&amp;BT$5, LS_current!$D$2:$AY$2&amp;LS_current!$D$3:$AY$3, 0)),SUM(VLOOKUP($A20, LS_current!$B$4:$AY$139, LS_current!J$149, FALSE), VLOOKUP($A20, LS_current!$B$4:$AY$139,LS_current!J$149, FALSE))/2)</f>
        <v>1666.5096149836745</v>
      </c>
      <c r="BU20" s="382">
        <f t="array" ref="BU20">IF($BI20=0, INDEX(LS_current!$D$4:$AY$139, MATCH('Staging Table'!$A20, LS_current!$B$4:$B$139, 0), MATCH(BU$4&amp;BU$5, LS_current!$D$2:$AY$2&amp;LS_current!$D$3:$AY$3, 0)),SUM(VLOOKUP($A20, LS_current!$B$4:$AY$139, LS_current!K$149, FALSE), VLOOKUP($A20, LS_current!$B$4:$AY$139,LS_current!K$149, FALSE))/2)</f>
        <v>1251.5660892085089</v>
      </c>
      <c r="BV20" s="382">
        <f t="array" ref="BV20">IF($BI20=0, INDEX(LS_current!$D$4:$AY$139, MATCH('Staging Table'!$A20, LS_current!$B$4:$B$139, 0), MATCH(BV$4&amp;BV$5, LS_current!$D$2:$AY$2&amp;LS_current!$D$3:$AY$3, 0)),SUM(VLOOKUP($A20, LS_current!$B$4:$AY$139, LS_current!L$149, FALSE), VLOOKUP($A20, LS_current!$B$4:$AY$139,LS_current!L$149, FALSE))/2)</f>
        <v>1517.6247226064879</v>
      </c>
      <c r="BW20" s="382">
        <f t="array" ref="BW20">IF($BI20=0, INDEX(LS_current!$D$4:$AY$139, MATCH('Staging Table'!$A20, LS_current!$B$4:$B$139, 0), MATCH(BW$4&amp;BW$5, LS_current!$D$2:$AY$2&amp;LS_current!$D$3:$AY$3, 0)),SUM(VLOOKUP($A20, LS_current!$B$4:$AY$139, LS_current!M$149, FALSE), VLOOKUP($A20, LS_current!$B$4:$AY$139,LS_current!M$149, FALSE))/2)</f>
        <v>1100.4779309804449</v>
      </c>
      <c r="BX20" s="382">
        <f t="array" ref="BX20">IF($BI20=0, INDEX(LS_current!$D$4:$AY$139, MATCH('Staging Table'!$A20, LS_current!$B$4:$B$139, 0), MATCH(BX$4&amp;BX$5, LS_current!$D$2:$AY$2&amp;LS_current!$D$3:$AY$3, 0)),SUM(VLOOKUP($A20, LS_current!$B$4:$AY$139, LS_current!N$149, FALSE), VLOOKUP($A20, LS_current!$B$4:$AY$139,LS_current!N$149, FALSE))/2)</f>
        <v>476.35021895153386</v>
      </c>
      <c r="BY20" s="382">
        <f t="array" ref="BY20">IF($BI20=0, INDEX(LS_current!$D$4:$AY$139, MATCH('Staging Table'!$A20, LS_current!$B$4:$B$139, 0), MATCH(BY$4&amp;BY$5, LS_current!$D$2:$AY$2&amp;LS_current!$D$3:$AY$3, 0)),SUM(VLOOKUP($A20, LS_current!$B$4:$AY$139, LS_current!O$149, FALSE), VLOOKUP($A20, LS_current!$B$4:$AY$139,LS_current!O$149, FALSE))/2)</f>
        <v>257.05693747206396</v>
      </c>
      <c r="BZ20" s="382">
        <f t="array" ref="BZ20">IF($BI20=0, INDEX(LS_current!$D$4:$AY$139, MATCH('Staging Table'!$A20, LS_current!$B$4:$B$139, 0), MATCH(BZ$4&amp;BZ$5, LS_current!$D$2:$AY$2&amp;LS_current!$D$3:$AY$3, 0)),SUM(VLOOKUP($A20, LS_current!$B$4:$AY$139, LS_current!P$149, FALSE), VLOOKUP($A20, LS_current!$B$4:$AY$139,LS_current!P$149, FALSE))/2)</f>
        <v>-248.06149186314451</v>
      </c>
      <c r="CA20" s="382">
        <f t="array" ref="CA20">IF($BI20=0, INDEX(LS_current!$D$4:$AY$139, MATCH('Staging Table'!$A20, LS_current!$B$4:$B$139, 0), MATCH(CA$4&amp;CA$5, LS_current!$D$2:$AY$2&amp;LS_current!$D$3:$AY$3, 0)),SUM(VLOOKUP($A20, LS_current!$B$4:$AY$139, LS_current!Q$149, FALSE), VLOOKUP($A20, LS_current!$B$4:$AY$139,LS_current!Q$149, FALSE))/2)</f>
        <v>231.16474001696133</v>
      </c>
      <c r="CB20" s="382">
        <f t="array" ref="CB20">IF($BI20=0, INDEX(LS_current!$D$4:$AY$139, MATCH('Staging Table'!$A20, LS_current!$B$4:$B$139, 0), MATCH(CB$4&amp;CB$5, LS_current!$D$2:$AY$2&amp;LS_current!$D$3:$AY$3, 0)),SUM(VLOOKUP($A20, LS_current!$B$4:$AY$139, LS_current!R$149, FALSE), VLOOKUP($A20, LS_current!$B$4:$AY$139,LS_current!R$149, FALSE))/2)</f>
        <v>-3040.9035656218157</v>
      </c>
      <c r="CC20" s="382">
        <f t="array" ref="CC20">IF($BI20=0, INDEX(LS_current!$D$4:$AY$139, MATCH('Staging Table'!$A20, LS_current!$B$4:$B$139, 0), MATCH(CC$4&amp;CC$5, LS_current!$D$2:$AY$2&amp;LS_current!$D$3:$AY$3, 0)),SUM(VLOOKUP($A20, LS_current!$B$4:$AY$139, LS_current!S$149, FALSE), VLOOKUP($A20, LS_current!$B$4:$AY$139,LS_current!S$149, FALSE))/2)</f>
        <v>-1646.8729272041469</v>
      </c>
      <c r="CD20" s="382">
        <f t="array" ref="CD20">IF($BI20=0, INDEX(LS_current!$D$4:$AY$139, MATCH('Staging Table'!$A20, LS_current!$B$4:$B$139, 0), MATCH(CD$4&amp;CD$5, LS_current!$D$2:$AY$2&amp;LS_current!$D$3:$AY$3, 0)),SUM(VLOOKUP($A20, LS_current!$B$4:$AY$139, LS_current!T$149, FALSE), VLOOKUP($A20, LS_current!$B$4:$AY$139,LS_current!T$149, FALSE))/2)</f>
        <v>-1198.4327068983866</v>
      </c>
      <c r="CE20" s="382">
        <f t="array" ref="CE20">IF($BI20=0, INDEX(LS_current!$D$4:$AY$139, MATCH('Staging Table'!$A20, LS_current!$B$4:$B$139, 0), MATCH(CE$4&amp;CE$5, LS_current!$D$2:$AY$2&amp;LS_current!$D$3:$AY$3, 0)),SUM(VLOOKUP($A20, LS_current!$B$4:$AY$139, LS_current!U$149, FALSE), VLOOKUP($A20, LS_current!$B$4:$AY$139,LS_current!U$149, FALSE))/2)</f>
        <v>-639.15620485472664</v>
      </c>
      <c r="CF20" s="382">
        <f t="array" ref="CF20">IF($BI20=0, INDEX(LS_current!$D$4:$AY$139, MATCH('Staging Table'!$A20, LS_current!$B$4:$B$139, 0), MATCH(CF$4&amp;CF$5, LS_current!$D$2:$AY$2&amp;LS_current!$D$3:$AY$3, 0)),SUM(VLOOKUP($A20, LS_current!$B$4:$AY$139, LS_current!V$149, FALSE), VLOOKUP($A20, LS_current!$B$4:$AY$139,LS_current!V$149, FALSE))/2)</f>
        <v>347.51550349072841</v>
      </c>
      <c r="CG20" s="382">
        <f t="array" ref="CG20">IF($BI20=0, INDEX(LS_current!$D$4:$AY$139, MATCH('Staging Table'!$A20, LS_current!$B$4:$B$139, 0), MATCH(CG$4&amp;CG$5, LS_current!$D$2:$AY$2&amp;LS_current!$D$3:$AY$3, 0)),SUM(VLOOKUP($A20, LS_current!$B$4:$AY$139, LS_current!W$149, FALSE), VLOOKUP($A20, LS_current!$B$4:$AY$139,LS_current!W$149, FALSE))/2)</f>
        <v>721.01806622848471</v>
      </c>
      <c r="CH20" s="382">
        <f t="array" ref="CH20">IF($BI20=0, INDEX(LS_current!$D$4:$AY$139, MATCH('Staging Table'!$A20, LS_current!$B$4:$B$139, 0), MATCH(CH$4&amp;CH$5, LS_current!$D$2:$AY$2&amp;LS_current!$D$3:$AY$3, 0)),SUM(VLOOKUP($A20, LS_current!$B$4:$AY$139, LS_current!X$149, FALSE), VLOOKUP($A20, LS_current!$B$4:$AY$139,LS_current!X$149, FALSE))/2)</f>
        <v>-225.12975241047934</v>
      </c>
      <c r="CI20" s="382">
        <f t="array" ref="CI20">IF($BI20=0, INDEX(LS_current!$D$4:$AY$139, MATCH('Staging Table'!$A20, LS_current!$B$4:$B$139, 0), MATCH(CI$4&amp;CI$5, LS_current!$D$2:$AY$2&amp;LS_current!$D$3:$AY$3, 0)),SUM(VLOOKUP($A20, LS_current!$B$4:$AY$139, LS_current!Y$149, FALSE), VLOOKUP($A20, LS_current!$B$4:$AY$139,LS_current!Y$149, FALSE))/2)</f>
        <v>-14.361049256511251</v>
      </c>
      <c r="CJ20" s="382">
        <f t="array" ref="CJ20">IF($BI20=0, INDEX(LS_current!$D$4:$AY$139, MATCH('Staging Table'!$A20, LS_current!$B$4:$B$139, 0), MATCH(CJ$4&amp;CJ$5, LS_current!$D$2:$AY$2&amp;LS_current!$D$3:$AY$3, 0)),SUM(VLOOKUP($A20, LS_current!$B$4:$AY$139, LS_current!Z$149, FALSE), VLOOKUP($A20, LS_current!$B$4:$AY$139,LS_current!Z$149, FALSE))/2)</f>
        <v>-705.09014738198857</v>
      </c>
      <c r="CK20" s="382">
        <f t="array" ref="CK20">IF($BI20=0, INDEX(LS_current!$D$4:$AY$139, MATCH('Staging Table'!$A20, LS_current!$B$4:$B$139, 0), MATCH(CK$4&amp;CK$5, LS_current!$D$2:$AY$2&amp;LS_current!$D$3:$AY$3, 0)),SUM(VLOOKUP($A20, LS_current!$B$4:$AY$139, LS_current!AA$149, FALSE), VLOOKUP($A20, LS_current!$B$4:$AY$139,LS_current!AA$149, FALSE))/2)</f>
        <v>-11.100780850575575</v>
      </c>
      <c r="CL20" s="384">
        <f t="array" ref="CL20">INDEX(Demand_current!$D$4:$AY$138, MATCH($A20, Demand_current!$B$4:$B$138, 0), MATCH(CL$4&amp;CL$5,Demand_current!$D$2:$AY$2&amp;Demand_current!$D$3:$AY$3, 0))/1000</f>
        <v>1.7033846153846139</v>
      </c>
      <c r="CM20" s="384">
        <f t="array" ref="CM20">INDEX(Demand_current!$D$4:$AY$138, MATCH($A20, Demand_current!$B$4:$B$138, 0), MATCH(CM$4&amp;CM$5,Demand_current!$D$2:$AY$2&amp;Demand_current!$D$3:$AY$3, 0))/1000</f>
        <v>0.8757050000000004</v>
      </c>
      <c r="CN20" s="384">
        <f t="array" ref="CN20">INDEX(Demand_current!$D$4:$AY$138, MATCH($A20, Demand_current!$B$4:$B$138, 0), MATCH(CN$4&amp;CN$5,Demand_current!$D$2:$AY$2&amp;Demand_current!$D$3:$AY$3, 0))/1000</f>
        <v>1.4526200000000027</v>
      </c>
      <c r="CO20" s="384">
        <f t="array" ref="CO20">INDEX(Demand_current!$D$4:$AY$138, MATCH($A20, Demand_current!$B$4:$B$138, 0), MATCH(CO$4&amp;CO$5,Demand_current!$D$2:$AY$2&amp;Demand_current!$D$3:$AY$3, 0))/1000</f>
        <v>1.9365841346153847</v>
      </c>
      <c r="CP20" s="384">
        <f t="array" ref="CP20">INDEX(Demand_current!$D$4:$AY$138, MATCH($A20, Demand_current!$B$4:$B$138, 0), MATCH(CP$4&amp;CP$5,Demand_current!$D$2:$AY$2&amp;Demand_current!$D$3:$AY$3, 0))/1000</f>
        <v>0.7305546874999993</v>
      </c>
      <c r="CQ20" s="384">
        <f t="array" ref="CQ20">INDEX(Demand_current!$D$4:$AY$138, MATCH($A20, Demand_current!$B$4:$B$138, 0), MATCH(CQ$4&amp;CQ$5,Demand_current!$D$2:$AY$2&amp;Demand_current!$D$3:$AY$3, 0))/1000</f>
        <v>2.0439375000000015</v>
      </c>
      <c r="CR20" s="384">
        <f t="array" ref="CR20">INDEX(Demand_current!$D$4:$AY$138, MATCH($A20, Demand_current!$B$4:$B$138, 0), MATCH(CR$4&amp;CR$5,Demand_current!$D$2:$AY$2&amp;Demand_current!$D$3:$AY$3, 0))/1000</f>
        <v>0.87691499999999989</v>
      </c>
      <c r="CS20" s="384">
        <f t="array" ref="CS20">INDEX(Demand_current!$D$4:$AY$138, MATCH($A20, Demand_current!$B$4:$B$138, 0), MATCH(CS$4&amp;CS$5,Demand_current!$D$2:$AY$2&amp;Demand_current!$D$3:$AY$3, 0))/1000</f>
        <v>1.3423365384615382</v>
      </c>
      <c r="CT20" s="384">
        <f t="array" ref="CT20">INDEX(Demand_current!$D$4:$AY$138, MATCH($A20, Demand_current!$B$4:$B$138, 0), MATCH(CT$4&amp;CT$5,Demand_current!$D$2:$AY$2&amp;Demand_current!$D$3:$AY$3, 0))/1000</f>
        <v>2.0624783653846164</v>
      </c>
      <c r="CU20" s="384">
        <f t="array" ref="CU20">INDEX(Demand_current!$D$4:$AY$138, MATCH($A20, Demand_current!$B$4:$B$138, 0), MATCH(CU$4&amp;CU$5,Demand_current!$D$2:$AY$2&amp;Demand_current!$D$3:$AY$3, 0))/1000</f>
        <v>2.2883850000000008</v>
      </c>
      <c r="CV20" s="384">
        <f t="array" ref="CV20">INDEX(Demand_current!$D$4:$AY$138, MATCH($A20, Demand_current!$B$4:$B$138, 0), MATCH(CV$4&amp;CV$5,Demand_current!$D$2:$AY$2&amp;Demand_current!$D$3:$AY$3, 0))/1000</f>
        <v>1.7391296296296295</v>
      </c>
      <c r="CW20" s="384">
        <f t="array" ref="CW20">INDEX(Demand_current!$D$4:$AY$138, MATCH($A20, Demand_current!$B$4:$B$138, 0), MATCH(CW$4&amp;CW$5,Demand_current!$D$2:$AY$2&amp;Demand_current!$D$3:$AY$3, 0))/1000</f>
        <v>1.777708333333333</v>
      </c>
      <c r="CX20" s="384">
        <f>IF(D20=0,IF(C20=0,MAX(0,DA20 - (VLOOKUP($A20,TOCA_current!$A$2:$AI$137,MATCH("RHWM 2018",TOCA_current!$A$2:$AI$2,0),FALSE)*$BH$2)), 0),0)</f>
        <v>0</v>
      </c>
      <c r="CY20" s="427">
        <f>VLOOKUP($A20,REP_current!$A$1:$D$135,MATCH("FY "&amp;$BH$1&amp; " Total Refund",REP_current!$A$1:$D$1,0),0)</f>
        <v>184426.84071116755</v>
      </c>
      <c r="CZ20" s="432">
        <f>MIN(VLOOKUP($A20,TOCA_current!$A$2:$AI$137,MATCH("TRL - NLSL - Existing Resource "&amp;$BH$1,TOCA_current!$A$2:$AI$2,0),FALSE)*$BH$2, VLOOKUP($A20,TOCA_current!$A$2:$AI$137,MATCH("RHWM 2018",TOCA_current!$A$2:$AI$2,0),FALSE)*$BH$2)</f>
        <v>121220.87999999999</v>
      </c>
      <c r="DA20" s="397">
        <f>SUM(BN20:CK20)+(BH20*RT1SC!$C$4*$BH$2)</f>
        <v>120239.56776854608</v>
      </c>
      <c r="DB20" s="432">
        <f>VLOOKUP($A20,TOCA_current!$A$2:$AI$137,MATCH("Above RHWM Not Served with LS "&amp;$BH$1,TOCA_current!$A$2:$AI$2,0),FALSE)*$BH$2</f>
        <v>52.56</v>
      </c>
      <c r="DC20" s="401">
        <f t="shared" si="11"/>
        <v>-981.31223145390686</v>
      </c>
      <c r="DD20" s="397">
        <f>(VLOOKUP($A20,TOCA_current!$A$2:$AI$137,MATCH("RHWM 2018",TOCA_current!$A$2:$AI$2,0),FALSE)*$BH$2) - $CZ20</f>
        <v>0</v>
      </c>
      <c r="DE20" s="397">
        <f t="shared" si="12"/>
        <v>0</v>
      </c>
      <c r="DF20" s="397">
        <f t="shared" si="13"/>
        <v>928.75223145390692</v>
      </c>
      <c r="DG20" s="397">
        <f t="shared" si="14"/>
        <v>0</v>
      </c>
      <c r="DH20" s="397">
        <f t="shared" si="15"/>
        <v>928.75223145390692</v>
      </c>
    </row>
    <row r="21" spans="1:112">
      <c r="A21" s="274">
        <v>10065</v>
      </c>
      <c r="B21" s="275" t="s">
        <v>22</v>
      </c>
      <c r="C21" s="397">
        <v>0</v>
      </c>
      <c r="D21" s="397">
        <v>0</v>
      </c>
      <c r="E21" s="205">
        <f>VLOOKUP($A21,TOCA_previous!$A$2:$AI$137,MATCH(E$4,TOCA_previous!$A$2:$AI$2,0),FALSE)</f>
        <v>3.1330000000000003E-4</v>
      </c>
      <c r="F21" s="206">
        <f>VLOOKUP($A21,TOCA_previous!$A$2:$AI$137,MATCH(F$4,TOCA_previous!$A$2:$AI$2,0),FALSE)</f>
        <v>3.1330000000000003E-4</v>
      </c>
      <c r="G21" s="206">
        <f t="shared" si="0"/>
        <v>0</v>
      </c>
      <c r="H21" s="206">
        <f>VLOOKUP($A21,TOCA_previous!$A$2:$AI$137,MATCH(H$4,TOCA_previous!$A$2:$AI$2,0),FALSE)</f>
        <v>5.5E-2</v>
      </c>
      <c r="I21" s="206">
        <f t="shared" si="1"/>
        <v>0</v>
      </c>
      <c r="J21" s="206">
        <f t="shared" si="2"/>
        <v>0</v>
      </c>
      <c r="K21" s="381">
        <f>VLOOKUP(A21, IRD!$A$5:$C$139, 3, FALSE)</f>
        <v>0</v>
      </c>
      <c r="L21" s="382">
        <f t="array" ref="L21">IF($G21=0, INDEX(LS_previous!$D$4:$AY$138, MATCH('Staging Table'!$A21, LS_previous!$B$4:$B$138, 0), MATCH(L$4&amp;L$5, LS_previous!$D$2:$AY$2&amp;LS_previous!$D$3:$AY$3, 0)),SUM(VLOOKUP($A21, LS_previous!$B$4:$AY$138, LS_previous!D$149, FALSE), VLOOKUP('Staging Table'!$A21, LS_previous!$B$4:$AY$138,LS_previous!AB$149, FALSE))/2)</f>
        <v>-16.177867748486278</v>
      </c>
      <c r="M21" s="382">
        <f t="array" ref="M21">IF($G21=0, INDEX(LS_previous!$D$4:$AY$138, MATCH('Staging Table'!$A21, LS_previous!$B$4:$B$138, 0), MATCH(M$4&amp;M$5, LS_previous!$D$2:$AY$2&amp;LS_previous!$D$3:$AY$3, 0)),SUM(VLOOKUP($A21, LS_previous!$B$4:$AY$138, LS_previous!E$149, FALSE), VLOOKUP('Staging Table'!$A21, LS_previous!$B$4:$AY$138,LS_previous!AC$149, FALSE))/2)</f>
        <v>41.269126334440671</v>
      </c>
      <c r="N21" s="382">
        <f t="array" ref="N21">IF($G21=0, INDEX(LS_previous!$D$4:$AY$138, MATCH('Staging Table'!$A21, LS_previous!$B$4:$B$138, 0), MATCH(N$4&amp;N$5, LS_previous!$D$2:$AY$2&amp;LS_previous!$D$3:$AY$3, 0)),SUM(VLOOKUP($A21, LS_previous!$B$4:$AY$138, LS_previous!F$149, FALSE), VLOOKUP('Staging Table'!$A21, LS_previous!$B$4:$AY$138,LS_previous!AD$149, FALSE))/2)</f>
        <v>32.805251480885318</v>
      </c>
      <c r="O21" s="382">
        <f t="array" ref="O21">IF($G21=0, INDEX(LS_previous!$D$4:$AY$138, MATCH('Staging Table'!$A21, LS_previous!$B$4:$B$138, 0), MATCH(O$4&amp;O$5, LS_previous!$D$2:$AY$2&amp;LS_previous!$D$3:$AY$3, 0)),SUM(VLOOKUP($A21, LS_previous!$B$4:$AY$138, LS_previous!G$149, FALSE), VLOOKUP('Staging Table'!$A21, LS_previous!$B$4:$AY$138,LS_previous!AE$149, FALSE))/2)</f>
        <v>80.724818274769518</v>
      </c>
      <c r="P21" s="382">
        <f t="array" ref="P21">IF($G21=0, INDEX(LS_previous!$D$4:$AY$138, MATCH('Staging Table'!$A21, LS_previous!$B$4:$B$138, 0), MATCH(P$4&amp;P$5, LS_previous!$D$2:$AY$2&amp;LS_previous!$D$3:$AY$3, 0)),SUM(VLOOKUP($A21, LS_previous!$B$4:$AY$138, LS_previous!H$149, FALSE), VLOOKUP('Staging Table'!$A21, LS_previous!$B$4:$AY$138,LS_previous!AF$149, FALSE))/2)</f>
        <v>389.06224965171532</v>
      </c>
      <c r="Q21" s="382">
        <f t="array" ref="Q21">IF($G21=0, INDEX(LS_previous!$D$4:$AY$138, MATCH('Staging Table'!$A21, LS_previous!$B$4:$B$138, 0), MATCH(Q$4&amp;Q$5, LS_previous!$D$2:$AY$2&amp;LS_previous!$D$3:$AY$3, 0)),SUM(VLOOKUP($A21, LS_previous!$B$4:$AY$138, LS_previous!I$149, FALSE), VLOOKUP('Staging Table'!$A21, LS_previous!$B$4:$AY$138,LS_previous!AG$149, FALSE))/2)</f>
        <v>366.7727863463241</v>
      </c>
      <c r="R21" s="382">
        <f t="array" ref="R21">IF($G21=0, INDEX(LS_previous!$D$4:$AY$138, MATCH('Staging Table'!$A21, LS_previous!$B$4:$B$138, 0), MATCH(R$4&amp;R$5, LS_previous!$D$2:$AY$2&amp;LS_previous!$D$3:$AY$3, 0)),SUM(VLOOKUP($A21, LS_previous!$B$4:$AY$138, LS_previous!J$149, FALSE), VLOOKUP('Staging Table'!$A21, LS_previous!$B$4:$AY$138,LS_previous!AH$149, FALSE))/2)</f>
        <v>447.55713542881551</v>
      </c>
      <c r="S21" s="382">
        <f t="array" ref="S21">IF($G21=0, INDEX(LS_previous!$D$4:$AY$138, MATCH('Staging Table'!$A21, LS_previous!$B$4:$B$138, 0), MATCH(S$4&amp;S$5, LS_previous!$D$2:$AY$2&amp;LS_previous!$D$3:$AY$3, 0)),SUM(VLOOKUP($A21, LS_previous!$B$4:$AY$138, LS_previous!K$149, FALSE), VLOOKUP('Staging Table'!$A21, LS_previous!$B$4:$AY$138,LS_previous!AI$149, FALSE))/2)</f>
        <v>343.6598066018563</v>
      </c>
      <c r="T21" s="382">
        <f t="array" ref="T21">IF($G21=0, INDEX(LS_previous!$D$4:$AY$138, MATCH('Staging Table'!$A21, LS_previous!$B$4:$B$138, 0), MATCH(T$4&amp;T$5, LS_previous!$D$2:$AY$2&amp;LS_previous!$D$3:$AY$3, 0)),SUM(VLOOKUP($A21, LS_previous!$B$4:$AY$138, LS_previous!L$149, FALSE), VLOOKUP('Staging Table'!$A21, LS_previous!$B$4:$AY$138,LS_previous!AJ$149, FALSE))/2)</f>
        <v>363.67025750580694</v>
      </c>
      <c r="U21" s="382">
        <f t="array" ref="U21">IF($G21=0, INDEX(LS_previous!$D$4:$AY$138, MATCH('Staging Table'!$A21, LS_previous!$B$4:$B$138, 0), MATCH(U$4&amp;U$5, LS_previous!$D$2:$AY$2&amp;LS_previous!$D$3:$AY$3, 0)),SUM(VLOOKUP($A21, LS_previous!$B$4:$AY$138, LS_previous!M$149, FALSE), VLOOKUP('Staging Table'!$A21, LS_previous!$B$4:$AY$138,LS_previous!AK$149, FALSE))/2)</f>
        <v>248.8404007795167</v>
      </c>
      <c r="V21" s="382">
        <f t="array" ref="V21">IF($G21=0, INDEX(LS_previous!$D$4:$AY$138, MATCH('Staging Table'!$A21, LS_previous!$B$4:$B$138, 0), MATCH(V$4&amp;V$5, LS_previous!$D$2:$AY$2&amp;LS_previous!$D$3:$AY$3, 0)),SUM(VLOOKUP($A21, LS_previous!$B$4:$AY$138, LS_previous!N$149, FALSE), VLOOKUP('Staging Table'!$A21, LS_previous!$B$4:$AY$138,LS_previous!AL$149, FALSE))/2)</f>
        <v>126.03870561256713</v>
      </c>
      <c r="W21" s="382">
        <f t="array" ref="W21">IF($G21=0, INDEX(LS_previous!$D$4:$AY$138, MATCH('Staging Table'!$A21, LS_previous!$B$4:$B$138, 0), MATCH(W$4&amp;W$5, LS_previous!$D$2:$AY$2&amp;LS_previous!$D$3:$AY$3, 0)),SUM(VLOOKUP($A21, LS_previous!$B$4:$AY$138, LS_previous!O$149, FALSE), VLOOKUP('Staging Table'!$A21, LS_previous!$B$4:$AY$138,LS_previous!AM$149, FALSE))/2)</f>
        <v>74.803391296113091</v>
      </c>
      <c r="X21" s="382">
        <f t="array" ref="X21">IF($G21=0, INDEX(LS_previous!$D$4:$AY$138, MATCH('Staging Table'!$A21, LS_previous!$B$4:$B$138, 0), MATCH(X$4&amp;X$5, LS_previous!$D$2:$AY$2&amp;LS_previous!$D$3:$AY$3, 0)),SUM(VLOOKUP($A21, LS_previous!$B$4:$AY$138, LS_previous!P$149, FALSE), VLOOKUP('Staging Table'!$A21, LS_previous!$B$4:$AY$138,LS_previous!AN$149, FALSE))/2)</f>
        <v>147.40187043877654</v>
      </c>
      <c r="Y21" s="382">
        <f t="array" ref="Y21">IF($G21=0, INDEX(LS_previous!$D$4:$AY$138, MATCH('Staging Table'!$A21, LS_previous!$B$4:$B$138, 0), MATCH(Y$4&amp;Y$5, LS_previous!$D$2:$AY$2&amp;LS_previous!$D$3:$AY$3, 0)),SUM(VLOOKUP($A21, LS_previous!$B$4:$AY$138, LS_previous!Q$149, FALSE), VLOOKUP('Staging Table'!$A21, LS_previous!$B$4:$AY$138,LS_previous!AO$149, FALSE))/2)</f>
        <v>152.01316196783392</v>
      </c>
      <c r="Z21" s="382">
        <f t="array" ref="Z21">IF($G21=0, INDEX(LS_previous!$D$4:$AY$138, MATCH('Staging Table'!$A21, LS_previous!$B$4:$B$138, 0), MATCH(Z$4&amp;Z$5, LS_previous!$D$2:$AY$2&amp;LS_previous!$D$3:$AY$3, 0)),SUM(VLOOKUP($A21, LS_previous!$B$4:$AY$138, LS_previous!R$149, FALSE), VLOOKUP('Staging Table'!$A21, LS_previous!$B$4:$AY$138,LS_previous!AP$149, FALSE))/2)</f>
        <v>-463.14413662376592</v>
      </c>
      <c r="AA21" s="382">
        <f t="array" ref="AA21">IF($G21=0, INDEX(LS_previous!$D$4:$AY$138, MATCH('Staging Table'!$A21, LS_previous!$B$4:$B$138, 0), MATCH(AA$4&amp;AA$5, LS_previous!$D$2:$AY$2&amp;LS_previous!$D$3:$AY$3, 0)),SUM(VLOOKUP($A21, LS_previous!$B$4:$AY$138, LS_previous!S$149, FALSE), VLOOKUP('Staging Table'!$A21, LS_previous!$B$4:$AY$138,LS_previous!AQ$149, FALSE))/2)</f>
        <v>-180.57569005097571</v>
      </c>
      <c r="AB21" s="382">
        <f t="array" ref="AB21">IF($G21=0, INDEX(LS_previous!$D$4:$AY$138, MATCH('Staging Table'!$A21, LS_previous!$B$4:$B$138, 0), MATCH(AB$4&amp;AB$5, LS_previous!$D$2:$AY$2&amp;LS_previous!$D$3:$AY$3, 0)),SUM(VLOOKUP($A21, LS_previous!$B$4:$AY$138, LS_previous!T$149, FALSE), VLOOKUP('Staging Table'!$A21, LS_previous!$B$4:$AY$138,LS_previous!AR$149, FALSE))/2)</f>
        <v>-186.76055825307469</v>
      </c>
      <c r="AC21" s="382">
        <f t="array" ref="AC21">IF($G21=0, INDEX(LS_previous!$D$4:$AY$138, MATCH('Staging Table'!$A21, LS_previous!$B$4:$B$138, 0), MATCH(AC$4&amp;AC$5, LS_previous!$D$2:$AY$2&amp;LS_previous!$D$3:$AY$3, 0)),SUM(VLOOKUP($A21, LS_previous!$B$4:$AY$138, LS_previous!U$149, FALSE), VLOOKUP('Staging Table'!$A21, LS_previous!$B$4:$AY$138,LS_previous!AS$149, FALSE))/2)</f>
        <v>-86.353316847388669</v>
      </c>
      <c r="AD21" s="382">
        <f t="array" ref="AD21">IF($G21=0, INDEX(LS_previous!$D$4:$AY$138, MATCH('Staging Table'!$A21, LS_previous!$B$4:$B$138, 0), MATCH(AD$4&amp;AD$5, LS_previous!$D$2:$AY$2&amp;LS_previous!$D$3:$AY$3, 0)),SUM(VLOOKUP($A21, LS_previous!$B$4:$AY$138, LS_previous!V$149, FALSE), VLOOKUP('Staging Table'!$A21, LS_previous!$B$4:$AY$138,LS_previous!AT$149, FALSE))/2)</f>
        <v>-117.21797671124557</v>
      </c>
      <c r="AE21" s="382">
        <f t="array" ref="AE21">IF($G21=0, INDEX(LS_previous!$D$4:$AY$138, MATCH('Staging Table'!$A21, LS_previous!$B$4:$B$138, 0), MATCH(AE$4&amp;AE$5, LS_previous!$D$2:$AY$2&amp;LS_previous!$D$3:$AY$3, 0)),SUM(VLOOKUP($A21, LS_previous!$B$4:$AY$138, LS_previous!W$149, FALSE), VLOOKUP('Staging Table'!$A21, LS_previous!$B$4:$AY$138,LS_previous!AU$149, FALSE))/2)</f>
        <v>66.35249023906033</v>
      </c>
      <c r="AF21" s="382">
        <f t="array" ref="AF21">IF($G21=0, INDEX(LS_previous!$D$4:$AY$138, MATCH('Staging Table'!$A21, LS_previous!$B$4:$B$138, 0), MATCH(AF$4&amp;AF$5, LS_previous!$D$2:$AY$2&amp;LS_previous!$D$3:$AY$3, 0)),SUM(VLOOKUP($A21, LS_previous!$B$4:$AY$138, LS_previous!X$149, FALSE), VLOOKUP('Staging Table'!$A21, LS_previous!$B$4:$AY$138,LS_previous!AV$149, FALSE))/2)</f>
        <v>-90.622256919720598</v>
      </c>
      <c r="AG21" s="382">
        <f t="array" ref="AG21">IF($G21=0, INDEX(LS_previous!$D$4:$AY$138, MATCH('Staging Table'!$A21, LS_previous!$B$4:$B$138, 0), MATCH(AG$4&amp;AG$5, LS_previous!$D$2:$AY$2&amp;LS_previous!$D$3:$AY$3, 0)),SUM(VLOOKUP($A21, LS_previous!$B$4:$AY$138, LS_previous!Y$149, FALSE), VLOOKUP('Staging Table'!$A21, LS_previous!$B$4:$AY$138,LS_previous!AW$149, FALSE))/2)</f>
        <v>0.80550895574560855</v>
      </c>
      <c r="AH21" s="382">
        <f t="array" ref="AH21">IF($G21=0, INDEX(LS_previous!$D$4:$AY$138, MATCH('Staging Table'!$A21, LS_previous!$B$4:$B$138, 0), MATCH(AH$4&amp;AH$5, LS_previous!$D$2:$AY$2&amp;LS_previous!$D$3:$AY$3, 0)),SUM(VLOOKUP($A21, LS_previous!$B$4:$AY$138, LS_previous!Z$149, FALSE), VLOOKUP('Staging Table'!$A21, LS_previous!$B$4:$AY$138,LS_previous!AX$149, FALSE))/2)</f>
        <v>-12.634047229907537</v>
      </c>
      <c r="AI21" s="382">
        <f t="array" ref="AI21">IF($G21=0, INDEX(LS_previous!$D$4:$AY$138, MATCH('Staging Table'!$A21, LS_previous!$B$4:$B$138, 0), MATCH(AI$4&amp;AI$5, LS_previous!$D$2:$AY$2&amp;LS_previous!$D$3:$AY$3, 0)),SUM(VLOOKUP($A21, LS_previous!$B$4:$AY$138, LS_previous!AA$149, FALSE), VLOOKUP('Staging Table'!$A21, LS_previous!$B$4:$AY$138,LS_previous!AY$149, FALSE))/2)</f>
        <v>37.773074793097521</v>
      </c>
      <c r="AJ21" s="384">
        <f t="array" ref="AJ21">INDEX(Demand_previous!$D$4:$AY$138, MATCH('Staging Table'!$A21, Demand_previous!$B$4:$B$138, 0), MATCH(AJ$4&amp;AJ$5,Demand_previous!$D$2:$AY$2&amp;Demand_previous!$D$3:$AY$3, 0))/1000</f>
        <v>0.56556249999999997</v>
      </c>
      <c r="AK21" s="384">
        <f t="array" ref="AK21">INDEX(Demand_previous!$D$4:$AY$138, MATCH('Staging Table'!$A21, Demand_previous!$B$4:$B$138, 0), MATCH(AK$4&amp;AK$5,Demand_previous!$D$2:$AY$2&amp;Demand_previous!$D$3:$AY$3, 0))/1000</f>
        <v>0.42127864583333363</v>
      </c>
      <c r="AL21" s="384">
        <f t="array" ref="AL21">INDEX(Demand_previous!$D$4:$AY$138, MATCH('Staging Table'!$A21, Demand_previous!$B$4:$B$138, 0), MATCH(AL$4&amp;AL$5,Demand_previous!$D$2:$AY$2&amp;Demand_previous!$D$3:$AY$3, 0))/1000</f>
        <v>0.79116586538461564</v>
      </c>
      <c r="AM21" s="384">
        <f t="array" ref="AM21">INDEX(Demand_previous!$D$4:$AY$138, MATCH('Staging Table'!$A21, Demand_previous!$B$4:$B$138, 0), MATCH(AM$4&amp;AM$5,Demand_previous!$D$2:$AY$2&amp;Demand_previous!$D$3:$AY$3, 0))/1000</f>
        <v>0.64138750000000022</v>
      </c>
      <c r="AN21" s="384">
        <f t="array" ref="AN21">INDEX(Demand_previous!$D$4:$AY$138, MATCH('Staging Table'!$A21, Demand_previous!$B$4:$B$138, 0), MATCH(AN$4&amp;AN$5,Demand_previous!$D$2:$AY$2&amp;Demand_previous!$D$3:$AY$3, 0))/1000</f>
        <v>0.65398999999999974</v>
      </c>
      <c r="AO21" s="384">
        <f t="array" ref="AO21">INDEX(Demand_previous!$D$4:$AY$138, MATCH('Staging Table'!$A21, Demand_previous!$B$4:$B$138, 0), MATCH(AO$4&amp;AO$5,Demand_previous!$D$2:$AY$2&amp;Demand_previous!$D$3:$AY$3, 0))/1000</f>
        <v>0.84451157407407385</v>
      </c>
      <c r="AP21" s="384">
        <f t="array" ref="AP21">INDEX(Demand_previous!$D$4:$AY$138, MATCH('Staging Table'!$A21, Demand_previous!$B$4:$B$138, 0), MATCH(AP$4&amp;AP$5,Demand_previous!$D$2:$AY$2&amp;Demand_previous!$D$3:$AY$3, 0))/1000</f>
        <v>0.60132692307692315</v>
      </c>
      <c r="AQ21" s="384">
        <f t="array" ref="AQ21">INDEX(Demand_previous!$D$4:$AY$138, MATCH('Staging Table'!$A21, Demand_previous!$B$4:$B$138, 0), MATCH(AQ$4&amp;AQ$5,Demand_previous!$D$2:$AY$2&amp;Demand_previous!$D$3:$AY$3, 0))/1000</f>
        <v>0.25721249999999996</v>
      </c>
      <c r="AR21" s="384">
        <f t="array" ref="AR21">INDEX(Demand_previous!$D$4:$AY$138, MATCH('Staging Table'!$A21, Demand_previous!$B$4:$B$138, 0), MATCH(AR$4&amp;AR$5,Demand_previous!$D$2:$AY$2&amp;Demand_previous!$D$3:$AY$3, 0))/1000</f>
        <v>0.27052163461538459</v>
      </c>
      <c r="AS21" s="384">
        <f t="array" ref="AS21">INDEX(Demand_previous!$D$4:$AY$138, MATCH('Staging Table'!$A21, Demand_previous!$B$4:$B$138, 0), MATCH(AS$4&amp;AS$5,Demand_previous!$D$2:$AY$2&amp;Demand_previous!$D$3:$AY$3, 0))/1000</f>
        <v>0.24405749999999976</v>
      </c>
      <c r="AT21" s="384">
        <f t="array" ref="AT21">INDEX(Demand_previous!$D$4:$AY$138, MATCH('Staging Table'!$A21, Demand_previous!$B$4:$B$138, 0), MATCH(AT$4&amp;AT$5,Demand_previous!$D$2:$AY$2&amp;Demand_previous!$D$3:$AY$3, 0))/1000</f>
        <v>0.35205324074074079</v>
      </c>
      <c r="AU21" s="384">
        <f t="array" ref="AU21">INDEX(Demand_previous!$D$4:$AY$138, MATCH('Staging Table'!$A21, Demand_previous!$B$4:$B$138, 0), MATCH(AU$4&amp;AU$5,Demand_previous!$D$2:$AY$2&amp;Demand_previous!$D$3:$AY$3, 0))/1000</f>
        <v>0.31859749999999964</v>
      </c>
      <c r="AV21" s="384">
        <f>IF($D21=0,IF(C21=0, MAX(AY21 - (VLOOKUP($A21,TOCA_previous!$A$2:$AI$137,MATCH("RHWM 2016",TOCA_previous!$A$2:$AI$2,0),FALSE)*$F$2*TOCA_previous!C18),0),0), 0)</f>
        <v>306.16804523476094</v>
      </c>
      <c r="AW21" s="427">
        <f>VLOOKUP($A21,REP_previous!$A$1:$D$135,MATCH("FY "&amp;$F$1&amp; " Total Refund",REP_previous!$A$1:$D$1,0),0)</f>
        <v>30150.482083050607</v>
      </c>
      <c r="AX21" s="398">
        <f>MIN(VLOOKUP($A21,TOCA_previous!$A$2:$AI$137,MATCH("TRL - NLSL - Exisiting Resource "&amp;$F$1,TOCA_previous!$A$2:$AI$2,0),FALSE)*$F$2,(VLOOKUP($A21,TOCA_previous!$A$2:$AI$137,MATCH("RHWM 2016",TOCA_previous!$A$2:$AI$2,0),FALSE)*$F$2))</f>
        <v>19219.392</v>
      </c>
      <c r="AY21" s="384">
        <f>SUM(L21:AI21)+(F21*RT1SC!$C$3*$F$2)</f>
        <v>20983.704045234761</v>
      </c>
      <c r="AZ21" s="398">
        <f>VLOOKUP($A21,TOCA_previous!$A$2:$AI$137,MATCH("Above RHWM Not Served with LS "&amp;$F$1,TOCA_previous!$A$2:$AI$2,0),FALSE)*$F$2</f>
        <v>0</v>
      </c>
      <c r="BA21" s="206">
        <f t="shared" si="3"/>
        <v>1764.3120452347612</v>
      </c>
      <c r="BB21" s="399">
        <f>(VLOOKUP($A21,TOCA_previous!$A$2:$AI$137,MATCH("RHWM 2016",TOCA_previous!$A$2:$AI$2,0),FALSE)*$F$2) - $AX21</f>
        <v>1458.1440000000002</v>
      </c>
      <c r="BC21" s="206">
        <f t="shared" si="4"/>
        <v>-1458.1440000000002</v>
      </c>
      <c r="BD21" s="400">
        <f t="shared" si="5"/>
        <v>0</v>
      </c>
      <c r="BE21" s="392">
        <f t="shared" si="6"/>
        <v>0</v>
      </c>
      <c r="BF21" s="399">
        <f t="shared" si="7"/>
        <v>-1458.1440000000002</v>
      </c>
      <c r="BG21" s="206">
        <f>VLOOKUP($A21,TOCA_current!$A$2:$AI$137,MATCH(BG$4,TOCA_current!$A$2:$AI$2,0),FALSE)</f>
        <v>3.368E-4</v>
      </c>
      <c r="BH21" s="206">
        <f>VLOOKUP($A21,TOCA_current!$A$2:$AI$137,MATCH(BH$4,TOCA_current!$A$2:$AI$2,0),FALSE)</f>
        <v>3.368E-4</v>
      </c>
      <c r="BI21" s="391">
        <f t="shared" si="8"/>
        <v>0</v>
      </c>
      <c r="BJ21" s="206">
        <f>VLOOKUP($A21,TOCA_current!A17:BG152,MATCH(BJ$4,TOCA_current!$A$2:$BG$2,0),FALSE)</f>
        <v>6.0525865754595974E-2</v>
      </c>
      <c r="BK21" s="206">
        <f t="shared" si="9"/>
        <v>0</v>
      </c>
      <c r="BL21" s="206">
        <f t="shared" si="10"/>
        <v>0</v>
      </c>
      <c r="BM21" s="381">
        <f>VLOOKUP($A21,IRD!$A$4:$G$139, 7, FALSE)</f>
        <v>0</v>
      </c>
      <c r="BN21" s="382">
        <f t="array" ref="BN21">IF($BI21=0, INDEX(LS_current!$D$4:$AY$139, MATCH('Staging Table'!$A21, LS_current!$B$4:$B$139, 0), MATCH(BN$4&amp;BN$5, LS_current!$D$2:$AY$2&amp;LS_current!$D$3:$AY$3, 0)),SUM(VLOOKUP($A21, LS_current!$B$4:$AY$139, LS_current!D$149, FALSE), VLOOKUP($A21, LS_current!$B$4:$AY$139,LS_current!D$149, FALSE))/2)</f>
        <v>-92.96044360214114</v>
      </c>
      <c r="BO21" s="382">
        <f t="array" ref="BO21">IF($BI21=0, INDEX(LS_current!$D$4:$AY$139, MATCH('Staging Table'!$A21, LS_current!$B$4:$B$139, 0), MATCH(BO$4&amp;BO$5, LS_current!$D$2:$AY$2&amp;LS_current!$D$3:$AY$3, 0)),SUM(VLOOKUP($A21, LS_current!$B$4:$AY$139, LS_current!E$149, FALSE), VLOOKUP($A21, LS_current!$B$4:$AY$139,LS_current!E$149, FALSE))/2)</f>
        <v>30.62588522935755</v>
      </c>
      <c r="BP21" s="382">
        <f t="array" ref="BP21">IF($BI21=0, INDEX(LS_current!$D$4:$AY$139, MATCH('Staging Table'!$A21, LS_current!$B$4:$B$139, 0), MATCH(BP$4&amp;BP$5, LS_current!$D$2:$AY$2&amp;LS_current!$D$3:$AY$3, 0)),SUM(VLOOKUP($A21, LS_current!$B$4:$AY$139, LS_current!F$149, FALSE), VLOOKUP($A21, LS_current!$B$4:$AY$139,LS_current!F$149, FALSE))/2)</f>
        <v>-76.405099730847041</v>
      </c>
      <c r="BQ21" s="382">
        <f t="array" ref="BQ21">IF($BI21=0, INDEX(LS_current!$D$4:$AY$139, MATCH('Staging Table'!$A21, LS_current!$B$4:$B$139, 0), MATCH(BQ$4&amp;BQ$5, LS_current!$D$2:$AY$2&amp;LS_current!$D$3:$AY$3, 0)),SUM(VLOOKUP($A21, LS_current!$B$4:$AY$139, LS_current!G$149, FALSE), VLOOKUP($A21, LS_current!$B$4:$AY$139,LS_current!G$149, FALSE))/2)</f>
        <v>36.456235185321248</v>
      </c>
      <c r="BR21" s="382">
        <f t="array" ref="BR21">IF($BI21=0, INDEX(LS_current!$D$4:$AY$139, MATCH('Staging Table'!$A21, LS_current!$B$4:$B$139, 0), MATCH(BR$4&amp;BR$5, LS_current!$D$2:$AY$2&amp;LS_current!$D$3:$AY$3, 0)),SUM(VLOOKUP($A21, LS_current!$B$4:$AY$139, LS_current!H$149, FALSE), VLOOKUP($A21, LS_current!$B$4:$AY$139,LS_current!H$149, FALSE))/2)</f>
        <v>269.23489020523448</v>
      </c>
      <c r="BS21" s="382">
        <f t="array" ref="BS21">IF($BI21=0, INDEX(LS_current!$D$4:$AY$139, MATCH('Staging Table'!$A21, LS_current!$B$4:$B$139, 0), MATCH(BS$4&amp;BS$5, LS_current!$D$2:$AY$2&amp;LS_current!$D$3:$AY$3, 0)),SUM(VLOOKUP($A21, LS_current!$B$4:$AY$139, LS_current!I$149, FALSE), VLOOKUP($A21, LS_current!$B$4:$AY$139,LS_current!I$149, FALSE))/2)</f>
        <v>309.66569091052372</v>
      </c>
      <c r="BT21" s="382">
        <f t="array" ref="BT21">IF($BI21=0, INDEX(LS_current!$D$4:$AY$139, MATCH('Staging Table'!$A21, LS_current!$B$4:$B$139, 0), MATCH(BT$4&amp;BT$5, LS_current!$D$2:$AY$2&amp;LS_current!$D$3:$AY$3, 0)),SUM(VLOOKUP($A21, LS_current!$B$4:$AY$139, LS_current!J$149, FALSE), VLOOKUP($A21, LS_current!$B$4:$AY$139,LS_current!J$149, FALSE))/2)</f>
        <v>365.94443306559367</v>
      </c>
      <c r="BU21" s="382">
        <f t="array" ref="BU21">IF($BI21=0, INDEX(LS_current!$D$4:$AY$139, MATCH('Staging Table'!$A21, LS_current!$B$4:$B$139, 0), MATCH(BU$4&amp;BU$5, LS_current!$D$2:$AY$2&amp;LS_current!$D$3:$AY$3, 0)),SUM(VLOOKUP($A21, LS_current!$B$4:$AY$139, LS_current!K$149, FALSE), VLOOKUP($A21, LS_current!$B$4:$AY$139,LS_current!K$149, FALSE))/2)</f>
        <v>297.45946102851838</v>
      </c>
      <c r="BV21" s="382">
        <f t="array" ref="BV21">IF($BI21=0, INDEX(LS_current!$D$4:$AY$139, MATCH('Staging Table'!$A21, LS_current!$B$4:$B$139, 0), MATCH(BV$4&amp;BV$5, LS_current!$D$2:$AY$2&amp;LS_current!$D$3:$AY$3, 0)),SUM(VLOOKUP($A21, LS_current!$B$4:$AY$139, LS_current!L$149, FALSE), VLOOKUP($A21, LS_current!$B$4:$AY$139,LS_current!L$149, FALSE))/2)</f>
        <v>369.19858364642437</v>
      </c>
      <c r="BW21" s="382">
        <f t="array" ref="BW21">IF($BI21=0, INDEX(LS_current!$D$4:$AY$139, MATCH('Staging Table'!$A21, LS_current!$B$4:$B$139, 0), MATCH(BW$4&amp;BW$5, LS_current!$D$2:$AY$2&amp;LS_current!$D$3:$AY$3, 0)),SUM(VLOOKUP($A21, LS_current!$B$4:$AY$139, LS_current!M$149, FALSE), VLOOKUP($A21, LS_current!$B$4:$AY$139,LS_current!M$149, FALSE))/2)</f>
        <v>265.31777193326002</v>
      </c>
      <c r="BX21" s="382">
        <f t="array" ref="BX21">IF($BI21=0, INDEX(LS_current!$D$4:$AY$139, MATCH('Staging Table'!$A21, LS_current!$B$4:$B$139, 0), MATCH(BX$4&amp;BX$5, LS_current!$D$2:$AY$2&amp;LS_current!$D$3:$AY$3, 0)),SUM(VLOOKUP($A21, LS_current!$B$4:$AY$139, LS_current!N$149, FALSE), VLOOKUP($A21, LS_current!$B$4:$AY$139,LS_current!N$149, FALSE))/2)</f>
        <v>106.09407745803321</v>
      </c>
      <c r="BY21" s="382">
        <f t="array" ref="BY21">IF($BI21=0, INDEX(LS_current!$D$4:$AY$139, MATCH('Staging Table'!$A21, LS_current!$B$4:$B$139, 0), MATCH(BY$4&amp;BY$5, LS_current!$D$2:$AY$2&amp;LS_current!$D$3:$AY$3, 0)),SUM(VLOOKUP($A21, LS_current!$B$4:$AY$139, LS_current!O$149, FALSE), VLOOKUP($A21, LS_current!$B$4:$AY$139,LS_current!O$149, FALSE))/2)</f>
        <v>90.371709294685957</v>
      </c>
      <c r="BZ21" s="382">
        <f t="array" ref="BZ21">IF($BI21=0, INDEX(LS_current!$D$4:$AY$139, MATCH('Staging Table'!$A21, LS_current!$B$4:$B$139, 0), MATCH(BZ$4&amp;BZ$5, LS_current!$D$2:$AY$2&amp;LS_current!$D$3:$AY$3, 0)),SUM(VLOOKUP($A21, LS_current!$B$4:$AY$139, LS_current!P$149, FALSE), VLOOKUP($A21, LS_current!$B$4:$AY$139,LS_current!P$149, FALSE))/2)</f>
        <v>-16.83664441408564</v>
      </c>
      <c r="CA21" s="382">
        <f t="array" ref="CA21">IF($BI21=0, INDEX(LS_current!$D$4:$AY$139, MATCH('Staging Table'!$A21, LS_current!$B$4:$B$139, 0), MATCH(CA$4&amp;CA$5, LS_current!$D$2:$AY$2&amp;LS_current!$D$3:$AY$3, 0)),SUM(VLOOKUP($A21, LS_current!$B$4:$AY$139, LS_current!Q$149, FALSE), VLOOKUP($A21, LS_current!$B$4:$AY$139,LS_current!Q$149, FALSE))/2)</f>
        <v>106.85653369352247</v>
      </c>
      <c r="CB21" s="382">
        <f t="array" ref="CB21">IF($BI21=0, INDEX(LS_current!$D$4:$AY$139, MATCH('Staging Table'!$A21, LS_current!$B$4:$B$139, 0), MATCH(CB$4&amp;CB$5, LS_current!$D$2:$AY$2&amp;LS_current!$D$3:$AY$3, 0)),SUM(VLOOKUP($A21, LS_current!$B$4:$AY$139, LS_current!R$149, FALSE), VLOOKUP($A21, LS_current!$B$4:$AY$139,LS_current!R$149, FALSE))/2)</f>
        <v>-551.63305625887142</v>
      </c>
      <c r="CC21" s="382">
        <f t="array" ref="CC21">IF($BI21=0, INDEX(LS_current!$D$4:$AY$139, MATCH('Staging Table'!$A21, LS_current!$B$4:$B$139, 0), MATCH(CC$4&amp;CC$5, LS_current!$D$2:$AY$2&amp;LS_current!$D$3:$AY$3, 0)),SUM(VLOOKUP($A21, LS_current!$B$4:$AY$139, LS_current!S$149, FALSE), VLOOKUP($A21, LS_current!$B$4:$AY$139,LS_current!S$149, FALSE))/2)</f>
        <v>-249.31213875457024</v>
      </c>
      <c r="CD21" s="382">
        <f t="array" ref="CD21">IF($BI21=0, INDEX(LS_current!$D$4:$AY$139, MATCH('Staging Table'!$A21, LS_current!$B$4:$B$139, 0), MATCH(CD$4&amp;CD$5, LS_current!$D$2:$AY$2&amp;LS_current!$D$3:$AY$3, 0)),SUM(VLOOKUP($A21, LS_current!$B$4:$AY$139, LS_current!T$149, FALSE), VLOOKUP($A21, LS_current!$B$4:$AY$139,LS_current!T$149, FALSE))/2)</f>
        <v>-262.89890007195447</v>
      </c>
      <c r="CE21" s="382">
        <f t="array" ref="CE21">IF($BI21=0, INDEX(LS_current!$D$4:$AY$139, MATCH('Staging Table'!$A21, LS_current!$B$4:$B$139, 0), MATCH(CE$4&amp;CE$5, LS_current!$D$2:$AY$2&amp;LS_current!$D$3:$AY$3, 0)),SUM(VLOOKUP($A21, LS_current!$B$4:$AY$139, LS_current!U$149, FALSE), VLOOKUP($A21, LS_current!$B$4:$AY$139,LS_current!U$149, FALSE))/2)</f>
        <v>-85.887617381848827</v>
      </c>
      <c r="CF21" s="382">
        <f t="array" ref="CF21">IF($BI21=0, INDEX(LS_current!$D$4:$AY$139, MATCH('Staging Table'!$A21, LS_current!$B$4:$B$139, 0), MATCH(CF$4&amp;CF$5, LS_current!$D$2:$AY$2&amp;LS_current!$D$3:$AY$3, 0)),SUM(VLOOKUP($A21, LS_current!$B$4:$AY$139, LS_current!V$149, FALSE), VLOOKUP($A21, LS_current!$B$4:$AY$139,LS_current!V$149, FALSE))/2)</f>
        <v>-126.80073322509406</v>
      </c>
      <c r="CG21" s="382">
        <f t="array" ref="CG21">IF($BI21=0, INDEX(LS_current!$D$4:$AY$139, MATCH('Staging Table'!$A21, LS_current!$B$4:$B$139, 0), MATCH(CG$4&amp;CG$5, LS_current!$D$2:$AY$2&amp;LS_current!$D$3:$AY$3, 0)),SUM(VLOOKUP($A21, LS_current!$B$4:$AY$139, LS_current!W$149, FALSE), VLOOKUP($A21, LS_current!$B$4:$AY$139,LS_current!W$149, FALSE))/2)</f>
        <v>66.876841566673534</v>
      </c>
      <c r="CH21" s="382">
        <f t="array" ref="CH21">IF($BI21=0, INDEX(LS_current!$D$4:$AY$139, MATCH('Staging Table'!$A21, LS_current!$B$4:$B$139, 0), MATCH(CH$4&amp;CH$5, LS_current!$D$2:$AY$2&amp;LS_current!$D$3:$AY$3, 0)),SUM(VLOOKUP($A21, LS_current!$B$4:$AY$139, LS_current!X$149, FALSE), VLOOKUP($A21, LS_current!$B$4:$AY$139,LS_current!X$149, FALSE))/2)</f>
        <v>-165.94008752978482</v>
      </c>
      <c r="CI21" s="382">
        <f t="array" ref="CI21">IF($BI21=0, INDEX(LS_current!$D$4:$AY$139, MATCH('Staging Table'!$A21, LS_current!$B$4:$B$139, 0), MATCH(CI$4&amp;CI$5, LS_current!$D$2:$AY$2&amp;LS_current!$D$3:$AY$3, 0)),SUM(VLOOKUP($A21, LS_current!$B$4:$AY$139, LS_current!Y$149, FALSE), VLOOKUP($A21, LS_current!$B$4:$AY$139,LS_current!Y$149, FALSE))/2)</f>
        <v>-21.740828660841544</v>
      </c>
      <c r="CJ21" s="382">
        <f t="array" ref="CJ21">IF($BI21=0, INDEX(LS_current!$D$4:$AY$139, MATCH('Staging Table'!$A21, LS_current!$B$4:$B$139, 0), MATCH(CJ$4&amp;CJ$5, LS_current!$D$2:$AY$2&amp;LS_current!$D$3:$AY$3, 0)),SUM(VLOOKUP($A21, LS_current!$B$4:$AY$139, LS_current!Z$149, FALSE), VLOOKUP($A21, LS_current!$B$4:$AY$139,LS_current!Z$149, FALSE))/2)</f>
        <v>-169.67881694181153</v>
      </c>
      <c r="CK21" s="382">
        <f t="array" ref="CK21">IF($BI21=0, INDEX(LS_current!$D$4:$AY$139, MATCH('Staging Table'!$A21, LS_current!$B$4:$B$139, 0), MATCH(CK$4&amp;CK$5, LS_current!$D$2:$AY$2&amp;LS_current!$D$3:$AY$3, 0)),SUM(VLOOKUP($A21, LS_current!$B$4:$AY$139, LS_current!AA$149, FALSE), VLOOKUP($A21, LS_current!$B$4:$AY$139,LS_current!AA$149, FALSE))/2)</f>
        <v>-0.154851044099928</v>
      </c>
      <c r="CL21" s="384">
        <f t="array" ref="CL21">INDEX(Demand_current!$D$4:$AY$138, MATCH($A21, Demand_current!$B$4:$B$138, 0), MATCH(CL$4&amp;CL$5,Demand_current!$D$2:$AY$2&amp;Demand_current!$D$3:$AY$3, 0))/1000</f>
        <v>0.48239182692307653</v>
      </c>
      <c r="CM21" s="384">
        <f t="array" ref="CM21">INDEX(Demand_current!$D$4:$AY$138, MATCH($A21, Demand_current!$B$4:$B$138, 0), MATCH(CM$4&amp;CM$5,Demand_current!$D$2:$AY$2&amp;Demand_current!$D$3:$AY$3, 0))/1000</f>
        <v>0.54142750000000028</v>
      </c>
      <c r="CN21" s="384">
        <f t="array" ref="CN21">INDEX(Demand_current!$D$4:$AY$138, MATCH($A21, Demand_current!$B$4:$B$138, 0), MATCH(CN$4&amp;CN$5,Demand_current!$D$2:$AY$2&amp;Demand_current!$D$3:$AY$3, 0))/1000</f>
        <v>0.64977250000000031</v>
      </c>
      <c r="CO21" s="384">
        <f t="array" ref="CO21">INDEX(Demand_current!$D$4:$AY$138, MATCH($A21, Demand_current!$B$4:$B$138, 0), MATCH(CO$4&amp;CO$5,Demand_current!$D$2:$AY$2&amp;Demand_current!$D$3:$AY$3, 0))/1000</f>
        <v>0.77444951923076943</v>
      </c>
      <c r="CP21" s="384">
        <f t="array" ref="CP21">INDEX(Demand_current!$D$4:$AY$138, MATCH($A21, Demand_current!$B$4:$B$138, 0), MATCH(CP$4&amp;CP$5,Demand_current!$D$2:$AY$2&amp;Demand_current!$D$3:$AY$3, 0))/1000</f>
        <v>0.5266562499999996</v>
      </c>
      <c r="CQ21" s="384">
        <f t="array" ref="CQ21">INDEX(Demand_current!$D$4:$AY$138, MATCH($A21, Demand_current!$B$4:$B$138, 0), MATCH(CQ$4&amp;CQ$5,Demand_current!$D$2:$AY$2&amp;Demand_current!$D$3:$AY$3, 0))/1000</f>
        <v>0.84451157407407385</v>
      </c>
      <c r="CR21" s="384">
        <f t="array" ref="CR21">INDEX(Demand_current!$D$4:$AY$138, MATCH($A21, Demand_current!$B$4:$B$138, 0), MATCH(CR$4&amp;CR$5,Demand_current!$D$2:$AY$2&amp;Demand_current!$D$3:$AY$3, 0))/1000</f>
        <v>0.5078999999999998</v>
      </c>
      <c r="CS21" s="384">
        <f t="array" ref="CS21">INDEX(Demand_current!$D$4:$AY$138, MATCH($A21, Demand_current!$B$4:$B$138, 0), MATCH(CS$4&amp;CS$5,Demand_current!$D$2:$AY$2&amp;Demand_current!$D$3:$AY$3, 0))/1000</f>
        <v>0.3423966346153845</v>
      </c>
      <c r="CT21" s="384">
        <f t="array" ref="CT21">INDEX(Demand_current!$D$4:$AY$138, MATCH($A21, Demand_current!$B$4:$B$138, 0), MATCH(CT$4&amp;CT$5,Demand_current!$D$2:$AY$2&amp;Demand_current!$D$3:$AY$3, 0))/1000</f>
        <v>0.27052163461538459</v>
      </c>
      <c r="CU21" s="384">
        <f t="array" ref="CU21">INDEX(Demand_current!$D$4:$AY$138, MATCH($A21, Demand_current!$B$4:$B$138, 0), MATCH(CU$4&amp;CU$5,Demand_current!$D$2:$AY$2&amp;Demand_current!$D$3:$AY$3, 0))/1000</f>
        <v>0.24405749999999976</v>
      </c>
      <c r="CV21" s="384">
        <f t="array" ref="CV21">INDEX(Demand_current!$D$4:$AY$138, MATCH($A21, Demand_current!$B$4:$B$138, 0), MATCH(CV$4&amp;CV$5,Demand_current!$D$2:$AY$2&amp;Demand_current!$D$3:$AY$3, 0))/1000</f>
        <v>0.35205324074074079</v>
      </c>
      <c r="CW21" s="384">
        <f t="array" ref="CW21">INDEX(Demand_current!$D$4:$AY$138, MATCH($A21, Demand_current!$B$4:$B$138, 0), MATCH(CW$4&amp;CW$5,Demand_current!$D$2:$AY$2&amp;Demand_current!$D$3:$AY$3, 0))/1000</f>
        <v>0.23187239583333333</v>
      </c>
      <c r="CX21" s="384">
        <f>IF(D21=0,IF(C21=0,MAX(0,DA21 - (VLOOKUP($A21,TOCA_current!$A$2:$AI$137,MATCH("RHWM 2018",TOCA_current!$A$2:$AI$2,0),FALSE)*$BH$2)), 0),0)</f>
        <v>494.0642989291955</v>
      </c>
      <c r="CY21" s="427">
        <f>VLOOKUP($A21,REP_current!$A$1:$D$135,MATCH("FY "&amp;$BH$1&amp; " Total Refund",REP_current!$A$1:$D$1,0),0)</f>
        <v>31272.967452342367</v>
      </c>
      <c r="CZ21" s="432">
        <f>MIN(VLOOKUP($A21,TOCA_current!$A$2:$AI$137,MATCH("TRL - NLSL - Existing Resource "&amp;$BH$1,TOCA_current!$A$2:$AI$2,0),FALSE)*$BH$2, VLOOKUP($A21,TOCA_current!$A$2:$AI$137,MATCH("RHWM 2018",TOCA_current!$A$2:$AI$2,0),FALSE)*$BH$2)</f>
        <v>20489.64</v>
      </c>
      <c r="DA21" s="397">
        <f>SUM(BN21:CK21)+(BH21*RT1SC!$C$4*$BH$2)</f>
        <v>20983.704298929195</v>
      </c>
      <c r="DB21" s="432">
        <f>VLOOKUP($A21,TOCA_current!$A$2:$AI$137,MATCH("Above RHWM Not Served with LS "&amp;$BH$1,TOCA_current!$A$2:$AI$2,0),FALSE)*$BH$2</f>
        <v>0</v>
      </c>
      <c r="DC21" s="401">
        <f t="shared" si="11"/>
        <v>494.0642989291955</v>
      </c>
      <c r="DD21" s="397">
        <f>(VLOOKUP($A21,TOCA_current!$A$2:$AI$137,MATCH("RHWM 2018",TOCA_current!$A$2:$AI$2,0),FALSE)*$BH$2) - $CZ21</f>
        <v>0</v>
      </c>
      <c r="DE21" s="397">
        <f t="shared" si="12"/>
        <v>0</v>
      </c>
      <c r="DF21" s="397">
        <f t="shared" si="13"/>
        <v>0</v>
      </c>
      <c r="DG21" s="397">
        <f t="shared" si="14"/>
        <v>0</v>
      </c>
      <c r="DH21" s="397">
        <f t="shared" si="15"/>
        <v>0</v>
      </c>
    </row>
    <row r="22" spans="1:112">
      <c r="A22" s="274">
        <v>10066</v>
      </c>
      <c r="B22" s="275" t="s">
        <v>23</v>
      </c>
      <c r="C22" s="397">
        <v>0</v>
      </c>
      <c r="D22" s="397">
        <v>0</v>
      </c>
      <c r="E22" s="205">
        <f>VLOOKUP($A22,TOCA_previous!$A$2:$AI$137,MATCH(E$4,TOCA_previous!$A$2:$AI$2,0),FALSE)</f>
        <v>3.4561000000000001E-3</v>
      </c>
      <c r="F22" s="206">
        <f>VLOOKUP($A22,TOCA_previous!$A$2:$AI$137,MATCH(F$4,TOCA_previous!$A$2:$AI$2,0),FALSE)</f>
        <v>3.4561000000000001E-3</v>
      </c>
      <c r="G22" s="206">
        <f t="shared" si="0"/>
        <v>0</v>
      </c>
      <c r="H22" s="206">
        <f>VLOOKUP($A22,TOCA_previous!$A$2:$AI$137,MATCH(H$4,TOCA_previous!$A$2:$AI$2,0),FALSE)</f>
        <v>0</v>
      </c>
      <c r="I22" s="206">
        <f t="shared" si="1"/>
        <v>0</v>
      </c>
      <c r="J22" s="206">
        <f t="shared" si="2"/>
        <v>0</v>
      </c>
      <c r="K22" s="381">
        <f>VLOOKUP(A22, IRD!$A$5:$C$139, 3, FALSE)</f>
        <v>0</v>
      </c>
      <c r="L22" s="382">
        <f t="array" ref="L22">IF($G22=0, INDEX(LS_previous!$D$4:$AY$138, MATCH('Staging Table'!$A22, LS_previous!$B$4:$B$138, 0), MATCH(L$4&amp;L$5, LS_previous!$D$2:$AY$2&amp;LS_previous!$D$3:$AY$3, 0)),SUM(VLOOKUP($A22, LS_previous!$B$4:$AY$138, LS_previous!D$149, FALSE), VLOOKUP('Staging Table'!$A22, LS_previous!$B$4:$AY$138,LS_previous!AB$149, FALSE))/2)</f>
        <v>-1570.3334475759439</v>
      </c>
      <c r="M22" s="382">
        <f t="array" ref="M22">IF($G22=0, INDEX(LS_previous!$D$4:$AY$138, MATCH('Staging Table'!$A22, LS_previous!$B$4:$B$138, 0), MATCH(M$4&amp;M$5, LS_previous!$D$2:$AY$2&amp;LS_previous!$D$3:$AY$3, 0)),SUM(VLOOKUP($A22, LS_previous!$B$4:$AY$138, LS_previous!E$149, FALSE), VLOOKUP('Staging Table'!$A22, LS_previous!$B$4:$AY$138,LS_previous!AC$149, FALSE))/2)</f>
        <v>-1613.242307614235</v>
      </c>
      <c r="N22" s="382">
        <f t="array" ref="N22">IF($G22=0, INDEX(LS_previous!$D$4:$AY$138, MATCH('Staging Table'!$A22, LS_previous!$B$4:$B$138, 0), MATCH(N$4&amp;N$5, LS_previous!$D$2:$AY$2&amp;LS_previous!$D$3:$AY$3, 0)),SUM(VLOOKUP($A22, LS_previous!$B$4:$AY$138, LS_previous!F$149, FALSE), VLOOKUP('Staging Table'!$A22, LS_previous!$B$4:$AY$138,LS_previous!AD$149, FALSE))/2)</f>
        <v>37.372741280203627</v>
      </c>
      <c r="O22" s="382">
        <f t="array" ref="O22">IF($G22=0, INDEX(LS_previous!$D$4:$AY$138, MATCH('Staging Table'!$A22, LS_previous!$B$4:$B$138, 0), MATCH(O$4&amp;O$5, LS_previous!$D$2:$AY$2&amp;LS_previous!$D$3:$AY$3, 0)),SUM(VLOOKUP($A22, LS_previous!$B$4:$AY$138, LS_previous!G$149, FALSE), VLOOKUP('Staging Table'!$A22, LS_previous!$B$4:$AY$138,LS_previous!AE$149, FALSE))/2)</f>
        <v>-144.9544390698029</v>
      </c>
      <c r="P22" s="382">
        <f t="array" ref="P22">IF($G22=0, INDEX(LS_previous!$D$4:$AY$138, MATCH('Staging Table'!$A22, LS_previous!$B$4:$B$138, 0), MATCH(P$4&amp;P$5, LS_previous!$D$2:$AY$2&amp;LS_previous!$D$3:$AY$3, 0)),SUM(VLOOKUP($A22, LS_previous!$B$4:$AY$138, LS_previous!H$149, FALSE), VLOOKUP('Staging Table'!$A22, LS_previous!$B$4:$AY$138,LS_previous!AF$149, FALSE))/2)</f>
        <v>3237.2807376996279</v>
      </c>
      <c r="Q22" s="382">
        <f t="array" ref="Q22">IF($G22=0, INDEX(LS_previous!$D$4:$AY$138, MATCH('Staging Table'!$A22, LS_previous!$B$4:$B$138, 0), MATCH(Q$4&amp;Q$5, LS_previous!$D$2:$AY$2&amp;LS_previous!$D$3:$AY$3, 0)),SUM(VLOOKUP($A22, LS_previous!$B$4:$AY$138, LS_previous!I$149, FALSE), VLOOKUP('Staging Table'!$A22, LS_previous!$B$4:$AY$138,LS_previous!AG$149, FALSE))/2)</f>
        <v>2502.8480328488067</v>
      </c>
      <c r="R22" s="382">
        <f t="array" ref="R22">IF($G22=0, INDEX(LS_previous!$D$4:$AY$138, MATCH('Staging Table'!$A22, LS_previous!$B$4:$B$138, 0), MATCH(R$4&amp;R$5, LS_previous!$D$2:$AY$2&amp;LS_previous!$D$3:$AY$3, 0)),SUM(VLOOKUP($A22, LS_previous!$B$4:$AY$138, LS_previous!J$149, FALSE), VLOOKUP('Staging Table'!$A22, LS_previous!$B$4:$AY$138,LS_previous!AH$149, FALSE))/2)</f>
        <v>5229.4954770364802</v>
      </c>
      <c r="S22" s="382">
        <f t="array" ref="S22">IF($G22=0, INDEX(LS_previous!$D$4:$AY$138, MATCH('Staging Table'!$A22, LS_previous!$B$4:$B$138, 0), MATCH(S$4&amp;S$5, LS_previous!$D$2:$AY$2&amp;LS_previous!$D$3:$AY$3, 0)),SUM(VLOOKUP($A22, LS_previous!$B$4:$AY$138, LS_previous!K$149, FALSE), VLOOKUP('Staging Table'!$A22, LS_previous!$B$4:$AY$138,LS_previous!AI$149, FALSE))/2)</f>
        <v>2992.2017819874754</v>
      </c>
      <c r="T22" s="382">
        <f t="array" ref="T22">IF($G22=0, INDEX(LS_previous!$D$4:$AY$138, MATCH('Staging Table'!$A22, LS_previous!$B$4:$B$138, 0), MATCH(T$4&amp;T$5, LS_previous!$D$2:$AY$2&amp;LS_previous!$D$3:$AY$3, 0)),SUM(VLOOKUP($A22, LS_previous!$B$4:$AY$138, LS_previous!L$149, FALSE), VLOOKUP('Staging Table'!$A22, LS_previous!$B$4:$AY$138,LS_previous!AJ$149, FALSE))/2)</f>
        <v>4345.829706881008</v>
      </c>
      <c r="U22" s="382">
        <f t="array" ref="U22">IF($G22=0, INDEX(LS_previous!$D$4:$AY$138, MATCH('Staging Table'!$A22, LS_previous!$B$4:$B$138, 0), MATCH(U$4&amp;U$5, LS_previous!$D$2:$AY$2&amp;LS_previous!$D$3:$AY$3, 0)),SUM(VLOOKUP($A22, LS_previous!$B$4:$AY$138, LS_previous!M$149, FALSE), VLOOKUP('Staging Table'!$A22, LS_previous!$B$4:$AY$138,LS_previous!AK$149, FALSE))/2)</f>
        <v>2239.4306040028341</v>
      </c>
      <c r="V22" s="382">
        <f t="array" ref="V22">IF($G22=0, INDEX(LS_previous!$D$4:$AY$138, MATCH('Staging Table'!$A22, LS_previous!$B$4:$B$138, 0), MATCH(V$4&amp;V$5, LS_previous!$D$2:$AY$2&amp;LS_previous!$D$3:$AY$3, 0)),SUM(VLOOKUP($A22, LS_previous!$B$4:$AY$138, LS_previous!N$149, FALSE), VLOOKUP('Staging Table'!$A22, LS_previous!$B$4:$AY$138,LS_previous!AL$149, FALSE))/2)</f>
        <v>1971.7402137491008</v>
      </c>
      <c r="W22" s="382">
        <f t="array" ref="W22">IF($G22=0, INDEX(LS_previous!$D$4:$AY$138, MATCH('Staging Table'!$A22, LS_previous!$B$4:$B$138, 0), MATCH(W$4&amp;W$5, LS_previous!$D$2:$AY$2&amp;LS_previous!$D$3:$AY$3, 0)),SUM(VLOOKUP($A22, LS_previous!$B$4:$AY$138, LS_previous!O$149, FALSE), VLOOKUP('Staging Table'!$A22, LS_previous!$B$4:$AY$138,LS_previous!AM$149, FALSE))/2)</f>
        <v>218.59975856526216</v>
      </c>
      <c r="X22" s="382">
        <f t="array" ref="X22">IF($G22=0, INDEX(LS_previous!$D$4:$AY$138, MATCH('Staging Table'!$A22, LS_previous!$B$4:$B$138, 0), MATCH(X$4&amp;X$5, LS_previous!$D$2:$AY$2&amp;LS_previous!$D$3:$AY$3, 0)),SUM(VLOOKUP($A22, LS_previous!$B$4:$AY$138, LS_previous!P$149, FALSE), VLOOKUP('Staging Table'!$A22, LS_previous!$B$4:$AY$138,LS_previous!AN$149, FALSE))/2)</f>
        <v>1099.3894692737176</v>
      </c>
      <c r="Y22" s="382">
        <f t="array" ref="Y22">IF($G22=0, INDEX(LS_previous!$D$4:$AY$138, MATCH('Staging Table'!$A22, LS_previous!$B$4:$B$138, 0), MATCH(Y$4&amp;Y$5, LS_previous!$D$2:$AY$2&amp;LS_previous!$D$3:$AY$3, 0)),SUM(VLOOKUP($A22, LS_previous!$B$4:$AY$138, LS_previous!Q$149, FALSE), VLOOKUP('Staging Table'!$A22, LS_previous!$B$4:$AY$138,LS_previous!AO$149, FALSE))/2)</f>
        <v>95.879348155221123</v>
      </c>
      <c r="Z22" s="382">
        <f t="array" ref="Z22">IF($G22=0, INDEX(LS_previous!$D$4:$AY$138, MATCH('Staging Table'!$A22, LS_previous!$B$4:$B$138, 0), MATCH(Z$4&amp;Z$5, LS_previous!$D$2:$AY$2&amp;LS_previous!$D$3:$AY$3, 0)),SUM(VLOOKUP($A22, LS_previous!$B$4:$AY$138, LS_previous!R$149, FALSE), VLOOKUP('Staging Table'!$A22, LS_previous!$B$4:$AY$138,LS_previous!AP$149, FALSE))/2)</f>
        <v>-5812.6379693118342</v>
      </c>
      <c r="AA22" s="382">
        <f t="array" ref="AA22">IF($G22=0, INDEX(LS_previous!$D$4:$AY$138, MATCH('Staging Table'!$A22, LS_previous!$B$4:$B$138, 0), MATCH(AA$4&amp;AA$5, LS_previous!$D$2:$AY$2&amp;LS_previous!$D$3:$AY$3, 0)),SUM(VLOOKUP($A22, LS_previous!$B$4:$AY$138, LS_previous!S$149, FALSE), VLOOKUP('Staging Table'!$A22, LS_previous!$B$4:$AY$138,LS_previous!AQ$149, FALSE))/2)</f>
        <v>-3680.210780993224</v>
      </c>
      <c r="AB22" s="382">
        <f t="array" ref="AB22">IF($G22=0, INDEX(LS_previous!$D$4:$AY$138, MATCH('Staging Table'!$A22, LS_previous!$B$4:$B$138, 0), MATCH(AB$4&amp;AB$5, LS_previous!$D$2:$AY$2&amp;LS_previous!$D$3:$AY$3, 0)),SUM(VLOOKUP($A22, LS_previous!$B$4:$AY$138, LS_previous!T$149, FALSE), VLOOKUP('Staging Table'!$A22, LS_previous!$B$4:$AY$138,LS_previous!AR$149, FALSE))/2)</f>
        <v>-3450.5041840997474</v>
      </c>
      <c r="AC22" s="382">
        <f t="array" ref="AC22">IF($G22=0, INDEX(LS_previous!$D$4:$AY$138, MATCH('Staging Table'!$A22, LS_previous!$B$4:$B$138, 0), MATCH(AC$4&amp;AC$5, LS_previous!$D$2:$AY$2&amp;LS_previous!$D$3:$AY$3, 0)),SUM(VLOOKUP($A22, LS_previous!$B$4:$AY$138, LS_previous!U$149, FALSE), VLOOKUP('Staging Table'!$A22, LS_previous!$B$4:$AY$138,LS_previous!AS$149, FALSE))/2)</f>
        <v>-2936.9227981368012</v>
      </c>
      <c r="AD22" s="382">
        <f t="array" ref="AD22">IF($G22=0, INDEX(LS_previous!$D$4:$AY$138, MATCH('Staging Table'!$A22, LS_previous!$B$4:$B$138, 0), MATCH(AD$4&amp;AD$5, LS_previous!$D$2:$AY$2&amp;LS_previous!$D$3:$AY$3, 0)),SUM(VLOOKUP($A22, LS_previous!$B$4:$AY$138, LS_previous!V$149, FALSE), VLOOKUP('Staging Table'!$A22, LS_previous!$B$4:$AY$138,LS_previous!AT$149, FALSE))/2)</f>
        <v>-3503.6038691724734</v>
      </c>
      <c r="AE22" s="382">
        <f t="array" ref="AE22">IF($G22=0, INDEX(LS_previous!$D$4:$AY$138, MATCH('Staging Table'!$A22, LS_previous!$B$4:$B$138, 0), MATCH(AE$4&amp;AE$5, LS_previous!$D$2:$AY$2&amp;LS_previous!$D$3:$AY$3, 0)),SUM(VLOOKUP($A22, LS_previous!$B$4:$AY$138, LS_previous!W$149, FALSE), VLOOKUP('Staging Table'!$A22, LS_previous!$B$4:$AY$138,LS_previous!AU$149, FALSE))/2)</f>
        <v>-1948.7282648732325</v>
      </c>
      <c r="AF22" s="382">
        <f t="array" ref="AF22">IF($G22=0, INDEX(LS_previous!$D$4:$AY$138, MATCH('Staging Table'!$A22, LS_previous!$B$4:$B$138, 0), MATCH(AF$4&amp;AF$5, LS_previous!$D$2:$AY$2&amp;LS_previous!$D$3:$AY$3, 0)),SUM(VLOOKUP($A22, LS_previous!$B$4:$AY$138, LS_previous!X$149, FALSE), VLOOKUP('Staging Table'!$A22, LS_previous!$B$4:$AY$138,LS_previous!AV$149, FALSE))/2)</f>
        <v>-4088.2184441118625</v>
      </c>
      <c r="AG22" s="382">
        <f t="array" ref="AG22">IF($G22=0, INDEX(LS_previous!$D$4:$AY$138, MATCH('Staging Table'!$A22, LS_previous!$B$4:$B$138, 0), MATCH(AG$4&amp;AG$5, LS_previous!$D$2:$AY$2&amp;LS_previous!$D$3:$AY$3, 0)),SUM(VLOOKUP($A22, LS_previous!$B$4:$AY$138, LS_previous!Y$149, FALSE), VLOOKUP('Staging Table'!$A22, LS_previous!$B$4:$AY$138,LS_previous!AW$149, FALSE))/2)</f>
        <v>-2818.1679766934176</v>
      </c>
      <c r="AH22" s="382">
        <f t="array" ref="AH22">IF($G22=0, INDEX(LS_previous!$D$4:$AY$138, MATCH('Staging Table'!$A22, LS_previous!$B$4:$B$138, 0), MATCH(AH$4&amp;AH$5, LS_previous!$D$2:$AY$2&amp;LS_previous!$D$3:$AY$3, 0)),SUM(VLOOKUP($A22, LS_previous!$B$4:$AY$138, LS_previous!Z$149, FALSE), VLOOKUP('Staging Table'!$A22, LS_previous!$B$4:$AY$138,LS_previous!AX$149, FALSE))/2)</f>
        <v>-1550.6491558611033</v>
      </c>
      <c r="AI22" s="382">
        <f t="array" ref="AI22">IF($G22=0, INDEX(LS_previous!$D$4:$AY$138, MATCH('Staging Table'!$A22, LS_previous!$B$4:$B$138, 0), MATCH(AI$4&amp;AI$5, LS_previous!$D$2:$AY$2&amp;LS_previous!$D$3:$AY$3, 0)),SUM(VLOOKUP($A22, LS_previous!$B$4:$AY$138, LS_previous!AA$149, FALSE), VLOOKUP('Staging Table'!$A22, LS_previous!$B$4:$AY$138,LS_previous!AY$149, FALSE))/2)</f>
        <v>-1723.2564966727596</v>
      </c>
      <c r="AJ22" s="384">
        <f t="array" ref="AJ22">INDEX(Demand_previous!$D$4:$AY$138, MATCH('Staging Table'!$A22, Demand_previous!$B$4:$B$138, 0), MATCH(AJ$4&amp;AJ$5,Demand_previous!$D$2:$AY$2&amp;Demand_previous!$D$3:$AY$3, 0))/1000</f>
        <v>0.88945138888888664</v>
      </c>
      <c r="AK22" s="384">
        <f t="array" ref="AK22">INDEX(Demand_previous!$D$4:$AY$138, MATCH('Staging Table'!$A22, Demand_previous!$B$4:$B$138, 0), MATCH(AK$4&amp;AK$5,Demand_previous!$D$2:$AY$2&amp;Demand_previous!$D$3:$AY$3, 0))/1000</f>
        <v>2.6475859375000006</v>
      </c>
      <c r="AL22" s="384">
        <f t="array" ref="AL22">INDEX(Demand_previous!$D$4:$AY$138, MATCH('Staging Table'!$A22, Demand_previous!$B$4:$B$138, 0), MATCH(AL$4&amp;AL$5,Demand_previous!$D$2:$AY$2&amp;Demand_previous!$D$3:$AY$3, 0))/1000</f>
        <v>9.6866346153846195</v>
      </c>
      <c r="AM22" s="384">
        <f t="array" ref="AM22">INDEX(Demand_previous!$D$4:$AY$138, MATCH('Staging Table'!$A22, Demand_previous!$B$4:$B$138, 0), MATCH(AM$4&amp;AM$5,Demand_previous!$D$2:$AY$2&amp;Demand_previous!$D$3:$AY$3, 0))/1000</f>
        <v>2.0421274999999977</v>
      </c>
      <c r="AN22" s="384">
        <f t="array" ref="AN22">INDEX(Demand_previous!$D$4:$AY$138, MATCH('Staging Table'!$A22, Demand_previous!$B$4:$B$138, 0), MATCH(AN$4&amp;AN$5,Demand_previous!$D$2:$AY$2&amp;Demand_previous!$D$3:$AY$3, 0))/1000</f>
        <v>5.0135950000000005</v>
      </c>
      <c r="AO22" s="384">
        <f t="array" ref="AO22">INDEX(Demand_previous!$D$4:$AY$138, MATCH('Staging Table'!$A22, Demand_previous!$B$4:$B$138, 0), MATCH(AO$4&amp;AO$5,Demand_previous!$D$2:$AY$2&amp;Demand_previous!$D$3:$AY$3, 0))/1000</f>
        <v>5.3136759259259261</v>
      </c>
      <c r="AP22" s="384">
        <f t="array" ref="AP22">INDEX(Demand_previous!$D$4:$AY$138, MATCH('Staging Table'!$A22, Demand_previous!$B$4:$B$138, 0), MATCH(AP$4&amp;AP$5,Demand_previous!$D$2:$AY$2&amp;Demand_previous!$D$3:$AY$3, 0))/1000</f>
        <v>3.0818293269230779</v>
      </c>
      <c r="AQ22" s="384">
        <f t="array" ref="AQ22">INDEX(Demand_previous!$D$4:$AY$138, MATCH('Staging Table'!$A22, Demand_previous!$B$4:$B$138, 0), MATCH(AQ$4&amp;AQ$5,Demand_previous!$D$2:$AY$2&amp;Demand_previous!$D$3:$AY$3, 0))/1000</f>
        <v>0</v>
      </c>
      <c r="AR22" s="384">
        <f t="array" ref="AR22">INDEX(Demand_previous!$D$4:$AY$138, MATCH('Staging Table'!$A22, Demand_previous!$B$4:$B$138, 0), MATCH(AR$4&amp;AR$5,Demand_previous!$D$2:$AY$2&amp;Demand_previous!$D$3:$AY$3, 0))/1000</f>
        <v>2.3749711538461478</v>
      </c>
      <c r="AS22" s="384">
        <f t="array" ref="AS22">INDEX(Demand_previous!$D$4:$AY$138, MATCH('Staging Table'!$A22, Demand_previous!$B$4:$B$138, 0), MATCH(AS$4&amp;AS$5,Demand_previous!$D$2:$AY$2&amp;Demand_previous!$D$3:$AY$3, 0))/1000</f>
        <v>0.63851000000000457</v>
      </c>
      <c r="AT22" s="384">
        <f t="array" ref="AT22">INDEX(Demand_previous!$D$4:$AY$138, MATCH('Staging Table'!$A22, Demand_previous!$B$4:$B$138, 0), MATCH(AT$4&amp;AT$5,Demand_previous!$D$2:$AY$2&amp;Demand_previous!$D$3:$AY$3, 0))/1000</f>
        <v>4.2444236111111087</v>
      </c>
      <c r="AU22" s="384">
        <f t="array" ref="AU22">INDEX(Demand_previous!$D$4:$AY$138, MATCH('Staging Table'!$A22, Demand_previous!$B$4:$B$138, 0), MATCH(AU$4&amp;AU$5,Demand_previous!$D$2:$AY$2&amp;Demand_previous!$D$3:$AY$3, 0))/1000</f>
        <v>0.56416500000000358</v>
      </c>
      <c r="AV22" s="384">
        <f>IF($D22=0,IF(C22=0, MAX(AY22 - (VLOOKUP($A22,TOCA_previous!$A$2:$AI$137,MATCH("RHWM 2016",TOCA_previous!$A$2:$AI$2,0),FALSE)*$F$2*TOCA_previous!C19),0),0), 0)</f>
        <v>0</v>
      </c>
      <c r="AW22" s="427">
        <f>VLOOKUP($A22,REP_previous!$A$1:$D$135,MATCH("FY "&amp;$F$1&amp; " Total Refund",REP_previous!$A$1:$D$1,0),0)</f>
        <v>299225.47023723542</v>
      </c>
      <c r="AX22" s="398">
        <f>MIN(VLOOKUP($A22,TOCA_previous!$A$2:$AI$137,MATCH("TRL - NLSL - Exisiting Resource "&amp;$F$1,TOCA_previous!$A$2:$AI$2,0),FALSE)*$F$2,(VLOOKUP($A22,TOCA_previous!$A$2:$AI$137,MATCH("RHWM 2016",TOCA_previous!$A$2:$AI$2,0),FALSE)*$F$2))</f>
        <v>211993.05600000001</v>
      </c>
      <c r="AY22" s="384">
        <f>SUM(L22:AI22)+(F22*RT1SC!$C$3*$F$2)</f>
        <v>201123.80249899731</v>
      </c>
      <c r="AZ22" s="398">
        <f>VLOOKUP($A22,TOCA_previous!$A$2:$AI$137,MATCH("Above RHWM Not Served with LS "&amp;$F$1,TOCA_previous!$A$2:$AI$2,0),FALSE)*$F$2</f>
        <v>0</v>
      </c>
      <c r="BA22" s="206">
        <f t="shared" si="3"/>
        <v>-10869.253501002706</v>
      </c>
      <c r="BB22" s="399">
        <f>(VLOOKUP($A22,TOCA_previous!$A$2:$AI$137,MATCH("RHWM 2016",TOCA_previous!$A$2:$AI$2,0),FALSE)*$F$2) - $AX22</f>
        <v>0</v>
      </c>
      <c r="BC22" s="206">
        <f t="shared" si="4"/>
        <v>0</v>
      </c>
      <c r="BD22" s="400">
        <f t="shared" si="5"/>
        <v>10869.253501002706</v>
      </c>
      <c r="BE22" s="392">
        <f t="shared" si="6"/>
        <v>0</v>
      </c>
      <c r="BF22" s="399">
        <f t="shared" si="7"/>
        <v>10869.253501002706</v>
      </c>
      <c r="BG22" s="206">
        <f>VLOOKUP($A22,TOCA_current!$A$2:$AI$137,MATCH(BG$4,TOCA_current!$A$2:$AI$2,0),FALSE)</f>
        <v>3.4529000000000001E-3</v>
      </c>
      <c r="BH22" s="206">
        <f>VLOOKUP($A22,TOCA_current!$A$2:$AI$137,MATCH(BH$4,TOCA_current!$A$2:$AI$2,0),FALSE)</f>
        <v>3.4529000000000001E-3</v>
      </c>
      <c r="BI22" s="391">
        <f t="shared" si="8"/>
        <v>0</v>
      </c>
      <c r="BJ22" s="206">
        <f>VLOOKUP($A22,TOCA_current!A18:BG153,MATCH(BJ$4,TOCA_current!$A$2:$BG$2,0),FALSE)</f>
        <v>0</v>
      </c>
      <c r="BK22" s="206">
        <f t="shared" si="9"/>
        <v>0</v>
      </c>
      <c r="BL22" s="206">
        <f t="shared" si="10"/>
        <v>0</v>
      </c>
      <c r="BM22" s="381">
        <f>VLOOKUP($A22,IRD!$A$4:$G$139, 7, FALSE)</f>
        <v>0</v>
      </c>
      <c r="BN22" s="382">
        <f t="array" ref="BN22">IF($BI22=0, INDEX(LS_current!$D$4:$AY$139, MATCH('Staging Table'!$A22, LS_current!$B$4:$B$139, 0), MATCH(BN$4&amp;BN$5, LS_current!$D$2:$AY$2&amp;LS_current!$D$3:$AY$3, 0)),SUM(VLOOKUP($A22, LS_current!$B$4:$AY$139, LS_current!D$149, FALSE), VLOOKUP($A22, LS_current!$B$4:$AY$139,LS_current!D$149, FALSE))/2)</f>
        <v>-2216.0395754567508</v>
      </c>
      <c r="BO22" s="382">
        <f t="array" ref="BO22">IF($BI22=0, INDEX(LS_current!$D$4:$AY$139, MATCH('Staging Table'!$A22, LS_current!$B$4:$B$139, 0), MATCH(BO$4&amp;BO$5, LS_current!$D$2:$AY$2&amp;LS_current!$D$3:$AY$3, 0)),SUM(VLOOKUP($A22, LS_current!$B$4:$AY$139, LS_current!E$149, FALSE), VLOOKUP($A22, LS_current!$B$4:$AY$139,LS_current!E$149, FALSE))/2)</f>
        <v>-1772.7993342979553</v>
      </c>
      <c r="BP22" s="382">
        <f t="array" ref="BP22">IF($BI22=0, INDEX(LS_current!$D$4:$AY$139, MATCH('Staging Table'!$A22, LS_current!$B$4:$B$139, 0), MATCH(BP$4&amp;BP$5, LS_current!$D$2:$AY$2&amp;LS_current!$D$3:$AY$3, 0)),SUM(VLOOKUP($A22, LS_current!$B$4:$AY$139, LS_current!F$149, FALSE), VLOOKUP($A22, LS_current!$B$4:$AY$139,LS_current!F$149, FALSE))/2)</f>
        <v>-785.06859073824671</v>
      </c>
      <c r="BQ22" s="382">
        <f t="array" ref="BQ22">IF($BI22=0, INDEX(LS_current!$D$4:$AY$139, MATCH('Staging Table'!$A22, LS_current!$B$4:$B$139, 0), MATCH(BQ$4&amp;BQ$5, LS_current!$D$2:$AY$2&amp;LS_current!$D$3:$AY$3, 0)),SUM(VLOOKUP($A22, LS_current!$B$4:$AY$139, LS_current!G$149, FALSE), VLOOKUP($A22, LS_current!$B$4:$AY$139,LS_current!G$149, FALSE))/2)</f>
        <v>-532.99855382602254</v>
      </c>
      <c r="BR22" s="382">
        <f t="array" ref="BR22">IF($BI22=0, INDEX(LS_current!$D$4:$AY$139, MATCH('Staging Table'!$A22, LS_current!$B$4:$B$139, 0), MATCH(BR$4&amp;BR$5, LS_current!$D$2:$AY$2&amp;LS_current!$D$3:$AY$3, 0)),SUM(VLOOKUP($A22, LS_current!$B$4:$AY$139, LS_current!H$149, FALSE), VLOOKUP($A22, LS_current!$B$4:$AY$139,LS_current!H$149, FALSE))/2)</f>
        <v>2275.4522021664307</v>
      </c>
      <c r="BS22" s="382">
        <f t="array" ref="BS22">IF($BI22=0, INDEX(LS_current!$D$4:$AY$139, MATCH('Staging Table'!$A22, LS_current!$B$4:$B$139, 0), MATCH(BS$4&amp;BS$5, LS_current!$D$2:$AY$2&amp;LS_current!$D$3:$AY$3, 0)),SUM(VLOOKUP($A22, LS_current!$B$4:$AY$139, LS_current!I$149, FALSE), VLOOKUP($A22, LS_current!$B$4:$AY$139,LS_current!I$149, FALSE))/2)</f>
        <v>1944.0634354066133</v>
      </c>
      <c r="BT22" s="382">
        <f t="array" ref="BT22">IF($BI22=0, INDEX(LS_current!$D$4:$AY$139, MATCH('Staging Table'!$A22, LS_current!$B$4:$B$139, 0), MATCH(BT$4&amp;BT$5, LS_current!$D$2:$AY$2&amp;LS_current!$D$3:$AY$3, 0)),SUM(VLOOKUP($A22, LS_current!$B$4:$AY$139, LS_current!J$149, FALSE), VLOOKUP($A22, LS_current!$B$4:$AY$139,LS_current!J$149, FALSE))/2)</f>
        <v>4523.3125998580399</v>
      </c>
      <c r="BU22" s="382">
        <f t="array" ref="BU22">IF($BI22=0, INDEX(LS_current!$D$4:$AY$139, MATCH('Staging Table'!$A22, LS_current!$B$4:$B$139, 0), MATCH(BU$4&amp;BU$5, LS_current!$D$2:$AY$2&amp;LS_current!$D$3:$AY$3, 0)),SUM(VLOOKUP($A22, LS_current!$B$4:$AY$139, LS_current!K$149, FALSE), VLOOKUP($A22, LS_current!$B$4:$AY$139,LS_current!K$149, FALSE))/2)</f>
        <v>2500.877765395996</v>
      </c>
      <c r="BV22" s="382">
        <f t="array" ref="BV22">IF($BI22=0, INDEX(LS_current!$D$4:$AY$139, MATCH('Staging Table'!$A22, LS_current!$B$4:$B$139, 0), MATCH(BV$4&amp;BV$5, LS_current!$D$2:$AY$2&amp;LS_current!$D$3:$AY$3, 0)),SUM(VLOOKUP($A22, LS_current!$B$4:$AY$139, LS_current!L$149, FALSE), VLOOKUP($A22, LS_current!$B$4:$AY$139,LS_current!L$149, FALSE))/2)</f>
        <v>4518.6731932088442</v>
      </c>
      <c r="BW22" s="382">
        <f t="array" ref="BW22">IF($BI22=0, INDEX(LS_current!$D$4:$AY$139, MATCH('Staging Table'!$A22, LS_current!$B$4:$B$139, 0), MATCH(BW$4&amp;BW$5, LS_current!$D$2:$AY$2&amp;LS_current!$D$3:$AY$3, 0)),SUM(VLOOKUP($A22, LS_current!$B$4:$AY$139, LS_current!M$149, FALSE), VLOOKUP($A22, LS_current!$B$4:$AY$139,LS_current!M$149, FALSE))/2)</f>
        <v>2394.1206903454686</v>
      </c>
      <c r="BX22" s="382">
        <f t="array" ref="BX22">IF($BI22=0, INDEX(LS_current!$D$4:$AY$139, MATCH('Staging Table'!$A22, LS_current!$B$4:$B$139, 0), MATCH(BX$4&amp;BX$5, LS_current!$D$2:$AY$2&amp;LS_current!$D$3:$AY$3, 0)),SUM(VLOOKUP($A22, LS_current!$B$4:$AY$139, LS_current!N$149, FALSE), VLOOKUP($A22, LS_current!$B$4:$AY$139,LS_current!N$149, FALSE))/2)</f>
        <v>1917.6277379894382</v>
      </c>
      <c r="BY22" s="382">
        <f t="array" ref="BY22">IF($BI22=0, INDEX(LS_current!$D$4:$AY$139, MATCH('Staging Table'!$A22, LS_current!$B$4:$B$139, 0), MATCH(BY$4&amp;BY$5, LS_current!$D$2:$AY$2&amp;LS_current!$D$3:$AY$3, 0)),SUM(VLOOKUP($A22, LS_current!$B$4:$AY$139, LS_current!O$149, FALSE), VLOOKUP($A22, LS_current!$B$4:$AY$139,LS_current!O$149, FALSE))/2)</f>
        <v>400.59338100837704</v>
      </c>
      <c r="BZ22" s="382">
        <f t="array" ref="BZ22">IF($BI22=0, INDEX(LS_current!$D$4:$AY$139, MATCH('Staging Table'!$A22, LS_current!$B$4:$B$139, 0), MATCH(BZ$4&amp;BZ$5, LS_current!$D$2:$AY$2&amp;LS_current!$D$3:$AY$3, 0)),SUM(VLOOKUP($A22, LS_current!$B$4:$AY$139, LS_current!P$149, FALSE), VLOOKUP($A22, LS_current!$B$4:$AY$139,LS_current!P$149, FALSE))/2)</f>
        <v>-518.14904007540645</v>
      </c>
      <c r="CA22" s="382">
        <f t="array" ref="CA22">IF($BI22=0, INDEX(LS_current!$D$4:$AY$139, MATCH('Staging Table'!$A22, LS_current!$B$4:$B$139, 0), MATCH(CA$4&amp;CA$5, LS_current!$D$2:$AY$2&amp;LS_current!$D$3:$AY$3, 0)),SUM(VLOOKUP($A22, LS_current!$B$4:$AY$139, LS_current!Q$149, FALSE), VLOOKUP($A22, LS_current!$B$4:$AY$139,LS_current!Q$149, FALSE))/2)</f>
        <v>-435.61689937540541</v>
      </c>
      <c r="CB22" s="382">
        <f t="array" ref="CB22">IF($BI22=0, INDEX(LS_current!$D$4:$AY$139, MATCH('Staging Table'!$A22, LS_current!$B$4:$B$139, 0), MATCH(CB$4&amp;CB$5, LS_current!$D$2:$AY$2&amp;LS_current!$D$3:$AY$3, 0)),SUM(VLOOKUP($A22, LS_current!$B$4:$AY$139, LS_current!R$149, FALSE), VLOOKUP($A22, LS_current!$B$4:$AY$139,LS_current!R$149, FALSE))/2)</f>
        <v>-6267.684354680101</v>
      </c>
      <c r="CC22" s="382">
        <f t="array" ref="CC22">IF($BI22=0, INDEX(LS_current!$D$4:$AY$139, MATCH('Staging Table'!$A22, LS_current!$B$4:$B$139, 0), MATCH(CC$4&amp;CC$5, LS_current!$D$2:$AY$2&amp;LS_current!$D$3:$AY$3, 0)),SUM(VLOOKUP($A22, LS_current!$B$4:$AY$139, LS_current!S$149, FALSE), VLOOKUP($A22, LS_current!$B$4:$AY$139,LS_current!S$149, FALSE))/2)</f>
        <v>-4273.4376769764112</v>
      </c>
      <c r="CD22" s="382">
        <f t="array" ref="CD22">IF($BI22=0, INDEX(LS_current!$D$4:$AY$139, MATCH('Staging Table'!$A22, LS_current!$B$4:$B$139, 0), MATCH(CD$4&amp;CD$5, LS_current!$D$2:$AY$2&amp;LS_current!$D$3:$AY$3, 0)),SUM(VLOOKUP($A22, LS_current!$B$4:$AY$139, LS_current!T$149, FALSE), VLOOKUP($A22, LS_current!$B$4:$AY$139,LS_current!T$149, FALSE))/2)</f>
        <v>-3982.3370355060906</v>
      </c>
      <c r="CE22" s="382">
        <f t="array" ref="CE22">IF($BI22=0, INDEX(LS_current!$D$4:$AY$139, MATCH('Staging Table'!$A22, LS_current!$B$4:$B$139, 0), MATCH(CE$4&amp;CE$5, LS_current!$D$2:$AY$2&amp;LS_current!$D$3:$AY$3, 0)),SUM(VLOOKUP($A22, LS_current!$B$4:$AY$139, LS_current!U$149, FALSE), VLOOKUP($A22, LS_current!$B$4:$AY$139,LS_current!U$149, FALSE))/2)</f>
        <v>-2890.0478051003138</v>
      </c>
      <c r="CF22" s="382">
        <f t="array" ref="CF22">IF($BI22=0, INDEX(LS_current!$D$4:$AY$139, MATCH('Staging Table'!$A22, LS_current!$B$4:$B$139, 0), MATCH(CF$4&amp;CF$5, LS_current!$D$2:$AY$2&amp;LS_current!$D$3:$AY$3, 0)),SUM(VLOOKUP($A22, LS_current!$B$4:$AY$139, LS_current!V$149, FALSE), VLOOKUP($A22, LS_current!$B$4:$AY$139,LS_current!V$149, FALSE))/2)</f>
        <v>-3389.298997188027</v>
      </c>
      <c r="CG22" s="382">
        <f t="array" ref="CG22">IF($BI22=0, INDEX(LS_current!$D$4:$AY$139, MATCH('Staging Table'!$A22, LS_current!$B$4:$B$139, 0), MATCH(CG$4&amp;CG$5, LS_current!$D$2:$AY$2&amp;LS_current!$D$3:$AY$3, 0)),SUM(VLOOKUP($A22, LS_current!$B$4:$AY$139, LS_current!W$149, FALSE), VLOOKUP($A22, LS_current!$B$4:$AY$139,LS_current!W$149, FALSE))/2)</f>
        <v>-2016.760517976345</v>
      </c>
      <c r="CH22" s="382">
        <f t="array" ref="CH22">IF($BI22=0, INDEX(LS_current!$D$4:$AY$139, MATCH('Staging Table'!$A22, LS_current!$B$4:$B$139, 0), MATCH(CH$4&amp;CH$5, LS_current!$D$2:$AY$2&amp;LS_current!$D$3:$AY$3, 0)),SUM(VLOOKUP($A22, LS_current!$B$4:$AY$139, LS_current!X$149, FALSE), VLOOKUP($A22, LS_current!$B$4:$AY$139,LS_current!X$149, FALSE))/2)</f>
        <v>-4638.9994784192222</v>
      </c>
      <c r="CI22" s="382">
        <f t="array" ref="CI22">IF($BI22=0, INDEX(LS_current!$D$4:$AY$139, MATCH('Staging Table'!$A22, LS_current!$B$4:$B$139, 0), MATCH(CI$4&amp;CI$5, LS_current!$D$2:$AY$2&amp;LS_current!$D$3:$AY$3, 0)),SUM(VLOOKUP($A22, LS_current!$B$4:$AY$139, LS_current!Y$149, FALSE), VLOOKUP($A22, LS_current!$B$4:$AY$139,LS_current!Y$149, FALSE))/2)</f>
        <v>-3069.8192879543349</v>
      </c>
      <c r="CJ22" s="382">
        <f t="array" ref="CJ22">IF($BI22=0, INDEX(LS_current!$D$4:$AY$139, MATCH('Staging Table'!$A22, LS_current!$B$4:$B$139, 0), MATCH(CJ$4&amp;CJ$5, LS_current!$D$2:$AY$2&amp;LS_current!$D$3:$AY$3, 0)),SUM(VLOOKUP($A22, LS_current!$B$4:$AY$139, LS_current!Z$149, FALSE), VLOOKUP($A22, LS_current!$B$4:$AY$139,LS_current!Z$149, FALSE))/2)</f>
        <v>-3055.0671636531515</v>
      </c>
      <c r="CK22" s="382">
        <f t="array" ref="CK22">IF($BI22=0, INDEX(LS_current!$D$4:$AY$139, MATCH('Staging Table'!$A22, LS_current!$B$4:$B$139, 0), MATCH(CK$4&amp;CK$5, LS_current!$D$2:$AY$2&amp;LS_current!$D$3:$AY$3, 0)),SUM(VLOOKUP($A22, LS_current!$B$4:$AY$139, LS_current!AA$149, FALSE), VLOOKUP($A22, LS_current!$B$4:$AY$139,LS_current!AA$149, FALSE))/2)</f>
        <v>-2184.7543092938622</v>
      </c>
      <c r="CL22" s="384">
        <f t="array" ref="CL22">INDEX(Demand_current!$D$4:$AY$138, MATCH($A22, Demand_current!$B$4:$B$138, 0), MATCH(CL$4&amp;CL$5,Demand_current!$D$2:$AY$2&amp;Demand_current!$D$3:$AY$3, 0))/1000</f>
        <v>0</v>
      </c>
      <c r="CM22" s="384">
        <f t="array" ref="CM22">INDEX(Demand_current!$D$4:$AY$138, MATCH($A22, Demand_current!$B$4:$B$138, 0), MATCH(CM$4&amp;CM$5,Demand_current!$D$2:$AY$2&amp;Demand_current!$D$3:$AY$3, 0))/1000</f>
        <v>4.2542824999999986</v>
      </c>
      <c r="CN22" s="384">
        <f t="array" ref="CN22">INDEX(Demand_current!$D$4:$AY$138, MATCH($A22, Demand_current!$B$4:$B$138, 0), MATCH(CN$4&amp;CN$5,Demand_current!$D$2:$AY$2&amp;Demand_current!$D$3:$AY$3, 0))/1000</f>
        <v>8.0369400000000013</v>
      </c>
      <c r="CO22" s="384">
        <f t="array" ref="CO22">INDEX(Demand_current!$D$4:$AY$138, MATCH($A22, Demand_current!$B$4:$B$138, 0), MATCH(CO$4&amp;CO$5,Demand_current!$D$2:$AY$2&amp;Demand_current!$D$3:$AY$3, 0))/1000</f>
        <v>3.7186610576922998</v>
      </c>
      <c r="CP22" s="384">
        <f t="array" ref="CP22">INDEX(Demand_current!$D$4:$AY$138, MATCH($A22, Demand_current!$B$4:$B$138, 0), MATCH(CP$4&amp;CP$5,Demand_current!$D$2:$AY$2&amp;Demand_current!$D$3:$AY$3, 0))/1000</f>
        <v>3.3634114583333368</v>
      </c>
      <c r="CQ22" s="384">
        <f t="array" ref="CQ22">INDEX(Demand_current!$D$4:$AY$138, MATCH($A22, Demand_current!$B$4:$B$138, 0), MATCH(CQ$4&amp;CQ$5,Demand_current!$D$2:$AY$2&amp;Demand_current!$D$3:$AY$3, 0))/1000</f>
        <v>5.3136759259259261</v>
      </c>
      <c r="CR22" s="384">
        <f t="array" ref="CR22">INDEX(Demand_current!$D$4:$AY$138, MATCH($A22, Demand_current!$B$4:$B$138, 0), MATCH(CR$4&amp;CR$5,Demand_current!$D$2:$AY$2&amp;Demand_current!$D$3:$AY$3, 0))/1000</f>
        <v>1.8100224999999988</v>
      </c>
      <c r="CS22" s="384">
        <f t="array" ref="CS22">INDEX(Demand_current!$D$4:$AY$138, MATCH($A22, Demand_current!$B$4:$B$138, 0), MATCH(CS$4&amp;CS$5,Demand_current!$D$2:$AY$2&amp;Demand_current!$D$3:$AY$3, 0))/1000</f>
        <v>0.28049278846154291</v>
      </c>
      <c r="CT22" s="384">
        <f t="array" ref="CT22">INDEX(Demand_current!$D$4:$AY$138, MATCH($A22, Demand_current!$B$4:$B$138, 0), MATCH(CT$4&amp;CT$5,Demand_current!$D$2:$AY$2&amp;Demand_current!$D$3:$AY$3, 0))/1000</f>
        <v>2.3749711538461478</v>
      </c>
      <c r="CU22" s="384">
        <f t="array" ref="CU22">INDEX(Demand_current!$D$4:$AY$138, MATCH($A22, Demand_current!$B$4:$B$138, 0), MATCH(CU$4&amp;CU$5,Demand_current!$D$2:$AY$2&amp;Demand_current!$D$3:$AY$3, 0))/1000</f>
        <v>0.63851000000000457</v>
      </c>
      <c r="CV22" s="384">
        <f t="array" ref="CV22">INDEX(Demand_current!$D$4:$AY$138, MATCH($A22, Demand_current!$B$4:$B$138, 0), MATCH(CV$4&amp;CV$5,Demand_current!$D$2:$AY$2&amp;Demand_current!$D$3:$AY$3, 0))/1000</f>
        <v>4.2444236111111087</v>
      </c>
      <c r="CW22" s="384">
        <f t="array" ref="CW22">INDEX(Demand_current!$D$4:$AY$138, MATCH($A22, Demand_current!$B$4:$B$138, 0), MATCH(CW$4&amp;CW$5,Demand_current!$D$2:$AY$2&amp;Demand_current!$D$3:$AY$3, 0))/1000</f>
        <v>0</v>
      </c>
      <c r="CX22" s="384">
        <f>IF(D22=0,IF(C22=0,MAX(0,DA22 - (VLOOKUP($A22,TOCA_current!$A$2:$AI$137,MATCH("RHWM 2018",TOCA_current!$A$2:$AI$2,0),FALSE)*$BH$2)), 0),0)</f>
        <v>0</v>
      </c>
      <c r="CY22" s="427">
        <f>VLOOKUP($A22,REP_current!$A$1:$D$135,MATCH("FY "&amp;$BH$1&amp; " Total Refund",REP_current!$A$1:$D$1,0),0)</f>
        <v>301197.82043856161</v>
      </c>
      <c r="CZ22" s="432">
        <f>MIN(VLOOKUP($A22,TOCA_current!$A$2:$AI$137,MATCH("TRL - NLSL - Existing Resource "&amp;$BH$1,TOCA_current!$A$2:$AI$2,0),FALSE)*$BH$2, VLOOKUP($A22,TOCA_current!$A$2:$AI$137,MATCH("RHWM 2018",TOCA_current!$A$2:$AI$2,0),FALSE)*$BH$2)</f>
        <v>210064.80000000002</v>
      </c>
      <c r="DA22" s="397">
        <f>SUM(BN22:CK22)+(BH22*RT1SC!$C$4*$BH$2)</f>
        <v>188509.40506464557</v>
      </c>
      <c r="DB22" s="432">
        <f>VLOOKUP($A22,TOCA_current!$A$2:$AI$137,MATCH("Above RHWM Not Served with LS "&amp;$BH$1,TOCA_current!$A$2:$AI$2,0),FALSE)*$BH$2</f>
        <v>12614.4</v>
      </c>
      <c r="DC22" s="401">
        <f t="shared" si="11"/>
        <v>-21555.394935354445</v>
      </c>
      <c r="DD22" s="397">
        <f>(VLOOKUP($A22,TOCA_current!$A$2:$AI$137,MATCH("RHWM 2018",TOCA_current!$A$2:$AI$2,0),FALSE)*$BH$2) - $CZ22</f>
        <v>0</v>
      </c>
      <c r="DE22" s="397">
        <f t="shared" si="12"/>
        <v>0</v>
      </c>
      <c r="DF22" s="397">
        <f t="shared" si="13"/>
        <v>8940.9949353544453</v>
      </c>
      <c r="DG22" s="397">
        <f t="shared" si="14"/>
        <v>0</v>
      </c>
      <c r="DH22" s="397">
        <f t="shared" si="15"/>
        <v>8940.9949353544453</v>
      </c>
    </row>
    <row r="23" spans="1:112">
      <c r="A23" s="274">
        <v>10067</v>
      </c>
      <c r="B23" s="275" t="s">
        <v>24</v>
      </c>
      <c r="C23" s="397">
        <v>0</v>
      </c>
      <c r="D23" s="397">
        <v>0</v>
      </c>
      <c r="E23" s="205">
        <f>VLOOKUP($A23,TOCA_previous!$A$2:$AI$137,MATCH(E$4,TOCA_previous!$A$2:$AI$2,0),FALSE)</f>
        <v>2.2430000000000002E-3</v>
      </c>
      <c r="F23" s="206">
        <f>VLOOKUP($A23,TOCA_previous!$A$2:$AI$137,MATCH(F$4,TOCA_previous!$A$2:$AI$2,0),FALSE)</f>
        <v>2.2430000000000002E-3</v>
      </c>
      <c r="G23" s="206">
        <f t="shared" si="0"/>
        <v>0</v>
      </c>
      <c r="H23" s="206">
        <f>VLOOKUP($A23,TOCA_previous!$A$2:$AI$137,MATCH(H$4,TOCA_previous!$A$2:$AI$2,0),FALSE)</f>
        <v>0</v>
      </c>
      <c r="I23" s="206">
        <f t="shared" si="1"/>
        <v>0</v>
      </c>
      <c r="J23" s="206">
        <f t="shared" si="2"/>
        <v>0</v>
      </c>
      <c r="K23" s="381">
        <f>VLOOKUP(A23, IRD!$A$5:$C$139, 3, FALSE)</f>
        <v>0</v>
      </c>
      <c r="L23" s="382">
        <f t="array" ref="L23">IF($G23=0, INDEX(LS_previous!$D$4:$AY$138, MATCH('Staging Table'!$A23, LS_previous!$B$4:$B$138, 0), MATCH(L$4&amp;L$5, LS_previous!$D$2:$AY$2&amp;LS_previous!$D$3:$AY$3, 0)),SUM(VLOOKUP($A23, LS_previous!$B$4:$AY$138, LS_previous!D$149, FALSE), VLOOKUP('Staging Table'!$A23, LS_previous!$B$4:$AY$138,LS_previous!AB$149, FALSE))/2)</f>
        <v>478.91839240390982</v>
      </c>
      <c r="M23" s="382">
        <f t="array" ref="M23">IF($G23=0, INDEX(LS_previous!$D$4:$AY$138, MATCH('Staging Table'!$A23, LS_previous!$B$4:$B$138, 0), MATCH(M$4&amp;M$5, LS_previous!$D$2:$AY$2&amp;LS_previous!$D$3:$AY$3, 0)),SUM(VLOOKUP($A23, LS_previous!$B$4:$AY$138, LS_previous!E$149, FALSE), VLOOKUP('Staging Table'!$A23, LS_previous!$B$4:$AY$138,LS_previous!AC$149, FALSE))/2)</f>
        <v>206.19007873651572</v>
      </c>
      <c r="N23" s="382">
        <f t="array" ref="N23">IF($G23=0, INDEX(LS_previous!$D$4:$AY$138, MATCH('Staging Table'!$A23, LS_previous!$B$4:$B$138, 0), MATCH(N$4&amp;N$5, LS_previous!$D$2:$AY$2&amp;LS_previous!$D$3:$AY$3, 0)),SUM(VLOOKUP($A23, LS_previous!$B$4:$AY$138, LS_previous!F$149, FALSE), VLOOKUP('Staging Table'!$A23, LS_previous!$B$4:$AY$138,LS_previous!AD$149, FALSE))/2)</f>
        <v>-272.14552003949666</v>
      </c>
      <c r="O23" s="382">
        <f t="array" ref="O23">IF($G23=0, INDEX(LS_previous!$D$4:$AY$138, MATCH('Staging Table'!$A23, LS_previous!$B$4:$B$138, 0), MATCH(O$4&amp;O$5, LS_previous!$D$2:$AY$2&amp;LS_previous!$D$3:$AY$3, 0)),SUM(VLOOKUP($A23, LS_previous!$B$4:$AY$138, LS_previous!G$149, FALSE), VLOOKUP('Staging Table'!$A23, LS_previous!$B$4:$AY$138,LS_previous!AE$149, FALSE))/2)</f>
        <v>551.34482378010853</v>
      </c>
      <c r="P23" s="382">
        <f t="array" ref="P23">IF($G23=0, INDEX(LS_previous!$D$4:$AY$138, MATCH('Staging Table'!$A23, LS_previous!$B$4:$B$138, 0), MATCH(P$4&amp;P$5, LS_previous!$D$2:$AY$2&amp;LS_previous!$D$3:$AY$3, 0)),SUM(VLOOKUP($A23, LS_previous!$B$4:$AY$138, LS_previous!H$149, FALSE), VLOOKUP('Staging Table'!$A23, LS_previous!$B$4:$AY$138,LS_previous!AF$149, FALSE))/2)</f>
        <v>866.00614321352441</v>
      </c>
      <c r="Q23" s="382">
        <f t="array" ref="Q23">IF($G23=0, INDEX(LS_previous!$D$4:$AY$138, MATCH('Staging Table'!$A23, LS_previous!$B$4:$B$138, 0), MATCH(Q$4&amp;Q$5, LS_previous!$D$2:$AY$2&amp;LS_previous!$D$3:$AY$3, 0)),SUM(VLOOKUP($A23, LS_previous!$B$4:$AY$138, LS_previous!I$149, FALSE), VLOOKUP('Staging Table'!$A23, LS_previous!$B$4:$AY$138,LS_previous!AG$149, FALSE))/2)</f>
        <v>1244.4078323485637</v>
      </c>
      <c r="R23" s="382">
        <f t="array" ref="R23">IF($G23=0, INDEX(LS_previous!$D$4:$AY$138, MATCH('Staging Table'!$A23, LS_previous!$B$4:$B$138, 0), MATCH(R$4&amp;R$5, LS_previous!$D$2:$AY$2&amp;LS_previous!$D$3:$AY$3, 0)),SUM(VLOOKUP($A23, LS_previous!$B$4:$AY$138, LS_previous!J$149, FALSE), VLOOKUP('Staging Table'!$A23, LS_previous!$B$4:$AY$138,LS_previous!AH$149, FALSE))/2)</f>
        <v>2621.6682609857435</v>
      </c>
      <c r="S23" s="382">
        <f t="array" ref="S23">IF($G23=0, INDEX(LS_previous!$D$4:$AY$138, MATCH('Staging Table'!$A23, LS_previous!$B$4:$B$138, 0), MATCH(S$4&amp;S$5, LS_previous!$D$2:$AY$2&amp;LS_previous!$D$3:$AY$3, 0)),SUM(VLOOKUP($A23, LS_previous!$B$4:$AY$138, LS_previous!K$149, FALSE), VLOOKUP('Staging Table'!$A23, LS_previous!$B$4:$AY$138,LS_previous!AI$149, FALSE))/2)</f>
        <v>2119.6070724799356</v>
      </c>
      <c r="T23" s="382">
        <f t="array" ref="T23">IF($G23=0, INDEX(LS_previous!$D$4:$AY$138, MATCH('Staging Table'!$A23, LS_previous!$B$4:$B$138, 0), MATCH(T$4&amp;T$5, LS_previous!$D$2:$AY$2&amp;LS_previous!$D$3:$AY$3, 0)),SUM(VLOOKUP($A23, LS_previous!$B$4:$AY$138, LS_previous!L$149, FALSE), VLOOKUP('Staging Table'!$A23, LS_previous!$B$4:$AY$138,LS_previous!AJ$149, FALSE))/2)</f>
        <v>2013.5063360533832</v>
      </c>
      <c r="U23" s="382">
        <f t="array" ref="U23">IF($G23=0, INDEX(LS_previous!$D$4:$AY$138, MATCH('Staging Table'!$A23, LS_previous!$B$4:$B$138, 0), MATCH(U$4&amp;U$5, LS_previous!$D$2:$AY$2&amp;LS_previous!$D$3:$AY$3, 0)),SUM(VLOOKUP($A23, LS_previous!$B$4:$AY$138, LS_previous!M$149, FALSE), VLOOKUP('Staging Table'!$A23, LS_previous!$B$4:$AY$138,LS_previous!AK$149, FALSE))/2)</f>
        <v>1534.7083413611749</v>
      </c>
      <c r="V23" s="382">
        <f t="array" ref="V23">IF($G23=0, INDEX(LS_previous!$D$4:$AY$138, MATCH('Staging Table'!$A23, LS_previous!$B$4:$B$138, 0), MATCH(V$4&amp;V$5, LS_previous!$D$2:$AY$2&amp;LS_previous!$D$3:$AY$3, 0)),SUM(VLOOKUP($A23, LS_previous!$B$4:$AY$138, LS_previous!N$149, FALSE), VLOOKUP('Staging Table'!$A23, LS_previous!$B$4:$AY$138,LS_previous!AL$149, FALSE))/2)</f>
        <v>690.08947554736005</v>
      </c>
      <c r="W23" s="382">
        <f t="array" ref="W23">IF($G23=0, INDEX(LS_previous!$D$4:$AY$138, MATCH('Staging Table'!$A23, LS_previous!$B$4:$B$138, 0), MATCH(W$4&amp;W$5, LS_previous!$D$2:$AY$2&amp;LS_previous!$D$3:$AY$3, 0)),SUM(VLOOKUP($A23, LS_previous!$B$4:$AY$138, LS_previous!O$149, FALSE), VLOOKUP('Staging Table'!$A23, LS_previous!$B$4:$AY$138,LS_previous!AM$149, FALSE))/2)</f>
        <v>679.99245029422764</v>
      </c>
      <c r="X23" s="382">
        <f t="array" ref="X23">IF($G23=0, INDEX(LS_previous!$D$4:$AY$138, MATCH('Staging Table'!$A23, LS_previous!$B$4:$B$138, 0), MATCH(X$4&amp;X$5, LS_previous!$D$2:$AY$2&amp;LS_previous!$D$3:$AY$3, 0)),SUM(VLOOKUP($A23, LS_previous!$B$4:$AY$138, LS_previous!P$149, FALSE), VLOOKUP('Staging Table'!$A23, LS_previous!$B$4:$AY$138,LS_previous!AN$149, FALSE))/2)</f>
        <v>1280.7718209198074</v>
      </c>
      <c r="Y23" s="382">
        <f t="array" ref="Y23">IF($G23=0, INDEX(LS_previous!$D$4:$AY$138, MATCH('Staging Table'!$A23, LS_previous!$B$4:$B$138, 0), MATCH(Y$4&amp;Y$5, LS_previous!$D$2:$AY$2&amp;LS_previous!$D$3:$AY$3, 0)),SUM(VLOOKUP($A23, LS_previous!$B$4:$AY$138, LS_previous!Q$149, FALSE), VLOOKUP('Staging Table'!$A23, LS_previous!$B$4:$AY$138,LS_previous!AO$149, FALSE))/2)</f>
        <v>719.30986528519361</v>
      </c>
      <c r="Z23" s="382">
        <f t="array" ref="Z23">IF($G23=0, INDEX(LS_previous!$D$4:$AY$138, MATCH('Staging Table'!$A23, LS_previous!$B$4:$B$138, 0), MATCH(Z$4&amp;Z$5, LS_previous!$D$2:$AY$2&amp;LS_previous!$D$3:$AY$3, 0)),SUM(VLOOKUP($A23, LS_previous!$B$4:$AY$138, LS_previous!R$149, FALSE), VLOOKUP('Staging Table'!$A23, LS_previous!$B$4:$AY$138,LS_previous!AP$149, FALSE))/2)</f>
        <v>-2811.6986579862978</v>
      </c>
      <c r="AA23" s="382">
        <f t="array" ref="AA23">IF($G23=0, INDEX(LS_previous!$D$4:$AY$138, MATCH('Staging Table'!$A23, LS_previous!$B$4:$B$138, 0), MATCH(AA$4&amp;AA$5, LS_previous!$D$2:$AY$2&amp;LS_previous!$D$3:$AY$3, 0)),SUM(VLOOKUP($A23, LS_previous!$B$4:$AY$138, LS_previous!S$149, FALSE), VLOOKUP('Staging Table'!$A23, LS_previous!$B$4:$AY$138,LS_previous!AQ$149, FALSE))/2)</f>
        <v>-1167.4879938855365</v>
      </c>
      <c r="AB23" s="382">
        <f t="array" ref="AB23">IF($G23=0, INDEX(LS_previous!$D$4:$AY$138, MATCH('Staging Table'!$A23, LS_previous!$B$4:$B$138, 0), MATCH(AB$4&amp;AB$5, LS_previous!$D$2:$AY$2&amp;LS_previous!$D$3:$AY$3, 0)),SUM(VLOOKUP($A23, LS_previous!$B$4:$AY$138, LS_previous!T$149, FALSE), VLOOKUP('Staging Table'!$A23, LS_previous!$B$4:$AY$138,LS_previous!AR$149, FALSE))/2)</f>
        <v>-1044.2226079209913</v>
      </c>
      <c r="AC23" s="382">
        <f t="array" ref="AC23">IF($G23=0, INDEX(LS_previous!$D$4:$AY$138, MATCH('Staging Table'!$A23, LS_previous!$B$4:$B$138, 0), MATCH(AC$4&amp;AC$5, LS_previous!$D$2:$AY$2&amp;LS_previous!$D$3:$AY$3, 0)),SUM(VLOOKUP($A23, LS_previous!$B$4:$AY$138, LS_previous!U$149, FALSE), VLOOKUP('Staging Table'!$A23, LS_previous!$B$4:$AY$138,LS_previous!AS$149, FALSE))/2)</f>
        <v>-450.88486175771732</v>
      </c>
      <c r="AD23" s="382">
        <f t="array" ref="AD23">IF($G23=0, INDEX(LS_previous!$D$4:$AY$138, MATCH('Staging Table'!$A23, LS_previous!$B$4:$B$138, 0), MATCH(AD$4&amp;AD$5, LS_previous!$D$2:$AY$2&amp;LS_previous!$D$3:$AY$3, 0)),SUM(VLOOKUP($A23, LS_previous!$B$4:$AY$138, LS_previous!V$149, FALSE), VLOOKUP('Staging Table'!$A23, LS_previous!$B$4:$AY$138,LS_previous!AT$149, FALSE))/2)</f>
        <v>-49.452567070935402</v>
      </c>
      <c r="AE23" s="382">
        <f t="array" ref="AE23">IF($G23=0, INDEX(LS_previous!$D$4:$AY$138, MATCH('Staging Table'!$A23, LS_previous!$B$4:$B$138, 0), MATCH(AE$4&amp;AE$5, LS_previous!$D$2:$AY$2&amp;LS_previous!$D$3:$AY$3, 0)),SUM(VLOOKUP($A23, LS_previous!$B$4:$AY$138, LS_previous!W$149, FALSE), VLOOKUP('Staging Table'!$A23, LS_previous!$B$4:$AY$138,LS_previous!AU$149, FALSE))/2)</f>
        <v>534.63955316377996</v>
      </c>
      <c r="AF23" s="382">
        <f t="array" ref="AF23">IF($G23=0, INDEX(LS_previous!$D$4:$AY$138, MATCH('Staging Table'!$A23, LS_previous!$B$4:$B$138, 0), MATCH(AF$4&amp;AF$5, LS_previous!$D$2:$AY$2&amp;LS_previous!$D$3:$AY$3, 0)),SUM(VLOOKUP($A23, LS_previous!$B$4:$AY$138, LS_previous!X$149, FALSE), VLOOKUP('Staging Table'!$A23, LS_previous!$B$4:$AY$138,LS_previous!AV$149, FALSE))/2)</f>
        <v>-630.62944516735934</v>
      </c>
      <c r="AG23" s="382">
        <f t="array" ref="AG23">IF($G23=0, INDEX(LS_previous!$D$4:$AY$138, MATCH('Staging Table'!$A23, LS_previous!$B$4:$B$138, 0), MATCH(AG$4&amp;AG$5, LS_previous!$D$2:$AY$2&amp;LS_previous!$D$3:$AY$3, 0)),SUM(VLOOKUP($A23, LS_previous!$B$4:$AY$138, LS_previous!Y$149, FALSE), VLOOKUP('Staging Table'!$A23, LS_previous!$B$4:$AY$138,LS_previous!AW$149, FALSE))/2)</f>
        <v>169.44293995447651</v>
      </c>
      <c r="AH23" s="382">
        <f t="array" ref="AH23">IF($G23=0, INDEX(LS_previous!$D$4:$AY$138, MATCH('Staging Table'!$A23, LS_previous!$B$4:$B$138, 0), MATCH(AH$4&amp;AH$5, LS_previous!$D$2:$AY$2&amp;LS_previous!$D$3:$AY$3, 0)),SUM(VLOOKUP($A23, LS_previous!$B$4:$AY$138, LS_previous!Z$149, FALSE), VLOOKUP('Staging Table'!$A23, LS_previous!$B$4:$AY$138,LS_previous!AX$149, FALSE))/2)</f>
        <v>158.35454153628325</v>
      </c>
      <c r="AI23" s="382">
        <f t="array" ref="AI23">IF($G23=0, INDEX(LS_previous!$D$4:$AY$138, MATCH('Staging Table'!$A23, LS_previous!$B$4:$B$138, 0), MATCH(AI$4&amp;AI$5, LS_previous!$D$2:$AY$2&amp;LS_previous!$D$3:$AY$3, 0)),SUM(VLOOKUP($A23, LS_previous!$B$4:$AY$138, LS_previous!AA$149, FALSE), VLOOKUP('Staging Table'!$A23, LS_previous!$B$4:$AY$138,LS_previous!AY$149, FALSE))/2)</f>
        <v>176.2060400923001</v>
      </c>
      <c r="AJ23" s="384">
        <f t="array" ref="AJ23">INDEX(Demand_previous!$D$4:$AY$138, MATCH('Staging Table'!$A23, Demand_previous!$B$4:$B$138, 0), MATCH(AJ$4&amp;AJ$5,Demand_previous!$D$2:$AY$2&amp;Demand_previous!$D$3:$AY$3, 0))/1000</f>
        <v>2.8588078703703719</v>
      </c>
      <c r="AK23" s="384">
        <f t="array" ref="AK23">INDEX(Demand_previous!$D$4:$AY$138, MATCH('Staging Table'!$A23, Demand_previous!$B$4:$B$138, 0), MATCH(AK$4&amp;AK$5,Demand_previous!$D$2:$AY$2&amp;Demand_previous!$D$3:$AY$3, 0))/1000</f>
        <v>2.4428723958333349</v>
      </c>
      <c r="AL23" s="384">
        <f t="array" ref="AL23">INDEX(Demand_previous!$D$4:$AY$138, MATCH('Staging Table'!$A23, Demand_previous!$B$4:$B$138, 0), MATCH(AL$4&amp;AL$5,Demand_previous!$D$2:$AY$2&amp;Demand_previous!$D$3:$AY$3, 0))/1000</f>
        <v>3.7090937500000014</v>
      </c>
      <c r="AM23" s="384">
        <f t="array" ref="AM23">INDEX(Demand_previous!$D$4:$AY$138, MATCH('Staging Table'!$A23, Demand_previous!$B$4:$B$138, 0), MATCH(AM$4&amp;AM$5,Demand_previous!$D$2:$AY$2&amp;Demand_previous!$D$3:$AY$3, 0))/1000</f>
        <v>3.9579799999999961</v>
      </c>
      <c r="AN23" s="384">
        <f t="array" ref="AN23">INDEX(Demand_previous!$D$4:$AY$138, MATCH('Staging Table'!$A23, Demand_previous!$B$4:$B$138, 0), MATCH(AN$4&amp;AN$5,Demand_previous!$D$2:$AY$2&amp;Demand_previous!$D$3:$AY$3, 0))/1000</f>
        <v>2.2954625000000002</v>
      </c>
      <c r="AO23" s="384">
        <f t="array" ref="AO23">INDEX(Demand_previous!$D$4:$AY$138, MATCH('Staging Table'!$A23, Demand_previous!$B$4:$B$138, 0), MATCH(AO$4&amp;AO$5,Demand_previous!$D$2:$AY$2&amp;Demand_previous!$D$3:$AY$3, 0))/1000</f>
        <v>4.2769583333333321</v>
      </c>
      <c r="AP23" s="384">
        <f t="array" ref="AP23">INDEX(Demand_previous!$D$4:$AY$138, MATCH('Staging Table'!$A23, Demand_previous!$B$4:$B$138, 0), MATCH(AP$4&amp;AP$5,Demand_previous!$D$2:$AY$2&amp;Demand_previous!$D$3:$AY$3, 0))/1000</f>
        <v>4.4522572115384609</v>
      </c>
      <c r="AQ23" s="384">
        <f t="array" ref="AQ23">INDEX(Demand_previous!$D$4:$AY$138, MATCH('Staging Table'!$A23, Demand_previous!$B$4:$B$138, 0), MATCH(AQ$4&amp;AQ$5,Demand_previous!$D$2:$AY$2&amp;Demand_previous!$D$3:$AY$3, 0))/1000</f>
        <v>2.6035425000000019</v>
      </c>
      <c r="AR23" s="384">
        <f t="array" ref="AR23">INDEX(Demand_previous!$D$4:$AY$138, MATCH('Staging Table'!$A23, Demand_previous!$B$4:$B$138, 0), MATCH(AR$4&amp;AR$5,Demand_previous!$D$2:$AY$2&amp;Demand_previous!$D$3:$AY$3, 0))/1000</f>
        <v>2.7266322115384627</v>
      </c>
      <c r="AS23" s="384">
        <f t="array" ref="AS23">INDEX(Demand_previous!$D$4:$AY$138, MATCH('Staging Table'!$A23, Demand_previous!$B$4:$B$138, 0), MATCH(AS$4&amp;AS$5,Demand_previous!$D$2:$AY$2&amp;Demand_previous!$D$3:$AY$3, 0))/1000</f>
        <v>3.251762500000003</v>
      </c>
      <c r="AT23" s="384">
        <f t="array" ref="AT23">INDEX(Demand_previous!$D$4:$AY$138, MATCH('Staging Table'!$A23, Demand_previous!$B$4:$B$138, 0), MATCH(AT$4&amp;AT$5,Demand_previous!$D$2:$AY$2&amp;Demand_previous!$D$3:$AY$3, 0))/1000</f>
        <v>3.9076550925925906</v>
      </c>
      <c r="AU23" s="384">
        <f t="array" ref="AU23">INDEX(Demand_previous!$D$4:$AY$138, MATCH('Staging Table'!$A23, Demand_previous!$B$4:$B$138, 0), MATCH(AU$4&amp;AU$5,Demand_previous!$D$2:$AY$2&amp;Demand_previous!$D$3:$AY$3, 0))/1000</f>
        <v>4.7596599999999993</v>
      </c>
      <c r="AV23" s="384">
        <f>IF($D23=0,IF(C23=0, MAX(AY23 - (VLOOKUP($A23,TOCA_previous!$A$2:$AI$137,MATCH("RHWM 2016",TOCA_previous!$A$2:$AI$2,0),FALSE)*$F$2*TOCA_previous!C20),0),0), 0)</f>
        <v>9619.1663238479523</v>
      </c>
      <c r="AW23" s="427">
        <f>VLOOKUP($A23,REP_previous!$A$1:$D$135,MATCH("FY "&amp;$F$1&amp; " Total Refund",REP_previous!$A$1:$D$1,0),0)</f>
        <v>196217.53273280259</v>
      </c>
      <c r="AX23" s="398">
        <f>MIN(VLOOKUP($A23,TOCA_previous!$A$2:$AI$137,MATCH("TRL - NLSL - Exisiting Resource "&amp;$F$1,TOCA_previous!$A$2:$AI$2,0),FALSE)*$F$2,(VLOOKUP($A23,TOCA_previous!$A$2:$AI$137,MATCH("RHWM 2016",TOCA_previous!$A$2:$AI$2,0),FALSE)*$F$2))</f>
        <v>137583.79200000002</v>
      </c>
      <c r="AY23" s="384">
        <f>SUM(L23:AI23)+(F23*RT1SC!$C$3*$F$2)</f>
        <v>147202.95832384797</v>
      </c>
      <c r="AZ23" s="398">
        <f>VLOOKUP($A23,TOCA_previous!$A$2:$AI$137,MATCH("Above RHWM Not Served with LS "&amp;$F$1,TOCA_previous!$A$2:$AI$2,0),FALSE)*$F$2</f>
        <v>0</v>
      </c>
      <c r="BA23" s="206">
        <f t="shared" si="3"/>
        <v>9619.1663238479523</v>
      </c>
      <c r="BB23" s="399">
        <f>(VLOOKUP($A23,TOCA_previous!$A$2:$AI$137,MATCH("RHWM 2016",TOCA_previous!$A$2:$AI$2,0),FALSE)*$F$2) - $AX23</f>
        <v>0</v>
      </c>
      <c r="BC23" s="206">
        <f t="shared" si="4"/>
        <v>0</v>
      </c>
      <c r="BD23" s="400">
        <f t="shared" si="5"/>
        <v>0</v>
      </c>
      <c r="BE23" s="392">
        <f t="shared" si="6"/>
        <v>0</v>
      </c>
      <c r="BF23" s="399">
        <f t="shared" si="7"/>
        <v>0</v>
      </c>
      <c r="BG23" s="206">
        <f>VLOOKUP($A23,TOCA_current!$A$2:$AI$137,MATCH(BG$4,TOCA_current!$A$2:$AI$2,0),FALSE)</f>
        <v>2.2409000000000001E-3</v>
      </c>
      <c r="BH23" s="206">
        <f>VLOOKUP($A23,TOCA_current!$A$2:$AI$137,MATCH(BH$4,TOCA_current!$A$2:$AI$2,0),FALSE)</f>
        <v>2.2409000000000001E-3</v>
      </c>
      <c r="BI23" s="391">
        <f t="shared" si="8"/>
        <v>0</v>
      </c>
      <c r="BJ23" s="206">
        <f>VLOOKUP($A23,TOCA_current!A19:BG154,MATCH(BJ$4,TOCA_current!$A$2:$BG$2,0),FALSE)</f>
        <v>0</v>
      </c>
      <c r="BK23" s="206">
        <f t="shared" si="9"/>
        <v>0</v>
      </c>
      <c r="BL23" s="206">
        <f t="shared" si="10"/>
        <v>0</v>
      </c>
      <c r="BM23" s="381">
        <f>VLOOKUP($A23,IRD!$A$4:$G$139, 7, FALSE)</f>
        <v>0</v>
      </c>
      <c r="BN23" s="382">
        <f t="array" ref="BN23">IF($BI23=0, INDEX(LS_current!$D$4:$AY$139, MATCH('Staging Table'!$A23, LS_current!$B$4:$B$139, 0), MATCH(BN$4&amp;BN$5, LS_current!$D$2:$AY$2&amp;LS_current!$D$3:$AY$3, 0)),SUM(VLOOKUP($A23, LS_current!$B$4:$AY$139, LS_current!D$149, FALSE), VLOOKUP($A23, LS_current!$B$4:$AY$139,LS_current!D$149, FALSE))/2)</f>
        <v>-350.43302662719361</v>
      </c>
      <c r="BO23" s="382">
        <f t="array" ref="BO23">IF($BI23=0, INDEX(LS_current!$D$4:$AY$139, MATCH('Staging Table'!$A23, LS_current!$B$4:$B$139, 0), MATCH(BO$4&amp;BO$5, LS_current!$D$2:$AY$2&amp;LS_current!$D$3:$AY$3, 0)),SUM(VLOOKUP($A23, LS_current!$B$4:$AY$139, LS_current!E$149, FALSE), VLOOKUP($A23, LS_current!$B$4:$AY$139,LS_current!E$149, FALSE))/2)</f>
        <v>-220.87751511143915</v>
      </c>
      <c r="BP23" s="382">
        <f t="array" ref="BP23">IF($BI23=0, INDEX(LS_current!$D$4:$AY$139, MATCH('Staging Table'!$A23, LS_current!$B$4:$B$139, 0), MATCH(BP$4&amp;BP$5, LS_current!$D$2:$AY$2&amp;LS_current!$D$3:$AY$3, 0)),SUM(VLOOKUP($A23, LS_current!$B$4:$AY$139, LS_current!F$149, FALSE), VLOOKUP($A23, LS_current!$B$4:$AY$139,LS_current!F$149, FALSE))/2)</f>
        <v>-1200.4005643909004</v>
      </c>
      <c r="BQ23" s="382">
        <f t="array" ref="BQ23">IF($BI23=0, INDEX(LS_current!$D$4:$AY$139, MATCH('Staging Table'!$A23, LS_current!$B$4:$B$139, 0), MATCH(BQ$4&amp;BQ$5, LS_current!$D$2:$AY$2&amp;LS_current!$D$3:$AY$3, 0)),SUM(VLOOKUP($A23, LS_current!$B$4:$AY$139, LS_current!G$149, FALSE), VLOOKUP($A23, LS_current!$B$4:$AY$139,LS_current!G$149, FALSE))/2)</f>
        <v>-17.093490419279988</v>
      </c>
      <c r="BR23" s="382">
        <f t="array" ref="BR23">IF($BI23=0, INDEX(LS_current!$D$4:$AY$139, MATCH('Staging Table'!$A23, LS_current!$B$4:$B$139, 0), MATCH(BR$4&amp;BR$5, LS_current!$D$2:$AY$2&amp;LS_current!$D$3:$AY$3, 0)),SUM(VLOOKUP($A23, LS_current!$B$4:$AY$139, LS_current!H$149, FALSE), VLOOKUP($A23, LS_current!$B$4:$AY$139,LS_current!H$149, FALSE))/2)</f>
        <v>-152.71280652936548</v>
      </c>
      <c r="BS23" s="382">
        <f t="array" ref="BS23">IF($BI23=0, INDEX(LS_current!$D$4:$AY$139, MATCH('Staging Table'!$A23, LS_current!$B$4:$B$139, 0), MATCH(BS$4&amp;BS$5, LS_current!$D$2:$AY$2&amp;LS_current!$D$3:$AY$3, 0)),SUM(VLOOKUP($A23, LS_current!$B$4:$AY$139, LS_current!I$149, FALSE), VLOOKUP($A23, LS_current!$B$4:$AY$139,LS_current!I$149, FALSE))/2)</f>
        <v>542.47153343643913</v>
      </c>
      <c r="BT23" s="382">
        <f t="array" ref="BT23">IF($BI23=0, INDEX(LS_current!$D$4:$AY$139, MATCH('Staging Table'!$A23, LS_current!$B$4:$B$139, 0), MATCH(BT$4&amp;BT$5, LS_current!$D$2:$AY$2&amp;LS_current!$D$3:$AY$3, 0)),SUM(VLOOKUP($A23, LS_current!$B$4:$AY$139, LS_current!J$149, FALSE), VLOOKUP($A23, LS_current!$B$4:$AY$139,LS_current!J$149, FALSE))/2)</f>
        <v>1753.0669511778169</v>
      </c>
      <c r="BU23" s="382">
        <f t="array" ref="BU23">IF($BI23=0, INDEX(LS_current!$D$4:$AY$139, MATCH('Staging Table'!$A23, LS_current!$B$4:$B$139, 0), MATCH(BU$4&amp;BU$5, LS_current!$D$2:$AY$2&amp;LS_current!$D$3:$AY$3, 0)),SUM(VLOOKUP($A23, LS_current!$B$4:$AY$139, LS_current!K$149, FALSE), VLOOKUP($A23, LS_current!$B$4:$AY$139,LS_current!K$149, FALSE))/2)</f>
        <v>1477.2289044501395</v>
      </c>
      <c r="BV23" s="382">
        <f t="array" ref="BV23">IF($BI23=0, INDEX(LS_current!$D$4:$AY$139, MATCH('Staging Table'!$A23, LS_current!$B$4:$B$139, 0), MATCH(BV$4&amp;BV$5, LS_current!$D$2:$AY$2&amp;LS_current!$D$3:$AY$3, 0)),SUM(VLOOKUP($A23, LS_current!$B$4:$AY$139, LS_current!L$149, FALSE), VLOOKUP($A23, LS_current!$B$4:$AY$139,LS_current!L$149, FALSE))/2)</f>
        <v>1746.945722367198</v>
      </c>
      <c r="BW23" s="382">
        <f t="array" ref="BW23">IF($BI23=0, INDEX(LS_current!$D$4:$AY$139, MATCH('Staging Table'!$A23, LS_current!$B$4:$B$139, 0), MATCH(BW$4&amp;BW$5, LS_current!$D$2:$AY$2&amp;LS_current!$D$3:$AY$3, 0)),SUM(VLOOKUP($A23, LS_current!$B$4:$AY$139, LS_current!M$149, FALSE), VLOOKUP($A23, LS_current!$B$4:$AY$139,LS_current!M$149, FALSE))/2)</f>
        <v>1351.040302034567</v>
      </c>
      <c r="BX23" s="382">
        <f t="array" ref="BX23">IF($BI23=0, INDEX(LS_current!$D$4:$AY$139, MATCH('Staging Table'!$A23, LS_current!$B$4:$B$139, 0), MATCH(BX$4&amp;BX$5, LS_current!$D$2:$AY$2&amp;LS_current!$D$3:$AY$3, 0)),SUM(VLOOKUP($A23, LS_current!$B$4:$AY$139, LS_current!N$149, FALSE), VLOOKUP($A23, LS_current!$B$4:$AY$139,LS_current!N$149, FALSE))/2)</f>
        <v>228.89662077109915</v>
      </c>
      <c r="BY23" s="382">
        <f t="array" ref="BY23">IF($BI23=0, INDEX(LS_current!$D$4:$AY$139, MATCH('Staging Table'!$A23, LS_current!$B$4:$B$139, 0), MATCH(BY$4&amp;BY$5, LS_current!$D$2:$AY$2&amp;LS_current!$D$3:$AY$3, 0)),SUM(VLOOKUP($A23, LS_current!$B$4:$AY$139, LS_current!O$149, FALSE), VLOOKUP($A23, LS_current!$B$4:$AY$139,LS_current!O$149, FALSE))/2)</f>
        <v>491.3623606248857</v>
      </c>
      <c r="BZ23" s="382">
        <f t="array" ref="BZ23">IF($BI23=0, INDEX(LS_current!$D$4:$AY$139, MATCH('Staging Table'!$A23, LS_current!$B$4:$B$139, 0), MATCH(BZ$4&amp;BZ$5, LS_current!$D$2:$AY$2&amp;LS_current!$D$3:$AY$3, 0)),SUM(VLOOKUP($A23, LS_current!$B$4:$AY$139, LS_current!P$149, FALSE), VLOOKUP($A23, LS_current!$B$4:$AY$139,LS_current!P$149, FALSE))/2)</f>
        <v>-163.51587549740088</v>
      </c>
      <c r="CA23" s="382">
        <f t="array" ref="CA23">IF($BI23=0, INDEX(LS_current!$D$4:$AY$139, MATCH('Staging Table'!$A23, LS_current!$B$4:$B$139, 0), MATCH(CA$4&amp;CA$5, LS_current!$D$2:$AY$2&amp;LS_current!$D$3:$AY$3, 0)),SUM(VLOOKUP($A23, LS_current!$B$4:$AY$139, LS_current!Q$149, FALSE), VLOOKUP($A23, LS_current!$B$4:$AY$139,LS_current!Q$149, FALSE))/2)</f>
        <v>58.745982938878115</v>
      </c>
      <c r="CB23" s="382">
        <f t="array" ref="CB23">IF($BI23=0, INDEX(LS_current!$D$4:$AY$139, MATCH('Staging Table'!$A23, LS_current!$B$4:$B$139, 0), MATCH(CB$4&amp;CB$5, LS_current!$D$2:$AY$2&amp;LS_current!$D$3:$AY$3, 0)),SUM(VLOOKUP($A23, LS_current!$B$4:$AY$139, LS_current!R$149, FALSE), VLOOKUP($A23, LS_current!$B$4:$AY$139,LS_current!R$149, FALSE))/2)</f>
        <v>-3517.2841142235902</v>
      </c>
      <c r="CC23" s="382">
        <f t="array" ref="CC23">IF($BI23=0, INDEX(LS_current!$D$4:$AY$139, MATCH('Staging Table'!$A23, LS_current!$B$4:$B$139, 0), MATCH(CC$4&amp;CC$5, LS_current!$D$2:$AY$2&amp;LS_current!$D$3:$AY$3, 0)),SUM(VLOOKUP($A23, LS_current!$B$4:$AY$139, LS_current!S$149, FALSE), VLOOKUP($A23, LS_current!$B$4:$AY$139,LS_current!S$149, FALSE))/2)</f>
        <v>-1875.9878949973763</v>
      </c>
      <c r="CD23" s="382">
        <f t="array" ref="CD23">IF($BI23=0, INDEX(LS_current!$D$4:$AY$139, MATCH('Staging Table'!$A23, LS_current!$B$4:$B$139, 0), MATCH(CD$4&amp;CD$5, LS_current!$D$2:$AY$2&amp;LS_current!$D$3:$AY$3, 0)),SUM(VLOOKUP($A23, LS_current!$B$4:$AY$139, LS_current!T$149, FALSE), VLOOKUP($A23, LS_current!$B$4:$AY$139,LS_current!T$149, FALSE))/2)</f>
        <v>-1799.6611219454962</v>
      </c>
      <c r="CE23" s="382">
        <f t="array" ref="CE23">IF($BI23=0, INDEX(LS_current!$D$4:$AY$139, MATCH('Staging Table'!$A23, LS_current!$B$4:$B$139, 0), MATCH(CE$4&amp;CE$5, LS_current!$D$2:$AY$2&amp;LS_current!$D$3:$AY$3, 0)),SUM(VLOOKUP($A23, LS_current!$B$4:$AY$139, LS_current!U$149, FALSE), VLOOKUP($A23, LS_current!$B$4:$AY$139,LS_current!U$149, FALSE))/2)</f>
        <v>-720.29959528202198</v>
      </c>
      <c r="CF23" s="382">
        <f t="array" ref="CF23">IF($BI23=0, INDEX(LS_current!$D$4:$AY$139, MATCH('Staging Table'!$A23, LS_current!$B$4:$B$139, 0), MATCH(CF$4&amp;CF$5, LS_current!$D$2:$AY$2&amp;LS_current!$D$3:$AY$3, 0)),SUM(VLOOKUP($A23, LS_current!$B$4:$AY$139, LS_current!V$149, FALSE), VLOOKUP($A23, LS_current!$B$4:$AY$139,LS_current!V$149, FALSE))/2)</f>
        <v>-369.77608783881624</v>
      </c>
      <c r="CG23" s="382">
        <f t="array" ref="CG23">IF($BI23=0, INDEX(LS_current!$D$4:$AY$139, MATCH('Staging Table'!$A23, LS_current!$B$4:$B$139, 0), MATCH(CG$4&amp;CG$5, LS_current!$D$2:$AY$2&amp;LS_current!$D$3:$AY$3, 0)),SUM(VLOOKUP($A23, LS_current!$B$4:$AY$139, LS_current!W$149, FALSE), VLOOKUP($A23, LS_current!$B$4:$AY$139,LS_current!W$149, FALSE))/2)</f>
        <v>151.18743933123142</v>
      </c>
      <c r="CH23" s="382">
        <f t="array" ref="CH23">IF($BI23=0, INDEX(LS_current!$D$4:$AY$139, MATCH('Staging Table'!$A23, LS_current!$B$4:$B$139, 0), MATCH(CH$4&amp;CH$5, LS_current!$D$2:$AY$2&amp;LS_current!$D$3:$AY$3, 0)),SUM(VLOOKUP($A23, LS_current!$B$4:$AY$139, LS_current!X$149, FALSE), VLOOKUP($A23, LS_current!$B$4:$AY$139,LS_current!X$149, FALSE))/2)</f>
        <v>-1414.148819018691</v>
      </c>
      <c r="CI23" s="382">
        <f t="array" ref="CI23">IF($BI23=0, INDEX(LS_current!$D$4:$AY$139, MATCH('Staging Table'!$A23, LS_current!$B$4:$B$139, 0), MATCH(CI$4&amp;CI$5, LS_current!$D$2:$AY$2&amp;LS_current!$D$3:$AY$3, 0)),SUM(VLOOKUP($A23, LS_current!$B$4:$AY$139, LS_current!Y$149, FALSE), VLOOKUP($A23, LS_current!$B$4:$AY$139,LS_current!Y$149, FALSE))/2)</f>
        <v>-301.60907792779017</v>
      </c>
      <c r="CJ23" s="382">
        <f t="array" ref="CJ23">IF($BI23=0, INDEX(LS_current!$D$4:$AY$139, MATCH('Staging Table'!$A23, LS_current!$B$4:$B$139, 0), MATCH(CJ$4&amp;CJ$5, LS_current!$D$2:$AY$2&amp;LS_current!$D$3:$AY$3, 0)),SUM(VLOOKUP($A23, LS_current!$B$4:$AY$139, LS_current!Z$149, FALSE), VLOOKUP($A23, LS_current!$B$4:$AY$139,LS_current!Z$149, FALSE))/2)</f>
        <v>-1196.7341929480563</v>
      </c>
      <c r="CK23" s="382">
        <f t="array" ref="CK23">IF($BI23=0, INDEX(LS_current!$D$4:$AY$139, MATCH('Staging Table'!$A23, LS_current!$B$4:$B$139, 0), MATCH(CK$4&amp;CK$5, LS_current!$D$2:$AY$2&amp;LS_current!$D$3:$AY$3, 0)),SUM(VLOOKUP($A23, LS_current!$B$4:$AY$139, LS_current!AA$149, FALSE), VLOOKUP($A23, LS_current!$B$4:$AY$139,LS_current!AA$149, FALSE))/2)</f>
        <v>-454.7109617123624</v>
      </c>
      <c r="CL23" s="384">
        <f t="array" ref="CL23">INDEX(Demand_current!$D$4:$AY$138, MATCH($A23, Demand_current!$B$4:$B$138, 0), MATCH(CL$4&amp;CL$5,Demand_current!$D$2:$AY$2&amp;Demand_current!$D$3:$AY$3, 0))/1000</f>
        <v>2.2104158653846167</v>
      </c>
      <c r="CM23" s="384">
        <f t="array" ref="CM23">INDEX(Demand_current!$D$4:$AY$138, MATCH($A23, Demand_current!$B$4:$B$138, 0), MATCH(CM$4&amp;CM$5,Demand_current!$D$2:$AY$2&amp;Demand_current!$D$3:$AY$3, 0))/1000</f>
        <v>3.2502375000000021</v>
      </c>
      <c r="CN23" s="384">
        <f t="array" ref="CN23">INDEX(Demand_current!$D$4:$AY$138, MATCH($A23, Demand_current!$B$4:$B$138, 0), MATCH(CN$4&amp;CN$5,Demand_current!$D$2:$AY$2&amp;Demand_current!$D$3:$AY$3, 0))/1000</f>
        <v>2.8813775000000033</v>
      </c>
      <c r="CO23" s="384">
        <f t="array" ref="CO23">INDEX(Demand_current!$D$4:$AY$138, MATCH($A23, Demand_current!$B$4:$B$138, 0), MATCH(CO$4&amp;CO$5,Demand_current!$D$2:$AY$2&amp;Demand_current!$D$3:$AY$3, 0))/1000</f>
        <v>4.8545961538461526</v>
      </c>
      <c r="CP23" s="384">
        <f t="array" ref="CP23">INDEX(Demand_current!$D$4:$AY$138, MATCH($A23, Demand_current!$B$4:$B$138, 0), MATCH(CP$4&amp;CP$5,Demand_current!$D$2:$AY$2&amp;Demand_current!$D$3:$AY$3, 0))/1000</f>
        <v>1.4453151041666645</v>
      </c>
      <c r="CQ23" s="384">
        <f t="array" ref="CQ23">INDEX(Demand_current!$D$4:$AY$138, MATCH($A23, Demand_current!$B$4:$B$138, 0), MATCH(CQ$4&amp;CQ$5,Demand_current!$D$2:$AY$2&amp;Demand_current!$D$3:$AY$3, 0))/1000</f>
        <v>4.2769583333333321</v>
      </c>
      <c r="CR23" s="384">
        <f t="array" ref="CR23">INDEX(Demand_current!$D$4:$AY$138, MATCH($A23, Demand_current!$B$4:$B$138, 0), MATCH(CR$4&amp;CR$5,Demand_current!$D$2:$AY$2&amp;Demand_current!$D$3:$AY$3, 0))/1000</f>
        <v>3.7617075000000018</v>
      </c>
      <c r="CS23" s="384">
        <f t="array" ref="CS23">INDEX(Demand_current!$D$4:$AY$138, MATCH($A23, Demand_current!$B$4:$B$138, 0), MATCH(CS$4&amp;CS$5,Demand_current!$D$2:$AY$2&amp;Demand_current!$D$3:$AY$3, 0))/1000</f>
        <v>3.2618677884615392</v>
      </c>
      <c r="CT23" s="384">
        <f t="array" ref="CT23">INDEX(Demand_current!$D$4:$AY$138, MATCH($A23, Demand_current!$B$4:$B$138, 0), MATCH(CT$4&amp;CT$5,Demand_current!$D$2:$AY$2&amp;Demand_current!$D$3:$AY$3, 0))/1000</f>
        <v>2.7266322115384627</v>
      </c>
      <c r="CU23" s="384">
        <f t="array" ref="CU23">INDEX(Demand_current!$D$4:$AY$138, MATCH($A23, Demand_current!$B$4:$B$138, 0), MATCH(CU$4&amp;CU$5,Demand_current!$D$2:$AY$2&amp;Demand_current!$D$3:$AY$3, 0))/1000</f>
        <v>3.251762500000003</v>
      </c>
      <c r="CV23" s="384">
        <f t="array" ref="CV23">INDEX(Demand_current!$D$4:$AY$138, MATCH($A23, Demand_current!$B$4:$B$138, 0), MATCH(CV$4&amp;CV$5,Demand_current!$D$2:$AY$2&amp;Demand_current!$D$3:$AY$3, 0))/1000</f>
        <v>3.9076550925925906</v>
      </c>
      <c r="CW23" s="384">
        <f t="array" ref="CW23">INDEX(Demand_current!$D$4:$AY$138, MATCH($A23, Demand_current!$B$4:$B$138, 0), MATCH(CW$4&amp;CW$5,Demand_current!$D$2:$AY$2&amp;Demand_current!$D$3:$AY$3, 0))/1000</f>
        <v>4.1128541666666676</v>
      </c>
      <c r="CX23" s="384">
        <f>IF(D23=0,IF(C23=0,MAX(0,DA23 - (VLOOKUP($A23,TOCA_current!$A$2:$AI$137,MATCH("RHWM 2018",TOCA_current!$A$2:$AI$2,0),FALSE)*$BH$2)), 0),0)</f>
        <v>0</v>
      </c>
      <c r="CY23" s="427">
        <f>VLOOKUP($A23,REP_current!$A$1:$D$135,MATCH("FY "&amp;$BH$1&amp; " Total Refund",REP_current!$A$1:$D$1,0),0)</f>
        <v>197496.66232530522</v>
      </c>
      <c r="CZ23" s="432">
        <f>MIN(VLOOKUP($A23,TOCA_current!$A$2:$AI$137,MATCH("TRL - NLSL - Existing Resource "&amp;$BH$1,TOCA_current!$A$2:$AI$2,0),FALSE)*$BH$2, VLOOKUP($A23,TOCA_current!$A$2:$AI$137,MATCH("RHWM 2018",TOCA_current!$A$2:$AI$2,0),FALSE)*$BH$2)</f>
        <v>136331.88</v>
      </c>
      <c r="DA23" s="397">
        <f>SUM(BN23:CK23)+(BH23*RT1SC!$C$4*$BH$2)</f>
        <v>130374.99998892646</v>
      </c>
      <c r="DB23" s="432">
        <f>VLOOKUP($A23,TOCA_current!$A$2:$AI$137,MATCH("Above RHWM Not Served with LS "&amp;$BH$1,TOCA_current!$A$2:$AI$2,0),FALSE)*$BH$2</f>
        <v>16827.96</v>
      </c>
      <c r="DC23" s="401">
        <f t="shared" si="11"/>
        <v>-5956.8800110735465</v>
      </c>
      <c r="DD23" s="397">
        <f>(VLOOKUP($A23,TOCA_current!$A$2:$AI$137,MATCH("RHWM 2018",TOCA_current!$A$2:$AI$2,0),FALSE)*$BH$2) - $CZ23</f>
        <v>0</v>
      </c>
      <c r="DE23" s="397">
        <f t="shared" si="12"/>
        <v>0</v>
      </c>
      <c r="DF23" s="397">
        <f t="shared" si="13"/>
        <v>0</v>
      </c>
      <c r="DG23" s="397">
        <f t="shared" si="14"/>
        <v>0</v>
      </c>
      <c r="DH23" s="397">
        <f t="shared" si="15"/>
        <v>0</v>
      </c>
    </row>
    <row r="24" spans="1:112">
      <c r="A24" s="274">
        <v>10068</v>
      </c>
      <c r="B24" s="275" t="s">
        <v>25</v>
      </c>
      <c r="C24" s="397">
        <v>0</v>
      </c>
      <c r="D24" s="397">
        <v>0</v>
      </c>
      <c r="E24" s="205">
        <f>VLOOKUP($A24,TOCA_previous!$A$2:$AI$137,MATCH(E$4,TOCA_previous!$A$2:$AI$2,0),FALSE)</f>
        <v>3.7320000000000002E-4</v>
      </c>
      <c r="F24" s="206">
        <f>VLOOKUP($A24,TOCA_previous!$A$2:$AI$137,MATCH(F$4,TOCA_previous!$A$2:$AI$2,0),FALSE)</f>
        <v>3.7320000000000002E-4</v>
      </c>
      <c r="G24" s="206">
        <f t="shared" si="0"/>
        <v>0</v>
      </c>
      <c r="H24" s="206">
        <f>VLOOKUP($A24,TOCA_previous!$A$2:$AI$137,MATCH(H$4,TOCA_previous!$A$2:$AI$2,0),FALSE)</f>
        <v>0</v>
      </c>
      <c r="I24" s="206">
        <f t="shared" si="1"/>
        <v>0</v>
      </c>
      <c r="J24" s="206">
        <f t="shared" si="2"/>
        <v>0</v>
      </c>
      <c r="K24" s="381">
        <f>VLOOKUP(A24, IRD!$A$5:$C$139, 3, FALSE)</f>
        <v>0</v>
      </c>
      <c r="L24" s="382">
        <f t="array" ref="L24">IF($G24=0, INDEX(LS_previous!$D$4:$AY$138, MATCH('Staging Table'!$A24, LS_previous!$B$4:$B$138, 0), MATCH(L$4&amp;L$5, LS_previous!$D$2:$AY$2&amp;LS_previous!$D$3:$AY$3, 0)),SUM(VLOOKUP($A24, LS_previous!$B$4:$AY$138, LS_previous!D$149, FALSE), VLOOKUP('Staging Table'!$A24, LS_previous!$B$4:$AY$138,LS_previous!AB$149, FALSE))/2)</f>
        <v>-90.907974924146401</v>
      </c>
      <c r="M24" s="382">
        <f t="array" ref="M24">IF($G24=0, INDEX(LS_previous!$D$4:$AY$138, MATCH('Staging Table'!$A24, LS_previous!$B$4:$B$138, 0), MATCH(M$4&amp;M$5, LS_previous!$D$2:$AY$2&amp;LS_previous!$D$3:$AY$3, 0)),SUM(VLOOKUP($A24, LS_previous!$B$4:$AY$138, LS_previous!E$149, FALSE), VLOOKUP('Staging Table'!$A24, LS_previous!$B$4:$AY$138,LS_previous!AC$149, FALSE))/2)</f>
        <v>-0.94400303857878498</v>
      </c>
      <c r="N24" s="382">
        <f t="array" ref="N24">IF($G24=0, INDEX(LS_previous!$D$4:$AY$138, MATCH('Staging Table'!$A24, LS_previous!$B$4:$B$138, 0), MATCH(N$4&amp;N$5, LS_previous!$D$2:$AY$2&amp;LS_previous!$D$3:$AY$3, 0)),SUM(VLOOKUP($A24, LS_previous!$B$4:$AY$138, LS_previous!F$149, FALSE), VLOOKUP('Staging Table'!$A24, LS_previous!$B$4:$AY$138,LS_previous!AD$149, FALSE))/2)</f>
        <v>-57.342421791680636</v>
      </c>
      <c r="O24" s="382">
        <f t="array" ref="O24">IF($G24=0, INDEX(LS_previous!$D$4:$AY$138, MATCH('Staging Table'!$A24, LS_previous!$B$4:$B$138, 0), MATCH(O$4&amp;O$5, LS_previous!$D$2:$AY$2&amp;LS_previous!$D$3:$AY$3, 0)),SUM(VLOOKUP($A24, LS_previous!$B$4:$AY$138, LS_previous!G$149, FALSE), VLOOKUP('Staging Table'!$A24, LS_previous!$B$4:$AY$138,LS_previous!AE$149, FALSE))/2)</f>
        <v>63.211873221015026</v>
      </c>
      <c r="P24" s="382">
        <f t="array" ref="P24">IF($G24=0, INDEX(LS_previous!$D$4:$AY$138, MATCH('Staging Table'!$A24, LS_previous!$B$4:$B$138, 0), MATCH(P$4&amp;P$5, LS_previous!$D$2:$AY$2&amp;LS_previous!$D$3:$AY$3, 0)),SUM(VLOOKUP($A24, LS_previous!$B$4:$AY$138, LS_previous!H$149, FALSE), VLOOKUP('Staging Table'!$A24, LS_previous!$B$4:$AY$138,LS_previous!AF$149, FALSE))/2)</f>
        <v>253.47028972237513</v>
      </c>
      <c r="Q24" s="382">
        <f t="array" ref="Q24">IF($G24=0, INDEX(LS_previous!$D$4:$AY$138, MATCH('Staging Table'!$A24, LS_previous!$B$4:$B$138, 0), MATCH(Q$4&amp;Q$5, LS_previous!$D$2:$AY$2&amp;LS_previous!$D$3:$AY$3, 0)),SUM(VLOOKUP($A24, LS_previous!$B$4:$AY$138, LS_previous!I$149, FALSE), VLOOKUP('Staging Table'!$A24, LS_previous!$B$4:$AY$138,LS_previous!AG$149, FALSE))/2)</f>
        <v>248.06781124943575</v>
      </c>
      <c r="R24" s="382">
        <f t="array" ref="R24">IF($G24=0, INDEX(LS_previous!$D$4:$AY$138, MATCH('Staging Table'!$A24, LS_previous!$B$4:$B$138, 0), MATCH(R$4&amp;R$5, LS_previous!$D$2:$AY$2&amp;LS_previous!$D$3:$AY$3, 0)),SUM(VLOOKUP($A24, LS_previous!$B$4:$AY$138, LS_previous!J$149, FALSE), VLOOKUP('Staging Table'!$A24, LS_previous!$B$4:$AY$138,LS_previous!AH$149, FALSE))/2)</f>
        <v>344.8547415960229</v>
      </c>
      <c r="S24" s="382">
        <f t="array" ref="S24">IF($G24=0, INDEX(LS_previous!$D$4:$AY$138, MATCH('Staging Table'!$A24, LS_previous!$B$4:$B$138, 0), MATCH(S$4&amp;S$5, LS_previous!$D$2:$AY$2&amp;LS_previous!$D$3:$AY$3, 0)),SUM(VLOOKUP($A24, LS_previous!$B$4:$AY$138, LS_previous!K$149, FALSE), VLOOKUP('Staging Table'!$A24, LS_previous!$B$4:$AY$138,LS_previous!AI$149, FALSE))/2)</f>
        <v>305.09367099844496</v>
      </c>
      <c r="T24" s="382">
        <f t="array" ref="T24">IF($G24=0, INDEX(LS_previous!$D$4:$AY$138, MATCH('Staging Table'!$A24, LS_previous!$B$4:$B$138, 0), MATCH(T$4&amp;T$5, LS_previous!$D$2:$AY$2&amp;LS_previous!$D$3:$AY$3, 0)),SUM(VLOOKUP($A24, LS_previous!$B$4:$AY$138, LS_previous!L$149, FALSE), VLOOKUP('Staging Table'!$A24, LS_previous!$B$4:$AY$138,LS_previous!AJ$149, FALSE))/2)</f>
        <v>225.80347909724605</v>
      </c>
      <c r="U24" s="382">
        <f t="array" ref="U24">IF($G24=0, INDEX(LS_previous!$D$4:$AY$138, MATCH('Staging Table'!$A24, LS_previous!$B$4:$B$138, 0), MATCH(U$4&amp;U$5, LS_previous!$D$2:$AY$2&amp;LS_previous!$D$3:$AY$3, 0)),SUM(VLOOKUP($A24, LS_previous!$B$4:$AY$138, LS_previous!M$149, FALSE), VLOOKUP('Staging Table'!$A24, LS_previous!$B$4:$AY$138,LS_previous!AK$149, FALSE))/2)</f>
        <v>162.77303405973714</v>
      </c>
      <c r="V24" s="382">
        <f t="array" ref="V24">IF($G24=0, INDEX(LS_previous!$D$4:$AY$138, MATCH('Staging Table'!$A24, LS_previous!$B$4:$B$138, 0), MATCH(V$4&amp;V$5, LS_previous!$D$2:$AY$2&amp;LS_previous!$D$3:$AY$3, 0)),SUM(VLOOKUP($A24, LS_previous!$B$4:$AY$138, LS_previous!N$149, FALSE), VLOOKUP('Staging Table'!$A24, LS_previous!$B$4:$AY$138,LS_previous!AL$149, FALSE))/2)</f>
        <v>37.826866372837685</v>
      </c>
      <c r="W24" s="382">
        <f t="array" ref="W24">IF($G24=0, INDEX(LS_previous!$D$4:$AY$138, MATCH('Staging Table'!$A24, LS_previous!$B$4:$B$138, 0), MATCH(W$4&amp;W$5, LS_previous!$D$2:$AY$2&amp;LS_previous!$D$3:$AY$3, 0)),SUM(VLOOKUP($A24, LS_previous!$B$4:$AY$138, LS_previous!O$149, FALSE), VLOOKUP('Staging Table'!$A24, LS_previous!$B$4:$AY$138,LS_previous!AM$149, FALSE))/2)</f>
        <v>33.260321199200121</v>
      </c>
      <c r="X24" s="382">
        <f t="array" ref="X24">IF($G24=0, INDEX(LS_previous!$D$4:$AY$138, MATCH('Staging Table'!$A24, LS_previous!$B$4:$B$138, 0), MATCH(X$4&amp;X$5, LS_previous!$D$2:$AY$2&amp;LS_previous!$D$3:$AY$3, 0)),SUM(VLOOKUP($A24, LS_previous!$B$4:$AY$138, LS_previous!P$149, FALSE), VLOOKUP('Staging Table'!$A24, LS_previous!$B$4:$AY$138,LS_previous!AN$149, FALSE))/2)</f>
        <v>49.796327314878567</v>
      </c>
      <c r="Y24" s="382">
        <f t="array" ref="Y24">IF($G24=0, INDEX(LS_previous!$D$4:$AY$138, MATCH('Staging Table'!$A24, LS_previous!$B$4:$B$138, 0), MATCH(Y$4&amp;Y$5, LS_previous!$D$2:$AY$2&amp;LS_previous!$D$3:$AY$3, 0)),SUM(VLOOKUP($A24, LS_previous!$B$4:$AY$138, LS_previous!Q$149, FALSE), VLOOKUP('Staging Table'!$A24, LS_previous!$B$4:$AY$138,LS_previous!AO$149, FALSE))/2)</f>
        <v>27.12210420170959</v>
      </c>
      <c r="Z24" s="382">
        <f t="array" ref="Z24">IF($G24=0, INDEX(LS_previous!$D$4:$AY$138, MATCH('Staging Table'!$A24, LS_previous!$B$4:$B$138, 0), MATCH(Z$4&amp;Z$5, LS_previous!$D$2:$AY$2&amp;LS_previous!$D$3:$AY$3, 0)),SUM(VLOOKUP($A24, LS_previous!$B$4:$AY$138, LS_previous!R$149, FALSE), VLOOKUP('Staging Table'!$A24, LS_previous!$B$4:$AY$138,LS_previous!AP$149, FALSE))/2)</f>
        <v>-671.58649788697551</v>
      </c>
      <c r="AA24" s="382">
        <f t="array" ref="AA24">IF($G24=0, INDEX(LS_previous!$D$4:$AY$138, MATCH('Staging Table'!$A24, LS_previous!$B$4:$B$138, 0), MATCH(AA$4&amp;AA$5, LS_previous!$D$2:$AY$2&amp;LS_previous!$D$3:$AY$3, 0)),SUM(VLOOKUP($A24, LS_previous!$B$4:$AY$138, LS_previous!S$149, FALSE), VLOOKUP('Staging Table'!$A24, LS_previous!$B$4:$AY$138,LS_previous!AQ$149, FALSE))/2)</f>
        <v>-295.08631320467327</v>
      </c>
      <c r="AB24" s="382">
        <f t="array" ref="AB24">IF($G24=0, INDEX(LS_previous!$D$4:$AY$138, MATCH('Staging Table'!$A24, LS_previous!$B$4:$B$138, 0), MATCH(AB$4&amp;AB$5, LS_previous!$D$2:$AY$2&amp;LS_previous!$D$3:$AY$3, 0)),SUM(VLOOKUP($A24, LS_previous!$B$4:$AY$138, LS_previous!T$149, FALSE), VLOOKUP('Staging Table'!$A24, LS_previous!$B$4:$AY$138,LS_previous!AR$149, FALSE))/2)</f>
        <v>-344.80485362287732</v>
      </c>
      <c r="AC24" s="382">
        <f t="array" ref="AC24">IF($G24=0, INDEX(LS_previous!$D$4:$AY$138, MATCH('Staging Table'!$A24, LS_previous!$B$4:$B$138, 0), MATCH(AC$4&amp;AC$5, LS_previous!$D$2:$AY$2&amp;LS_previous!$D$3:$AY$3, 0)),SUM(VLOOKUP($A24, LS_previous!$B$4:$AY$138, LS_previous!U$149, FALSE), VLOOKUP('Staging Table'!$A24, LS_previous!$B$4:$AY$138,LS_previous!AS$149, FALSE))/2)</f>
        <v>-187.76240232188138</v>
      </c>
      <c r="AD24" s="382">
        <f t="array" ref="AD24">IF($G24=0, INDEX(LS_previous!$D$4:$AY$138, MATCH('Staging Table'!$A24, LS_previous!$B$4:$B$138, 0), MATCH(AD$4&amp;AD$5, LS_previous!$D$2:$AY$2&amp;LS_previous!$D$3:$AY$3, 0)),SUM(VLOOKUP($A24, LS_previous!$B$4:$AY$138, LS_previous!V$149, FALSE), VLOOKUP('Staging Table'!$A24, LS_previous!$B$4:$AY$138,LS_previous!AT$149, FALSE))/2)</f>
        <v>-163.21785511853454</v>
      </c>
      <c r="AE24" s="382">
        <f t="array" ref="AE24">IF($G24=0, INDEX(LS_previous!$D$4:$AY$138, MATCH('Staging Table'!$A24, LS_previous!$B$4:$B$138, 0), MATCH(AE$4&amp;AE$5, LS_previous!$D$2:$AY$2&amp;LS_previous!$D$3:$AY$3, 0)),SUM(VLOOKUP($A24, LS_previous!$B$4:$AY$138, LS_previous!W$149, FALSE), VLOOKUP('Staging Table'!$A24, LS_previous!$B$4:$AY$138,LS_previous!AU$149, FALSE))/2)</f>
        <v>6.6712673387082759</v>
      </c>
      <c r="AF24" s="382">
        <f t="array" ref="AF24">IF($G24=0, INDEX(LS_previous!$D$4:$AY$138, MATCH('Staging Table'!$A24, LS_previous!$B$4:$B$138, 0), MATCH(AF$4&amp;AF$5, LS_previous!$D$2:$AY$2&amp;LS_previous!$D$3:$AY$3, 0)),SUM(VLOOKUP($A24, LS_previous!$B$4:$AY$138, LS_previous!X$149, FALSE), VLOOKUP('Staging Table'!$A24, LS_previous!$B$4:$AY$138,LS_previous!AV$149, FALSE))/2)</f>
        <v>-251.2675342561115</v>
      </c>
      <c r="AG24" s="382">
        <f t="array" ref="AG24">IF($G24=0, INDEX(LS_previous!$D$4:$AY$138, MATCH('Staging Table'!$A24, LS_previous!$B$4:$B$138, 0), MATCH(AG$4&amp;AG$5, LS_previous!$D$2:$AY$2&amp;LS_previous!$D$3:$AY$3, 0)),SUM(VLOOKUP($A24, LS_previous!$B$4:$AY$138, LS_previous!Y$149, FALSE), VLOOKUP('Staging Table'!$A24, LS_previous!$B$4:$AY$138,LS_previous!AW$149, FALSE))/2)</f>
        <v>-65.547966031649366</v>
      </c>
      <c r="AH24" s="382">
        <f t="array" ref="AH24">IF($G24=0, INDEX(LS_previous!$D$4:$AY$138, MATCH('Staging Table'!$A24, LS_previous!$B$4:$B$138, 0), MATCH(AH$4&amp;AH$5, LS_previous!$D$2:$AY$2&amp;LS_previous!$D$3:$AY$3, 0)),SUM(VLOOKUP($A24, LS_previous!$B$4:$AY$138, LS_previous!Z$149, FALSE), VLOOKUP('Staging Table'!$A24, LS_previous!$B$4:$AY$138,LS_previous!AX$149, FALSE))/2)</f>
        <v>-105.38535501500633</v>
      </c>
      <c r="AI24" s="382">
        <f t="array" ref="AI24">IF($G24=0, INDEX(LS_previous!$D$4:$AY$138, MATCH('Staging Table'!$A24, LS_previous!$B$4:$B$138, 0), MATCH(AI$4&amp;AI$5, LS_previous!$D$2:$AY$2&amp;LS_previous!$D$3:$AY$3, 0)),SUM(VLOOKUP($A24, LS_previous!$B$4:$AY$138, LS_previous!AA$149, FALSE), VLOOKUP('Staging Table'!$A24, LS_previous!$B$4:$AY$138,LS_previous!AY$149, FALSE))/2)</f>
        <v>-68.597591724277095</v>
      </c>
      <c r="AJ24" s="384">
        <f t="array" ref="AJ24">INDEX(Demand_previous!$D$4:$AY$138, MATCH('Staging Table'!$A24, Demand_previous!$B$4:$B$138, 0), MATCH(AJ$4&amp;AJ$5,Demand_previous!$D$2:$AY$2&amp;Demand_previous!$D$3:$AY$3, 0))/1000</f>
        <v>0</v>
      </c>
      <c r="AK24" s="384">
        <f t="array" ref="AK24">INDEX(Demand_previous!$D$4:$AY$138, MATCH('Staging Table'!$A24, Demand_previous!$B$4:$B$138, 0), MATCH(AK$4&amp;AK$5,Demand_previous!$D$2:$AY$2&amp;Demand_previous!$D$3:$AY$3, 0))/1000</f>
        <v>0.15708854166666653</v>
      </c>
      <c r="AL24" s="384">
        <f t="array" ref="AL24">INDEX(Demand_previous!$D$4:$AY$138, MATCH('Staging Table'!$A24, Demand_previous!$B$4:$B$138, 0), MATCH(AL$4&amp;AL$5,Demand_previous!$D$2:$AY$2&amp;Demand_previous!$D$3:$AY$3, 0))/1000</f>
        <v>0.35409134615384674</v>
      </c>
      <c r="AM24" s="384">
        <f t="array" ref="AM24">INDEX(Demand_previous!$D$4:$AY$138, MATCH('Staging Table'!$A24, Demand_previous!$B$4:$B$138, 0), MATCH(AM$4&amp;AM$5,Demand_previous!$D$2:$AY$2&amp;Demand_previous!$D$3:$AY$3, 0))/1000</f>
        <v>0.3796199999999994</v>
      </c>
      <c r="AN24" s="384">
        <f t="array" ref="AN24">INDEX(Demand_previous!$D$4:$AY$138, MATCH('Staging Table'!$A24, Demand_previous!$B$4:$B$138, 0), MATCH(AN$4&amp;AN$5,Demand_previous!$D$2:$AY$2&amp;Demand_previous!$D$3:$AY$3, 0))/1000</f>
        <v>0.68320250000000005</v>
      </c>
      <c r="AO24" s="384">
        <f t="array" ref="AO24">INDEX(Demand_previous!$D$4:$AY$138, MATCH('Staging Table'!$A24, Demand_previous!$B$4:$B$138, 0), MATCH(AO$4&amp;AO$5,Demand_previous!$D$2:$AY$2&amp;Demand_previous!$D$3:$AY$3, 0))/1000</f>
        <v>0.50797453703703721</v>
      </c>
      <c r="AP24" s="384">
        <f t="array" ref="AP24">INDEX(Demand_previous!$D$4:$AY$138, MATCH('Staging Table'!$A24, Demand_previous!$B$4:$B$138, 0), MATCH(AP$4&amp;AP$5,Demand_previous!$D$2:$AY$2&amp;Demand_previous!$D$3:$AY$3, 0))/1000</f>
        <v>0.43614182692307679</v>
      </c>
      <c r="AQ24" s="384">
        <f t="array" ref="AQ24">INDEX(Demand_previous!$D$4:$AY$138, MATCH('Staging Table'!$A24, Demand_previous!$B$4:$B$138, 0), MATCH(AQ$4&amp;AQ$5,Demand_previous!$D$2:$AY$2&amp;Demand_previous!$D$3:$AY$3, 0))/1000</f>
        <v>0.13150000000000001</v>
      </c>
      <c r="AR24" s="384">
        <f t="array" ref="AR24">INDEX(Demand_previous!$D$4:$AY$138, MATCH('Staging Table'!$A24, Demand_previous!$B$4:$B$138, 0), MATCH(AR$4&amp;AR$5,Demand_previous!$D$2:$AY$2&amp;Demand_previous!$D$3:$AY$3, 0))/1000</f>
        <v>5.9391826923076763E-2</v>
      </c>
      <c r="AS24" s="384">
        <f t="array" ref="AS24">INDEX(Demand_previous!$D$4:$AY$138, MATCH('Staging Table'!$A24, Demand_previous!$B$4:$B$138, 0), MATCH(AS$4&amp;AS$5,Demand_previous!$D$2:$AY$2&amp;Demand_previous!$D$3:$AY$3, 0))/1000</f>
        <v>0.57334750000000034</v>
      </c>
      <c r="AT24" s="384">
        <f t="array" ref="AT24">INDEX(Demand_previous!$D$4:$AY$138, MATCH('Staging Table'!$A24, Demand_previous!$B$4:$B$138, 0), MATCH(AT$4&amp;AT$5,Demand_previous!$D$2:$AY$2&amp;Demand_previous!$D$3:$AY$3, 0))/1000</f>
        <v>0.46384722222222247</v>
      </c>
      <c r="AU24" s="384">
        <f t="array" ref="AU24">INDEX(Demand_previous!$D$4:$AY$138, MATCH('Staging Table'!$A24, Demand_previous!$B$4:$B$138, 0), MATCH(AU$4&amp;AU$5,Demand_previous!$D$2:$AY$2&amp;Demand_previous!$D$3:$AY$3, 0))/1000</f>
        <v>7.4492499999999795E-2</v>
      </c>
      <c r="AV24" s="384">
        <f>IF($D24=0,IF(C24=0, MAX(AY24 - (VLOOKUP($A24,TOCA_previous!$A$2:$AI$137,MATCH("RHWM 2016",TOCA_previous!$A$2:$AI$2,0),FALSE)*$F$2*TOCA_previous!C21),0),0), 0)</f>
        <v>0</v>
      </c>
      <c r="AW24" s="427">
        <f>VLOOKUP($A24,REP_previous!$A$1:$D$135,MATCH("FY "&amp;$F$1&amp; " Total Refund",REP_previous!$A$1:$D$1,0),0)</f>
        <v>14577.162220680091</v>
      </c>
      <c r="AX24" s="398">
        <f>MIN(VLOOKUP($A24,TOCA_previous!$A$2:$AI$137,MATCH("TRL - NLSL - Exisiting Resource "&amp;$F$1,TOCA_previous!$A$2:$AI$2,0),FALSE)*$F$2,(VLOOKUP($A24,TOCA_previous!$A$2:$AI$137,MATCH("RHWM 2016",TOCA_previous!$A$2:$AI$2,0),FALSE)*$F$2))</f>
        <v>22891.103999999999</v>
      </c>
      <c r="AY24" s="384">
        <f>SUM(L24:AI24)+(F24*RT1SC!$C$3*$F$2)</f>
        <v>22347.372053883217</v>
      </c>
      <c r="AZ24" s="398">
        <f>VLOOKUP($A24,TOCA_previous!$A$2:$AI$137,MATCH("Above RHWM Not Served with LS "&amp;$F$1,TOCA_previous!$A$2:$AI$2,0),FALSE)*$F$2</f>
        <v>0</v>
      </c>
      <c r="BA24" s="206">
        <f t="shared" si="3"/>
        <v>-543.73194611678264</v>
      </c>
      <c r="BB24" s="399">
        <f>(VLOOKUP($A24,TOCA_previous!$A$2:$AI$137,MATCH("RHWM 2016",TOCA_previous!$A$2:$AI$2,0),FALSE)*$F$2) - $AX24</f>
        <v>1203.4079999999994</v>
      </c>
      <c r="BC24" s="206">
        <f t="shared" si="4"/>
        <v>0</v>
      </c>
      <c r="BD24" s="400">
        <f t="shared" si="5"/>
        <v>543.73194611678264</v>
      </c>
      <c r="BE24" s="392">
        <f t="shared" si="6"/>
        <v>0</v>
      </c>
      <c r="BF24" s="399">
        <f t="shared" si="7"/>
        <v>543.73194611678264</v>
      </c>
      <c r="BG24" s="206">
        <f>VLOOKUP($A24,TOCA_current!$A$2:$AI$137,MATCH(BG$4,TOCA_current!$A$2:$AI$2,0),FALSE)</f>
        <v>3.7940000000000001E-4</v>
      </c>
      <c r="BH24" s="206">
        <f>VLOOKUP($A24,TOCA_current!$A$2:$AI$137,MATCH(BH$4,TOCA_current!$A$2:$AI$2,0),FALSE)</f>
        <v>3.7940000000000001E-4</v>
      </c>
      <c r="BI24" s="391">
        <f t="shared" si="8"/>
        <v>0</v>
      </c>
      <c r="BJ24" s="206">
        <f>VLOOKUP($A24,TOCA_current!A20:BG155,MATCH(BJ$4,TOCA_current!$A$2:$BG$2,0),FALSE)</f>
        <v>0</v>
      </c>
      <c r="BK24" s="206">
        <f t="shared" si="9"/>
        <v>0</v>
      </c>
      <c r="BL24" s="206">
        <f t="shared" si="10"/>
        <v>0</v>
      </c>
      <c r="BM24" s="381">
        <f>VLOOKUP($A24,IRD!$A$4:$G$139, 7, FALSE)</f>
        <v>0</v>
      </c>
      <c r="BN24" s="382">
        <f t="array" ref="BN24">IF($BI24=0, INDEX(LS_current!$D$4:$AY$139, MATCH('Staging Table'!$A24, LS_current!$B$4:$B$139, 0), MATCH(BN$4&amp;BN$5, LS_current!$D$2:$AY$2&amp;LS_current!$D$3:$AY$3, 0)),SUM(VLOOKUP($A24, LS_current!$B$4:$AY$139, LS_current!D$149, FALSE), VLOOKUP($A24, LS_current!$B$4:$AY$139,LS_current!D$149, FALSE))/2)</f>
        <v>-115.90896586298209</v>
      </c>
      <c r="BO24" s="382">
        <f t="array" ref="BO24">IF($BI24=0, INDEX(LS_current!$D$4:$AY$139, MATCH('Staging Table'!$A24, LS_current!$B$4:$B$139, 0), MATCH(BO$4&amp;BO$5, LS_current!$D$2:$AY$2&amp;LS_current!$D$3:$AY$3, 0)),SUM(VLOOKUP($A24, LS_current!$B$4:$AY$139, LS_current!E$149, FALSE), VLOOKUP($A24, LS_current!$B$4:$AY$139,LS_current!E$149, FALSE))/2)</f>
        <v>22.099918812405804</v>
      </c>
      <c r="BP24" s="382">
        <f t="array" ref="BP24">IF($BI24=0, INDEX(LS_current!$D$4:$AY$139, MATCH('Staging Table'!$A24, LS_current!$B$4:$B$139, 0), MATCH(BP$4&amp;BP$5, LS_current!$D$2:$AY$2&amp;LS_current!$D$3:$AY$3, 0)),SUM(VLOOKUP($A24, LS_current!$B$4:$AY$139, LS_current!F$149, FALSE), VLOOKUP($A24, LS_current!$B$4:$AY$139,LS_current!F$149, FALSE))/2)</f>
        <v>-107.85512540939226</v>
      </c>
      <c r="BQ24" s="382">
        <f t="array" ref="BQ24">IF($BI24=0, INDEX(LS_current!$D$4:$AY$139, MATCH('Staging Table'!$A24, LS_current!$B$4:$B$139, 0), MATCH(BQ$4&amp;BQ$5, LS_current!$D$2:$AY$2&amp;LS_current!$D$3:$AY$3, 0)),SUM(VLOOKUP($A24, LS_current!$B$4:$AY$139, LS_current!G$149, FALSE), VLOOKUP($A24, LS_current!$B$4:$AY$139,LS_current!G$149, FALSE))/2)</f>
        <v>57.193254243797242</v>
      </c>
      <c r="BR24" s="382">
        <f t="array" ref="BR24">IF($BI24=0, INDEX(LS_current!$D$4:$AY$139, MATCH('Staging Table'!$A24, LS_current!$B$4:$B$139, 0), MATCH(BR$4&amp;BR$5, LS_current!$D$2:$AY$2&amp;LS_current!$D$3:$AY$3, 0)),SUM(VLOOKUP($A24, LS_current!$B$4:$AY$139, LS_current!H$149, FALSE), VLOOKUP($A24, LS_current!$B$4:$AY$139,LS_current!H$149, FALSE))/2)</f>
        <v>188.46153902573019</v>
      </c>
      <c r="BS24" s="382">
        <f t="array" ref="BS24">IF($BI24=0, INDEX(LS_current!$D$4:$AY$139, MATCH('Staging Table'!$A24, LS_current!$B$4:$B$139, 0), MATCH(BS$4&amp;BS$5, LS_current!$D$2:$AY$2&amp;LS_current!$D$3:$AY$3, 0)),SUM(VLOOKUP($A24, LS_current!$B$4:$AY$139, LS_current!I$149, FALSE), VLOOKUP($A24, LS_current!$B$4:$AY$139,LS_current!I$149, FALSE))/2)</f>
        <v>227.08863696987157</v>
      </c>
      <c r="BT24" s="382">
        <f t="array" ref="BT24">IF($BI24=0, INDEX(LS_current!$D$4:$AY$139, MATCH('Staging Table'!$A24, LS_current!$B$4:$B$139, 0), MATCH(BT$4&amp;BT$5, LS_current!$D$2:$AY$2&amp;LS_current!$D$3:$AY$3, 0)),SUM(VLOOKUP($A24, LS_current!$B$4:$AY$139, LS_current!J$149, FALSE), VLOOKUP($A24, LS_current!$B$4:$AY$139,LS_current!J$149, FALSE))/2)</f>
        <v>313.50272715286883</v>
      </c>
      <c r="BU24" s="382">
        <f t="array" ref="BU24">IF($BI24=0, INDEX(LS_current!$D$4:$AY$139, MATCH('Staging Table'!$A24, LS_current!$B$4:$B$139, 0), MATCH(BU$4&amp;BU$5, LS_current!$D$2:$AY$2&amp;LS_current!$D$3:$AY$3, 0)),SUM(VLOOKUP($A24, LS_current!$B$4:$AY$139, LS_current!K$149, FALSE), VLOOKUP($A24, LS_current!$B$4:$AY$139,LS_current!K$149, FALSE))/2)</f>
        <v>290.80410069542722</v>
      </c>
      <c r="BV24" s="382">
        <f t="array" ref="BV24">IF($BI24=0, INDEX(LS_current!$D$4:$AY$139, MATCH('Staging Table'!$A24, LS_current!$B$4:$B$139, 0), MATCH(BV$4&amp;BV$5, LS_current!$D$2:$AY$2&amp;LS_current!$D$3:$AY$3, 0)),SUM(VLOOKUP($A24, LS_current!$B$4:$AY$139, LS_current!L$149, FALSE), VLOOKUP($A24, LS_current!$B$4:$AY$139,LS_current!L$149, FALSE))/2)</f>
        <v>287.59627148293771</v>
      </c>
      <c r="BW24" s="382">
        <f t="array" ref="BW24">IF($BI24=0, INDEX(LS_current!$D$4:$AY$139, MATCH('Staging Table'!$A24, LS_current!$B$4:$B$139, 0), MATCH(BW$4&amp;BW$5, LS_current!$D$2:$AY$2&amp;LS_current!$D$3:$AY$3, 0)),SUM(VLOOKUP($A24, LS_current!$B$4:$AY$139, LS_current!M$149, FALSE), VLOOKUP($A24, LS_current!$B$4:$AY$139,LS_current!M$149, FALSE))/2)</f>
        <v>214.591192017455</v>
      </c>
      <c r="BX24" s="382">
        <f t="array" ref="BX24">IF($BI24=0, INDEX(LS_current!$D$4:$AY$139, MATCH('Staging Table'!$A24, LS_current!$B$4:$B$139, 0), MATCH(BX$4&amp;BX$5, LS_current!$D$2:$AY$2&amp;LS_current!$D$3:$AY$3, 0)),SUM(VLOOKUP($A24, LS_current!$B$4:$AY$139, LS_current!N$149, FALSE), VLOOKUP($A24, LS_current!$B$4:$AY$139,LS_current!N$149, FALSE))/2)</f>
        <v>79.504172172142944</v>
      </c>
      <c r="BY24" s="382">
        <f t="array" ref="BY24">IF($BI24=0, INDEX(LS_current!$D$4:$AY$139, MATCH('Staging Table'!$A24, LS_current!$B$4:$B$139, 0), MATCH(BY$4&amp;BY$5, LS_current!$D$2:$AY$2&amp;LS_current!$D$3:$AY$3, 0)),SUM(VLOOKUP($A24, LS_current!$B$4:$AY$139, LS_current!O$149, FALSE), VLOOKUP($A24, LS_current!$B$4:$AY$139,LS_current!O$149, FALSE))/2)</f>
        <v>89.846019912125485</v>
      </c>
      <c r="BZ24" s="382">
        <f t="array" ref="BZ24">IF($BI24=0, INDEX(LS_current!$D$4:$AY$139, MATCH('Staging Table'!$A24, LS_current!$B$4:$B$139, 0), MATCH(BZ$4&amp;BZ$5, LS_current!$D$2:$AY$2&amp;LS_current!$D$3:$AY$3, 0)),SUM(VLOOKUP($A24, LS_current!$B$4:$AY$139, LS_current!P$149, FALSE), VLOOKUP($A24, LS_current!$B$4:$AY$139,LS_current!P$149, FALSE))/2)</f>
        <v>-81.882678416579665</v>
      </c>
      <c r="CA24" s="382">
        <f t="array" ref="CA24">IF($BI24=0, INDEX(LS_current!$D$4:$AY$139, MATCH('Staging Table'!$A24, LS_current!$B$4:$B$139, 0), MATCH(CA$4&amp;CA$5, LS_current!$D$2:$AY$2&amp;LS_current!$D$3:$AY$3, 0)),SUM(VLOOKUP($A24, LS_current!$B$4:$AY$139, LS_current!Q$149, FALSE), VLOOKUP($A24, LS_current!$B$4:$AY$139,LS_current!Q$149, FALSE))/2)</f>
        <v>8.8271041666342853</v>
      </c>
      <c r="CB24" s="382">
        <f t="array" ref="CB24">IF($BI24=0, INDEX(LS_current!$D$4:$AY$139, MATCH('Staging Table'!$A24, LS_current!$B$4:$B$139, 0), MATCH(CB$4&amp;CB$5, LS_current!$D$2:$AY$2&amp;LS_current!$D$3:$AY$3, 0)),SUM(VLOOKUP($A24, LS_current!$B$4:$AY$139, LS_current!R$149, FALSE), VLOOKUP($A24, LS_current!$B$4:$AY$139,LS_current!R$149, FALSE))/2)</f>
        <v>-683.97569045313492</v>
      </c>
      <c r="CC24" s="382">
        <f t="array" ref="CC24">IF($BI24=0, INDEX(LS_current!$D$4:$AY$139, MATCH('Staging Table'!$A24, LS_current!$B$4:$B$139, 0), MATCH(CC$4&amp;CC$5, LS_current!$D$2:$AY$2&amp;LS_current!$D$3:$AY$3, 0)),SUM(VLOOKUP($A24, LS_current!$B$4:$AY$139, LS_current!S$149, FALSE), VLOOKUP($A24, LS_current!$B$4:$AY$139,LS_current!S$149, FALSE))/2)</f>
        <v>-324.03857020036799</v>
      </c>
      <c r="CD24" s="382">
        <f t="array" ref="CD24">IF($BI24=0, INDEX(LS_current!$D$4:$AY$139, MATCH('Staging Table'!$A24, LS_current!$B$4:$B$139, 0), MATCH(CD$4&amp;CD$5, LS_current!$D$2:$AY$2&amp;LS_current!$D$3:$AY$3, 0)),SUM(VLOOKUP($A24, LS_current!$B$4:$AY$139, LS_current!T$149, FALSE), VLOOKUP($A24, LS_current!$B$4:$AY$139,LS_current!T$149, FALSE))/2)</f>
        <v>-360.17239455849017</v>
      </c>
      <c r="CE24" s="382">
        <f t="array" ref="CE24">IF($BI24=0, INDEX(LS_current!$D$4:$AY$139, MATCH('Staging Table'!$A24, LS_current!$B$4:$B$139, 0), MATCH(CE$4&amp;CE$5, LS_current!$D$2:$AY$2&amp;LS_current!$D$3:$AY$3, 0)),SUM(VLOOKUP($A24, LS_current!$B$4:$AY$139, LS_current!U$149, FALSE), VLOOKUP($A24, LS_current!$B$4:$AY$139,LS_current!U$149, FALSE))/2)</f>
        <v>-147.38949950912536</v>
      </c>
      <c r="CF24" s="382">
        <f t="array" ref="CF24">IF($BI24=0, INDEX(LS_current!$D$4:$AY$139, MATCH('Staging Table'!$A24, LS_current!$B$4:$B$139, 0), MATCH(CF$4&amp;CF$5, LS_current!$D$2:$AY$2&amp;LS_current!$D$3:$AY$3, 0)),SUM(VLOOKUP($A24, LS_current!$B$4:$AY$139, LS_current!V$149, FALSE), VLOOKUP($A24, LS_current!$B$4:$AY$139,LS_current!V$149, FALSE))/2)</f>
        <v>-108.53054390023954</v>
      </c>
      <c r="CG24" s="382">
        <f t="array" ref="CG24">IF($BI24=0, INDEX(LS_current!$D$4:$AY$139, MATCH('Staging Table'!$A24, LS_current!$B$4:$B$139, 0), MATCH(CG$4&amp;CG$5, LS_current!$D$2:$AY$2&amp;LS_current!$D$3:$AY$3, 0)),SUM(VLOOKUP($A24, LS_current!$B$4:$AY$139, LS_current!W$149, FALSE), VLOOKUP($A24, LS_current!$B$4:$AY$139,LS_current!W$149, FALSE))/2)</f>
        <v>42.301433166258676</v>
      </c>
      <c r="CH24" s="382">
        <f t="array" ref="CH24">IF($BI24=0, INDEX(LS_current!$D$4:$AY$139, MATCH('Staging Table'!$A24, LS_current!$B$4:$B$139, 0), MATCH(CH$4&amp;CH$5, LS_current!$D$2:$AY$2&amp;LS_current!$D$3:$AY$3, 0)),SUM(VLOOKUP($A24, LS_current!$B$4:$AY$139, LS_current!X$149, FALSE), VLOOKUP($A24, LS_current!$B$4:$AY$139,LS_current!X$149, FALSE))/2)</f>
        <v>-266.0695314988136</v>
      </c>
      <c r="CI24" s="382">
        <f t="array" ref="CI24">IF($BI24=0, INDEX(LS_current!$D$4:$AY$139, MATCH('Staging Table'!$A24, LS_current!$B$4:$B$139, 0), MATCH(CI$4&amp;CI$5, LS_current!$D$2:$AY$2&amp;LS_current!$D$3:$AY$3, 0)),SUM(VLOOKUP($A24, LS_current!$B$4:$AY$139, LS_current!Y$149, FALSE), VLOOKUP($A24, LS_current!$B$4:$AY$139,LS_current!Y$149, FALSE))/2)</f>
        <v>-55.339945943952785</v>
      </c>
      <c r="CJ24" s="382">
        <f t="array" ref="CJ24">IF($BI24=0, INDEX(LS_current!$D$4:$AY$139, MATCH('Staging Table'!$A24, LS_current!$B$4:$B$139, 0), MATCH(CJ$4&amp;CJ$5, LS_current!$D$2:$AY$2&amp;LS_current!$D$3:$AY$3, 0)),SUM(VLOOKUP($A24, LS_current!$B$4:$AY$139, LS_current!Z$149, FALSE), VLOOKUP($A24, LS_current!$B$4:$AY$139,LS_current!Z$149, FALSE))/2)</f>
        <v>-227.60467977352528</v>
      </c>
      <c r="CK24" s="382">
        <f t="array" ref="CK24">IF($BI24=0, INDEX(LS_current!$D$4:$AY$139, MATCH('Staging Table'!$A24, LS_current!$B$4:$B$139, 0), MATCH(CK$4&amp;CK$5, LS_current!$D$2:$AY$2&amp;LS_current!$D$3:$AY$3, 0)),SUM(VLOOKUP($A24, LS_current!$B$4:$AY$139, LS_current!AA$149, FALSE), VLOOKUP($A24, LS_current!$B$4:$AY$139,LS_current!AA$149, FALSE))/2)</f>
        <v>-77.177661775925003</v>
      </c>
      <c r="CL24" s="384">
        <f t="array" ref="CL24">INDEX(Demand_current!$D$4:$AY$138, MATCH($A24, Demand_current!$B$4:$B$138, 0), MATCH(CL$4&amp;CL$5,Demand_current!$D$2:$AY$2&amp;Demand_current!$D$3:$AY$3, 0))/1000</f>
        <v>0</v>
      </c>
      <c r="CM24" s="384">
        <f t="array" ref="CM24">INDEX(Demand_current!$D$4:$AY$138, MATCH($A24, Demand_current!$B$4:$B$138, 0), MATCH(CM$4&amp;CM$5,Demand_current!$D$2:$AY$2&amp;Demand_current!$D$3:$AY$3, 0))/1000</f>
        <v>0.29016499999999956</v>
      </c>
      <c r="CN24" s="384">
        <f t="array" ref="CN24">INDEX(Demand_current!$D$4:$AY$138, MATCH($A24, Demand_current!$B$4:$B$138, 0), MATCH(CN$4&amp;CN$5,Demand_current!$D$2:$AY$2&amp;Demand_current!$D$3:$AY$3, 0))/1000</f>
        <v>0.20585500000000045</v>
      </c>
      <c r="CO24" s="384">
        <f t="array" ref="CO24">INDEX(Demand_current!$D$4:$AY$138, MATCH($A24, Demand_current!$B$4:$B$138, 0), MATCH(CO$4&amp;CO$5,Demand_current!$D$2:$AY$2&amp;Demand_current!$D$3:$AY$3, 0))/1000</f>
        <v>0.52001923076923018</v>
      </c>
      <c r="CP24" s="384">
        <f t="array" ref="CP24">INDEX(Demand_current!$D$4:$AY$138, MATCH($A24, Demand_current!$B$4:$B$138, 0), MATCH(CP$4&amp;CP$5,Demand_current!$D$2:$AY$2&amp;Demand_current!$D$3:$AY$3, 0))/1000</f>
        <v>0.55312760416666684</v>
      </c>
      <c r="CQ24" s="384">
        <f t="array" ref="CQ24">INDEX(Demand_current!$D$4:$AY$138, MATCH($A24, Demand_current!$B$4:$B$138, 0), MATCH(CQ$4&amp;CQ$5,Demand_current!$D$2:$AY$2&amp;Demand_current!$D$3:$AY$3, 0))/1000</f>
        <v>0.50797453703703721</v>
      </c>
      <c r="CR24" s="384">
        <f t="array" ref="CR24">INDEX(Demand_current!$D$4:$AY$138, MATCH($A24, Demand_current!$B$4:$B$138, 0), MATCH(CR$4&amp;CR$5,Demand_current!$D$2:$AY$2&amp;Demand_current!$D$3:$AY$3, 0))/1000</f>
        <v>0.33694749999999951</v>
      </c>
      <c r="CS24" s="384">
        <f t="array" ref="CS24">INDEX(Demand_current!$D$4:$AY$138, MATCH($A24, Demand_current!$B$4:$B$138, 0), MATCH(CS$4&amp;CS$5,Demand_current!$D$2:$AY$2&amp;Demand_current!$D$3:$AY$3, 0))/1000</f>
        <v>0.22144230769230738</v>
      </c>
      <c r="CT24" s="384">
        <f t="array" ref="CT24">INDEX(Demand_current!$D$4:$AY$138, MATCH($A24, Demand_current!$B$4:$B$138, 0), MATCH(CT$4&amp;CT$5,Demand_current!$D$2:$AY$2&amp;Demand_current!$D$3:$AY$3, 0))/1000</f>
        <v>5.9391826923076763E-2</v>
      </c>
      <c r="CU24" s="384">
        <f t="array" ref="CU24">INDEX(Demand_current!$D$4:$AY$138, MATCH($A24, Demand_current!$B$4:$B$138, 0), MATCH(CU$4&amp;CU$5,Demand_current!$D$2:$AY$2&amp;Demand_current!$D$3:$AY$3, 0))/1000</f>
        <v>0.57334750000000034</v>
      </c>
      <c r="CV24" s="384">
        <f t="array" ref="CV24">INDEX(Demand_current!$D$4:$AY$138, MATCH($A24, Demand_current!$B$4:$B$138, 0), MATCH(CV$4&amp;CV$5,Demand_current!$D$2:$AY$2&amp;Demand_current!$D$3:$AY$3, 0))/1000</f>
        <v>0.46384722222222247</v>
      </c>
      <c r="CW24" s="384">
        <f t="array" ref="CW24">INDEX(Demand_current!$D$4:$AY$138, MATCH($A24, Demand_current!$B$4:$B$138, 0), MATCH(CW$4&amp;CW$5,Demand_current!$D$2:$AY$2&amp;Demand_current!$D$3:$AY$3, 0))/1000</f>
        <v>0</v>
      </c>
      <c r="CX24" s="384">
        <f>IF(D24=0,IF(C24=0,MAX(0,DA24 - (VLOOKUP($A24,TOCA_current!$A$2:$AI$137,MATCH("RHWM 2018",TOCA_current!$A$2:$AI$2,0),FALSE)*$BH$2)), 0),0)</f>
        <v>0</v>
      </c>
      <c r="CY24" s="427">
        <f>VLOOKUP($A24,REP_current!$A$1:$D$135,MATCH("FY "&amp;$BH$1&amp; " Total Refund",REP_current!$A$1:$D$1,0),0)</f>
        <v>15049.786833285856</v>
      </c>
      <c r="CZ24" s="432">
        <f>MIN(VLOOKUP($A24,TOCA_current!$A$2:$AI$137,MATCH("TRL - NLSL - Existing Resource "&amp;$BH$1,TOCA_current!$A$2:$AI$2,0),FALSE)*$BH$2, VLOOKUP($A24,TOCA_current!$A$2:$AI$137,MATCH("RHWM 2018",TOCA_current!$A$2:$AI$2,0),FALSE)*$BH$2)</f>
        <v>23082.6</v>
      </c>
      <c r="DA24" s="397">
        <f>SUM(BN24:CK24)+(BH24*RT1SC!$C$4*$BH$2)</f>
        <v>22347.372336739121</v>
      </c>
      <c r="DB24" s="432">
        <f>VLOOKUP($A24,TOCA_current!$A$2:$AI$137,MATCH("Above RHWM Not Served with LS "&amp;$BH$1,TOCA_current!$A$2:$AI$2,0),FALSE)*$BH$2</f>
        <v>0</v>
      </c>
      <c r="DC24" s="401">
        <f t="shared" si="11"/>
        <v>-735.22766326087731</v>
      </c>
      <c r="DD24" s="397">
        <f>(VLOOKUP($A24,TOCA_current!$A$2:$AI$137,MATCH("RHWM 2018",TOCA_current!$A$2:$AI$2,0),FALSE)*$BH$2) - $CZ24</f>
        <v>788.40000000000146</v>
      </c>
      <c r="DE24" s="397">
        <f t="shared" si="12"/>
        <v>0</v>
      </c>
      <c r="DF24" s="397">
        <f t="shared" si="13"/>
        <v>735.22766326087731</v>
      </c>
      <c r="DG24" s="397">
        <f t="shared" si="14"/>
        <v>0</v>
      </c>
      <c r="DH24" s="397">
        <f t="shared" si="15"/>
        <v>735.22766326087731</v>
      </c>
    </row>
    <row r="25" spans="1:112">
      <c r="A25" s="274">
        <v>10070</v>
      </c>
      <c r="B25" s="275" t="s">
        <v>26</v>
      </c>
      <c r="C25" s="397">
        <v>0</v>
      </c>
      <c r="D25" s="397">
        <v>0</v>
      </c>
      <c r="E25" s="205">
        <f>VLOOKUP($A25,TOCA_previous!$A$2:$AI$137,MATCH(E$4,TOCA_previous!$A$2:$AI$2,0),FALSE)</f>
        <v>5.0800000000000002E-5</v>
      </c>
      <c r="F25" s="206">
        <f>VLOOKUP($A25,TOCA_previous!$A$2:$AI$137,MATCH(F$4,TOCA_previous!$A$2:$AI$2,0),FALSE)</f>
        <v>5.0800000000000002E-5</v>
      </c>
      <c r="G25" s="206">
        <f t="shared" si="0"/>
        <v>0</v>
      </c>
      <c r="H25" s="206">
        <f>VLOOKUP($A25,TOCA_previous!$A$2:$AI$137,MATCH(H$4,TOCA_previous!$A$2:$AI$2,0),FALSE)</f>
        <v>0</v>
      </c>
      <c r="I25" s="206">
        <f t="shared" si="1"/>
        <v>0</v>
      </c>
      <c r="J25" s="206">
        <f t="shared" si="2"/>
        <v>0</v>
      </c>
      <c r="K25" s="381">
        <f>VLOOKUP(A25, IRD!$A$5:$C$139, 3, FALSE)</f>
        <v>0</v>
      </c>
      <c r="L25" s="382">
        <f t="array" ref="L25">IF($G25=0, INDEX(LS_previous!$D$4:$AY$138, MATCH('Staging Table'!$A25, LS_previous!$B$4:$B$138, 0), MATCH(L$4&amp;L$5, LS_previous!$D$2:$AY$2&amp;LS_previous!$D$3:$AY$3, 0)),SUM(VLOOKUP($A25, LS_previous!$B$4:$AY$138, LS_previous!D$149, FALSE), VLOOKUP('Staging Table'!$A25, LS_previous!$B$4:$AY$138,LS_previous!AB$149, FALSE))/2)</f>
        <v>-5.2905550003929136</v>
      </c>
      <c r="M25" s="382">
        <f t="array" ref="M25">IF($G25=0, INDEX(LS_previous!$D$4:$AY$138, MATCH('Staging Table'!$A25, LS_previous!$B$4:$B$138, 0), MATCH(M$4&amp;M$5, LS_previous!$D$2:$AY$2&amp;LS_previous!$D$3:$AY$3, 0)),SUM(VLOOKUP($A25, LS_previous!$B$4:$AY$138, LS_previous!E$149, FALSE), VLOOKUP('Staging Table'!$A25, LS_previous!$B$4:$AY$138,LS_previous!AC$149, FALSE))/2)</f>
        <v>4.2768752562706283</v>
      </c>
      <c r="N25" s="382">
        <f t="array" ref="N25">IF($G25=0, INDEX(LS_previous!$D$4:$AY$138, MATCH('Staging Table'!$A25, LS_previous!$B$4:$B$138, 0), MATCH(N$4&amp;N$5, LS_previous!$D$2:$AY$2&amp;LS_previous!$D$3:$AY$3, 0)),SUM(VLOOKUP($A25, LS_previous!$B$4:$AY$138, LS_previous!F$149, FALSE), VLOOKUP('Staging Table'!$A25, LS_previous!$B$4:$AY$138,LS_previous!AD$149, FALSE))/2)</f>
        <v>-5.7094357637121789</v>
      </c>
      <c r="O25" s="382">
        <f t="array" ref="O25">IF($G25=0, INDEX(LS_previous!$D$4:$AY$138, MATCH('Staging Table'!$A25, LS_previous!$B$4:$B$138, 0), MATCH(O$4&amp;O$5, LS_previous!$D$2:$AY$2&amp;LS_previous!$D$3:$AY$3, 0)),SUM(VLOOKUP($A25, LS_previous!$B$4:$AY$138, LS_previous!G$149, FALSE), VLOOKUP('Staging Table'!$A25, LS_previous!$B$4:$AY$138,LS_previous!AE$149, FALSE))/2)</f>
        <v>9.403392174779114</v>
      </c>
      <c r="P25" s="382">
        <f t="array" ref="P25">IF($G25=0, INDEX(LS_previous!$D$4:$AY$138, MATCH('Staging Table'!$A25, LS_previous!$B$4:$B$138, 0), MATCH(P$4&amp;P$5, LS_previous!$D$2:$AY$2&amp;LS_previous!$D$3:$AY$3, 0)),SUM(VLOOKUP($A25, LS_previous!$B$4:$AY$138, LS_previous!H$149, FALSE), VLOOKUP('Staging Table'!$A25, LS_previous!$B$4:$AY$138,LS_previous!AF$149, FALSE))/2)</f>
        <v>32.320833649240797</v>
      </c>
      <c r="Q25" s="382">
        <f t="array" ref="Q25">IF($G25=0, INDEX(LS_previous!$D$4:$AY$138, MATCH('Staging Table'!$A25, LS_previous!$B$4:$B$138, 0), MATCH(Q$4&amp;Q$5, LS_previous!$D$2:$AY$2&amp;LS_previous!$D$3:$AY$3, 0)),SUM(VLOOKUP($A25, LS_previous!$B$4:$AY$138, LS_previous!I$149, FALSE), VLOOKUP('Staging Table'!$A25, LS_previous!$B$4:$AY$138,LS_previous!AG$149, FALSE))/2)</f>
        <v>50.16174065238836</v>
      </c>
      <c r="R25" s="382">
        <f t="array" ref="R25">IF($G25=0, INDEX(LS_previous!$D$4:$AY$138, MATCH('Staging Table'!$A25, LS_previous!$B$4:$B$138, 0), MATCH(R$4&amp;R$5, LS_previous!$D$2:$AY$2&amp;LS_previous!$D$3:$AY$3, 0)),SUM(VLOOKUP($A25, LS_previous!$B$4:$AY$138, LS_previous!J$149, FALSE), VLOOKUP('Staging Table'!$A25, LS_previous!$B$4:$AY$138,LS_previous!AH$149, FALSE))/2)</f>
        <v>68.721689370519726</v>
      </c>
      <c r="S25" s="382">
        <f t="array" ref="S25">IF($G25=0, INDEX(LS_previous!$D$4:$AY$138, MATCH('Staging Table'!$A25, LS_previous!$B$4:$B$138, 0), MATCH(S$4&amp;S$5, LS_previous!$D$2:$AY$2&amp;LS_previous!$D$3:$AY$3, 0)),SUM(VLOOKUP($A25, LS_previous!$B$4:$AY$138, LS_previous!K$149, FALSE), VLOOKUP('Staging Table'!$A25, LS_previous!$B$4:$AY$138,LS_previous!AI$149, FALSE))/2)</f>
        <v>56.485305698609324</v>
      </c>
      <c r="T25" s="382">
        <f t="array" ref="T25">IF($G25=0, INDEX(LS_previous!$D$4:$AY$138, MATCH('Staging Table'!$A25, LS_previous!$B$4:$B$138, 0), MATCH(T$4&amp;T$5, LS_previous!$D$2:$AY$2&amp;LS_previous!$D$3:$AY$3, 0)),SUM(VLOOKUP($A25, LS_previous!$B$4:$AY$138, LS_previous!L$149, FALSE), VLOOKUP('Staging Table'!$A25, LS_previous!$B$4:$AY$138,LS_previous!AJ$149, FALSE))/2)</f>
        <v>45.402695439818046</v>
      </c>
      <c r="U25" s="382">
        <f t="array" ref="U25">IF($G25=0, INDEX(LS_previous!$D$4:$AY$138, MATCH('Staging Table'!$A25, LS_previous!$B$4:$B$138, 0), MATCH(U$4&amp;U$5, LS_previous!$D$2:$AY$2&amp;LS_previous!$D$3:$AY$3, 0)),SUM(VLOOKUP($A25, LS_previous!$B$4:$AY$138, LS_previous!M$149, FALSE), VLOOKUP('Staging Table'!$A25, LS_previous!$B$4:$AY$138,LS_previous!AK$149, FALSE))/2)</f>
        <v>37.180094668367218</v>
      </c>
      <c r="V25" s="382">
        <f t="array" ref="V25">IF($G25=0, INDEX(LS_previous!$D$4:$AY$138, MATCH('Staging Table'!$A25, LS_previous!$B$4:$B$138, 0), MATCH(V$4&amp;V$5, LS_previous!$D$2:$AY$2&amp;LS_previous!$D$3:$AY$3, 0)),SUM(VLOOKUP($A25, LS_previous!$B$4:$AY$138, LS_previous!N$149, FALSE), VLOOKUP('Staging Table'!$A25, LS_previous!$B$4:$AY$138,LS_previous!AL$149, FALSE))/2)</f>
        <v>10.857812464469873</v>
      </c>
      <c r="W25" s="382">
        <f t="array" ref="W25">IF($G25=0, INDEX(LS_previous!$D$4:$AY$138, MATCH('Staging Table'!$A25, LS_previous!$B$4:$B$138, 0), MATCH(W$4&amp;W$5, LS_previous!$D$2:$AY$2&amp;LS_previous!$D$3:$AY$3, 0)),SUM(VLOOKUP($A25, LS_previous!$B$4:$AY$138, LS_previous!O$149, FALSE), VLOOKUP('Staging Table'!$A25, LS_previous!$B$4:$AY$138,LS_previous!AM$149, FALSE))/2)</f>
        <v>9.1261509027850138</v>
      </c>
      <c r="X25" s="382">
        <f t="array" ref="X25">IF($G25=0, INDEX(LS_previous!$D$4:$AY$138, MATCH('Staging Table'!$A25, LS_previous!$B$4:$B$138, 0), MATCH(X$4&amp;X$5, LS_previous!$D$2:$AY$2&amp;LS_previous!$D$3:$AY$3, 0)),SUM(VLOOKUP($A25, LS_previous!$B$4:$AY$138, LS_previous!P$149, FALSE), VLOOKUP('Staging Table'!$A25, LS_previous!$B$4:$AY$138,LS_previous!AN$149, FALSE))/2)</f>
        <v>19.962983460867719</v>
      </c>
      <c r="Y25" s="382">
        <f t="array" ref="Y25">IF($G25=0, INDEX(LS_previous!$D$4:$AY$138, MATCH('Staging Table'!$A25, LS_previous!$B$4:$B$138, 0), MATCH(Y$4&amp;Y$5, LS_previous!$D$2:$AY$2&amp;LS_previous!$D$3:$AY$3, 0)),SUM(VLOOKUP($A25, LS_previous!$B$4:$AY$138, LS_previous!Q$149, FALSE), VLOOKUP('Staging Table'!$A25, LS_previous!$B$4:$AY$138,LS_previous!AO$149, FALSE))/2)</f>
        <v>21.623630475473874</v>
      </c>
      <c r="Z25" s="382">
        <f t="array" ref="Z25">IF($G25=0, INDEX(LS_previous!$D$4:$AY$138, MATCH('Staging Table'!$A25, LS_previous!$B$4:$B$138, 0), MATCH(Z$4&amp;Z$5, LS_previous!$D$2:$AY$2&amp;LS_previous!$D$3:$AY$3, 0)),SUM(VLOOKUP($A25, LS_previous!$B$4:$AY$138, LS_previous!R$149, FALSE), VLOOKUP('Staging Table'!$A25, LS_previous!$B$4:$AY$138,LS_previous!AP$149, FALSE))/2)</f>
        <v>-66.685070987830557</v>
      </c>
      <c r="AA25" s="382">
        <f t="array" ref="AA25">IF($G25=0, INDEX(LS_previous!$D$4:$AY$138, MATCH('Staging Table'!$A25, LS_previous!$B$4:$B$138, 0), MATCH(AA$4&amp;AA$5, LS_previous!$D$2:$AY$2&amp;LS_previous!$D$3:$AY$3, 0)),SUM(VLOOKUP($A25, LS_previous!$B$4:$AY$138, LS_previous!S$149, FALSE), VLOOKUP('Staging Table'!$A25, LS_previous!$B$4:$AY$138,LS_previous!AQ$149, FALSE))/2)</f>
        <v>-23.413374894955538</v>
      </c>
      <c r="AB25" s="382">
        <f t="array" ref="AB25">IF($G25=0, INDEX(LS_previous!$D$4:$AY$138, MATCH('Staging Table'!$A25, LS_previous!$B$4:$B$138, 0), MATCH(AB$4&amp;AB$5, LS_previous!$D$2:$AY$2&amp;LS_previous!$D$3:$AY$3, 0)),SUM(VLOOKUP($A25, LS_previous!$B$4:$AY$138, LS_previous!T$149, FALSE), VLOOKUP('Staging Table'!$A25, LS_previous!$B$4:$AY$138,LS_previous!AR$149, FALSE))/2)</f>
        <v>-31.081183719298394</v>
      </c>
      <c r="AC25" s="382">
        <f t="array" ref="AC25">IF($G25=0, INDEX(LS_previous!$D$4:$AY$138, MATCH('Staging Table'!$A25, LS_previous!$B$4:$B$138, 0), MATCH(AC$4&amp;AC$5, LS_previous!$D$2:$AY$2&amp;LS_previous!$D$3:$AY$3, 0)),SUM(VLOOKUP($A25, LS_previous!$B$4:$AY$138, LS_previous!U$149, FALSE), VLOOKUP('Staging Table'!$A25, LS_previous!$B$4:$AY$138,LS_previous!AS$149, FALSE))/2)</f>
        <v>-10.46472357436113</v>
      </c>
      <c r="AD25" s="382">
        <f t="array" ref="AD25">IF($G25=0, INDEX(LS_previous!$D$4:$AY$138, MATCH('Staging Table'!$A25, LS_previous!$B$4:$B$138, 0), MATCH(AD$4&amp;AD$5, LS_previous!$D$2:$AY$2&amp;LS_previous!$D$3:$AY$3, 0)),SUM(VLOOKUP($A25, LS_previous!$B$4:$AY$138, LS_previous!V$149, FALSE), VLOOKUP('Staging Table'!$A25, LS_previous!$B$4:$AY$138,LS_previous!AT$149, FALSE))/2)</f>
        <v>-21.093833440572212</v>
      </c>
      <c r="AE25" s="382">
        <f t="array" ref="AE25">IF($G25=0, INDEX(LS_previous!$D$4:$AY$138, MATCH('Staging Table'!$A25, LS_previous!$B$4:$B$138, 0), MATCH(AE$4&amp;AE$5, LS_previous!$D$2:$AY$2&amp;LS_previous!$D$3:$AY$3, 0)),SUM(VLOOKUP($A25, LS_previous!$B$4:$AY$138, LS_previous!W$149, FALSE), VLOOKUP('Staging Table'!$A25, LS_previous!$B$4:$AY$138,LS_previous!AU$149, FALSE))/2)</f>
        <v>11.152530495193943</v>
      </c>
      <c r="AF25" s="382">
        <f t="array" ref="AF25">IF($G25=0, INDEX(LS_previous!$D$4:$AY$138, MATCH('Staging Table'!$A25, LS_previous!$B$4:$B$138, 0), MATCH(AF$4&amp;AF$5, LS_previous!$D$2:$AY$2&amp;LS_previous!$D$3:$AY$3, 0)),SUM(VLOOKUP($A25, LS_previous!$B$4:$AY$138, LS_previous!X$149, FALSE), VLOOKUP('Staging Table'!$A25, LS_previous!$B$4:$AY$138,LS_previous!AV$149, FALSE))/2)</f>
        <v>-20.330203483950868</v>
      </c>
      <c r="AG25" s="382">
        <f t="array" ref="AG25">IF($G25=0, INDEX(LS_previous!$D$4:$AY$138, MATCH('Staging Table'!$A25, LS_previous!$B$4:$B$138, 0), MATCH(AG$4&amp;AG$5, LS_previous!$D$2:$AY$2&amp;LS_previous!$D$3:$AY$3, 0)),SUM(VLOOKUP($A25, LS_previous!$B$4:$AY$138, LS_previous!Y$149, FALSE), VLOOKUP('Staging Table'!$A25, LS_previous!$B$4:$AY$138,LS_previous!AW$149, FALSE))/2)</f>
        <v>-2.2733694383917111</v>
      </c>
      <c r="AH25" s="382">
        <f t="array" ref="AH25">IF($G25=0, INDEX(LS_previous!$D$4:$AY$138, MATCH('Staging Table'!$A25, LS_previous!$B$4:$B$138, 0), MATCH(AH$4&amp;AH$5, LS_previous!$D$2:$AY$2&amp;LS_previous!$D$3:$AY$3, 0)),SUM(VLOOKUP($A25, LS_previous!$B$4:$AY$138, LS_previous!Z$149, FALSE), VLOOKUP('Staging Table'!$A25, LS_previous!$B$4:$AY$138,LS_previous!AX$149, FALSE))/2)</f>
        <v>-3.1100740481305422</v>
      </c>
      <c r="AI25" s="382">
        <f t="array" ref="AI25">IF($G25=0, INDEX(LS_previous!$D$4:$AY$138, MATCH('Staging Table'!$A25, LS_previous!$B$4:$B$138, 0), MATCH(AI$4&amp;AI$5, LS_previous!$D$2:$AY$2&amp;LS_previous!$D$3:$AY$3, 0)),SUM(VLOOKUP($A25, LS_previous!$B$4:$AY$138, LS_previous!AA$149, FALSE), VLOOKUP('Staging Table'!$A25, LS_previous!$B$4:$AY$138,LS_previous!AY$149, FALSE))/2)</f>
        <v>5.171630065398503</v>
      </c>
      <c r="AJ25" s="384">
        <f t="array" ref="AJ25">INDEX(Demand_previous!$D$4:$AY$138, MATCH('Staging Table'!$A25, Demand_previous!$B$4:$B$138, 0), MATCH(AJ$4&amp;AJ$5,Demand_previous!$D$2:$AY$2&amp;Demand_previous!$D$3:$AY$3, 0))/1000</f>
        <v>7.7546296296296335E-2</v>
      </c>
      <c r="AK25" s="384">
        <f t="array" ref="AK25">INDEX(Demand_previous!$D$4:$AY$138, MATCH('Staging Table'!$A25, Demand_previous!$B$4:$B$138, 0), MATCH(AK$4&amp;AK$5,Demand_previous!$D$2:$AY$2&amp;Demand_previous!$D$3:$AY$3, 0))/1000</f>
        <v>2.1682291666666659E-2</v>
      </c>
      <c r="AL25" s="384">
        <f t="array" ref="AL25">INDEX(Demand_previous!$D$4:$AY$138, MATCH('Staging Table'!$A25, Demand_previous!$B$4:$B$138, 0), MATCH(AL$4&amp;AL$5,Demand_previous!$D$2:$AY$2&amp;Demand_previous!$D$3:$AY$3, 0))/1000</f>
        <v>0.11979567307692307</v>
      </c>
      <c r="AM25" s="384">
        <f t="array" ref="AM25">INDEX(Demand_previous!$D$4:$AY$138, MATCH('Staging Table'!$A25, Demand_previous!$B$4:$B$138, 0), MATCH(AM$4&amp;AM$5,Demand_previous!$D$2:$AY$2&amp;Demand_previous!$D$3:$AY$3, 0))/1000</f>
        <v>6.0659999999999943E-2</v>
      </c>
      <c r="AN25" s="384">
        <f t="array" ref="AN25">INDEX(Demand_previous!$D$4:$AY$138, MATCH('Staging Table'!$A25, Demand_previous!$B$4:$B$138, 0), MATCH(AN$4&amp;AN$5,Demand_previous!$D$2:$AY$2&amp;Demand_previous!$D$3:$AY$3, 0))/1000</f>
        <v>8.8394999999999974E-2</v>
      </c>
      <c r="AO25" s="384">
        <f t="array" ref="AO25">INDEX(Demand_previous!$D$4:$AY$138, MATCH('Staging Table'!$A25, Demand_previous!$B$4:$B$138, 0), MATCH(AO$4&amp;AO$5,Demand_previous!$D$2:$AY$2&amp;Demand_previous!$D$3:$AY$3, 0))/1000</f>
        <v>6.878703703703698E-2</v>
      </c>
      <c r="AP25" s="384">
        <f t="array" ref="AP25">INDEX(Demand_previous!$D$4:$AY$138, MATCH('Staging Table'!$A25, Demand_previous!$B$4:$B$138, 0), MATCH(AP$4&amp;AP$5,Demand_previous!$D$2:$AY$2&amp;Demand_previous!$D$3:$AY$3, 0))/1000</f>
        <v>4.7747596153846078E-2</v>
      </c>
      <c r="AQ25" s="384">
        <f t="array" ref="AQ25">INDEX(Demand_previous!$D$4:$AY$138, MATCH('Staging Table'!$A25, Demand_previous!$B$4:$B$138, 0), MATCH(AQ$4&amp;AQ$5,Demand_previous!$D$2:$AY$2&amp;Demand_previous!$D$3:$AY$3, 0))/1000</f>
        <v>1.8550000000000788E-3</v>
      </c>
      <c r="AR25" s="384">
        <f t="array" ref="AR25">INDEX(Demand_previous!$D$4:$AY$138, MATCH('Staging Table'!$A25, Demand_previous!$B$4:$B$138, 0), MATCH(AR$4&amp;AR$5,Demand_previous!$D$2:$AY$2&amp;Demand_previous!$D$3:$AY$3, 0))/1000</f>
        <v>2.8637019230769195E-2</v>
      </c>
      <c r="AS25" s="384">
        <f t="array" ref="AS25">INDEX(Demand_previous!$D$4:$AY$138, MATCH('Staging Table'!$A25, Demand_previous!$B$4:$B$138, 0), MATCH(AS$4&amp;AS$5,Demand_previous!$D$2:$AY$2&amp;Demand_previous!$D$3:$AY$3, 0))/1000</f>
        <v>5.550999999999999E-2</v>
      </c>
      <c r="AT25" s="384">
        <f t="array" ref="AT25">INDEX(Demand_previous!$D$4:$AY$138, MATCH('Staging Table'!$A25, Demand_previous!$B$4:$B$138, 0), MATCH(AT$4&amp;AT$5,Demand_previous!$D$2:$AY$2&amp;Demand_previous!$D$3:$AY$3, 0))/1000</f>
        <v>6.8770833333333323E-2</v>
      </c>
      <c r="AU25" s="384">
        <f t="array" ref="AU25">INDEX(Demand_previous!$D$4:$AY$138, MATCH('Staging Table'!$A25, Demand_previous!$B$4:$B$138, 0), MATCH(AU$4&amp;AU$5,Demand_previous!$D$2:$AY$2&amp;Demand_previous!$D$3:$AY$3, 0))/1000</f>
        <v>7.116500000000002E-2</v>
      </c>
      <c r="AV25" s="384">
        <f>IF($D25=0,IF(C25=0, MAX(AY25 - (VLOOKUP($A25,TOCA_previous!$A$2:$AI$137,MATCH("RHWM 2016",TOCA_previous!$A$2:$AI$2,0),FALSE)*$F$2*TOCA_previous!C22),0),0), 0)</f>
        <v>190.11800733458676</v>
      </c>
      <c r="AW25" s="427">
        <f>VLOOKUP($A25,REP_previous!$A$1:$D$135,MATCH("FY "&amp;$F$1&amp; " Total Refund",REP_previous!$A$1:$D$1,0),0)</f>
        <v>1984.2439464376973</v>
      </c>
      <c r="AX25" s="398">
        <f>MIN(VLOOKUP($A25,TOCA_previous!$A$2:$AI$137,MATCH("TRL - NLSL - Exisiting Resource "&amp;$F$1,TOCA_previous!$A$2:$AI$2,0),FALSE)*$F$2,(VLOOKUP($A25,TOCA_previous!$A$2:$AI$137,MATCH("RHWM 2016",TOCA_previous!$A$2:$AI$2,0),FALSE)*$F$2))</f>
        <v>3118.3199999999997</v>
      </c>
      <c r="AY25" s="384">
        <f>SUM(L25:AI25)+(F25*RT1SC!$C$3*$F$2)</f>
        <v>3308.4380073345865</v>
      </c>
      <c r="AZ25" s="398">
        <f>VLOOKUP($A25,TOCA_previous!$A$2:$AI$137,MATCH("Above RHWM Not Served with LS "&amp;$F$1,TOCA_previous!$A$2:$AI$2,0),FALSE)*$F$2</f>
        <v>0</v>
      </c>
      <c r="BA25" s="206">
        <f t="shared" si="3"/>
        <v>190.11800733458676</v>
      </c>
      <c r="BB25" s="399">
        <f>(VLOOKUP($A25,TOCA_previous!$A$2:$AI$137,MATCH("RHWM 2016",TOCA_previous!$A$2:$AI$2,0),FALSE)*$F$2) - $AX25</f>
        <v>0</v>
      </c>
      <c r="BC25" s="206">
        <f t="shared" si="4"/>
        <v>0</v>
      </c>
      <c r="BD25" s="400">
        <f t="shared" si="5"/>
        <v>0</v>
      </c>
      <c r="BE25" s="392">
        <f t="shared" si="6"/>
        <v>0</v>
      </c>
      <c r="BF25" s="399">
        <f t="shared" si="7"/>
        <v>0</v>
      </c>
      <c r="BG25" s="206">
        <f>VLOOKUP($A25,TOCA_current!$A$2:$AI$137,MATCH(BG$4,TOCA_current!$A$2:$AI$2,0),FALSE)</f>
        <v>5.0800000000000002E-5</v>
      </c>
      <c r="BH25" s="206">
        <f>VLOOKUP($A25,TOCA_current!$A$2:$AI$137,MATCH(BH$4,TOCA_current!$A$2:$AI$2,0),FALSE)</f>
        <v>5.0800000000000002E-5</v>
      </c>
      <c r="BI25" s="391">
        <f t="shared" si="8"/>
        <v>0</v>
      </c>
      <c r="BJ25" s="206">
        <f>VLOOKUP($A25,TOCA_current!A21:BG156,MATCH(BJ$4,TOCA_current!$A$2:$BG$2,0),FALSE)</f>
        <v>0</v>
      </c>
      <c r="BK25" s="206">
        <f t="shared" si="9"/>
        <v>0</v>
      </c>
      <c r="BL25" s="206">
        <f t="shared" si="10"/>
        <v>0</v>
      </c>
      <c r="BM25" s="381">
        <f>VLOOKUP($A25,IRD!$A$4:$G$139, 7, FALSE)</f>
        <v>0</v>
      </c>
      <c r="BN25" s="382">
        <f t="array" ref="BN25">IF($BI25=0, INDEX(LS_current!$D$4:$AY$139, MATCH('Staging Table'!$A25, LS_current!$B$4:$B$139, 0), MATCH(BN$4&amp;BN$5, LS_current!$D$2:$AY$2&amp;LS_current!$D$3:$AY$3, 0)),SUM(VLOOKUP($A25, LS_current!$B$4:$AY$139, LS_current!D$149, FALSE), VLOOKUP($A25, LS_current!$B$4:$AY$139,LS_current!D$149, FALSE))/2)</f>
        <v>-6.1199279542422005</v>
      </c>
      <c r="BO25" s="382">
        <f t="array" ref="BO25">IF($BI25=0, INDEX(LS_current!$D$4:$AY$139, MATCH('Staging Table'!$A25, LS_current!$B$4:$B$139, 0), MATCH(BO$4&amp;BO$5, LS_current!$D$2:$AY$2&amp;LS_current!$D$3:$AY$3, 0)),SUM(VLOOKUP($A25, LS_current!$B$4:$AY$139, LS_current!E$149, FALSE), VLOOKUP($A25, LS_current!$B$4:$AY$139,LS_current!E$149, FALSE))/2)</f>
        <v>8.796969624855592</v>
      </c>
      <c r="BP25" s="382">
        <f t="array" ref="BP25">IF($BI25=0, INDEX(LS_current!$D$4:$AY$139, MATCH('Staging Table'!$A25, LS_current!$B$4:$B$139, 0), MATCH(BP$4&amp;BP$5, LS_current!$D$2:$AY$2&amp;LS_current!$D$3:$AY$3, 0)),SUM(VLOOKUP($A25, LS_current!$B$4:$AY$139, LS_current!F$149, FALSE), VLOOKUP($A25, LS_current!$B$4:$AY$139,LS_current!F$149, FALSE))/2)</f>
        <v>-9.5035423584531884</v>
      </c>
      <c r="BQ25" s="382">
        <f t="array" ref="BQ25">IF($BI25=0, INDEX(LS_current!$D$4:$AY$139, MATCH('Staging Table'!$A25, LS_current!$B$4:$B$139, 0), MATCH(BQ$4&amp;BQ$5, LS_current!$D$2:$AY$2&amp;LS_current!$D$3:$AY$3, 0)),SUM(VLOOKUP($A25, LS_current!$B$4:$AY$139, LS_current!G$149, FALSE), VLOOKUP($A25, LS_current!$B$4:$AY$139,LS_current!G$149, FALSE))/2)</f>
        <v>10.393149487572217</v>
      </c>
      <c r="BR25" s="382">
        <f t="array" ref="BR25">IF($BI25=0, INDEX(LS_current!$D$4:$AY$139, MATCH('Staging Table'!$A25, LS_current!$B$4:$B$139, 0), MATCH(BR$4&amp;BR$5, LS_current!$D$2:$AY$2&amp;LS_current!$D$3:$AY$3, 0)),SUM(VLOOKUP($A25, LS_current!$B$4:$AY$139, LS_current!H$149, FALSE), VLOOKUP($A25, LS_current!$B$4:$AY$139,LS_current!H$149, FALSE))/2)</f>
        <v>26.481914555896395</v>
      </c>
      <c r="BS25" s="382">
        <f t="array" ref="BS25">IF($BI25=0, INDEX(LS_current!$D$4:$AY$139, MATCH('Staging Table'!$A25, LS_current!$B$4:$B$139, 0), MATCH(BS$4&amp;BS$5, LS_current!$D$2:$AY$2&amp;LS_current!$D$3:$AY$3, 0)),SUM(VLOOKUP($A25, LS_current!$B$4:$AY$139, LS_current!I$149, FALSE), VLOOKUP($A25, LS_current!$B$4:$AY$139,LS_current!I$149, FALSE))/2)</f>
        <v>49.127945066076634</v>
      </c>
      <c r="BT25" s="382">
        <f t="array" ref="BT25">IF($BI25=0, INDEX(LS_current!$D$4:$AY$139, MATCH('Staging Table'!$A25, LS_current!$B$4:$B$139, 0), MATCH(BT$4&amp;BT$5, LS_current!$D$2:$AY$2&amp;LS_current!$D$3:$AY$3, 0)),SUM(VLOOKUP($A25, LS_current!$B$4:$AY$139, LS_current!J$149, FALSE), VLOOKUP($A25, LS_current!$B$4:$AY$139,LS_current!J$149, FALSE))/2)</f>
        <v>67.00467933412159</v>
      </c>
      <c r="BU25" s="382">
        <f t="array" ref="BU25">IF($BI25=0, INDEX(LS_current!$D$4:$AY$139, MATCH('Staging Table'!$A25, LS_current!$B$4:$B$139, 0), MATCH(BU$4&amp;BU$5, LS_current!$D$2:$AY$2&amp;LS_current!$D$3:$AY$3, 0)),SUM(VLOOKUP($A25, LS_current!$B$4:$AY$139, LS_current!K$149, FALSE), VLOOKUP($A25, LS_current!$B$4:$AY$139,LS_current!K$149, FALSE))/2)</f>
        <v>56.118035095750386</v>
      </c>
      <c r="BV25" s="382">
        <f t="array" ref="BV25">IF($BI25=0, INDEX(LS_current!$D$4:$AY$139, MATCH('Staging Table'!$A25, LS_current!$B$4:$B$139, 0), MATCH(BV$4&amp;BV$5, LS_current!$D$2:$AY$2&amp;LS_current!$D$3:$AY$3, 0)),SUM(VLOOKUP($A25, LS_current!$B$4:$AY$139, LS_current!L$149, FALSE), VLOOKUP($A25, LS_current!$B$4:$AY$139,LS_current!L$149, FALSE))/2)</f>
        <v>55.951871880161406</v>
      </c>
      <c r="BW25" s="382">
        <f t="array" ref="BW25">IF($BI25=0, INDEX(LS_current!$D$4:$AY$139, MATCH('Staging Table'!$A25, LS_current!$B$4:$B$139, 0), MATCH(BW$4&amp;BW$5, LS_current!$D$2:$AY$2&amp;LS_current!$D$3:$AY$3, 0)),SUM(VLOOKUP($A25, LS_current!$B$4:$AY$139, LS_current!M$149, FALSE), VLOOKUP($A25, LS_current!$B$4:$AY$139,LS_current!M$149, FALSE))/2)</f>
        <v>45.480177001809992</v>
      </c>
      <c r="BX25" s="382">
        <f t="array" ref="BX25">IF($BI25=0, INDEX(LS_current!$D$4:$AY$139, MATCH('Staging Table'!$A25, LS_current!$B$4:$B$139, 0), MATCH(BX$4&amp;BX$5, LS_current!$D$2:$AY$2&amp;LS_current!$D$3:$AY$3, 0)),SUM(VLOOKUP($A25, LS_current!$B$4:$AY$139, LS_current!N$149, FALSE), VLOOKUP($A25, LS_current!$B$4:$AY$139,LS_current!N$149, FALSE))/2)</f>
        <v>19.064939236544177</v>
      </c>
      <c r="BY25" s="382">
        <f t="array" ref="BY25">IF($BI25=0, INDEX(LS_current!$D$4:$AY$139, MATCH('Staging Table'!$A25, LS_current!$B$4:$B$139, 0), MATCH(BY$4&amp;BY$5, LS_current!$D$2:$AY$2&amp;LS_current!$D$3:$AY$3, 0)),SUM(VLOOKUP($A25, LS_current!$B$4:$AY$139, LS_current!O$149, FALSE), VLOOKUP($A25, LS_current!$B$4:$AY$139,LS_current!O$149, FALSE))/2)</f>
        <v>18.301750689340992</v>
      </c>
      <c r="BZ25" s="382">
        <f t="array" ref="BZ25">IF($BI25=0, INDEX(LS_current!$D$4:$AY$139, MATCH('Staging Table'!$A25, LS_current!$B$4:$B$139, 0), MATCH(BZ$4&amp;BZ$5, LS_current!$D$2:$AY$2&amp;LS_current!$D$3:$AY$3, 0)),SUM(VLOOKUP($A25, LS_current!$B$4:$AY$139, LS_current!P$149, FALSE), VLOOKUP($A25, LS_current!$B$4:$AY$139,LS_current!P$149, FALSE))/2)</f>
        <v>4.5157294054764066</v>
      </c>
      <c r="CA25" s="382">
        <f t="array" ref="CA25">IF($BI25=0, INDEX(LS_current!$D$4:$AY$139, MATCH('Staging Table'!$A25, LS_current!$B$4:$B$139, 0), MATCH(CA$4&amp;CA$5, LS_current!$D$2:$AY$2&amp;LS_current!$D$3:$AY$3, 0)),SUM(VLOOKUP($A25, LS_current!$B$4:$AY$139, LS_current!Q$149, FALSE), VLOOKUP($A25, LS_current!$B$4:$AY$139,LS_current!Q$149, FALSE))/2)</f>
        <v>20.507882160424401</v>
      </c>
      <c r="CB25" s="382">
        <f t="array" ref="CB25">IF($BI25=0, INDEX(LS_current!$D$4:$AY$139, MATCH('Staging Table'!$A25, LS_current!$B$4:$B$139, 0), MATCH(CB$4&amp;CB$5, LS_current!$D$2:$AY$2&amp;LS_current!$D$3:$AY$3, 0)),SUM(VLOOKUP($A25, LS_current!$B$4:$AY$139, LS_current!R$149, FALSE), VLOOKUP($A25, LS_current!$B$4:$AY$139,LS_current!R$149, FALSE))/2)</f>
        <v>-64.769319649497248</v>
      </c>
      <c r="CC25" s="382">
        <f t="array" ref="CC25">IF($BI25=0, INDEX(LS_current!$D$4:$AY$139, MATCH('Staging Table'!$A25, LS_current!$B$4:$B$139, 0), MATCH(CC$4&amp;CC$5, LS_current!$D$2:$AY$2&amp;LS_current!$D$3:$AY$3, 0)),SUM(VLOOKUP($A25, LS_current!$B$4:$AY$139, LS_current!S$149, FALSE), VLOOKUP($A25, LS_current!$B$4:$AY$139,LS_current!S$149, FALSE))/2)</f>
        <v>-25.304772710012386</v>
      </c>
      <c r="CD25" s="382">
        <f t="array" ref="CD25">IF($BI25=0, INDEX(LS_current!$D$4:$AY$139, MATCH('Staging Table'!$A25, LS_current!$B$4:$B$139, 0), MATCH(CD$4&amp;CD$5, LS_current!$D$2:$AY$2&amp;LS_current!$D$3:$AY$3, 0)),SUM(VLOOKUP($A25, LS_current!$B$4:$AY$139, LS_current!T$149, FALSE), VLOOKUP($A25, LS_current!$B$4:$AY$139,LS_current!T$149, FALSE))/2)</f>
        <v>-30.255908918216392</v>
      </c>
      <c r="CE25" s="382">
        <f t="array" ref="CE25">IF($BI25=0, INDEX(LS_current!$D$4:$AY$139, MATCH('Staging Table'!$A25, LS_current!$B$4:$B$139, 0), MATCH(CE$4&amp;CE$5, LS_current!$D$2:$AY$2&amp;LS_current!$D$3:$AY$3, 0)),SUM(VLOOKUP($A25, LS_current!$B$4:$AY$139, LS_current!U$149, FALSE), VLOOKUP($A25, LS_current!$B$4:$AY$139,LS_current!U$149, FALSE))/2)</f>
        <v>-3.4271833818228004</v>
      </c>
      <c r="CF25" s="382">
        <f t="array" ref="CF25">IF($BI25=0, INDEX(LS_current!$D$4:$AY$139, MATCH('Staging Table'!$A25, LS_current!$B$4:$B$139, 0), MATCH(CF$4&amp;CF$5, LS_current!$D$2:$AY$2&amp;LS_current!$D$3:$AY$3, 0)),SUM(VLOOKUP($A25, LS_current!$B$4:$AY$139, LS_current!V$149, FALSE), VLOOKUP($A25, LS_current!$B$4:$AY$139,LS_current!V$149, FALSE))/2)</f>
        <v>-11.089952636089009</v>
      </c>
      <c r="CG25" s="382">
        <f t="array" ref="CG25">IF($BI25=0, INDEX(LS_current!$D$4:$AY$139, MATCH('Staging Table'!$A25, LS_current!$B$4:$B$139, 0), MATCH(CG$4&amp;CG$5, LS_current!$D$2:$AY$2&amp;LS_current!$D$3:$AY$3, 0)),SUM(VLOOKUP($A25, LS_current!$B$4:$AY$139, LS_current!W$149, FALSE), VLOOKUP($A25, LS_current!$B$4:$AY$139,LS_current!W$149, FALSE))/2)</f>
        <v>17.358118621101582</v>
      </c>
      <c r="CH25" s="382">
        <f t="array" ref="CH25">IF($BI25=0, INDEX(LS_current!$D$4:$AY$139, MATCH('Staging Table'!$A25, LS_current!$B$4:$B$139, 0), MATCH(CH$4&amp;CH$5, LS_current!$D$2:$AY$2&amp;LS_current!$D$3:$AY$3, 0)),SUM(VLOOKUP($A25, LS_current!$B$4:$AY$139, LS_current!X$149, FALSE), VLOOKUP($A25, LS_current!$B$4:$AY$139,LS_current!X$149, FALSE))/2)</f>
        <v>-19.443895625038806</v>
      </c>
      <c r="CI25" s="382">
        <f t="array" ref="CI25">IF($BI25=0, INDEX(LS_current!$D$4:$AY$139, MATCH('Staging Table'!$A25, LS_current!$B$4:$B$139, 0), MATCH(CI$4&amp;CI$5, LS_current!$D$2:$AY$2&amp;LS_current!$D$3:$AY$3, 0)),SUM(VLOOKUP($A25, LS_current!$B$4:$AY$139, LS_current!Y$149, FALSE), VLOOKUP($A25, LS_current!$B$4:$AY$139,LS_current!Y$149, FALSE))/2)</f>
        <v>0.55150802859039061</v>
      </c>
      <c r="CJ25" s="382">
        <f t="array" ref="CJ25">IF($BI25=0, INDEX(LS_current!$D$4:$AY$139, MATCH('Staging Table'!$A25, LS_current!$B$4:$B$139, 0), MATCH(CJ$4&amp;CJ$5, LS_current!$D$2:$AY$2&amp;LS_current!$D$3:$AY$3, 0)),SUM(VLOOKUP($A25, LS_current!$B$4:$AY$139, LS_current!Z$149, FALSE), VLOOKUP($A25, LS_current!$B$4:$AY$139,LS_current!Z$149, FALSE))/2)</f>
        <v>-17.235188541104606</v>
      </c>
      <c r="CK25" s="382">
        <f t="array" ref="CK25">IF($BI25=0, INDEX(LS_current!$D$4:$AY$139, MATCH('Staging Table'!$A25, LS_current!$B$4:$B$139, 0), MATCH(CK$4&amp;CK$5, LS_current!$D$2:$AY$2&amp;LS_current!$D$3:$AY$3, 0)),SUM(VLOOKUP($A25, LS_current!$B$4:$AY$139, LS_current!AA$149, FALSE), VLOOKUP($A25, LS_current!$B$4:$AY$139,LS_current!AA$149, FALSE))/2)</f>
        <v>5.4210379066499996</v>
      </c>
      <c r="CL25" s="384">
        <f t="array" ref="CL25">INDEX(Demand_current!$D$4:$AY$138, MATCH($A25, Demand_current!$B$4:$B$138, 0), MATCH(CL$4&amp;CL$5,Demand_current!$D$2:$AY$2&amp;Demand_current!$D$3:$AY$3, 0))/1000</f>
        <v>6.4298076923076986E-2</v>
      </c>
      <c r="CM25" s="384">
        <f t="array" ref="CM25">INDEX(Demand_current!$D$4:$AY$138, MATCH($A25, Demand_current!$B$4:$B$138, 0), MATCH(CM$4&amp;CM$5,Demand_current!$D$2:$AY$2&amp;Demand_current!$D$3:$AY$3, 0))/1000</f>
        <v>4.0014999999999995E-2</v>
      </c>
      <c r="CN25" s="384">
        <f t="array" ref="CN25">INDEX(Demand_current!$D$4:$AY$138, MATCH($A25, Demand_current!$B$4:$B$138, 0), MATCH(CN$4&amp;CN$5,Demand_current!$D$2:$AY$2&amp;Demand_current!$D$3:$AY$3, 0))/1000</f>
        <v>9.9827499999999958E-2</v>
      </c>
      <c r="CO25" s="384">
        <f t="array" ref="CO25">INDEX(Demand_current!$D$4:$AY$138, MATCH($A25, Demand_current!$B$4:$B$138, 0), MATCH(CO$4&amp;CO$5,Demand_current!$D$2:$AY$2&amp;Demand_current!$D$3:$AY$3, 0))/1000</f>
        <v>8.1865384615384618E-2</v>
      </c>
      <c r="CP25" s="384">
        <f t="array" ref="CP25">INDEX(Demand_current!$D$4:$AY$138, MATCH($A25, Demand_current!$B$4:$B$138, 0), MATCH(CP$4&amp;CP$5,Demand_current!$D$2:$AY$2&amp;Demand_current!$D$3:$AY$3, 0))/1000</f>
        <v>6.9161458333333287E-2</v>
      </c>
      <c r="CQ25" s="384">
        <f t="array" ref="CQ25">INDEX(Demand_current!$D$4:$AY$138, MATCH($A25, Demand_current!$B$4:$B$138, 0), MATCH(CQ$4&amp;CQ$5,Demand_current!$D$2:$AY$2&amp;Demand_current!$D$3:$AY$3, 0))/1000</f>
        <v>6.878703703703698E-2</v>
      </c>
      <c r="CR25" s="384">
        <f t="array" ref="CR25">INDEX(Demand_current!$D$4:$AY$138, MATCH($A25, Demand_current!$B$4:$B$138, 0), MATCH(CR$4&amp;CR$5,Demand_current!$D$2:$AY$2&amp;Demand_current!$D$3:$AY$3, 0))/1000</f>
        <v>3.297749999999991E-2</v>
      </c>
      <c r="CS25" s="384">
        <f t="array" ref="CS25">INDEX(Demand_current!$D$4:$AY$138, MATCH($A25, Demand_current!$B$4:$B$138, 0), MATCH(CS$4&amp;CS$5,Demand_current!$D$2:$AY$2&amp;Demand_current!$D$3:$AY$3, 0))/1000</f>
        <v>1.6475961538461564E-2</v>
      </c>
      <c r="CT25" s="384">
        <f t="array" ref="CT25">INDEX(Demand_current!$D$4:$AY$138, MATCH($A25, Demand_current!$B$4:$B$138, 0), MATCH(CT$4&amp;CT$5,Demand_current!$D$2:$AY$2&amp;Demand_current!$D$3:$AY$3, 0))/1000</f>
        <v>2.8637019230769195E-2</v>
      </c>
      <c r="CU25" s="384">
        <f t="array" ref="CU25">INDEX(Demand_current!$D$4:$AY$138, MATCH($A25, Demand_current!$B$4:$B$138, 0), MATCH(CU$4&amp;CU$5,Demand_current!$D$2:$AY$2&amp;Demand_current!$D$3:$AY$3, 0))/1000</f>
        <v>5.550999999999999E-2</v>
      </c>
      <c r="CV25" s="384">
        <f t="array" ref="CV25">INDEX(Demand_current!$D$4:$AY$138, MATCH($A25, Demand_current!$B$4:$B$138, 0), MATCH(CV$4&amp;CV$5,Demand_current!$D$2:$AY$2&amp;Demand_current!$D$3:$AY$3, 0))/1000</f>
        <v>6.8770833333333323E-2</v>
      </c>
      <c r="CW25" s="384">
        <f t="array" ref="CW25">INDEX(Demand_current!$D$4:$AY$138, MATCH($A25, Demand_current!$B$4:$B$138, 0), MATCH(CW$4&amp;CW$5,Demand_current!$D$2:$AY$2&amp;Demand_current!$D$3:$AY$3, 0))/1000</f>
        <v>5.7213541666666687E-2</v>
      </c>
      <c r="CX25" s="384">
        <f>IF(D25=0,IF(C25=0,MAX(0,DA25 - (VLOOKUP($A25,TOCA_current!$A$2:$AI$137,MATCH("RHWM 2018",TOCA_current!$A$2:$AI$2,0),FALSE)*$BH$2)), 0),0)</f>
        <v>216.15804508789552</v>
      </c>
      <c r="CY25" s="427">
        <f>VLOOKUP($A25,REP_current!$A$1:$D$135,MATCH("FY "&amp;$BH$1&amp; " Total Refund",REP_current!$A$1:$D$1,0),0)</f>
        <v>2015.1006092011639</v>
      </c>
      <c r="CZ25" s="432">
        <f>MIN(VLOOKUP($A25,TOCA_current!$A$2:$AI$137,MATCH("TRL - NLSL - Existing Resource "&amp;$BH$1,TOCA_current!$A$2:$AI$2,0),FALSE)*$BH$2, VLOOKUP($A25,TOCA_current!$A$2:$AI$137,MATCH("RHWM 2018",TOCA_current!$A$2:$AI$2,0),FALSE)*$BH$2)</f>
        <v>3092.2799999999997</v>
      </c>
      <c r="DA25" s="397">
        <f>SUM(BN25:CK25)+(BH25*RT1SC!$C$4*$BH$2)</f>
        <v>3308.4380450878953</v>
      </c>
      <c r="DB25" s="432">
        <f>VLOOKUP($A25,TOCA_current!$A$2:$AI$137,MATCH("Above RHWM Not Served with LS "&amp;$BH$1,TOCA_current!$A$2:$AI$2,0),FALSE)*$BH$2</f>
        <v>0</v>
      </c>
      <c r="DC25" s="401">
        <f t="shared" si="11"/>
        <v>216.15804508789552</v>
      </c>
      <c r="DD25" s="397">
        <f>(VLOOKUP($A25,TOCA_current!$A$2:$AI$137,MATCH("RHWM 2018",TOCA_current!$A$2:$AI$2,0),FALSE)*$BH$2) - $CZ25</f>
        <v>0</v>
      </c>
      <c r="DE25" s="397">
        <f t="shared" si="12"/>
        <v>0</v>
      </c>
      <c r="DF25" s="397">
        <f t="shared" si="13"/>
        <v>0</v>
      </c>
      <c r="DG25" s="397">
        <f t="shared" si="14"/>
        <v>0</v>
      </c>
      <c r="DH25" s="397">
        <f t="shared" si="15"/>
        <v>0</v>
      </c>
    </row>
    <row r="26" spans="1:112">
      <c r="A26" s="274">
        <v>10071</v>
      </c>
      <c r="B26" s="275" t="s">
        <v>27</v>
      </c>
      <c r="C26" s="397">
        <v>0</v>
      </c>
      <c r="D26" s="397">
        <v>0</v>
      </c>
      <c r="E26" s="205">
        <f>VLOOKUP($A26,TOCA_previous!$A$2:$AI$137,MATCH(E$4,TOCA_previous!$A$2:$AI$2,0),FALSE)</f>
        <v>2.7149999999999999E-4</v>
      </c>
      <c r="F26" s="206">
        <f>VLOOKUP($A26,TOCA_previous!$A$2:$AI$137,MATCH(F$4,TOCA_previous!$A$2:$AI$2,0),FALSE)</f>
        <v>2.7149999999999999E-4</v>
      </c>
      <c r="G26" s="206">
        <f t="shared" si="0"/>
        <v>0</v>
      </c>
      <c r="H26" s="206">
        <f>VLOOKUP($A26,TOCA_previous!$A$2:$AI$137,MATCH(H$4,TOCA_previous!$A$2:$AI$2,0),FALSE)</f>
        <v>0</v>
      </c>
      <c r="I26" s="206">
        <f t="shared" si="1"/>
        <v>0</v>
      </c>
      <c r="J26" s="206">
        <f t="shared" si="2"/>
        <v>0</v>
      </c>
      <c r="K26" s="381">
        <f>VLOOKUP(A26, IRD!$A$5:$C$139, 3, FALSE)</f>
        <v>0</v>
      </c>
      <c r="L26" s="382">
        <f t="array" ref="L26">IF($G26=0, INDEX(LS_previous!$D$4:$AY$138, MATCH('Staging Table'!$A26, LS_previous!$B$4:$B$138, 0), MATCH(L$4&amp;L$5, LS_previous!$D$2:$AY$2&amp;LS_previous!$D$3:$AY$3, 0)),SUM(VLOOKUP($A26, LS_previous!$B$4:$AY$138, LS_previous!D$149, FALSE), VLOOKUP('Staging Table'!$A26, LS_previous!$B$4:$AY$138,LS_previous!AB$149, FALSE))/2)</f>
        <v>-65.612529185170843</v>
      </c>
      <c r="M26" s="382">
        <f t="array" ref="M26">IF($G26=0, INDEX(LS_previous!$D$4:$AY$138, MATCH('Staging Table'!$A26, LS_previous!$B$4:$B$138, 0), MATCH(M$4&amp;M$5, LS_previous!$D$2:$AY$2&amp;LS_previous!$D$3:$AY$3, 0)),SUM(VLOOKUP($A26, LS_previous!$B$4:$AY$138, LS_previous!E$149, FALSE), VLOOKUP('Staging Table'!$A26, LS_previous!$B$4:$AY$138,LS_previous!AC$149, FALSE))/2)</f>
        <v>-11.657940313435518</v>
      </c>
      <c r="N26" s="382">
        <f t="array" ref="N26">IF($G26=0, INDEX(LS_previous!$D$4:$AY$138, MATCH('Staging Table'!$A26, LS_previous!$B$4:$B$138, 0), MATCH(N$4&amp;N$5, LS_previous!$D$2:$AY$2&amp;LS_previous!$D$3:$AY$3, 0)),SUM(VLOOKUP($A26, LS_previous!$B$4:$AY$138, LS_previous!F$149, FALSE), VLOOKUP('Staging Table'!$A26, LS_previous!$B$4:$AY$138,LS_previous!AD$149, FALSE))/2)</f>
        <v>5.1631336644123849</v>
      </c>
      <c r="O26" s="382">
        <f t="array" ref="O26">IF($G26=0, INDEX(LS_previous!$D$4:$AY$138, MATCH('Staging Table'!$A26, LS_previous!$B$4:$B$138, 0), MATCH(O$4&amp;O$5, LS_previous!$D$2:$AY$2&amp;LS_previous!$D$3:$AY$3, 0)),SUM(VLOOKUP($A26, LS_previous!$B$4:$AY$138, LS_previous!G$149, FALSE), VLOOKUP('Staging Table'!$A26, LS_previous!$B$4:$AY$138,LS_previous!AE$149, FALSE))/2)</f>
        <v>36.864389280561568</v>
      </c>
      <c r="P26" s="382">
        <f t="array" ref="P26">IF($G26=0, INDEX(LS_previous!$D$4:$AY$138, MATCH('Staging Table'!$A26, LS_previous!$B$4:$B$138, 0), MATCH(P$4&amp;P$5, LS_previous!$D$2:$AY$2&amp;LS_previous!$D$3:$AY$3, 0)),SUM(VLOOKUP($A26, LS_previous!$B$4:$AY$138, LS_previous!H$149, FALSE), VLOOKUP('Staging Table'!$A26, LS_previous!$B$4:$AY$138,LS_previous!AF$149, FALSE))/2)</f>
        <v>165.19079597970222</v>
      </c>
      <c r="Q26" s="382">
        <f t="array" ref="Q26">IF($G26=0, INDEX(LS_previous!$D$4:$AY$138, MATCH('Staging Table'!$A26, LS_previous!$B$4:$B$138, 0), MATCH(Q$4&amp;Q$5, LS_previous!$D$2:$AY$2&amp;LS_previous!$D$3:$AY$3, 0)),SUM(VLOOKUP($A26, LS_previous!$B$4:$AY$138, LS_previous!I$149, FALSE), VLOOKUP('Staging Table'!$A26, LS_previous!$B$4:$AY$138,LS_previous!AG$149, FALSE))/2)</f>
        <v>182.54017297487087</v>
      </c>
      <c r="R26" s="382">
        <f t="array" ref="R26">IF($G26=0, INDEX(LS_previous!$D$4:$AY$138, MATCH('Staging Table'!$A26, LS_previous!$B$4:$B$138, 0), MATCH(R$4&amp;R$5, LS_previous!$D$2:$AY$2&amp;LS_previous!$D$3:$AY$3, 0)),SUM(VLOOKUP($A26, LS_previous!$B$4:$AY$138, LS_previous!J$149, FALSE), VLOOKUP('Staging Table'!$A26, LS_previous!$B$4:$AY$138,LS_previous!AH$149, FALSE))/2)</f>
        <v>267.25520992315171</v>
      </c>
      <c r="S26" s="382">
        <f t="array" ref="S26">IF($G26=0, INDEX(LS_previous!$D$4:$AY$138, MATCH('Staging Table'!$A26, LS_previous!$B$4:$B$138, 0), MATCH(S$4&amp;S$5, LS_previous!$D$2:$AY$2&amp;LS_previous!$D$3:$AY$3, 0)),SUM(VLOOKUP($A26, LS_previous!$B$4:$AY$138, LS_previous!K$149, FALSE), VLOOKUP('Staging Table'!$A26, LS_previous!$B$4:$AY$138,LS_previous!AI$149, FALSE))/2)</f>
        <v>190.1952952199299</v>
      </c>
      <c r="T26" s="382">
        <f t="array" ref="T26">IF($G26=0, INDEX(LS_previous!$D$4:$AY$138, MATCH('Staging Table'!$A26, LS_previous!$B$4:$B$138, 0), MATCH(T$4&amp;T$5, LS_previous!$D$2:$AY$2&amp;LS_previous!$D$3:$AY$3, 0)),SUM(VLOOKUP($A26, LS_previous!$B$4:$AY$138, LS_previous!L$149, FALSE), VLOOKUP('Staging Table'!$A26, LS_previous!$B$4:$AY$138,LS_previous!AJ$149, FALSE))/2)</f>
        <v>242.5551813368229</v>
      </c>
      <c r="U26" s="382">
        <f t="array" ref="U26">IF($G26=0, INDEX(LS_previous!$D$4:$AY$138, MATCH('Staging Table'!$A26, LS_previous!$B$4:$B$138, 0), MATCH(U$4&amp;U$5, LS_previous!$D$2:$AY$2&amp;LS_previous!$D$3:$AY$3, 0)),SUM(VLOOKUP($A26, LS_previous!$B$4:$AY$138, LS_previous!M$149, FALSE), VLOOKUP('Staging Table'!$A26, LS_previous!$B$4:$AY$138,LS_previous!AK$149, FALSE))/2)</f>
        <v>149.52089374924611</v>
      </c>
      <c r="V26" s="382">
        <f t="array" ref="V26">IF($G26=0, INDEX(LS_previous!$D$4:$AY$138, MATCH('Staging Table'!$A26, LS_previous!$B$4:$B$138, 0), MATCH(V$4&amp;V$5, LS_previous!$D$2:$AY$2&amp;LS_previous!$D$3:$AY$3, 0)),SUM(VLOOKUP($A26, LS_previous!$B$4:$AY$138, LS_previous!N$149, FALSE), VLOOKUP('Staging Table'!$A26, LS_previous!$B$4:$AY$138,LS_previous!AL$149, FALSE))/2)</f>
        <v>78.654655198889259</v>
      </c>
      <c r="W26" s="382">
        <f t="array" ref="W26">IF($G26=0, INDEX(LS_previous!$D$4:$AY$138, MATCH('Staging Table'!$A26, LS_previous!$B$4:$B$138, 0), MATCH(W$4&amp;W$5, LS_previous!$D$2:$AY$2&amp;LS_previous!$D$3:$AY$3, 0)),SUM(VLOOKUP($A26, LS_previous!$B$4:$AY$138, LS_previous!O$149, FALSE), VLOOKUP('Staging Table'!$A26, LS_previous!$B$4:$AY$138,LS_previous!AM$149, FALSE))/2)</f>
        <v>21.436637206813657</v>
      </c>
      <c r="X26" s="382">
        <f t="array" ref="X26">IF($G26=0, INDEX(LS_previous!$D$4:$AY$138, MATCH('Staging Table'!$A26, LS_previous!$B$4:$B$138, 0), MATCH(X$4&amp;X$5, LS_previous!$D$2:$AY$2&amp;LS_previous!$D$3:$AY$3, 0)),SUM(VLOOKUP($A26, LS_previous!$B$4:$AY$138, LS_previous!P$149, FALSE), VLOOKUP('Staging Table'!$A26, LS_previous!$B$4:$AY$138,LS_previous!AN$149, FALSE))/2)</f>
        <v>115.78444310286579</v>
      </c>
      <c r="Y26" s="382">
        <f t="array" ref="Y26">IF($G26=0, INDEX(LS_previous!$D$4:$AY$138, MATCH('Staging Table'!$A26, LS_previous!$B$4:$B$138, 0), MATCH(Y$4&amp;Y$5, LS_previous!$D$2:$AY$2&amp;LS_previous!$D$3:$AY$3, 0)),SUM(VLOOKUP($A26, LS_previous!$B$4:$AY$138, LS_previous!Q$149, FALSE), VLOOKUP('Staging Table'!$A26, LS_previous!$B$4:$AY$138,LS_previous!AO$149, FALSE))/2)</f>
        <v>92.236521143526659</v>
      </c>
      <c r="Z26" s="382">
        <f t="array" ref="Z26">IF($G26=0, INDEX(LS_previous!$D$4:$AY$138, MATCH('Staging Table'!$A26, LS_previous!$B$4:$B$138, 0), MATCH(Z$4&amp;Z$5, LS_previous!$D$2:$AY$2&amp;LS_previous!$D$3:$AY$3, 0)),SUM(VLOOKUP($A26, LS_previous!$B$4:$AY$138, LS_previous!R$149, FALSE), VLOOKUP('Staging Table'!$A26, LS_previous!$B$4:$AY$138,LS_previous!AP$149, FALSE))/2)</f>
        <v>-428.75575931488163</v>
      </c>
      <c r="AA26" s="382">
        <f t="array" ref="AA26">IF($G26=0, INDEX(LS_previous!$D$4:$AY$138, MATCH('Staging Table'!$A26, LS_previous!$B$4:$B$138, 0), MATCH(AA$4&amp;AA$5, LS_previous!$D$2:$AY$2&amp;LS_previous!$D$3:$AY$3, 0)),SUM(VLOOKUP($A26, LS_previous!$B$4:$AY$138, LS_previous!S$149, FALSE), VLOOKUP('Staging Table'!$A26, LS_previous!$B$4:$AY$138,LS_previous!AQ$149, FALSE))/2)</f>
        <v>-197.9164288185122</v>
      </c>
      <c r="AB26" s="382">
        <f t="array" ref="AB26">IF($G26=0, INDEX(LS_previous!$D$4:$AY$138, MATCH('Staging Table'!$A26, LS_previous!$B$4:$B$138, 0), MATCH(AB$4&amp;AB$5, LS_previous!$D$2:$AY$2&amp;LS_previous!$D$3:$AY$3, 0)),SUM(VLOOKUP($A26, LS_previous!$B$4:$AY$138, LS_previous!T$149, FALSE), VLOOKUP('Staging Table'!$A26, LS_previous!$B$4:$AY$138,LS_previous!AR$149, FALSE))/2)</f>
        <v>-246.04921023207703</v>
      </c>
      <c r="AC26" s="382">
        <f t="array" ref="AC26">IF($G26=0, INDEX(LS_previous!$D$4:$AY$138, MATCH('Staging Table'!$A26, LS_previous!$B$4:$B$138, 0), MATCH(AC$4&amp;AC$5, LS_previous!$D$2:$AY$2&amp;LS_previous!$D$3:$AY$3, 0)),SUM(VLOOKUP($A26, LS_previous!$B$4:$AY$138, LS_previous!U$149, FALSE), VLOOKUP('Staging Table'!$A26, LS_previous!$B$4:$AY$138,LS_previous!AS$149, FALSE))/2)</f>
        <v>-147.29839075667405</v>
      </c>
      <c r="AD26" s="382">
        <f t="array" ref="AD26">IF($G26=0, INDEX(LS_previous!$D$4:$AY$138, MATCH('Staging Table'!$A26, LS_previous!$B$4:$B$138, 0), MATCH(AD$4&amp;AD$5, LS_previous!$D$2:$AY$2&amp;LS_previous!$D$3:$AY$3, 0)),SUM(VLOOKUP($A26, LS_previous!$B$4:$AY$138, LS_previous!V$149, FALSE), VLOOKUP('Staging Table'!$A26, LS_previous!$B$4:$AY$138,LS_previous!AT$149, FALSE))/2)</f>
        <v>-193.13017675423919</v>
      </c>
      <c r="AE26" s="382">
        <f t="array" ref="AE26">IF($G26=0, INDEX(LS_previous!$D$4:$AY$138, MATCH('Staging Table'!$A26, LS_previous!$B$4:$B$138, 0), MATCH(AE$4&amp;AE$5, LS_previous!$D$2:$AY$2&amp;LS_previous!$D$3:$AY$3, 0)),SUM(VLOOKUP($A26, LS_previous!$B$4:$AY$138, LS_previous!W$149, FALSE), VLOOKUP('Staging Table'!$A26, LS_previous!$B$4:$AY$138,LS_previous!AU$149, FALSE))/2)</f>
        <v>-38.023950207772486</v>
      </c>
      <c r="AF26" s="382">
        <f t="array" ref="AF26">IF($G26=0, INDEX(LS_previous!$D$4:$AY$138, MATCH('Staging Table'!$A26, LS_previous!$B$4:$B$138, 0), MATCH(AF$4&amp;AF$5, LS_previous!$D$2:$AY$2&amp;LS_previous!$D$3:$AY$3, 0)),SUM(VLOOKUP($A26, LS_previous!$B$4:$AY$138, LS_previous!X$149, FALSE), VLOOKUP('Staging Table'!$A26, LS_previous!$B$4:$AY$138,LS_previous!AV$149, FALSE))/2)</f>
        <v>-183.39462098213903</v>
      </c>
      <c r="AG26" s="382">
        <f t="array" ref="AG26">IF($G26=0, INDEX(LS_previous!$D$4:$AY$138, MATCH('Staging Table'!$A26, LS_previous!$B$4:$B$138, 0), MATCH(AG$4&amp;AG$5, LS_previous!$D$2:$AY$2&amp;LS_previous!$D$3:$AY$3, 0)),SUM(VLOOKUP($A26, LS_previous!$B$4:$AY$138, LS_previous!Y$149, FALSE), VLOOKUP('Staging Table'!$A26, LS_previous!$B$4:$AY$138,LS_previous!AW$149, FALSE))/2)</f>
        <v>-80.521588632349392</v>
      </c>
      <c r="AH26" s="382">
        <f t="array" ref="AH26">IF($G26=0, INDEX(LS_previous!$D$4:$AY$138, MATCH('Staging Table'!$A26, LS_previous!$B$4:$B$138, 0), MATCH(AH$4&amp;AH$5, LS_previous!$D$2:$AY$2&amp;LS_previous!$D$3:$AY$3, 0)),SUM(VLOOKUP($A26, LS_previous!$B$4:$AY$138, LS_previous!Z$149, FALSE), VLOOKUP('Staging Table'!$A26, LS_previous!$B$4:$AY$138,LS_previous!AX$149, FALSE))/2)</f>
        <v>-66.374435119437749</v>
      </c>
      <c r="AI26" s="382">
        <f t="array" ref="AI26">IF($G26=0, INDEX(LS_previous!$D$4:$AY$138, MATCH('Staging Table'!$A26, LS_previous!$B$4:$B$138, 0), MATCH(AI$4&amp;AI$5, LS_previous!$D$2:$AY$2&amp;LS_previous!$D$3:$AY$3, 0)),SUM(VLOOKUP($A26, LS_previous!$B$4:$AY$138, LS_previous!AA$149, FALSE), VLOOKUP('Staging Table'!$A26, LS_previous!$B$4:$AY$138,LS_previous!AY$149, FALSE))/2)</f>
        <v>-35.057420024494149</v>
      </c>
      <c r="AJ26" s="384">
        <f t="array" ref="AJ26">INDEX(Demand_previous!$D$4:$AY$138, MATCH('Staging Table'!$A26, Demand_previous!$B$4:$B$138, 0), MATCH(AJ$4&amp;AJ$5,Demand_previous!$D$2:$AY$2&amp;Demand_previous!$D$3:$AY$3, 0))/1000</f>
        <v>0.21750000000000014</v>
      </c>
      <c r="AK26" s="384">
        <f t="array" ref="AK26">INDEX(Demand_previous!$D$4:$AY$138, MATCH('Staging Table'!$A26, Demand_previous!$B$4:$B$138, 0), MATCH(AK$4&amp;AK$5,Demand_previous!$D$2:$AY$2&amp;Demand_previous!$D$3:$AY$3, 0))/1000</f>
        <v>0</v>
      </c>
      <c r="AL26" s="384">
        <f t="array" ref="AL26">INDEX(Demand_previous!$D$4:$AY$138, MATCH('Staging Table'!$A26, Demand_previous!$B$4:$B$138, 0), MATCH(AL$4&amp;AL$5,Demand_previous!$D$2:$AY$2&amp;Demand_previous!$D$3:$AY$3, 0))/1000</f>
        <v>0.50815144230769205</v>
      </c>
      <c r="AM26" s="384">
        <f t="array" ref="AM26">INDEX(Demand_previous!$D$4:$AY$138, MATCH('Staging Table'!$A26, Demand_previous!$B$4:$B$138, 0), MATCH(AM$4&amp;AM$5,Demand_previous!$D$2:$AY$2&amp;Demand_previous!$D$3:$AY$3, 0))/1000</f>
        <v>0.40843749999999979</v>
      </c>
      <c r="AN26" s="384">
        <f t="array" ref="AN26">INDEX(Demand_previous!$D$4:$AY$138, MATCH('Staging Table'!$A26, Demand_previous!$B$4:$B$138, 0), MATCH(AN$4&amp;AN$5,Demand_previous!$D$2:$AY$2&amp;Demand_previous!$D$3:$AY$3, 0))/1000</f>
        <v>0.13520500000000013</v>
      </c>
      <c r="AO26" s="384">
        <f t="array" ref="AO26">INDEX(Demand_previous!$D$4:$AY$138, MATCH('Staging Table'!$A26, Demand_previous!$B$4:$B$138, 0), MATCH(AO$4&amp;AO$5,Demand_previous!$D$2:$AY$2&amp;Demand_previous!$D$3:$AY$3, 0))/1000</f>
        <v>0.47135648148148168</v>
      </c>
      <c r="AP26" s="384">
        <f t="array" ref="AP26">INDEX(Demand_previous!$D$4:$AY$138, MATCH('Staging Table'!$A26, Demand_previous!$B$4:$B$138, 0), MATCH(AP$4&amp;AP$5,Demand_previous!$D$2:$AY$2&amp;Demand_previous!$D$3:$AY$3, 0))/1000</f>
        <v>0.31367788461538471</v>
      </c>
      <c r="AQ26" s="384">
        <f t="array" ref="AQ26">INDEX(Demand_previous!$D$4:$AY$138, MATCH('Staging Table'!$A26, Demand_previous!$B$4:$B$138, 0), MATCH(AQ$4&amp;AQ$5,Demand_previous!$D$2:$AY$2&amp;Demand_previous!$D$3:$AY$3, 0))/1000</f>
        <v>0</v>
      </c>
      <c r="AR26" s="384">
        <f t="array" ref="AR26">INDEX(Demand_previous!$D$4:$AY$138, MATCH('Staging Table'!$A26, Demand_previous!$B$4:$B$138, 0), MATCH(AR$4&amp;AR$5,Demand_previous!$D$2:$AY$2&amp;Demand_previous!$D$3:$AY$3, 0))/1000</f>
        <v>0.10098798076923077</v>
      </c>
      <c r="AS26" s="384">
        <f t="array" ref="AS26">INDEX(Demand_previous!$D$4:$AY$138, MATCH('Staging Table'!$A26, Demand_previous!$B$4:$B$138, 0), MATCH(AS$4&amp;AS$5,Demand_previous!$D$2:$AY$2&amp;Demand_previous!$D$3:$AY$3, 0))/1000</f>
        <v>0.17538499999999979</v>
      </c>
      <c r="AT26" s="384">
        <f t="array" ref="AT26">INDEX(Demand_previous!$D$4:$AY$138, MATCH('Staging Table'!$A26, Demand_previous!$B$4:$B$138, 0), MATCH(AT$4&amp;AT$5,Demand_previous!$D$2:$AY$2&amp;Demand_previous!$D$3:$AY$3, 0))/1000</f>
        <v>0.24811342592592606</v>
      </c>
      <c r="AU26" s="384">
        <f t="array" ref="AU26">INDEX(Demand_previous!$D$4:$AY$138, MATCH('Staging Table'!$A26, Demand_previous!$B$4:$B$138, 0), MATCH(AU$4&amp;AU$5,Demand_previous!$D$2:$AY$2&amp;Demand_previous!$D$3:$AY$3, 0))/1000</f>
        <v>6.6860000000000031E-2</v>
      </c>
      <c r="AV26" s="384">
        <f>IF($D26=0,IF(C26=0, MAX(AY26 - (VLOOKUP($A26,TOCA_previous!$A$2:$AI$137,MATCH("RHWM 2016",TOCA_previous!$A$2:$AI$2,0),FALSE)*$F$2*TOCA_previous!C23),0),0), 0)</f>
        <v>0</v>
      </c>
      <c r="AW26" s="427">
        <f>VLOOKUP($A26,REP_previous!$A$1:$D$135,MATCH("FY "&amp;$F$1&amp; " Total Refund",REP_previous!$A$1:$D$1,0),0)</f>
        <v>29693.11609854257</v>
      </c>
      <c r="AX26" s="398">
        <f>MIN(VLOOKUP($A26,TOCA_previous!$A$2:$AI$137,MATCH("TRL - NLSL - Exisiting Resource "&amp;$F$1,TOCA_previous!$A$2:$AI$2,0),FALSE)*$F$2,(VLOOKUP($A26,TOCA_previous!$A$2:$AI$137,MATCH("RHWM 2016",TOCA_previous!$A$2:$AI$2,0),FALSE)*$F$2))</f>
        <v>16654.464</v>
      </c>
      <c r="AY26" s="384">
        <f>SUM(L26:AI26)+(F26*RT1SC!$C$3*$F$2)</f>
        <v>16507.257039199605</v>
      </c>
      <c r="AZ26" s="398">
        <f>VLOOKUP($A26,TOCA_previous!$A$2:$AI$137,MATCH("Above RHWM Not Served with LS "&amp;$F$1,TOCA_previous!$A$2:$AI$2,0),FALSE)*$F$2</f>
        <v>0</v>
      </c>
      <c r="BA26" s="206">
        <f t="shared" si="3"/>
        <v>-147.20696080039488</v>
      </c>
      <c r="BB26" s="399">
        <f>(VLOOKUP($A26,TOCA_previous!$A$2:$AI$137,MATCH("RHWM 2016",TOCA_previous!$A$2:$AI$2,0),FALSE)*$F$2) - $AX26</f>
        <v>0</v>
      </c>
      <c r="BC26" s="206">
        <f t="shared" si="4"/>
        <v>0</v>
      </c>
      <c r="BD26" s="400">
        <f t="shared" si="5"/>
        <v>147.20696080039488</v>
      </c>
      <c r="BE26" s="392">
        <f t="shared" si="6"/>
        <v>0</v>
      </c>
      <c r="BF26" s="399">
        <f t="shared" si="7"/>
        <v>147.20696080039488</v>
      </c>
      <c r="BG26" s="206">
        <f>VLOOKUP($A26,TOCA_current!$A$2:$AI$137,MATCH(BG$4,TOCA_current!$A$2:$AI$2,0),FALSE)</f>
        <v>2.6879999999999997E-4</v>
      </c>
      <c r="BH26" s="206">
        <f>VLOOKUP($A26,TOCA_current!$A$2:$AI$137,MATCH(BH$4,TOCA_current!$A$2:$AI$2,0),FALSE)</f>
        <v>2.6879999999999997E-4</v>
      </c>
      <c r="BI26" s="391">
        <f t="shared" si="8"/>
        <v>0</v>
      </c>
      <c r="BJ26" s="206">
        <f>VLOOKUP($A26,TOCA_current!A22:BG157,MATCH(BJ$4,TOCA_current!$A$2:$BG$2,0),FALSE)</f>
        <v>0</v>
      </c>
      <c r="BK26" s="206">
        <f t="shared" si="9"/>
        <v>0</v>
      </c>
      <c r="BL26" s="206">
        <f t="shared" si="10"/>
        <v>0</v>
      </c>
      <c r="BM26" s="381">
        <f>VLOOKUP($A26,IRD!$A$4:$G$139, 7, FALSE)</f>
        <v>0</v>
      </c>
      <c r="BN26" s="382">
        <f t="array" ref="BN26">IF($BI26=0, INDEX(LS_current!$D$4:$AY$139, MATCH('Staging Table'!$A26, LS_current!$B$4:$B$139, 0), MATCH(BN$4&amp;BN$5, LS_current!$D$2:$AY$2&amp;LS_current!$D$3:$AY$3, 0)),SUM(VLOOKUP($A26, LS_current!$B$4:$AY$139, LS_current!D$149, FALSE), VLOOKUP($A26, LS_current!$B$4:$AY$139,LS_current!D$149, FALSE))/2)</f>
        <v>-61.810957364179217</v>
      </c>
      <c r="BO26" s="382">
        <f t="array" ref="BO26">IF($BI26=0, INDEX(LS_current!$D$4:$AY$139, MATCH('Staging Table'!$A26, LS_current!$B$4:$B$139, 0), MATCH(BO$4&amp;BO$5, LS_current!$D$2:$AY$2&amp;LS_current!$D$3:$AY$3, 0)),SUM(VLOOKUP($A26, LS_current!$B$4:$AY$139, LS_current!E$149, FALSE), VLOOKUP($A26, LS_current!$B$4:$AY$139,LS_current!E$149, FALSE))/2)</f>
        <v>16.925366833881583</v>
      </c>
      <c r="BP26" s="382">
        <f t="array" ref="BP26">IF($BI26=0, INDEX(LS_current!$D$4:$AY$139, MATCH('Staging Table'!$A26, LS_current!$B$4:$B$139, 0), MATCH(BP$4&amp;BP$5, LS_current!$D$2:$AY$2&amp;LS_current!$D$3:$AY$3, 0)),SUM(VLOOKUP($A26, LS_current!$B$4:$AY$139, LS_current!F$149, FALSE), VLOOKUP($A26, LS_current!$B$4:$AY$139,LS_current!F$149, FALSE))/2)</f>
        <v>-5.2553028730750384</v>
      </c>
      <c r="BQ26" s="382">
        <f t="array" ref="BQ26">IF($BI26=0, INDEX(LS_current!$D$4:$AY$139, MATCH('Staging Table'!$A26, LS_current!$B$4:$B$139, 0), MATCH(BQ$4&amp;BQ$5, LS_current!$D$2:$AY$2&amp;LS_current!$D$3:$AY$3, 0)),SUM(VLOOKUP($A26, LS_current!$B$4:$AY$139, LS_current!G$149, FALSE), VLOOKUP($A26, LS_current!$B$4:$AY$139,LS_current!G$149, FALSE))/2)</f>
        <v>47.941641383059277</v>
      </c>
      <c r="BR26" s="382">
        <f t="array" ref="BR26">IF($BI26=0, INDEX(LS_current!$D$4:$AY$139, MATCH('Staging Table'!$A26, LS_current!$B$4:$B$139, 0), MATCH(BR$4&amp;BR$5, LS_current!$D$2:$AY$2&amp;LS_current!$D$3:$AY$3, 0)),SUM(VLOOKUP($A26, LS_current!$B$4:$AY$139, LS_current!H$149, FALSE), VLOOKUP($A26, LS_current!$B$4:$AY$139,LS_current!H$149, FALSE))/2)</f>
        <v>143.61478410679047</v>
      </c>
      <c r="BS26" s="382">
        <f t="array" ref="BS26">IF($BI26=0, INDEX(LS_current!$D$4:$AY$139, MATCH('Staging Table'!$A26, LS_current!$B$4:$B$139, 0), MATCH(BS$4&amp;BS$5, LS_current!$D$2:$AY$2&amp;LS_current!$D$3:$AY$3, 0)),SUM(VLOOKUP($A26, LS_current!$B$4:$AY$139, LS_current!I$149, FALSE), VLOOKUP($A26, LS_current!$B$4:$AY$139,LS_current!I$149, FALSE))/2)</f>
        <v>182.84377231813778</v>
      </c>
      <c r="BT26" s="382">
        <f t="array" ref="BT26">IF($BI26=0, INDEX(LS_current!$D$4:$AY$139, MATCH('Staging Table'!$A26, LS_current!$B$4:$B$139, 0), MATCH(BT$4&amp;BT$5, LS_current!$D$2:$AY$2&amp;LS_current!$D$3:$AY$3, 0)),SUM(VLOOKUP($A26, LS_current!$B$4:$AY$139, LS_current!J$149, FALSE), VLOOKUP($A26, LS_current!$B$4:$AY$139,LS_current!J$149, FALSE))/2)</f>
        <v>266.23879931125771</v>
      </c>
      <c r="BU26" s="382">
        <f t="array" ref="BU26">IF($BI26=0, INDEX(LS_current!$D$4:$AY$139, MATCH('Staging Table'!$A26, LS_current!$B$4:$B$139, 0), MATCH(BU$4&amp;BU$5, LS_current!$D$2:$AY$2&amp;LS_current!$D$3:$AY$3, 0)),SUM(VLOOKUP($A26, LS_current!$B$4:$AY$139, LS_current!K$149, FALSE), VLOOKUP($A26, LS_current!$B$4:$AY$139,LS_current!K$149, FALSE))/2)</f>
        <v>193.28030381373452</v>
      </c>
      <c r="BV26" s="382">
        <f t="array" ref="BV26">IF($BI26=0, INDEX(LS_current!$D$4:$AY$139, MATCH('Staging Table'!$A26, LS_current!$B$4:$B$139, 0), MATCH(BV$4&amp;BV$5, LS_current!$D$2:$AY$2&amp;LS_current!$D$3:$AY$3, 0)),SUM(VLOOKUP($A26, LS_current!$B$4:$AY$139, LS_current!L$149, FALSE), VLOOKUP($A26, LS_current!$B$4:$AY$139,LS_current!L$149, FALSE))/2)</f>
        <v>305.77495986983047</v>
      </c>
      <c r="BW26" s="382">
        <f t="array" ref="BW26">IF($BI26=0, INDEX(LS_current!$D$4:$AY$139, MATCH('Staging Table'!$A26, LS_current!$B$4:$B$139, 0), MATCH(BW$4&amp;BW$5, LS_current!$D$2:$AY$2&amp;LS_current!$D$3:$AY$3, 0)),SUM(VLOOKUP($A26, LS_current!$B$4:$AY$139, LS_current!M$149, FALSE), VLOOKUP($A26, LS_current!$B$4:$AY$139,LS_current!M$149, FALSE))/2)</f>
        <v>197.86876334816003</v>
      </c>
      <c r="BX26" s="382">
        <f t="array" ref="BX26">IF($BI26=0, INDEX(LS_current!$D$4:$AY$139, MATCH('Staging Table'!$A26, LS_current!$B$4:$B$139, 0), MATCH(BX$4&amp;BX$5, LS_current!$D$2:$AY$2&amp;LS_current!$D$3:$AY$3, 0)),SUM(VLOOKUP($A26, LS_current!$B$4:$AY$139, LS_current!N$149, FALSE), VLOOKUP($A26, LS_current!$B$4:$AY$139,LS_current!N$149, FALSE))/2)</f>
        <v>130.62451312565122</v>
      </c>
      <c r="BY26" s="382">
        <f t="array" ref="BY26">IF($BI26=0, INDEX(LS_current!$D$4:$AY$139, MATCH('Staging Table'!$A26, LS_current!$B$4:$B$139, 0), MATCH(BY$4&amp;BY$5, LS_current!$D$2:$AY$2&amp;LS_current!$D$3:$AY$3, 0)),SUM(VLOOKUP($A26, LS_current!$B$4:$AY$139, LS_current!O$149, FALSE), VLOOKUP($A26, LS_current!$B$4:$AY$139,LS_current!O$149, FALSE))/2)</f>
        <v>75.18852333257604</v>
      </c>
      <c r="BZ26" s="382">
        <f t="array" ref="BZ26">IF($BI26=0, INDEX(LS_current!$D$4:$AY$139, MATCH('Staging Table'!$A26, LS_current!$B$4:$B$139, 0), MATCH(BZ$4&amp;BZ$5, LS_current!$D$2:$AY$2&amp;LS_current!$D$3:$AY$3, 0)),SUM(VLOOKUP($A26, LS_current!$B$4:$AY$139, LS_current!P$149, FALSE), VLOOKUP($A26, LS_current!$B$4:$AY$139,LS_current!P$149, FALSE))/2)</f>
        <v>41.151024885670381</v>
      </c>
      <c r="CA26" s="382">
        <f t="array" ref="CA26">IF($BI26=0, INDEX(LS_current!$D$4:$AY$139, MATCH('Staging Table'!$A26, LS_current!$B$4:$B$139, 0), MATCH(CA$4&amp;CA$5, LS_current!$D$2:$AY$2&amp;LS_current!$D$3:$AY$3, 0)),SUM(VLOOKUP($A26, LS_current!$B$4:$AY$139, LS_current!Q$149, FALSE), VLOOKUP($A26, LS_current!$B$4:$AY$139,LS_current!Q$149, FALSE))/2)</f>
        <v>90.671022140198431</v>
      </c>
      <c r="CB26" s="382">
        <f t="array" ref="CB26">IF($BI26=0, INDEX(LS_current!$D$4:$AY$139, MATCH('Staging Table'!$A26, LS_current!$B$4:$B$139, 0), MATCH(CB$4&amp;CB$5, LS_current!$D$2:$AY$2&amp;LS_current!$D$3:$AY$3, 0)),SUM(VLOOKUP($A26, LS_current!$B$4:$AY$139, LS_current!R$149, FALSE), VLOOKUP($A26, LS_current!$B$4:$AY$139,LS_current!R$149, FALSE))/2)</f>
        <v>-406.99276223985942</v>
      </c>
      <c r="CC26" s="382">
        <f t="array" ref="CC26">IF($BI26=0, INDEX(LS_current!$D$4:$AY$139, MATCH('Staging Table'!$A26, LS_current!$B$4:$B$139, 0), MATCH(CC$4&amp;CC$5, LS_current!$D$2:$AY$2&amp;LS_current!$D$3:$AY$3, 0)),SUM(VLOOKUP($A26, LS_current!$B$4:$AY$139, LS_current!S$149, FALSE), VLOOKUP($A26, LS_current!$B$4:$AY$139,LS_current!S$149, FALSE))/2)</f>
        <v>-201.46782095376619</v>
      </c>
      <c r="CD26" s="382">
        <f t="array" ref="CD26">IF($BI26=0, INDEX(LS_current!$D$4:$AY$139, MATCH('Staging Table'!$A26, LS_current!$B$4:$B$139, 0), MATCH(CD$4&amp;CD$5, LS_current!$D$2:$AY$2&amp;LS_current!$D$3:$AY$3, 0)),SUM(VLOOKUP($A26, LS_current!$B$4:$AY$139, LS_current!T$149, FALSE), VLOOKUP($A26, LS_current!$B$4:$AY$139,LS_current!T$149, FALSE))/2)</f>
        <v>-232.30595112631033</v>
      </c>
      <c r="CE26" s="382">
        <f t="array" ref="CE26">IF($BI26=0, INDEX(LS_current!$D$4:$AY$139, MATCH('Staging Table'!$A26, LS_current!$B$4:$B$139, 0), MATCH(CE$4&amp;CE$5, LS_current!$D$2:$AY$2&amp;LS_current!$D$3:$AY$3, 0)),SUM(VLOOKUP($A26, LS_current!$B$4:$AY$139, LS_current!U$149, FALSE), VLOOKUP($A26, LS_current!$B$4:$AY$139,LS_current!U$149, FALSE))/2)</f>
        <v>-104.75314356366073</v>
      </c>
      <c r="CF26" s="382">
        <f t="array" ref="CF26">IF($BI26=0, INDEX(LS_current!$D$4:$AY$139, MATCH('Staging Table'!$A26, LS_current!$B$4:$B$139, 0), MATCH(CF$4&amp;CF$5, LS_current!$D$2:$AY$2&amp;LS_current!$D$3:$AY$3, 0)),SUM(VLOOKUP($A26, LS_current!$B$4:$AY$139, LS_current!V$149, FALSE), VLOOKUP($A26, LS_current!$B$4:$AY$139,LS_current!V$149, FALSE))/2)</f>
        <v>-131.47494623190403</v>
      </c>
      <c r="CG26" s="382">
        <f t="array" ref="CG26">IF($BI26=0, INDEX(LS_current!$D$4:$AY$139, MATCH('Staging Table'!$A26, LS_current!$B$4:$B$139, 0), MATCH(CG$4&amp;CG$5, LS_current!$D$2:$AY$2&amp;LS_current!$D$3:$AY$3, 0)),SUM(VLOOKUP($A26, LS_current!$B$4:$AY$139, LS_current!W$149, FALSE), VLOOKUP($A26, LS_current!$B$4:$AY$139,LS_current!W$149, FALSE))/2)</f>
        <v>-0.52130934346240565</v>
      </c>
      <c r="CH26" s="382">
        <f t="array" ref="CH26">IF($BI26=0, INDEX(LS_current!$D$4:$AY$139, MATCH('Staging Table'!$A26, LS_current!$B$4:$B$139, 0), MATCH(CH$4&amp;CH$5, LS_current!$D$2:$AY$2&amp;LS_current!$D$3:$AY$3, 0)),SUM(VLOOKUP($A26, LS_current!$B$4:$AY$139, LS_current!X$149, FALSE), VLOOKUP($A26, LS_current!$B$4:$AY$139,LS_current!X$149, FALSE))/2)</f>
        <v>-169.3761957482368</v>
      </c>
      <c r="CI26" s="382">
        <f t="array" ref="CI26">IF($BI26=0, INDEX(LS_current!$D$4:$AY$139, MATCH('Staging Table'!$A26, LS_current!$B$4:$B$139, 0), MATCH(CI$4&amp;CI$5, LS_current!$D$2:$AY$2&amp;LS_current!$D$3:$AY$3, 0)),SUM(VLOOKUP($A26, LS_current!$B$4:$AY$139, LS_current!Y$149, FALSE), VLOOKUP($A26, LS_current!$B$4:$AY$139,LS_current!Y$149, FALSE))/2)</f>
        <v>-60.831965392025552</v>
      </c>
      <c r="CJ26" s="382">
        <f t="array" ref="CJ26">IF($BI26=0, INDEX(LS_current!$D$4:$AY$139, MATCH('Staging Table'!$A26, LS_current!$B$4:$B$139, 0), MATCH(CJ$4&amp;CJ$5, LS_current!$D$2:$AY$2&amp;LS_current!$D$3:$AY$3, 0)),SUM(VLOOKUP($A26, LS_current!$B$4:$AY$139, LS_current!Z$149, FALSE), VLOOKUP($A26, LS_current!$B$4:$AY$139,LS_current!Z$149, FALSE))/2)</f>
        <v>-133.83135983954537</v>
      </c>
      <c r="CK26" s="382">
        <f t="array" ref="CK26">IF($BI26=0, INDEX(LS_current!$D$4:$AY$139, MATCH('Staging Table'!$A26, LS_current!$B$4:$B$139, 0), MATCH(CK$4&amp;CK$5, LS_current!$D$2:$AY$2&amp;LS_current!$D$3:$AY$3, 0)),SUM(VLOOKUP($A26, LS_current!$B$4:$AY$139, LS_current!AA$149, FALSE), VLOOKUP($A26, LS_current!$B$4:$AY$139,LS_current!AA$149, FALSE))/2)</f>
        <v>-29.190059265599928</v>
      </c>
      <c r="CL26" s="384">
        <f t="array" ref="CL26">INDEX(Demand_current!$D$4:$AY$138, MATCH($A26, Demand_current!$B$4:$B$138, 0), MATCH(CL$4&amp;CL$5,Demand_current!$D$2:$AY$2&amp;Demand_current!$D$3:$AY$3, 0))/1000</f>
        <v>0.15001923076923085</v>
      </c>
      <c r="CM26" s="384">
        <f t="array" ref="CM26">INDEX(Demand_current!$D$4:$AY$138, MATCH($A26, Demand_current!$B$4:$B$138, 0), MATCH(CM$4&amp;CM$5,Demand_current!$D$2:$AY$2&amp;Demand_current!$D$3:$AY$3, 0))/1000</f>
        <v>0</v>
      </c>
      <c r="CN26" s="384">
        <f t="array" ref="CN26">INDEX(Demand_current!$D$4:$AY$138, MATCH($A26, Demand_current!$B$4:$B$138, 0), MATCH(CN$4&amp;CN$5,Demand_current!$D$2:$AY$2&amp;Demand_current!$D$3:$AY$3, 0))/1000</f>
        <v>0.40215749999999995</v>
      </c>
      <c r="CO26" s="384">
        <f t="array" ref="CO26">INDEX(Demand_current!$D$4:$AY$138, MATCH($A26, Demand_current!$B$4:$B$138, 0), MATCH(CO$4&amp;CO$5,Demand_current!$D$2:$AY$2&amp;Demand_current!$D$3:$AY$3, 0))/1000</f>
        <v>0.51215144230769249</v>
      </c>
      <c r="CP26" s="384">
        <f t="array" ref="CP26">INDEX(Demand_current!$D$4:$AY$138, MATCH($A26, Demand_current!$B$4:$B$138, 0), MATCH(CP$4&amp;CP$5,Demand_current!$D$2:$AY$2&amp;Demand_current!$D$3:$AY$3, 0))/1000</f>
        <v>3.2421874999999933E-2</v>
      </c>
      <c r="CQ26" s="384">
        <f t="array" ref="CQ26">INDEX(Demand_current!$D$4:$AY$138, MATCH($A26, Demand_current!$B$4:$B$138, 0), MATCH(CQ$4&amp;CQ$5,Demand_current!$D$2:$AY$2&amp;Demand_current!$D$3:$AY$3, 0))/1000</f>
        <v>0.47135648148148168</v>
      </c>
      <c r="CR26" s="384">
        <f t="array" ref="CR26">INDEX(Demand_current!$D$4:$AY$138, MATCH($A26, Demand_current!$B$4:$B$138, 0), MATCH(CR$4&amp;CR$5,Demand_current!$D$2:$AY$2&amp;Demand_current!$D$3:$AY$3, 0))/1000</f>
        <v>0.23386499999999999</v>
      </c>
      <c r="CS26" s="384">
        <f t="array" ref="CS26">INDEX(Demand_current!$D$4:$AY$138, MATCH($A26, Demand_current!$B$4:$B$138, 0), MATCH(CS$4&amp;CS$5,Demand_current!$D$2:$AY$2&amp;Demand_current!$D$3:$AY$3, 0))/1000</f>
        <v>0</v>
      </c>
      <c r="CT26" s="384">
        <f t="array" ref="CT26">INDEX(Demand_current!$D$4:$AY$138, MATCH($A26, Demand_current!$B$4:$B$138, 0), MATCH(CT$4&amp;CT$5,Demand_current!$D$2:$AY$2&amp;Demand_current!$D$3:$AY$3, 0))/1000</f>
        <v>0.10098798076923077</v>
      </c>
      <c r="CU26" s="384">
        <f t="array" ref="CU26">INDEX(Demand_current!$D$4:$AY$138, MATCH($A26, Demand_current!$B$4:$B$138, 0), MATCH(CU$4&amp;CU$5,Demand_current!$D$2:$AY$2&amp;Demand_current!$D$3:$AY$3, 0))/1000</f>
        <v>0.17538499999999979</v>
      </c>
      <c r="CV26" s="384">
        <f t="array" ref="CV26">INDEX(Demand_current!$D$4:$AY$138, MATCH($A26, Demand_current!$B$4:$B$138, 0), MATCH(CV$4&amp;CV$5,Demand_current!$D$2:$AY$2&amp;Demand_current!$D$3:$AY$3, 0))/1000</f>
        <v>0.24811342592592606</v>
      </c>
      <c r="CW26" s="384">
        <f t="array" ref="CW26">INDEX(Demand_current!$D$4:$AY$138, MATCH($A26, Demand_current!$B$4:$B$138, 0), MATCH(CW$4&amp;CW$5,Demand_current!$D$2:$AY$2&amp;Demand_current!$D$3:$AY$3, 0))/1000</f>
        <v>0</v>
      </c>
      <c r="CX26" s="384">
        <f>IF(D26=0,IF(C26=0,MAX(0,DA26 - (VLOOKUP($A26,TOCA_current!$A$2:$AI$137,MATCH("RHWM 2018",TOCA_current!$A$2:$AI$2,0),FALSE)*$BH$2)), 0),0)</f>
        <v>3.4172385753190611</v>
      </c>
      <c r="CY26" s="427">
        <f>VLOOKUP($A26,REP_current!$A$1:$D$135,MATCH("FY "&amp;$BH$1&amp; " Total Refund",REP_current!$A$1:$D$1,0),0)</f>
        <v>29750.927364200797</v>
      </c>
      <c r="CZ26" s="432">
        <f>MIN(VLOOKUP($A26,TOCA_current!$A$2:$AI$137,MATCH("TRL - NLSL - Existing Resource "&amp;$BH$1,TOCA_current!$A$2:$AI$2,0),FALSE)*$BH$2, VLOOKUP($A26,TOCA_current!$A$2:$AI$137,MATCH("RHWM 2018",TOCA_current!$A$2:$AI$2,0),FALSE)*$BH$2)</f>
        <v>16354.92</v>
      </c>
      <c r="DA26" s="397">
        <f>SUM(BN26:CK26)+(BH26*RT1SC!$C$4*$BH$2)</f>
        <v>16507.257238575319</v>
      </c>
      <c r="DB26" s="432">
        <f>VLOOKUP($A26,TOCA_current!$A$2:$AI$137,MATCH("Above RHWM Not Served with LS "&amp;$BH$1,TOCA_current!$A$2:$AI$2,0),FALSE)*$BH$2</f>
        <v>0</v>
      </c>
      <c r="DC26" s="401">
        <f t="shared" si="11"/>
        <v>152.33723857531913</v>
      </c>
      <c r="DD26" s="397">
        <f>(VLOOKUP($A26,TOCA_current!$A$2:$AI$137,MATCH("RHWM 2018",TOCA_current!$A$2:$AI$2,0),FALSE)*$BH$2) - $CZ26</f>
        <v>148.92000000000007</v>
      </c>
      <c r="DE26" s="397">
        <f t="shared" si="12"/>
        <v>-148.92000000000007</v>
      </c>
      <c r="DF26" s="397">
        <f t="shared" si="13"/>
        <v>0</v>
      </c>
      <c r="DG26" s="397">
        <f t="shared" si="14"/>
        <v>0</v>
      </c>
      <c r="DH26" s="397">
        <f t="shared" si="15"/>
        <v>-148.92000000000007</v>
      </c>
    </row>
    <row r="27" spans="1:112">
      <c r="A27" s="274">
        <v>10072</v>
      </c>
      <c r="B27" s="275" t="s">
        <v>28</v>
      </c>
      <c r="C27" s="397">
        <v>0</v>
      </c>
      <c r="D27" s="397">
        <v>0</v>
      </c>
      <c r="E27" s="205">
        <f>VLOOKUP($A27,TOCA_previous!$A$2:$AI$137,MATCH(E$4,TOCA_previous!$A$2:$AI$2,0),FALSE)</f>
        <v>3.4007999999999998E-3</v>
      </c>
      <c r="F27" s="206">
        <f>VLOOKUP($A27,TOCA_previous!$A$2:$AI$137,MATCH(F$4,TOCA_previous!$A$2:$AI$2,0),FALSE)</f>
        <v>3.4007999999999998E-3</v>
      </c>
      <c r="G27" s="206">
        <f t="shared" si="0"/>
        <v>0</v>
      </c>
      <c r="H27" s="206">
        <f>VLOOKUP($A27,TOCA_previous!$A$2:$AI$137,MATCH(H$4,TOCA_previous!$A$2:$AI$2,0),FALSE)</f>
        <v>0</v>
      </c>
      <c r="I27" s="206">
        <f t="shared" si="1"/>
        <v>0</v>
      </c>
      <c r="J27" s="206">
        <f t="shared" si="2"/>
        <v>0</v>
      </c>
      <c r="K27" s="381">
        <f>VLOOKUP(A27, IRD!$A$5:$C$139, 3, FALSE)</f>
        <v>0</v>
      </c>
      <c r="L27" s="382">
        <f t="array" ref="L27">IF($G27=0, INDEX(LS_previous!$D$4:$AY$138, MATCH('Staging Table'!$A27, LS_previous!$B$4:$B$138, 0), MATCH(L$4&amp;L$5, LS_previous!$D$2:$AY$2&amp;LS_previous!$D$3:$AY$3, 0)),SUM(VLOOKUP($A27, LS_previous!$B$4:$AY$138, LS_previous!D$149, FALSE), VLOOKUP('Staging Table'!$A27, LS_previous!$B$4:$AY$138,LS_previous!AB$149, FALSE))/2)</f>
        <v>658.67821564298902</v>
      </c>
      <c r="M27" s="382">
        <f t="array" ref="M27">IF($G27=0, INDEX(LS_previous!$D$4:$AY$138, MATCH('Staging Table'!$A27, LS_previous!$B$4:$B$138, 0), MATCH(M$4&amp;M$5, LS_previous!$D$2:$AY$2&amp;LS_previous!$D$3:$AY$3, 0)),SUM(VLOOKUP($A27, LS_previous!$B$4:$AY$138, LS_previous!E$149, FALSE), VLOOKUP('Staging Table'!$A27, LS_previous!$B$4:$AY$138,LS_previous!AC$149, FALSE))/2)</f>
        <v>409.63541282529786</v>
      </c>
      <c r="N27" s="382">
        <f t="array" ref="N27">IF($G27=0, INDEX(LS_previous!$D$4:$AY$138, MATCH('Staging Table'!$A27, LS_previous!$B$4:$B$138, 0), MATCH(N$4&amp;N$5, LS_previous!$D$2:$AY$2&amp;LS_previous!$D$3:$AY$3, 0)),SUM(VLOOKUP($A27, LS_previous!$B$4:$AY$138, LS_previous!F$149, FALSE), VLOOKUP('Staging Table'!$A27, LS_previous!$B$4:$AY$138,LS_previous!AD$149, FALSE))/2)</f>
        <v>-1110.5340461659907</v>
      </c>
      <c r="O27" s="382">
        <f t="array" ref="O27">IF($G27=0, INDEX(LS_previous!$D$4:$AY$138, MATCH('Staging Table'!$A27, LS_previous!$B$4:$B$138, 0), MATCH(O$4&amp;O$5, LS_previous!$D$2:$AY$2&amp;LS_previous!$D$3:$AY$3, 0)),SUM(VLOOKUP($A27, LS_previous!$B$4:$AY$138, LS_previous!G$149, FALSE), VLOOKUP('Staging Table'!$A27, LS_previous!$B$4:$AY$138,LS_previous!AE$149, FALSE))/2)</f>
        <v>114.85268716513383</v>
      </c>
      <c r="P27" s="382">
        <f t="array" ref="P27">IF($G27=0, INDEX(LS_previous!$D$4:$AY$138, MATCH('Staging Table'!$A27, LS_previous!$B$4:$B$138, 0), MATCH(P$4&amp;P$5, LS_previous!$D$2:$AY$2&amp;LS_previous!$D$3:$AY$3, 0)),SUM(VLOOKUP($A27, LS_previous!$B$4:$AY$138, LS_previous!H$149, FALSE), VLOOKUP('Staging Table'!$A27, LS_previous!$B$4:$AY$138,LS_previous!AF$149, FALSE))/2)</f>
        <v>1143.4177140617739</v>
      </c>
      <c r="Q27" s="382">
        <f t="array" ref="Q27">IF($G27=0, INDEX(LS_previous!$D$4:$AY$138, MATCH('Staging Table'!$A27, LS_previous!$B$4:$B$138, 0), MATCH(Q$4&amp;Q$5, LS_previous!$D$2:$AY$2&amp;LS_previous!$D$3:$AY$3, 0)),SUM(VLOOKUP($A27, LS_previous!$B$4:$AY$138, LS_previous!I$149, FALSE), VLOOKUP('Staging Table'!$A27, LS_previous!$B$4:$AY$138,LS_previous!AG$149, FALSE))/2)</f>
        <v>1392.2142285559512</v>
      </c>
      <c r="R27" s="382">
        <f t="array" ref="R27">IF($G27=0, INDEX(LS_previous!$D$4:$AY$138, MATCH('Staging Table'!$A27, LS_previous!$B$4:$B$138, 0), MATCH(R$4&amp;R$5, LS_previous!$D$2:$AY$2&amp;LS_previous!$D$3:$AY$3, 0)),SUM(VLOOKUP($A27, LS_previous!$B$4:$AY$138, LS_previous!J$149, FALSE), VLOOKUP('Staging Table'!$A27, LS_previous!$B$4:$AY$138,LS_previous!AH$149, FALSE))/2)</f>
        <v>3005.7999057335328</v>
      </c>
      <c r="S27" s="382">
        <f t="array" ref="S27">IF($G27=0, INDEX(LS_previous!$D$4:$AY$138, MATCH('Staging Table'!$A27, LS_previous!$B$4:$B$138, 0), MATCH(S$4&amp;S$5, LS_previous!$D$2:$AY$2&amp;LS_previous!$D$3:$AY$3, 0)),SUM(VLOOKUP($A27, LS_previous!$B$4:$AY$138, LS_previous!K$149, FALSE), VLOOKUP('Staging Table'!$A27, LS_previous!$B$4:$AY$138,LS_previous!AI$149, FALSE))/2)</f>
        <v>2517.0620791305246</v>
      </c>
      <c r="T27" s="382">
        <f t="array" ref="T27">IF($G27=0, INDEX(LS_previous!$D$4:$AY$138, MATCH('Staging Table'!$A27, LS_previous!$B$4:$B$138, 0), MATCH(T$4&amp;T$5, LS_previous!$D$2:$AY$2&amp;LS_previous!$D$3:$AY$3, 0)),SUM(VLOOKUP($A27, LS_previous!$B$4:$AY$138, LS_previous!L$149, FALSE), VLOOKUP('Staging Table'!$A27, LS_previous!$B$4:$AY$138,LS_previous!AJ$149, FALSE))/2)</f>
        <v>1955.6772018057727</v>
      </c>
      <c r="U27" s="382">
        <f t="array" ref="U27">IF($G27=0, INDEX(LS_previous!$D$4:$AY$138, MATCH('Staging Table'!$A27, LS_previous!$B$4:$B$138, 0), MATCH(U$4&amp;U$5, LS_previous!$D$2:$AY$2&amp;LS_previous!$D$3:$AY$3, 0)),SUM(VLOOKUP($A27, LS_previous!$B$4:$AY$138, LS_previous!M$149, FALSE), VLOOKUP('Staging Table'!$A27, LS_previous!$B$4:$AY$138,LS_previous!AK$149, FALSE))/2)</f>
        <v>1257.9497155154186</v>
      </c>
      <c r="V27" s="382">
        <f t="array" ref="V27">IF($G27=0, INDEX(LS_previous!$D$4:$AY$138, MATCH('Staging Table'!$A27, LS_previous!$B$4:$B$138, 0), MATCH(V$4&amp;V$5, LS_previous!$D$2:$AY$2&amp;LS_previous!$D$3:$AY$3, 0)),SUM(VLOOKUP($A27, LS_previous!$B$4:$AY$138, LS_previous!N$149, FALSE), VLOOKUP('Staging Table'!$A27, LS_previous!$B$4:$AY$138,LS_previous!AL$149, FALSE))/2)</f>
        <v>-246.96497974076374</v>
      </c>
      <c r="W27" s="382">
        <f t="array" ref="W27">IF($G27=0, INDEX(LS_previous!$D$4:$AY$138, MATCH('Staging Table'!$A27, LS_previous!$B$4:$B$138, 0), MATCH(W$4&amp;W$5, LS_previous!$D$2:$AY$2&amp;LS_previous!$D$3:$AY$3, 0)),SUM(VLOOKUP($A27, LS_previous!$B$4:$AY$138, LS_previous!O$149, FALSE), VLOOKUP('Staging Table'!$A27, LS_previous!$B$4:$AY$138,LS_previous!AM$149, FALSE))/2)</f>
        <v>-108.93259074426533</v>
      </c>
      <c r="X27" s="382">
        <f t="array" ref="X27">IF($G27=0, INDEX(LS_previous!$D$4:$AY$138, MATCH('Staging Table'!$A27, LS_previous!$B$4:$B$138, 0), MATCH(X$4&amp;X$5, LS_previous!$D$2:$AY$2&amp;LS_previous!$D$3:$AY$3, 0)),SUM(VLOOKUP($A27, LS_previous!$B$4:$AY$138, LS_previous!P$149, FALSE), VLOOKUP('Staging Table'!$A27, LS_previous!$B$4:$AY$138,LS_previous!AN$149, FALSE))/2)</f>
        <v>800.74520775037308</v>
      </c>
      <c r="Y27" s="382">
        <f t="array" ref="Y27">IF($G27=0, INDEX(LS_previous!$D$4:$AY$138, MATCH('Staging Table'!$A27, LS_previous!$B$4:$B$138, 0), MATCH(Y$4&amp;Y$5, LS_previous!$D$2:$AY$2&amp;LS_previous!$D$3:$AY$3, 0)),SUM(VLOOKUP($A27, LS_previous!$B$4:$AY$138, LS_previous!Q$149, FALSE), VLOOKUP('Staging Table'!$A27, LS_previous!$B$4:$AY$138,LS_previous!AO$149, FALSE))/2)</f>
        <v>190.86722285416454</v>
      </c>
      <c r="Z27" s="382">
        <f t="array" ref="Z27">IF($G27=0, INDEX(LS_previous!$D$4:$AY$138, MATCH('Staging Table'!$A27, LS_previous!$B$4:$B$138, 0), MATCH(Z$4&amp;Z$5, LS_previous!$D$2:$AY$2&amp;LS_previous!$D$3:$AY$3, 0)),SUM(VLOOKUP($A27, LS_previous!$B$4:$AY$138, LS_previous!R$149, FALSE), VLOOKUP('Staging Table'!$A27, LS_previous!$B$4:$AY$138,LS_previous!AP$149, FALSE))/2)</f>
        <v>-5615.9540514845285</v>
      </c>
      <c r="AA27" s="382">
        <f t="array" ref="AA27">IF($G27=0, INDEX(LS_previous!$D$4:$AY$138, MATCH('Staging Table'!$A27, LS_previous!$B$4:$B$138, 0), MATCH(AA$4&amp;AA$5, LS_previous!$D$2:$AY$2&amp;LS_previous!$D$3:$AY$3, 0)),SUM(VLOOKUP($A27, LS_previous!$B$4:$AY$138, LS_previous!S$149, FALSE), VLOOKUP('Staging Table'!$A27, LS_previous!$B$4:$AY$138,LS_previous!AQ$149, FALSE))/2)</f>
        <v>-2465.7493492670219</v>
      </c>
      <c r="AB27" s="382">
        <f t="array" ref="AB27">IF($G27=0, INDEX(LS_previous!$D$4:$AY$138, MATCH('Staging Table'!$A27, LS_previous!$B$4:$B$138, 0), MATCH(AB$4&amp;AB$5, LS_previous!$D$2:$AY$2&amp;LS_previous!$D$3:$AY$3, 0)),SUM(VLOOKUP($A27, LS_previous!$B$4:$AY$138, LS_previous!T$149, FALSE), VLOOKUP('Staging Table'!$A27, LS_previous!$B$4:$AY$138,LS_previous!AR$149, FALSE))/2)</f>
        <v>-2306.6645825312971</v>
      </c>
      <c r="AC27" s="382">
        <f t="array" ref="AC27">IF($G27=0, INDEX(LS_previous!$D$4:$AY$138, MATCH('Staging Table'!$A27, LS_previous!$B$4:$B$138, 0), MATCH(AC$4&amp;AC$5, LS_previous!$D$2:$AY$2&amp;LS_previous!$D$3:$AY$3, 0)),SUM(VLOOKUP($A27, LS_previous!$B$4:$AY$138, LS_previous!U$149, FALSE), VLOOKUP('Staging Table'!$A27, LS_previous!$B$4:$AY$138,LS_previous!AS$149, FALSE))/2)</f>
        <v>-1230.7026758206166</v>
      </c>
      <c r="AD27" s="382">
        <f t="array" ref="AD27">IF($G27=0, INDEX(LS_previous!$D$4:$AY$138, MATCH('Staging Table'!$A27, LS_previous!$B$4:$B$138, 0), MATCH(AD$4&amp;AD$5, LS_previous!$D$2:$AY$2&amp;LS_previous!$D$3:$AY$3, 0)),SUM(VLOOKUP($A27, LS_previous!$B$4:$AY$138, LS_previous!V$149, FALSE), VLOOKUP('Staging Table'!$A27, LS_previous!$B$4:$AY$138,LS_previous!AT$149, FALSE))/2)</f>
        <v>-950.88151899011609</v>
      </c>
      <c r="AE27" s="382">
        <f t="array" ref="AE27">IF($G27=0, INDEX(LS_previous!$D$4:$AY$138, MATCH('Staging Table'!$A27, LS_previous!$B$4:$B$138, 0), MATCH(AE$4&amp;AE$5, LS_previous!$D$2:$AY$2&amp;LS_previous!$D$3:$AY$3, 0)),SUM(VLOOKUP($A27, LS_previous!$B$4:$AY$138, LS_previous!W$149, FALSE), VLOOKUP('Staging Table'!$A27, LS_previous!$B$4:$AY$138,LS_previous!AU$149, FALSE))/2)</f>
        <v>299.28215960739362</v>
      </c>
      <c r="AF27" s="382">
        <f t="array" ref="AF27">IF($G27=0, INDEX(LS_previous!$D$4:$AY$138, MATCH('Staging Table'!$A27, LS_previous!$B$4:$B$138, 0), MATCH(AF$4&amp;AF$5, LS_previous!$D$2:$AY$2&amp;LS_previous!$D$3:$AY$3, 0)),SUM(VLOOKUP($A27, LS_previous!$B$4:$AY$138, LS_previous!X$149, FALSE), VLOOKUP('Staging Table'!$A27, LS_previous!$B$4:$AY$138,LS_previous!AV$149, FALSE))/2)</f>
        <v>-1381.3874568547253</v>
      </c>
      <c r="AG27" s="382">
        <f t="array" ref="AG27">IF($G27=0, INDEX(LS_previous!$D$4:$AY$138, MATCH('Staging Table'!$A27, LS_previous!$B$4:$B$138, 0), MATCH(AG$4&amp;AG$5, LS_previous!$D$2:$AY$2&amp;LS_previous!$D$3:$AY$3, 0)),SUM(VLOOKUP($A27, LS_previous!$B$4:$AY$138, LS_previous!Y$149, FALSE), VLOOKUP('Staging Table'!$A27, LS_previous!$B$4:$AY$138,LS_previous!AW$149, FALSE))/2)</f>
        <v>-52.628873741781717</v>
      </c>
      <c r="AH27" s="382">
        <f t="array" ref="AH27">IF($G27=0, INDEX(LS_previous!$D$4:$AY$138, MATCH('Staging Table'!$A27, LS_previous!$B$4:$B$138, 0), MATCH(AH$4&amp;AH$5, LS_previous!$D$2:$AY$2&amp;LS_previous!$D$3:$AY$3, 0)),SUM(VLOOKUP($A27, LS_previous!$B$4:$AY$138, LS_previous!Z$149, FALSE), VLOOKUP('Staging Table'!$A27, LS_previous!$B$4:$AY$138,LS_previous!AX$149, FALSE))/2)</f>
        <v>-534.77835084414073</v>
      </c>
      <c r="AI27" s="382">
        <f t="array" ref="AI27">IF($G27=0, INDEX(LS_previous!$D$4:$AY$138, MATCH('Staging Table'!$A27, LS_previous!$B$4:$B$138, 0), MATCH(AI$4&amp;AI$5, LS_previous!$D$2:$AY$2&amp;LS_previous!$D$3:$AY$3, 0)),SUM(VLOOKUP($A27, LS_previous!$B$4:$AY$138, LS_previous!AA$149, FALSE), VLOOKUP('Staging Table'!$A27, LS_previous!$B$4:$AY$138,LS_previous!AY$149, FALSE))/2)</f>
        <v>-238.57569436206177</v>
      </c>
      <c r="AJ27" s="384">
        <f t="array" ref="AJ27">INDEX(Demand_previous!$D$4:$AY$138, MATCH('Staging Table'!$A27, Demand_previous!$B$4:$B$138, 0), MATCH(AJ$4&amp;AJ$5,Demand_previous!$D$2:$AY$2&amp;Demand_previous!$D$3:$AY$3, 0))/1000</f>
        <v>3.5300185185185144</v>
      </c>
      <c r="AK27" s="384">
        <f t="array" ref="AK27">INDEX(Demand_previous!$D$4:$AY$138, MATCH('Staging Table'!$A27, Demand_previous!$B$4:$B$138, 0), MATCH(AK$4&amp;AK$5,Demand_previous!$D$2:$AY$2&amp;Demand_previous!$D$3:$AY$3, 0))/1000</f>
        <v>0.63563281249999914</v>
      </c>
      <c r="AL27" s="384">
        <f t="array" ref="AL27">INDEX(Demand_previous!$D$4:$AY$138, MATCH('Staging Table'!$A27, Demand_previous!$B$4:$B$138, 0), MATCH(AL$4&amp;AL$5,Demand_previous!$D$2:$AY$2&amp;Demand_previous!$D$3:$AY$3, 0))/1000</f>
        <v>3.08746153846154</v>
      </c>
      <c r="AM27" s="384">
        <f t="array" ref="AM27">INDEX(Demand_previous!$D$4:$AY$138, MATCH('Staging Table'!$A27, Demand_previous!$B$4:$B$138, 0), MATCH(AM$4&amp;AM$5,Demand_previous!$D$2:$AY$2&amp;Demand_previous!$D$3:$AY$3, 0))/1000</f>
        <v>2.8825225000000012</v>
      </c>
      <c r="AN27" s="384">
        <f t="array" ref="AN27">INDEX(Demand_previous!$D$4:$AY$138, MATCH('Staging Table'!$A27, Demand_previous!$B$4:$B$138, 0), MATCH(AN$4&amp;AN$5,Demand_previous!$D$2:$AY$2&amp;Demand_previous!$D$3:$AY$3, 0))/1000</f>
        <v>4.95641</v>
      </c>
      <c r="AO27" s="384">
        <f t="array" ref="AO27">INDEX(Demand_previous!$D$4:$AY$138, MATCH('Staging Table'!$A27, Demand_previous!$B$4:$B$138, 0), MATCH(AO$4&amp;AO$5,Demand_previous!$D$2:$AY$2&amp;Demand_previous!$D$3:$AY$3, 0))/1000</f>
        <v>4.5218842592592612</v>
      </c>
      <c r="AP27" s="384">
        <f t="array" ref="AP27">INDEX(Demand_previous!$D$4:$AY$138, MATCH('Staging Table'!$A27, Demand_previous!$B$4:$B$138, 0), MATCH(AP$4&amp;AP$5,Demand_previous!$D$2:$AY$2&amp;Demand_previous!$D$3:$AY$3, 0))/1000</f>
        <v>3.3531201923076952</v>
      </c>
      <c r="AQ27" s="384">
        <f t="array" ref="AQ27">INDEX(Demand_previous!$D$4:$AY$138, MATCH('Staging Table'!$A27, Demand_previous!$B$4:$B$138, 0), MATCH(AQ$4&amp;AQ$5,Demand_previous!$D$2:$AY$2&amp;Demand_previous!$D$3:$AY$3, 0))/1000</f>
        <v>0.80056250000000295</v>
      </c>
      <c r="AR27" s="384">
        <f t="array" ref="AR27">INDEX(Demand_previous!$D$4:$AY$138, MATCH('Staging Table'!$A27, Demand_previous!$B$4:$B$138, 0), MATCH(AR$4&amp;AR$5,Demand_previous!$D$2:$AY$2&amp;Demand_previous!$D$3:$AY$3, 0))/1000</f>
        <v>2.960057692307692</v>
      </c>
      <c r="AS27" s="384">
        <f t="array" ref="AS27">INDEX(Demand_previous!$D$4:$AY$138, MATCH('Staging Table'!$A27, Demand_previous!$B$4:$B$138, 0), MATCH(AS$4&amp;AS$5,Demand_previous!$D$2:$AY$2&amp;Demand_previous!$D$3:$AY$3, 0))/1000</f>
        <v>2.0077674999999955</v>
      </c>
      <c r="AT27" s="384">
        <f t="array" ref="AT27">INDEX(Demand_previous!$D$4:$AY$138, MATCH('Staging Table'!$A27, Demand_previous!$B$4:$B$138, 0), MATCH(AT$4&amp;AT$5,Demand_previous!$D$2:$AY$2&amp;Demand_previous!$D$3:$AY$3, 0))/1000</f>
        <v>4.2496319444444444</v>
      </c>
      <c r="AU27" s="384">
        <f t="array" ref="AU27">INDEX(Demand_previous!$D$4:$AY$138, MATCH('Staging Table'!$A27, Demand_previous!$B$4:$B$138, 0), MATCH(AU$4&amp;AU$5,Demand_previous!$D$2:$AY$2&amp;Demand_previous!$D$3:$AY$3, 0))/1000</f>
        <v>5.0119475000000016</v>
      </c>
      <c r="AV27" s="384">
        <f>IF($D27=0,IF(C27=0, MAX(AY27 - (VLOOKUP($A27,TOCA_previous!$A$2:$AI$137,MATCH("RHWM 2016",TOCA_previous!$A$2:$AI$2,0),FALSE)*$F$2*TOCA_previous!C24),0),0), 0)</f>
        <v>0</v>
      </c>
      <c r="AW27" s="427">
        <f>VLOOKUP($A27,REP_previous!$A$1:$D$135,MATCH("FY "&amp;$F$1&amp; " Total Refund",REP_previous!$A$1:$D$1,0),0)</f>
        <v>308014.13703458314</v>
      </c>
      <c r="AX27" s="398">
        <f>MIN(VLOOKUP($A27,TOCA_previous!$A$2:$AI$137,MATCH("TRL - NLSL - Exisiting Resource "&amp;$F$1,TOCA_previous!$A$2:$AI$2,0),FALSE)*$F$2,(VLOOKUP($A27,TOCA_previous!$A$2:$AI$137,MATCH("RHWM 2016",TOCA_previous!$A$2:$AI$2,0),FALSE)*$F$2))</f>
        <v>208602.432</v>
      </c>
      <c r="AY27" s="384">
        <f>SUM(L27:AI27)+(F27*RT1SC!$C$3*$F$2)</f>
        <v>206105.52249101299</v>
      </c>
      <c r="AZ27" s="398">
        <f>VLOOKUP($A27,TOCA_previous!$A$2:$AI$137,MATCH("Above RHWM Not Served with LS "&amp;$F$1,TOCA_previous!$A$2:$AI$2,0),FALSE)*$F$2</f>
        <v>3513.6000000000004</v>
      </c>
      <c r="BA27" s="206">
        <f t="shared" si="3"/>
        <v>-2496.9095089870098</v>
      </c>
      <c r="BB27" s="399">
        <f>(VLOOKUP($A27,TOCA_previous!$A$2:$AI$137,MATCH("RHWM 2016",TOCA_previous!$A$2:$AI$2,0),FALSE)*$F$2) - $AX27</f>
        <v>0</v>
      </c>
      <c r="BC27" s="206">
        <f t="shared" si="4"/>
        <v>0</v>
      </c>
      <c r="BD27" s="400">
        <f t="shared" si="5"/>
        <v>0</v>
      </c>
      <c r="BE27" s="392">
        <f t="shared" si="6"/>
        <v>0</v>
      </c>
      <c r="BF27" s="399">
        <f t="shared" si="7"/>
        <v>0</v>
      </c>
      <c r="BG27" s="206">
        <f>VLOOKUP($A27,TOCA_current!$A$2:$AI$137,MATCH(BG$4,TOCA_current!$A$2:$AI$2,0),FALSE)</f>
        <v>3.3977999999999999E-3</v>
      </c>
      <c r="BH27" s="206">
        <f>VLOOKUP($A27,TOCA_current!$A$2:$AI$137,MATCH(BH$4,TOCA_current!$A$2:$AI$2,0),FALSE)</f>
        <v>3.3977999999999999E-3</v>
      </c>
      <c r="BI27" s="391">
        <f t="shared" si="8"/>
        <v>0</v>
      </c>
      <c r="BJ27" s="206">
        <f>VLOOKUP($A27,TOCA_current!A23:BG158,MATCH(BJ$4,TOCA_current!$A$2:$BG$2,0),FALSE)</f>
        <v>0</v>
      </c>
      <c r="BK27" s="206">
        <f t="shared" si="9"/>
        <v>0</v>
      </c>
      <c r="BL27" s="206">
        <f t="shared" si="10"/>
        <v>0</v>
      </c>
      <c r="BM27" s="381">
        <f>VLOOKUP($A27,IRD!$A$4:$G$139, 7, FALSE)</f>
        <v>0</v>
      </c>
      <c r="BN27" s="382">
        <f t="array" ref="BN27">IF($BI27=0, INDEX(LS_current!$D$4:$AY$139, MATCH('Staging Table'!$A27, LS_current!$B$4:$B$139, 0), MATCH(BN$4&amp;BN$5, LS_current!$D$2:$AY$2&amp;LS_current!$D$3:$AY$3, 0)),SUM(VLOOKUP($A27, LS_current!$B$4:$AY$139, LS_current!D$149, FALSE), VLOOKUP($A27, LS_current!$B$4:$AY$139,LS_current!D$149, FALSE))/2)</f>
        <v>611.21699206842095</v>
      </c>
      <c r="BO27" s="382">
        <f t="array" ref="BO27">IF($BI27=0, INDEX(LS_current!$D$4:$AY$139, MATCH('Staging Table'!$A27, LS_current!$B$4:$B$139, 0), MATCH(BO$4&amp;BO$5, LS_current!$D$2:$AY$2&amp;LS_current!$D$3:$AY$3, 0)),SUM(VLOOKUP($A27, LS_current!$B$4:$AY$139, LS_current!E$149, FALSE), VLOOKUP($A27, LS_current!$B$4:$AY$139,LS_current!E$149, FALSE))/2)</f>
        <v>704.84605888453461</v>
      </c>
      <c r="BP27" s="382">
        <f t="array" ref="BP27">IF($BI27=0, INDEX(LS_current!$D$4:$AY$139, MATCH('Staging Table'!$A27, LS_current!$B$4:$B$139, 0), MATCH(BP$4&amp;BP$5, LS_current!$D$2:$AY$2&amp;LS_current!$D$3:$AY$3, 0)),SUM(VLOOKUP($A27, LS_current!$B$4:$AY$139, LS_current!F$149, FALSE), VLOOKUP($A27, LS_current!$B$4:$AY$139,LS_current!F$149, FALSE))/2)</f>
        <v>-1367.1754847549637</v>
      </c>
      <c r="BQ27" s="382">
        <f t="array" ref="BQ27">IF($BI27=0, INDEX(LS_current!$D$4:$AY$139, MATCH('Staging Table'!$A27, LS_current!$B$4:$B$139, 0), MATCH(BQ$4&amp;BQ$5, LS_current!$D$2:$AY$2&amp;LS_current!$D$3:$AY$3, 0)),SUM(VLOOKUP($A27, LS_current!$B$4:$AY$139, LS_current!G$149, FALSE), VLOOKUP($A27, LS_current!$B$4:$AY$139,LS_current!G$149, FALSE))/2)</f>
        <v>188.16443560773405</v>
      </c>
      <c r="BR27" s="382">
        <f t="array" ref="BR27">IF($BI27=0, INDEX(LS_current!$D$4:$AY$139, MATCH('Staging Table'!$A27, LS_current!$B$4:$B$139, 0), MATCH(BR$4&amp;BR$5, LS_current!$D$2:$AY$2&amp;LS_current!$D$3:$AY$3, 0)),SUM(VLOOKUP($A27, LS_current!$B$4:$AY$139, LS_current!H$149, FALSE), VLOOKUP($A27, LS_current!$B$4:$AY$139,LS_current!H$149, FALSE))/2)</f>
        <v>762.43198972489699</v>
      </c>
      <c r="BS27" s="382">
        <f t="array" ref="BS27">IF($BI27=0, INDEX(LS_current!$D$4:$AY$139, MATCH('Staging Table'!$A27, LS_current!$B$4:$B$139, 0), MATCH(BS$4&amp;BS$5, LS_current!$D$2:$AY$2&amp;LS_current!$D$3:$AY$3, 0)),SUM(VLOOKUP($A27, LS_current!$B$4:$AY$139, LS_current!I$149, FALSE), VLOOKUP($A27, LS_current!$B$4:$AY$139,LS_current!I$149, FALSE))/2)</f>
        <v>1316.8912469589604</v>
      </c>
      <c r="BT27" s="382">
        <f t="array" ref="BT27">IF($BI27=0, INDEX(LS_current!$D$4:$AY$139, MATCH('Staging Table'!$A27, LS_current!$B$4:$B$139, 0), MATCH(BT$4&amp;BT$5, LS_current!$D$2:$AY$2&amp;LS_current!$D$3:$AY$3, 0)),SUM(VLOOKUP($A27, LS_current!$B$4:$AY$139, LS_current!J$149, FALSE), VLOOKUP($A27, LS_current!$B$4:$AY$139,LS_current!J$149, FALSE))/2)</f>
        <v>2886.0336819188651</v>
      </c>
      <c r="BU27" s="382">
        <f t="array" ref="BU27">IF($BI27=0, INDEX(LS_current!$D$4:$AY$139, MATCH('Staging Table'!$A27, LS_current!$B$4:$B$139, 0), MATCH(BU$4&amp;BU$5, LS_current!$D$2:$AY$2&amp;LS_current!$D$3:$AY$3, 0)),SUM(VLOOKUP($A27, LS_current!$B$4:$AY$139, LS_current!K$149, FALSE), VLOOKUP($A27, LS_current!$B$4:$AY$139,LS_current!K$149, FALSE))/2)</f>
        <v>2498.5799497704875</v>
      </c>
      <c r="BV27" s="382">
        <f t="array" ref="BV27">IF($BI27=0, INDEX(LS_current!$D$4:$AY$139, MATCH('Staging Table'!$A27, LS_current!$B$4:$B$139, 0), MATCH(BV$4&amp;BV$5, LS_current!$D$2:$AY$2&amp;LS_current!$D$3:$AY$3, 0)),SUM(VLOOKUP($A27, LS_current!$B$4:$AY$139, LS_current!L$149, FALSE), VLOOKUP($A27, LS_current!$B$4:$AY$139,LS_current!L$149, FALSE))/2)</f>
        <v>2668.9783833545753</v>
      </c>
      <c r="BW27" s="382">
        <f t="array" ref="BW27">IF($BI27=0, INDEX(LS_current!$D$4:$AY$139, MATCH('Staging Table'!$A27, LS_current!$B$4:$B$139, 0), MATCH(BW$4&amp;BW$5, LS_current!$D$2:$AY$2&amp;LS_current!$D$3:$AY$3, 0)),SUM(VLOOKUP($A27, LS_current!$B$4:$AY$139, LS_current!M$149, FALSE), VLOOKUP($A27, LS_current!$B$4:$AY$139,LS_current!M$149, FALSE))/2)</f>
        <v>1816.0450554478348</v>
      </c>
      <c r="BX27" s="382">
        <f t="array" ref="BX27">IF($BI27=0, INDEX(LS_current!$D$4:$AY$139, MATCH('Staging Table'!$A27, LS_current!$B$4:$B$139, 0), MATCH(BX$4&amp;BX$5, LS_current!$D$2:$AY$2&amp;LS_current!$D$3:$AY$3, 0)),SUM(VLOOKUP($A27, LS_current!$B$4:$AY$139, LS_current!N$149, FALSE), VLOOKUP($A27, LS_current!$B$4:$AY$139,LS_current!N$149, FALSE))/2)</f>
        <v>303.69189247893519</v>
      </c>
      <c r="BY27" s="382">
        <f t="array" ref="BY27">IF($BI27=0, INDEX(LS_current!$D$4:$AY$139, MATCH('Staging Table'!$A27, LS_current!$B$4:$B$139, 0), MATCH(BY$4&amp;BY$5, LS_current!$D$2:$AY$2&amp;LS_current!$D$3:$AY$3, 0)),SUM(VLOOKUP($A27, LS_current!$B$4:$AY$139, LS_current!O$149, FALSE), VLOOKUP($A27, LS_current!$B$4:$AY$139,LS_current!O$149, FALSE))/2)</f>
        <v>504.96552150084426</v>
      </c>
      <c r="BZ27" s="382">
        <f t="array" ref="BZ27">IF($BI27=0, INDEX(LS_current!$D$4:$AY$139, MATCH('Staging Table'!$A27, LS_current!$B$4:$B$139, 0), MATCH(BZ$4&amp;BZ$5, LS_current!$D$2:$AY$2&amp;LS_current!$D$3:$AY$3, 0)),SUM(VLOOKUP($A27, LS_current!$B$4:$AY$139, LS_current!P$149, FALSE), VLOOKUP($A27, LS_current!$B$4:$AY$139,LS_current!P$149, FALSE))/2)</f>
        <v>-225.36466980457408</v>
      </c>
      <c r="CA27" s="382">
        <f t="array" ref="CA27">IF($BI27=0, INDEX(LS_current!$D$4:$AY$139, MATCH('Staging Table'!$A27, LS_current!$B$4:$B$139, 0), MATCH(CA$4&amp;CA$5, LS_current!$D$2:$AY$2&amp;LS_current!$D$3:$AY$3, 0)),SUM(VLOOKUP($A27, LS_current!$B$4:$AY$139, LS_current!Q$149, FALSE), VLOOKUP($A27, LS_current!$B$4:$AY$139,LS_current!Q$149, FALSE))/2)</f>
        <v>108.89981111594625</v>
      </c>
      <c r="CB27" s="382">
        <f t="array" ref="CB27">IF($BI27=0, INDEX(LS_current!$D$4:$AY$139, MATCH('Staging Table'!$A27, LS_current!$B$4:$B$139, 0), MATCH(CB$4&amp;CB$5, LS_current!$D$2:$AY$2&amp;LS_current!$D$3:$AY$3, 0)),SUM(VLOOKUP($A27, LS_current!$B$4:$AY$139, LS_current!R$149, FALSE), VLOOKUP($A27, LS_current!$B$4:$AY$139,LS_current!R$149, FALSE))/2)</f>
        <v>-5488.7875414382233</v>
      </c>
      <c r="CC27" s="382">
        <f t="array" ref="CC27">IF($BI27=0, INDEX(LS_current!$D$4:$AY$139, MATCH('Staging Table'!$A27, LS_current!$B$4:$B$139, 0), MATCH(CC$4&amp;CC$5, LS_current!$D$2:$AY$2&amp;LS_current!$D$3:$AY$3, 0)),SUM(VLOOKUP($A27, LS_current!$B$4:$AY$139, LS_current!S$149, FALSE), VLOOKUP($A27, LS_current!$B$4:$AY$139,LS_current!S$149, FALSE))/2)</f>
        <v>-2584.5870179937019</v>
      </c>
      <c r="CD27" s="382">
        <f t="array" ref="CD27">IF($BI27=0, INDEX(LS_current!$D$4:$AY$139, MATCH('Staging Table'!$A27, LS_current!$B$4:$B$139, 0), MATCH(CD$4&amp;CD$5, LS_current!$D$2:$AY$2&amp;LS_current!$D$3:$AY$3, 0)),SUM(VLOOKUP($A27, LS_current!$B$4:$AY$139, LS_current!T$149, FALSE), VLOOKUP($A27, LS_current!$B$4:$AY$139,LS_current!T$149, FALSE))/2)</f>
        <v>-2248.5351165810171</v>
      </c>
      <c r="CE27" s="382">
        <f t="array" ref="CE27">IF($BI27=0, INDEX(LS_current!$D$4:$AY$139, MATCH('Staging Table'!$A27, LS_current!$B$4:$B$139, 0), MATCH(CE$4&amp;CE$5, LS_current!$D$2:$AY$2&amp;LS_current!$D$3:$AY$3, 0)),SUM(VLOOKUP($A27, LS_current!$B$4:$AY$139, LS_current!U$149, FALSE), VLOOKUP($A27, LS_current!$B$4:$AY$139,LS_current!U$149, FALSE))/2)</f>
        <v>-759.5660491093995</v>
      </c>
      <c r="CF27" s="382">
        <f t="array" ref="CF27">IF($BI27=0, INDEX(LS_current!$D$4:$AY$139, MATCH('Staging Table'!$A27, LS_current!$B$4:$B$139, 0), MATCH(CF$4&amp;CF$5, LS_current!$D$2:$AY$2&amp;LS_current!$D$3:$AY$3, 0)),SUM(VLOOKUP($A27, LS_current!$B$4:$AY$139, LS_current!V$149, FALSE), VLOOKUP($A27, LS_current!$B$4:$AY$139,LS_current!V$149, FALSE))/2)</f>
        <v>-279.2733359626618</v>
      </c>
      <c r="CG27" s="382">
        <f t="array" ref="CG27">IF($BI27=0, INDEX(LS_current!$D$4:$AY$139, MATCH('Staging Table'!$A27, LS_current!$B$4:$B$139, 0), MATCH(CG$4&amp;CG$5, LS_current!$D$2:$AY$2&amp;LS_current!$D$3:$AY$3, 0)),SUM(VLOOKUP($A27, LS_current!$B$4:$AY$139, LS_current!W$149, FALSE), VLOOKUP($A27, LS_current!$B$4:$AY$139,LS_current!W$149, FALSE))/2)</f>
        <v>713.3413553302953</v>
      </c>
      <c r="CH27" s="382">
        <f t="array" ref="CH27">IF($BI27=0, INDEX(LS_current!$D$4:$AY$139, MATCH('Staging Table'!$A27, LS_current!$B$4:$B$139, 0), MATCH(CH$4&amp;CH$5, LS_current!$D$2:$AY$2&amp;LS_current!$D$3:$AY$3, 0)),SUM(VLOOKUP($A27, LS_current!$B$4:$AY$139, LS_current!X$149, FALSE), VLOOKUP($A27, LS_current!$B$4:$AY$139,LS_current!X$149, FALSE))/2)</f>
        <v>-1319.5168337550567</v>
      </c>
      <c r="CI27" s="382">
        <f t="array" ref="CI27">IF($BI27=0, INDEX(LS_current!$D$4:$AY$139, MATCH('Staging Table'!$A27, LS_current!$B$4:$B$139, 0), MATCH(CI$4&amp;CI$5, LS_current!$D$2:$AY$2&amp;LS_current!$D$3:$AY$3, 0)),SUM(VLOOKUP($A27, LS_current!$B$4:$AY$139, LS_current!Y$149, FALSE), VLOOKUP($A27, LS_current!$B$4:$AY$139,LS_current!Y$149, FALSE))/2)</f>
        <v>135.96854684142636</v>
      </c>
      <c r="CJ27" s="382">
        <f t="array" ref="CJ27">IF($BI27=0, INDEX(LS_current!$D$4:$AY$139, MATCH('Staging Table'!$A27, LS_current!$B$4:$B$139, 0), MATCH(CJ$4&amp;CJ$5, LS_current!$D$2:$AY$2&amp;LS_current!$D$3:$AY$3, 0)),SUM(VLOOKUP($A27, LS_current!$B$4:$AY$139, LS_current!Z$149, FALSE), VLOOKUP($A27, LS_current!$B$4:$AY$139,LS_current!Z$149, FALSE))/2)</f>
        <v>-1471.967157971756</v>
      </c>
      <c r="CK27" s="382">
        <f t="array" ref="CK27">IF($BI27=0, INDEX(LS_current!$D$4:$AY$139, MATCH('Staging Table'!$A27, LS_current!$B$4:$B$139, 0), MATCH(CK$4&amp;CK$5, LS_current!$D$2:$AY$2&amp;LS_current!$D$3:$AY$3, 0)),SUM(VLOOKUP($A27, LS_current!$B$4:$AY$139, LS_current!AA$149, FALSE), VLOOKUP($A27, LS_current!$B$4:$AY$139,LS_current!AA$149, FALSE))/2)</f>
        <v>-229.28888977922543</v>
      </c>
      <c r="CL27" s="384">
        <f t="array" ref="CL27">INDEX(Demand_current!$D$4:$AY$138, MATCH($A27, Demand_current!$B$4:$B$138, 0), MATCH(CL$4&amp;CL$5,Demand_current!$D$2:$AY$2&amp;Demand_current!$D$3:$AY$3, 0))/1000</f>
        <v>2.5375576923076908</v>
      </c>
      <c r="CM27" s="384">
        <f t="array" ref="CM27">INDEX(Demand_current!$D$4:$AY$138, MATCH($A27, Demand_current!$B$4:$B$138, 0), MATCH(CM$4&amp;CM$5,Demand_current!$D$2:$AY$2&amp;Demand_current!$D$3:$AY$3, 0))/1000</f>
        <v>1.8030475000000017</v>
      </c>
      <c r="CN27" s="384">
        <f t="array" ref="CN27">INDEX(Demand_current!$D$4:$AY$138, MATCH($A27, Demand_current!$B$4:$B$138, 0), MATCH(CN$4&amp;CN$5,Demand_current!$D$2:$AY$2&amp;Demand_current!$D$3:$AY$3, 0))/1000</f>
        <v>1.8327999999999993</v>
      </c>
      <c r="CO27" s="384">
        <f t="array" ref="CO27">INDEX(Demand_current!$D$4:$AY$138, MATCH($A27, Demand_current!$B$4:$B$138, 0), MATCH(CO$4&amp;CO$5,Demand_current!$D$2:$AY$2&amp;Demand_current!$D$3:$AY$3, 0))/1000</f>
        <v>4.1641562499999987</v>
      </c>
      <c r="CP27" s="384">
        <f t="array" ref="CP27">INDEX(Demand_current!$D$4:$AY$138, MATCH($A27, Demand_current!$B$4:$B$138, 0), MATCH(CP$4&amp;CP$5,Demand_current!$D$2:$AY$2&amp;Demand_current!$D$3:$AY$3, 0))/1000</f>
        <v>3.7650520833333356</v>
      </c>
      <c r="CQ27" s="384">
        <f t="array" ref="CQ27">INDEX(Demand_current!$D$4:$AY$138, MATCH($A27, Demand_current!$B$4:$B$138, 0), MATCH(CQ$4&amp;CQ$5,Demand_current!$D$2:$AY$2&amp;Demand_current!$D$3:$AY$3, 0))/1000</f>
        <v>4.5218842592592612</v>
      </c>
      <c r="CR27" s="384">
        <f t="array" ref="CR27">INDEX(Demand_current!$D$4:$AY$138, MATCH($A27, Demand_current!$B$4:$B$138, 0), MATCH(CR$4&amp;CR$5,Demand_current!$D$2:$AY$2&amp;Demand_current!$D$3:$AY$3, 0))/1000</f>
        <v>2.3998450000000022</v>
      </c>
      <c r="CS27" s="384">
        <f t="array" ref="CS27">INDEX(Demand_current!$D$4:$AY$138, MATCH($A27, Demand_current!$B$4:$B$138, 0), MATCH(CS$4&amp;CS$5,Demand_current!$D$2:$AY$2&amp;Demand_current!$D$3:$AY$3, 0))/1000</f>
        <v>1.6840024038461556</v>
      </c>
      <c r="CT27" s="384">
        <f t="array" ref="CT27">INDEX(Demand_current!$D$4:$AY$138, MATCH($A27, Demand_current!$B$4:$B$138, 0), MATCH(CT$4&amp;CT$5,Demand_current!$D$2:$AY$2&amp;Demand_current!$D$3:$AY$3, 0))/1000</f>
        <v>2.960057692307692</v>
      </c>
      <c r="CU27" s="384">
        <f t="array" ref="CU27">INDEX(Demand_current!$D$4:$AY$138, MATCH($A27, Demand_current!$B$4:$B$138, 0), MATCH(CU$4&amp;CU$5,Demand_current!$D$2:$AY$2&amp;Demand_current!$D$3:$AY$3, 0))/1000</f>
        <v>2.0077674999999955</v>
      </c>
      <c r="CV27" s="384">
        <f t="array" ref="CV27">INDEX(Demand_current!$D$4:$AY$138, MATCH($A27, Demand_current!$B$4:$B$138, 0), MATCH(CV$4&amp;CV$5,Demand_current!$D$2:$AY$2&amp;Demand_current!$D$3:$AY$3, 0))/1000</f>
        <v>4.2496319444444444</v>
      </c>
      <c r="CW27" s="384">
        <f t="array" ref="CW27">INDEX(Demand_current!$D$4:$AY$138, MATCH($A27, Demand_current!$B$4:$B$138, 0), MATCH(CW$4&amp;CW$5,Demand_current!$D$2:$AY$2&amp;Demand_current!$D$3:$AY$3, 0))/1000</f>
        <v>4.0953203125000002</v>
      </c>
      <c r="CX27" s="384">
        <f>IF(D27=0,IF(C27=0,MAX(0,DA27 - (VLOOKUP($A27,TOCA_current!$A$2:$AI$137,MATCH("RHWM 2018",TOCA_current!$A$2:$AI$2,0),FALSE)*$BH$2)), 0),0)</f>
        <v>0</v>
      </c>
      <c r="CY27" s="427">
        <f>VLOOKUP($A27,REP_current!$A$1:$D$135,MATCH("FY "&amp;$BH$1&amp; " Total Refund",REP_current!$A$1:$D$1,0),0)</f>
        <v>309960.83067431522</v>
      </c>
      <c r="CZ27" s="432">
        <f>MIN(VLOOKUP($A27,TOCA_current!$A$2:$AI$137,MATCH("TRL - NLSL - Existing Resource "&amp;$BH$1,TOCA_current!$A$2:$AI$2,0),FALSE)*$BH$2, VLOOKUP($A27,TOCA_current!$A$2:$AI$137,MATCH("RHWM 2018",TOCA_current!$A$2:$AI$2,0),FALSE)*$BH$2)</f>
        <v>206709.72</v>
      </c>
      <c r="DA27" s="397">
        <f>SUM(BN27:CK27)+(BH27*RT1SC!$C$4*$BH$2)</f>
        <v>205957.44501574116</v>
      </c>
      <c r="DB27" s="432">
        <f>VLOOKUP($A27,TOCA_current!$A$2:$AI$137,MATCH("Above RHWM Not Served with LS "&amp;$BH$1,TOCA_current!$A$2:$AI$2,0),FALSE)*$BH$2</f>
        <v>3661.68</v>
      </c>
      <c r="DC27" s="401">
        <f t="shared" si="11"/>
        <v>-752.27498425883823</v>
      </c>
      <c r="DD27" s="397">
        <f>(VLOOKUP($A27,TOCA_current!$A$2:$AI$137,MATCH("RHWM 2018",TOCA_current!$A$2:$AI$2,0),FALSE)*$BH$2) - $CZ27</f>
        <v>0</v>
      </c>
      <c r="DE27" s="397">
        <f t="shared" si="12"/>
        <v>0</v>
      </c>
      <c r="DF27" s="397">
        <f t="shared" si="13"/>
        <v>0</v>
      </c>
      <c r="DG27" s="397">
        <f t="shared" si="14"/>
        <v>0</v>
      </c>
      <c r="DH27" s="397">
        <f t="shared" si="15"/>
        <v>0</v>
      </c>
    </row>
    <row r="28" spans="1:112">
      <c r="A28" s="274">
        <v>10074</v>
      </c>
      <c r="B28" s="275" t="s">
        <v>29</v>
      </c>
      <c r="C28" s="397">
        <v>0</v>
      </c>
      <c r="D28" s="397">
        <v>0</v>
      </c>
      <c r="E28" s="205">
        <f>VLOOKUP($A28,TOCA_previous!$A$2:$AI$137,MATCH(E$4,TOCA_previous!$A$2:$AI$2,0),FALSE)</f>
        <v>3.7837000000000001E-3</v>
      </c>
      <c r="F28" s="206">
        <f>VLOOKUP($A28,TOCA_previous!$A$2:$AI$137,MATCH(F$4,TOCA_previous!$A$2:$AI$2,0),FALSE)</f>
        <v>3.7837000000000001E-3</v>
      </c>
      <c r="G28" s="206">
        <f t="shared" si="0"/>
        <v>0</v>
      </c>
      <c r="H28" s="206">
        <f>VLOOKUP($A28,TOCA_previous!$A$2:$AI$137,MATCH(H$4,TOCA_previous!$A$2:$AI$2,0),FALSE)</f>
        <v>0</v>
      </c>
      <c r="I28" s="206">
        <f t="shared" si="1"/>
        <v>0</v>
      </c>
      <c r="J28" s="206">
        <f t="shared" si="2"/>
        <v>0</v>
      </c>
      <c r="K28" s="381">
        <f>VLOOKUP(A28, IRD!$A$5:$C$139, 3, FALSE)</f>
        <v>0</v>
      </c>
      <c r="L28" s="382">
        <f t="array" ref="L28">IF($G28=0, INDEX(LS_previous!$D$4:$AY$138, MATCH('Staging Table'!$A28, LS_previous!$B$4:$B$138, 0), MATCH(L$4&amp;L$5, LS_previous!$D$2:$AY$2&amp;LS_previous!$D$3:$AY$3, 0)),SUM(VLOOKUP($A28, LS_previous!$B$4:$AY$138, LS_previous!D$149, FALSE), VLOOKUP('Staging Table'!$A28, LS_previous!$B$4:$AY$138,LS_previous!AB$149, FALSE))/2)</f>
        <v>-234.94032588556547</v>
      </c>
      <c r="M28" s="382">
        <f t="array" ref="M28">IF($G28=0, INDEX(LS_previous!$D$4:$AY$138, MATCH('Staging Table'!$A28, LS_previous!$B$4:$B$138, 0), MATCH(M$4&amp;M$5, LS_previous!$D$2:$AY$2&amp;LS_previous!$D$3:$AY$3, 0)),SUM(VLOOKUP($A28, LS_previous!$B$4:$AY$138, LS_previous!E$149, FALSE), VLOOKUP('Staging Table'!$A28, LS_previous!$B$4:$AY$138,LS_previous!AC$149, FALSE))/2)</f>
        <v>-108.8924742686786</v>
      </c>
      <c r="N28" s="382">
        <f t="array" ref="N28">IF($G28=0, INDEX(LS_previous!$D$4:$AY$138, MATCH('Staging Table'!$A28, LS_previous!$B$4:$B$138, 0), MATCH(N$4&amp;N$5, LS_previous!$D$2:$AY$2&amp;LS_previous!$D$3:$AY$3, 0)),SUM(VLOOKUP($A28, LS_previous!$B$4:$AY$138, LS_previous!F$149, FALSE), VLOOKUP('Staging Table'!$A28, LS_previous!$B$4:$AY$138,LS_previous!AD$149, FALSE))/2)</f>
        <v>477.18119096146256</v>
      </c>
      <c r="O28" s="382">
        <f t="array" ref="O28">IF($G28=0, INDEX(LS_previous!$D$4:$AY$138, MATCH('Staging Table'!$A28, LS_previous!$B$4:$B$138, 0), MATCH(O$4&amp;O$5, LS_previous!$D$2:$AY$2&amp;LS_previous!$D$3:$AY$3, 0)),SUM(VLOOKUP($A28, LS_previous!$B$4:$AY$138, LS_previous!G$149, FALSE), VLOOKUP('Staging Table'!$A28, LS_previous!$B$4:$AY$138,LS_previous!AE$149, FALSE))/2)</f>
        <v>585.11742070298624</v>
      </c>
      <c r="P28" s="382">
        <f t="array" ref="P28">IF($G28=0, INDEX(LS_previous!$D$4:$AY$138, MATCH('Staging Table'!$A28, LS_previous!$B$4:$B$138, 0), MATCH(P$4&amp;P$5, LS_previous!$D$2:$AY$2&amp;LS_previous!$D$3:$AY$3, 0)),SUM(VLOOKUP($A28, LS_previous!$B$4:$AY$138, LS_previous!H$149, FALSE), VLOOKUP('Staging Table'!$A28, LS_previous!$B$4:$AY$138,LS_previous!AF$149, FALSE))/2)</f>
        <v>1893.2481688707176</v>
      </c>
      <c r="Q28" s="382">
        <f t="array" ref="Q28">IF($G28=0, INDEX(LS_previous!$D$4:$AY$138, MATCH('Staging Table'!$A28, LS_previous!$B$4:$B$138, 0), MATCH(Q$4&amp;Q$5, LS_previous!$D$2:$AY$2&amp;LS_previous!$D$3:$AY$3, 0)),SUM(VLOOKUP($A28, LS_previous!$B$4:$AY$138, LS_previous!I$149, FALSE), VLOOKUP('Staging Table'!$A28, LS_previous!$B$4:$AY$138,LS_previous!AG$149, FALSE))/2)</f>
        <v>1859.9652658748382</v>
      </c>
      <c r="R28" s="382">
        <f t="array" ref="R28">IF($G28=0, INDEX(LS_previous!$D$4:$AY$138, MATCH('Staging Table'!$A28, LS_previous!$B$4:$B$138, 0), MATCH(R$4&amp;R$5, LS_previous!$D$2:$AY$2&amp;LS_previous!$D$3:$AY$3, 0)),SUM(VLOOKUP($A28, LS_previous!$B$4:$AY$138, LS_previous!J$149, FALSE), VLOOKUP('Staging Table'!$A28, LS_previous!$B$4:$AY$138,LS_previous!AH$149, FALSE))/2)</f>
        <v>4255.5294817172344</v>
      </c>
      <c r="S28" s="382">
        <f t="array" ref="S28">IF($G28=0, INDEX(LS_previous!$D$4:$AY$138, MATCH('Staging Table'!$A28, LS_previous!$B$4:$B$138, 0), MATCH(S$4&amp;S$5, LS_previous!$D$2:$AY$2&amp;LS_previous!$D$3:$AY$3, 0)),SUM(VLOOKUP($A28, LS_previous!$B$4:$AY$138, LS_previous!K$149, FALSE), VLOOKUP('Staging Table'!$A28, LS_previous!$B$4:$AY$138,LS_previous!AI$149, FALSE))/2)</f>
        <v>2483.1898951147277</v>
      </c>
      <c r="T28" s="382">
        <f t="array" ref="T28">IF($G28=0, INDEX(LS_previous!$D$4:$AY$138, MATCH('Staging Table'!$A28, LS_previous!$B$4:$B$138, 0), MATCH(T$4&amp;T$5, LS_previous!$D$2:$AY$2&amp;LS_previous!$D$3:$AY$3, 0)),SUM(VLOOKUP($A28, LS_previous!$B$4:$AY$138, LS_previous!L$149, FALSE), VLOOKUP('Staging Table'!$A28, LS_previous!$B$4:$AY$138,LS_previous!AJ$149, FALSE))/2)</f>
        <v>3950.4416483393616</v>
      </c>
      <c r="U28" s="382">
        <f t="array" ref="U28">IF($G28=0, INDEX(LS_previous!$D$4:$AY$138, MATCH('Staging Table'!$A28, LS_previous!$B$4:$B$138, 0), MATCH(U$4&amp;U$5, LS_previous!$D$2:$AY$2&amp;LS_previous!$D$3:$AY$3, 0)),SUM(VLOOKUP($A28, LS_previous!$B$4:$AY$138, LS_previous!M$149, FALSE), VLOOKUP('Staging Table'!$A28, LS_previous!$B$4:$AY$138,LS_previous!AK$149, FALSE))/2)</f>
        <v>2144.1469940295483</v>
      </c>
      <c r="V28" s="382">
        <f t="array" ref="V28">IF($G28=0, INDEX(LS_previous!$D$4:$AY$138, MATCH('Staging Table'!$A28, LS_previous!$B$4:$B$138, 0), MATCH(V$4&amp;V$5, LS_previous!$D$2:$AY$2&amp;LS_previous!$D$3:$AY$3, 0)),SUM(VLOOKUP($A28, LS_previous!$B$4:$AY$138, LS_previous!N$149, FALSE), VLOOKUP('Staging Table'!$A28, LS_previous!$B$4:$AY$138,LS_previous!AL$149, FALSE))/2)</f>
        <v>2329.051752397927</v>
      </c>
      <c r="W28" s="382">
        <f t="array" ref="W28">IF($G28=0, INDEX(LS_previous!$D$4:$AY$138, MATCH('Staging Table'!$A28, LS_previous!$B$4:$B$138, 0), MATCH(W$4&amp;W$5, LS_previous!$D$2:$AY$2&amp;LS_previous!$D$3:$AY$3, 0)),SUM(VLOOKUP($A28, LS_previous!$B$4:$AY$138, LS_previous!O$149, FALSE), VLOOKUP('Staging Table'!$A28, LS_previous!$B$4:$AY$138,LS_previous!AM$149, FALSE))/2)</f>
        <v>597.67480257613443</v>
      </c>
      <c r="X28" s="382">
        <f t="array" ref="X28">IF($G28=0, INDEX(LS_previous!$D$4:$AY$138, MATCH('Staging Table'!$A28, LS_previous!$B$4:$B$138, 0), MATCH(X$4&amp;X$5, LS_previous!$D$2:$AY$2&amp;LS_previous!$D$3:$AY$3, 0)),SUM(VLOOKUP($A28, LS_previous!$B$4:$AY$138, LS_previous!P$149, FALSE), VLOOKUP('Staging Table'!$A28, LS_previous!$B$4:$AY$138,LS_previous!AN$149, FALSE))/2)</f>
        <v>3006.4505122221472</v>
      </c>
      <c r="Y28" s="382">
        <f t="array" ref="Y28">IF($G28=0, INDEX(LS_previous!$D$4:$AY$138, MATCH('Staging Table'!$A28, LS_previous!$B$4:$B$138, 0), MATCH(Y$4&amp;Y$5, LS_previous!$D$2:$AY$2&amp;LS_previous!$D$3:$AY$3, 0)),SUM(VLOOKUP($A28, LS_previous!$B$4:$AY$138, LS_previous!Q$149, FALSE), VLOOKUP('Staging Table'!$A28, LS_previous!$B$4:$AY$138,LS_previous!AO$149, FALSE))/2)</f>
        <v>1803.8945714576867</v>
      </c>
      <c r="Z28" s="382">
        <f t="array" ref="Z28">IF($G28=0, INDEX(LS_previous!$D$4:$AY$138, MATCH('Staging Table'!$A28, LS_previous!$B$4:$B$138, 0), MATCH(Z$4&amp;Z$5, LS_previous!$D$2:$AY$2&amp;LS_previous!$D$3:$AY$3, 0)),SUM(VLOOKUP($A28, LS_previous!$B$4:$AY$138, LS_previous!R$149, FALSE), VLOOKUP('Staging Table'!$A28, LS_previous!$B$4:$AY$138,LS_previous!AP$149, FALSE))/2)</f>
        <v>-4681.5474192254806</v>
      </c>
      <c r="AA28" s="382">
        <f t="array" ref="AA28">IF($G28=0, INDEX(LS_previous!$D$4:$AY$138, MATCH('Staging Table'!$A28, LS_previous!$B$4:$B$138, 0), MATCH(AA$4&amp;AA$5, LS_previous!$D$2:$AY$2&amp;LS_previous!$D$3:$AY$3, 0)),SUM(VLOOKUP($A28, LS_previous!$B$4:$AY$138, LS_previous!S$149, FALSE), VLOOKUP('Staging Table'!$A28, LS_previous!$B$4:$AY$138,LS_previous!AQ$149, FALSE))/2)</f>
        <v>-2401.6407183079382</v>
      </c>
      <c r="AB28" s="382">
        <f t="array" ref="AB28">IF($G28=0, INDEX(LS_previous!$D$4:$AY$138, MATCH('Staging Table'!$A28, LS_previous!$B$4:$B$138, 0), MATCH(AB$4&amp;AB$5, LS_previous!$D$2:$AY$2&amp;LS_previous!$D$3:$AY$3, 0)),SUM(VLOOKUP($A28, LS_previous!$B$4:$AY$138, LS_previous!T$149, FALSE), VLOOKUP('Staging Table'!$A28, LS_previous!$B$4:$AY$138,LS_previous!AR$149, FALSE))/2)</f>
        <v>-2270.8162035179012</v>
      </c>
      <c r="AC28" s="382">
        <f t="array" ref="AC28">IF($G28=0, INDEX(LS_previous!$D$4:$AY$138, MATCH('Staging Table'!$A28, LS_previous!$B$4:$B$138, 0), MATCH(AC$4&amp;AC$5, LS_previous!$D$2:$AY$2&amp;LS_previous!$D$3:$AY$3, 0)),SUM(VLOOKUP($A28, LS_previous!$B$4:$AY$138, LS_previous!U$149, FALSE), VLOOKUP('Staging Table'!$A28, LS_previous!$B$4:$AY$138,LS_previous!AS$149, FALSE))/2)</f>
        <v>-1738.9378265415389</v>
      </c>
      <c r="AD28" s="382">
        <f t="array" ref="AD28">IF($G28=0, INDEX(LS_previous!$D$4:$AY$138, MATCH('Staging Table'!$A28, LS_previous!$B$4:$B$138, 0), MATCH(AD$4&amp;AD$5, LS_previous!$D$2:$AY$2&amp;LS_previous!$D$3:$AY$3, 0)),SUM(VLOOKUP($A28, LS_previous!$B$4:$AY$138, LS_previous!V$149, FALSE), VLOOKUP('Staging Table'!$A28, LS_previous!$B$4:$AY$138,LS_previous!AT$149, FALSE))/2)</f>
        <v>-330.41148797427377</v>
      </c>
      <c r="AE28" s="382">
        <f t="array" ref="AE28">IF($G28=0, INDEX(LS_previous!$D$4:$AY$138, MATCH('Staging Table'!$A28, LS_previous!$B$4:$B$138, 0), MATCH(AE$4&amp;AE$5, LS_previous!$D$2:$AY$2&amp;LS_previous!$D$3:$AY$3, 0)),SUM(VLOOKUP($A28, LS_previous!$B$4:$AY$138, LS_previous!W$149, FALSE), VLOOKUP('Staging Table'!$A28, LS_previous!$B$4:$AY$138,LS_previous!AU$149, FALSE))/2)</f>
        <v>671.27461288711311</v>
      </c>
      <c r="AF28" s="382">
        <f t="array" ref="AF28">IF($G28=0, INDEX(LS_previous!$D$4:$AY$138, MATCH('Staging Table'!$A28, LS_previous!$B$4:$B$138, 0), MATCH(AF$4&amp;AF$5, LS_previous!$D$2:$AY$2&amp;LS_previous!$D$3:$AY$3, 0)),SUM(VLOOKUP($A28, LS_previous!$B$4:$AY$138, LS_previous!X$149, FALSE), VLOOKUP('Staging Table'!$A28, LS_previous!$B$4:$AY$138,LS_previous!AV$149, FALSE))/2)</f>
        <v>-117.3141027997026</v>
      </c>
      <c r="AG28" s="382">
        <f t="array" ref="AG28">IF($G28=0, INDEX(LS_previous!$D$4:$AY$138, MATCH('Staging Table'!$A28, LS_previous!$B$4:$B$138, 0), MATCH(AG$4&amp;AG$5, LS_previous!$D$2:$AY$2&amp;LS_previous!$D$3:$AY$3, 0)),SUM(VLOOKUP($A28, LS_previous!$B$4:$AY$138, LS_previous!Y$149, FALSE), VLOOKUP('Staging Table'!$A28, LS_previous!$B$4:$AY$138,LS_previous!AW$149, FALSE))/2)</f>
        <v>-52.660776457533757</v>
      </c>
      <c r="AH28" s="382">
        <f t="array" ref="AH28">IF($G28=0, INDEX(LS_previous!$D$4:$AY$138, MATCH('Staging Table'!$A28, LS_previous!$B$4:$B$138, 0), MATCH(AH$4&amp;AH$5, LS_previous!$D$2:$AY$2&amp;LS_previous!$D$3:$AY$3, 0)),SUM(VLOOKUP($A28, LS_previous!$B$4:$AY$138, LS_previous!Z$149, FALSE), VLOOKUP('Staging Table'!$A28, LS_previous!$B$4:$AY$138,LS_previous!AX$149, FALSE))/2)</f>
        <v>1169.9444296080401</v>
      </c>
      <c r="AI28" s="382">
        <f t="array" ref="AI28">IF($G28=0, INDEX(LS_previous!$D$4:$AY$138, MATCH('Staging Table'!$A28, LS_previous!$B$4:$B$138, 0), MATCH(AI$4&amp;AI$5, LS_previous!$D$2:$AY$2&amp;LS_previous!$D$3:$AY$3, 0)),SUM(VLOOKUP($A28, LS_previous!$B$4:$AY$138, LS_previous!AA$149, FALSE), VLOOKUP('Staging Table'!$A28, LS_previous!$B$4:$AY$138,LS_previous!AY$149, FALSE))/2)</f>
        <v>668.02682634740813</v>
      </c>
      <c r="AJ28" s="384">
        <f t="array" ref="AJ28">INDEX(Demand_previous!$D$4:$AY$138, MATCH('Staging Table'!$A28, Demand_previous!$B$4:$B$138, 0), MATCH(AJ$4&amp;AJ$5,Demand_previous!$D$2:$AY$2&amp;Demand_previous!$D$3:$AY$3, 0))/1000</f>
        <v>5.8746157407407438</v>
      </c>
      <c r="AK28" s="384">
        <f t="array" ref="AK28">INDEX(Demand_previous!$D$4:$AY$138, MATCH('Staging Table'!$A28, Demand_previous!$B$4:$B$138, 0), MATCH(AK$4&amp;AK$5,Demand_previous!$D$2:$AY$2&amp;Demand_previous!$D$3:$AY$3, 0))/1000</f>
        <v>2.4894479166666645</v>
      </c>
      <c r="AL28" s="384">
        <f t="array" ref="AL28">INDEX(Demand_previous!$D$4:$AY$138, MATCH('Staging Table'!$A28, Demand_previous!$B$4:$B$138, 0), MATCH(AL$4&amp;AL$5,Demand_previous!$D$2:$AY$2&amp;Demand_previous!$D$3:$AY$3, 0))/1000</f>
        <v>8.9952211538461508</v>
      </c>
      <c r="AM28" s="384">
        <f t="array" ref="AM28">INDEX(Demand_previous!$D$4:$AY$138, MATCH('Staging Table'!$A28, Demand_previous!$B$4:$B$138, 0), MATCH(AM$4&amp;AM$5,Demand_previous!$D$2:$AY$2&amp;Demand_previous!$D$3:$AY$3, 0))/1000</f>
        <v>6.5809850000000001</v>
      </c>
      <c r="AN28" s="384">
        <f t="array" ref="AN28">INDEX(Demand_previous!$D$4:$AY$138, MATCH('Staging Table'!$A28, Demand_previous!$B$4:$B$138, 0), MATCH(AN$4&amp;AN$5,Demand_previous!$D$2:$AY$2&amp;Demand_previous!$D$3:$AY$3, 0))/1000</f>
        <v>6.4767425000000021</v>
      </c>
      <c r="AO28" s="384">
        <f t="array" ref="AO28">INDEX(Demand_previous!$D$4:$AY$138, MATCH('Staging Table'!$A28, Demand_previous!$B$4:$B$138, 0), MATCH(AO$4&amp;AO$5,Demand_previous!$D$2:$AY$2&amp;Demand_previous!$D$3:$AY$3, 0))/1000</f>
        <v>5.6971134259259264</v>
      </c>
      <c r="AP28" s="384">
        <f t="array" ref="AP28">INDEX(Demand_previous!$D$4:$AY$138, MATCH('Staging Table'!$A28, Demand_previous!$B$4:$B$138, 0), MATCH(AP$4&amp;AP$5,Demand_previous!$D$2:$AY$2&amp;Demand_previous!$D$3:$AY$3, 0))/1000</f>
        <v>5.5453677884615367</v>
      </c>
      <c r="AQ28" s="384">
        <f t="array" ref="AQ28">INDEX(Demand_previous!$D$4:$AY$138, MATCH('Staging Table'!$A28, Demand_previous!$B$4:$B$138, 0), MATCH(AQ$4&amp;AQ$5,Demand_previous!$D$2:$AY$2&amp;Demand_previous!$D$3:$AY$3, 0))/1000</f>
        <v>1.6026599999999993</v>
      </c>
      <c r="AR28" s="384">
        <f t="array" ref="AR28">INDEX(Demand_previous!$D$4:$AY$138, MATCH('Staging Table'!$A28, Demand_previous!$B$4:$B$138, 0), MATCH(AR$4&amp;AR$5,Demand_previous!$D$2:$AY$2&amp;Demand_previous!$D$3:$AY$3, 0))/1000</f>
        <v>4.3362884615384596</v>
      </c>
      <c r="AS28" s="384">
        <f t="array" ref="AS28">INDEX(Demand_previous!$D$4:$AY$138, MATCH('Staging Table'!$A28, Demand_previous!$B$4:$B$138, 0), MATCH(AS$4&amp;AS$5,Demand_previous!$D$2:$AY$2&amp;Demand_previous!$D$3:$AY$3, 0))/1000</f>
        <v>5.5860650000000014</v>
      </c>
      <c r="AT28" s="384">
        <f t="array" ref="AT28">INDEX(Demand_previous!$D$4:$AY$138, MATCH('Staging Table'!$A28, Demand_previous!$B$4:$B$138, 0), MATCH(AT$4&amp;AT$5,Demand_previous!$D$2:$AY$2&amp;Demand_previous!$D$3:$AY$3, 0))/1000</f>
        <v>5.7558518518518502</v>
      </c>
      <c r="AU28" s="384">
        <f t="array" ref="AU28">INDEX(Demand_previous!$D$4:$AY$138, MATCH('Staging Table'!$A28, Demand_previous!$B$4:$B$138, 0), MATCH(AU$4&amp;AU$5,Demand_previous!$D$2:$AY$2&amp;Demand_previous!$D$3:$AY$3, 0))/1000</f>
        <v>8.2802500000000041</v>
      </c>
      <c r="AV28" s="384">
        <f>IF($D28=0,IF(C28=0, MAX(AY28 - (VLOOKUP($A28,TOCA_previous!$A$2:$AI$137,MATCH("RHWM 2016",TOCA_previous!$A$2:$AI$2,0),FALSE)*$F$2*TOCA_previous!C25),0),0), 0)</f>
        <v>15957.086546296719</v>
      </c>
      <c r="AW28" s="427">
        <f>VLOOKUP($A28,REP_previous!$A$1:$D$135,MATCH("FY "&amp;$F$1&amp; " Total Refund",REP_previous!$A$1:$D$1,0),0)</f>
        <v>316931.96927480923</v>
      </c>
      <c r="AX28" s="398">
        <f>MIN(VLOOKUP($A28,TOCA_previous!$A$2:$AI$137,MATCH("TRL - NLSL - Exisiting Resource "&amp;$F$1,TOCA_previous!$A$2:$AI$2,0),FALSE)*$F$2,(VLOOKUP($A28,TOCA_previous!$A$2:$AI$137,MATCH("RHWM 2016",TOCA_previous!$A$2:$AI$2,0),FALSE)*$F$2))</f>
        <v>232090.848</v>
      </c>
      <c r="AY28" s="384">
        <f>SUM(L28:AI28)+(F28*RT1SC!$C$3*$F$2)</f>
        <v>248047.93454629672</v>
      </c>
      <c r="AZ28" s="398">
        <f>VLOOKUP($A28,TOCA_previous!$A$2:$AI$137,MATCH("Above RHWM Not Served with LS "&amp;$F$1,TOCA_previous!$A$2:$AI$2,0),FALSE)*$F$2</f>
        <v>0</v>
      </c>
      <c r="BA28" s="206">
        <f t="shared" si="3"/>
        <v>15957.086546296719</v>
      </c>
      <c r="BB28" s="399">
        <f>(VLOOKUP($A28,TOCA_previous!$A$2:$AI$137,MATCH("RHWM 2016",TOCA_previous!$A$2:$AI$2,0),FALSE)*$F$2) - $AX28</f>
        <v>0</v>
      </c>
      <c r="BC28" s="206">
        <f t="shared" si="4"/>
        <v>0</v>
      </c>
      <c r="BD28" s="400">
        <f t="shared" si="5"/>
        <v>0</v>
      </c>
      <c r="BE28" s="392">
        <f t="shared" si="6"/>
        <v>0</v>
      </c>
      <c r="BF28" s="399">
        <f t="shared" si="7"/>
        <v>0</v>
      </c>
      <c r="BG28" s="206">
        <f>VLOOKUP($A28,TOCA_current!$A$2:$AI$137,MATCH(BG$4,TOCA_current!$A$2:$AI$2,0),FALSE)</f>
        <v>3.7804000000000002E-3</v>
      </c>
      <c r="BH28" s="206">
        <f>VLOOKUP($A28,TOCA_current!$A$2:$AI$137,MATCH(BH$4,TOCA_current!$A$2:$AI$2,0),FALSE)</f>
        <v>3.7804000000000002E-3</v>
      </c>
      <c r="BI28" s="391">
        <f t="shared" si="8"/>
        <v>0</v>
      </c>
      <c r="BJ28" s="206">
        <f>VLOOKUP($A28,TOCA_current!A24:BG159,MATCH(BJ$4,TOCA_current!$A$2:$BG$2,0),FALSE)</f>
        <v>0</v>
      </c>
      <c r="BK28" s="206">
        <f t="shared" si="9"/>
        <v>0</v>
      </c>
      <c r="BL28" s="206">
        <f t="shared" si="10"/>
        <v>0</v>
      </c>
      <c r="BM28" s="381">
        <f>VLOOKUP($A28,IRD!$A$4:$G$139, 7, FALSE)</f>
        <v>0</v>
      </c>
      <c r="BN28" s="382">
        <f t="array" ref="BN28">IF($BI28=0, INDEX(LS_current!$D$4:$AY$139, MATCH('Staging Table'!$A28, LS_current!$B$4:$B$139, 0), MATCH(BN$4&amp;BN$5, LS_current!$D$2:$AY$2&amp;LS_current!$D$3:$AY$3, 0)),SUM(VLOOKUP($A28, LS_current!$B$4:$AY$139, LS_current!D$149, FALSE), VLOOKUP($A28, LS_current!$B$4:$AY$139,LS_current!D$149, FALSE))/2)</f>
        <v>-286.64996138222887</v>
      </c>
      <c r="BO28" s="382">
        <f t="array" ref="BO28">IF($BI28=0, INDEX(LS_current!$D$4:$AY$139, MATCH('Staging Table'!$A28, LS_current!$B$4:$B$139, 0), MATCH(BO$4&amp;BO$5, LS_current!$D$2:$AY$2&amp;LS_current!$D$3:$AY$3, 0)),SUM(VLOOKUP($A28, LS_current!$B$4:$AY$139, LS_current!E$149, FALSE), VLOOKUP($A28, LS_current!$B$4:$AY$139,LS_current!E$149, FALSE))/2)</f>
        <v>233.18368444496173</v>
      </c>
      <c r="BP28" s="382">
        <f t="array" ref="BP28">IF($BI28=0, INDEX(LS_current!$D$4:$AY$139, MATCH('Staging Table'!$A28, LS_current!$B$4:$B$139, 0), MATCH(BP$4&amp;BP$5, LS_current!$D$2:$AY$2&amp;LS_current!$D$3:$AY$3, 0)),SUM(VLOOKUP($A28, LS_current!$B$4:$AY$139, LS_current!F$149, FALSE), VLOOKUP($A28, LS_current!$B$4:$AY$139,LS_current!F$149, FALSE))/2)</f>
        <v>206.63750527762932</v>
      </c>
      <c r="BQ28" s="382">
        <f t="array" ref="BQ28">IF($BI28=0, INDEX(LS_current!$D$4:$AY$139, MATCH('Staging Table'!$A28, LS_current!$B$4:$B$139, 0), MATCH(BQ$4&amp;BQ$5, LS_current!$D$2:$AY$2&amp;LS_current!$D$3:$AY$3, 0)),SUM(VLOOKUP($A28, LS_current!$B$4:$AY$139, LS_current!G$149, FALSE), VLOOKUP($A28, LS_current!$B$4:$AY$139,LS_current!G$149, FALSE))/2)</f>
        <v>665.91042367751925</v>
      </c>
      <c r="BR28" s="382">
        <f t="array" ref="BR28">IF($BI28=0, INDEX(LS_current!$D$4:$AY$139, MATCH('Staging Table'!$A28, LS_current!$B$4:$B$139, 0), MATCH(BR$4&amp;BR$5, LS_current!$D$2:$AY$2&amp;LS_current!$D$3:$AY$3, 0)),SUM(VLOOKUP($A28, LS_current!$B$4:$AY$139, LS_current!H$149, FALSE), VLOOKUP($A28, LS_current!$B$4:$AY$139,LS_current!H$149, FALSE))/2)</f>
        <v>1470.1221690376151</v>
      </c>
      <c r="BS28" s="382">
        <f t="array" ref="BS28">IF($BI28=0, INDEX(LS_current!$D$4:$AY$139, MATCH('Staging Table'!$A28, LS_current!$B$4:$B$139, 0), MATCH(BS$4&amp;BS$5, LS_current!$D$2:$AY$2&amp;LS_current!$D$3:$AY$3, 0)),SUM(VLOOKUP($A28, LS_current!$B$4:$AY$139, LS_current!I$149, FALSE), VLOOKUP($A28, LS_current!$B$4:$AY$139,LS_current!I$149, FALSE))/2)</f>
        <v>1790.0897859802371</v>
      </c>
      <c r="BT28" s="382">
        <f t="array" ref="BT28">IF($BI28=0, INDEX(LS_current!$D$4:$AY$139, MATCH('Staging Table'!$A28, LS_current!$B$4:$B$139, 0), MATCH(BT$4&amp;BT$5, LS_current!$D$2:$AY$2&amp;LS_current!$D$3:$AY$3, 0)),SUM(VLOOKUP($A28, LS_current!$B$4:$AY$139, LS_current!J$149, FALSE), VLOOKUP($A28, LS_current!$B$4:$AY$139,LS_current!J$149, FALSE))/2)</f>
        <v>4137.6161447778213</v>
      </c>
      <c r="BU28" s="382">
        <f t="array" ref="BU28">IF($BI28=0, INDEX(LS_current!$D$4:$AY$139, MATCH('Staging Table'!$A28, LS_current!$B$4:$B$139, 0), MATCH(BU$4&amp;BU$5, LS_current!$D$2:$AY$2&amp;LS_current!$D$3:$AY$3, 0)),SUM(VLOOKUP($A28, LS_current!$B$4:$AY$139, LS_current!K$149, FALSE), VLOOKUP($A28, LS_current!$B$4:$AY$139,LS_current!K$149, FALSE))/2)</f>
        <v>2462.0043755113147</v>
      </c>
      <c r="BV28" s="382">
        <f t="array" ref="BV28">IF($BI28=0, INDEX(LS_current!$D$4:$AY$139, MATCH('Staging Table'!$A28, LS_current!$B$4:$B$139, 0), MATCH(BV$4&amp;BV$5, LS_current!$D$2:$AY$2&amp;LS_current!$D$3:$AY$3, 0)),SUM(VLOOKUP($A28, LS_current!$B$4:$AY$139, LS_current!L$149, FALSE), VLOOKUP($A28, LS_current!$B$4:$AY$139,LS_current!L$149, FALSE))/2)</f>
        <v>4744.5281900740574</v>
      </c>
      <c r="BW28" s="382">
        <f t="array" ref="BW28">IF($BI28=0, INDEX(LS_current!$D$4:$AY$139, MATCH('Staging Table'!$A28, LS_current!$B$4:$B$139, 0), MATCH(BW$4&amp;BW$5, LS_current!$D$2:$AY$2&amp;LS_current!$D$3:$AY$3, 0)),SUM(VLOOKUP($A28, LS_current!$B$4:$AY$139, LS_current!M$149, FALSE), VLOOKUP($A28, LS_current!$B$4:$AY$139,LS_current!M$149, FALSE))/2)</f>
        <v>2767.2305184575298</v>
      </c>
      <c r="BX28" s="382">
        <f t="array" ref="BX28">IF($BI28=0, INDEX(LS_current!$D$4:$AY$139, MATCH('Staging Table'!$A28, LS_current!$B$4:$B$139, 0), MATCH(BX$4&amp;BX$5, LS_current!$D$2:$AY$2&amp;LS_current!$D$3:$AY$3, 0)),SUM(VLOOKUP($A28, LS_current!$B$4:$AY$139, LS_current!N$149, FALSE), VLOOKUP($A28, LS_current!$B$4:$AY$139,LS_current!N$149, FALSE))/2)</f>
        <v>2950.2458088549538</v>
      </c>
      <c r="BY28" s="382">
        <f t="array" ref="BY28">IF($BI28=0, INDEX(LS_current!$D$4:$AY$139, MATCH('Staging Table'!$A28, LS_current!$B$4:$B$139, 0), MATCH(BY$4&amp;BY$5, LS_current!$D$2:$AY$2&amp;LS_current!$D$3:$AY$3, 0)),SUM(VLOOKUP($A28, LS_current!$B$4:$AY$139, LS_current!O$149, FALSE), VLOOKUP($A28, LS_current!$B$4:$AY$139,LS_current!O$149, FALSE))/2)</f>
        <v>1286.854761928832</v>
      </c>
      <c r="BZ28" s="382">
        <f t="array" ref="BZ28">IF($BI28=0, INDEX(LS_current!$D$4:$AY$139, MATCH('Staging Table'!$A28, LS_current!$B$4:$B$139, 0), MATCH(BZ$4&amp;BZ$5, LS_current!$D$2:$AY$2&amp;LS_current!$D$3:$AY$3, 0)),SUM(VLOOKUP($A28, LS_current!$B$4:$AY$139, LS_current!P$149, FALSE), VLOOKUP($A28, LS_current!$B$4:$AY$139,LS_current!P$149, FALSE))/2)</f>
        <v>1865.5889496941509</v>
      </c>
      <c r="CA28" s="382">
        <f t="array" ref="CA28">IF($BI28=0, INDEX(LS_current!$D$4:$AY$139, MATCH('Staging Table'!$A28, LS_current!$B$4:$B$139, 0), MATCH(CA$4&amp;CA$5, LS_current!$D$2:$AY$2&amp;LS_current!$D$3:$AY$3, 0)),SUM(VLOOKUP($A28, LS_current!$B$4:$AY$139, LS_current!Q$149, FALSE), VLOOKUP($A28, LS_current!$B$4:$AY$139,LS_current!Q$149, FALSE))/2)</f>
        <v>1726.1659393556765</v>
      </c>
      <c r="CB28" s="382">
        <f t="array" ref="CB28">IF($BI28=0, INDEX(LS_current!$D$4:$AY$139, MATCH('Staging Table'!$A28, LS_current!$B$4:$B$139, 0), MATCH(CB$4&amp;CB$5, LS_current!$D$2:$AY$2&amp;LS_current!$D$3:$AY$3, 0)),SUM(VLOOKUP($A28, LS_current!$B$4:$AY$139, LS_current!R$149, FALSE), VLOOKUP($A28, LS_current!$B$4:$AY$139,LS_current!R$149, FALSE))/2)</f>
        <v>-4524.7726457275476</v>
      </c>
      <c r="CC28" s="382">
        <f t="array" ref="CC28">IF($BI28=0, INDEX(LS_current!$D$4:$AY$139, MATCH('Staging Table'!$A28, LS_current!$B$4:$B$139, 0), MATCH(CC$4&amp;CC$5, LS_current!$D$2:$AY$2&amp;LS_current!$D$3:$AY$3, 0)),SUM(VLOOKUP($A28, LS_current!$B$4:$AY$139, LS_current!S$149, FALSE), VLOOKUP($A28, LS_current!$B$4:$AY$139,LS_current!S$149, FALSE))/2)</f>
        <v>-2534.5020384435202</v>
      </c>
      <c r="CD28" s="382">
        <f t="array" ref="CD28">IF($BI28=0, INDEX(LS_current!$D$4:$AY$139, MATCH('Staging Table'!$A28, LS_current!$B$4:$B$139, 0), MATCH(CD$4&amp;CD$5, LS_current!$D$2:$AY$2&amp;LS_current!$D$3:$AY$3, 0)),SUM(VLOOKUP($A28, LS_current!$B$4:$AY$139, LS_current!T$149, FALSE), VLOOKUP($A28, LS_current!$B$4:$AY$139,LS_current!T$149, FALSE))/2)</f>
        <v>-2197.9413557957741</v>
      </c>
      <c r="CE28" s="382">
        <f t="array" ref="CE28">IF($BI28=0, INDEX(LS_current!$D$4:$AY$139, MATCH('Staging Table'!$A28, LS_current!$B$4:$B$139, 0), MATCH(CE$4&amp;CE$5, LS_current!$D$2:$AY$2&amp;LS_current!$D$3:$AY$3, 0)),SUM(VLOOKUP($A28, LS_current!$B$4:$AY$139, LS_current!U$149, FALSE), VLOOKUP($A28, LS_current!$B$4:$AY$139,LS_current!U$149, FALSE))/2)</f>
        <v>-1208.7363003276159</v>
      </c>
      <c r="CF28" s="382">
        <f t="array" ref="CF28">IF($BI28=0, INDEX(LS_current!$D$4:$AY$139, MATCH('Staging Table'!$A28, LS_current!$B$4:$B$139, 0), MATCH(CF$4&amp;CF$5, LS_current!$D$2:$AY$2&amp;LS_current!$D$3:$AY$3, 0)),SUM(VLOOKUP($A28, LS_current!$B$4:$AY$139, LS_current!V$149, FALSE), VLOOKUP($A28, LS_current!$B$4:$AY$139,LS_current!V$149, FALSE))/2)</f>
        <v>424.70991839624185</v>
      </c>
      <c r="CG28" s="382">
        <f t="array" ref="CG28">IF($BI28=0, INDEX(LS_current!$D$4:$AY$139, MATCH('Staging Table'!$A28, LS_current!$B$4:$B$139, 0), MATCH(CG$4&amp;CG$5, LS_current!$D$2:$AY$2&amp;LS_current!$D$3:$AY$3, 0)),SUM(VLOOKUP($A28, LS_current!$B$4:$AY$139, LS_current!W$149, FALSE), VLOOKUP($A28, LS_current!$B$4:$AY$139,LS_current!W$149, FALSE))/2)</f>
        <v>1138.7817014805605</v>
      </c>
      <c r="CH28" s="382">
        <f t="array" ref="CH28">IF($BI28=0, INDEX(LS_current!$D$4:$AY$139, MATCH('Staging Table'!$A28, LS_current!$B$4:$B$139, 0), MATCH(CH$4&amp;CH$5, LS_current!$D$2:$AY$2&amp;LS_current!$D$3:$AY$3, 0)),SUM(VLOOKUP($A28, LS_current!$B$4:$AY$139, LS_current!X$149, FALSE), VLOOKUP($A28, LS_current!$B$4:$AY$139,LS_current!X$149, FALSE))/2)</f>
        <v>-39.955736631825857</v>
      </c>
      <c r="CI28" s="382">
        <f t="array" ref="CI28">IF($BI28=0, INDEX(LS_current!$D$4:$AY$139, MATCH('Staging Table'!$A28, LS_current!$B$4:$B$139, 0), MATCH(CI$4&amp;CI$5, LS_current!$D$2:$AY$2&amp;LS_current!$D$3:$AY$3, 0)),SUM(VLOOKUP($A28, LS_current!$B$4:$AY$139, LS_current!Y$149, FALSE), VLOOKUP($A28, LS_current!$B$4:$AY$139,LS_current!Y$149, FALSE))/2)</f>
        <v>163.35511321423564</v>
      </c>
      <c r="CJ28" s="382">
        <f t="array" ref="CJ28">IF($BI28=0, INDEX(LS_current!$D$4:$AY$139, MATCH('Staging Table'!$A28, LS_current!$B$4:$B$139, 0), MATCH(CJ$4&amp;CJ$5, LS_current!$D$2:$AY$2&amp;LS_current!$D$3:$AY$3, 0)),SUM(VLOOKUP($A28, LS_current!$B$4:$AY$139, LS_current!Z$149, FALSE), VLOOKUP($A28, LS_current!$B$4:$AY$139,LS_current!Z$149, FALSE))/2)</f>
        <v>127.69369368519983</v>
      </c>
      <c r="CK28" s="382">
        <f t="array" ref="CK28">IF($BI28=0, INDEX(LS_current!$D$4:$AY$139, MATCH('Staging Table'!$A28, LS_current!$B$4:$B$139, 0), MATCH(CK$4&amp;CK$5, LS_current!$D$2:$AY$2&amp;LS_current!$D$3:$AY$3, 0)),SUM(VLOOKUP($A28, LS_current!$B$4:$AY$139, LS_current!AA$149, FALSE), VLOOKUP($A28, LS_current!$B$4:$AY$139,LS_current!AA$149, FALSE))/2)</f>
        <v>692.1453405964503</v>
      </c>
      <c r="CL28" s="384">
        <f t="array" ref="CL28">INDEX(Demand_current!$D$4:$AY$138, MATCH($A28, Demand_current!$B$4:$B$138, 0), MATCH(CL$4&amp;CL$5,Demand_current!$D$2:$AY$2&amp;Demand_current!$D$3:$AY$3, 0))/1000</f>
        <v>4.7777163461538485</v>
      </c>
      <c r="CM28" s="384">
        <f t="array" ref="CM28">INDEX(Demand_current!$D$4:$AY$138, MATCH($A28, Demand_current!$B$4:$B$138, 0), MATCH(CM$4&amp;CM$5,Demand_current!$D$2:$AY$2&amp;Demand_current!$D$3:$AY$3, 0))/1000</f>
        <v>4.0718300000000003</v>
      </c>
      <c r="CN28" s="384">
        <f t="array" ref="CN28">INDEX(Demand_current!$D$4:$AY$138, MATCH($A28, Demand_current!$B$4:$B$138, 0), MATCH(CN$4&amp;CN$5,Demand_current!$D$2:$AY$2&amp;Demand_current!$D$3:$AY$3, 0))/1000</f>
        <v>7.4105499999999989</v>
      </c>
      <c r="CO28" s="384">
        <f t="array" ref="CO28">INDEX(Demand_current!$D$4:$AY$138, MATCH($A28, Demand_current!$B$4:$B$138, 0), MATCH(CO$4&amp;CO$5,Demand_current!$D$2:$AY$2&amp;Demand_current!$D$3:$AY$3, 0))/1000</f>
        <v>8.2036778846153826</v>
      </c>
      <c r="CP28" s="384">
        <f t="array" ref="CP28">INDEX(Demand_current!$D$4:$AY$138, MATCH($A28, Demand_current!$B$4:$B$138, 0), MATCH(CP$4&amp;CP$5,Demand_current!$D$2:$AY$2&amp;Demand_current!$D$3:$AY$3, 0))/1000</f>
        <v>4.8853567708333347</v>
      </c>
      <c r="CQ28" s="384">
        <f t="array" ref="CQ28">INDEX(Demand_current!$D$4:$AY$138, MATCH($A28, Demand_current!$B$4:$B$138, 0), MATCH(CQ$4&amp;CQ$5,Demand_current!$D$2:$AY$2&amp;Demand_current!$D$3:$AY$3, 0))/1000</f>
        <v>5.6971134259259264</v>
      </c>
      <c r="CR28" s="384">
        <f t="array" ref="CR28">INDEX(Demand_current!$D$4:$AY$138, MATCH($A28, Demand_current!$B$4:$B$138, 0), MATCH(CR$4&amp;CR$5,Demand_current!$D$2:$AY$2&amp;Demand_current!$D$3:$AY$3, 0))/1000</f>
        <v>4.2522224999999985</v>
      </c>
      <c r="CS28" s="384">
        <f t="array" ref="CS28">INDEX(Demand_current!$D$4:$AY$138, MATCH($A28, Demand_current!$B$4:$B$138, 0), MATCH(CS$4&amp;CS$5,Demand_current!$D$2:$AY$2&amp;Demand_current!$D$3:$AY$3, 0))/1000</f>
        <v>2.8231346153846166</v>
      </c>
      <c r="CT28" s="384">
        <f t="array" ref="CT28">INDEX(Demand_current!$D$4:$AY$138, MATCH($A28, Demand_current!$B$4:$B$138, 0), MATCH(CT$4&amp;CT$5,Demand_current!$D$2:$AY$2&amp;Demand_current!$D$3:$AY$3, 0))/1000</f>
        <v>4.3362884615384596</v>
      </c>
      <c r="CU28" s="384">
        <f t="array" ref="CU28">INDEX(Demand_current!$D$4:$AY$138, MATCH($A28, Demand_current!$B$4:$B$138, 0), MATCH(CU$4&amp;CU$5,Demand_current!$D$2:$AY$2&amp;Demand_current!$D$3:$AY$3, 0))/1000</f>
        <v>5.5860650000000014</v>
      </c>
      <c r="CV28" s="384">
        <f t="array" ref="CV28">INDEX(Demand_current!$D$4:$AY$138, MATCH($A28, Demand_current!$B$4:$B$138, 0), MATCH(CV$4&amp;CV$5,Demand_current!$D$2:$AY$2&amp;Demand_current!$D$3:$AY$3, 0))/1000</f>
        <v>5.7558518518518502</v>
      </c>
      <c r="CW28" s="384">
        <f t="array" ref="CW28">INDEX(Demand_current!$D$4:$AY$138, MATCH($A28, Demand_current!$B$4:$B$138, 0), MATCH(CW$4&amp;CW$5,Demand_current!$D$2:$AY$2&amp;Demand_current!$D$3:$AY$3, 0))/1000</f>
        <v>7.0031354166666713</v>
      </c>
      <c r="CX28" s="384">
        <f>IF(D28=0,IF(C28=0,MAX(0,DA28 - (VLOOKUP($A28,TOCA_current!$A$2:$AI$137,MATCH("RHWM 2018",TOCA_current!$A$2:$AI$2,0),FALSE)*$BH$2)), 0),0)</f>
        <v>18062.897355320456</v>
      </c>
      <c r="CY28" s="427">
        <f>VLOOKUP($A28,REP_current!$A$1:$D$135,MATCH("FY "&amp;$BH$1&amp; " Total Refund",REP_current!$A$1:$D$1,0),0)</f>
        <v>319099.34177259984</v>
      </c>
      <c r="CZ28" s="432">
        <f>MIN(VLOOKUP($A28,TOCA_current!$A$2:$AI$137,MATCH("TRL - NLSL - Existing Resource "&amp;$BH$1,TOCA_current!$A$2:$AI$2,0),FALSE)*$BH$2, VLOOKUP($A28,TOCA_current!$A$2:$AI$137,MATCH("RHWM 2018",TOCA_current!$A$2:$AI$2,0),FALSE)*$BH$2)</f>
        <v>229985.04</v>
      </c>
      <c r="DA28" s="397">
        <f>SUM(BN28:CK28)+(BH28*RT1SC!$C$4*$BH$2)</f>
        <v>248047.93735532046</v>
      </c>
      <c r="DB28" s="432">
        <f>VLOOKUP($A28,TOCA_current!$A$2:$AI$137,MATCH("Above RHWM Not Served with LS "&amp;$BH$1,TOCA_current!$A$2:$AI$2,0),FALSE)*$BH$2</f>
        <v>0</v>
      </c>
      <c r="DC28" s="401">
        <f t="shared" si="11"/>
        <v>18062.897355320456</v>
      </c>
      <c r="DD28" s="397">
        <f>(VLOOKUP($A28,TOCA_current!$A$2:$AI$137,MATCH("RHWM 2018",TOCA_current!$A$2:$AI$2,0),FALSE)*$BH$2) - $CZ28</f>
        <v>0</v>
      </c>
      <c r="DE28" s="397">
        <f t="shared" si="12"/>
        <v>0</v>
      </c>
      <c r="DF28" s="397">
        <f t="shared" si="13"/>
        <v>0</v>
      </c>
      <c r="DG28" s="397">
        <f t="shared" si="14"/>
        <v>0</v>
      </c>
      <c r="DH28" s="397">
        <f t="shared" si="15"/>
        <v>0</v>
      </c>
    </row>
    <row r="29" spans="1:112">
      <c r="A29" s="274">
        <v>10076</v>
      </c>
      <c r="B29" s="275" t="s">
        <v>30</v>
      </c>
      <c r="C29" s="397">
        <v>0</v>
      </c>
      <c r="D29" s="397">
        <v>0</v>
      </c>
      <c r="E29" s="205">
        <f>VLOOKUP($A29,TOCA_previous!$A$2:$AI$137,MATCH(E$4,TOCA_previous!$A$2:$AI$2,0),FALSE)</f>
        <v>6.8309999999999996E-4</v>
      </c>
      <c r="F29" s="206">
        <f>VLOOKUP($A29,TOCA_previous!$A$2:$AI$137,MATCH(F$4,TOCA_previous!$A$2:$AI$2,0),FALSE)</f>
        <v>6.8309999999999996E-4</v>
      </c>
      <c r="G29" s="206">
        <f t="shared" si="0"/>
        <v>0</v>
      </c>
      <c r="H29" s="206">
        <f>VLOOKUP($A29,TOCA_previous!$A$2:$AI$137,MATCH(H$4,TOCA_previous!$A$2:$AI$2,0),FALSE)</f>
        <v>0</v>
      </c>
      <c r="I29" s="206">
        <f t="shared" si="1"/>
        <v>0</v>
      </c>
      <c r="J29" s="206">
        <f t="shared" si="2"/>
        <v>0</v>
      </c>
      <c r="K29" s="381">
        <f>VLOOKUP(A29, IRD!$A$5:$C$139, 3, FALSE)</f>
        <v>0</v>
      </c>
      <c r="L29" s="382">
        <f t="array" ref="L29">IF($G29=0, INDEX(LS_previous!$D$4:$AY$138, MATCH('Staging Table'!$A29, LS_previous!$B$4:$B$138, 0), MATCH(L$4&amp;L$5, LS_previous!$D$2:$AY$2&amp;LS_previous!$D$3:$AY$3, 0)),SUM(VLOOKUP($A29, LS_previous!$B$4:$AY$138, LS_previous!D$149, FALSE), VLOOKUP('Staging Table'!$A29, LS_previous!$B$4:$AY$138,LS_previous!AB$149, FALSE))/2)</f>
        <v>-401.72942757418082</v>
      </c>
      <c r="M29" s="382">
        <f t="array" ref="M29">IF($G29=0, INDEX(LS_previous!$D$4:$AY$138, MATCH('Staging Table'!$A29, LS_previous!$B$4:$B$138, 0), MATCH(M$4&amp;M$5, LS_previous!$D$2:$AY$2&amp;LS_previous!$D$3:$AY$3, 0)),SUM(VLOOKUP($A29, LS_previous!$B$4:$AY$138, LS_previous!E$149, FALSE), VLOOKUP('Staging Table'!$A29, LS_previous!$B$4:$AY$138,LS_previous!AC$149, FALSE))/2)</f>
        <v>-73.91322662286484</v>
      </c>
      <c r="N29" s="382">
        <f t="array" ref="N29">IF($G29=0, INDEX(LS_previous!$D$4:$AY$138, MATCH('Staging Table'!$A29, LS_previous!$B$4:$B$138, 0), MATCH(N$4&amp;N$5, LS_previous!$D$2:$AY$2&amp;LS_previous!$D$3:$AY$3, 0)),SUM(VLOOKUP($A29, LS_previous!$B$4:$AY$138, LS_previous!F$149, FALSE), VLOOKUP('Staging Table'!$A29, LS_previous!$B$4:$AY$138,LS_previous!AD$149, FALSE))/2)</f>
        <v>-426.47291673605855</v>
      </c>
      <c r="O29" s="382">
        <f t="array" ref="O29">IF($G29=0, INDEX(LS_previous!$D$4:$AY$138, MATCH('Staging Table'!$A29, LS_previous!$B$4:$B$138, 0), MATCH(O$4&amp;O$5, LS_previous!$D$2:$AY$2&amp;LS_previous!$D$3:$AY$3, 0)),SUM(VLOOKUP($A29, LS_previous!$B$4:$AY$138, LS_previous!G$149, FALSE), VLOOKUP('Staging Table'!$A29, LS_previous!$B$4:$AY$138,LS_previous!AE$149, FALSE))/2)</f>
        <v>-172.64709459465348</v>
      </c>
      <c r="P29" s="382">
        <f t="array" ref="P29">IF($G29=0, INDEX(LS_previous!$D$4:$AY$138, MATCH('Staging Table'!$A29, LS_previous!$B$4:$B$138, 0), MATCH(P$4&amp;P$5, LS_previous!$D$2:$AY$2&amp;LS_previous!$D$3:$AY$3, 0)),SUM(VLOOKUP($A29, LS_previous!$B$4:$AY$138, LS_previous!H$149, FALSE), VLOOKUP('Staging Table'!$A29, LS_previous!$B$4:$AY$138,LS_previous!AF$149, FALSE))/2)</f>
        <v>-7.7535597284177129</v>
      </c>
      <c r="Q29" s="382">
        <f t="array" ref="Q29">IF($G29=0, INDEX(LS_previous!$D$4:$AY$138, MATCH('Staging Table'!$A29, LS_previous!$B$4:$B$138, 0), MATCH(Q$4&amp;Q$5, LS_previous!$D$2:$AY$2&amp;LS_previous!$D$3:$AY$3, 0)),SUM(VLOOKUP($A29, LS_previous!$B$4:$AY$138, LS_previous!I$149, FALSE), VLOOKUP('Staging Table'!$A29, LS_previous!$B$4:$AY$138,LS_previous!AG$149, FALSE))/2)</f>
        <v>364.99826062296256</v>
      </c>
      <c r="R29" s="382">
        <f t="array" ref="R29">IF($G29=0, INDEX(LS_previous!$D$4:$AY$138, MATCH('Staging Table'!$A29, LS_previous!$B$4:$B$138, 0), MATCH(R$4&amp;R$5, LS_previous!$D$2:$AY$2&amp;LS_previous!$D$3:$AY$3, 0)),SUM(VLOOKUP($A29, LS_previous!$B$4:$AY$138, LS_previous!J$149, FALSE), VLOOKUP('Staging Table'!$A29, LS_previous!$B$4:$AY$138,LS_previous!AH$149, FALSE))/2)</f>
        <v>492.82367734255968</v>
      </c>
      <c r="S29" s="382">
        <f t="array" ref="S29">IF($G29=0, INDEX(LS_previous!$D$4:$AY$138, MATCH('Staging Table'!$A29, LS_previous!$B$4:$B$138, 0), MATCH(S$4&amp;S$5, LS_previous!$D$2:$AY$2&amp;LS_previous!$D$3:$AY$3, 0)),SUM(VLOOKUP($A29, LS_previous!$B$4:$AY$138, LS_previous!K$149, FALSE), VLOOKUP('Staging Table'!$A29, LS_previous!$B$4:$AY$138,LS_previous!AI$149, FALSE))/2)</f>
        <v>409.92348863622124</v>
      </c>
      <c r="T29" s="382">
        <f t="array" ref="T29">IF($G29=0, INDEX(LS_previous!$D$4:$AY$138, MATCH('Staging Table'!$A29, LS_previous!$B$4:$B$138, 0), MATCH(T$4&amp;T$5, LS_previous!$D$2:$AY$2&amp;LS_previous!$D$3:$AY$3, 0)),SUM(VLOOKUP($A29, LS_previous!$B$4:$AY$138, LS_previous!L$149, FALSE), VLOOKUP('Staging Table'!$A29, LS_previous!$B$4:$AY$138,LS_previous!AJ$149, FALSE))/2)</f>
        <v>245.51690265629395</v>
      </c>
      <c r="U29" s="382">
        <f t="array" ref="U29">IF($G29=0, INDEX(LS_previous!$D$4:$AY$138, MATCH('Staging Table'!$A29, LS_previous!$B$4:$B$138, 0), MATCH(U$4&amp;U$5, LS_previous!$D$2:$AY$2&amp;LS_previous!$D$3:$AY$3, 0)),SUM(VLOOKUP($A29, LS_previous!$B$4:$AY$138, LS_previous!M$149, FALSE), VLOOKUP('Staging Table'!$A29, LS_previous!$B$4:$AY$138,LS_previous!AK$149, FALSE))/2)</f>
        <v>287.0151017315286</v>
      </c>
      <c r="V29" s="382">
        <f t="array" ref="V29">IF($G29=0, INDEX(LS_previous!$D$4:$AY$138, MATCH('Staging Table'!$A29, LS_previous!$B$4:$B$138, 0), MATCH(V$4&amp;V$5, LS_previous!$D$2:$AY$2&amp;LS_previous!$D$3:$AY$3, 0)),SUM(VLOOKUP($A29, LS_previous!$B$4:$AY$138, LS_previous!N$149, FALSE), VLOOKUP('Staging Table'!$A29, LS_previous!$B$4:$AY$138,LS_previous!AL$149, FALSE))/2)</f>
        <v>-169.0923603448939</v>
      </c>
      <c r="W29" s="382">
        <f t="array" ref="W29">IF($G29=0, INDEX(LS_previous!$D$4:$AY$138, MATCH('Staging Table'!$A29, LS_previous!$B$4:$B$138, 0), MATCH(W$4&amp;W$5, LS_previous!$D$2:$AY$2&amp;LS_previous!$D$3:$AY$3, 0)),SUM(VLOOKUP($A29, LS_previous!$B$4:$AY$138, LS_previous!O$149, FALSE), VLOOKUP('Staging Table'!$A29, LS_previous!$B$4:$AY$138,LS_previous!AM$149, FALSE))/2)</f>
        <v>-80.880281856447709</v>
      </c>
      <c r="X29" s="382">
        <f t="array" ref="X29">IF($G29=0, INDEX(LS_previous!$D$4:$AY$138, MATCH('Staging Table'!$A29, LS_previous!$B$4:$B$138, 0), MATCH(X$4&amp;X$5, LS_previous!$D$2:$AY$2&amp;LS_previous!$D$3:$AY$3, 0)),SUM(VLOOKUP($A29, LS_previous!$B$4:$AY$138, LS_previous!P$149, FALSE), VLOOKUP('Staging Table'!$A29, LS_previous!$B$4:$AY$138,LS_previous!AN$149, FALSE))/2)</f>
        <v>-119.28899011577278</v>
      </c>
      <c r="Y29" s="382">
        <f t="array" ref="Y29">IF($G29=0, INDEX(LS_previous!$D$4:$AY$138, MATCH('Staging Table'!$A29, LS_previous!$B$4:$B$138, 0), MATCH(Y$4&amp;Y$5, LS_previous!$D$2:$AY$2&amp;LS_previous!$D$3:$AY$3, 0)),SUM(VLOOKUP($A29, LS_previous!$B$4:$AY$138, LS_previous!Q$149, FALSE), VLOOKUP('Staging Table'!$A29, LS_previous!$B$4:$AY$138,LS_previous!AO$149, FALSE))/2)</f>
        <v>81.797314523547357</v>
      </c>
      <c r="Z29" s="382">
        <f t="array" ref="Z29">IF($G29=0, INDEX(LS_previous!$D$4:$AY$138, MATCH('Staging Table'!$A29, LS_previous!$B$4:$B$138, 0), MATCH(Z$4&amp;Z$5, LS_previous!$D$2:$AY$2&amp;LS_previous!$D$3:$AY$3, 0)),SUM(VLOOKUP($A29, LS_previous!$B$4:$AY$138, LS_previous!R$149, FALSE), VLOOKUP('Staging Table'!$A29, LS_previous!$B$4:$AY$138,LS_previous!AP$149, FALSE))/2)</f>
        <v>-1225.3773502320278</v>
      </c>
      <c r="AA29" s="382">
        <f t="array" ref="AA29">IF($G29=0, INDEX(LS_previous!$D$4:$AY$138, MATCH('Staging Table'!$A29, LS_previous!$B$4:$B$138, 0), MATCH(AA$4&amp;AA$5, LS_previous!$D$2:$AY$2&amp;LS_previous!$D$3:$AY$3, 0)),SUM(VLOOKUP($A29, LS_previous!$B$4:$AY$138, LS_previous!S$149, FALSE), VLOOKUP('Staging Table'!$A29, LS_previous!$B$4:$AY$138,LS_previous!AQ$149, FALSE))/2)</f>
        <v>-676.00542698315166</v>
      </c>
      <c r="AB29" s="382">
        <f t="array" ref="AB29">IF($G29=0, INDEX(LS_previous!$D$4:$AY$138, MATCH('Staging Table'!$A29, LS_previous!$B$4:$B$138, 0), MATCH(AB$4&amp;AB$5, LS_previous!$D$2:$AY$2&amp;LS_previous!$D$3:$AY$3, 0)),SUM(VLOOKUP($A29, LS_previous!$B$4:$AY$138, LS_previous!T$149, FALSE), VLOOKUP('Staging Table'!$A29, LS_previous!$B$4:$AY$138,LS_previous!AR$149, FALSE))/2)</f>
        <v>-593.29202950103809</v>
      </c>
      <c r="AC29" s="382">
        <f t="array" ref="AC29">IF($G29=0, INDEX(LS_previous!$D$4:$AY$138, MATCH('Staging Table'!$A29, LS_previous!$B$4:$B$138, 0), MATCH(AC$4&amp;AC$5, LS_previous!$D$2:$AY$2&amp;LS_previous!$D$3:$AY$3, 0)),SUM(VLOOKUP($A29, LS_previous!$B$4:$AY$138, LS_previous!U$149, FALSE), VLOOKUP('Staging Table'!$A29, LS_previous!$B$4:$AY$138,LS_previous!AS$149, FALSE))/2)</f>
        <v>-398.17052900878093</v>
      </c>
      <c r="AD29" s="382">
        <f t="array" ref="AD29">IF($G29=0, INDEX(LS_previous!$D$4:$AY$138, MATCH('Staging Table'!$A29, LS_previous!$B$4:$B$138, 0), MATCH(AD$4&amp;AD$5, LS_previous!$D$2:$AY$2&amp;LS_previous!$D$3:$AY$3, 0)),SUM(VLOOKUP($A29, LS_previous!$B$4:$AY$138, LS_previous!V$149, FALSE), VLOOKUP('Staging Table'!$A29, LS_previous!$B$4:$AY$138,LS_previous!AT$149, FALSE))/2)</f>
        <v>-370.85944140265474</v>
      </c>
      <c r="AE29" s="382">
        <f t="array" ref="AE29">IF($G29=0, INDEX(LS_previous!$D$4:$AY$138, MATCH('Staging Table'!$A29, LS_previous!$B$4:$B$138, 0), MATCH(AE$4&amp;AE$5, LS_previous!$D$2:$AY$2&amp;LS_previous!$D$3:$AY$3, 0)),SUM(VLOOKUP($A29, LS_previous!$B$4:$AY$138, LS_previous!W$149, FALSE), VLOOKUP('Staging Table'!$A29, LS_previous!$B$4:$AY$138,LS_previous!AU$149, FALSE))/2)</f>
        <v>-40.180565329389765</v>
      </c>
      <c r="AF29" s="382">
        <f t="array" ref="AF29">IF($G29=0, INDEX(LS_previous!$D$4:$AY$138, MATCH('Staging Table'!$A29, LS_previous!$B$4:$B$138, 0), MATCH(AF$4&amp;AF$5, LS_previous!$D$2:$AY$2&amp;LS_previous!$D$3:$AY$3, 0)),SUM(VLOOKUP($A29, LS_previous!$B$4:$AY$138, LS_previous!X$149, FALSE), VLOOKUP('Staging Table'!$A29, LS_previous!$B$4:$AY$138,LS_previous!AV$149, FALSE))/2)</f>
        <v>-508.25957676942585</v>
      </c>
      <c r="AG29" s="382">
        <f t="array" ref="AG29">IF($G29=0, INDEX(LS_previous!$D$4:$AY$138, MATCH('Staging Table'!$A29, LS_previous!$B$4:$B$138, 0), MATCH(AG$4&amp;AG$5, LS_previous!$D$2:$AY$2&amp;LS_previous!$D$3:$AY$3, 0)),SUM(VLOOKUP($A29, LS_previous!$B$4:$AY$138, LS_previous!Y$149, FALSE), VLOOKUP('Staging Table'!$A29, LS_previous!$B$4:$AY$138,LS_previous!AW$149, FALSE))/2)</f>
        <v>-283.64374731034195</v>
      </c>
      <c r="AH29" s="382">
        <f t="array" ref="AH29">IF($G29=0, INDEX(LS_previous!$D$4:$AY$138, MATCH('Staging Table'!$A29, LS_previous!$B$4:$B$138, 0), MATCH(AH$4&amp;AH$5, LS_previous!$D$2:$AY$2&amp;LS_previous!$D$3:$AY$3, 0)),SUM(VLOOKUP($A29, LS_previous!$B$4:$AY$138, LS_previous!Z$149, FALSE), VLOOKUP('Staging Table'!$A29, LS_previous!$B$4:$AY$138,LS_previous!AX$149, FALSE))/2)</f>
        <v>-331.210161068464</v>
      </c>
      <c r="AI29" s="382">
        <f t="array" ref="AI29">IF($G29=0, INDEX(LS_previous!$D$4:$AY$138, MATCH('Staging Table'!$A29, LS_previous!$B$4:$B$138, 0), MATCH(AI$4&amp;AI$5, LS_previous!$D$2:$AY$2&amp;LS_previous!$D$3:$AY$3, 0)),SUM(VLOOKUP($A29, LS_previous!$B$4:$AY$138, LS_previous!AA$149, FALSE), VLOOKUP('Staging Table'!$A29, LS_previous!$B$4:$AY$138,LS_previous!AY$149, FALSE))/2)</f>
        <v>-115.7138346914619</v>
      </c>
      <c r="AJ29" s="384">
        <f t="array" ref="AJ29">INDEX(Demand_previous!$D$4:$AY$138, MATCH('Staging Table'!$A29, Demand_previous!$B$4:$B$138, 0), MATCH(AJ$4&amp;AJ$5,Demand_previous!$D$2:$AY$2&amp;Demand_previous!$D$3:$AY$3, 0))/1000</f>
        <v>0.67843287037037048</v>
      </c>
      <c r="AK29" s="384">
        <f t="array" ref="AK29">INDEX(Demand_previous!$D$4:$AY$138, MATCH('Staging Table'!$A29, Demand_previous!$B$4:$B$138, 0), MATCH(AK$4&amp;AK$5,Demand_previous!$D$2:$AY$2&amp;Demand_previous!$D$3:$AY$3, 0))/1000</f>
        <v>0</v>
      </c>
      <c r="AL29" s="384">
        <f t="array" ref="AL29">INDEX(Demand_previous!$D$4:$AY$138, MATCH('Staging Table'!$A29, Demand_previous!$B$4:$B$138, 0), MATCH(AL$4&amp;AL$5,Demand_previous!$D$2:$AY$2&amp;Demand_previous!$D$3:$AY$3, 0))/1000</f>
        <v>0.80165625000000018</v>
      </c>
      <c r="AM29" s="384">
        <f t="array" ref="AM29">INDEX(Demand_previous!$D$4:$AY$138, MATCH('Staging Table'!$A29, Demand_previous!$B$4:$B$138, 0), MATCH(AM$4&amp;AM$5,Demand_previous!$D$2:$AY$2&amp;Demand_previous!$D$3:$AY$3, 0))/1000</f>
        <v>0.41738000000000064</v>
      </c>
      <c r="AN29" s="384">
        <f t="array" ref="AN29">INDEX(Demand_previous!$D$4:$AY$138, MATCH('Staging Table'!$A29, Demand_previous!$B$4:$B$138, 0), MATCH(AN$4&amp;AN$5,Demand_previous!$D$2:$AY$2&amp;Demand_previous!$D$3:$AY$3, 0))/1000</f>
        <v>0.17138249999999999</v>
      </c>
      <c r="AO29" s="384">
        <f t="array" ref="AO29">INDEX(Demand_previous!$D$4:$AY$138, MATCH('Staging Table'!$A29, Demand_previous!$B$4:$B$138, 0), MATCH(AO$4&amp;AO$5,Demand_previous!$D$2:$AY$2&amp;Demand_previous!$D$3:$AY$3, 0))/1000</f>
        <v>0.46712499999999929</v>
      </c>
      <c r="AP29" s="384">
        <f t="array" ref="AP29">INDEX(Demand_previous!$D$4:$AY$138, MATCH('Staging Table'!$A29, Demand_previous!$B$4:$B$138, 0), MATCH(AP$4&amp;AP$5,Demand_previous!$D$2:$AY$2&amp;Demand_previous!$D$3:$AY$3, 0))/1000</f>
        <v>0.56675721153846093</v>
      </c>
      <c r="AQ29" s="384">
        <f t="array" ref="AQ29">INDEX(Demand_previous!$D$4:$AY$138, MATCH('Staging Table'!$A29, Demand_previous!$B$4:$B$138, 0), MATCH(AQ$4&amp;AQ$5,Demand_previous!$D$2:$AY$2&amp;Demand_previous!$D$3:$AY$3, 0))/1000</f>
        <v>0</v>
      </c>
      <c r="AR29" s="384">
        <f t="array" ref="AR29">INDEX(Demand_previous!$D$4:$AY$138, MATCH('Staging Table'!$A29, Demand_previous!$B$4:$B$138, 0), MATCH(AR$4&amp;AR$5,Demand_previous!$D$2:$AY$2&amp;Demand_previous!$D$3:$AY$3, 0))/1000</f>
        <v>0.56767788461538549</v>
      </c>
      <c r="AS29" s="384">
        <f t="array" ref="AS29">INDEX(Demand_previous!$D$4:$AY$138, MATCH('Staging Table'!$A29, Demand_previous!$B$4:$B$138, 0), MATCH(AS$4&amp;AS$5,Demand_previous!$D$2:$AY$2&amp;Demand_previous!$D$3:$AY$3, 0))/1000</f>
        <v>0.6129199999999998</v>
      </c>
      <c r="AT29" s="384">
        <f t="array" ref="AT29">INDEX(Demand_previous!$D$4:$AY$138, MATCH('Staging Table'!$A29, Demand_previous!$B$4:$B$138, 0), MATCH(AT$4&amp;AT$5,Demand_previous!$D$2:$AY$2&amp;Demand_previous!$D$3:$AY$3, 0))/1000</f>
        <v>0.34620833333333412</v>
      </c>
      <c r="AU29" s="384">
        <f t="array" ref="AU29">INDEX(Demand_previous!$D$4:$AY$138, MATCH('Staging Table'!$A29, Demand_previous!$B$4:$B$138, 0), MATCH(AU$4&amp;AU$5,Demand_previous!$D$2:$AY$2&amp;Demand_previous!$D$3:$AY$3, 0))/1000</f>
        <v>0.44899749999999972</v>
      </c>
      <c r="AV29" s="384">
        <f>IF($D29=0,IF(C29=0, MAX(AY29 - (VLOOKUP($A29,TOCA_previous!$A$2:$AI$137,MATCH("RHWM 2016",TOCA_previous!$A$2:$AI$2,0),FALSE)*$F$2*TOCA_previous!C26),0),0), 0)</f>
        <v>0</v>
      </c>
      <c r="AW29" s="427">
        <f>VLOOKUP($A29,REP_previous!$A$1:$D$135,MATCH("FY "&amp;$F$1&amp; " Total Refund",REP_previous!$A$1:$D$1,0),0)</f>
        <v>77239.543625615275</v>
      </c>
      <c r="AX29" s="398">
        <f>MIN(VLOOKUP($A29,TOCA_previous!$A$2:$AI$137,MATCH("TRL - NLSL - Exisiting Resource "&amp;$F$1,TOCA_previous!$A$2:$AI$2,0),FALSE)*$F$2,(VLOOKUP($A29,TOCA_previous!$A$2:$AI$137,MATCH("RHWM 2016",TOCA_previous!$A$2:$AI$2,0),FALSE)*$F$2))</f>
        <v>41899.679999999993</v>
      </c>
      <c r="AY29" s="384">
        <f>SUM(L29:AI29)+(F29*RT1SC!$C$3*$F$2)</f>
        <v>37788.541098627087</v>
      </c>
      <c r="AZ29" s="398">
        <f>VLOOKUP($A29,TOCA_previous!$A$2:$AI$137,MATCH("Above RHWM Not Served with LS "&amp;$F$1,TOCA_previous!$A$2:$AI$2,0),FALSE)*$F$2</f>
        <v>23391.791999999998</v>
      </c>
      <c r="BA29" s="206">
        <f t="shared" si="3"/>
        <v>-4111.1389013729058</v>
      </c>
      <c r="BB29" s="399">
        <f>(VLOOKUP($A29,TOCA_previous!$A$2:$AI$137,MATCH("RHWM 2016",TOCA_previous!$A$2:$AI$2,0),FALSE)*$F$2) - $AX29</f>
        <v>0</v>
      </c>
      <c r="BC29" s="206">
        <f t="shared" si="4"/>
        <v>0</v>
      </c>
      <c r="BD29" s="400">
        <f t="shared" si="5"/>
        <v>0</v>
      </c>
      <c r="BE29" s="392">
        <f t="shared" si="6"/>
        <v>0</v>
      </c>
      <c r="BF29" s="399">
        <f t="shared" si="7"/>
        <v>0</v>
      </c>
      <c r="BG29" s="206">
        <f>VLOOKUP($A29,TOCA_current!$A$2:$AI$137,MATCH(BG$4,TOCA_current!$A$2:$AI$2,0),FALSE)</f>
        <v>6.8249999999999995E-4</v>
      </c>
      <c r="BH29" s="206">
        <f>VLOOKUP($A29,TOCA_current!$A$2:$AI$137,MATCH(BH$4,TOCA_current!$A$2:$AI$2,0),FALSE)</f>
        <v>6.8249999999999995E-4</v>
      </c>
      <c r="BI29" s="391">
        <f t="shared" si="8"/>
        <v>0</v>
      </c>
      <c r="BJ29" s="206">
        <f>VLOOKUP($A29,TOCA_current!A25:BG160,MATCH(BJ$4,TOCA_current!$A$2:$BG$2,0),FALSE)</f>
        <v>0</v>
      </c>
      <c r="BK29" s="206">
        <f t="shared" si="9"/>
        <v>0</v>
      </c>
      <c r="BL29" s="206">
        <f t="shared" si="10"/>
        <v>0</v>
      </c>
      <c r="BM29" s="381">
        <f>VLOOKUP($A29,IRD!$A$4:$G$139, 7, FALSE)</f>
        <v>0</v>
      </c>
      <c r="BN29" s="382">
        <f t="array" ref="BN29">IF($BI29=0, INDEX(LS_current!$D$4:$AY$139, MATCH('Staging Table'!$A29, LS_current!$B$4:$B$139, 0), MATCH(BN$4&amp;BN$5, LS_current!$D$2:$AY$2&amp;LS_current!$D$3:$AY$3, 0)),SUM(VLOOKUP($A29, LS_current!$B$4:$AY$139, LS_current!D$149, FALSE), VLOOKUP($A29, LS_current!$B$4:$AY$139,LS_current!D$149, FALSE))/2)</f>
        <v>29.251928567513914</v>
      </c>
      <c r="BO29" s="382">
        <f t="array" ref="BO29">IF($BI29=0, INDEX(LS_current!$D$4:$AY$139, MATCH('Staging Table'!$A29, LS_current!$B$4:$B$139, 0), MATCH(BO$4&amp;BO$5, LS_current!$D$2:$AY$2&amp;LS_current!$D$3:$AY$3, 0)),SUM(VLOOKUP($A29, LS_current!$B$4:$AY$139, LS_current!E$149, FALSE), VLOOKUP($A29, LS_current!$B$4:$AY$139,LS_current!E$149, FALSE))/2)</f>
        <v>258.81129860165265</v>
      </c>
      <c r="BP29" s="382">
        <f t="array" ref="BP29">IF($BI29=0, INDEX(LS_current!$D$4:$AY$139, MATCH('Staging Table'!$A29, LS_current!$B$4:$B$139, 0), MATCH(BP$4&amp;BP$5, LS_current!$D$2:$AY$2&amp;LS_current!$D$3:$AY$3, 0)),SUM(VLOOKUP($A29, LS_current!$B$4:$AY$139, LS_current!F$149, FALSE), VLOOKUP($A29, LS_current!$B$4:$AY$139,LS_current!F$149, FALSE))/2)</f>
        <v>-135.50878463866729</v>
      </c>
      <c r="BQ29" s="382">
        <f t="array" ref="BQ29">IF($BI29=0, INDEX(LS_current!$D$4:$AY$139, MATCH('Staging Table'!$A29, LS_current!$B$4:$B$139, 0), MATCH(BQ$4&amp;BQ$5, LS_current!$D$2:$AY$2&amp;LS_current!$D$3:$AY$3, 0)),SUM(VLOOKUP($A29, LS_current!$B$4:$AY$139, LS_current!G$149, FALSE), VLOOKUP($A29, LS_current!$B$4:$AY$139,LS_current!G$149, FALSE))/2)</f>
        <v>191.43213632417383</v>
      </c>
      <c r="BR29" s="382">
        <f t="array" ref="BR29">IF($BI29=0, INDEX(LS_current!$D$4:$AY$139, MATCH('Staging Table'!$A29, LS_current!$B$4:$B$139, 0), MATCH(BR$4&amp;BR$5, LS_current!$D$2:$AY$2&amp;LS_current!$D$3:$AY$3, 0)),SUM(VLOOKUP($A29, LS_current!$B$4:$AY$139, LS_current!H$149, FALSE), VLOOKUP($A29, LS_current!$B$4:$AY$139,LS_current!H$149, FALSE))/2)</f>
        <v>340.87937370864756</v>
      </c>
      <c r="BS29" s="382">
        <f t="array" ref="BS29">IF($BI29=0, INDEX(LS_current!$D$4:$AY$139, MATCH('Staging Table'!$A29, LS_current!$B$4:$B$139, 0), MATCH(BS$4&amp;BS$5, LS_current!$D$2:$AY$2&amp;LS_current!$D$3:$AY$3, 0)),SUM(VLOOKUP($A29, LS_current!$B$4:$AY$139, LS_current!I$149, FALSE), VLOOKUP($A29, LS_current!$B$4:$AY$139,LS_current!I$149, FALSE))/2)</f>
        <v>638.64823440152168</v>
      </c>
      <c r="BT29" s="382">
        <f t="array" ref="BT29">IF($BI29=0, INDEX(LS_current!$D$4:$AY$139, MATCH('Staging Table'!$A29, LS_current!$B$4:$B$139, 0), MATCH(BT$4&amp;BT$5, LS_current!$D$2:$AY$2&amp;LS_current!$D$3:$AY$3, 0)),SUM(VLOOKUP($A29, LS_current!$B$4:$AY$139, LS_current!J$149, FALSE), VLOOKUP($A29, LS_current!$B$4:$AY$139,LS_current!J$149, FALSE))/2)</f>
        <v>826.63666231374009</v>
      </c>
      <c r="BU29" s="382">
        <f t="array" ref="BU29">IF($BI29=0, INDEX(LS_current!$D$4:$AY$139, MATCH('Staging Table'!$A29, LS_current!$B$4:$B$139, 0), MATCH(BU$4&amp;BU$5, LS_current!$D$2:$AY$2&amp;LS_current!$D$3:$AY$3, 0)),SUM(VLOOKUP($A29, LS_current!$B$4:$AY$139, LS_current!K$149, FALSE), VLOOKUP($A29, LS_current!$B$4:$AY$139,LS_current!K$149, FALSE))/2)</f>
        <v>762.28260733955972</v>
      </c>
      <c r="BV29" s="382">
        <f t="array" ref="BV29">IF($BI29=0, INDEX(LS_current!$D$4:$AY$139, MATCH('Staging Table'!$A29, LS_current!$B$4:$B$139, 0), MATCH(BV$4&amp;BV$5, LS_current!$D$2:$AY$2&amp;LS_current!$D$3:$AY$3, 0)),SUM(VLOOKUP($A29, LS_current!$B$4:$AY$139, LS_current!L$149, FALSE), VLOOKUP($A29, LS_current!$B$4:$AY$139,LS_current!L$149, FALSE))/2)</f>
        <v>798.60206216949155</v>
      </c>
      <c r="BW29" s="382">
        <f t="array" ref="BW29">IF($BI29=0, INDEX(LS_current!$D$4:$AY$139, MATCH('Staging Table'!$A29, LS_current!$B$4:$B$139, 0), MATCH(BW$4&amp;BW$5, LS_current!$D$2:$AY$2&amp;LS_current!$D$3:$AY$3, 0)),SUM(VLOOKUP($A29, LS_current!$B$4:$AY$139, LS_current!M$149, FALSE), VLOOKUP($A29, LS_current!$B$4:$AY$139,LS_current!M$149, FALSE))/2)</f>
        <v>696.14332881368762</v>
      </c>
      <c r="BX29" s="382">
        <f t="array" ref="BX29">IF($BI29=0, INDEX(LS_current!$D$4:$AY$139, MATCH('Staging Table'!$A29, LS_current!$B$4:$B$139, 0), MATCH(BX$4&amp;BX$5, LS_current!$D$2:$AY$2&amp;LS_current!$D$3:$AY$3, 0)),SUM(VLOOKUP($A29, LS_current!$B$4:$AY$139, LS_current!N$149, FALSE), VLOOKUP($A29, LS_current!$B$4:$AY$139,LS_current!N$149, FALSE))/2)</f>
        <v>356.06119348309903</v>
      </c>
      <c r="BY29" s="382">
        <f t="array" ref="BY29">IF($BI29=0, INDEX(LS_current!$D$4:$AY$139, MATCH('Staging Table'!$A29, LS_current!$B$4:$B$139, 0), MATCH(BY$4&amp;BY$5, LS_current!$D$2:$AY$2&amp;LS_current!$D$3:$AY$3, 0)),SUM(VLOOKUP($A29, LS_current!$B$4:$AY$139, LS_current!O$149, FALSE), VLOOKUP($A29, LS_current!$B$4:$AY$139,LS_current!O$149, FALSE))/2)</f>
        <v>340.86596939911897</v>
      </c>
      <c r="BZ29" s="382">
        <f t="array" ref="BZ29">IF($BI29=0, INDEX(LS_current!$D$4:$AY$139, MATCH('Staging Table'!$A29, LS_current!$B$4:$B$139, 0), MATCH(BZ$4&amp;BZ$5, LS_current!$D$2:$AY$2&amp;LS_current!$D$3:$AY$3, 0)),SUM(VLOOKUP($A29, LS_current!$B$4:$AY$139, LS_current!P$149, FALSE), VLOOKUP($A29, LS_current!$B$4:$AY$139,LS_current!P$149, FALSE))/2)</f>
        <v>99.763039748772599</v>
      </c>
      <c r="CA29" s="382">
        <f t="array" ref="CA29">IF($BI29=0, INDEX(LS_current!$D$4:$AY$139, MATCH('Staging Table'!$A29, LS_current!$B$4:$B$139, 0), MATCH(CA$4&amp;CA$5, LS_current!$D$2:$AY$2&amp;LS_current!$D$3:$AY$3, 0)),SUM(VLOOKUP($A29, LS_current!$B$4:$AY$139, LS_current!Q$149, FALSE), VLOOKUP($A29, LS_current!$B$4:$AY$139,LS_current!Q$149, FALSE))/2)</f>
        <v>331.08325934034769</v>
      </c>
      <c r="CB29" s="382">
        <f t="array" ref="CB29">IF($BI29=0, INDEX(LS_current!$D$4:$AY$139, MATCH('Staging Table'!$A29, LS_current!$B$4:$B$139, 0), MATCH(CB$4&amp;CB$5, LS_current!$D$2:$AY$2&amp;LS_current!$D$3:$AY$3, 0)),SUM(VLOOKUP($A29, LS_current!$B$4:$AY$139, LS_current!R$149, FALSE), VLOOKUP($A29, LS_current!$B$4:$AY$139,LS_current!R$149, FALSE))/2)</f>
        <v>-841.96757599964258</v>
      </c>
      <c r="CC29" s="382">
        <f t="array" ref="CC29">IF($BI29=0, INDEX(LS_current!$D$4:$AY$139, MATCH('Staging Table'!$A29, LS_current!$B$4:$B$139, 0), MATCH(CC$4&amp;CC$5, LS_current!$D$2:$AY$2&amp;LS_current!$D$3:$AY$3, 0)),SUM(VLOOKUP($A29, LS_current!$B$4:$AY$139, LS_current!S$149, FALSE), VLOOKUP($A29, LS_current!$B$4:$AY$139,LS_current!S$149, FALSE))/2)</f>
        <v>-343.80562351542198</v>
      </c>
      <c r="CD29" s="382">
        <f t="array" ref="CD29">IF($BI29=0, INDEX(LS_current!$D$4:$AY$139, MATCH('Staging Table'!$A29, LS_current!$B$4:$B$139, 0), MATCH(CD$4&amp;CD$5, LS_current!$D$2:$AY$2&amp;LS_current!$D$3:$AY$3, 0)),SUM(VLOOKUP($A29, LS_current!$B$4:$AY$139, LS_current!T$149, FALSE), VLOOKUP($A29, LS_current!$B$4:$AY$139,LS_current!T$149, FALSE))/2)</f>
        <v>-182.42477434414741</v>
      </c>
      <c r="CE29" s="382">
        <f t="array" ref="CE29">IF($BI29=0, INDEX(LS_current!$D$4:$AY$139, MATCH('Staging Table'!$A29, LS_current!$B$4:$B$139, 0), MATCH(CE$4&amp;CE$5, LS_current!$D$2:$AY$2&amp;LS_current!$D$3:$AY$3, 0)),SUM(VLOOKUP($A29, LS_current!$B$4:$AY$139, LS_current!U$149, FALSE), VLOOKUP($A29, LS_current!$B$4:$AY$139,LS_current!U$149, FALSE))/2)</f>
        <v>-11.817512954607537</v>
      </c>
      <c r="CF29" s="382">
        <f t="array" ref="CF29">IF($BI29=0, INDEX(LS_current!$D$4:$AY$139, MATCH('Staging Table'!$A29, LS_current!$B$4:$B$139, 0), MATCH(CF$4&amp;CF$5, LS_current!$D$2:$AY$2&amp;LS_current!$D$3:$AY$3, 0)),SUM(VLOOKUP($A29, LS_current!$B$4:$AY$139, LS_current!V$149, FALSE), VLOOKUP($A29, LS_current!$B$4:$AY$139,LS_current!V$149, FALSE))/2)</f>
        <v>147.88115995805583</v>
      </c>
      <c r="CG29" s="382">
        <f t="array" ref="CG29">IF($BI29=0, INDEX(LS_current!$D$4:$AY$139, MATCH('Staging Table'!$A29, LS_current!$B$4:$B$139, 0), MATCH(CG$4&amp;CG$5, LS_current!$D$2:$AY$2&amp;LS_current!$D$3:$AY$3, 0)),SUM(VLOOKUP($A29, LS_current!$B$4:$AY$139, LS_current!W$149, FALSE), VLOOKUP($A29, LS_current!$B$4:$AY$139,LS_current!W$149, FALSE))/2)</f>
        <v>373.092816120115</v>
      </c>
      <c r="CH29" s="382">
        <f t="array" ref="CH29">IF($BI29=0, INDEX(LS_current!$D$4:$AY$139, MATCH('Staging Table'!$A29, LS_current!$B$4:$B$139, 0), MATCH(CH$4&amp;CH$5, LS_current!$D$2:$AY$2&amp;LS_current!$D$3:$AY$3, 0)),SUM(VLOOKUP($A29, LS_current!$B$4:$AY$139, LS_current!X$149, FALSE), VLOOKUP($A29, LS_current!$B$4:$AY$139,LS_current!X$149, FALSE))/2)</f>
        <v>-81.28695795450767</v>
      </c>
      <c r="CI29" s="382">
        <f t="array" ref="CI29">IF($BI29=0, INDEX(LS_current!$D$4:$AY$139, MATCH('Staging Table'!$A29, LS_current!$B$4:$B$139, 0), MATCH(CI$4&amp;CI$5, LS_current!$D$2:$AY$2&amp;LS_current!$D$3:$AY$3, 0)),SUM(VLOOKUP($A29, LS_current!$B$4:$AY$139, LS_current!Y$149, FALSE), VLOOKUP($A29, LS_current!$B$4:$AY$139,LS_current!Y$149, FALSE))/2)</f>
        <v>53.634423809310192</v>
      </c>
      <c r="CJ29" s="382">
        <f t="array" ref="CJ29">IF($BI29=0, INDEX(LS_current!$D$4:$AY$139, MATCH('Staging Table'!$A29, LS_current!$B$4:$B$139, 0), MATCH(CJ$4&amp;CJ$5, LS_current!$D$2:$AY$2&amp;LS_current!$D$3:$AY$3, 0)),SUM(VLOOKUP($A29, LS_current!$B$4:$AY$139, LS_current!Z$149, FALSE), VLOOKUP($A29, LS_current!$B$4:$AY$139,LS_current!Z$149, FALSE))/2)</f>
        <v>-109.65099959259601</v>
      </c>
      <c r="CK29" s="382">
        <f t="array" ref="CK29">IF($BI29=0, INDEX(LS_current!$D$4:$AY$139, MATCH('Staging Table'!$A29, LS_current!$B$4:$B$139, 0), MATCH(CK$4&amp;CK$5, LS_current!$D$2:$AY$2&amp;LS_current!$D$3:$AY$3, 0)),SUM(VLOOKUP($A29, LS_current!$B$4:$AY$139, LS_current!AA$149, FALSE), VLOOKUP($A29, LS_current!$B$4:$AY$139,LS_current!AA$149, FALSE))/2)</f>
        <v>167.25556045843746</v>
      </c>
      <c r="CL29" s="384">
        <f t="array" ref="CL29">INDEX(Demand_current!$D$4:$AY$138, MATCH($A29, Demand_current!$B$4:$B$138, 0), MATCH(CL$4&amp;CL$5,Demand_current!$D$2:$AY$2&amp;Demand_current!$D$3:$AY$3, 0))/1000</f>
        <v>0.42729567307692318</v>
      </c>
      <c r="CM29" s="384">
        <f t="array" ref="CM29">INDEX(Demand_current!$D$4:$AY$138, MATCH($A29, Demand_current!$B$4:$B$138, 0), MATCH(CM$4&amp;CM$5,Demand_current!$D$2:$AY$2&amp;Demand_current!$D$3:$AY$3, 0))/1000</f>
        <v>0.18435499999999982</v>
      </c>
      <c r="CN29" s="384">
        <f t="array" ref="CN29">INDEX(Demand_current!$D$4:$AY$138, MATCH($A29, Demand_current!$B$4:$B$138, 0), MATCH(CN$4&amp;CN$5,Demand_current!$D$2:$AY$2&amp;Demand_current!$D$3:$AY$3, 0))/1000</f>
        <v>0.46916250000000081</v>
      </c>
      <c r="CO29" s="384">
        <f t="array" ref="CO29">INDEX(Demand_current!$D$4:$AY$138, MATCH($A29, Demand_current!$B$4:$B$138, 0), MATCH(CO$4&amp;CO$5,Demand_current!$D$2:$AY$2&amp;Demand_current!$D$3:$AY$3, 0))/1000</f>
        <v>0.76348076923076846</v>
      </c>
      <c r="CP29" s="384">
        <f t="array" ref="CP29">INDEX(Demand_current!$D$4:$AY$138, MATCH($A29, Demand_current!$B$4:$B$138, 0), MATCH(CP$4&amp;CP$5,Demand_current!$D$2:$AY$2&amp;Demand_current!$D$3:$AY$3, 0))/1000</f>
        <v>0</v>
      </c>
      <c r="CQ29" s="384">
        <f t="array" ref="CQ29">INDEX(Demand_current!$D$4:$AY$138, MATCH($A29, Demand_current!$B$4:$B$138, 0), MATCH(CQ$4&amp;CQ$5,Demand_current!$D$2:$AY$2&amp;Demand_current!$D$3:$AY$3, 0))/1000</f>
        <v>0.46712499999999929</v>
      </c>
      <c r="CR29" s="384">
        <f t="array" ref="CR29">INDEX(Demand_current!$D$4:$AY$138, MATCH($A29, Demand_current!$B$4:$B$138, 0), MATCH(CR$4&amp;CR$5,Demand_current!$D$2:$AY$2&amp;Demand_current!$D$3:$AY$3, 0))/1000</f>
        <v>0.29890749999999899</v>
      </c>
      <c r="CS29" s="384">
        <f t="array" ref="CS29">INDEX(Demand_current!$D$4:$AY$138, MATCH($A29, Demand_current!$B$4:$B$138, 0), MATCH(CS$4&amp;CS$5,Demand_current!$D$2:$AY$2&amp;Demand_current!$D$3:$AY$3, 0))/1000</f>
        <v>0.24435576923076835</v>
      </c>
      <c r="CT29" s="384">
        <f t="array" ref="CT29">INDEX(Demand_current!$D$4:$AY$138, MATCH($A29, Demand_current!$B$4:$B$138, 0), MATCH(CT$4&amp;CT$5,Demand_current!$D$2:$AY$2&amp;Demand_current!$D$3:$AY$3, 0))/1000</f>
        <v>0.56767788461538549</v>
      </c>
      <c r="CU29" s="384">
        <f t="array" ref="CU29">INDEX(Demand_current!$D$4:$AY$138, MATCH($A29, Demand_current!$B$4:$B$138, 0), MATCH(CU$4&amp;CU$5,Demand_current!$D$2:$AY$2&amp;Demand_current!$D$3:$AY$3, 0))/1000</f>
        <v>0.6129199999999998</v>
      </c>
      <c r="CV29" s="384">
        <f t="array" ref="CV29">INDEX(Demand_current!$D$4:$AY$138, MATCH($A29, Demand_current!$B$4:$B$138, 0), MATCH(CV$4&amp;CV$5,Demand_current!$D$2:$AY$2&amp;Demand_current!$D$3:$AY$3, 0))/1000</f>
        <v>0.34620833333333412</v>
      </c>
      <c r="CW29" s="384">
        <f t="array" ref="CW29">INDEX(Demand_current!$D$4:$AY$138, MATCH($A29, Demand_current!$B$4:$B$138, 0), MATCH(CW$4&amp;CW$5,Demand_current!$D$2:$AY$2&amp;Demand_current!$D$3:$AY$3, 0))/1000</f>
        <v>0.18058072916666634</v>
      </c>
      <c r="CX29" s="384">
        <f>IF(D29=0,IF(C29=0,MAX(0,DA29 - (VLOOKUP($A29,TOCA_current!$A$2:$AI$137,MATCH("RHWM 2018",TOCA_current!$A$2:$AI$2,0),FALSE)*$BH$2)), 0),0)</f>
        <v>4704.6136057576514</v>
      </c>
      <c r="CY29" s="427">
        <f>VLOOKUP($A29,REP_current!$A$1:$D$135,MATCH("FY "&amp;$BH$1&amp; " Total Refund",REP_current!$A$1:$D$1,0),0)</f>
        <v>77630.668152548416</v>
      </c>
      <c r="CZ29" s="432">
        <f>MIN(VLOOKUP($A29,TOCA_current!$A$2:$AI$137,MATCH("TRL - NLSL - Existing Resource "&amp;$BH$1,TOCA_current!$A$2:$AI$2,0),FALSE)*$BH$2, VLOOKUP($A29,TOCA_current!$A$2:$AI$137,MATCH("RHWM 2018",TOCA_current!$A$2:$AI$2,0),FALSE)*$BH$2)</f>
        <v>41522.400000000001</v>
      </c>
      <c r="DA29" s="397">
        <f>SUM(BN29:CK29)+(BH29*RT1SC!$C$4*$BH$2)</f>
        <v>46227.013605757653</v>
      </c>
      <c r="DB29" s="432">
        <f>VLOOKUP($A29,TOCA_current!$A$2:$AI$137,MATCH("Above RHWM Not Served with LS "&amp;$BH$1,TOCA_current!$A$2:$AI$2,0),FALSE)*$BH$2</f>
        <v>14953.320000000002</v>
      </c>
      <c r="DC29" s="401">
        <f t="shared" si="11"/>
        <v>4704.6136057576514</v>
      </c>
      <c r="DD29" s="397">
        <f>(VLOOKUP($A29,TOCA_current!$A$2:$AI$137,MATCH("RHWM 2018",TOCA_current!$A$2:$AI$2,0),FALSE)*$BH$2) - $CZ29</f>
        <v>0</v>
      </c>
      <c r="DE29" s="397">
        <f t="shared" si="12"/>
        <v>0</v>
      </c>
      <c r="DF29" s="397">
        <f t="shared" si="13"/>
        <v>0</v>
      </c>
      <c r="DG29" s="397">
        <f t="shared" si="14"/>
        <v>0</v>
      </c>
      <c r="DH29" s="397">
        <f t="shared" si="15"/>
        <v>0</v>
      </c>
    </row>
    <row r="30" spans="1:112">
      <c r="A30" s="274">
        <v>10078</v>
      </c>
      <c r="B30" s="275" t="s">
        <v>31</v>
      </c>
      <c r="C30" s="397">
        <v>0</v>
      </c>
      <c r="D30" s="397">
        <v>0</v>
      </c>
      <c r="E30" s="205">
        <f>VLOOKUP($A30,TOCA_previous!$A$2:$AI$137,MATCH(E$4,TOCA_previous!$A$2:$AI$2,0),FALSE)</f>
        <v>5.0480000000000002E-4</v>
      </c>
      <c r="F30" s="206">
        <f>VLOOKUP($A30,TOCA_previous!$A$2:$AI$137,MATCH(F$4,TOCA_previous!$A$2:$AI$2,0),FALSE)</f>
        <v>5.0480000000000002E-4</v>
      </c>
      <c r="G30" s="206">
        <f t="shared" si="0"/>
        <v>0</v>
      </c>
      <c r="H30" s="206">
        <f>VLOOKUP($A30,TOCA_previous!$A$2:$AI$137,MATCH(H$4,TOCA_previous!$A$2:$AI$2,0),FALSE)</f>
        <v>0</v>
      </c>
      <c r="I30" s="206">
        <f t="shared" si="1"/>
        <v>0</v>
      </c>
      <c r="J30" s="206">
        <f t="shared" si="2"/>
        <v>0</v>
      </c>
      <c r="K30" s="381">
        <f>VLOOKUP(A30, IRD!$A$5:$C$139, 3, FALSE)</f>
        <v>0</v>
      </c>
      <c r="L30" s="382">
        <f t="array" ref="L30">IF($G30=0, INDEX(LS_previous!$D$4:$AY$138, MATCH('Staging Table'!$A30, LS_previous!$B$4:$B$138, 0), MATCH(L$4&amp;L$5, LS_previous!$D$2:$AY$2&amp;LS_previous!$D$3:$AY$3, 0)),SUM(VLOOKUP($A30, LS_previous!$B$4:$AY$138, LS_previous!D$149, FALSE), VLOOKUP('Staging Table'!$A30, LS_previous!$B$4:$AY$138,LS_previous!AB$149, FALSE))/2)</f>
        <v>136.47519361814261</v>
      </c>
      <c r="M30" s="382">
        <f t="array" ref="M30">IF($G30=0, INDEX(LS_previous!$D$4:$AY$138, MATCH('Staging Table'!$A30, LS_previous!$B$4:$B$138, 0), MATCH(M$4&amp;M$5, LS_previous!$D$2:$AY$2&amp;LS_previous!$D$3:$AY$3, 0)),SUM(VLOOKUP($A30, LS_previous!$B$4:$AY$138, LS_previous!E$149, FALSE), VLOOKUP('Staging Table'!$A30, LS_previous!$B$4:$AY$138,LS_previous!AC$149, FALSE))/2)</f>
        <v>-59.977223831389551</v>
      </c>
      <c r="N30" s="382">
        <f t="array" ref="N30">IF($G30=0, INDEX(LS_previous!$D$4:$AY$138, MATCH('Staging Table'!$A30, LS_previous!$B$4:$B$138, 0), MATCH(N$4&amp;N$5, LS_previous!$D$2:$AY$2&amp;LS_previous!$D$3:$AY$3, 0)),SUM(VLOOKUP($A30, LS_previous!$B$4:$AY$138, LS_previous!F$149, FALSE), VLOOKUP('Staging Table'!$A30, LS_previous!$B$4:$AY$138,LS_previous!AD$149, FALSE))/2)</f>
        <v>133.32952808027721</v>
      </c>
      <c r="O30" s="382">
        <f t="array" ref="O30">IF($G30=0, INDEX(LS_previous!$D$4:$AY$138, MATCH('Staging Table'!$A30, LS_previous!$B$4:$B$138, 0), MATCH(O$4&amp;O$5, LS_previous!$D$2:$AY$2&amp;LS_previous!$D$3:$AY$3, 0)),SUM(VLOOKUP($A30, LS_previous!$B$4:$AY$138, LS_previous!G$149, FALSE), VLOOKUP('Staging Table'!$A30, LS_previous!$B$4:$AY$138,LS_previous!AE$149, FALSE))/2)</f>
        <v>-13.974465160856425</v>
      </c>
      <c r="P30" s="382">
        <f t="array" ref="P30">IF($G30=0, INDEX(LS_previous!$D$4:$AY$138, MATCH('Staging Table'!$A30, LS_previous!$B$4:$B$138, 0), MATCH(P$4&amp;P$5, LS_previous!$D$2:$AY$2&amp;LS_previous!$D$3:$AY$3, 0)),SUM(VLOOKUP($A30, LS_previous!$B$4:$AY$138, LS_previous!H$149, FALSE), VLOOKUP('Staging Table'!$A30, LS_previous!$B$4:$AY$138,LS_previous!AF$149, FALSE))/2)</f>
        <v>321.0508902782824</v>
      </c>
      <c r="Q30" s="382">
        <f t="array" ref="Q30">IF($G30=0, INDEX(LS_previous!$D$4:$AY$138, MATCH('Staging Table'!$A30, LS_previous!$B$4:$B$138, 0), MATCH(Q$4&amp;Q$5, LS_previous!$D$2:$AY$2&amp;LS_previous!$D$3:$AY$3, 0)),SUM(VLOOKUP($A30, LS_previous!$B$4:$AY$138, LS_previous!I$149, FALSE), VLOOKUP('Staging Table'!$A30, LS_previous!$B$4:$AY$138,LS_previous!AG$149, FALSE))/2)</f>
        <v>224.66138349066227</v>
      </c>
      <c r="R30" s="382">
        <f t="array" ref="R30">IF($G30=0, INDEX(LS_previous!$D$4:$AY$138, MATCH('Staging Table'!$A30, LS_previous!$B$4:$B$138, 0), MATCH(R$4&amp;R$5, LS_previous!$D$2:$AY$2&amp;LS_previous!$D$3:$AY$3, 0)),SUM(VLOOKUP($A30, LS_previous!$B$4:$AY$138, LS_previous!J$149, FALSE), VLOOKUP('Staging Table'!$A30, LS_previous!$B$4:$AY$138,LS_previous!AH$149, FALSE))/2)</f>
        <v>706.6289998865816</v>
      </c>
      <c r="S30" s="382">
        <f t="array" ref="S30">IF($G30=0, INDEX(LS_previous!$D$4:$AY$138, MATCH('Staging Table'!$A30, LS_previous!$B$4:$B$138, 0), MATCH(S$4&amp;S$5, LS_previous!$D$2:$AY$2&amp;LS_previous!$D$3:$AY$3, 0)),SUM(VLOOKUP($A30, LS_previous!$B$4:$AY$138, LS_previous!K$149, FALSE), VLOOKUP('Staging Table'!$A30, LS_previous!$B$4:$AY$138,LS_previous!AI$149, FALSE))/2)</f>
        <v>301.93859678460615</v>
      </c>
      <c r="T30" s="382">
        <f t="array" ref="T30">IF($G30=0, INDEX(LS_previous!$D$4:$AY$138, MATCH('Staging Table'!$A30, LS_previous!$B$4:$B$138, 0), MATCH(T$4&amp;T$5, LS_previous!$D$2:$AY$2&amp;LS_previous!$D$3:$AY$3, 0)),SUM(VLOOKUP($A30, LS_previous!$B$4:$AY$138, LS_previous!L$149, FALSE), VLOOKUP('Staging Table'!$A30, LS_previous!$B$4:$AY$138,LS_previous!AJ$149, FALSE))/2)</f>
        <v>596.62393421299521</v>
      </c>
      <c r="U30" s="382">
        <f t="array" ref="U30">IF($G30=0, INDEX(LS_previous!$D$4:$AY$138, MATCH('Staging Table'!$A30, LS_previous!$B$4:$B$138, 0), MATCH(U$4&amp;U$5, LS_previous!$D$2:$AY$2&amp;LS_previous!$D$3:$AY$3, 0)),SUM(VLOOKUP($A30, LS_previous!$B$4:$AY$138, LS_previous!M$149, FALSE), VLOOKUP('Staging Table'!$A30, LS_previous!$B$4:$AY$138,LS_previous!AK$149, FALSE))/2)</f>
        <v>233.83951552346014</v>
      </c>
      <c r="V30" s="382">
        <f t="array" ref="V30">IF($G30=0, INDEX(LS_previous!$D$4:$AY$138, MATCH('Staging Table'!$A30, LS_previous!$B$4:$B$138, 0), MATCH(V$4&amp;V$5, LS_previous!$D$2:$AY$2&amp;LS_previous!$D$3:$AY$3, 0)),SUM(VLOOKUP($A30, LS_previous!$B$4:$AY$138, LS_previous!N$149, FALSE), VLOOKUP('Staging Table'!$A30, LS_previous!$B$4:$AY$138,LS_previous!AL$149, FALSE))/2)</f>
        <v>368.26836480441716</v>
      </c>
      <c r="W30" s="382">
        <f t="array" ref="W30">IF($G30=0, INDEX(LS_previous!$D$4:$AY$138, MATCH('Staging Table'!$A30, LS_previous!$B$4:$B$138, 0), MATCH(W$4&amp;W$5, LS_previous!$D$2:$AY$2&amp;LS_previous!$D$3:$AY$3, 0)),SUM(VLOOKUP($A30, LS_previous!$B$4:$AY$138, LS_previous!O$149, FALSE), VLOOKUP('Staging Table'!$A30, LS_previous!$B$4:$AY$138,LS_previous!AM$149, FALSE))/2)</f>
        <v>10.260279049722044</v>
      </c>
      <c r="X30" s="382">
        <f t="array" ref="X30">IF($G30=0, INDEX(LS_previous!$D$4:$AY$138, MATCH('Staging Table'!$A30, LS_previous!$B$4:$B$138, 0), MATCH(X$4&amp;X$5, LS_previous!$D$2:$AY$2&amp;LS_previous!$D$3:$AY$3, 0)),SUM(VLOOKUP($A30, LS_previous!$B$4:$AY$138, LS_previous!P$149, FALSE), VLOOKUP('Staging Table'!$A30, LS_previous!$B$4:$AY$138,LS_previous!AN$149, FALSE))/2)</f>
        <v>351.45748131980349</v>
      </c>
      <c r="Y30" s="382">
        <f t="array" ref="Y30">IF($G30=0, INDEX(LS_previous!$D$4:$AY$138, MATCH('Staging Table'!$A30, LS_previous!$B$4:$B$138, 0), MATCH(Y$4&amp;Y$5, LS_previous!$D$2:$AY$2&amp;LS_previous!$D$3:$AY$3, 0)),SUM(VLOOKUP($A30, LS_previous!$B$4:$AY$138, LS_previous!Q$149, FALSE), VLOOKUP('Staging Table'!$A30, LS_previous!$B$4:$AY$138,LS_previous!AO$149, FALSE))/2)</f>
        <v>90.8609973232127</v>
      </c>
      <c r="Z30" s="382">
        <f t="array" ref="Z30">IF($G30=0, INDEX(LS_previous!$D$4:$AY$138, MATCH('Staging Table'!$A30, LS_previous!$B$4:$B$138, 0), MATCH(Z$4&amp;Z$5, LS_previous!$D$2:$AY$2&amp;LS_previous!$D$3:$AY$3, 0)),SUM(VLOOKUP($A30, LS_previous!$B$4:$AY$138, LS_previous!R$149, FALSE), VLOOKUP('Staging Table'!$A30, LS_previous!$B$4:$AY$138,LS_previous!AP$149, FALSE))/2)</f>
        <v>-725.36961879245769</v>
      </c>
      <c r="AA30" s="382">
        <f t="array" ref="AA30">IF($G30=0, INDEX(LS_previous!$D$4:$AY$138, MATCH('Staging Table'!$A30, LS_previous!$B$4:$B$138, 0), MATCH(AA$4&amp;AA$5, LS_previous!$D$2:$AY$2&amp;LS_previous!$D$3:$AY$3, 0)),SUM(VLOOKUP($A30, LS_previous!$B$4:$AY$138, LS_previous!S$149, FALSE), VLOOKUP('Staging Table'!$A30, LS_previous!$B$4:$AY$138,LS_previous!AQ$149, FALSE))/2)</f>
        <v>-511.21744186955812</v>
      </c>
      <c r="AB30" s="382">
        <f t="array" ref="AB30">IF($G30=0, INDEX(LS_previous!$D$4:$AY$138, MATCH('Staging Table'!$A30, LS_previous!$B$4:$B$138, 0), MATCH(AB$4&amp;AB$5, LS_previous!$D$2:$AY$2&amp;LS_previous!$D$3:$AY$3, 0)),SUM(VLOOKUP($A30, LS_previous!$B$4:$AY$138, LS_previous!T$149, FALSE), VLOOKUP('Staging Table'!$A30, LS_previous!$B$4:$AY$138,LS_previous!AR$149, FALSE))/2)</f>
        <v>-334.52300672247702</v>
      </c>
      <c r="AC30" s="382">
        <f t="array" ref="AC30">IF($G30=0, INDEX(LS_previous!$D$4:$AY$138, MATCH('Staging Table'!$A30, LS_previous!$B$4:$B$138, 0), MATCH(AC$4&amp;AC$5, LS_previous!$D$2:$AY$2&amp;LS_previous!$D$3:$AY$3, 0)),SUM(VLOOKUP($A30, LS_previous!$B$4:$AY$138, LS_previous!U$149, FALSE), VLOOKUP('Staging Table'!$A30, LS_previous!$B$4:$AY$138,LS_previous!AS$149, FALSE))/2)</f>
        <v>-390.06217441609249</v>
      </c>
      <c r="AD30" s="382">
        <f t="array" ref="AD30">IF($G30=0, INDEX(LS_previous!$D$4:$AY$138, MATCH('Staging Table'!$A30, LS_previous!$B$4:$B$138, 0), MATCH(AD$4&amp;AD$5, LS_previous!$D$2:$AY$2&amp;LS_previous!$D$3:$AY$3, 0)),SUM(VLOOKUP($A30, LS_previous!$B$4:$AY$138, LS_previous!V$149, FALSE), VLOOKUP('Staging Table'!$A30, LS_previous!$B$4:$AY$138,LS_previous!AT$149, FALSE))/2)</f>
        <v>-340.03596694489875</v>
      </c>
      <c r="AE30" s="382">
        <f t="array" ref="AE30">IF($G30=0, INDEX(LS_previous!$D$4:$AY$138, MATCH('Staging Table'!$A30, LS_previous!$B$4:$B$138, 0), MATCH(AE$4&amp;AE$5, LS_previous!$D$2:$AY$2&amp;LS_previous!$D$3:$AY$3, 0)),SUM(VLOOKUP($A30, LS_previous!$B$4:$AY$138, LS_previous!W$149, FALSE), VLOOKUP('Staging Table'!$A30, LS_previous!$B$4:$AY$138,LS_previous!AU$149, FALSE))/2)</f>
        <v>-223.76470484303331</v>
      </c>
      <c r="AF30" s="382">
        <f t="array" ref="AF30">IF($G30=0, INDEX(LS_previous!$D$4:$AY$138, MATCH('Staging Table'!$A30, LS_previous!$B$4:$B$138, 0), MATCH(AF$4&amp;AF$5, LS_previous!$D$2:$AY$2&amp;LS_previous!$D$3:$AY$3, 0)),SUM(VLOOKUP($A30, LS_previous!$B$4:$AY$138, LS_previous!X$149, FALSE), VLOOKUP('Staging Table'!$A30, LS_previous!$B$4:$AY$138,LS_previous!AV$149, FALSE))/2)</f>
        <v>-336.11183304524434</v>
      </c>
      <c r="AG30" s="382">
        <f t="array" ref="AG30">IF($G30=0, INDEX(LS_previous!$D$4:$AY$138, MATCH('Staging Table'!$A30, LS_previous!$B$4:$B$138, 0), MATCH(AG$4&amp;AG$5, LS_previous!$D$2:$AY$2&amp;LS_previous!$D$3:$AY$3, 0)),SUM(VLOOKUP($A30, LS_previous!$B$4:$AY$138, LS_previous!Y$149, FALSE), VLOOKUP('Staging Table'!$A30, LS_previous!$B$4:$AY$138,LS_previous!AW$149, FALSE))/2)</f>
        <v>-314.67126166338846</v>
      </c>
      <c r="AH30" s="382">
        <f t="array" ref="AH30">IF($G30=0, INDEX(LS_previous!$D$4:$AY$138, MATCH('Staging Table'!$A30, LS_previous!$B$4:$B$138, 0), MATCH(AH$4&amp;AH$5, LS_previous!$D$2:$AY$2&amp;LS_previous!$D$3:$AY$3, 0)),SUM(VLOOKUP($A30, LS_previous!$B$4:$AY$138, LS_previous!Z$149, FALSE), VLOOKUP('Staging Table'!$A30, LS_previous!$B$4:$AY$138,LS_previous!AX$149, FALSE))/2)</f>
        <v>29.576957096529441</v>
      </c>
      <c r="AI30" s="382">
        <f t="array" ref="AI30">IF($G30=0, INDEX(LS_previous!$D$4:$AY$138, MATCH('Staging Table'!$A30, LS_previous!$B$4:$B$138, 0), MATCH(AI$4&amp;AI$5, LS_previous!$D$2:$AY$2&amp;LS_previous!$D$3:$AY$3, 0)),SUM(VLOOKUP($A30, LS_previous!$B$4:$AY$138, LS_previous!AA$149, FALSE), VLOOKUP('Staging Table'!$A30, LS_previous!$B$4:$AY$138,LS_previous!AY$149, FALSE))/2)</f>
        <v>-150.5568807674573</v>
      </c>
      <c r="AJ30" s="384">
        <f t="array" ref="AJ30">INDEX(Demand_previous!$D$4:$AY$138, MATCH('Staging Table'!$A30, Demand_previous!$B$4:$B$138, 0), MATCH(AJ$4&amp;AJ$5,Demand_previous!$D$2:$AY$2&amp;Demand_previous!$D$3:$AY$3, 0))/1000</f>
        <v>1.0015509259259257</v>
      </c>
      <c r="AK30" s="384">
        <f t="array" ref="AK30">INDEX(Demand_previous!$D$4:$AY$138, MATCH('Staging Table'!$A30, Demand_previous!$B$4:$B$138, 0), MATCH(AK$4&amp;AK$5,Demand_previous!$D$2:$AY$2&amp;Demand_previous!$D$3:$AY$3, 0))/1000</f>
        <v>1.0537343750000008</v>
      </c>
      <c r="AL30" s="384">
        <f t="array" ref="AL30">INDEX(Demand_previous!$D$4:$AY$138, MATCH('Staging Table'!$A30, Demand_previous!$B$4:$B$138, 0), MATCH(AL$4&amp;AL$5,Demand_previous!$D$2:$AY$2&amp;Demand_previous!$D$3:$AY$3, 0))/1000</f>
        <v>1.607694711538461</v>
      </c>
      <c r="AM30" s="384">
        <f t="array" ref="AM30">INDEX(Demand_previous!$D$4:$AY$138, MATCH('Staging Table'!$A30, Demand_previous!$B$4:$B$138, 0), MATCH(AM$4&amp;AM$5,Demand_previous!$D$2:$AY$2&amp;Demand_previous!$D$3:$AY$3, 0))/1000</f>
        <v>1.2799775000000004</v>
      </c>
      <c r="AN30" s="384">
        <f t="array" ref="AN30">INDEX(Demand_previous!$D$4:$AY$138, MATCH('Staging Table'!$A30, Demand_previous!$B$4:$B$138, 0), MATCH(AN$4&amp;AN$5,Demand_previous!$D$2:$AY$2&amp;Demand_previous!$D$3:$AY$3, 0))/1000</f>
        <v>0.88138500000000031</v>
      </c>
      <c r="AO30" s="384">
        <f t="array" ref="AO30">INDEX(Demand_previous!$D$4:$AY$138, MATCH('Staging Table'!$A30, Demand_previous!$B$4:$B$138, 0), MATCH(AO$4&amp;AO$5,Demand_previous!$D$2:$AY$2&amp;Demand_previous!$D$3:$AY$3, 0))/1000</f>
        <v>1.1761736111111107</v>
      </c>
      <c r="AP30" s="384">
        <f t="array" ref="AP30">INDEX(Demand_previous!$D$4:$AY$138, MATCH('Staging Table'!$A30, Demand_previous!$B$4:$B$138, 0), MATCH(AP$4&amp;AP$5,Demand_previous!$D$2:$AY$2&amp;Demand_previous!$D$3:$AY$3, 0))/1000</f>
        <v>1.4597427884615386</v>
      </c>
      <c r="AQ30" s="384">
        <f t="array" ref="AQ30">INDEX(Demand_previous!$D$4:$AY$138, MATCH('Staging Table'!$A30, Demand_previous!$B$4:$B$138, 0), MATCH(AQ$4&amp;AQ$5,Demand_previous!$D$2:$AY$2&amp;Demand_previous!$D$3:$AY$3, 0))/1000</f>
        <v>0.26229500000000083</v>
      </c>
      <c r="AR30" s="384">
        <f t="array" ref="AR30">INDEX(Demand_previous!$D$4:$AY$138, MATCH('Staging Table'!$A30, Demand_previous!$B$4:$B$138, 0), MATCH(AR$4&amp;AR$5,Demand_previous!$D$2:$AY$2&amp;Demand_previous!$D$3:$AY$3, 0))/1000</f>
        <v>3.6081730769230269E-2</v>
      </c>
      <c r="AS30" s="384">
        <f t="array" ref="AS30">INDEX(Demand_previous!$D$4:$AY$138, MATCH('Staging Table'!$A30, Demand_previous!$B$4:$B$138, 0), MATCH(AS$4&amp;AS$5,Demand_previous!$D$2:$AY$2&amp;Demand_previous!$D$3:$AY$3, 0))/1000</f>
        <v>6.9684999999999775E-2</v>
      </c>
      <c r="AT30" s="384">
        <f t="array" ref="AT30">INDEX(Demand_previous!$D$4:$AY$138, MATCH('Staging Table'!$A30, Demand_previous!$B$4:$B$138, 0), MATCH(AT$4&amp;AT$5,Demand_previous!$D$2:$AY$2&amp;Demand_previous!$D$3:$AY$3, 0))/1000</f>
        <v>0.72673148148148159</v>
      </c>
      <c r="AU30" s="384">
        <f t="array" ref="AU30">INDEX(Demand_previous!$D$4:$AY$138, MATCH('Staging Table'!$A30, Demand_previous!$B$4:$B$138, 0), MATCH(AU$4&amp;AU$5,Demand_previous!$D$2:$AY$2&amp;Demand_previous!$D$3:$AY$3, 0))/1000</f>
        <v>0</v>
      </c>
      <c r="AV30" s="384">
        <f>IF($D30=0,IF(C30=0, MAX(AY30 - (VLOOKUP($A30,TOCA_previous!$A$2:$AI$137,MATCH("RHWM 2016",TOCA_previous!$A$2:$AI$2,0),FALSE)*$F$2*TOCA_previous!C27),0),0), 0)</f>
        <v>0</v>
      </c>
      <c r="AW30" s="427">
        <f>VLOOKUP($A30,REP_previous!$A$1:$D$135,MATCH("FY "&amp;$F$1&amp; " Total Refund",REP_previous!$A$1:$D$1,0),0)</f>
        <v>55293.293982342278</v>
      </c>
      <c r="AX30" s="398">
        <f>MIN(VLOOKUP($A30,TOCA_previous!$A$2:$AI$137,MATCH("TRL - NLSL - Exisiting Resource "&amp;$F$1,TOCA_previous!$A$2:$AI$2,0),FALSE)*$F$2,(VLOOKUP($A30,TOCA_previous!$A$2:$AI$137,MATCH("RHWM 2016",TOCA_previous!$A$2:$AI$2,0),FALSE)*$F$2))</f>
        <v>30963.599999999999</v>
      </c>
      <c r="AY30" s="384">
        <f>SUM(L30:AI30)+(F30*RT1SC!$C$3*$F$2)</f>
        <v>31068.84607288384</v>
      </c>
      <c r="AZ30" s="398">
        <f>VLOOKUP($A30,TOCA_previous!$A$2:$AI$137,MATCH("Above RHWM Not Served with LS "&amp;$F$1,TOCA_previous!$A$2:$AI$2,0),FALSE)*$F$2</f>
        <v>0</v>
      </c>
      <c r="BA30" s="206">
        <f t="shared" si="3"/>
        <v>105.24607288384141</v>
      </c>
      <c r="BB30" s="399">
        <f>(VLOOKUP($A30,TOCA_previous!$A$2:$AI$137,MATCH("RHWM 2016",TOCA_previous!$A$2:$AI$2,0),FALSE)*$F$2) - $AX30</f>
        <v>1370.3040000000001</v>
      </c>
      <c r="BC30" s="206">
        <f t="shared" si="4"/>
        <v>-105.24607288384141</v>
      </c>
      <c r="BD30" s="400">
        <f t="shared" si="5"/>
        <v>0</v>
      </c>
      <c r="BE30" s="392">
        <f t="shared" si="6"/>
        <v>0</v>
      </c>
      <c r="BF30" s="399">
        <f t="shared" si="7"/>
        <v>-105.24607288384141</v>
      </c>
      <c r="BG30" s="206">
        <f>VLOOKUP($A30,TOCA_current!$A$2:$AI$137,MATCH(BG$4,TOCA_current!$A$2:$AI$2,0),FALSE)</f>
        <v>5.2669999999999995E-4</v>
      </c>
      <c r="BH30" s="206">
        <f>VLOOKUP($A30,TOCA_current!$A$2:$AI$137,MATCH(BH$4,TOCA_current!$A$2:$AI$2,0),FALSE)</f>
        <v>5.2669999999999995E-4</v>
      </c>
      <c r="BI30" s="391">
        <f t="shared" si="8"/>
        <v>0</v>
      </c>
      <c r="BJ30" s="206">
        <f>VLOOKUP($A30,TOCA_current!A26:BG161,MATCH(BJ$4,TOCA_current!$A$2:$BG$2,0),FALSE)</f>
        <v>0</v>
      </c>
      <c r="BK30" s="206">
        <f t="shared" si="9"/>
        <v>0</v>
      </c>
      <c r="BL30" s="206">
        <f t="shared" si="10"/>
        <v>0</v>
      </c>
      <c r="BM30" s="381">
        <f>VLOOKUP($A30,IRD!$A$4:$G$139, 7, FALSE)</f>
        <v>0</v>
      </c>
      <c r="BN30" s="382">
        <f t="array" ref="BN30">IF($BI30=0, INDEX(LS_current!$D$4:$AY$139, MATCH('Staging Table'!$A30, LS_current!$B$4:$B$139, 0), MATCH(BN$4&amp;BN$5, LS_current!$D$2:$AY$2&amp;LS_current!$D$3:$AY$3, 0)),SUM(VLOOKUP($A30, LS_current!$B$4:$AY$139, LS_current!D$149, FALSE), VLOOKUP($A30, LS_current!$B$4:$AY$139,LS_current!D$149, FALSE))/2)</f>
        <v>61.445636742138504</v>
      </c>
      <c r="BO30" s="382">
        <f t="array" ref="BO30">IF($BI30=0, INDEX(LS_current!$D$4:$AY$139, MATCH('Staging Table'!$A30, LS_current!$B$4:$B$139, 0), MATCH(BO$4&amp;BO$5, LS_current!$D$2:$AY$2&amp;LS_current!$D$3:$AY$3, 0)),SUM(VLOOKUP($A30, LS_current!$B$4:$AY$139, LS_current!E$149, FALSE), VLOOKUP($A30, LS_current!$B$4:$AY$139,LS_current!E$149, FALSE))/2)</f>
        <v>-50.958486192688042</v>
      </c>
      <c r="BP30" s="382">
        <f t="array" ref="BP30">IF($BI30=0, INDEX(LS_current!$D$4:$AY$139, MATCH('Staging Table'!$A30, LS_current!$B$4:$B$139, 0), MATCH(BP$4&amp;BP$5, LS_current!$D$2:$AY$2&amp;LS_current!$D$3:$AY$3, 0)),SUM(VLOOKUP($A30, LS_current!$B$4:$AY$139, LS_current!F$149, FALSE), VLOOKUP($A30, LS_current!$B$4:$AY$139,LS_current!F$149, FALSE))/2)</f>
        <v>15.65903227958097</v>
      </c>
      <c r="BQ30" s="382">
        <f t="array" ref="BQ30">IF($BI30=0, INDEX(LS_current!$D$4:$AY$139, MATCH('Staging Table'!$A30, LS_current!$B$4:$B$139, 0), MATCH(BQ$4&amp;BQ$5, LS_current!$D$2:$AY$2&amp;LS_current!$D$3:$AY$3, 0)),SUM(VLOOKUP($A30, LS_current!$B$4:$AY$139, LS_current!G$149, FALSE), VLOOKUP($A30, LS_current!$B$4:$AY$139,LS_current!G$149, FALSE))/2)</f>
        <v>-51.082341828655672</v>
      </c>
      <c r="BR30" s="382">
        <f t="array" ref="BR30">IF($BI30=0, INDEX(LS_current!$D$4:$AY$139, MATCH('Staging Table'!$A30, LS_current!$B$4:$B$139, 0), MATCH(BR$4&amp;BR$5, LS_current!$D$2:$AY$2&amp;LS_current!$D$3:$AY$3, 0)),SUM(VLOOKUP($A30, LS_current!$B$4:$AY$139, LS_current!H$149, FALSE), VLOOKUP($A30, LS_current!$B$4:$AY$139,LS_current!H$149, FALSE))/2)</f>
        <v>184.91932473603629</v>
      </c>
      <c r="BS30" s="382">
        <f t="array" ref="BS30">IF($BI30=0, INDEX(LS_current!$D$4:$AY$139, MATCH('Staging Table'!$A30, LS_current!$B$4:$B$139, 0), MATCH(BS$4&amp;BS$5, LS_current!$D$2:$AY$2&amp;LS_current!$D$3:$AY$3, 0)),SUM(VLOOKUP($A30, LS_current!$B$4:$AY$139, LS_current!I$149, FALSE), VLOOKUP($A30, LS_current!$B$4:$AY$139,LS_current!I$149, FALSE))/2)</f>
        <v>167.11125327367245</v>
      </c>
      <c r="BT30" s="382">
        <f t="array" ref="BT30">IF($BI30=0, INDEX(LS_current!$D$4:$AY$139, MATCH('Staging Table'!$A30, LS_current!$B$4:$B$139, 0), MATCH(BT$4&amp;BT$5, LS_current!$D$2:$AY$2&amp;LS_current!$D$3:$AY$3, 0)),SUM(VLOOKUP($A30, LS_current!$B$4:$AY$139, LS_current!J$149, FALSE), VLOOKUP($A30, LS_current!$B$4:$AY$139,LS_current!J$149, FALSE))/2)</f>
        <v>623.37934262365843</v>
      </c>
      <c r="BU30" s="382">
        <f t="array" ref="BU30">IF($BI30=0, INDEX(LS_current!$D$4:$AY$139, MATCH('Staging Table'!$A30, LS_current!$B$4:$B$139, 0), MATCH(BU$4&amp;BU$5, LS_current!$D$2:$AY$2&amp;LS_current!$D$3:$AY$3, 0)),SUM(VLOOKUP($A30, LS_current!$B$4:$AY$139, LS_current!K$149, FALSE), VLOOKUP($A30, LS_current!$B$4:$AY$139,LS_current!K$149, FALSE))/2)</f>
        <v>257.34509419156973</v>
      </c>
      <c r="BV30" s="382">
        <f t="array" ref="BV30">IF($BI30=0, INDEX(LS_current!$D$4:$AY$139, MATCH('Staging Table'!$A30, LS_current!$B$4:$B$139, 0), MATCH(BV$4&amp;BV$5, LS_current!$D$2:$AY$2&amp;LS_current!$D$3:$AY$3, 0)),SUM(VLOOKUP($A30, LS_current!$B$4:$AY$139, LS_current!L$149, FALSE), VLOOKUP($A30, LS_current!$B$4:$AY$139,LS_current!L$149, FALSE))/2)</f>
        <v>645.97256534017765</v>
      </c>
      <c r="BW30" s="382">
        <f t="array" ref="BW30">IF($BI30=0, INDEX(LS_current!$D$4:$AY$139, MATCH('Staging Table'!$A30, LS_current!$B$4:$B$139, 0), MATCH(BW$4&amp;BW$5, LS_current!$D$2:$AY$2&amp;LS_current!$D$3:$AY$3, 0)),SUM(VLOOKUP($A30, LS_current!$B$4:$AY$139, LS_current!M$149, FALSE), VLOOKUP($A30, LS_current!$B$4:$AY$139,LS_current!M$149, FALSE))/2)</f>
        <v>283.96894737900254</v>
      </c>
      <c r="BX30" s="382">
        <f t="array" ref="BX30">IF($BI30=0, INDEX(LS_current!$D$4:$AY$139, MATCH('Staging Table'!$A30, LS_current!$B$4:$B$139, 0), MATCH(BX$4&amp;BX$5, LS_current!$D$2:$AY$2&amp;LS_current!$D$3:$AY$3, 0)),SUM(VLOOKUP($A30, LS_current!$B$4:$AY$139, LS_current!N$149, FALSE), VLOOKUP($A30, LS_current!$B$4:$AY$139,LS_current!N$149, FALSE))/2)</f>
        <v>384.06614755684723</v>
      </c>
      <c r="BY30" s="382">
        <f t="array" ref="BY30">IF($BI30=0, INDEX(LS_current!$D$4:$AY$139, MATCH('Staging Table'!$A30, LS_current!$B$4:$B$139, 0), MATCH(BY$4&amp;BY$5, LS_current!$D$2:$AY$2&amp;LS_current!$D$3:$AY$3, 0)),SUM(VLOOKUP($A30, LS_current!$B$4:$AY$139, LS_current!O$149, FALSE), VLOOKUP($A30, LS_current!$B$4:$AY$139,LS_current!O$149, FALSE))/2)</f>
        <v>63.210608032990308</v>
      </c>
      <c r="BZ30" s="382">
        <f t="array" ref="BZ30">IF($BI30=0, INDEX(LS_current!$D$4:$AY$139, MATCH('Staging Table'!$A30, LS_current!$B$4:$B$139, 0), MATCH(BZ$4&amp;BZ$5, LS_current!$D$2:$AY$2&amp;LS_current!$D$3:$AY$3, 0)),SUM(VLOOKUP($A30, LS_current!$B$4:$AY$139, LS_current!P$149, FALSE), VLOOKUP($A30, LS_current!$B$4:$AY$139,LS_current!P$149, FALSE))/2)</f>
        <v>133.68353499733121</v>
      </c>
      <c r="CA30" s="382">
        <f t="array" ref="CA30">IF($BI30=0, INDEX(LS_current!$D$4:$AY$139, MATCH('Staging Table'!$A30, LS_current!$B$4:$B$139, 0), MATCH(CA$4&amp;CA$5, LS_current!$D$2:$AY$2&amp;LS_current!$D$3:$AY$3, 0)),SUM(VLOOKUP($A30, LS_current!$B$4:$AY$139, LS_current!Q$149, FALSE), VLOOKUP($A30, LS_current!$B$4:$AY$139,LS_current!Q$149, FALSE))/2)</f>
        <v>44.104337281408107</v>
      </c>
      <c r="CB30" s="382">
        <f t="array" ref="CB30">IF($BI30=0, INDEX(LS_current!$D$4:$AY$139, MATCH('Staging Table'!$A30, LS_current!$B$4:$B$139, 0), MATCH(CB$4&amp;CB$5, LS_current!$D$2:$AY$2&amp;LS_current!$D$3:$AY$3, 0)),SUM(VLOOKUP($A30, LS_current!$B$4:$AY$139, LS_current!R$149, FALSE), VLOOKUP($A30, LS_current!$B$4:$AY$139,LS_current!R$149, FALSE))/2)</f>
        <v>-799.80755235020047</v>
      </c>
      <c r="CC30" s="382">
        <f t="array" ref="CC30">IF($BI30=0, INDEX(LS_current!$D$4:$AY$139, MATCH('Staging Table'!$A30, LS_current!$B$4:$B$139, 0), MATCH(CC$4&amp;CC$5, LS_current!$D$2:$AY$2&amp;LS_current!$D$3:$AY$3, 0)),SUM(VLOOKUP($A30, LS_current!$B$4:$AY$139, LS_current!S$149, FALSE), VLOOKUP($A30, LS_current!$B$4:$AY$139,LS_current!S$149, FALSE))/2)</f>
        <v>-583.19813949534478</v>
      </c>
      <c r="CD30" s="382">
        <f t="array" ref="CD30">IF($BI30=0, INDEX(LS_current!$D$4:$AY$139, MATCH('Staging Table'!$A30, LS_current!$B$4:$B$139, 0), MATCH(CD$4&amp;CD$5, LS_current!$D$2:$AY$2&amp;LS_current!$D$3:$AY$3, 0)),SUM(VLOOKUP($A30, LS_current!$B$4:$AY$139, LS_current!T$149, FALSE), VLOOKUP($A30, LS_current!$B$4:$AY$139,LS_current!T$149, FALSE))/2)</f>
        <v>-402.01990014221587</v>
      </c>
      <c r="CE30" s="382">
        <f t="array" ref="CE30">IF($BI30=0, INDEX(LS_current!$D$4:$AY$139, MATCH('Staging Table'!$A30, LS_current!$B$4:$B$139, 0), MATCH(CE$4&amp;CE$5, LS_current!$D$2:$AY$2&amp;LS_current!$D$3:$AY$3, 0)),SUM(VLOOKUP($A30, LS_current!$B$4:$AY$139, LS_current!U$149, FALSE), VLOOKUP($A30, LS_current!$B$4:$AY$139,LS_current!U$149, FALSE))/2)</f>
        <v>-360.14378911822951</v>
      </c>
      <c r="CF30" s="382">
        <f t="array" ref="CF30">IF($BI30=0, INDEX(LS_current!$D$4:$AY$139, MATCH('Staging Table'!$A30, LS_current!$B$4:$B$139, 0), MATCH(CF$4&amp;CF$5, LS_current!$D$2:$AY$2&amp;LS_current!$D$3:$AY$3, 0)),SUM(VLOOKUP($A30, LS_current!$B$4:$AY$139, LS_current!V$149, FALSE), VLOOKUP($A30, LS_current!$B$4:$AY$139,LS_current!V$149, FALSE))/2)</f>
        <v>-307.05414278401713</v>
      </c>
      <c r="CG30" s="382">
        <f t="array" ref="CG30">IF($BI30=0, INDEX(LS_current!$D$4:$AY$139, MATCH('Staging Table'!$A30, LS_current!$B$4:$B$139, 0), MATCH(CG$4&amp;CG$5, LS_current!$D$2:$AY$2&amp;LS_current!$D$3:$AY$3, 0)),SUM(VLOOKUP($A30, LS_current!$B$4:$AY$139, LS_current!W$149, FALSE), VLOOKUP($A30, LS_current!$B$4:$AY$139,LS_current!W$149, FALSE))/2)</f>
        <v>-197.27719728869658</v>
      </c>
      <c r="CH30" s="382">
        <f t="array" ref="CH30">IF($BI30=0, INDEX(LS_current!$D$4:$AY$139, MATCH('Staging Table'!$A30, LS_current!$B$4:$B$139, 0), MATCH(CH$4&amp;CH$5, LS_current!$D$2:$AY$2&amp;LS_current!$D$3:$AY$3, 0)),SUM(VLOOKUP($A30, LS_current!$B$4:$AY$139, LS_current!X$149, FALSE), VLOOKUP($A30, LS_current!$B$4:$AY$139,LS_current!X$149, FALSE))/2)</f>
        <v>-402.58837649031375</v>
      </c>
      <c r="CI30" s="382">
        <f t="array" ref="CI30">IF($BI30=0, INDEX(LS_current!$D$4:$AY$139, MATCH('Staging Table'!$A30, LS_current!$B$4:$B$139, 0), MATCH(CI$4&amp;CI$5, LS_current!$D$2:$AY$2&amp;LS_current!$D$3:$AY$3, 0)),SUM(VLOOKUP($A30, LS_current!$B$4:$AY$139, LS_current!Y$149, FALSE), VLOOKUP($A30, LS_current!$B$4:$AY$139,LS_current!Y$149, FALSE))/2)</f>
        <v>-323.84745711302025</v>
      </c>
      <c r="CJ30" s="382">
        <f t="array" ref="CJ30">IF($BI30=0, INDEX(LS_current!$D$4:$AY$139, MATCH('Staging Table'!$A30, LS_current!$B$4:$B$139, 0), MATCH(CJ$4&amp;CJ$5, LS_current!$D$2:$AY$2&amp;LS_current!$D$3:$AY$3, 0)),SUM(VLOOKUP($A30, LS_current!$B$4:$AY$139, LS_current!Z$149, FALSE), VLOOKUP($A30, LS_current!$B$4:$AY$139,LS_current!Z$149, FALSE))/2)</f>
        <v>-175.95381111416896</v>
      </c>
      <c r="CK30" s="382">
        <f t="array" ref="CK30">IF($BI30=0, INDEX(LS_current!$D$4:$AY$139, MATCH('Staging Table'!$A30, LS_current!$B$4:$B$139, 0), MATCH(CK$4&amp;CK$5, LS_current!$D$2:$AY$2&amp;LS_current!$D$3:$AY$3, 0)),SUM(VLOOKUP($A30, LS_current!$B$4:$AY$139, LS_current!AA$149, FALSE), VLOOKUP($A30, LS_current!$B$4:$AY$139,LS_current!AA$149, FALSE))/2)</f>
        <v>-184.85756367258739</v>
      </c>
      <c r="CL30" s="384">
        <f t="array" ref="CL30">INDEX(Demand_current!$D$4:$AY$138, MATCH($A30, Demand_current!$B$4:$B$138, 0), MATCH(CL$4&amp;CL$5,Demand_current!$D$2:$AY$2&amp;Demand_current!$D$3:$AY$3, 0))/1000</f>
        <v>0.85307211538461525</v>
      </c>
      <c r="CM30" s="384">
        <f t="array" ref="CM30">INDEX(Demand_current!$D$4:$AY$138, MATCH($A30, Demand_current!$B$4:$B$138, 0), MATCH(CM$4&amp;CM$5,Demand_current!$D$2:$AY$2&amp;Demand_current!$D$3:$AY$3, 0))/1000</f>
        <v>1.2557050000000003</v>
      </c>
      <c r="CN30" s="384">
        <f t="array" ref="CN30">INDEX(Demand_current!$D$4:$AY$138, MATCH($A30, Demand_current!$B$4:$B$138, 0), MATCH(CN$4&amp;CN$5,Demand_current!$D$2:$AY$2&amp;Demand_current!$D$3:$AY$3, 0))/1000</f>
        <v>1.4092825000000002</v>
      </c>
      <c r="CO30" s="384">
        <f t="array" ref="CO30">INDEX(Demand_current!$D$4:$AY$138, MATCH($A30, Demand_current!$B$4:$B$138, 0), MATCH(CO$4&amp;CO$5,Demand_current!$D$2:$AY$2&amp;Demand_current!$D$3:$AY$3, 0))/1000</f>
        <v>1.492978365384616</v>
      </c>
      <c r="CP30" s="384">
        <f t="array" ref="CP30">INDEX(Demand_current!$D$4:$AY$138, MATCH($A30, Demand_current!$B$4:$B$138, 0), MATCH(CP$4&amp;CP$5,Demand_current!$D$2:$AY$2&amp;Demand_current!$D$3:$AY$3, 0))/1000</f>
        <v>0.67510937500000034</v>
      </c>
      <c r="CQ30" s="384">
        <f t="array" ref="CQ30">INDEX(Demand_current!$D$4:$AY$138, MATCH($A30, Demand_current!$B$4:$B$138, 0), MATCH(CQ$4&amp;CQ$5,Demand_current!$D$2:$AY$2&amp;Demand_current!$D$3:$AY$3, 0))/1000</f>
        <v>1.1761736111111107</v>
      </c>
      <c r="CR30" s="384">
        <f t="array" ref="CR30">INDEX(Demand_current!$D$4:$AY$138, MATCH($A30, Demand_current!$B$4:$B$138, 0), MATCH(CR$4&amp;CR$5,Demand_current!$D$2:$AY$2&amp;Demand_current!$D$3:$AY$3, 0))/1000</f>
        <v>1.2982525000000007</v>
      </c>
      <c r="CS30" s="384">
        <f t="array" ref="CS30">INDEX(Demand_current!$D$4:$AY$138, MATCH($A30, Demand_current!$B$4:$B$138, 0), MATCH(CS$4&amp;CS$5,Demand_current!$D$2:$AY$2&amp;Demand_current!$D$3:$AY$3, 0))/1000</f>
        <v>0.40155288461538508</v>
      </c>
      <c r="CT30" s="384">
        <f t="array" ref="CT30">INDEX(Demand_current!$D$4:$AY$138, MATCH($A30, Demand_current!$B$4:$B$138, 0), MATCH(CT$4&amp;CT$5,Demand_current!$D$2:$AY$2&amp;Demand_current!$D$3:$AY$3, 0))/1000</f>
        <v>3.6081730769230269E-2</v>
      </c>
      <c r="CU30" s="384">
        <f t="array" ref="CU30">INDEX(Demand_current!$D$4:$AY$138, MATCH($A30, Demand_current!$B$4:$B$138, 0), MATCH(CU$4&amp;CU$5,Demand_current!$D$2:$AY$2&amp;Demand_current!$D$3:$AY$3, 0))/1000</f>
        <v>6.9684999999999775E-2</v>
      </c>
      <c r="CV30" s="384">
        <f t="array" ref="CV30">INDEX(Demand_current!$D$4:$AY$138, MATCH($A30, Demand_current!$B$4:$B$138, 0), MATCH(CV$4&amp;CV$5,Demand_current!$D$2:$AY$2&amp;Demand_current!$D$3:$AY$3, 0))/1000</f>
        <v>0.72673148148148159</v>
      </c>
      <c r="CW30" s="384">
        <f t="array" ref="CW30">INDEX(Demand_current!$D$4:$AY$138, MATCH($A30, Demand_current!$B$4:$B$138, 0), MATCH(CW$4&amp;CW$5,Demand_current!$D$2:$AY$2&amp;Demand_current!$D$3:$AY$3, 0))/1000</f>
        <v>0</v>
      </c>
      <c r="CX30" s="384">
        <f>IF(D30=0,IF(C30=0,MAX(0,DA30 - (VLOOKUP($A30,TOCA_current!$A$2:$AI$137,MATCH("RHWM 2018",TOCA_current!$A$2:$AI$2,0),FALSE)*$BH$2)), 0),0)</f>
        <v>0</v>
      </c>
      <c r="CY30" s="427">
        <f>VLOOKUP($A30,REP_current!$A$1:$D$135,MATCH("FY "&amp;$BH$1&amp; " Total Refund",REP_current!$A$1:$D$1,0),0)</f>
        <v>56468.631515895497</v>
      </c>
      <c r="CZ30" s="432">
        <f>MIN(VLOOKUP($A30,TOCA_current!$A$2:$AI$137,MATCH("TRL - NLSL - Existing Resource "&amp;$BH$1,TOCA_current!$A$2:$AI$2,0),FALSE)*$BH$2, VLOOKUP($A30,TOCA_current!$A$2:$AI$137,MATCH("RHWM 2018",TOCA_current!$A$2:$AI$2,0),FALSE)*$BH$2)</f>
        <v>32044.079999999998</v>
      </c>
      <c r="DA30" s="397">
        <f>SUM(BN30:CK30)+(BH30*RT1SC!$C$4*$BH$2)</f>
        <v>31068.846467476269</v>
      </c>
      <c r="DB30" s="432">
        <f>VLOOKUP($A30,TOCA_current!$A$2:$AI$137,MATCH("Above RHWM Not Served with LS "&amp;$BH$1,TOCA_current!$A$2:$AI$2,0),FALSE)*$BH$2</f>
        <v>0</v>
      </c>
      <c r="DC30" s="401">
        <f t="shared" si="11"/>
        <v>-975.23353252372908</v>
      </c>
      <c r="DD30" s="397">
        <f>(VLOOKUP($A30,TOCA_current!$A$2:$AI$137,MATCH("RHWM 2018",TOCA_current!$A$2:$AI$2,0),FALSE)*$BH$2) - $CZ30</f>
        <v>0</v>
      </c>
      <c r="DE30" s="397">
        <f t="shared" si="12"/>
        <v>0</v>
      </c>
      <c r="DF30" s="397">
        <f t="shared" si="13"/>
        <v>975.23353252372908</v>
      </c>
      <c r="DG30" s="397">
        <f t="shared" si="14"/>
        <v>0</v>
      </c>
      <c r="DH30" s="397">
        <f t="shared" si="15"/>
        <v>975.23353252372908</v>
      </c>
    </row>
    <row r="31" spans="1:112">
      <c r="A31" s="274">
        <v>10079</v>
      </c>
      <c r="B31" s="275" t="s">
        <v>32</v>
      </c>
      <c r="C31" s="397">
        <v>0</v>
      </c>
      <c r="D31" s="397">
        <v>0</v>
      </c>
      <c r="E31" s="205">
        <f>VLOOKUP($A31,TOCA_previous!$A$2:$AI$137,MATCH(E$4,TOCA_previous!$A$2:$AI$2,0),FALSE)</f>
        <v>1.25042E-2</v>
      </c>
      <c r="F31" s="206">
        <f>VLOOKUP($A31,TOCA_previous!$A$2:$AI$137,MATCH(F$4,TOCA_previous!$A$2:$AI$2,0),FALSE)</f>
        <v>1.25042E-2</v>
      </c>
      <c r="G31" s="206">
        <f t="shared" si="0"/>
        <v>0</v>
      </c>
      <c r="H31" s="206">
        <f>VLOOKUP($A31,TOCA_previous!$A$2:$AI$137,MATCH(H$4,TOCA_previous!$A$2:$AI$2,0),FALSE)</f>
        <v>0</v>
      </c>
      <c r="I31" s="206">
        <f t="shared" si="1"/>
        <v>0</v>
      </c>
      <c r="J31" s="206">
        <f t="shared" si="2"/>
        <v>0</v>
      </c>
      <c r="K31" s="381">
        <f>VLOOKUP(A31, IRD!$A$5:$C$139, 3, FALSE)</f>
        <v>0</v>
      </c>
      <c r="L31" s="382">
        <f t="array" ref="L31">IF($G31=0, INDEX(LS_previous!$D$4:$AY$138, MATCH('Staging Table'!$A31, LS_previous!$B$4:$B$138, 0), MATCH(L$4&amp;L$5, LS_previous!$D$2:$AY$2&amp;LS_previous!$D$3:$AY$3, 0)),SUM(VLOOKUP($A31, LS_previous!$B$4:$AY$138, LS_previous!D$149, FALSE), VLOOKUP('Staging Table'!$A31, LS_previous!$B$4:$AY$138,LS_previous!AB$149, FALSE))/2)</f>
        <v>-2532.9923747226931</v>
      </c>
      <c r="M31" s="382">
        <f t="array" ref="M31">IF($G31=0, INDEX(LS_previous!$D$4:$AY$138, MATCH('Staging Table'!$A31, LS_previous!$B$4:$B$138, 0), MATCH(M$4&amp;M$5, LS_previous!$D$2:$AY$2&amp;LS_previous!$D$3:$AY$3, 0)),SUM(VLOOKUP($A31, LS_previous!$B$4:$AY$138, LS_previous!E$149, FALSE), VLOOKUP('Staging Table'!$A31, LS_previous!$B$4:$AY$138,LS_previous!AC$149, FALSE))/2)</f>
        <v>-842.06786654608368</v>
      </c>
      <c r="N31" s="382">
        <f t="array" ref="N31">IF($G31=0, INDEX(LS_previous!$D$4:$AY$138, MATCH('Staging Table'!$A31, LS_previous!$B$4:$B$138, 0), MATCH(N$4&amp;N$5, LS_previous!$D$2:$AY$2&amp;LS_previous!$D$3:$AY$3, 0)),SUM(VLOOKUP($A31, LS_previous!$B$4:$AY$138, LS_previous!F$149, FALSE), VLOOKUP('Staging Table'!$A31, LS_previous!$B$4:$AY$138,LS_previous!AD$149, FALSE))/2)</f>
        <v>-4209.8988085946839</v>
      </c>
      <c r="O31" s="382">
        <f t="array" ref="O31">IF($G31=0, INDEX(LS_previous!$D$4:$AY$138, MATCH('Staging Table'!$A31, LS_previous!$B$4:$B$138, 0), MATCH(O$4&amp;O$5, LS_previous!$D$2:$AY$2&amp;LS_previous!$D$3:$AY$3, 0)),SUM(VLOOKUP($A31, LS_previous!$B$4:$AY$138, LS_previous!G$149, FALSE), VLOOKUP('Staging Table'!$A31, LS_previous!$B$4:$AY$138,LS_previous!AE$149, FALSE))/2)</f>
        <v>-4648.2317552780878</v>
      </c>
      <c r="P31" s="382">
        <f t="array" ref="P31">IF($G31=0, INDEX(LS_previous!$D$4:$AY$138, MATCH('Staging Table'!$A31, LS_previous!$B$4:$B$138, 0), MATCH(P$4&amp;P$5, LS_previous!$D$2:$AY$2&amp;LS_previous!$D$3:$AY$3, 0)),SUM(VLOOKUP($A31, LS_previous!$B$4:$AY$138, LS_previous!H$149, FALSE), VLOOKUP('Staging Table'!$A31, LS_previous!$B$4:$AY$138,LS_previous!AF$149, FALSE))/2)</f>
        <v>-3821.6417654166071</v>
      </c>
      <c r="Q31" s="382">
        <f t="array" ref="Q31">IF($G31=0, INDEX(LS_previous!$D$4:$AY$138, MATCH('Staging Table'!$A31, LS_previous!$B$4:$B$138, 0), MATCH(Q$4&amp;Q$5, LS_previous!$D$2:$AY$2&amp;LS_previous!$D$3:$AY$3, 0)),SUM(VLOOKUP($A31, LS_previous!$B$4:$AY$138, LS_previous!I$149, FALSE), VLOOKUP('Staging Table'!$A31, LS_previous!$B$4:$AY$138,LS_previous!AG$149, FALSE))/2)</f>
        <v>-3290.6171837481379</v>
      </c>
      <c r="R31" s="382">
        <f t="array" ref="R31">IF($G31=0, INDEX(LS_previous!$D$4:$AY$138, MATCH('Staging Table'!$A31, LS_previous!$B$4:$B$138, 0), MATCH(R$4&amp;R$5, LS_previous!$D$2:$AY$2&amp;LS_previous!$D$3:$AY$3, 0)),SUM(VLOOKUP($A31, LS_previous!$B$4:$AY$138, LS_previous!J$149, FALSE), VLOOKUP('Staging Table'!$A31, LS_previous!$B$4:$AY$138,LS_previous!AH$149, FALSE))/2)</f>
        <v>6569.5869021033941</v>
      </c>
      <c r="S31" s="382">
        <f t="array" ref="S31">IF($G31=0, INDEX(LS_previous!$D$4:$AY$138, MATCH('Staging Table'!$A31, LS_previous!$B$4:$B$138, 0), MATCH(S$4&amp;S$5, LS_previous!$D$2:$AY$2&amp;LS_previous!$D$3:$AY$3, 0)),SUM(VLOOKUP($A31, LS_previous!$B$4:$AY$138, LS_previous!K$149, FALSE), VLOOKUP('Staging Table'!$A31, LS_previous!$B$4:$AY$138,LS_previous!AI$149, FALSE))/2)</f>
        <v>1011.9637660738335</v>
      </c>
      <c r="T31" s="382">
        <f t="array" ref="T31">IF($G31=0, INDEX(LS_previous!$D$4:$AY$138, MATCH('Staging Table'!$A31, LS_previous!$B$4:$B$138, 0), MATCH(T$4&amp;T$5, LS_previous!$D$2:$AY$2&amp;LS_previous!$D$3:$AY$3, 0)),SUM(VLOOKUP($A31, LS_previous!$B$4:$AY$138, LS_previous!L$149, FALSE), VLOOKUP('Staging Table'!$A31, LS_previous!$B$4:$AY$138,LS_previous!AJ$149, FALSE))/2)</f>
        <v>4459.5851873734864</v>
      </c>
      <c r="U31" s="382">
        <f t="array" ref="U31">IF($G31=0, INDEX(LS_previous!$D$4:$AY$138, MATCH('Staging Table'!$A31, LS_previous!$B$4:$B$138, 0), MATCH(U$4&amp;U$5, LS_previous!$D$2:$AY$2&amp;LS_previous!$D$3:$AY$3, 0)),SUM(VLOOKUP($A31, LS_previous!$B$4:$AY$138, LS_previous!M$149, FALSE), VLOOKUP('Staging Table'!$A31, LS_previous!$B$4:$AY$138,LS_previous!AK$149, FALSE))/2)</f>
        <v>1269.1506604763272</v>
      </c>
      <c r="V31" s="382">
        <f t="array" ref="V31">IF($G31=0, INDEX(LS_previous!$D$4:$AY$138, MATCH('Staging Table'!$A31, LS_previous!$B$4:$B$138, 0), MATCH(V$4&amp;V$5, LS_previous!$D$2:$AY$2&amp;LS_previous!$D$3:$AY$3, 0)),SUM(VLOOKUP($A31, LS_previous!$B$4:$AY$138, LS_previous!N$149, FALSE), VLOOKUP('Staging Table'!$A31, LS_previous!$B$4:$AY$138,LS_previous!AL$149, FALSE))/2)</f>
        <v>752.91324839023582</v>
      </c>
      <c r="W31" s="382">
        <f t="array" ref="W31">IF($G31=0, INDEX(LS_previous!$D$4:$AY$138, MATCH('Staging Table'!$A31, LS_previous!$B$4:$B$138, 0), MATCH(W$4&amp;W$5, LS_previous!$D$2:$AY$2&amp;LS_previous!$D$3:$AY$3, 0)),SUM(VLOOKUP($A31, LS_previous!$B$4:$AY$138, LS_previous!O$149, FALSE), VLOOKUP('Staging Table'!$A31, LS_previous!$B$4:$AY$138,LS_previous!AM$149, FALSE))/2)</f>
        <v>-2736.6285960904606</v>
      </c>
      <c r="X31" s="382">
        <f t="array" ref="X31">IF($G31=0, INDEX(LS_previous!$D$4:$AY$138, MATCH('Staging Table'!$A31, LS_previous!$B$4:$B$138, 0), MATCH(X$4&amp;X$5, LS_previous!$D$2:$AY$2&amp;LS_previous!$D$3:$AY$3, 0)),SUM(VLOOKUP($A31, LS_previous!$B$4:$AY$138, LS_previous!P$149, FALSE), VLOOKUP('Staging Table'!$A31, LS_previous!$B$4:$AY$138,LS_previous!AN$149, FALSE))/2)</f>
        <v>5176.6108108539702</v>
      </c>
      <c r="Y31" s="382">
        <f t="array" ref="Y31">IF($G31=0, INDEX(LS_previous!$D$4:$AY$138, MATCH('Staging Table'!$A31, LS_previous!$B$4:$B$138, 0), MATCH(Y$4&amp;Y$5, LS_previous!$D$2:$AY$2&amp;LS_previous!$D$3:$AY$3, 0)),SUM(VLOOKUP($A31, LS_previous!$B$4:$AY$138, LS_previous!Q$149, FALSE), VLOOKUP('Staging Table'!$A31, LS_previous!$B$4:$AY$138,LS_previous!AO$149, FALSE))/2)</f>
        <v>2633.4539329019717</v>
      </c>
      <c r="Z31" s="382">
        <f t="array" ref="Z31">IF($G31=0, INDEX(LS_previous!$D$4:$AY$138, MATCH('Staging Table'!$A31, LS_previous!$B$4:$B$138, 0), MATCH(Z$4&amp;Z$5, LS_previous!$D$2:$AY$2&amp;LS_previous!$D$3:$AY$3, 0)),SUM(VLOOKUP($A31, LS_previous!$B$4:$AY$138, LS_previous!R$149, FALSE), VLOOKUP('Staging Table'!$A31, LS_previous!$B$4:$AY$138,LS_previous!AP$149, FALSE))/2)</f>
        <v>-16788.512611142338</v>
      </c>
      <c r="AA31" s="382">
        <f t="array" ref="AA31">IF($G31=0, INDEX(LS_previous!$D$4:$AY$138, MATCH('Staging Table'!$A31, LS_previous!$B$4:$B$138, 0), MATCH(AA$4&amp;AA$5, LS_previous!$D$2:$AY$2&amp;LS_previous!$D$3:$AY$3, 0)),SUM(VLOOKUP($A31, LS_previous!$B$4:$AY$138, LS_previous!S$149, FALSE), VLOOKUP('Staging Table'!$A31, LS_previous!$B$4:$AY$138,LS_previous!AQ$149, FALSE))/2)</f>
        <v>-9419.5371842815548</v>
      </c>
      <c r="AB31" s="382">
        <f t="array" ref="AB31">IF($G31=0, INDEX(LS_previous!$D$4:$AY$138, MATCH('Staging Table'!$A31, LS_previous!$B$4:$B$138, 0), MATCH(AB$4&amp;AB$5, LS_previous!$D$2:$AY$2&amp;LS_previous!$D$3:$AY$3, 0)),SUM(VLOOKUP($A31, LS_previous!$B$4:$AY$138, LS_previous!T$149, FALSE), VLOOKUP('Staging Table'!$A31, LS_previous!$B$4:$AY$138,LS_previous!AR$149, FALSE))/2)</f>
        <v>-7198.9006154104572</v>
      </c>
      <c r="AC31" s="382">
        <f t="array" ref="AC31">IF($G31=0, INDEX(LS_previous!$D$4:$AY$138, MATCH('Staging Table'!$A31, LS_previous!$B$4:$B$138, 0), MATCH(AC$4&amp;AC$5, LS_previous!$D$2:$AY$2&amp;LS_previous!$D$3:$AY$3, 0)),SUM(VLOOKUP($A31, LS_previous!$B$4:$AY$138, LS_previous!U$149, FALSE), VLOOKUP('Staging Table'!$A31, LS_previous!$B$4:$AY$138,LS_previous!AS$149, FALSE))/2)</f>
        <v>-5935.4457661127235</v>
      </c>
      <c r="AD31" s="382">
        <f t="array" ref="AD31">IF($G31=0, INDEX(LS_previous!$D$4:$AY$138, MATCH('Staging Table'!$A31, LS_previous!$B$4:$B$138, 0), MATCH(AD$4&amp;AD$5, LS_previous!$D$2:$AY$2&amp;LS_previous!$D$3:$AY$3, 0)),SUM(VLOOKUP($A31, LS_previous!$B$4:$AY$138, LS_previous!V$149, FALSE), VLOOKUP('Staging Table'!$A31, LS_previous!$B$4:$AY$138,LS_previous!AT$149, FALSE))/2)</f>
        <v>-5011.5348761339192</v>
      </c>
      <c r="AE31" s="382">
        <f t="array" ref="AE31">IF($G31=0, INDEX(LS_previous!$D$4:$AY$138, MATCH('Staging Table'!$A31, LS_previous!$B$4:$B$138, 0), MATCH(AE$4&amp;AE$5, LS_previous!$D$2:$AY$2&amp;LS_previous!$D$3:$AY$3, 0)),SUM(VLOOKUP($A31, LS_previous!$B$4:$AY$138, LS_previous!W$149, FALSE), VLOOKUP('Staging Table'!$A31, LS_previous!$B$4:$AY$138,LS_previous!AU$149, FALSE))/2)</f>
        <v>-959.89791303141465</v>
      </c>
      <c r="AF31" s="382">
        <f t="array" ref="AF31">IF($G31=0, INDEX(LS_previous!$D$4:$AY$138, MATCH('Staging Table'!$A31, LS_previous!$B$4:$B$138, 0), MATCH(AF$4&amp;AF$5, LS_previous!$D$2:$AY$2&amp;LS_previous!$D$3:$AY$3, 0)),SUM(VLOOKUP($A31, LS_previous!$B$4:$AY$138, LS_previous!X$149, FALSE), VLOOKUP('Staging Table'!$A31, LS_previous!$B$4:$AY$138,LS_previous!AV$149, FALSE))/2)</f>
        <v>-4790.5025237011505</v>
      </c>
      <c r="AG31" s="382">
        <f t="array" ref="AG31">IF($G31=0, INDEX(LS_previous!$D$4:$AY$138, MATCH('Staging Table'!$A31, LS_previous!$B$4:$B$138, 0), MATCH(AG$4&amp;AG$5, LS_previous!$D$2:$AY$2&amp;LS_previous!$D$3:$AY$3, 0)),SUM(VLOOKUP($A31, LS_previous!$B$4:$AY$138, LS_previous!Y$149, FALSE), VLOOKUP('Staging Table'!$A31, LS_previous!$B$4:$AY$138,LS_previous!AW$149, FALSE))/2)</f>
        <v>-2365.058132510585</v>
      </c>
      <c r="AH31" s="382">
        <f t="array" ref="AH31">IF($G31=0, INDEX(LS_previous!$D$4:$AY$138, MATCH('Staging Table'!$A31, LS_previous!$B$4:$B$138, 0), MATCH(AH$4&amp;AH$5, LS_previous!$D$2:$AY$2&amp;LS_previous!$D$3:$AY$3, 0)),SUM(VLOOKUP($A31, LS_previous!$B$4:$AY$138, LS_previous!Z$149, FALSE), VLOOKUP('Staging Table'!$A31, LS_previous!$B$4:$AY$138,LS_previous!AX$149, FALSE))/2)</f>
        <v>913.4826710111447</v>
      </c>
      <c r="AI31" s="382">
        <f t="array" ref="AI31">IF($G31=0, INDEX(LS_previous!$D$4:$AY$138, MATCH('Staging Table'!$A31, LS_previous!$B$4:$B$138, 0), MATCH(AI$4&amp;AI$5, LS_previous!$D$2:$AY$2&amp;LS_previous!$D$3:$AY$3, 0)),SUM(VLOOKUP($A31, LS_previous!$B$4:$AY$138, LS_previous!AA$149, FALSE), VLOOKUP('Staging Table'!$A31, LS_previous!$B$4:$AY$138,LS_previous!AY$149, FALSE))/2)</f>
        <v>-417.81895937488298</v>
      </c>
      <c r="AJ31" s="384">
        <f t="array" ref="AJ31">INDEX(Demand_previous!$D$4:$AY$138, MATCH('Staging Table'!$A31, Demand_previous!$B$4:$B$138, 0), MATCH(AJ$4&amp;AJ$5,Demand_previous!$D$2:$AY$2&amp;Demand_previous!$D$3:$AY$3, 0))/1000</f>
        <v>17.773789351851832</v>
      </c>
      <c r="AK31" s="384">
        <f t="array" ref="AK31">INDEX(Demand_previous!$D$4:$AY$138, MATCH('Staging Table'!$A31, Demand_previous!$B$4:$B$138, 0), MATCH(AK$4&amp;AK$5,Demand_previous!$D$2:$AY$2&amp;Demand_previous!$D$3:$AY$3, 0))/1000</f>
        <v>9.3626692708333366</v>
      </c>
      <c r="AL31" s="384">
        <f t="array" ref="AL31">INDEX(Demand_previous!$D$4:$AY$138, MATCH('Staging Table'!$A31, Demand_previous!$B$4:$B$138, 0), MATCH(AL$4&amp;AL$5,Demand_previous!$D$2:$AY$2&amp;Demand_previous!$D$3:$AY$3, 0))/1000</f>
        <v>22.698100961538479</v>
      </c>
      <c r="AM31" s="384">
        <f t="array" ref="AM31">INDEX(Demand_previous!$D$4:$AY$138, MATCH('Staging Table'!$A31, Demand_previous!$B$4:$B$138, 0), MATCH(AM$4&amp;AM$5,Demand_previous!$D$2:$AY$2&amp;Demand_previous!$D$3:$AY$3, 0))/1000</f>
        <v>11.227445000000003</v>
      </c>
      <c r="AN31" s="384">
        <f t="array" ref="AN31">INDEX(Demand_previous!$D$4:$AY$138, MATCH('Staging Table'!$A31, Demand_previous!$B$4:$B$138, 0), MATCH(AN$4&amp;AN$5,Demand_previous!$D$2:$AY$2&amp;Demand_previous!$D$3:$AY$3, 0))/1000</f>
        <v>6.3781574999999791</v>
      </c>
      <c r="AO31" s="384">
        <f t="array" ref="AO31">INDEX(Demand_previous!$D$4:$AY$138, MATCH('Staging Table'!$A31, Demand_previous!$B$4:$B$138, 0), MATCH(AO$4&amp;AO$5,Demand_previous!$D$2:$AY$2&amp;Demand_previous!$D$3:$AY$3, 0))/1000</f>
        <v>21.557217592592593</v>
      </c>
      <c r="AP31" s="384">
        <f t="array" ref="AP31">INDEX(Demand_previous!$D$4:$AY$138, MATCH('Staging Table'!$A31, Demand_previous!$B$4:$B$138, 0), MATCH(AP$4&amp;AP$5,Demand_previous!$D$2:$AY$2&amp;Demand_previous!$D$3:$AY$3, 0))/1000</f>
        <v>15.008290865384609</v>
      </c>
      <c r="AQ31" s="384">
        <f t="array" ref="AQ31">INDEX(Demand_previous!$D$4:$AY$138, MATCH('Staging Table'!$A31, Demand_previous!$B$4:$B$138, 0), MATCH(AQ$4&amp;AQ$5,Demand_previous!$D$2:$AY$2&amp;Demand_previous!$D$3:$AY$3, 0))/1000</f>
        <v>8.9336324999999945</v>
      </c>
      <c r="AR31" s="384">
        <f t="array" ref="AR31">INDEX(Demand_previous!$D$4:$AY$138, MATCH('Staging Table'!$A31, Demand_previous!$B$4:$B$138, 0), MATCH(AR$4&amp;AR$5,Demand_previous!$D$2:$AY$2&amp;Demand_previous!$D$3:$AY$3, 0))/1000</f>
        <v>14.943088942307689</v>
      </c>
      <c r="AS31" s="384">
        <f t="array" ref="AS31">INDEX(Demand_previous!$D$4:$AY$138, MATCH('Staging Table'!$A31, Demand_previous!$B$4:$B$138, 0), MATCH(AS$4&amp;AS$5,Demand_previous!$D$2:$AY$2&amp;Demand_previous!$D$3:$AY$3, 0))/1000</f>
        <v>14.264332500000009</v>
      </c>
      <c r="AT31" s="384">
        <f t="array" ref="AT31">INDEX(Demand_previous!$D$4:$AY$138, MATCH('Staging Table'!$A31, Demand_previous!$B$4:$B$138, 0), MATCH(AT$4&amp;AT$5,Demand_previous!$D$2:$AY$2&amp;Demand_previous!$D$3:$AY$3, 0))/1000</f>
        <v>16.187331018518535</v>
      </c>
      <c r="AU31" s="384">
        <f t="array" ref="AU31">INDEX(Demand_previous!$D$4:$AY$138, MATCH('Staging Table'!$A31, Demand_previous!$B$4:$B$138, 0), MATCH(AU$4&amp;AU$5,Demand_previous!$D$2:$AY$2&amp;Demand_previous!$D$3:$AY$3, 0))/1000</f>
        <v>10.409779999999984</v>
      </c>
      <c r="AV31" s="384">
        <f>IF($D31=0,IF(C31=0, MAX(AY31 - (VLOOKUP($A31,TOCA_previous!$A$2:$AI$137,MATCH("RHWM 2016",TOCA_previous!$A$2:$AI$2,0),FALSE)*$F$2*TOCA_previous!C28),0),0), 0)</f>
        <v>0</v>
      </c>
      <c r="AW31" s="427">
        <f>VLOOKUP($A31,REP_previous!$A$1:$D$135,MATCH("FY "&amp;$F$1&amp; " Total Refund",REP_previous!$A$1:$D$1,0),0)</f>
        <v>1081981.0455146453</v>
      </c>
      <c r="AX31" s="398">
        <f>MIN(VLOOKUP($A31,TOCA_previous!$A$2:$AI$137,MATCH("TRL - NLSL - Exisiting Resource "&amp;$F$1,TOCA_previous!$A$2:$AI$2,0),FALSE)*$F$2,(VLOOKUP($A31,TOCA_previous!$A$2:$AI$137,MATCH("RHWM 2016",TOCA_previous!$A$2:$AI$2,0),FALSE)*$F$2))</f>
        <v>767001.31200000003</v>
      </c>
      <c r="AY31" s="384">
        <f>SUM(L31:AI31)+(F31*RT1SC!$C$3*$F$2)</f>
        <v>714817.81880537653</v>
      </c>
      <c r="AZ31" s="398">
        <f>VLOOKUP($A31,TOCA_previous!$A$2:$AI$137,MATCH("Above RHWM Not Served with LS "&amp;$F$1,TOCA_previous!$A$2:$AI$2,0),FALSE)*$F$2</f>
        <v>49023.504000000001</v>
      </c>
      <c r="BA31" s="206">
        <f t="shared" si="3"/>
        <v>-52183.493194623501</v>
      </c>
      <c r="BB31" s="399">
        <f>(VLOOKUP($A31,TOCA_previous!$A$2:$AI$137,MATCH("RHWM 2016",TOCA_previous!$A$2:$AI$2,0),FALSE)*$F$2) - $AX31</f>
        <v>0</v>
      </c>
      <c r="BC31" s="206">
        <f t="shared" si="4"/>
        <v>0</v>
      </c>
      <c r="BD31" s="400">
        <f t="shared" si="5"/>
        <v>3159.9891946235002</v>
      </c>
      <c r="BE31" s="392">
        <f t="shared" si="6"/>
        <v>0</v>
      </c>
      <c r="BF31" s="399">
        <f t="shared" si="7"/>
        <v>3159.9891946235002</v>
      </c>
      <c r="BG31" s="206">
        <f>VLOOKUP($A31,TOCA_current!$A$2:$AI$137,MATCH(BG$4,TOCA_current!$A$2:$AI$2,0),FALSE)</f>
        <v>1.2493199999999999E-2</v>
      </c>
      <c r="BH31" s="206">
        <f>VLOOKUP($A31,TOCA_current!$A$2:$AI$137,MATCH(BH$4,TOCA_current!$A$2:$AI$2,0),FALSE)</f>
        <v>1.2493199999999999E-2</v>
      </c>
      <c r="BI31" s="391">
        <f t="shared" si="8"/>
        <v>0</v>
      </c>
      <c r="BJ31" s="206">
        <f>VLOOKUP($A31,TOCA_current!A27:BG162,MATCH(BJ$4,TOCA_current!$A$2:$BG$2,0),FALSE)</f>
        <v>0</v>
      </c>
      <c r="BK31" s="206">
        <f t="shared" si="9"/>
        <v>0</v>
      </c>
      <c r="BL31" s="206">
        <f t="shared" si="10"/>
        <v>0</v>
      </c>
      <c r="BM31" s="381">
        <f>VLOOKUP($A31,IRD!$A$4:$G$139, 7, FALSE)</f>
        <v>0</v>
      </c>
      <c r="BN31" s="382">
        <f t="array" ref="BN31">IF($BI31=0, INDEX(LS_current!$D$4:$AY$139, MATCH('Staging Table'!$A31, LS_current!$B$4:$B$139, 0), MATCH(BN$4&amp;BN$5, LS_current!$D$2:$AY$2&amp;LS_current!$D$3:$AY$3, 0)),SUM(VLOOKUP($A31, LS_current!$B$4:$AY$139, LS_current!D$149, FALSE), VLOOKUP($A31, LS_current!$B$4:$AY$139,LS_current!D$149, FALSE))/2)</f>
        <v>-553.84841570744902</v>
      </c>
      <c r="BO31" s="382">
        <f t="array" ref="BO31">IF($BI31=0, INDEX(LS_current!$D$4:$AY$139, MATCH('Staging Table'!$A31, LS_current!$B$4:$B$139, 0), MATCH(BO$4&amp;BO$5, LS_current!$D$2:$AY$2&amp;LS_current!$D$3:$AY$3, 0)),SUM(VLOOKUP($A31, LS_current!$B$4:$AY$139, LS_current!E$149, FALSE), VLOOKUP($A31, LS_current!$B$4:$AY$139,LS_current!E$149, FALSE))/2)</f>
        <v>1823.8524826229514</v>
      </c>
      <c r="BP31" s="382">
        <f t="array" ref="BP31">IF($BI31=0, INDEX(LS_current!$D$4:$AY$139, MATCH('Staging Table'!$A31, LS_current!$B$4:$B$139, 0), MATCH(BP$4&amp;BP$5, LS_current!$D$2:$AY$2&amp;LS_current!$D$3:$AY$3, 0)),SUM(VLOOKUP($A31, LS_current!$B$4:$AY$139, LS_current!F$149, FALSE), VLOOKUP($A31, LS_current!$B$4:$AY$139,LS_current!F$149, FALSE))/2)</f>
        <v>-3211.7309250517137</v>
      </c>
      <c r="BQ31" s="382">
        <f t="array" ref="BQ31">IF($BI31=0, INDEX(LS_current!$D$4:$AY$139, MATCH('Staging Table'!$A31, LS_current!$B$4:$B$139, 0), MATCH(BQ$4&amp;BQ$5, LS_current!$D$2:$AY$2&amp;LS_current!$D$3:$AY$3, 0)),SUM(VLOOKUP($A31, LS_current!$B$4:$AY$139, LS_current!G$149, FALSE), VLOOKUP($A31, LS_current!$B$4:$AY$139,LS_current!G$149, FALSE))/2)</f>
        <v>-2701.819551611472</v>
      </c>
      <c r="BR31" s="382">
        <f t="array" ref="BR31">IF($BI31=0, INDEX(LS_current!$D$4:$AY$139, MATCH('Staging Table'!$A31, LS_current!$B$4:$B$139, 0), MATCH(BR$4&amp;BR$5, LS_current!$D$2:$AY$2&amp;LS_current!$D$3:$AY$3, 0)),SUM(VLOOKUP($A31, LS_current!$B$4:$AY$139, LS_current!H$149, FALSE), VLOOKUP($A31, LS_current!$B$4:$AY$139,LS_current!H$149, FALSE))/2)</f>
        <v>-3149.1369895723401</v>
      </c>
      <c r="BS31" s="382">
        <f t="array" ref="BS31">IF($BI31=0, INDEX(LS_current!$D$4:$AY$139, MATCH('Staging Table'!$A31, LS_current!$B$4:$B$139, 0), MATCH(BS$4&amp;BS$5, LS_current!$D$2:$AY$2&amp;LS_current!$D$3:$AY$3, 0)),SUM(VLOOKUP($A31, LS_current!$B$4:$AY$139, LS_current!I$149, FALSE), VLOOKUP($A31, LS_current!$B$4:$AY$139,LS_current!I$149, FALSE))/2)</f>
        <v>-1906.798903552979</v>
      </c>
      <c r="BT31" s="382">
        <f t="array" ref="BT31">IF($BI31=0, INDEX(LS_current!$D$4:$AY$139, MATCH('Staging Table'!$A31, LS_current!$B$4:$B$139, 0), MATCH(BT$4&amp;BT$5, LS_current!$D$2:$AY$2&amp;LS_current!$D$3:$AY$3, 0)),SUM(VLOOKUP($A31, LS_current!$B$4:$AY$139, LS_current!J$149, FALSE), VLOOKUP($A31, LS_current!$B$4:$AY$139,LS_current!J$149, FALSE))/2)</f>
        <v>8151.3492885245651</v>
      </c>
      <c r="BU31" s="382">
        <f t="array" ref="BU31">IF($BI31=0, INDEX(LS_current!$D$4:$AY$139, MATCH('Staging Table'!$A31, LS_current!$B$4:$B$139, 0), MATCH(BU$4&amp;BU$5, LS_current!$D$2:$AY$2&amp;LS_current!$D$3:$AY$3, 0)),SUM(VLOOKUP($A31, LS_current!$B$4:$AY$139, LS_current!K$149, FALSE), VLOOKUP($A31, LS_current!$B$4:$AY$139,LS_current!K$149, FALSE))/2)</f>
        <v>2656.0071428785195</v>
      </c>
      <c r="BV31" s="382">
        <f t="array" ref="BV31">IF($BI31=0, INDEX(LS_current!$D$4:$AY$139, MATCH('Staging Table'!$A31, LS_current!$B$4:$B$139, 0), MATCH(BV$4&amp;BV$5, LS_current!$D$2:$AY$2&amp;LS_current!$D$3:$AY$3, 0)),SUM(VLOOKUP($A31, LS_current!$B$4:$AY$139, LS_current!L$149, FALSE), VLOOKUP($A31, LS_current!$B$4:$AY$139,LS_current!L$149, FALSE))/2)</f>
        <v>9075.3332553785913</v>
      </c>
      <c r="BW31" s="382">
        <f t="array" ref="BW31">IF($BI31=0, INDEX(LS_current!$D$4:$AY$139, MATCH('Staging Table'!$A31, LS_current!$B$4:$B$139, 0), MATCH(BW$4&amp;BW$5, LS_current!$D$2:$AY$2&amp;LS_current!$D$3:$AY$3, 0)),SUM(VLOOKUP($A31, LS_current!$B$4:$AY$139, LS_current!M$149, FALSE), VLOOKUP($A31, LS_current!$B$4:$AY$139,LS_current!M$149, FALSE))/2)</f>
        <v>4799.5401125789904</v>
      </c>
      <c r="BX31" s="382">
        <f t="array" ref="BX31">IF($BI31=0, INDEX(LS_current!$D$4:$AY$139, MATCH('Staging Table'!$A31, LS_current!$B$4:$B$139, 0), MATCH(BX$4&amp;BX$5, LS_current!$D$2:$AY$2&amp;LS_current!$D$3:$AY$3, 0)),SUM(VLOOKUP($A31, LS_current!$B$4:$AY$139, LS_current!N$149, FALSE), VLOOKUP($A31, LS_current!$B$4:$AY$139,LS_current!N$149, FALSE))/2)</f>
        <v>4945.7863399605048</v>
      </c>
      <c r="BY31" s="382">
        <f t="array" ref="BY31">IF($BI31=0, INDEX(LS_current!$D$4:$AY$139, MATCH('Staging Table'!$A31, LS_current!$B$4:$B$139, 0), MATCH(BY$4&amp;BY$5, LS_current!$D$2:$AY$2&amp;LS_current!$D$3:$AY$3, 0)),SUM(VLOOKUP($A31, LS_current!$B$4:$AY$139, LS_current!O$149, FALSE), VLOOKUP($A31, LS_current!$B$4:$AY$139,LS_current!O$149, FALSE))/2)</f>
        <v>1081.4896714975403</v>
      </c>
      <c r="BZ31" s="382">
        <f t="array" ref="BZ31">IF($BI31=0, INDEX(LS_current!$D$4:$AY$139, MATCH('Staging Table'!$A31, LS_current!$B$4:$B$139, 0), MATCH(BZ$4&amp;BZ$5, LS_current!$D$2:$AY$2&amp;LS_current!$D$3:$AY$3, 0)),SUM(VLOOKUP($A31, LS_current!$B$4:$AY$139, LS_current!P$149, FALSE), VLOOKUP($A31, LS_current!$B$4:$AY$139,LS_current!P$149, FALSE))/2)</f>
        <v>3477.1160985924798</v>
      </c>
      <c r="CA31" s="382">
        <f t="array" ref="CA31">IF($BI31=0, INDEX(LS_current!$D$4:$AY$139, MATCH('Staging Table'!$A31, LS_current!$B$4:$B$139, 0), MATCH(CA$4&amp;CA$5, LS_current!$D$2:$AY$2&amp;LS_current!$D$3:$AY$3, 0)),SUM(VLOOKUP($A31, LS_current!$B$4:$AY$139, LS_current!Q$149, FALSE), VLOOKUP($A31, LS_current!$B$4:$AY$139,LS_current!Q$149, FALSE))/2)</f>
        <v>3872.397484382167</v>
      </c>
      <c r="CB31" s="382">
        <f t="array" ref="CB31">IF($BI31=0, INDEX(LS_current!$D$4:$AY$139, MATCH('Staging Table'!$A31, LS_current!$B$4:$B$139, 0), MATCH(CB$4&amp;CB$5, LS_current!$D$2:$AY$2&amp;LS_current!$D$3:$AY$3, 0)),SUM(VLOOKUP($A31, LS_current!$B$4:$AY$139, LS_current!R$149, FALSE), VLOOKUP($A31, LS_current!$B$4:$AY$139,LS_current!R$149, FALSE))/2)</f>
        <v>-14298.855918210604</v>
      </c>
      <c r="CC31" s="382">
        <f t="array" ref="CC31">IF($BI31=0, INDEX(LS_current!$D$4:$AY$139, MATCH('Staging Table'!$A31, LS_current!$B$4:$B$139, 0), MATCH(CC$4&amp;CC$5, LS_current!$D$2:$AY$2&amp;LS_current!$D$3:$AY$3, 0)),SUM(VLOOKUP($A31, LS_current!$B$4:$AY$139, LS_current!S$149, FALSE), VLOOKUP($A31, LS_current!$B$4:$AY$139,LS_current!S$149, FALSE))/2)</f>
        <v>-8144.5022051324158</v>
      </c>
      <c r="CD31" s="382">
        <f t="array" ref="CD31">IF($BI31=0, INDEX(LS_current!$D$4:$AY$139, MATCH('Staging Table'!$A31, LS_current!$B$4:$B$139, 0), MATCH(CD$4&amp;CD$5, LS_current!$D$2:$AY$2&amp;LS_current!$D$3:$AY$3, 0)),SUM(VLOOKUP($A31, LS_current!$B$4:$AY$139, LS_current!T$149, FALSE), VLOOKUP($A31, LS_current!$B$4:$AY$139,LS_current!T$149, FALSE))/2)</f>
        <v>-4897.2931436429353</v>
      </c>
      <c r="CE31" s="382">
        <f t="array" ref="CE31">IF($BI31=0, INDEX(LS_current!$D$4:$AY$139, MATCH('Staging Table'!$A31, LS_current!$B$4:$B$139, 0), MATCH(CE$4&amp;CE$5, LS_current!$D$2:$AY$2&amp;LS_current!$D$3:$AY$3, 0)),SUM(VLOOKUP($A31, LS_current!$B$4:$AY$139, LS_current!U$149, FALSE), VLOOKUP($A31, LS_current!$B$4:$AY$139,LS_current!U$149, FALSE))/2)</f>
        <v>-2677.3755162556809</v>
      </c>
      <c r="CF31" s="382">
        <f t="array" ref="CF31">IF($BI31=0, INDEX(LS_current!$D$4:$AY$139, MATCH('Staging Table'!$A31, LS_current!$B$4:$B$139, 0), MATCH(CF$4&amp;CF$5, LS_current!$D$2:$AY$2&amp;LS_current!$D$3:$AY$3, 0)),SUM(VLOOKUP($A31, LS_current!$B$4:$AY$139, LS_current!V$149, FALSE), VLOOKUP($A31, LS_current!$B$4:$AY$139,LS_current!V$149, FALSE))/2)</f>
        <v>-534.55787151942786</v>
      </c>
      <c r="CG31" s="382">
        <f t="array" ref="CG31">IF($BI31=0, INDEX(LS_current!$D$4:$AY$139, MATCH('Staging Table'!$A31, LS_current!$B$4:$B$139, 0), MATCH(CG$4&amp;CG$5, LS_current!$D$2:$AY$2&amp;LS_current!$D$3:$AY$3, 0)),SUM(VLOOKUP($A31, LS_current!$B$4:$AY$139, LS_current!W$149, FALSE), VLOOKUP($A31, LS_current!$B$4:$AY$139,LS_current!W$149, FALSE))/2)</f>
        <v>2289.0817786839871</v>
      </c>
      <c r="CH31" s="382">
        <f t="array" ref="CH31">IF($BI31=0, INDEX(LS_current!$D$4:$AY$139, MATCH('Staging Table'!$A31, LS_current!$B$4:$B$139, 0), MATCH(CH$4&amp;CH$5, LS_current!$D$2:$AY$2&amp;LS_current!$D$3:$AY$3, 0)),SUM(VLOOKUP($A31, LS_current!$B$4:$AY$139, LS_current!X$149, FALSE), VLOOKUP($A31, LS_current!$B$4:$AY$139,LS_current!X$149, FALSE))/2)</f>
        <v>-2394.8319059593559</v>
      </c>
      <c r="CI31" s="382">
        <f t="array" ref="CI31">IF($BI31=0, INDEX(LS_current!$D$4:$AY$139, MATCH('Staging Table'!$A31, LS_current!$B$4:$B$139, 0), MATCH(CI$4&amp;CI$5, LS_current!$D$2:$AY$2&amp;LS_current!$D$3:$AY$3, 0)),SUM(VLOOKUP($A31, LS_current!$B$4:$AY$139, LS_current!Y$149, FALSE), VLOOKUP($A31, LS_current!$B$4:$AY$139,LS_current!Y$149, FALSE))/2)</f>
        <v>-105.68222632311881</v>
      </c>
      <c r="CJ31" s="382">
        <f t="array" ref="CJ31">IF($BI31=0, INDEX(LS_current!$D$4:$AY$139, MATCH('Staging Table'!$A31, LS_current!$B$4:$B$139, 0), MATCH(CJ$4&amp;CJ$5, LS_current!$D$2:$AY$2&amp;LS_current!$D$3:$AY$3, 0)),SUM(VLOOKUP($A31, LS_current!$B$4:$AY$139, LS_current!Z$149, FALSE), VLOOKUP($A31, LS_current!$B$4:$AY$139,LS_current!Z$149, FALSE))/2)</f>
        <v>-539.37160397101979</v>
      </c>
      <c r="CK31" s="382">
        <f t="array" ref="CK31">IF($BI31=0, INDEX(LS_current!$D$4:$AY$139, MATCH('Staging Table'!$A31, LS_current!$B$4:$B$139, 0), MATCH(CK$4&amp;CK$5, LS_current!$D$2:$AY$2&amp;LS_current!$D$3:$AY$3, 0)),SUM(VLOOKUP($A31, LS_current!$B$4:$AY$139, LS_current!AA$149, FALSE), VLOOKUP($A31, LS_current!$B$4:$AY$139,LS_current!AA$149, FALSE))/2)</f>
        <v>1236.9571963653507</v>
      </c>
      <c r="CL31" s="384">
        <f t="array" ref="CL31">INDEX(Demand_current!$D$4:$AY$138, MATCH($A31, Demand_current!$B$4:$B$138, 0), MATCH(CL$4&amp;CL$5,Demand_current!$D$2:$AY$2&amp;Demand_current!$D$3:$AY$3, 0))/1000</f>
        <v>14.31174278846153</v>
      </c>
      <c r="CM31" s="384">
        <f t="array" ref="CM31">INDEX(Demand_current!$D$4:$AY$138, MATCH($A31, Demand_current!$B$4:$B$138, 0), MATCH(CM$4&amp;CM$5,Demand_current!$D$2:$AY$2&amp;Demand_current!$D$3:$AY$3, 0))/1000</f>
        <v>13.929202500000002</v>
      </c>
      <c r="CN31" s="384">
        <f t="array" ref="CN31">INDEX(Demand_current!$D$4:$AY$138, MATCH($A31, Demand_current!$B$4:$B$138, 0), MATCH(CN$4&amp;CN$5,Demand_current!$D$2:$AY$2&amp;Demand_current!$D$3:$AY$3, 0))/1000</f>
        <v>18.545385000000017</v>
      </c>
      <c r="CO31" s="384">
        <f t="array" ref="CO31">INDEX(Demand_current!$D$4:$AY$138, MATCH($A31, Demand_current!$B$4:$B$138, 0), MATCH(CO$4&amp;CO$5,Demand_current!$D$2:$AY$2&amp;Demand_current!$D$3:$AY$3, 0))/1000</f>
        <v>15.793158653846149</v>
      </c>
      <c r="CP31" s="384">
        <f t="array" ref="CP31">INDEX(Demand_current!$D$4:$AY$138, MATCH($A31, Demand_current!$B$4:$B$138, 0), MATCH(CP$4&amp;CP$5,Demand_current!$D$2:$AY$2&amp;Demand_current!$D$3:$AY$3, 0))/1000</f>
        <v>2.0113723958333125</v>
      </c>
      <c r="CQ31" s="384">
        <f t="array" ref="CQ31">INDEX(Demand_current!$D$4:$AY$138, MATCH($A31, Demand_current!$B$4:$B$138, 0), MATCH(CQ$4&amp;CQ$5,Demand_current!$D$2:$AY$2&amp;Demand_current!$D$3:$AY$3, 0))/1000</f>
        <v>21.557217592592593</v>
      </c>
      <c r="CR31" s="384">
        <f t="array" ref="CR31">INDEX(Demand_current!$D$4:$AY$138, MATCH($A31, Demand_current!$B$4:$B$138, 0), MATCH(CR$4&amp;CR$5,Demand_current!$D$2:$AY$2&amp;Demand_current!$D$3:$AY$3, 0))/1000</f>
        <v>11.077262499999989</v>
      </c>
      <c r="CS31" s="384">
        <f t="array" ref="CS31">INDEX(Demand_current!$D$4:$AY$138, MATCH($A31, Demand_current!$B$4:$B$138, 0), MATCH(CS$4&amp;CS$5,Demand_current!$D$2:$AY$2&amp;Demand_current!$D$3:$AY$3, 0))/1000</f>
        <v>12.815223557692313</v>
      </c>
      <c r="CT31" s="384">
        <f t="array" ref="CT31">INDEX(Demand_current!$D$4:$AY$138, MATCH($A31, Demand_current!$B$4:$B$138, 0), MATCH(CT$4&amp;CT$5,Demand_current!$D$2:$AY$2&amp;Demand_current!$D$3:$AY$3, 0))/1000</f>
        <v>14.943088942307689</v>
      </c>
      <c r="CU31" s="384">
        <f t="array" ref="CU31">INDEX(Demand_current!$D$4:$AY$138, MATCH($A31, Demand_current!$B$4:$B$138, 0), MATCH(CU$4&amp;CU$5,Demand_current!$D$2:$AY$2&amp;Demand_current!$D$3:$AY$3, 0))/1000</f>
        <v>14.264332500000009</v>
      </c>
      <c r="CV31" s="384">
        <f t="array" ref="CV31">INDEX(Demand_current!$D$4:$AY$138, MATCH($A31, Demand_current!$B$4:$B$138, 0), MATCH(CV$4&amp;CV$5,Demand_current!$D$2:$AY$2&amp;Demand_current!$D$3:$AY$3, 0))/1000</f>
        <v>16.187331018518535</v>
      </c>
      <c r="CW31" s="384">
        <f t="array" ref="CW31">INDEX(Demand_current!$D$4:$AY$138, MATCH($A31, Demand_current!$B$4:$B$138, 0), MATCH(CW$4&amp;CW$5,Demand_current!$D$2:$AY$2&amp;Demand_current!$D$3:$AY$3, 0))/1000</f>
        <v>6.4762708333333165</v>
      </c>
      <c r="CX31" s="384">
        <f>IF(D31=0,IF(C31=0,MAX(0,DA31 - (VLOOKUP($A31,TOCA_current!$A$2:$AI$137,MATCH("RHWM 2018",TOCA_current!$A$2:$AI$2,0),FALSE)*$BH$2)), 0),0)</f>
        <v>0</v>
      </c>
      <c r="CY31" s="427">
        <f>VLOOKUP($A31,REP_current!$A$1:$D$135,MATCH("FY "&amp;$BH$1&amp; " Total Refund",REP_current!$A$1:$D$1,0),0)</f>
        <v>1089139.938739561</v>
      </c>
      <c r="CZ31" s="432">
        <f>MIN(VLOOKUP($A31,TOCA_current!$A$2:$AI$137,MATCH("TRL - NLSL - Existing Resource "&amp;$BH$1,TOCA_current!$A$2:$AI$2,0),FALSE)*$BH$2, VLOOKUP($A31,TOCA_current!$A$2:$AI$137,MATCH("RHWM 2018",TOCA_current!$A$2:$AI$2,0),FALSE)*$BH$2)</f>
        <v>760043.88</v>
      </c>
      <c r="DA31" s="397">
        <f>SUM(BN31:CK31)+(BH31*RT1SC!$C$4*$BH$2)</f>
        <v>758340.05208842712</v>
      </c>
      <c r="DB31" s="432">
        <f>VLOOKUP($A31,TOCA_current!$A$2:$AI$137,MATCH("Above RHWM Not Served with LS "&amp;$BH$1,TOCA_current!$A$2:$AI$2,0),FALSE)*$BH$2</f>
        <v>5501.28</v>
      </c>
      <c r="DC31" s="401">
        <f t="shared" si="11"/>
        <v>-1703.8279115728801</v>
      </c>
      <c r="DD31" s="397">
        <f>(VLOOKUP($A31,TOCA_current!$A$2:$AI$137,MATCH("RHWM 2018",TOCA_current!$A$2:$AI$2,0),FALSE)*$BH$2) - $CZ31</f>
        <v>0</v>
      </c>
      <c r="DE31" s="397">
        <f t="shared" si="12"/>
        <v>0</v>
      </c>
      <c r="DF31" s="397">
        <f t="shared" si="13"/>
        <v>0</v>
      </c>
      <c r="DG31" s="397">
        <f t="shared" si="14"/>
        <v>0</v>
      </c>
      <c r="DH31" s="397">
        <f t="shared" si="15"/>
        <v>0</v>
      </c>
    </row>
    <row r="32" spans="1:112">
      <c r="A32" s="274">
        <v>10080</v>
      </c>
      <c r="B32" s="275" t="s">
        <v>33</v>
      </c>
      <c r="C32" s="397">
        <v>0</v>
      </c>
      <c r="D32" s="397">
        <v>0</v>
      </c>
      <c r="E32" s="205">
        <f>VLOOKUP($A32,TOCA_previous!$A$2:$AI$137,MATCH(E$4,TOCA_previous!$A$2:$AI$2,0),FALSE)</f>
        <v>1.0545000000000001E-3</v>
      </c>
      <c r="F32" s="206">
        <f>VLOOKUP($A32,TOCA_previous!$A$2:$AI$137,MATCH(F$4,TOCA_previous!$A$2:$AI$2,0),FALSE)</f>
        <v>1.0545000000000001E-3</v>
      </c>
      <c r="G32" s="206">
        <f t="shared" si="0"/>
        <v>0</v>
      </c>
      <c r="H32" s="206">
        <f>VLOOKUP($A32,TOCA_previous!$A$2:$AI$137,MATCH(H$4,TOCA_previous!$A$2:$AI$2,0),FALSE)</f>
        <v>0</v>
      </c>
      <c r="I32" s="206">
        <f t="shared" si="1"/>
        <v>0</v>
      </c>
      <c r="J32" s="206">
        <f t="shared" si="2"/>
        <v>0</v>
      </c>
      <c r="K32" s="381">
        <f>VLOOKUP(A32, IRD!$A$5:$C$139, 3, FALSE)</f>
        <v>0</v>
      </c>
      <c r="L32" s="382">
        <f t="array" ref="L32">IF($G32=0, INDEX(LS_previous!$D$4:$AY$138, MATCH('Staging Table'!$A32, LS_previous!$B$4:$B$138, 0), MATCH(L$4&amp;L$5, LS_previous!$D$2:$AY$2&amp;LS_previous!$D$3:$AY$3, 0)),SUM(VLOOKUP($A32, LS_previous!$B$4:$AY$138, LS_previous!D$149, FALSE), VLOOKUP('Staging Table'!$A32, LS_previous!$B$4:$AY$138,LS_previous!AB$149, FALSE))/2)</f>
        <v>-369.60435921091266</v>
      </c>
      <c r="M32" s="382">
        <f t="array" ref="M32">IF($G32=0, INDEX(LS_previous!$D$4:$AY$138, MATCH('Staging Table'!$A32, LS_previous!$B$4:$B$138, 0), MATCH(M$4&amp;M$5, LS_previous!$D$2:$AY$2&amp;LS_previous!$D$3:$AY$3, 0)),SUM(VLOOKUP($A32, LS_previous!$B$4:$AY$138, LS_previous!E$149, FALSE), VLOOKUP('Staging Table'!$A32, LS_previous!$B$4:$AY$138,LS_previous!AC$149, FALSE))/2)</f>
        <v>-49.53959138312257</v>
      </c>
      <c r="N32" s="382">
        <f t="array" ref="N32">IF($G32=0, INDEX(LS_previous!$D$4:$AY$138, MATCH('Staging Table'!$A32, LS_previous!$B$4:$B$138, 0), MATCH(N$4&amp;N$5, LS_previous!$D$2:$AY$2&amp;LS_previous!$D$3:$AY$3, 0)),SUM(VLOOKUP($A32, LS_previous!$B$4:$AY$138, LS_previous!F$149, FALSE), VLOOKUP('Staging Table'!$A32, LS_previous!$B$4:$AY$138,LS_previous!AD$149, FALSE))/2)</f>
        <v>-345.5380278117027</v>
      </c>
      <c r="O32" s="382">
        <f t="array" ref="O32">IF($G32=0, INDEX(LS_previous!$D$4:$AY$138, MATCH('Staging Table'!$A32, LS_previous!$B$4:$B$138, 0), MATCH(O$4&amp;O$5, LS_previous!$D$2:$AY$2&amp;LS_previous!$D$3:$AY$3, 0)),SUM(VLOOKUP($A32, LS_previous!$B$4:$AY$138, LS_previous!G$149, FALSE), VLOOKUP('Staging Table'!$A32, LS_previous!$B$4:$AY$138,LS_previous!AE$149, FALSE))/2)</f>
        <v>-9.4308140097527939</v>
      </c>
      <c r="P32" s="382">
        <f t="array" ref="P32">IF($G32=0, INDEX(LS_previous!$D$4:$AY$138, MATCH('Staging Table'!$A32, LS_previous!$B$4:$B$138, 0), MATCH(P$4&amp;P$5, LS_previous!$D$2:$AY$2&amp;LS_previous!$D$3:$AY$3, 0)),SUM(VLOOKUP($A32, LS_previous!$B$4:$AY$138, LS_previous!H$149, FALSE), VLOOKUP('Staging Table'!$A32, LS_previous!$B$4:$AY$138,LS_previous!AF$149, FALSE))/2)</f>
        <v>9.3868539985119241</v>
      </c>
      <c r="Q32" s="382">
        <f t="array" ref="Q32">IF($G32=0, INDEX(LS_previous!$D$4:$AY$138, MATCH('Staging Table'!$A32, LS_previous!$B$4:$B$138, 0), MATCH(Q$4&amp;Q$5, LS_previous!$D$2:$AY$2&amp;LS_previous!$D$3:$AY$3, 0)),SUM(VLOOKUP($A32, LS_previous!$B$4:$AY$138, LS_previous!I$149, FALSE), VLOOKUP('Staging Table'!$A32, LS_previous!$B$4:$AY$138,LS_previous!AG$149, FALSE))/2)</f>
        <v>328.36624641621074</v>
      </c>
      <c r="R32" s="382">
        <f t="array" ref="R32">IF($G32=0, INDEX(LS_previous!$D$4:$AY$138, MATCH('Staging Table'!$A32, LS_previous!$B$4:$B$138, 0), MATCH(R$4&amp;R$5, LS_previous!$D$2:$AY$2&amp;LS_previous!$D$3:$AY$3, 0)),SUM(VLOOKUP($A32, LS_previous!$B$4:$AY$138, LS_previous!J$149, FALSE), VLOOKUP('Staging Table'!$A32, LS_previous!$B$4:$AY$138,LS_previous!AH$149, FALSE))/2)</f>
        <v>726.37366616561076</v>
      </c>
      <c r="S32" s="382">
        <f t="array" ref="S32">IF($G32=0, INDEX(LS_previous!$D$4:$AY$138, MATCH('Staging Table'!$A32, LS_previous!$B$4:$B$138, 0), MATCH(S$4&amp;S$5, LS_previous!$D$2:$AY$2&amp;LS_previous!$D$3:$AY$3, 0)),SUM(VLOOKUP($A32, LS_previous!$B$4:$AY$138, LS_previous!K$149, FALSE), VLOOKUP('Staging Table'!$A32, LS_previous!$B$4:$AY$138,LS_previous!AI$149, FALSE))/2)</f>
        <v>588.62840077132955</v>
      </c>
      <c r="T32" s="382">
        <f t="array" ref="T32">IF($G32=0, INDEX(LS_previous!$D$4:$AY$138, MATCH('Staging Table'!$A32, LS_previous!$B$4:$B$138, 0), MATCH(T$4&amp;T$5, LS_previous!$D$2:$AY$2&amp;LS_previous!$D$3:$AY$3, 0)),SUM(VLOOKUP($A32, LS_previous!$B$4:$AY$138, LS_previous!L$149, FALSE), VLOOKUP('Staging Table'!$A32, LS_previous!$B$4:$AY$138,LS_previous!AJ$149, FALSE))/2)</f>
        <v>509.05605789937226</v>
      </c>
      <c r="U32" s="382">
        <f t="array" ref="U32">IF($G32=0, INDEX(LS_previous!$D$4:$AY$138, MATCH('Staging Table'!$A32, LS_previous!$B$4:$B$138, 0), MATCH(U$4&amp;U$5, LS_previous!$D$2:$AY$2&amp;LS_previous!$D$3:$AY$3, 0)),SUM(VLOOKUP($A32, LS_previous!$B$4:$AY$138, LS_previous!M$149, FALSE), VLOOKUP('Staging Table'!$A32, LS_previous!$B$4:$AY$138,LS_previous!AK$149, FALSE))/2)</f>
        <v>397.57801826364607</v>
      </c>
      <c r="V32" s="382">
        <f t="array" ref="V32">IF($G32=0, INDEX(LS_previous!$D$4:$AY$138, MATCH('Staging Table'!$A32, LS_previous!$B$4:$B$138, 0), MATCH(V$4&amp;V$5, LS_previous!$D$2:$AY$2&amp;LS_previous!$D$3:$AY$3, 0)),SUM(VLOOKUP($A32, LS_previous!$B$4:$AY$138, LS_previous!N$149, FALSE), VLOOKUP('Staging Table'!$A32, LS_previous!$B$4:$AY$138,LS_previous!AL$149, FALSE))/2)</f>
        <v>-105.76104638221523</v>
      </c>
      <c r="W32" s="382">
        <f t="array" ref="W32">IF($G32=0, INDEX(LS_previous!$D$4:$AY$138, MATCH('Staging Table'!$A32, LS_previous!$B$4:$B$138, 0), MATCH(W$4&amp;W$5, LS_previous!$D$2:$AY$2&amp;LS_previous!$D$3:$AY$3, 0)),SUM(VLOOKUP($A32, LS_previous!$B$4:$AY$138, LS_previous!O$149, FALSE), VLOOKUP('Staging Table'!$A32, LS_previous!$B$4:$AY$138,LS_previous!AM$149, FALSE))/2)</f>
        <v>-58.876840019944893</v>
      </c>
      <c r="X32" s="382">
        <f t="array" ref="X32">IF($G32=0, INDEX(LS_previous!$D$4:$AY$138, MATCH('Staging Table'!$A32, LS_previous!$B$4:$B$138, 0), MATCH(X$4&amp;X$5, LS_previous!$D$2:$AY$2&amp;LS_previous!$D$3:$AY$3, 0)),SUM(VLOOKUP($A32, LS_previous!$B$4:$AY$138, LS_previous!P$149, FALSE), VLOOKUP('Staging Table'!$A32, LS_previous!$B$4:$AY$138,LS_previous!AN$149, FALSE))/2)</f>
        <v>68.265825974113795</v>
      </c>
      <c r="Y32" s="382">
        <f t="array" ref="Y32">IF($G32=0, INDEX(LS_previous!$D$4:$AY$138, MATCH('Staging Table'!$A32, LS_previous!$B$4:$B$138, 0), MATCH(Y$4&amp;Y$5, LS_previous!$D$2:$AY$2&amp;LS_previous!$D$3:$AY$3, 0)),SUM(VLOOKUP($A32, LS_previous!$B$4:$AY$138, LS_previous!Q$149, FALSE), VLOOKUP('Staging Table'!$A32, LS_previous!$B$4:$AY$138,LS_previous!AO$149, FALSE))/2)</f>
        <v>178.90962079502333</v>
      </c>
      <c r="Z32" s="382">
        <f t="array" ref="Z32">IF($G32=0, INDEX(LS_previous!$D$4:$AY$138, MATCH('Staging Table'!$A32, LS_previous!$B$4:$B$138, 0), MATCH(Z$4&amp;Z$5, LS_previous!$D$2:$AY$2&amp;LS_previous!$D$3:$AY$3, 0)),SUM(VLOOKUP($A32, LS_previous!$B$4:$AY$138, LS_previous!R$149, FALSE), VLOOKUP('Staging Table'!$A32, LS_previous!$B$4:$AY$138,LS_previous!AP$149, FALSE))/2)</f>
        <v>-1942.2821093832149</v>
      </c>
      <c r="AA32" s="382">
        <f t="array" ref="AA32">IF($G32=0, INDEX(LS_previous!$D$4:$AY$138, MATCH('Staging Table'!$A32, LS_previous!$B$4:$B$138, 0), MATCH(AA$4&amp;AA$5, LS_previous!$D$2:$AY$2&amp;LS_previous!$D$3:$AY$3, 0)),SUM(VLOOKUP($A32, LS_previous!$B$4:$AY$138, LS_previous!S$149, FALSE), VLOOKUP('Staging Table'!$A32, LS_previous!$B$4:$AY$138,LS_previous!AQ$149, FALSE))/2)</f>
        <v>-853.68531745532709</v>
      </c>
      <c r="AB32" s="382">
        <f t="array" ref="AB32">IF($G32=0, INDEX(LS_previous!$D$4:$AY$138, MATCH('Staging Table'!$A32, LS_previous!$B$4:$B$138, 0), MATCH(AB$4&amp;AB$5, LS_previous!$D$2:$AY$2&amp;LS_previous!$D$3:$AY$3, 0)),SUM(VLOOKUP($A32, LS_previous!$B$4:$AY$138, LS_previous!T$149, FALSE), VLOOKUP('Staging Table'!$A32, LS_previous!$B$4:$AY$138,LS_previous!AR$149, FALSE))/2)</f>
        <v>-1178.7659159842556</v>
      </c>
      <c r="AC32" s="382">
        <f t="array" ref="AC32">IF($G32=0, INDEX(LS_previous!$D$4:$AY$138, MATCH('Staging Table'!$A32, LS_previous!$B$4:$B$138, 0), MATCH(AC$4&amp;AC$5, LS_previous!$D$2:$AY$2&amp;LS_previous!$D$3:$AY$3, 0)),SUM(VLOOKUP($A32, LS_previous!$B$4:$AY$138, LS_previous!U$149, FALSE), VLOOKUP('Staging Table'!$A32, LS_previous!$B$4:$AY$138,LS_previous!AS$149, FALSE))/2)</f>
        <v>-596.95677183393354</v>
      </c>
      <c r="AD32" s="382">
        <f t="array" ref="AD32">IF($G32=0, INDEX(LS_previous!$D$4:$AY$138, MATCH('Staging Table'!$A32, LS_previous!$B$4:$B$138, 0), MATCH(AD$4&amp;AD$5, LS_previous!$D$2:$AY$2&amp;LS_previous!$D$3:$AY$3, 0)),SUM(VLOOKUP($A32, LS_previous!$B$4:$AY$138, LS_previous!V$149, FALSE), VLOOKUP('Staging Table'!$A32, LS_previous!$B$4:$AY$138,LS_previous!AT$149, FALSE))/2)</f>
        <v>-956.25508982447673</v>
      </c>
      <c r="AE32" s="382">
        <f t="array" ref="AE32">IF($G32=0, INDEX(LS_previous!$D$4:$AY$138, MATCH('Staging Table'!$A32, LS_previous!$B$4:$B$138, 0), MATCH(AE$4&amp;AE$5, LS_previous!$D$2:$AY$2&amp;LS_previous!$D$3:$AY$3, 0)),SUM(VLOOKUP($A32, LS_previous!$B$4:$AY$138, LS_previous!W$149, FALSE), VLOOKUP('Staging Table'!$A32, LS_previous!$B$4:$AY$138,LS_previous!AU$149, FALSE))/2)</f>
        <v>-133.90711600035388</v>
      </c>
      <c r="AF32" s="382">
        <f t="array" ref="AF32">IF($G32=0, INDEX(LS_previous!$D$4:$AY$138, MATCH('Staging Table'!$A32, LS_previous!$B$4:$B$138, 0), MATCH(AF$4&amp;AF$5, LS_previous!$D$2:$AY$2&amp;LS_previous!$D$3:$AY$3, 0)),SUM(VLOOKUP($A32, LS_previous!$B$4:$AY$138, LS_previous!X$149, FALSE), VLOOKUP('Staging Table'!$A32, LS_previous!$B$4:$AY$138,LS_previous!AV$149, FALSE))/2)</f>
        <v>-1029.6369975162643</v>
      </c>
      <c r="AG32" s="382">
        <f t="array" ref="AG32">IF($G32=0, INDEX(LS_previous!$D$4:$AY$138, MATCH('Staging Table'!$A32, LS_previous!$B$4:$B$138, 0), MATCH(AG$4&amp;AG$5, LS_previous!$D$2:$AY$2&amp;LS_previous!$D$3:$AY$3, 0)),SUM(VLOOKUP($A32, LS_previous!$B$4:$AY$138, LS_previous!Y$149, FALSE), VLOOKUP('Staging Table'!$A32, LS_previous!$B$4:$AY$138,LS_previous!AW$149, FALSE))/2)</f>
        <v>-338.10321993669413</v>
      </c>
      <c r="AH32" s="382">
        <f t="array" ref="AH32">IF($G32=0, INDEX(LS_previous!$D$4:$AY$138, MATCH('Staging Table'!$A32, LS_previous!$B$4:$B$138, 0), MATCH(AH$4&amp;AH$5, LS_previous!$D$2:$AY$2&amp;LS_previous!$D$3:$AY$3, 0)),SUM(VLOOKUP($A32, LS_previous!$B$4:$AY$138, LS_previous!Z$149, FALSE), VLOOKUP('Staging Table'!$A32, LS_previous!$B$4:$AY$138,LS_previous!AX$149, FALSE))/2)</f>
        <v>-478.80662369593847</v>
      </c>
      <c r="AI32" s="382">
        <f t="array" ref="AI32">IF($G32=0, INDEX(LS_previous!$D$4:$AY$138, MATCH('Staging Table'!$A32, LS_previous!$B$4:$B$138, 0), MATCH(AI$4&amp;AI$5, LS_previous!$D$2:$AY$2&amp;LS_previous!$D$3:$AY$3, 0)),SUM(VLOOKUP($A32, LS_previous!$B$4:$AY$138, LS_previous!AA$149, FALSE), VLOOKUP('Staging Table'!$A32, LS_previous!$B$4:$AY$138,LS_previous!AY$149, FALSE))/2)</f>
        <v>-132.41065346530081</v>
      </c>
      <c r="AJ32" s="384">
        <f t="array" ref="AJ32">INDEX(Demand_previous!$D$4:$AY$138, MATCH('Staging Table'!$A32, Demand_previous!$B$4:$B$138, 0), MATCH(AJ$4&amp;AJ$5,Demand_previous!$D$2:$AY$2&amp;Demand_previous!$D$3:$AY$3, 0))/1000</f>
        <v>0.6632245370370371</v>
      </c>
      <c r="AK32" s="384">
        <f t="array" ref="AK32">INDEX(Demand_previous!$D$4:$AY$138, MATCH('Staging Table'!$A32, Demand_previous!$B$4:$B$138, 0), MATCH(AK$4&amp;AK$5,Demand_previous!$D$2:$AY$2&amp;Demand_previous!$D$3:$AY$3, 0))/1000</f>
        <v>0</v>
      </c>
      <c r="AL32" s="384">
        <f t="array" ref="AL32">INDEX(Demand_previous!$D$4:$AY$138, MATCH('Staging Table'!$A32, Demand_previous!$B$4:$B$138, 0), MATCH(AL$4&amp;AL$5,Demand_previous!$D$2:$AY$2&amp;Demand_previous!$D$3:$AY$3, 0))/1000</f>
        <v>2.5537836538461525</v>
      </c>
      <c r="AM32" s="384">
        <f t="array" ref="AM32">INDEX(Demand_previous!$D$4:$AY$138, MATCH('Staging Table'!$A32, Demand_previous!$B$4:$B$138, 0), MATCH(AM$4&amp;AM$5,Demand_previous!$D$2:$AY$2&amp;Demand_previous!$D$3:$AY$3, 0))/1000</f>
        <v>1.1397099999999987</v>
      </c>
      <c r="AN32" s="384">
        <f t="array" ref="AN32">INDEX(Demand_previous!$D$4:$AY$138, MATCH('Staging Table'!$A32, Demand_previous!$B$4:$B$138, 0), MATCH(AN$4&amp;AN$5,Demand_previous!$D$2:$AY$2&amp;Demand_previous!$D$3:$AY$3, 0))/1000</f>
        <v>0.50358000000000125</v>
      </c>
      <c r="AO32" s="384">
        <f t="array" ref="AO32">INDEX(Demand_previous!$D$4:$AY$138, MATCH('Staging Table'!$A32, Demand_previous!$B$4:$B$138, 0), MATCH(AO$4&amp;AO$5,Demand_previous!$D$2:$AY$2&amp;Demand_previous!$D$3:$AY$3, 0))/1000</f>
        <v>0.70424537037036949</v>
      </c>
      <c r="AP32" s="384">
        <f t="array" ref="AP32">INDEX(Demand_previous!$D$4:$AY$138, MATCH('Staging Table'!$A32, Demand_previous!$B$4:$B$138, 0), MATCH(AP$4&amp;AP$5,Demand_previous!$D$2:$AY$2&amp;Demand_previous!$D$3:$AY$3, 0))/1000</f>
        <v>0.51813221153846123</v>
      </c>
      <c r="AQ32" s="384">
        <f t="array" ref="AQ32">INDEX(Demand_previous!$D$4:$AY$138, MATCH('Staging Table'!$A32, Demand_previous!$B$4:$B$138, 0), MATCH(AQ$4&amp;AQ$5,Demand_previous!$D$2:$AY$2&amp;Demand_previous!$D$3:$AY$3, 0))/1000</f>
        <v>0.63710249999999991</v>
      </c>
      <c r="AR32" s="384">
        <f t="array" ref="AR32">INDEX(Demand_previous!$D$4:$AY$138, MATCH('Staging Table'!$A32, Demand_previous!$B$4:$B$138, 0), MATCH(AR$4&amp;AR$5,Demand_previous!$D$2:$AY$2&amp;Demand_previous!$D$3:$AY$3, 0))/1000</f>
        <v>0.64662740384615358</v>
      </c>
      <c r="AS32" s="384">
        <f t="array" ref="AS32">INDEX(Demand_previous!$D$4:$AY$138, MATCH('Staging Table'!$A32, Demand_previous!$B$4:$B$138, 0), MATCH(AS$4&amp;AS$5,Demand_previous!$D$2:$AY$2&amp;Demand_previous!$D$3:$AY$3, 0))/1000</f>
        <v>0.93624750000000101</v>
      </c>
      <c r="AT32" s="384">
        <f t="array" ref="AT32">INDEX(Demand_previous!$D$4:$AY$138, MATCH('Staging Table'!$A32, Demand_previous!$B$4:$B$138, 0), MATCH(AT$4&amp;AT$5,Demand_previous!$D$2:$AY$2&amp;Demand_previous!$D$3:$AY$3, 0))/1000</f>
        <v>1.4447060185185201</v>
      </c>
      <c r="AU32" s="384">
        <f t="array" ref="AU32">INDEX(Demand_previous!$D$4:$AY$138, MATCH('Staging Table'!$A32, Demand_previous!$B$4:$B$138, 0), MATCH(AU$4&amp;AU$5,Demand_previous!$D$2:$AY$2&amp;Demand_previous!$D$3:$AY$3, 0))/1000</f>
        <v>1.0781575000000001</v>
      </c>
      <c r="AV32" s="384">
        <f>IF($D32=0,IF(C32=0, MAX(AY32 - (VLOOKUP($A32,TOCA_previous!$A$2:$AI$137,MATCH("RHWM 2016",TOCA_previous!$A$2:$AI$2,0),FALSE)*$F$2*TOCA_previous!C29),0),0), 0)</f>
        <v>0</v>
      </c>
      <c r="AW32" s="427">
        <f>VLOOKUP($A32,REP_previous!$A$1:$D$135,MATCH("FY "&amp;$F$1&amp; " Total Refund",REP_previous!$A$1:$D$1,0),0)</f>
        <v>94895.717916163601</v>
      </c>
      <c r="AX32" s="398">
        <f>MIN(VLOOKUP($A32,TOCA_previous!$A$2:$AI$137,MATCH("TRL - NLSL - Exisiting Resource "&amp;$F$1,TOCA_previous!$A$2:$AI$2,0),FALSE)*$F$2,(VLOOKUP($A32,TOCA_previous!$A$2:$AI$137,MATCH("RHWM 2016",TOCA_previous!$A$2:$AI$2,0),FALSE)*$F$2))</f>
        <v>64685.375999999997</v>
      </c>
      <c r="AY32" s="384">
        <f>SUM(L32:AI32)+(F32*RT1SC!$C$3*$F$2)</f>
        <v>58909.421152250412</v>
      </c>
      <c r="AZ32" s="398">
        <f>VLOOKUP($A32,TOCA_previous!$A$2:$AI$137,MATCH("Above RHWM Not Served with LS "&amp;$F$1,TOCA_previous!$A$2:$AI$2,0),FALSE)*$F$2</f>
        <v>0</v>
      </c>
      <c r="BA32" s="206">
        <f t="shared" si="3"/>
        <v>-5775.9548477495846</v>
      </c>
      <c r="BB32" s="399">
        <f>(VLOOKUP($A32,TOCA_previous!$A$2:$AI$137,MATCH("RHWM 2016",TOCA_previous!$A$2:$AI$2,0),FALSE)*$F$2) - $AX32</f>
        <v>0</v>
      </c>
      <c r="BC32" s="206">
        <f t="shared" si="4"/>
        <v>0</v>
      </c>
      <c r="BD32" s="400">
        <f t="shared" si="5"/>
        <v>5775.9548477495846</v>
      </c>
      <c r="BE32" s="392">
        <f t="shared" si="6"/>
        <v>0</v>
      </c>
      <c r="BF32" s="399">
        <f t="shared" si="7"/>
        <v>5775.9548477495846</v>
      </c>
      <c r="BG32" s="206">
        <f>VLOOKUP($A32,TOCA_current!$A$2:$AI$137,MATCH(BG$4,TOCA_current!$A$2:$AI$2,0),FALSE)</f>
        <v>1.0537000000000001E-3</v>
      </c>
      <c r="BH32" s="206">
        <f>VLOOKUP($A32,TOCA_current!$A$2:$AI$137,MATCH(BH$4,TOCA_current!$A$2:$AI$2,0),FALSE)</f>
        <v>1.0537000000000001E-3</v>
      </c>
      <c r="BI32" s="391">
        <f t="shared" si="8"/>
        <v>0</v>
      </c>
      <c r="BJ32" s="206">
        <f>VLOOKUP($A32,TOCA_current!A28:BG163,MATCH(BJ$4,TOCA_current!$A$2:$BG$2,0),FALSE)</f>
        <v>0</v>
      </c>
      <c r="BK32" s="206">
        <f t="shared" si="9"/>
        <v>0</v>
      </c>
      <c r="BL32" s="206">
        <f t="shared" si="10"/>
        <v>0</v>
      </c>
      <c r="BM32" s="381">
        <f>VLOOKUP($A32,IRD!$A$4:$G$139, 7, FALSE)</f>
        <v>0</v>
      </c>
      <c r="BN32" s="382">
        <f t="array" ref="BN32">IF($BI32=0, INDEX(LS_current!$D$4:$AY$139, MATCH('Staging Table'!$A32, LS_current!$B$4:$B$139, 0), MATCH(BN$4&amp;BN$5, LS_current!$D$2:$AY$2&amp;LS_current!$D$3:$AY$3, 0)),SUM(VLOOKUP($A32, LS_current!$B$4:$AY$139, LS_current!D$149, FALSE), VLOOKUP($A32, LS_current!$B$4:$AY$139,LS_current!D$149, FALSE))/2)</f>
        <v>-384.3806316020673</v>
      </c>
      <c r="BO32" s="382">
        <f t="array" ref="BO32">IF($BI32=0, INDEX(LS_current!$D$4:$AY$139, MATCH('Staging Table'!$A32, LS_current!$B$4:$B$139, 0), MATCH(BO$4&amp;BO$5, LS_current!$D$2:$AY$2&amp;LS_current!$D$3:$AY$3, 0)),SUM(VLOOKUP($A32, LS_current!$B$4:$AY$139, LS_current!E$149, FALSE), VLOOKUP($A32, LS_current!$B$4:$AY$139,LS_current!E$149, FALSE))/2)</f>
        <v>45.599281372250744</v>
      </c>
      <c r="BP32" s="382">
        <f t="array" ref="BP32">IF($BI32=0, INDEX(LS_current!$D$4:$AY$139, MATCH('Staging Table'!$A32, LS_current!$B$4:$B$139, 0), MATCH(BP$4&amp;BP$5, LS_current!$D$2:$AY$2&amp;LS_current!$D$3:$AY$3, 0)),SUM(VLOOKUP($A32, LS_current!$B$4:$AY$139, LS_current!F$149, FALSE), VLOOKUP($A32, LS_current!$B$4:$AY$139,LS_current!F$149, FALSE))/2)</f>
        <v>-421.37439336815214</v>
      </c>
      <c r="BQ32" s="382">
        <f t="array" ref="BQ32">IF($BI32=0, INDEX(LS_current!$D$4:$AY$139, MATCH('Staging Table'!$A32, LS_current!$B$4:$B$139, 0), MATCH(BQ$4&amp;BQ$5, LS_current!$D$2:$AY$2&amp;LS_current!$D$3:$AY$3, 0)),SUM(VLOOKUP($A32, LS_current!$B$4:$AY$139, LS_current!G$149, FALSE), VLOOKUP($A32, LS_current!$B$4:$AY$139,LS_current!G$149, FALSE))/2)</f>
        <v>12.829260138874361</v>
      </c>
      <c r="BR32" s="382">
        <f t="array" ref="BR32">IF($BI32=0, INDEX(LS_current!$D$4:$AY$139, MATCH('Staging Table'!$A32, LS_current!$B$4:$B$139, 0), MATCH(BR$4&amp;BR$5, LS_current!$D$2:$AY$2&amp;LS_current!$D$3:$AY$3, 0)),SUM(VLOOKUP($A32, LS_current!$B$4:$AY$139, LS_current!H$149, FALSE), VLOOKUP($A32, LS_current!$B$4:$AY$139,LS_current!H$149, FALSE))/2)</f>
        <v>-108.96335300102282</v>
      </c>
      <c r="BS32" s="382">
        <f t="array" ref="BS32">IF($BI32=0, INDEX(LS_current!$D$4:$AY$139, MATCH('Staging Table'!$A32, LS_current!$B$4:$B$139, 0), MATCH(BS$4&amp;BS$5, LS_current!$D$2:$AY$2&amp;LS_current!$D$3:$AY$3, 0)),SUM(VLOOKUP($A32, LS_current!$B$4:$AY$139, LS_current!I$149, FALSE), VLOOKUP($A32, LS_current!$B$4:$AY$139,LS_current!I$149, FALSE))/2)</f>
        <v>308.63387236466406</v>
      </c>
      <c r="BT32" s="382">
        <f t="array" ref="BT32">IF($BI32=0, INDEX(LS_current!$D$4:$AY$139, MATCH('Staging Table'!$A32, LS_current!$B$4:$B$139, 0), MATCH(BT$4&amp;BT$5, LS_current!$D$2:$AY$2&amp;LS_current!$D$3:$AY$3, 0)),SUM(VLOOKUP($A32, LS_current!$B$4:$AY$139, LS_current!J$149, FALSE), VLOOKUP($A32, LS_current!$B$4:$AY$139,LS_current!J$149, FALSE))/2)</f>
        <v>693.1500042197622</v>
      </c>
      <c r="BU32" s="382">
        <f t="array" ref="BU32">IF($BI32=0, INDEX(LS_current!$D$4:$AY$139, MATCH('Staging Table'!$A32, LS_current!$B$4:$B$139, 0), MATCH(BU$4&amp;BU$5, LS_current!$D$2:$AY$2&amp;LS_current!$D$3:$AY$3, 0)),SUM(VLOOKUP($A32, LS_current!$B$4:$AY$139, LS_current!K$149, FALSE), VLOOKUP($A32, LS_current!$B$4:$AY$139,LS_current!K$149, FALSE))/2)</f>
        <v>582.5003126061456</v>
      </c>
      <c r="BV32" s="382">
        <f t="array" ref="BV32">IF($BI32=0, INDEX(LS_current!$D$4:$AY$139, MATCH('Staging Table'!$A32, LS_current!$B$4:$B$139, 0), MATCH(BV$4&amp;BV$5, LS_current!$D$2:$AY$2&amp;LS_current!$D$3:$AY$3, 0)),SUM(VLOOKUP($A32, LS_current!$B$4:$AY$139, LS_current!L$149, FALSE), VLOOKUP($A32, LS_current!$B$4:$AY$139,LS_current!L$149, FALSE))/2)</f>
        <v>730.0611496087804</v>
      </c>
      <c r="BW32" s="382">
        <f t="array" ref="BW32">IF($BI32=0, INDEX(LS_current!$D$4:$AY$139, MATCH('Staging Table'!$A32, LS_current!$B$4:$B$139, 0), MATCH(BW$4&amp;BW$5, LS_current!$D$2:$AY$2&amp;LS_current!$D$3:$AY$3, 0)),SUM(VLOOKUP($A32, LS_current!$B$4:$AY$139, LS_current!M$149, FALSE), VLOOKUP($A32, LS_current!$B$4:$AY$139,LS_current!M$149, FALSE))/2)</f>
        <v>571.05176391352711</v>
      </c>
      <c r="BX32" s="382">
        <f t="array" ref="BX32">IF($BI32=0, INDEX(LS_current!$D$4:$AY$139, MATCH('Staging Table'!$A32, LS_current!$B$4:$B$139, 0), MATCH(BX$4&amp;BX$5, LS_current!$D$2:$AY$2&amp;LS_current!$D$3:$AY$3, 0)),SUM(VLOOKUP($A32, LS_current!$B$4:$AY$139, LS_current!N$149, FALSE), VLOOKUP($A32, LS_current!$B$4:$AY$139,LS_current!N$149, FALSE))/2)</f>
        <v>67.003521132807236</v>
      </c>
      <c r="BY32" s="382">
        <f t="array" ref="BY32">IF($BI32=0, INDEX(LS_current!$D$4:$AY$139, MATCH('Staging Table'!$A32, LS_current!$B$4:$B$139, 0), MATCH(BY$4&amp;BY$5, LS_current!$D$2:$AY$2&amp;LS_current!$D$3:$AY$3, 0)),SUM(VLOOKUP($A32, LS_current!$B$4:$AY$139, LS_current!O$149, FALSE), VLOOKUP($A32, LS_current!$B$4:$AY$139,LS_current!O$149, FALSE))/2)</f>
        <v>132.98554923934262</v>
      </c>
      <c r="BZ32" s="382">
        <f t="array" ref="BZ32">IF($BI32=0, INDEX(LS_current!$D$4:$AY$139, MATCH('Staging Table'!$A32, LS_current!$B$4:$B$139, 0), MATCH(BZ$4&amp;BZ$5, LS_current!$D$2:$AY$2&amp;LS_current!$D$3:$AY$3, 0)),SUM(VLOOKUP($A32, LS_current!$B$4:$AY$139, LS_current!P$149, FALSE), VLOOKUP($A32, LS_current!$B$4:$AY$139,LS_current!P$149, FALSE))/2)</f>
        <v>-250.03840207577832</v>
      </c>
      <c r="CA32" s="382">
        <f t="array" ref="CA32">IF($BI32=0, INDEX(LS_current!$D$4:$AY$139, MATCH('Staging Table'!$A32, LS_current!$B$4:$B$139, 0), MATCH(CA$4&amp;CA$5, LS_current!$D$2:$AY$2&amp;LS_current!$D$3:$AY$3, 0)),SUM(VLOOKUP($A32, LS_current!$B$4:$AY$139, LS_current!Q$149, FALSE), VLOOKUP($A32, LS_current!$B$4:$AY$139,LS_current!Q$149, FALSE))/2)</f>
        <v>157.05205181966903</v>
      </c>
      <c r="CB32" s="382">
        <f t="array" ref="CB32">IF($BI32=0, INDEX(LS_current!$D$4:$AY$139, MATCH('Staging Table'!$A32, LS_current!$B$4:$B$139, 0), MATCH(CB$4&amp;CB$5, LS_current!$D$2:$AY$2&amp;LS_current!$D$3:$AY$3, 0)),SUM(VLOOKUP($A32, LS_current!$B$4:$AY$139, LS_current!R$149, FALSE), VLOOKUP($A32, LS_current!$B$4:$AY$139,LS_current!R$149, FALSE))/2)</f>
        <v>-1899.1005809975445</v>
      </c>
      <c r="CC32" s="382">
        <f t="array" ref="CC32">IF($BI32=0, INDEX(LS_current!$D$4:$AY$139, MATCH('Staging Table'!$A32, LS_current!$B$4:$B$139, 0), MATCH(CC$4&amp;CC$5, LS_current!$D$2:$AY$2&amp;LS_current!$D$3:$AY$3, 0)),SUM(VLOOKUP($A32, LS_current!$B$4:$AY$139, LS_current!S$149, FALSE), VLOOKUP($A32, LS_current!$B$4:$AY$139,LS_current!S$149, FALSE))/2)</f>
        <v>-891.00385245157577</v>
      </c>
      <c r="CD32" s="382">
        <f t="array" ref="CD32">IF($BI32=0, INDEX(LS_current!$D$4:$AY$139, MATCH('Staging Table'!$A32, LS_current!$B$4:$B$139, 0), MATCH(CD$4&amp;CD$5, LS_current!$D$2:$AY$2&amp;LS_current!$D$3:$AY$3, 0)),SUM(VLOOKUP($A32, LS_current!$B$4:$AY$139, LS_current!T$149, FALSE), VLOOKUP($A32, LS_current!$B$4:$AY$139,LS_current!T$149, FALSE))/2)</f>
        <v>-1158.8697544709576</v>
      </c>
      <c r="CE32" s="382">
        <f t="array" ref="CE32">IF($BI32=0, INDEX(LS_current!$D$4:$AY$139, MATCH('Staging Table'!$A32, LS_current!$B$4:$B$139, 0), MATCH(CE$4&amp;CE$5, LS_current!$D$2:$AY$2&amp;LS_current!$D$3:$AY$3, 0)),SUM(VLOOKUP($A32, LS_current!$B$4:$AY$139, LS_current!U$149, FALSE), VLOOKUP($A32, LS_current!$B$4:$AY$139,LS_current!U$149, FALSE))/2)</f>
        <v>-449.41071120918673</v>
      </c>
      <c r="CF32" s="382">
        <f t="array" ref="CF32">IF($BI32=0, INDEX(LS_current!$D$4:$AY$139, MATCH('Staging Table'!$A32, LS_current!$B$4:$B$139, 0), MATCH(CF$4&amp;CF$5, LS_current!$D$2:$AY$2&amp;LS_current!$D$3:$AY$3, 0)),SUM(VLOOKUP($A32, LS_current!$B$4:$AY$139, LS_current!V$149, FALSE), VLOOKUP($A32, LS_current!$B$4:$AY$139,LS_current!V$149, FALSE))/2)</f>
        <v>-746.16924198124025</v>
      </c>
      <c r="CG32" s="382">
        <f t="array" ref="CG32">IF($BI32=0, INDEX(LS_current!$D$4:$AY$139, MATCH('Staging Table'!$A32, LS_current!$B$4:$B$139, 0), MATCH(CG$4&amp;CG$5, LS_current!$D$2:$AY$2&amp;LS_current!$D$3:$AY$3, 0)),SUM(VLOOKUP($A32, LS_current!$B$4:$AY$139, LS_current!W$149, FALSE), VLOOKUP($A32, LS_current!$B$4:$AY$139,LS_current!W$149, FALSE))/2)</f>
        <v>-3.8072777351428613</v>
      </c>
      <c r="CH32" s="382">
        <f t="array" ref="CH32">IF($BI32=0, INDEX(LS_current!$D$4:$AY$139, MATCH('Staging Table'!$A32, LS_current!$B$4:$B$139, 0), MATCH(CH$4&amp;CH$5, LS_current!$D$2:$AY$2&amp;LS_current!$D$3:$AY$3, 0)),SUM(VLOOKUP($A32, LS_current!$B$4:$AY$139, LS_current!X$149, FALSE), VLOOKUP($A32, LS_current!$B$4:$AY$139,LS_current!X$149, FALSE))/2)</f>
        <v>-1008.4890377973115</v>
      </c>
      <c r="CI32" s="382">
        <f t="array" ref="CI32">IF($BI32=0, INDEX(LS_current!$D$4:$AY$139, MATCH('Staging Table'!$A32, LS_current!$B$4:$B$139, 0), MATCH(CI$4&amp;CI$5, LS_current!$D$2:$AY$2&amp;LS_current!$D$3:$AY$3, 0)),SUM(VLOOKUP($A32, LS_current!$B$4:$AY$139, LS_current!Y$149, FALSE), VLOOKUP($A32, LS_current!$B$4:$AY$139,LS_current!Y$149, FALSE))/2)</f>
        <v>-278.10414744634431</v>
      </c>
      <c r="CJ32" s="382">
        <f t="array" ref="CJ32">IF($BI32=0, INDEX(LS_current!$D$4:$AY$139, MATCH('Staging Table'!$A32, LS_current!$B$4:$B$139, 0), MATCH(CJ$4&amp;CJ$5, LS_current!$D$2:$AY$2&amp;LS_current!$D$3:$AY$3, 0)),SUM(VLOOKUP($A32, LS_current!$B$4:$AY$139, LS_current!Z$149, FALSE), VLOOKUP($A32, LS_current!$B$4:$AY$139,LS_current!Z$149, FALSE))/2)</f>
        <v>-769.63335365673083</v>
      </c>
      <c r="CK32" s="382">
        <f t="array" ref="CK32">IF($BI32=0, INDEX(LS_current!$D$4:$AY$139, MATCH('Staging Table'!$A32, LS_current!$B$4:$B$139, 0), MATCH(CK$4&amp;CK$5, LS_current!$D$2:$AY$2&amp;LS_current!$D$3:$AY$3, 0)),SUM(VLOOKUP($A32, LS_current!$B$4:$AY$139, LS_current!AA$149, FALSE), VLOOKUP($A32, LS_current!$B$4:$AY$139,LS_current!AA$149, FALSE))/2)</f>
        <v>-125.88994995596249</v>
      </c>
      <c r="CL32" s="384">
        <f t="array" ref="CL32">INDEX(Demand_current!$D$4:$AY$138, MATCH($A32, Demand_current!$B$4:$B$138, 0), MATCH(CL$4&amp;CL$5,Demand_current!$D$2:$AY$2&amp;Demand_current!$D$3:$AY$3, 0))/1000</f>
        <v>0.41134855769230816</v>
      </c>
      <c r="CM32" s="384">
        <f t="array" ref="CM32">INDEX(Demand_current!$D$4:$AY$138, MATCH($A32, Demand_current!$B$4:$B$138, 0), MATCH(CM$4&amp;CM$5,Demand_current!$D$2:$AY$2&amp;Demand_current!$D$3:$AY$3, 0))/1000</f>
        <v>3.7402499999999783E-2</v>
      </c>
      <c r="CN32" s="384">
        <f t="array" ref="CN32">INDEX(Demand_current!$D$4:$AY$138, MATCH($A32, Demand_current!$B$4:$B$138, 0), MATCH(CN$4&amp;CN$5,Demand_current!$D$2:$AY$2&amp;Demand_current!$D$3:$AY$3, 0))/1000</f>
        <v>2.2028949999999989</v>
      </c>
      <c r="CO32" s="384">
        <f t="array" ref="CO32">INDEX(Demand_current!$D$4:$AY$138, MATCH($A32, Demand_current!$B$4:$B$138, 0), MATCH(CO$4&amp;CO$5,Demand_current!$D$2:$AY$2&amp;Demand_current!$D$3:$AY$3, 0))/1000</f>
        <v>1.5125673076923074</v>
      </c>
      <c r="CP32" s="384">
        <f t="array" ref="CP32">INDEX(Demand_current!$D$4:$AY$138, MATCH($A32, Demand_current!$B$4:$B$138, 0), MATCH(CP$4&amp;CP$5,Demand_current!$D$2:$AY$2&amp;Demand_current!$D$3:$AY$3, 0))/1000</f>
        <v>0.14947916666666747</v>
      </c>
      <c r="CQ32" s="384">
        <f t="array" ref="CQ32">INDEX(Demand_current!$D$4:$AY$138, MATCH($A32, Demand_current!$B$4:$B$138, 0), MATCH(CQ$4&amp;CQ$5,Demand_current!$D$2:$AY$2&amp;Demand_current!$D$3:$AY$3, 0))/1000</f>
        <v>0.70424537037036949</v>
      </c>
      <c r="CR32" s="384">
        <f t="array" ref="CR32">INDEX(Demand_current!$D$4:$AY$138, MATCH($A32, Demand_current!$B$4:$B$138, 0), MATCH(CR$4&amp;CR$5,Demand_current!$D$2:$AY$2&amp;Demand_current!$D$3:$AY$3, 0))/1000</f>
        <v>0.24481749999999924</v>
      </c>
      <c r="CS32" s="384">
        <f t="array" ref="CS32">INDEX(Demand_current!$D$4:$AY$138, MATCH($A32, Demand_current!$B$4:$B$138, 0), MATCH(CS$4&amp;CS$5,Demand_current!$D$2:$AY$2&amp;Demand_current!$D$3:$AY$3, 0))/1000</f>
        <v>0.88694471153846133</v>
      </c>
      <c r="CT32" s="384">
        <f t="array" ref="CT32">INDEX(Demand_current!$D$4:$AY$138, MATCH($A32, Demand_current!$B$4:$B$138, 0), MATCH(CT$4&amp;CT$5,Demand_current!$D$2:$AY$2&amp;Demand_current!$D$3:$AY$3, 0))/1000</f>
        <v>0.64662740384615358</v>
      </c>
      <c r="CU32" s="384">
        <f t="array" ref="CU32">INDEX(Demand_current!$D$4:$AY$138, MATCH($A32, Demand_current!$B$4:$B$138, 0), MATCH(CU$4&amp;CU$5,Demand_current!$D$2:$AY$2&amp;Demand_current!$D$3:$AY$3, 0))/1000</f>
        <v>0.93624750000000101</v>
      </c>
      <c r="CV32" s="384">
        <f t="array" ref="CV32">INDEX(Demand_current!$D$4:$AY$138, MATCH($A32, Demand_current!$B$4:$B$138, 0), MATCH(CV$4&amp;CV$5,Demand_current!$D$2:$AY$2&amp;Demand_current!$D$3:$AY$3, 0))/1000</f>
        <v>1.4447060185185201</v>
      </c>
      <c r="CW32" s="384">
        <f t="array" ref="CW32">INDEX(Demand_current!$D$4:$AY$138, MATCH($A32, Demand_current!$B$4:$B$138, 0), MATCH(CW$4&amp;CW$5,Demand_current!$D$2:$AY$2&amp;Demand_current!$D$3:$AY$3, 0))/1000</f>
        <v>0.83170572916666652</v>
      </c>
      <c r="CX32" s="384">
        <f>IF(D32=0,IF(C32=0,MAX(0,DA32 - (VLOOKUP($A32,TOCA_current!$A$2:$AI$137,MATCH("RHWM 2018",TOCA_current!$A$2:$AI$2,0),FALSE)*$BH$2)), 0),0)</f>
        <v>0</v>
      </c>
      <c r="CY32" s="427">
        <f>VLOOKUP($A32,REP_current!$A$1:$D$135,MATCH("FY "&amp;$BH$1&amp; " Total Refund",REP_current!$A$1:$D$1,0),0)</f>
        <v>95504.502766492631</v>
      </c>
      <c r="CZ32" s="432">
        <f>MIN(VLOOKUP($A32,TOCA_current!$A$2:$AI$137,MATCH("TRL - NLSL - Existing Resource "&amp;$BH$1,TOCA_current!$A$2:$AI$2,0),FALSE)*$BH$2, VLOOKUP($A32,TOCA_current!$A$2:$AI$137,MATCH("RHWM 2018",TOCA_current!$A$2:$AI$2,0),FALSE)*$BH$2)</f>
        <v>64105.679999999993</v>
      </c>
      <c r="DA32" s="397">
        <f>SUM(BN32:CK32)+(BH32*RT1SC!$C$4*$BH$2)</f>
        <v>58909.421935218808</v>
      </c>
      <c r="DB32" s="432">
        <f>VLOOKUP($A32,TOCA_current!$A$2:$AI$137,MATCH("Above RHWM Not Served with LS "&amp;$BH$1,TOCA_current!$A$2:$AI$2,0),FALSE)*$BH$2</f>
        <v>0</v>
      </c>
      <c r="DC32" s="401">
        <f t="shared" si="11"/>
        <v>-5196.2580647811847</v>
      </c>
      <c r="DD32" s="397">
        <f>(VLOOKUP($A32,TOCA_current!$A$2:$AI$137,MATCH("RHWM 2018",TOCA_current!$A$2:$AI$2,0),FALSE)*$BH$2) - $CZ32</f>
        <v>0</v>
      </c>
      <c r="DE32" s="397">
        <f t="shared" si="12"/>
        <v>0</v>
      </c>
      <c r="DF32" s="397">
        <f t="shared" si="13"/>
        <v>5196.2580647811847</v>
      </c>
      <c r="DG32" s="397">
        <f t="shared" si="14"/>
        <v>0</v>
      </c>
      <c r="DH32" s="397">
        <f t="shared" si="15"/>
        <v>5196.2580647811847</v>
      </c>
    </row>
    <row r="33" spans="1:112">
      <c r="A33" s="274">
        <v>10081</v>
      </c>
      <c r="B33" s="275" t="s">
        <v>34</v>
      </c>
      <c r="C33" s="397">
        <v>0</v>
      </c>
      <c r="D33" s="397">
        <v>0</v>
      </c>
      <c r="E33" s="205">
        <f>VLOOKUP($A33,TOCA_previous!$A$2:$AI$137,MATCH(E$4,TOCA_previous!$A$2:$AI$2,0),FALSE)</f>
        <v>1.4234E-3</v>
      </c>
      <c r="F33" s="206">
        <f>VLOOKUP($A33,TOCA_previous!$A$2:$AI$137,MATCH(F$4,TOCA_previous!$A$2:$AI$2,0),FALSE)</f>
        <v>1.4234E-3</v>
      </c>
      <c r="G33" s="206">
        <f t="shared" si="0"/>
        <v>0</v>
      </c>
      <c r="H33" s="206">
        <f>VLOOKUP($A33,TOCA_previous!$A$2:$AI$137,MATCH(H$4,TOCA_previous!$A$2:$AI$2,0),FALSE)</f>
        <v>0</v>
      </c>
      <c r="I33" s="206">
        <f t="shared" si="1"/>
        <v>0</v>
      </c>
      <c r="J33" s="206">
        <f t="shared" si="2"/>
        <v>0</v>
      </c>
      <c r="K33" s="381">
        <f>VLOOKUP(A33, IRD!$A$5:$C$139, 3, FALSE)</f>
        <v>0</v>
      </c>
      <c r="L33" s="382">
        <f t="array" ref="L33">IF($G33=0, INDEX(LS_previous!$D$4:$AY$138, MATCH('Staging Table'!$A33, LS_previous!$B$4:$B$138, 0), MATCH(L$4&amp;L$5, LS_previous!$D$2:$AY$2&amp;LS_previous!$D$3:$AY$3, 0)),SUM(VLOOKUP($A33, LS_previous!$B$4:$AY$138, LS_previous!D$149, FALSE), VLOOKUP('Staging Table'!$A33, LS_previous!$B$4:$AY$138,LS_previous!AB$149, FALSE))/2)</f>
        <v>-952.27189739289952</v>
      </c>
      <c r="M33" s="382">
        <f t="array" ref="M33">IF($G33=0, INDEX(LS_previous!$D$4:$AY$138, MATCH('Staging Table'!$A33, LS_previous!$B$4:$B$138, 0), MATCH(M$4&amp;M$5, LS_previous!$D$2:$AY$2&amp;LS_previous!$D$3:$AY$3, 0)),SUM(VLOOKUP($A33, LS_previous!$B$4:$AY$138, LS_previous!E$149, FALSE), VLOOKUP('Staging Table'!$A33, LS_previous!$B$4:$AY$138,LS_previous!AC$149, FALSE))/2)</f>
        <v>-616.49662520126731</v>
      </c>
      <c r="N33" s="382">
        <f t="array" ref="N33">IF($G33=0, INDEX(LS_previous!$D$4:$AY$138, MATCH('Staging Table'!$A33, LS_previous!$B$4:$B$138, 0), MATCH(N$4&amp;N$5, LS_previous!$D$2:$AY$2&amp;LS_previous!$D$3:$AY$3, 0)),SUM(VLOOKUP($A33, LS_previous!$B$4:$AY$138, LS_previous!F$149, FALSE), VLOOKUP('Staging Table'!$A33, LS_previous!$B$4:$AY$138,LS_previous!AD$149, FALSE))/2)</f>
        <v>-353.94604067062755</v>
      </c>
      <c r="O33" s="382">
        <f t="array" ref="O33">IF($G33=0, INDEX(LS_previous!$D$4:$AY$138, MATCH('Staging Table'!$A33, LS_previous!$B$4:$B$138, 0), MATCH(O$4&amp;O$5, LS_previous!$D$2:$AY$2&amp;LS_previous!$D$3:$AY$3, 0)),SUM(VLOOKUP($A33, LS_previous!$B$4:$AY$138, LS_previous!G$149, FALSE), VLOOKUP('Staging Table'!$A33, LS_previous!$B$4:$AY$138,LS_previous!AE$149, FALSE))/2)</f>
        <v>-109.72202319723283</v>
      </c>
      <c r="P33" s="382">
        <f t="array" ref="P33">IF($G33=0, INDEX(LS_previous!$D$4:$AY$138, MATCH('Staging Table'!$A33, LS_previous!$B$4:$B$138, 0), MATCH(P$4&amp;P$5, LS_previous!$D$2:$AY$2&amp;LS_previous!$D$3:$AY$3, 0)),SUM(VLOOKUP($A33, LS_previous!$B$4:$AY$138, LS_previous!H$149, FALSE), VLOOKUP('Staging Table'!$A33, LS_previous!$B$4:$AY$138,LS_previous!AF$149, FALSE))/2)</f>
        <v>1014.8806066206562</v>
      </c>
      <c r="Q33" s="382">
        <f t="array" ref="Q33">IF($G33=0, INDEX(LS_previous!$D$4:$AY$138, MATCH('Staging Table'!$A33, LS_previous!$B$4:$B$138, 0), MATCH(Q$4&amp;Q$5, LS_previous!$D$2:$AY$2&amp;LS_previous!$D$3:$AY$3, 0)),SUM(VLOOKUP($A33, LS_previous!$B$4:$AY$138, LS_previous!I$149, FALSE), VLOOKUP('Staging Table'!$A33, LS_previous!$B$4:$AY$138,LS_previous!AG$149, FALSE))/2)</f>
        <v>1155.7643079647551</v>
      </c>
      <c r="R33" s="382">
        <f t="array" ref="R33">IF($G33=0, INDEX(LS_previous!$D$4:$AY$138, MATCH('Staging Table'!$A33, LS_previous!$B$4:$B$138, 0), MATCH(R$4&amp;R$5, LS_previous!$D$2:$AY$2&amp;LS_previous!$D$3:$AY$3, 0)),SUM(VLOOKUP($A33, LS_previous!$B$4:$AY$138, LS_previous!J$149, FALSE), VLOOKUP('Staging Table'!$A33, LS_previous!$B$4:$AY$138,LS_previous!AH$149, FALSE))/2)</f>
        <v>1727.1088316928699</v>
      </c>
      <c r="S33" s="382">
        <f t="array" ref="S33">IF($G33=0, INDEX(LS_previous!$D$4:$AY$138, MATCH('Staging Table'!$A33, LS_previous!$B$4:$B$138, 0), MATCH(S$4&amp;S$5, LS_previous!$D$2:$AY$2&amp;LS_previous!$D$3:$AY$3, 0)),SUM(VLOOKUP($A33, LS_previous!$B$4:$AY$138, LS_previous!K$149, FALSE), VLOOKUP('Staging Table'!$A33, LS_previous!$B$4:$AY$138,LS_previous!AI$149, FALSE))/2)</f>
        <v>1249.4012033740264</v>
      </c>
      <c r="T33" s="382">
        <f t="array" ref="T33">IF($G33=0, INDEX(LS_previous!$D$4:$AY$138, MATCH('Staging Table'!$A33, LS_previous!$B$4:$B$138, 0), MATCH(T$4&amp;T$5, LS_previous!$D$2:$AY$2&amp;LS_previous!$D$3:$AY$3, 0)),SUM(VLOOKUP($A33, LS_previous!$B$4:$AY$138, LS_previous!L$149, FALSE), VLOOKUP('Staging Table'!$A33, LS_previous!$B$4:$AY$138,LS_previous!AJ$149, FALSE))/2)</f>
        <v>902.34454112277581</v>
      </c>
      <c r="U33" s="382">
        <f t="array" ref="U33">IF($G33=0, INDEX(LS_previous!$D$4:$AY$138, MATCH('Staging Table'!$A33, LS_previous!$B$4:$B$138, 0), MATCH(U$4&amp;U$5, LS_previous!$D$2:$AY$2&amp;LS_previous!$D$3:$AY$3, 0)),SUM(VLOOKUP($A33, LS_previous!$B$4:$AY$138, LS_previous!M$149, FALSE), VLOOKUP('Staging Table'!$A33, LS_previous!$B$4:$AY$138,LS_previous!AK$149, FALSE))/2)</f>
        <v>592.01016045184815</v>
      </c>
      <c r="V33" s="382">
        <f t="array" ref="V33">IF($G33=0, INDEX(LS_previous!$D$4:$AY$138, MATCH('Staging Table'!$A33, LS_previous!$B$4:$B$138, 0), MATCH(V$4&amp;V$5, LS_previous!$D$2:$AY$2&amp;LS_previous!$D$3:$AY$3, 0)),SUM(VLOOKUP($A33, LS_previous!$B$4:$AY$138, LS_previous!N$149, FALSE), VLOOKUP('Staging Table'!$A33, LS_previous!$B$4:$AY$138,LS_previous!AL$149, FALSE))/2)</f>
        <v>-374.49838854475547</v>
      </c>
      <c r="W33" s="382">
        <f t="array" ref="W33">IF($G33=0, INDEX(LS_previous!$D$4:$AY$138, MATCH('Staging Table'!$A33, LS_previous!$B$4:$B$138, 0), MATCH(W$4&amp;W$5, LS_previous!$D$2:$AY$2&amp;LS_previous!$D$3:$AY$3, 0)),SUM(VLOOKUP($A33, LS_previous!$B$4:$AY$138, LS_previous!O$149, FALSE), VLOOKUP('Staging Table'!$A33, LS_previous!$B$4:$AY$138,LS_previous!AM$149, FALSE))/2)</f>
        <v>-387.34795285385462</v>
      </c>
      <c r="X33" s="382">
        <f t="array" ref="X33">IF($G33=0, INDEX(LS_previous!$D$4:$AY$138, MATCH('Staging Table'!$A33, LS_previous!$B$4:$B$138, 0), MATCH(X$4&amp;X$5, LS_previous!$D$2:$AY$2&amp;LS_previous!$D$3:$AY$3, 0)),SUM(VLOOKUP($A33, LS_previous!$B$4:$AY$138, LS_previous!P$149, FALSE), VLOOKUP('Staging Table'!$A33, LS_previous!$B$4:$AY$138,LS_previous!AN$149, FALSE))/2)</f>
        <v>140.27870980706848</v>
      </c>
      <c r="Y33" s="382">
        <f t="array" ref="Y33">IF($G33=0, INDEX(LS_previous!$D$4:$AY$138, MATCH('Staging Table'!$A33, LS_previous!$B$4:$B$138, 0), MATCH(Y$4&amp;Y$5, LS_previous!$D$2:$AY$2&amp;LS_previous!$D$3:$AY$3, 0)),SUM(VLOOKUP($A33, LS_previous!$B$4:$AY$138, LS_previous!Q$149, FALSE), VLOOKUP('Staging Table'!$A33, LS_previous!$B$4:$AY$138,LS_previous!AO$149, FALSE))/2)</f>
        <v>98.732874385620107</v>
      </c>
      <c r="Z33" s="382">
        <f t="array" ref="Z33">IF($G33=0, INDEX(LS_previous!$D$4:$AY$138, MATCH('Staging Table'!$A33, LS_previous!$B$4:$B$138, 0), MATCH(Z$4&amp;Z$5, LS_previous!$D$2:$AY$2&amp;LS_previous!$D$3:$AY$3, 0)),SUM(VLOOKUP($A33, LS_previous!$B$4:$AY$138, LS_previous!R$149, FALSE), VLOOKUP('Staging Table'!$A33, LS_previous!$B$4:$AY$138,LS_previous!AP$149, FALSE))/2)</f>
        <v>-2692.3229536235822</v>
      </c>
      <c r="AA33" s="382">
        <f t="array" ref="AA33">IF($G33=0, INDEX(LS_previous!$D$4:$AY$138, MATCH('Staging Table'!$A33, LS_previous!$B$4:$B$138, 0), MATCH(AA$4&amp;AA$5, LS_previous!$D$2:$AY$2&amp;LS_previous!$D$3:$AY$3, 0)),SUM(VLOOKUP($A33, LS_previous!$B$4:$AY$138, LS_previous!S$149, FALSE), VLOOKUP('Staging Table'!$A33, LS_previous!$B$4:$AY$138,LS_previous!AQ$149, FALSE))/2)</f>
        <v>-1570.3358430212538</v>
      </c>
      <c r="AB33" s="382">
        <f t="array" ref="AB33">IF($G33=0, INDEX(LS_previous!$D$4:$AY$138, MATCH('Staging Table'!$A33, LS_previous!$B$4:$B$138, 0), MATCH(AB$4&amp;AB$5, LS_previous!$D$2:$AY$2&amp;LS_previous!$D$3:$AY$3, 0)),SUM(VLOOKUP($A33, LS_previous!$B$4:$AY$138, LS_previous!T$149, FALSE), VLOOKUP('Staging Table'!$A33, LS_previous!$B$4:$AY$138,LS_previous!AR$149, FALSE))/2)</f>
        <v>-1981.5889036623885</v>
      </c>
      <c r="AC33" s="382">
        <f t="array" ref="AC33">IF($G33=0, INDEX(LS_previous!$D$4:$AY$138, MATCH('Staging Table'!$A33, LS_previous!$B$4:$B$138, 0), MATCH(AC$4&amp;AC$5, LS_previous!$D$2:$AY$2&amp;LS_previous!$D$3:$AY$3, 0)),SUM(VLOOKUP($A33, LS_previous!$B$4:$AY$138, LS_previous!U$149, FALSE), VLOOKUP('Staging Table'!$A33, LS_previous!$B$4:$AY$138,LS_previous!AS$149, FALSE))/2)</f>
        <v>-1555.6699042469613</v>
      </c>
      <c r="AD33" s="382">
        <f t="array" ref="AD33">IF($G33=0, INDEX(LS_previous!$D$4:$AY$138, MATCH('Staging Table'!$A33, LS_previous!$B$4:$B$138, 0), MATCH(AD$4&amp;AD$5, LS_previous!$D$2:$AY$2&amp;LS_previous!$D$3:$AY$3, 0)),SUM(VLOOKUP($A33, LS_previous!$B$4:$AY$138, LS_previous!V$149, FALSE), VLOOKUP('Staging Table'!$A33, LS_previous!$B$4:$AY$138,LS_previous!AT$149, FALSE))/2)</f>
        <v>-411.22945116752999</v>
      </c>
      <c r="AE33" s="382">
        <f t="array" ref="AE33">IF($G33=0, INDEX(LS_previous!$D$4:$AY$138, MATCH('Staging Table'!$A33, LS_previous!$B$4:$B$138, 0), MATCH(AE$4&amp;AE$5, LS_previous!$D$2:$AY$2&amp;LS_previous!$D$3:$AY$3, 0)),SUM(VLOOKUP($A33, LS_previous!$B$4:$AY$138, LS_previous!W$149, FALSE), VLOOKUP('Staging Table'!$A33, LS_previous!$B$4:$AY$138,LS_previous!AU$149, FALSE))/2)</f>
        <v>-121.16558057364</v>
      </c>
      <c r="AF33" s="382">
        <f t="array" ref="AF33">IF($G33=0, INDEX(LS_previous!$D$4:$AY$138, MATCH('Staging Table'!$A33, LS_previous!$B$4:$B$138, 0), MATCH(AF$4&amp;AF$5, LS_previous!$D$2:$AY$2&amp;LS_previous!$D$3:$AY$3, 0)),SUM(VLOOKUP($A33, LS_previous!$B$4:$AY$138, LS_previous!X$149, FALSE), VLOOKUP('Staging Table'!$A33, LS_previous!$B$4:$AY$138,LS_previous!AV$149, FALSE))/2)</f>
        <v>-439.49076061133201</v>
      </c>
      <c r="AG33" s="382">
        <f t="array" ref="AG33">IF($G33=0, INDEX(LS_previous!$D$4:$AY$138, MATCH('Staging Table'!$A33, LS_previous!$B$4:$B$138, 0), MATCH(AG$4&amp;AG$5, LS_previous!$D$2:$AY$2&amp;LS_previous!$D$3:$AY$3, 0)),SUM(VLOOKUP($A33, LS_previous!$B$4:$AY$138, LS_previous!Y$149, FALSE), VLOOKUP('Staging Table'!$A33, LS_previous!$B$4:$AY$138,LS_previous!AW$149, FALSE))/2)</f>
        <v>-545.79272950013274</v>
      </c>
      <c r="AH33" s="382">
        <f t="array" ref="AH33">IF($G33=0, INDEX(LS_previous!$D$4:$AY$138, MATCH('Staging Table'!$A33, LS_previous!$B$4:$B$138, 0), MATCH(AH$4&amp;AH$5, LS_previous!$D$2:$AY$2&amp;LS_previous!$D$3:$AY$3, 0)),SUM(VLOOKUP($A33, LS_previous!$B$4:$AY$138, LS_previous!Z$149, FALSE), VLOOKUP('Staging Table'!$A33, LS_previous!$B$4:$AY$138,LS_previous!AX$149, FALSE))/2)</f>
        <v>-417.61379134072877</v>
      </c>
      <c r="AI33" s="382">
        <f t="array" ref="AI33">IF($G33=0, INDEX(LS_previous!$D$4:$AY$138, MATCH('Staging Table'!$A33, LS_previous!$B$4:$B$138, 0), MATCH(AI$4&amp;AI$5, LS_previous!$D$2:$AY$2&amp;LS_previous!$D$3:$AY$3, 0)),SUM(VLOOKUP($A33, LS_previous!$B$4:$AY$138, LS_previous!AA$149, FALSE), VLOOKUP('Staging Table'!$A33, LS_previous!$B$4:$AY$138,LS_previous!AY$149, FALSE))/2)</f>
        <v>-397.06267647464074</v>
      </c>
      <c r="AJ33" s="384">
        <f t="array" ref="AJ33">INDEX(Demand_previous!$D$4:$AY$138, MATCH('Staging Table'!$A33, Demand_previous!$B$4:$B$138, 0), MATCH(AJ$4&amp;AJ$5,Demand_previous!$D$2:$AY$2&amp;Demand_previous!$D$3:$AY$3, 0))/1000</f>
        <v>1.0823310185185191</v>
      </c>
      <c r="AK33" s="384">
        <f t="array" ref="AK33">INDEX(Demand_previous!$D$4:$AY$138, MATCH('Staging Table'!$A33, Demand_previous!$B$4:$B$138, 0), MATCH(AK$4&amp;AK$5,Demand_previous!$D$2:$AY$2&amp;Demand_previous!$D$3:$AY$3, 0))/1000</f>
        <v>0.52729427083333125</v>
      </c>
      <c r="AL33" s="384">
        <f t="array" ref="AL33">INDEX(Demand_previous!$D$4:$AY$138, MATCH('Staging Table'!$A33, Demand_previous!$B$4:$B$138, 0), MATCH(AL$4&amp;AL$5,Demand_previous!$D$2:$AY$2&amp;Demand_previous!$D$3:$AY$3, 0))/1000</f>
        <v>3.6801322115384605</v>
      </c>
      <c r="AM33" s="384">
        <f t="array" ref="AM33">INDEX(Demand_previous!$D$4:$AY$138, MATCH('Staging Table'!$A33, Demand_previous!$B$4:$B$138, 0), MATCH(AM$4&amp;AM$5,Demand_previous!$D$2:$AY$2&amp;Demand_previous!$D$3:$AY$3, 0))/1000</f>
        <v>2.0392549999999998</v>
      </c>
      <c r="AN33" s="384">
        <f t="array" ref="AN33">INDEX(Demand_previous!$D$4:$AY$138, MATCH('Staging Table'!$A33, Demand_previous!$B$4:$B$138, 0), MATCH(AN$4&amp;AN$5,Demand_previous!$D$2:$AY$2&amp;Demand_previous!$D$3:$AY$3, 0))/1000</f>
        <v>1.845534999999999</v>
      </c>
      <c r="AO33" s="384">
        <f t="array" ref="AO33">INDEX(Demand_previous!$D$4:$AY$138, MATCH('Staging Table'!$A33, Demand_previous!$B$4:$B$138, 0), MATCH(AO$4&amp;AO$5,Demand_previous!$D$2:$AY$2&amp;Demand_previous!$D$3:$AY$3, 0))/1000</f>
        <v>2.0710949074074074</v>
      </c>
      <c r="AP33" s="384">
        <f t="array" ref="AP33">INDEX(Demand_previous!$D$4:$AY$138, MATCH('Staging Table'!$A33, Demand_previous!$B$4:$B$138, 0), MATCH(AP$4&amp;AP$5,Demand_previous!$D$2:$AY$2&amp;Demand_previous!$D$3:$AY$3, 0))/1000</f>
        <v>0.58898557692307829</v>
      </c>
      <c r="AQ33" s="384">
        <f t="array" ref="AQ33">INDEX(Demand_previous!$D$4:$AY$138, MATCH('Staging Table'!$A33, Demand_previous!$B$4:$B$138, 0), MATCH(AQ$4&amp;AQ$5,Demand_previous!$D$2:$AY$2&amp;Demand_previous!$D$3:$AY$3, 0))/1000</f>
        <v>0.63602750000000041</v>
      </c>
      <c r="AR33" s="384">
        <f t="array" ref="AR33">INDEX(Demand_previous!$D$4:$AY$138, MATCH('Staging Table'!$A33, Demand_previous!$B$4:$B$138, 0), MATCH(AR$4&amp;AR$5,Demand_previous!$D$2:$AY$2&amp;Demand_previous!$D$3:$AY$3, 0))/1000</f>
        <v>1.0727668269230772</v>
      </c>
      <c r="AS33" s="384">
        <f t="array" ref="AS33">INDEX(Demand_previous!$D$4:$AY$138, MATCH('Staging Table'!$A33, Demand_previous!$B$4:$B$138, 0), MATCH(AS$4&amp;AS$5,Demand_previous!$D$2:$AY$2&amp;Demand_previous!$D$3:$AY$3, 0))/1000</f>
        <v>2.0392099999999997</v>
      </c>
      <c r="AT33" s="384">
        <f t="array" ref="AT33">INDEX(Demand_previous!$D$4:$AY$138, MATCH('Staging Table'!$A33, Demand_previous!$B$4:$B$138, 0), MATCH(AT$4&amp;AT$5,Demand_previous!$D$2:$AY$2&amp;Demand_previous!$D$3:$AY$3, 0))/1000</f>
        <v>0.99291203703703879</v>
      </c>
      <c r="AU33" s="384">
        <f t="array" ref="AU33">INDEX(Demand_previous!$D$4:$AY$138, MATCH('Staging Table'!$A33, Demand_previous!$B$4:$B$138, 0), MATCH(AU$4&amp;AU$5,Demand_previous!$D$2:$AY$2&amp;Demand_previous!$D$3:$AY$3, 0))/1000</f>
        <v>2.7807049999999984</v>
      </c>
      <c r="AV33" s="384">
        <f>IF($D33=0,IF(C33=0, MAX(AY33 - (VLOOKUP($A33,TOCA_previous!$A$2:$AI$137,MATCH("RHWM 2016",TOCA_previous!$A$2:$AI$2,0),FALSE)*$F$2*TOCA_previous!C30),0),0), 0)</f>
        <v>0</v>
      </c>
      <c r="AW33" s="427">
        <f>VLOOKUP($A33,REP_previous!$A$1:$D$135,MATCH("FY "&amp;$F$1&amp; " Total Refund",REP_previous!$A$1:$D$1,0),0)</f>
        <v>132558.86705460754</v>
      </c>
      <c r="AX33" s="398">
        <f>MIN(VLOOKUP($A33,TOCA_previous!$A$2:$AI$137,MATCH("TRL - NLSL - Exisiting Resource "&amp;$F$1,TOCA_previous!$A$2:$AI$2,0),FALSE)*$F$2,(VLOOKUP($A33,TOCA_previous!$A$2:$AI$137,MATCH("RHWM 2016",TOCA_previous!$A$2:$AI$2,0),FALSE)*$F$2))</f>
        <v>87312.959999999992</v>
      </c>
      <c r="AY33" s="384">
        <f>SUM(L33:AI33)+(F33*RT1SC!$C$3*$F$2)</f>
        <v>81264.49420551279</v>
      </c>
      <c r="AZ33" s="398">
        <f>VLOOKUP($A33,TOCA_previous!$A$2:$AI$137,MATCH("Above RHWM Not Served with LS "&amp;$F$1,TOCA_previous!$A$2:$AI$2,0),FALSE)*$F$2</f>
        <v>0</v>
      </c>
      <c r="BA33" s="206">
        <f t="shared" si="3"/>
        <v>-6048.4657944872015</v>
      </c>
      <c r="BB33" s="399">
        <f>(VLOOKUP($A33,TOCA_previous!$A$2:$AI$137,MATCH("RHWM 2016",TOCA_previous!$A$2:$AI$2,0),FALSE)*$F$2) - $AX33</f>
        <v>3627.7920000000013</v>
      </c>
      <c r="BC33" s="206">
        <f t="shared" si="4"/>
        <v>0</v>
      </c>
      <c r="BD33" s="400">
        <f t="shared" si="5"/>
        <v>6048.4657944872015</v>
      </c>
      <c r="BE33" s="392">
        <f t="shared" si="6"/>
        <v>0</v>
      </c>
      <c r="BF33" s="399">
        <f t="shared" si="7"/>
        <v>6048.4657944872015</v>
      </c>
      <c r="BG33" s="206">
        <f>VLOOKUP($A33,TOCA_current!$A$2:$AI$137,MATCH(BG$4,TOCA_current!$A$2:$AI$2,0),FALSE)</f>
        <v>1.3960000000000001E-3</v>
      </c>
      <c r="BH33" s="206">
        <f>VLOOKUP($A33,TOCA_current!$A$2:$AI$137,MATCH(BH$4,TOCA_current!$A$2:$AI$2,0),FALSE)</f>
        <v>1.3960000000000001E-3</v>
      </c>
      <c r="BI33" s="391">
        <f t="shared" si="8"/>
        <v>0</v>
      </c>
      <c r="BJ33" s="206">
        <f>VLOOKUP($A33,TOCA_current!A29:BG164,MATCH(BJ$4,TOCA_current!$A$2:$BG$2,0),FALSE)</f>
        <v>0</v>
      </c>
      <c r="BK33" s="206">
        <f t="shared" si="9"/>
        <v>0</v>
      </c>
      <c r="BL33" s="206">
        <f t="shared" si="10"/>
        <v>0</v>
      </c>
      <c r="BM33" s="381">
        <f>VLOOKUP($A33,IRD!$A$4:$G$139, 7, FALSE)</f>
        <v>0</v>
      </c>
      <c r="BN33" s="382">
        <f t="array" ref="BN33">IF($BI33=0, INDEX(LS_current!$D$4:$AY$139, MATCH('Staging Table'!$A33, LS_current!$B$4:$B$139, 0), MATCH(BN$4&amp;BN$5, LS_current!$D$2:$AY$2&amp;LS_current!$D$3:$AY$3, 0)),SUM(VLOOKUP($A33, LS_current!$B$4:$AY$139, LS_current!D$149, FALSE), VLOOKUP($A33, LS_current!$B$4:$AY$139,LS_current!D$149, FALSE))/2)</f>
        <v>-891.94933512051466</v>
      </c>
      <c r="BO33" s="382">
        <f t="array" ref="BO33">IF($BI33=0, INDEX(LS_current!$D$4:$AY$139, MATCH('Staging Table'!$A33, LS_current!$B$4:$B$139, 0), MATCH(BO$4&amp;BO$5, LS_current!$D$2:$AY$2&amp;LS_current!$D$3:$AY$3, 0)),SUM(VLOOKUP($A33, LS_current!$B$4:$AY$139, LS_current!E$149, FALSE), VLOOKUP($A33, LS_current!$B$4:$AY$139,LS_current!E$149, FALSE))/2)</f>
        <v>-444.93218117522792</v>
      </c>
      <c r="BP33" s="382">
        <f t="array" ref="BP33">IF($BI33=0, INDEX(LS_current!$D$4:$AY$139, MATCH('Staging Table'!$A33, LS_current!$B$4:$B$139, 0), MATCH(BP$4&amp;BP$5, LS_current!$D$2:$AY$2&amp;LS_current!$D$3:$AY$3, 0)),SUM(VLOOKUP($A33, LS_current!$B$4:$AY$139, LS_current!F$149, FALSE), VLOOKUP($A33, LS_current!$B$4:$AY$139,LS_current!F$149, FALSE))/2)</f>
        <v>-360.20388843308319</v>
      </c>
      <c r="BQ33" s="382">
        <f t="array" ref="BQ33">IF($BI33=0, INDEX(LS_current!$D$4:$AY$139, MATCH('Staging Table'!$A33, LS_current!$B$4:$B$139, 0), MATCH(BQ$4&amp;BQ$5, LS_current!$D$2:$AY$2&amp;LS_current!$D$3:$AY$3, 0)),SUM(VLOOKUP($A33, LS_current!$B$4:$AY$139, LS_current!G$149, FALSE), VLOOKUP($A33, LS_current!$B$4:$AY$139,LS_current!G$149, FALSE))/2)</f>
        <v>-23.256868412385757</v>
      </c>
      <c r="BR33" s="382">
        <f t="array" ref="BR33">IF($BI33=0, INDEX(LS_current!$D$4:$AY$139, MATCH('Staging Table'!$A33, LS_current!$B$4:$B$139, 0), MATCH(BR$4&amp;BR$5, LS_current!$D$2:$AY$2&amp;LS_current!$D$3:$AY$3, 0)),SUM(VLOOKUP($A33, LS_current!$B$4:$AY$139, LS_current!H$149, FALSE), VLOOKUP($A33, LS_current!$B$4:$AY$139,LS_current!H$149, FALSE))/2)</f>
        <v>949.00282519746816</v>
      </c>
      <c r="BS33" s="382">
        <f t="array" ref="BS33">IF($BI33=0, INDEX(LS_current!$D$4:$AY$139, MATCH('Staging Table'!$A33, LS_current!$B$4:$B$139, 0), MATCH(BS$4&amp;BS$5, LS_current!$D$2:$AY$2&amp;LS_current!$D$3:$AY$3, 0)),SUM(VLOOKUP($A33, LS_current!$B$4:$AY$139, LS_current!I$149, FALSE), VLOOKUP($A33, LS_current!$B$4:$AY$139,LS_current!I$149, FALSE))/2)</f>
        <v>1185.948269926042</v>
      </c>
      <c r="BT33" s="382">
        <f t="array" ref="BT33">IF($BI33=0, INDEX(LS_current!$D$4:$AY$139, MATCH('Staging Table'!$A33, LS_current!$B$4:$B$139, 0), MATCH(BT$4&amp;BT$5, LS_current!$D$2:$AY$2&amp;LS_current!$D$3:$AY$3, 0)),SUM(VLOOKUP($A33, LS_current!$B$4:$AY$139, LS_current!J$149, FALSE), VLOOKUP($A33, LS_current!$B$4:$AY$139,LS_current!J$149, FALSE))/2)</f>
        <v>1761.8089517801918</v>
      </c>
      <c r="BU33" s="382">
        <f t="array" ref="BU33">IF($BI33=0, INDEX(LS_current!$D$4:$AY$139, MATCH('Staging Table'!$A33, LS_current!$B$4:$B$139, 0), MATCH(BU$4&amp;BU$5, LS_current!$D$2:$AY$2&amp;LS_current!$D$3:$AY$3, 0)),SUM(VLOOKUP($A33, LS_current!$B$4:$AY$139, LS_current!K$149, FALSE), VLOOKUP($A33, LS_current!$B$4:$AY$139,LS_current!K$149, FALSE))/2)</f>
        <v>1290.3370510564482</v>
      </c>
      <c r="BV33" s="382">
        <f t="array" ref="BV33">IF($BI33=0, INDEX(LS_current!$D$4:$AY$139, MATCH('Staging Table'!$A33, LS_current!$B$4:$B$139, 0), MATCH(BV$4&amp;BV$5, LS_current!$D$2:$AY$2&amp;LS_current!$D$3:$AY$3, 0)),SUM(VLOOKUP($A33, LS_current!$B$4:$AY$139, LS_current!L$149, FALSE), VLOOKUP($A33, LS_current!$B$4:$AY$139,LS_current!L$149, FALSE))/2)</f>
        <v>1267.3407469430176</v>
      </c>
      <c r="BW33" s="382">
        <f t="array" ref="BW33">IF($BI33=0, INDEX(LS_current!$D$4:$AY$139, MATCH('Staging Table'!$A33, LS_current!$B$4:$B$139, 0), MATCH(BW$4&amp;BW$5, LS_current!$D$2:$AY$2&amp;LS_current!$D$3:$AY$3, 0)),SUM(VLOOKUP($A33, LS_current!$B$4:$AY$139, LS_current!M$149, FALSE), VLOOKUP($A33, LS_current!$B$4:$AY$139,LS_current!M$149, FALSE))/2)</f>
        <v>865.04847036469937</v>
      </c>
      <c r="BX33" s="382">
        <f t="array" ref="BX33">IF($BI33=0, INDEX(LS_current!$D$4:$AY$139, MATCH('Staging Table'!$A33, LS_current!$B$4:$B$139, 0), MATCH(BX$4&amp;BX$5, LS_current!$D$2:$AY$2&amp;LS_current!$D$3:$AY$3, 0)),SUM(VLOOKUP($A33, LS_current!$B$4:$AY$139, LS_current!N$149, FALSE), VLOOKUP($A33, LS_current!$B$4:$AY$139,LS_current!N$149, FALSE))/2)</f>
        <v>-62.266591058746599</v>
      </c>
      <c r="BY33" s="382">
        <f t="array" ref="BY33">IF($BI33=0, INDEX(LS_current!$D$4:$AY$139, MATCH('Staging Table'!$A33, LS_current!$B$4:$B$139, 0), MATCH(BY$4&amp;BY$5, LS_current!$D$2:$AY$2&amp;LS_current!$D$3:$AY$3, 0)),SUM(VLOOKUP($A33, LS_current!$B$4:$AY$139, LS_current!O$149, FALSE), VLOOKUP($A33, LS_current!$B$4:$AY$139,LS_current!O$149, FALSE))/2)</f>
        <v>-82.422299954330356</v>
      </c>
      <c r="BZ33" s="382">
        <f t="array" ref="BZ33">IF($BI33=0, INDEX(LS_current!$D$4:$AY$139, MATCH('Staging Table'!$A33, LS_current!$B$4:$B$139, 0), MATCH(BZ$4&amp;BZ$5, LS_current!$D$2:$AY$2&amp;LS_current!$D$3:$AY$3, 0)),SUM(VLOOKUP($A33, LS_current!$B$4:$AY$139, LS_current!P$149, FALSE), VLOOKUP($A33, LS_current!$B$4:$AY$139,LS_current!P$149, FALSE))/2)</f>
        <v>-212.13203444793271</v>
      </c>
      <c r="CA33" s="382">
        <f t="array" ref="CA33">IF($BI33=0, INDEX(LS_current!$D$4:$AY$139, MATCH('Staging Table'!$A33, LS_current!$B$4:$B$139, 0), MATCH(CA$4&amp;CA$5, LS_current!$D$2:$AY$2&amp;LS_current!$D$3:$AY$3, 0)),SUM(VLOOKUP($A33, LS_current!$B$4:$AY$139, LS_current!Q$149, FALSE), VLOOKUP($A33, LS_current!$B$4:$AY$139,LS_current!Q$149, FALSE))/2)</f>
        <v>112.09750188882799</v>
      </c>
      <c r="CB33" s="382">
        <f t="array" ref="CB33">IF($BI33=0, INDEX(LS_current!$D$4:$AY$139, MATCH('Staging Table'!$A33, LS_current!$B$4:$B$139, 0), MATCH(CB$4&amp;CB$5, LS_current!$D$2:$AY$2&amp;LS_current!$D$3:$AY$3, 0)),SUM(VLOOKUP($A33, LS_current!$B$4:$AY$139, LS_current!R$149, FALSE), VLOOKUP($A33, LS_current!$B$4:$AY$139,LS_current!R$149, FALSE))/2)</f>
        <v>-2521.6940360373655</v>
      </c>
      <c r="CC33" s="382">
        <f t="array" ref="CC33">IF($BI33=0, INDEX(LS_current!$D$4:$AY$139, MATCH('Staging Table'!$A33, LS_current!$B$4:$B$139, 0), MATCH(CC$4&amp;CC$5, LS_current!$D$2:$AY$2&amp;LS_current!$D$3:$AY$3, 0)),SUM(VLOOKUP($A33, LS_current!$B$4:$AY$139, LS_current!S$149, FALSE), VLOOKUP($A33, LS_current!$B$4:$AY$139,LS_current!S$149, FALSE))/2)</f>
        <v>-1556.789171322388</v>
      </c>
      <c r="CD33" s="382">
        <f t="array" ref="CD33">IF($BI33=0, INDEX(LS_current!$D$4:$AY$139, MATCH('Staging Table'!$A33, LS_current!$B$4:$B$139, 0), MATCH(CD$4&amp;CD$5, LS_current!$D$2:$AY$2&amp;LS_current!$D$3:$AY$3, 0)),SUM(VLOOKUP($A33, LS_current!$B$4:$AY$139, LS_current!T$149, FALSE), VLOOKUP($A33, LS_current!$B$4:$AY$139,LS_current!T$149, FALSE))/2)</f>
        <v>-1863.7564812958681</v>
      </c>
      <c r="CE33" s="382">
        <f t="array" ref="CE33">IF($BI33=0, INDEX(LS_current!$D$4:$AY$139, MATCH('Staging Table'!$A33, LS_current!$B$4:$B$139, 0), MATCH(CE$4&amp;CE$5, LS_current!$D$2:$AY$2&amp;LS_current!$D$3:$AY$3, 0)),SUM(VLOOKUP($A33, LS_current!$B$4:$AY$139, LS_current!U$149, FALSE), VLOOKUP($A33, LS_current!$B$4:$AY$139,LS_current!U$149, FALSE))/2)</f>
        <v>-1308.4174330910359</v>
      </c>
      <c r="CF33" s="382">
        <f t="array" ref="CF33">IF($BI33=0, INDEX(LS_current!$D$4:$AY$139, MATCH('Staging Table'!$A33, LS_current!$B$4:$B$139, 0), MATCH(CF$4&amp;CF$5, LS_current!$D$2:$AY$2&amp;LS_current!$D$3:$AY$3, 0)),SUM(VLOOKUP($A33, LS_current!$B$4:$AY$139, LS_current!V$149, FALSE), VLOOKUP($A33, LS_current!$B$4:$AY$139,LS_current!V$149, FALSE))/2)</f>
        <v>-47.814509448430726</v>
      </c>
      <c r="CG33" s="382">
        <f t="array" ref="CG33">IF($BI33=0, INDEX(LS_current!$D$4:$AY$139, MATCH('Staging Table'!$A33, LS_current!$B$4:$B$139, 0), MATCH(CG$4&amp;CG$5, LS_current!$D$2:$AY$2&amp;LS_current!$D$3:$AY$3, 0)),SUM(VLOOKUP($A33, LS_current!$B$4:$AY$139, LS_current!W$149, FALSE), VLOOKUP($A33, LS_current!$B$4:$AY$139,LS_current!W$149, FALSE))/2)</f>
        <v>96.725039272791946</v>
      </c>
      <c r="CH33" s="382">
        <f t="array" ref="CH33">IF($BI33=0, INDEX(LS_current!$D$4:$AY$139, MATCH('Staging Table'!$A33, LS_current!$B$4:$B$139, 0), MATCH(CH$4&amp;CH$5, LS_current!$D$2:$AY$2&amp;LS_current!$D$3:$AY$3, 0)),SUM(VLOOKUP($A33, LS_current!$B$4:$AY$139, LS_current!X$149, FALSE), VLOOKUP($A33, LS_current!$B$4:$AY$139,LS_current!X$149, FALSE))/2)</f>
        <v>-320.46601363295667</v>
      </c>
      <c r="CI33" s="382">
        <f t="array" ref="CI33">IF($BI33=0, INDEX(LS_current!$D$4:$AY$139, MATCH('Staging Table'!$A33, LS_current!$B$4:$B$139, 0), MATCH(CI$4&amp;CI$5, LS_current!$D$2:$AY$2&amp;LS_current!$D$3:$AY$3, 0)),SUM(VLOOKUP($A33, LS_current!$B$4:$AY$139, LS_current!Y$149, FALSE), VLOOKUP($A33, LS_current!$B$4:$AY$139,LS_current!Y$149, FALSE))/2)</f>
        <v>-420.0392518127519</v>
      </c>
      <c r="CJ33" s="382">
        <f t="array" ref="CJ33">IF($BI33=0, INDEX(LS_current!$D$4:$AY$139, MATCH('Staging Table'!$A33, LS_current!$B$4:$B$139, 0), MATCH(CJ$4&amp;CJ$5, LS_current!$D$2:$AY$2&amp;LS_current!$D$3:$AY$3, 0)),SUM(VLOOKUP($A33, LS_current!$B$4:$AY$139, LS_current!Z$149, FALSE), VLOOKUP($A33, LS_current!$B$4:$AY$139,LS_current!Z$149, FALSE))/2)</f>
        <v>-731.85891345240179</v>
      </c>
      <c r="CK33" s="382">
        <f t="array" ref="CK33">IF($BI33=0, INDEX(LS_current!$D$4:$AY$139, MATCH('Staging Table'!$A33, LS_current!$B$4:$B$139, 0), MATCH(CK$4&amp;CK$5, LS_current!$D$2:$AY$2&amp;LS_current!$D$3:$AY$3, 0)),SUM(VLOOKUP($A33, LS_current!$B$4:$AY$139, LS_current!AA$149, FALSE), VLOOKUP($A33, LS_current!$B$4:$AY$139,LS_current!AA$149, FALSE))/2)</f>
        <v>-344.0585488644997</v>
      </c>
      <c r="CL33" s="384">
        <f t="array" ref="CL33">INDEX(Demand_current!$D$4:$AY$138, MATCH($A33, Demand_current!$B$4:$B$138, 0), MATCH(CL$4&amp;CL$5,Demand_current!$D$2:$AY$2&amp;Demand_current!$D$3:$AY$3, 0))/1000</f>
        <v>0.68672836538461635</v>
      </c>
      <c r="CM33" s="384">
        <f t="array" ref="CM33">INDEX(Demand_current!$D$4:$AY$138, MATCH($A33, Demand_current!$B$4:$B$138, 0), MATCH(CM$4&amp;CM$5,Demand_current!$D$2:$AY$2&amp;Demand_current!$D$3:$AY$3, 0))/1000</f>
        <v>1.1436824999999979</v>
      </c>
      <c r="CN33" s="384">
        <f t="array" ref="CN33">INDEX(Demand_current!$D$4:$AY$138, MATCH($A33, Demand_current!$B$4:$B$138, 0), MATCH(CN$4&amp;CN$5,Demand_current!$D$2:$AY$2&amp;Demand_current!$D$3:$AY$3, 0))/1000</f>
        <v>2.9632974999999999</v>
      </c>
      <c r="CO33" s="384">
        <f t="array" ref="CO33">INDEX(Demand_current!$D$4:$AY$138, MATCH($A33, Demand_current!$B$4:$B$138, 0), MATCH(CO$4&amp;CO$5,Demand_current!$D$2:$AY$2&amp;Demand_current!$D$3:$AY$3, 0))/1000</f>
        <v>2.7405913461538445</v>
      </c>
      <c r="CP33" s="384">
        <f t="array" ref="CP33">INDEX(Demand_current!$D$4:$AY$138, MATCH($A33, Demand_current!$B$4:$B$138, 0), MATCH(CP$4&amp;CP$5,Demand_current!$D$2:$AY$2&amp;Demand_current!$D$3:$AY$3, 0))/1000</f>
        <v>1.2455572916666648</v>
      </c>
      <c r="CQ33" s="384">
        <f t="array" ref="CQ33">INDEX(Demand_current!$D$4:$AY$138, MATCH($A33, Demand_current!$B$4:$B$138, 0), MATCH(CQ$4&amp;CQ$5,Demand_current!$D$2:$AY$2&amp;Demand_current!$D$3:$AY$3, 0))/1000</f>
        <v>2.0710949074074074</v>
      </c>
      <c r="CR33" s="384">
        <f t="array" ref="CR33">INDEX(Demand_current!$D$4:$AY$138, MATCH($A33, Demand_current!$B$4:$B$138, 0), MATCH(CR$4&amp;CR$5,Demand_current!$D$2:$AY$2&amp;Demand_current!$D$3:$AY$3, 0))/1000</f>
        <v>0.16850500000000057</v>
      </c>
      <c r="CS33" s="384">
        <f t="array" ref="CS33">INDEX(Demand_current!$D$4:$AY$138, MATCH($A33, Demand_current!$B$4:$B$138, 0), MATCH(CS$4&amp;CS$5,Demand_current!$D$2:$AY$2&amp;Demand_current!$D$3:$AY$3, 0))/1000</f>
        <v>1.0705264423076915</v>
      </c>
      <c r="CT33" s="384">
        <f t="array" ref="CT33">INDEX(Demand_current!$D$4:$AY$138, MATCH($A33, Demand_current!$B$4:$B$138, 0), MATCH(CT$4&amp;CT$5,Demand_current!$D$2:$AY$2&amp;Demand_current!$D$3:$AY$3, 0))/1000</f>
        <v>1.0727668269230772</v>
      </c>
      <c r="CU33" s="384">
        <f t="array" ref="CU33">INDEX(Demand_current!$D$4:$AY$138, MATCH($A33, Demand_current!$B$4:$B$138, 0), MATCH(CU$4&amp;CU$5,Demand_current!$D$2:$AY$2&amp;Demand_current!$D$3:$AY$3, 0))/1000</f>
        <v>2.0392099999999997</v>
      </c>
      <c r="CV33" s="384">
        <f t="array" ref="CV33">INDEX(Demand_current!$D$4:$AY$138, MATCH($A33, Demand_current!$B$4:$B$138, 0), MATCH(CV$4&amp;CV$5,Demand_current!$D$2:$AY$2&amp;Demand_current!$D$3:$AY$3, 0))/1000</f>
        <v>0.99291203703703879</v>
      </c>
      <c r="CW33" s="384">
        <f t="array" ref="CW33">INDEX(Demand_current!$D$4:$AY$138, MATCH($A33, Demand_current!$B$4:$B$138, 0), MATCH(CW$4&amp;CW$5,Demand_current!$D$2:$AY$2&amp;Demand_current!$D$3:$AY$3, 0))/1000</f>
        <v>2.3322343749999996</v>
      </c>
      <c r="CX33" s="384">
        <f>IF(D33=0,IF(C33=0,MAX(0,DA33 - (VLOOKUP($A33,TOCA_current!$A$2:$AI$137,MATCH("RHWM 2018",TOCA_current!$A$2:$AI$2,0),FALSE)*$BH$2)), 0),0)</f>
        <v>0</v>
      </c>
      <c r="CY33" s="427">
        <f>VLOOKUP($A33,REP_current!$A$1:$D$135,MATCH("FY "&amp;$BH$1&amp; " Total Refund",REP_current!$A$1:$D$1,0),0)</f>
        <v>132336.57605235174</v>
      </c>
      <c r="CZ33" s="432">
        <f>MIN(VLOOKUP($A33,TOCA_current!$A$2:$AI$137,MATCH("TRL - NLSL - Existing Resource "&amp;$BH$1,TOCA_current!$A$2:$AI$2,0),FALSE)*$BH$2, VLOOKUP($A33,TOCA_current!$A$2:$AI$137,MATCH("RHWM 2018",TOCA_current!$A$2:$AI$2,0),FALSE)*$BH$2)</f>
        <v>84928.2</v>
      </c>
      <c r="DA33" s="397">
        <f>SUM(BN33:CK33)+(BH33*RT1SC!$C$4*$BH$2)</f>
        <v>81264.495239029566</v>
      </c>
      <c r="DB33" s="432">
        <f>VLOOKUP($A33,TOCA_current!$A$2:$AI$137,MATCH("Above RHWM Not Served with LS "&amp;$BH$1,TOCA_current!$A$2:$AI$2,0),FALSE)*$BH$2</f>
        <v>0</v>
      </c>
      <c r="DC33" s="401">
        <f t="shared" si="11"/>
        <v>-3663.7047609704314</v>
      </c>
      <c r="DD33" s="397">
        <f>(VLOOKUP($A33,TOCA_current!$A$2:$AI$137,MATCH("RHWM 2018",TOCA_current!$A$2:$AI$2,0),FALSE)*$BH$2) - $CZ33</f>
        <v>5185.9200000000128</v>
      </c>
      <c r="DE33" s="397">
        <f t="shared" si="12"/>
        <v>0</v>
      </c>
      <c r="DF33" s="397">
        <f t="shared" si="13"/>
        <v>3663.7047609704314</v>
      </c>
      <c r="DG33" s="397">
        <f t="shared" si="14"/>
        <v>0</v>
      </c>
      <c r="DH33" s="397">
        <f t="shared" si="15"/>
        <v>3663.7047609704314</v>
      </c>
    </row>
    <row r="34" spans="1:112">
      <c r="A34" s="274">
        <v>10082</v>
      </c>
      <c r="B34" s="275" t="s">
        <v>35</v>
      </c>
      <c r="C34" s="397">
        <v>0</v>
      </c>
      <c r="D34" s="397">
        <v>0</v>
      </c>
      <c r="E34" s="205">
        <f>VLOOKUP($A34,TOCA_previous!$A$2:$AI$137,MATCH(E$4,TOCA_previous!$A$2:$AI$2,0),FALSE)</f>
        <v>1.63E-5</v>
      </c>
      <c r="F34" s="206">
        <f>VLOOKUP($A34,TOCA_previous!$A$2:$AI$137,MATCH(F$4,TOCA_previous!$A$2:$AI$2,0),FALSE)</f>
        <v>1.63E-5</v>
      </c>
      <c r="G34" s="206">
        <f t="shared" si="0"/>
        <v>0</v>
      </c>
      <c r="H34" s="206">
        <f>VLOOKUP($A34,TOCA_previous!$A$2:$AI$137,MATCH(H$4,TOCA_previous!$A$2:$AI$2,0),FALSE)</f>
        <v>0</v>
      </c>
      <c r="I34" s="206">
        <f t="shared" si="1"/>
        <v>0</v>
      </c>
      <c r="J34" s="206">
        <f t="shared" si="2"/>
        <v>0</v>
      </c>
      <c r="K34" s="381">
        <f>VLOOKUP(A34, IRD!$A$5:$C$139, 3, FALSE)</f>
        <v>0</v>
      </c>
      <c r="L34" s="382">
        <f t="array" ref="L34">IF($G34=0, INDEX(LS_previous!$D$4:$AY$138, MATCH('Staging Table'!$A34, LS_previous!$B$4:$B$138, 0), MATCH(L$4&amp;L$5, LS_previous!$D$2:$AY$2&amp;LS_previous!$D$3:$AY$3, 0)),SUM(VLOOKUP($A34, LS_previous!$B$4:$AY$138, LS_previous!D$149, FALSE), VLOOKUP('Staging Table'!$A34, LS_previous!$B$4:$AY$138,LS_previous!AB$149, FALSE))/2)</f>
        <v>-18.378725324929224</v>
      </c>
      <c r="M34" s="382">
        <f t="array" ref="M34">IF($G34=0, INDEX(LS_previous!$D$4:$AY$138, MATCH('Staging Table'!$A34, LS_previous!$B$4:$B$138, 0), MATCH(M$4&amp;M$5, LS_previous!$D$2:$AY$2&amp;LS_previous!$D$3:$AY$3, 0)),SUM(VLOOKUP($A34, LS_previous!$B$4:$AY$138, LS_previous!E$149, FALSE), VLOOKUP('Staging Table'!$A34, LS_previous!$B$4:$AY$138,LS_previous!AC$149, FALSE))/2)</f>
        <v>-4.6135577425745815</v>
      </c>
      <c r="N34" s="382">
        <f t="array" ref="N34">IF($G34=0, INDEX(LS_previous!$D$4:$AY$138, MATCH('Staging Table'!$A34, LS_previous!$B$4:$B$138, 0), MATCH(N$4&amp;N$5, LS_previous!$D$2:$AY$2&amp;LS_previous!$D$3:$AY$3, 0)),SUM(VLOOKUP($A34, LS_previous!$B$4:$AY$138, LS_previous!F$149, FALSE), VLOOKUP('Staging Table'!$A34, LS_previous!$B$4:$AY$138,LS_previous!AD$149, FALSE))/2)</f>
        <v>-10.781480373002132</v>
      </c>
      <c r="O34" s="382">
        <f t="array" ref="O34">IF($G34=0, INDEX(LS_previous!$D$4:$AY$138, MATCH('Staging Table'!$A34, LS_previous!$B$4:$B$138, 0), MATCH(O$4&amp;O$5, LS_previous!$D$2:$AY$2&amp;LS_previous!$D$3:$AY$3, 0)),SUM(VLOOKUP($A34, LS_previous!$B$4:$AY$138, LS_previous!G$149, FALSE), VLOOKUP('Staging Table'!$A34, LS_previous!$B$4:$AY$138,LS_previous!AE$149, FALSE))/2)</f>
        <v>1.2850333159232221</v>
      </c>
      <c r="P34" s="382">
        <f t="array" ref="P34">IF($G34=0, INDEX(LS_previous!$D$4:$AY$138, MATCH('Staging Table'!$A34, LS_previous!$B$4:$B$138, 0), MATCH(P$4&amp;P$5, LS_previous!$D$2:$AY$2&amp;LS_previous!$D$3:$AY$3, 0)),SUM(VLOOKUP($A34, LS_previous!$B$4:$AY$138, LS_previous!H$149, FALSE), VLOOKUP('Staging Table'!$A34, LS_previous!$B$4:$AY$138,LS_previous!AF$149, FALSE))/2)</f>
        <v>3.4367104032012818</v>
      </c>
      <c r="Q34" s="382">
        <f t="array" ref="Q34">IF($G34=0, INDEX(LS_previous!$D$4:$AY$138, MATCH('Staging Table'!$A34, LS_previous!$B$4:$B$138, 0), MATCH(Q$4&amp;Q$5, LS_previous!$D$2:$AY$2&amp;LS_previous!$D$3:$AY$3, 0)),SUM(VLOOKUP($A34, LS_previous!$B$4:$AY$138, LS_previous!I$149, FALSE), VLOOKUP('Staging Table'!$A34, LS_previous!$B$4:$AY$138,LS_previous!AG$149, FALSE))/2)</f>
        <v>13.642586075471065</v>
      </c>
      <c r="R34" s="382">
        <f t="array" ref="R34">IF($G34=0, INDEX(LS_previous!$D$4:$AY$138, MATCH('Staging Table'!$A34, LS_previous!$B$4:$B$138, 0), MATCH(R$4&amp;R$5, LS_previous!$D$2:$AY$2&amp;LS_previous!$D$3:$AY$3, 0)),SUM(VLOOKUP($A34, LS_previous!$B$4:$AY$138, LS_previous!J$149, FALSE), VLOOKUP('Staging Table'!$A34, LS_previous!$B$4:$AY$138,LS_previous!AH$149, FALSE))/2)</f>
        <v>14.181927888572275</v>
      </c>
      <c r="S34" s="382">
        <f t="array" ref="S34">IF($G34=0, INDEX(LS_previous!$D$4:$AY$138, MATCH('Staging Table'!$A34, LS_previous!$B$4:$B$138, 0), MATCH(S$4&amp;S$5, LS_previous!$D$2:$AY$2&amp;LS_previous!$D$3:$AY$3, 0)),SUM(VLOOKUP($A34, LS_previous!$B$4:$AY$138, LS_previous!K$149, FALSE), VLOOKUP('Staging Table'!$A34, LS_previous!$B$4:$AY$138,LS_previous!AI$149, FALSE))/2)</f>
        <v>16.740594151325439</v>
      </c>
      <c r="T34" s="382">
        <f t="array" ref="T34">IF($G34=0, INDEX(LS_previous!$D$4:$AY$138, MATCH('Staging Table'!$A34, LS_previous!$B$4:$B$138, 0), MATCH(T$4&amp;T$5, LS_previous!$D$2:$AY$2&amp;LS_previous!$D$3:$AY$3, 0)),SUM(VLOOKUP($A34, LS_previous!$B$4:$AY$138, LS_previous!L$149, FALSE), VLOOKUP('Staging Table'!$A34, LS_previous!$B$4:$AY$138,LS_previous!AJ$149, FALSE))/2)</f>
        <v>7.0988215682880806</v>
      </c>
      <c r="U34" s="382">
        <f t="array" ref="U34">IF($G34=0, INDEX(LS_previous!$D$4:$AY$138, MATCH('Staging Table'!$A34, LS_previous!$B$4:$B$138, 0), MATCH(U$4&amp;U$5, LS_previous!$D$2:$AY$2&amp;LS_previous!$D$3:$AY$3, 0)),SUM(VLOOKUP($A34, LS_previous!$B$4:$AY$138, LS_previous!M$149, FALSE), VLOOKUP('Staging Table'!$A34, LS_previous!$B$4:$AY$138,LS_previous!AK$149, FALSE))/2)</f>
        <v>10.27200872233043</v>
      </c>
      <c r="V34" s="382">
        <f t="array" ref="V34">IF($G34=0, INDEX(LS_previous!$D$4:$AY$138, MATCH('Staging Table'!$A34, LS_previous!$B$4:$B$138, 0), MATCH(V$4&amp;V$5, LS_previous!$D$2:$AY$2&amp;LS_previous!$D$3:$AY$3, 0)),SUM(VLOOKUP($A34, LS_previous!$B$4:$AY$138, LS_previous!N$149, FALSE), VLOOKUP('Staging Table'!$A34, LS_previous!$B$4:$AY$138,LS_previous!AL$149, FALSE))/2)</f>
        <v>-3.8114420635657638</v>
      </c>
      <c r="W34" s="382">
        <f t="array" ref="W34">IF($G34=0, INDEX(LS_previous!$D$4:$AY$138, MATCH('Staging Table'!$A34, LS_previous!$B$4:$B$138, 0), MATCH(W$4&amp;W$5, LS_previous!$D$2:$AY$2&amp;LS_previous!$D$3:$AY$3, 0)),SUM(VLOOKUP($A34, LS_previous!$B$4:$AY$138, LS_previous!O$149, FALSE), VLOOKUP('Staging Table'!$A34, LS_previous!$B$4:$AY$138,LS_previous!AM$149, FALSE))/2)</f>
        <v>1.1862964510904668</v>
      </c>
      <c r="X34" s="382">
        <f t="array" ref="X34">IF($G34=0, INDEX(LS_previous!$D$4:$AY$138, MATCH('Staging Table'!$A34, LS_previous!$B$4:$B$138, 0), MATCH(X$4&amp;X$5, LS_previous!$D$2:$AY$2&amp;LS_previous!$D$3:$AY$3, 0)),SUM(VLOOKUP($A34, LS_previous!$B$4:$AY$138, LS_previous!P$149, FALSE), VLOOKUP('Staging Table'!$A34, LS_previous!$B$4:$AY$138,LS_previous!AN$149, FALSE))/2)</f>
        <v>-7.7734816848003234</v>
      </c>
      <c r="Y34" s="382">
        <f t="array" ref="Y34">IF($G34=0, INDEX(LS_previous!$D$4:$AY$138, MATCH('Staging Table'!$A34, LS_previous!$B$4:$B$138, 0), MATCH(Y$4&amp;Y$5, LS_previous!$D$2:$AY$2&amp;LS_previous!$D$3:$AY$3, 0)),SUM(VLOOKUP($A34, LS_previous!$B$4:$AY$138, LS_previous!Q$149, FALSE), VLOOKUP('Staging Table'!$A34, LS_previous!$B$4:$AY$138,LS_previous!AO$149, FALSE))/2)</f>
        <v>1.3115034793351192</v>
      </c>
      <c r="Z34" s="382">
        <f t="array" ref="Z34">IF($G34=0, INDEX(LS_previous!$D$4:$AY$138, MATCH('Staging Table'!$A34, LS_previous!$B$4:$B$138, 0), MATCH(Z$4&amp;Z$5, LS_previous!$D$2:$AY$2&amp;LS_previous!$D$3:$AY$3, 0)),SUM(VLOOKUP($A34, LS_previous!$B$4:$AY$138, LS_previous!R$149, FALSE), VLOOKUP('Staging Table'!$A34, LS_previous!$B$4:$AY$138,LS_previous!AP$149, FALSE))/2)</f>
        <v>-41.03924521853618</v>
      </c>
      <c r="AA34" s="382">
        <f t="array" ref="AA34">IF($G34=0, INDEX(LS_previous!$D$4:$AY$138, MATCH('Staging Table'!$A34, LS_previous!$B$4:$B$138, 0), MATCH(AA$4&amp;AA$5, LS_previous!$D$2:$AY$2&amp;LS_previous!$D$3:$AY$3, 0)),SUM(VLOOKUP($A34, LS_previous!$B$4:$AY$138, LS_previous!S$149, FALSE), VLOOKUP('Staging Table'!$A34, LS_previous!$B$4:$AY$138,LS_previous!AQ$149, FALSE))/2)</f>
        <v>-17.279939188735728</v>
      </c>
      <c r="AB34" s="382">
        <f t="array" ref="AB34">IF($G34=0, INDEX(LS_previous!$D$4:$AY$138, MATCH('Staging Table'!$A34, LS_previous!$B$4:$B$138, 0), MATCH(AB$4&amp;AB$5, LS_previous!$D$2:$AY$2&amp;LS_previous!$D$3:$AY$3, 0)),SUM(VLOOKUP($A34, LS_previous!$B$4:$AY$138, LS_previous!T$149, FALSE), VLOOKUP('Staging Table'!$A34, LS_previous!$B$4:$AY$138,LS_previous!AR$149, FALSE))/2)</f>
        <v>-30.342980209144958</v>
      </c>
      <c r="AC34" s="382">
        <f t="array" ref="AC34">IF($G34=0, INDEX(LS_previous!$D$4:$AY$138, MATCH('Staging Table'!$A34, LS_previous!$B$4:$B$138, 0), MATCH(AC$4&amp;AC$5, LS_previous!$D$2:$AY$2&amp;LS_previous!$D$3:$AY$3, 0)),SUM(VLOOKUP($A34, LS_previous!$B$4:$AY$138, LS_previous!U$149, FALSE), VLOOKUP('Staging Table'!$A34, LS_previous!$B$4:$AY$138,LS_previous!AS$149, FALSE))/2)</f>
        <v>-14.981999887048943</v>
      </c>
      <c r="AD34" s="382">
        <f t="array" ref="AD34">IF($G34=0, INDEX(LS_previous!$D$4:$AY$138, MATCH('Staging Table'!$A34, LS_previous!$B$4:$B$138, 0), MATCH(AD$4&amp;AD$5, LS_previous!$D$2:$AY$2&amp;LS_previous!$D$3:$AY$3, 0)),SUM(VLOOKUP($A34, LS_previous!$B$4:$AY$138, LS_previous!V$149, FALSE), VLOOKUP('Staging Table'!$A34, LS_previous!$B$4:$AY$138,LS_previous!AT$149, FALSE))/2)</f>
        <v>-26.877871753569433</v>
      </c>
      <c r="AE34" s="382">
        <f t="array" ref="AE34">IF($G34=0, INDEX(LS_previous!$D$4:$AY$138, MATCH('Staging Table'!$A34, LS_previous!$B$4:$B$138, 0), MATCH(AE$4&amp;AE$5, LS_previous!$D$2:$AY$2&amp;LS_previous!$D$3:$AY$3, 0)),SUM(VLOOKUP($A34, LS_previous!$B$4:$AY$138, LS_previous!W$149, FALSE), VLOOKUP('Staging Table'!$A34, LS_previous!$B$4:$AY$138,LS_previous!AU$149, FALSE))/2)</f>
        <v>-8.3904813568570553</v>
      </c>
      <c r="AF34" s="382">
        <f t="array" ref="AF34">IF($G34=0, INDEX(LS_previous!$D$4:$AY$138, MATCH('Staging Table'!$A34, LS_previous!$B$4:$B$138, 0), MATCH(AF$4&amp;AF$5, LS_previous!$D$2:$AY$2&amp;LS_previous!$D$3:$AY$3, 0)),SUM(VLOOKUP($A34, LS_previous!$B$4:$AY$138, LS_previous!X$149, FALSE), VLOOKUP('Staging Table'!$A34, LS_previous!$B$4:$AY$138,LS_previous!AV$149, FALSE))/2)</f>
        <v>-29.668527889535419</v>
      </c>
      <c r="AG34" s="382">
        <f t="array" ref="AG34">IF($G34=0, INDEX(LS_previous!$D$4:$AY$138, MATCH('Staging Table'!$A34, LS_previous!$B$4:$B$138, 0), MATCH(AG$4&amp;AG$5, LS_previous!$D$2:$AY$2&amp;LS_previous!$D$3:$AY$3, 0)),SUM(VLOOKUP($A34, LS_previous!$B$4:$AY$138, LS_previous!Y$149, FALSE), VLOOKUP('Staging Table'!$A34, LS_previous!$B$4:$AY$138,LS_previous!AW$149, FALSE))/2)</f>
        <v>-11.811079170192613</v>
      </c>
      <c r="AH34" s="382">
        <f t="array" ref="AH34">IF($G34=0, INDEX(LS_previous!$D$4:$AY$138, MATCH('Staging Table'!$A34, LS_previous!$B$4:$B$138, 0), MATCH(AH$4&amp;AH$5, LS_previous!$D$2:$AY$2&amp;LS_previous!$D$3:$AY$3, 0)),SUM(VLOOKUP($A34, LS_previous!$B$4:$AY$138, LS_previous!Z$149, FALSE), VLOOKUP('Staging Table'!$A34, LS_previous!$B$4:$AY$138,LS_previous!AX$149, FALSE))/2)</f>
        <v>-22.025803287097009</v>
      </c>
      <c r="AI34" s="382">
        <f t="array" ref="AI34">IF($G34=0, INDEX(LS_previous!$D$4:$AY$138, MATCH('Staging Table'!$A34, LS_previous!$B$4:$B$138, 0), MATCH(AI$4&amp;AI$5, LS_previous!$D$2:$AY$2&amp;LS_previous!$D$3:$AY$3, 0)),SUM(VLOOKUP($A34, LS_previous!$B$4:$AY$138, LS_previous!AA$149, FALSE), VLOOKUP('Staging Table'!$A34, LS_previous!$B$4:$AY$138,LS_previous!AY$149, FALSE))/2)</f>
        <v>-9.6333883845276418</v>
      </c>
      <c r="AJ34" s="384">
        <f t="array" ref="AJ34">INDEX(Demand_previous!$D$4:$AY$138, MATCH('Staging Table'!$A34, Demand_previous!$B$4:$B$138, 0), MATCH(AJ$4&amp;AJ$5,Demand_previous!$D$2:$AY$2&amp;Demand_previous!$D$3:$AY$3, 0))/1000</f>
        <v>2.5090277777777781E-2</v>
      </c>
      <c r="AK34" s="384">
        <f t="array" ref="AK34">INDEX(Demand_previous!$D$4:$AY$138, MATCH('Staging Table'!$A34, Demand_previous!$B$4:$B$138, 0), MATCH(AK$4&amp;AK$5,Demand_previous!$D$2:$AY$2&amp;Demand_previous!$D$3:$AY$3, 0))/1000</f>
        <v>3.5247395833333348E-2</v>
      </c>
      <c r="AL34" s="384">
        <f t="array" ref="AL34">INDEX(Demand_previous!$D$4:$AY$138, MATCH('Staging Table'!$A34, Demand_previous!$B$4:$B$138, 0), MATCH(AL$4&amp;AL$5,Demand_previous!$D$2:$AY$2&amp;Demand_previous!$D$3:$AY$3, 0))/1000</f>
        <v>4.6490384615384593E-2</v>
      </c>
      <c r="AM34" s="384">
        <f t="array" ref="AM34">INDEX(Demand_previous!$D$4:$AY$138, MATCH('Staging Table'!$A34, Demand_previous!$B$4:$B$138, 0), MATCH(AM$4&amp;AM$5,Demand_previous!$D$2:$AY$2&amp;Demand_previous!$D$3:$AY$3, 0))/1000</f>
        <v>4.7765000000000016E-2</v>
      </c>
      <c r="AN34" s="384">
        <f t="array" ref="AN34">INDEX(Demand_previous!$D$4:$AY$138, MATCH('Staging Table'!$A34, Demand_previous!$B$4:$B$138, 0), MATCH(AN$4&amp;AN$5,Demand_previous!$D$2:$AY$2&amp;Demand_previous!$D$3:$AY$3, 0))/1000</f>
        <v>3.756000000000001E-2</v>
      </c>
      <c r="AO34" s="384">
        <f t="array" ref="AO34">INDEX(Demand_previous!$D$4:$AY$138, MATCH('Staging Table'!$A34, Demand_previous!$B$4:$B$138, 0), MATCH(AO$4&amp;AO$5,Demand_previous!$D$2:$AY$2&amp;Demand_previous!$D$3:$AY$3, 0))/1000</f>
        <v>2.2435185185185183E-2</v>
      </c>
      <c r="AP34" s="384">
        <f t="array" ref="AP34">INDEX(Demand_previous!$D$4:$AY$138, MATCH('Staging Table'!$A34, Demand_previous!$B$4:$B$138, 0), MATCH(AP$4&amp;AP$5,Demand_previous!$D$2:$AY$2&amp;Demand_previous!$D$3:$AY$3, 0))/1000</f>
        <v>1.9603365384615379E-2</v>
      </c>
      <c r="AQ34" s="384">
        <f t="array" ref="AQ34">INDEX(Demand_previous!$D$4:$AY$138, MATCH('Staging Table'!$A34, Demand_previous!$B$4:$B$138, 0), MATCH(AQ$4&amp;AQ$5,Demand_previous!$D$2:$AY$2&amp;Demand_previous!$D$3:$AY$3, 0))/1000</f>
        <v>9.1299999999999992E-3</v>
      </c>
      <c r="AR34" s="384">
        <f t="array" ref="AR34">INDEX(Demand_previous!$D$4:$AY$138, MATCH('Staging Table'!$A34, Demand_previous!$B$4:$B$138, 0), MATCH(AR$4&amp;AR$5,Demand_previous!$D$2:$AY$2&amp;Demand_previous!$D$3:$AY$3, 0))/1000</f>
        <v>1.7867788461538449E-2</v>
      </c>
      <c r="AS34" s="384">
        <f t="array" ref="AS34">INDEX(Demand_previous!$D$4:$AY$138, MATCH('Staging Table'!$A34, Demand_previous!$B$4:$B$138, 0), MATCH(AS$4&amp;AS$5,Demand_previous!$D$2:$AY$2&amp;Demand_previous!$D$3:$AY$3, 0))/1000</f>
        <v>3.1567499999999998E-2</v>
      </c>
      <c r="AT34" s="384">
        <f t="array" ref="AT34">INDEX(Demand_previous!$D$4:$AY$138, MATCH('Staging Table'!$A34, Demand_previous!$B$4:$B$138, 0), MATCH(AT$4&amp;AT$5,Demand_previous!$D$2:$AY$2&amp;Demand_previous!$D$3:$AY$3, 0))/1000</f>
        <v>3.0312499999999992E-2</v>
      </c>
      <c r="AU34" s="384">
        <f t="array" ref="AU34">INDEX(Demand_previous!$D$4:$AY$138, MATCH('Staging Table'!$A34, Demand_previous!$B$4:$B$138, 0), MATCH(AU$4&amp;AU$5,Demand_previous!$D$2:$AY$2&amp;Demand_previous!$D$3:$AY$3, 0))/1000</f>
        <v>2.4132500000000001E-2</v>
      </c>
      <c r="AV34" s="384">
        <f>IF($D34=0,IF(C34=0, MAX(AY34 - (VLOOKUP($A34,TOCA_previous!$A$2:$AI$137,MATCH("RHWM 2016",TOCA_previous!$A$2:$AI$2,0),FALSE)*$F$2*TOCA_previous!C31),0),0), 0)</f>
        <v>0</v>
      </c>
      <c r="AW34" s="427">
        <f>VLOOKUP($A34,REP_previous!$A$1:$D$135,MATCH("FY "&amp;$F$1&amp; " Total Refund",REP_previous!$A$1:$D$1,0),0)</f>
        <v>636.67669934910361</v>
      </c>
      <c r="AX34" s="398">
        <f>MIN(VLOOKUP($A34,TOCA_previous!$A$2:$AI$137,MATCH("TRL - NLSL - Exisiting Resource "&amp;$F$1,TOCA_previous!$A$2:$AI$2,0),FALSE)*$F$2,(VLOOKUP($A34,TOCA_previous!$A$2:$AI$137,MATCH("RHWM 2016",TOCA_previous!$A$2:$AI$2,0),FALSE)*$F$2))</f>
        <v>1001.3760000000001</v>
      </c>
      <c r="AY34" s="384">
        <f>SUM(L34:AI34)+(F34*RT1SC!$C$3*$F$2)</f>
        <v>811.5780023534204</v>
      </c>
      <c r="AZ34" s="398">
        <f>VLOOKUP($A34,TOCA_previous!$A$2:$AI$137,MATCH("Above RHWM Not Served with LS "&amp;$F$1,TOCA_previous!$A$2:$AI$2,0),FALSE)*$F$2</f>
        <v>0</v>
      </c>
      <c r="BA34" s="206">
        <f t="shared" si="3"/>
        <v>-189.79799764657969</v>
      </c>
      <c r="BB34" s="399">
        <f>(VLOOKUP($A34,TOCA_previous!$A$2:$AI$137,MATCH("RHWM 2016",TOCA_previous!$A$2:$AI$2,0),FALSE)*$F$2) - $AX34</f>
        <v>26.351999999999975</v>
      </c>
      <c r="BC34" s="206">
        <f t="shared" si="4"/>
        <v>0</v>
      </c>
      <c r="BD34" s="400">
        <f t="shared" si="5"/>
        <v>189.79799764657969</v>
      </c>
      <c r="BE34" s="392">
        <f t="shared" si="6"/>
        <v>0</v>
      </c>
      <c r="BF34" s="399">
        <f t="shared" si="7"/>
        <v>189.79799764657969</v>
      </c>
      <c r="BG34" s="206">
        <f>VLOOKUP($A34,TOCA_current!$A$2:$AI$137,MATCH(BG$4,TOCA_current!$A$2:$AI$2,0),FALSE)</f>
        <v>1.45E-5</v>
      </c>
      <c r="BH34" s="206">
        <f>VLOOKUP($A34,TOCA_current!$A$2:$AI$137,MATCH(BH$4,TOCA_current!$A$2:$AI$2,0),FALSE)</f>
        <v>1.45E-5</v>
      </c>
      <c r="BI34" s="391">
        <f t="shared" si="8"/>
        <v>0</v>
      </c>
      <c r="BJ34" s="206">
        <f>VLOOKUP($A34,TOCA_current!A30:BG165,MATCH(BJ$4,TOCA_current!$A$2:$BG$2,0),FALSE)</f>
        <v>0</v>
      </c>
      <c r="BK34" s="206">
        <f t="shared" si="9"/>
        <v>0</v>
      </c>
      <c r="BL34" s="206">
        <f t="shared" si="10"/>
        <v>0</v>
      </c>
      <c r="BM34" s="381">
        <f>VLOOKUP($A34,IRD!$A$4:$G$139, 7, FALSE)</f>
        <v>0</v>
      </c>
      <c r="BN34" s="382">
        <f t="array" ref="BN34">IF($BI34=0, INDEX(LS_current!$D$4:$AY$139, MATCH('Staging Table'!$A34, LS_current!$B$4:$B$139, 0), MATCH(BN$4&amp;BN$5, LS_current!$D$2:$AY$2&amp;LS_current!$D$3:$AY$3, 0)),SUM(VLOOKUP($A34, LS_current!$B$4:$AY$139, LS_current!D$149, FALSE), VLOOKUP($A34, LS_current!$B$4:$AY$139,LS_current!D$149, FALSE))/2)</f>
        <v>-13.155412506624248</v>
      </c>
      <c r="BO34" s="382">
        <f t="array" ref="BO34">IF($BI34=0, INDEX(LS_current!$D$4:$AY$139, MATCH('Staging Table'!$A34, LS_current!$B$4:$B$139, 0), MATCH(BO$4&amp;BO$5, LS_current!$D$2:$AY$2&amp;LS_current!$D$3:$AY$3, 0)),SUM(VLOOKUP($A34, LS_current!$B$4:$AY$139, LS_current!E$149, FALSE), VLOOKUP($A34, LS_current!$B$4:$AY$139,LS_current!E$149, FALSE))/2)</f>
        <v>-0.21273504802350018</v>
      </c>
      <c r="BP34" s="382">
        <f t="array" ref="BP34">IF($BI34=0, INDEX(LS_current!$D$4:$AY$139, MATCH('Staging Table'!$A34, LS_current!$B$4:$B$139, 0), MATCH(BP$4&amp;BP$5, LS_current!$D$2:$AY$2&amp;LS_current!$D$3:$AY$3, 0)),SUM(VLOOKUP($A34, LS_current!$B$4:$AY$139, LS_current!F$149, FALSE), VLOOKUP($A34, LS_current!$B$4:$AY$139,LS_current!F$149, FALSE))/2)</f>
        <v>-5.426133153495492</v>
      </c>
      <c r="BQ34" s="382">
        <f t="array" ref="BQ34">IF($BI34=0, INDEX(LS_current!$D$4:$AY$139, MATCH('Staging Table'!$A34, LS_current!$B$4:$B$139, 0), MATCH(BQ$4&amp;BQ$5, LS_current!$D$2:$AY$2&amp;LS_current!$D$3:$AY$3, 0)),SUM(VLOOKUP($A34, LS_current!$B$4:$AY$139, LS_current!G$149, FALSE), VLOOKUP($A34, LS_current!$B$4:$AY$139,LS_current!G$149, FALSE))/2)</f>
        <v>5.4609501490117545</v>
      </c>
      <c r="BR34" s="382">
        <f t="array" ref="BR34">IF($BI34=0, INDEX(LS_current!$D$4:$AY$139, MATCH('Staging Table'!$A34, LS_current!$B$4:$B$139, 0), MATCH(BR$4&amp;BR$5, LS_current!$D$2:$AY$2&amp;LS_current!$D$3:$AY$3, 0)),SUM(VLOOKUP($A34, LS_current!$B$4:$AY$139, LS_current!H$149, FALSE), VLOOKUP($A34, LS_current!$B$4:$AY$139,LS_current!H$149, FALSE))/2)</f>
        <v>7.9832138004035045</v>
      </c>
      <c r="BS34" s="382">
        <f t="array" ref="BS34">IF($BI34=0, INDEX(LS_current!$D$4:$AY$139, MATCH('Staging Table'!$A34, LS_current!$B$4:$B$139, 0), MATCH(BS$4&amp;BS$5, LS_current!$D$2:$AY$2&amp;LS_current!$D$3:$AY$3, 0)),SUM(VLOOKUP($A34, LS_current!$B$4:$AY$139, LS_current!I$149, FALSE), VLOOKUP($A34, LS_current!$B$4:$AY$139,LS_current!I$149, FALSE))/2)</f>
        <v>17.196681170435259</v>
      </c>
      <c r="BT34" s="382">
        <f t="array" ref="BT34">IF($BI34=0, INDEX(LS_current!$D$4:$AY$139, MATCH('Staging Table'!$A34, LS_current!$B$4:$B$139, 0), MATCH(BT$4&amp;BT$5, LS_current!$D$2:$AY$2&amp;LS_current!$D$3:$AY$3, 0)),SUM(VLOOKUP($A34, LS_current!$B$4:$AY$139, LS_current!J$149, FALSE), VLOOKUP($A34, LS_current!$B$4:$AY$139,LS_current!J$149, FALSE))/2)</f>
        <v>19.071083668203997</v>
      </c>
      <c r="BU34" s="382">
        <f t="array" ref="BU34">IF($BI34=0, INDEX(LS_current!$D$4:$AY$139, MATCH('Staging Table'!$A34, LS_current!$B$4:$B$139, 0), MATCH(BU$4&amp;BU$5, LS_current!$D$2:$AY$2&amp;LS_current!$D$3:$AY$3, 0)),SUM(VLOOKUP($A34, LS_current!$B$4:$AY$139, LS_current!K$149, FALSE), VLOOKUP($A34, LS_current!$B$4:$AY$139,LS_current!K$149, FALSE))/2)</f>
        <v>19.988004111976</v>
      </c>
      <c r="BV34" s="382">
        <f t="array" ref="BV34">IF($BI34=0, INDEX(LS_current!$D$4:$AY$139, MATCH('Staging Table'!$A34, LS_current!$B$4:$B$139, 0), MATCH(BV$4&amp;BV$5, LS_current!$D$2:$AY$2&amp;LS_current!$D$3:$AY$3, 0)),SUM(VLOOKUP($A34, LS_current!$B$4:$AY$139, LS_current!L$149, FALSE), VLOOKUP($A34, LS_current!$B$4:$AY$139,LS_current!L$149, FALSE))/2)</f>
        <v>15.043581540597252</v>
      </c>
      <c r="BW34" s="382">
        <f t="array" ref="BW34">IF($BI34=0, INDEX(LS_current!$D$4:$AY$139, MATCH('Staging Table'!$A34, LS_current!$B$4:$B$139, 0), MATCH(BW$4&amp;BW$5, LS_current!$D$2:$AY$2&amp;LS_current!$D$3:$AY$3, 0)),SUM(VLOOKUP($A34, LS_current!$B$4:$AY$139, LS_current!M$149, FALSE), VLOOKUP($A34, LS_current!$B$4:$AY$139,LS_current!M$149, FALSE))/2)</f>
        <v>15.594009183587499</v>
      </c>
      <c r="BX34" s="382">
        <f t="array" ref="BX34">IF($BI34=0, INDEX(LS_current!$D$4:$AY$139, MATCH('Staging Table'!$A34, LS_current!$B$4:$B$139, 0), MATCH(BX$4&amp;BX$5, LS_current!$D$2:$AY$2&amp;LS_current!$D$3:$AY$3, 0)),SUM(VLOOKUP($A34, LS_current!$B$4:$AY$139, LS_current!N$149, FALSE), VLOOKUP($A34, LS_current!$B$4:$AY$139,LS_current!N$149, FALSE))/2)</f>
        <v>4.2265909238167509</v>
      </c>
      <c r="BY34" s="382">
        <f t="array" ref="BY34">IF($BI34=0, INDEX(LS_current!$D$4:$AY$139, MATCH('Staging Table'!$A34, LS_current!$B$4:$B$139, 0), MATCH(BY$4&amp;BY$5, LS_current!$D$2:$AY$2&amp;LS_current!$D$3:$AY$3, 0)),SUM(VLOOKUP($A34, LS_current!$B$4:$AY$139, LS_current!O$149, FALSE), VLOOKUP($A34, LS_current!$B$4:$AY$139,LS_current!O$149, FALSE))/2)</f>
        <v>7.2724367125087461</v>
      </c>
      <c r="BZ34" s="382">
        <f t="array" ref="BZ34">IF($BI34=0, INDEX(LS_current!$D$4:$AY$139, MATCH('Staging Table'!$A34, LS_current!$B$4:$B$139, 0), MATCH(BZ$4&amp;BZ$5, LS_current!$D$2:$AY$2&amp;LS_current!$D$3:$AY$3, 0)),SUM(VLOOKUP($A34, LS_current!$B$4:$AY$139, LS_current!P$149, FALSE), VLOOKUP($A34, LS_current!$B$4:$AY$139,LS_current!P$149, FALSE))/2)</f>
        <v>-7.4471500712715013</v>
      </c>
      <c r="CA34" s="382">
        <f t="array" ref="CA34">IF($BI34=0, INDEX(LS_current!$D$4:$AY$139, MATCH('Staging Table'!$A34, LS_current!$B$4:$B$139, 0), MATCH(CA$4&amp;CA$5, LS_current!$D$2:$AY$2&amp;LS_current!$D$3:$AY$3, 0)),SUM(VLOOKUP($A34, LS_current!$B$4:$AY$139, LS_current!Q$149, FALSE), VLOOKUP($A34, LS_current!$B$4:$AY$139,LS_current!Q$149, FALSE))/2)</f>
        <v>3.8852340812234978</v>
      </c>
      <c r="CB34" s="382">
        <f t="array" ref="CB34">IF($BI34=0, INDEX(LS_current!$D$4:$AY$139, MATCH('Staging Table'!$A34, LS_current!$B$4:$B$139, 0), MATCH(CB$4&amp;CB$5, LS_current!$D$2:$AY$2&amp;LS_current!$D$3:$AY$3, 0)),SUM(VLOOKUP($A34, LS_current!$B$4:$AY$139, LS_current!R$149, FALSE), VLOOKUP($A34, LS_current!$B$4:$AY$139,LS_current!R$149, FALSE))/2)</f>
        <v>-32.74168769523051</v>
      </c>
      <c r="CC34" s="382">
        <f t="array" ref="CC34">IF($BI34=0, INDEX(LS_current!$D$4:$AY$139, MATCH('Staging Table'!$A34, LS_current!$B$4:$B$139, 0), MATCH(CC$4&amp;CC$5, LS_current!$D$2:$AY$2&amp;LS_current!$D$3:$AY$3, 0)),SUM(VLOOKUP($A34, LS_current!$B$4:$AY$139, LS_current!S$149, FALSE), VLOOKUP($A34, LS_current!$B$4:$AY$139,LS_current!S$149, FALSE))/2)</f>
        <v>-13.515383942818492</v>
      </c>
      <c r="CD34" s="382">
        <f t="array" ref="CD34">IF($BI34=0, INDEX(LS_current!$D$4:$AY$139, MATCH('Staging Table'!$A34, LS_current!$B$4:$B$139, 0), MATCH(CD$4&amp;CD$5, LS_current!$D$2:$AY$2&amp;LS_current!$D$3:$AY$3, 0)),SUM(VLOOKUP($A34, LS_current!$B$4:$AY$139, LS_current!T$149, FALSE), VLOOKUP($A34, LS_current!$B$4:$AY$139,LS_current!T$149, FALSE))/2)</f>
        <v>-23.856452348703495</v>
      </c>
      <c r="CE34" s="382">
        <f t="array" ref="CE34">IF($BI34=0, INDEX(LS_current!$D$4:$AY$139, MATCH('Staging Table'!$A34, LS_current!$B$4:$B$139, 0), MATCH(CE$4&amp;CE$5, LS_current!$D$2:$AY$2&amp;LS_current!$D$3:$AY$3, 0)),SUM(VLOOKUP($A34, LS_current!$B$4:$AY$139, LS_current!U$149, FALSE), VLOOKUP($A34, LS_current!$B$4:$AY$139,LS_current!U$149, FALSE))/2)</f>
        <v>-9.4350936818194988</v>
      </c>
      <c r="CF34" s="382">
        <f t="array" ref="CF34">IF($BI34=0, INDEX(LS_current!$D$4:$AY$139, MATCH('Staging Table'!$A34, LS_current!$B$4:$B$139, 0), MATCH(CF$4&amp;CF$5, LS_current!$D$2:$AY$2&amp;LS_current!$D$3:$AY$3, 0)),SUM(VLOOKUP($A34, LS_current!$B$4:$AY$139, LS_current!V$149, FALSE), VLOOKUP($A34, LS_current!$B$4:$AY$139,LS_current!V$149, FALSE))/2)</f>
        <v>-18.208226638253752</v>
      </c>
      <c r="CG34" s="382">
        <f t="array" ref="CG34">IF($BI34=0, INDEX(LS_current!$D$4:$AY$139, MATCH('Staging Table'!$A34, LS_current!$B$4:$B$139, 0), MATCH(CG$4&amp;CG$5, LS_current!$D$2:$AY$2&amp;LS_current!$D$3:$AY$3, 0)),SUM(VLOOKUP($A34, LS_current!$B$4:$AY$139, LS_current!W$149, FALSE), VLOOKUP($A34, LS_current!$B$4:$AY$139,LS_current!W$149, FALSE))/2)</f>
        <v>-3.5080192912210002</v>
      </c>
      <c r="CH34" s="382">
        <f t="array" ref="CH34">IF($BI34=0, INDEX(LS_current!$D$4:$AY$139, MATCH('Staging Table'!$A34, LS_current!$B$4:$B$139, 0), MATCH(CH$4&amp;CH$5, LS_current!$D$2:$AY$2&amp;LS_current!$D$3:$AY$3, 0)),SUM(VLOOKUP($A34, LS_current!$B$4:$AY$139, LS_current!X$149, FALSE), VLOOKUP($A34, LS_current!$B$4:$AY$139,LS_current!X$149, FALSE))/2)</f>
        <v>-23.196432806359503</v>
      </c>
      <c r="CI34" s="382">
        <f t="array" ref="CI34">IF($BI34=0, INDEX(LS_current!$D$4:$AY$139, MATCH('Staging Table'!$A34, LS_current!$B$4:$B$139, 0), MATCH(CI$4&amp;CI$5, LS_current!$D$2:$AY$2&amp;LS_current!$D$3:$AY$3, 0)),SUM(VLOOKUP($A34, LS_current!$B$4:$AY$139, LS_current!Y$149, FALSE), VLOOKUP($A34, LS_current!$B$4:$AY$139,LS_current!Y$149, FALSE))/2)</f>
        <v>-7.843272314673996</v>
      </c>
      <c r="CJ34" s="382">
        <f t="array" ref="CJ34">IF($BI34=0, INDEX(LS_current!$D$4:$AY$139, MATCH('Staging Table'!$A34, LS_current!$B$4:$B$139, 0), MATCH(CJ$4&amp;CJ$5, LS_current!$D$2:$AY$2&amp;LS_current!$D$3:$AY$3, 0)),SUM(VLOOKUP($A34, LS_current!$B$4:$AY$139, LS_current!Z$149, FALSE), VLOOKUP($A34, LS_current!$B$4:$AY$139,LS_current!Z$149, FALSE))/2)</f>
        <v>-21.201685705630251</v>
      </c>
      <c r="CK34" s="382">
        <f t="array" ref="CK34">IF($BI34=0, INDEX(LS_current!$D$4:$AY$139, MATCH('Staging Table'!$A34, LS_current!$B$4:$B$139, 0), MATCH(CK$4&amp;CK$5, LS_current!$D$2:$AY$2&amp;LS_current!$D$3:$AY$3, 0)),SUM(VLOOKUP($A34, LS_current!$B$4:$AY$139, LS_current!AA$149, FALSE), VLOOKUP($A34, LS_current!$B$4:$AY$139,LS_current!AA$149, FALSE))/2)</f>
        <v>-6.5304261880624992</v>
      </c>
      <c r="CL34" s="384">
        <f t="array" ref="CL34">INDEX(Demand_current!$D$4:$AY$138, MATCH($A34, Demand_current!$B$4:$B$138, 0), MATCH(CL$4&amp;CL$5,Demand_current!$D$2:$AY$2&amp;Demand_current!$D$3:$AY$3, 0))/1000</f>
        <v>2.2324519230769224E-2</v>
      </c>
      <c r="CM34" s="384">
        <f t="array" ref="CM34">INDEX(Demand_current!$D$4:$AY$138, MATCH($A34, Demand_current!$B$4:$B$138, 0), MATCH(CM$4&amp;CM$5,Demand_current!$D$2:$AY$2&amp;Demand_current!$D$3:$AY$3, 0))/1000</f>
        <v>4.0197500000000011E-2</v>
      </c>
      <c r="CN34" s="384">
        <f t="array" ref="CN34">INDEX(Demand_current!$D$4:$AY$138, MATCH($A34, Demand_current!$B$4:$B$138, 0), MATCH(CN$4&amp;CN$5,Demand_current!$D$2:$AY$2&amp;Demand_current!$D$3:$AY$3, 0))/1000</f>
        <v>4.0750000000000001E-2</v>
      </c>
      <c r="CO34" s="384">
        <f t="array" ref="CO34">INDEX(Demand_current!$D$4:$AY$138, MATCH($A34, Demand_current!$B$4:$B$138, 0), MATCH(CO$4&amp;CO$5,Demand_current!$D$2:$AY$2&amp;Demand_current!$D$3:$AY$3, 0))/1000</f>
        <v>5.3812499999999999E-2</v>
      </c>
      <c r="CP34" s="384">
        <f t="array" ref="CP34">INDEX(Demand_current!$D$4:$AY$138, MATCH($A34, Demand_current!$B$4:$B$138, 0), MATCH(CP$4&amp;CP$5,Demand_current!$D$2:$AY$2&amp;Demand_current!$D$3:$AY$3, 0))/1000</f>
        <v>3.2166666666666677E-2</v>
      </c>
      <c r="CQ34" s="384">
        <f t="array" ref="CQ34">INDEX(Demand_current!$D$4:$AY$138, MATCH($A34, Demand_current!$B$4:$B$138, 0), MATCH(CQ$4&amp;CQ$5,Demand_current!$D$2:$AY$2&amp;Demand_current!$D$3:$AY$3, 0))/1000</f>
        <v>2.2435185185185183E-2</v>
      </c>
      <c r="CR34" s="384">
        <f t="array" ref="CR34">INDEX(Demand_current!$D$4:$AY$138, MATCH($A34, Demand_current!$B$4:$B$138, 0), MATCH(CR$4&amp;CR$5,Demand_current!$D$2:$AY$2&amp;Demand_current!$D$3:$AY$3, 0))/1000</f>
        <v>1.6227499999999992E-2</v>
      </c>
      <c r="CS34" s="384">
        <f t="array" ref="CS34">INDEX(Demand_current!$D$4:$AY$138, MATCH($A34, Demand_current!$B$4:$B$138, 0), MATCH(CS$4&amp;CS$5,Demand_current!$D$2:$AY$2&amp;Demand_current!$D$3:$AY$3, 0))/1000</f>
        <v>1.1932692307692311E-2</v>
      </c>
      <c r="CT34" s="384">
        <f t="array" ref="CT34">INDEX(Demand_current!$D$4:$AY$138, MATCH($A34, Demand_current!$B$4:$B$138, 0), MATCH(CT$4&amp;CT$5,Demand_current!$D$2:$AY$2&amp;Demand_current!$D$3:$AY$3, 0))/1000</f>
        <v>1.7867788461538449E-2</v>
      </c>
      <c r="CU34" s="384">
        <f t="array" ref="CU34">INDEX(Demand_current!$D$4:$AY$138, MATCH($A34, Demand_current!$B$4:$B$138, 0), MATCH(CU$4&amp;CU$5,Demand_current!$D$2:$AY$2&amp;Demand_current!$D$3:$AY$3, 0))/1000</f>
        <v>3.1567499999999998E-2</v>
      </c>
      <c r="CV34" s="384">
        <f t="array" ref="CV34">INDEX(Demand_current!$D$4:$AY$138, MATCH($A34, Demand_current!$B$4:$B$138, 0), MATCH(CV$4&amp;CV$5,Demand_current!$D$2:$AY$2&amp;Demand_current!$D$3:$AY$3, 0))/1000</f>
        <v>3.0312499999999992E-2</v>
      </c>
      <c r="CW34" s="384">
        <f t="array" ref="CW34">INDEX(Demand_current!$D$4:$AY$138, MATCH($A34, Demand_current!$B$4:$B$138, 0), MATCH(CW$4&amp;CW$5,Demand_current!$D$2:$AY$2&amp;Demand_current!$D$3:$AY$3, 0))/1000</f>
        <v>2.1846354166666679E-2</v>
      </c>
      <c r="CX34" s="384">
        <f>IF(D34=0,IF(C34=0,MAX(0,DA34 - (VLOOKUP($A34,TOCA_current!$A$2:$AI$137,MATCH("RHWM 2018",TOCA_current!$A$2:$AI$2,0),FALSE)*$BH$2)), 0),0)</f>
        <v>0</v>
      </c>
      <c r="CY34" s="427">
        <f>VLOOKUP($A34,REP_current!$A$1:$D$135,MATCH("FY "&amp;$BH$1&amp; " Total Refund",REP_current!$A$1:$D$1,0),0)</f>
        <v>575.17635498852121</v>
      </c>
      <c r="CZ34" s="432">
        <f>MIN(VLOOKUP($A34,TOCA_current!$A$2:$AI$137,MATCH("TRL - NLSL - Existing Resource "&amp;$BH$1,TOCA_current!$A$2:$AI$2,0),FALSE)*$BH$2, VLOOKUP($A34,TOCA_current!$A$2:$AI$137,MATCH("RHWM 2018",TOCA_current!$A$2:$AI$2,0),FALSE)*$BH$2)</f>
        <v>884.7600000000001</v>
      </c>
      <c r="DA34" s="397">
        <f>SUM(BN34:CK34)+(BH34*RT1SC!$C$4*$BH$2)</f>
        <v>811.57801286957658</v>
      </c>
      <c r="DB34" s="432">
        <f>VLOOKUP($A34,TOCA_current!$A$2:$AI$137,MATCH("Above RHWM Not Served with LS "&amp;$BH$1,TOCA_current!$A$2:$AI$2,0),FALSE)*$BH$2</f>
        <v>0</v>
      </c>
      <c r="DC34" s="401">
        <f t="shared" si="11"/>
        <v>-73.181987130423522</v>
      </c>
      <c r="DD34" s="397">
        <f>(VLOOKUP($A34,TOCA_current!$A$2:$AI$137,MATCH("RHWM 2018",TOCA_current!$A$2:$AI$2,0),FALSE)*$BH$2) - $CZ34</f>
        <v>131.39999999999998</v>
      </c>
      <c r="DE34" s="397">
        <f t="shared" si="12"/>
        <v>0</v>
      </c>
      <c r="DF34" s="397">
        <f t="shared" si="13"/>
        <v>73.181987130423522</v>
      </c>
      <c r="DG34" s="397">
        <f t="shared" si="14"/>
        <v>0</v>
      </c>
      <c r="DH34" s="397">
        <f t="shared" si="15"/>
        <v>73.181987130423522</v>
      </c>
    </row>
    <row r="35" spans="1:112">
      <c r="A35" s="274">
        <v>10083</v>
      </c>
      <c r="B35" s="275" t="s">
        <v>36</v>
      </c>
      <c r="C35" s="397">
        <v>0</v>
      </c>
      <c r="D35" s="397">
        <v>0</v>
      </c>
      <c r="E35" s="205">
        <f>VLOOKUP($A35,TOCA_previous!$A$2:$AI$137,MATCH(E$4,TOCA_previous!$A$2:$AI$2,0),FALSE)</f>
        <v>1.186E-3</v>
      </c>
      <c r="F35" s="206">
        <f>VLOOKUP($A35,TOCA_previous!$A$2:$AI$137,MATCH(F$4,TOCA_previous!$A$2:$AI$2,0),FALSE)</f>
        <v>1.186E-3</v>
      </c>
      <c r="G35" s="206">
        <f t="shared" si="0"/>
        <v>0</v>
      </c>
      <c r="H35" s="206">
        <f>VLOOKUP($A35,TOCA_previous!$A$2:$AI$137,MATCH(H$4,TOCA_previous!$A$2:$AI$2,0),FALSE)</f>
        <v>0</v>
      </c>
      <c r="I35" s="206">
        <f t="shared" si="1"/>
        <v>0</v>
      </c>
      <c r="J35" s="206">
        <f t="shared" si="2"/>
        <v>0</v>
      </c>
      <c r="K35" s="381">
        <f>VLOOKUP(A35, IRD!$A$5:$C$139, 3, FALSE)</f>
        <v>0</v>
      </c>
      <c r="L35" s="382">
        <f t="array" ref="L35">IF($G35=0, INDEX(LS_previous!$D$4:$AY$138, MATCH('Staging Table'!$A35, LS_previous!$B$4:$B$138, 0), MATCH(L$4&amp;L$5, LS_previous!$D$2:$AY$2&amp;LS_previous!$D$3:$AY$3, 0)),SUM(VLOOKUP($A35, LS_previous!$B$4:$AY$138, LS_previous!D$149, FALSE), VLOOKUP('Staging Table'!$A35, LS_previous!$B$4:$AY$138,LS_previous!AB$149, FALSE))/2)</f>
        <v>-47.983854930433154</v>
      </c>
      <c r="M35" s="382">
        <f t="array" ref="M35">IF($G35=0, INDEX(LS_previous!$D$4:$AY$138, MATCH('Staging Table'!$A35, LS_previous!$B$4:$B$138, 0), MATCH(M$4&amp;M$5, LS_previous!$D$2:$AY$2&amp;LS_previous!$D$3:$AY$3, 0)),SUM(VLOOKUP($A35, LS_previous!$B$4:$AY$138, LS_previous!E$149, FALSE), VLOOKUP('Staging Table'!$A35, LS_previous!$B$4:$AY$138,LS_previous!AC$149, FALSE))/2)</f>
        <v>58.729001061751205</v>
      </c>
      <c r="N35" s="382">
        <f t="array" ref="N35">IF($G35=0, INDEX(LS_previous!$D$4:$AY$138, MATCH('Staging Table'!$A35, LS_previous!$B$4:$B$138, 0), MATCH(N$4&amp;N$5, LS_previous!$D$2:$AY$2&amp;LS_previous!$D$3:$AY$3, 0)),SUM(VLOOKUP($A35, LS_previous!$B$4:$AY$138, LS_previous!F$149, FALSE), VLOOKUP('Staging Table'!$A35, LS_previous!$B$4:$AY$138,LS_previous!AD$149, FALSE))/2)</f>
        <v>145.65460598892423</v>
      </c>
      <c r="O35" s="382">
        <f t="array" ref="O35">IF($G35=0, INDEX(LS_previous!$D$4:$AY$138, MATCH('Staging Table'!$A35, LS_previous!$B$4:$B$138, 0), MATCH(O$4&amp;O$5, LS_previous!$D$2:$AY$2&amp;LS_previous!$D$3:$AY$3, 0)),SUM(VLOOKUP($A35, LS_previous!$B$4:$AY$138, LS_previous!G$149, FALSE), VLOOKUP('Staging Table'!$A35, LS_previous!$B$4:$AY$138,LS_previous!AE$149, FALSE))/2)</f>
        <v>266.09814801748053</v>
      </c>
      <c r="P35" s="382">
        <f t="array" ref="P35">IF($G35=0, INDEX(LS_previous!$D$4:$AY$138, MATCH('Staging Table'!$A35, LS_previous!$B$4:$B$138, 0), MATCH(P$4&amp;P$5, LS_previous!$D$2:$AY$2&amp;LS_previous!$D$3:$AY$3, 0)),SUM(VLOOKUP($A35, LS_previous!$B$4:$AY$138, LS_previous!H$149, FALSE), VLOOKUP('Staging Table'!$A35, LS_previous!$B$4:$AY$138,LS_previous!AF$149, FALSE))/2)</f>
        <v>641.41762811022818</v>
      </c>
      <c r="Q35" s="382">
        <f t="array" ref="Q35">IF($G35=0, INDEX(LS_previous!$D$4:$AY$138, MATCH('Staging Table'!$A35, LS_previous!$B$4:$B$138, 0), MATCH(Q$4&amp;Q$5, LS_previous!$D$2:$AY$2&amp;LS_previous!$D$3:$AY$3, 0)),SUM(VLOOKUP($A35, LS_previous!$B$4:$AY$138, LS_previous!I$149, FALSE), VLOOKUP('Staging Table'!$A35, LS_previous!$B$4:$AY$138,LS_previous!AG$149, FALSE))/2)</f>
        <v>799.46766168764952</v>
      </c>
      <c r="R35" s="382">
        <f t="array" ref="R35">IF($G35=0, INDEX(LS_previous!$D$4:$AY$138, MATCH('Staging Table'!$A35, LS_previous!$B$4:$B$138, 0), MATCH(R$4&amp;R$5, LS_previous!$D$2:$AY$2&amp;LS_previous!$D$3:$AY$3, 0)),SUM(VLOOKUP($A35, LS_previous!$B$4:$AY$138, LS_previous!J$149, FALSE), VLOOKUP('Staging Table'!$A35, LS_previous!$B$4:$AY$138,LS_previous!AH$149, FALSE))/2)</f>
        <v>1355.9967715243388</v>
      </c>
      <c r="S35" s="382">
        <f t="array" ref="S35">IF($G35=0, INDEX(LS_previous!$D$4:$AY$138, MATCH('Staging Table'!$A35, LS_previous!$B$4:$B$138, 0), MATCH(S$4&amp;S$5, LS_previous!$D$2:$AY$2&amp;LS_previous!$D$3:$AY$3, 0)),SUM(VLOOKUP($A35, LS_previous!$B$4:$AY$138, LS_previous!K$149, FALSE), VLOOKUP('Staging Table'!$A35, LS_previous!$B$4:$AY$138,LS_previous!AI$149, FALSE))/2)</f>
        <v>915.32456217619438</v>
      </c>
      <c r="T35" s="382">
        <f t="array" ref="T35">IF($G35=0, INDEX(LS_previous!$D$4:$AY$138, MATCH('Staging Table'!$A35, LS_previous!$B$4:$B$138, 0), MATCH(T$4&amp;T$5, LS_previous!$D$2:$AY$2&amp;LS_previous!$D$3:$AY$3, 0)),SUM(VLOOKUP($A35, LS_previous!$B$4:$AY$138, LS_previous!L$149, FALSE), VLOOKUP('Staging Table'!$A35, LS_previous!$B$4:$AY$138,LS_previous!AJ$149, FALSE))/2)</f>
        <v>1196.4536061343351</v>
      </c>
      <c r="U35" s="382">
        <f t="array" ref="U35">IF($G35=0, INDEX(LS_previous!$D$4:$AY$138, MATCH('Staging Table'!$A35, LS_previous!$B$4:$B$138, 0), MATCH(U$4&amp;U$5, LS_previous!$D$2:$AY$2&amp;LS_previous!$D$3:$AY$3, 0)),SUM(VLOOKUP($A35, LS_previous!$B$4:$AY$138, LS_previous!M$149, FALSE), VLOOKUP('Staging Table'!$A35, LS_previous!$B$4:$AY$138,LS_previous!AK$149, FALSE))/2)</f>
        <v>768.26954875361275</v>
      </c>
      <c r="V35" s="382">
        <f t="array" ref="V35">IF($G35=0, INDEX(LS_previous!$D$4:$AY$138, MATCH('Staging Table'!$A35, LS_previous!$B$4:$B$138, 0), MATCH(V$4&amp;V$5, LS_previous!$D$2:$AY$2&amp;LS_previous!$D$3:$AY$3, 0)),SUM(VLOOKUP($A35, LS_previous!$B$4:$AY$138, LS_previous!N$149, FALSE), VLOOKUP('Staging Table'!$A35, LS_previous!$B$4:$AY$138,LS_previous!AL$149, FALSE))/2)</f>
        <v>334.4248658043557</v>
      </c>
      <c r="W35" s="382">
        <f t="array" ref="W35">IF($G35=0, INDEX(LS_previous!$D$4:$AY$138, MATCH('Staging Table'!$A35, LS_previous!$B$4:$B$138, 0), MATCH(W$4&amp;W$5, LS_previous!$D$2:$AY$2&amp;LS_previous!$D$3:$AY$3, 0)),SUM(VLOOKUP($A35, LS_previous!$B$4:$AY$138, LS_previous!O$149, FALSE), VLOOKUP('Staging Table'!$A35, LS_previous!$B$4:$AY$138,LS_previous!AM$149, FALSE))/2)</f>
        <v>76.542735643760352</v>
      </c>
      <c r="X35" s="382">
        <f t="array" ref="X35">IF($G35=0, INDEX(LS_previous!$D$4:$AY$138, MATCH('Staging Table'!$A35, LS_previous!$B$4:$B$138, 0), MATCH(X$4&amp;X$5, LS_previous!$D$2:$AY$2&amp;LS_previous!$D$3:$AY$3, 0)),SUM(VLOOKUP($A35, LS_previous!$B$4:$AY$138, LS_previous!P$149, FALSE), VLOOKUP('Staging Table'!$A35, LS_previous!$B$4:$AY$138,LS_previous!AN$149, FALSE))/2)</f>
        <v>504.93206268876156</v>
      </c>
      <c r="Y35" s="382">
        <f t="array" ref="Y35">IF($G35=0, INDEX(LS_previous!$D$4:$AY$138, MATCH('Staging Table'!$A35, LS_previous!$B$4:$B$138, 0), MATCH(Y$4&amp;Y$5, LS_previous!$D$2:$AY$2&amp;LS_previous!$D$3:$AY$3, 0)),SUM(VLOOKUP($A35, LS_previous!$B$4:$AY$138, LS_previous!Q$149, FALSE), VLOOKUP('Staging Table'!$A35, LS_previous!$B$4:$AY$138,LS_previous!AO$149, FALSE))/2)</f>
        <v>413.41919180929176</v>
      </c>
      <c r="Z35" s="382">
        <f t="array" ref="Z35">IF($G35=0, INDEX(LS_previous!$D$4:$AY$138, MATCH('Staging Table'!$A35, LS_previous!$B$4:$B$138, 0), MATCH(Z$4&amp;Z$5, LS_previous!$D$2:$AY$2&amp;LS_previous!$D$3:$AY$3, 0)),SUM(VLOOKUP($A35, LS_previous!$B$4:$AY$138, LS_previous!R$149, FALSE), VLOOKUP('Staging Table'!$A35, LS_previous!$B$4:$AY$138,LS_previous!AP$149, FALSE))/2)</f>
        <v>-1773.2596336922643</v>
      </c>
      <c r="AA35" s="382">
        <f t="array" ref="AA35">IF($G35=0, INDEX(LS_previous!$D$4:$AY$138, MATCH('Staging Table'!$A35, LS_previous!$B$4:$B$138, 0), MATCH(AA$4&amp;AA$5, LS_previous!$D$2:$AY$2&amp;LS_previous!$D$3:$AY$3, 0)),SUM(VLOOKUP($A35, LS_previous!$B$4:$AY$138, LS_previous!S$149, FALSE), VLOOKUP('Staging Table'!$A35, LS_previous!$B$4:$AY$138,LS_previous!AQ$149, FALSE))/2)</f>
        <v>-825.37631152396148</v>
      </c>
      <c r="AB35" s="382">
        <f t="array" ref="AB35">IF($G35=0, INDEX(LS_previous!$D$4:$AY$138, MATCH('Staging Table'!$A35, LS_previous!$B$4:$B$138, 0), MATCH(AB$4&amp;AB$5, LS_previous!$D$2:$AY$2&amp;LS_previous!$D$3:$AY$3, 0)),SUM(VLOOKUP($A35, LS_previous!$B$4:$AY$138, LS_previous!T$149, FALSE), VLOOKUP('Staging Table'!$A35, LS_previous!$B$4:$AY$138,LS_previous!AR$149, FALSE))/2)</f>
        <v>-971.10979313165126</v>
      </c>
      <c r="AC35" s="382">
        <f t="array" ref="AC35">IF($G35=0, INDEX(LS_previous!$D$4:$AY$138, MATCH('Staging Table'!$A35, LS_previous!$B$4:$B$138, 0), MATCH(AC$4&amp;AC$5, LS_previous!$D$2:$AY$2&amp;LS_previous!$D$3:$AY$3, 0)),SUM(VLOOKUP($A35, LS_previous!$B$4:$AY$138, LS_previous!U$149, FALSE), VLOOKUP('Staging Table'!$A35, LS_previous!$B$4:$AY$138,LS_previous!AS$149, FALSE))/2)</f>
        <v>-597.81597951165941</v>
      </c>
      <c r="AD35" s="382">
        <f t="array" ref="AD35">IF($G35=0, INDEX(LS_previous!$D$4:$AY$138, MATCH('Staging Table'!$A35, LS_previous!$B$4:$B$138, 0), MATCH(AD$4&amp;AD$5, LS_previous!$D$2:$AY$2&amp;LS_previous!$D$3:$AY$3, 0)),SUM(VLOOKUP($A35, LS_previous!$B$4:$AY$138, LS_previous!V$149, FALSE), VLOOKUP('Staging Table'!$A35, LS_previous!$B$4:$AY$138,LS_previous!AT$149, FALSE))/2)</f>
        <v>-673.61319016768994</v>
      </c>
      <c r="AE35" s="382">
        <f t="array" ref="AE35">IF($G35=0, INDEX(LS_previous!$D$4:$AY$138, MATCH('Staging Table'!$A35, LS_previous!$B$4:$B$138, 0), MATCH(AE$4&amp;AE$5, LS_previous!$D$2:$AY$2&amp;LS_previous!$D$3:$AY$3, 0)),SUM(VLOOKUP($A35, LS_previous!$B$4:$AY$138, LS_previous!W$149, FALSE), VLOOKUP('Staging Table'!$A35, LS_previous!$B$4:$AY$138,LS_previous!AU$149, FALSE))/2)</f>
        <v>-25.519244738188263</v>
      </c>
      <c r="AF35" s="382">
        <f t="array" ref="AF35">IF($G35=0, INDEX(LS_previous!$D$4:$AY$138, MATCH('Staging Table'!$A35, LS_previous!$B$4:$B$138, 0), MATCH(AF$4&amp;AF$5, LS_previous!$D$2:$AY$2&amp;LS_previous!$D$3:$AY$3, 0)),SUM(VLOOKUP($A35, LS_previous!$B$4:$AY$138, LS_previous!X$149, FALSE), VLOOKUP('Staging Table'!$A35, LS_previous!$B$4:$AY$138,LS_previous!AV$149, FALSE))/2)</f>
        <v>-749.51278999932583</v>
      </c>
      <c r="AG35" s="382">
        <f t="array" ref="AG35">IF($G35=0, INDEX(LS_previous!$D$4:$AY$138, MATCH('Staging Table'!$A35, LS_previous!$B$4:$B$138, 0), MATCH(AG$4&amp;AG$5, LS_previous!$D$2:$AY$2&amp;LS_previous!$D$3:$AY$3, 0)),SUM(VLOOKUP($A35, LS_previous!$B$4:$AY$138, LS_previous!Y$149, FALSE), VLOOKUP('Staging Table'!$A35, LS_previous!$B$4:$AY$138,LS_previous!AW$149, FALSE))/2)</f>
        <v>-309.91287704591673</v>
      </c>
      <c r="AH35" s="382">
        <f t="array" ref="AH35">IF($G35=0, INDEX(LS_previous!$D$4:$AY$138, MATCH('Staging Table'!$A35, LS_previous!$B$4:$B$138, 0), MATCH(AH$4&amp;AH$5, LS_previous!$D$2:$AY$2&amp;LS_previous!$D$3:$AY$3, 0)),SUM(VLOOKUP($A35, LS_previous!$B$4:$AY$138, LS_previous!Z$149, FALSE), VLOOKUP('Staging Table'!$A35, LS_previous!$B$4:$AY$138,LS_previous!AX$149, FALSE))/2)</f>
        <v>-247.49653978509514</v>
      </c>
      <c r="AI35" s="382">
        <f t="array" ref="AI35">IF($G35=0, INDEX(LS_previous!$D$4:$AY$138, MATCH('Staging Table'!$A35, LS_previous!$B$4:$B$138, 0), MATCH(AI$4&amp;AI$5, LS_previous!$D$2:$AY$2&amp;LS_previous!$D$3:$AY$3, 0)),SUM(VLOOKUP($A35, LS_previous!$B$4:$AY$138, LS_previous!AA$149, FALSE), VLOOKUP('Staging Table'!$A35, LS_previous!$B$4:$AY$138,LS_previous!AY$149, FALSE))/2)</f>
        <v>-68.702510677901046</v>
      </c>
      <c r="AJ35" s="384">
        <f t="array" ref="AJ35">INDEX(Demand_previous!$D$4:$AY$138, MATCH('Staging Table'!$A35, Demand_previous!$B$4:$B$138, 0), MATCH(AJ$4&amp;AJ$5,Demand_previous!$D$2:$AY$2&amp;Demand_previous!$D$3:$AY$3, 0))/1000</f>
        <v>1.152384259259259</v>
      </c>
      <c r="AK35" s="384">
        <f t="array" ref="AK35">INDEX(Demand_previous!$D$4:$AY$138, MATCH('Staging Table'!$A35, Demand_previous!$B$4:$B$138, 0), MATCH(AK$4&amp;AK$5,Demand_previous!$D$2:$AY$2&amp;Demand_previous!$D$3:$AY$3, 0))/1000</f>
        <v>0</v>
      </c>
      <c r="AL35" s="384">
        <f t="array" ref="AL35">INDEX(Demand_previous!$D$4:$AY$138, MATCH('Staging Table'!$A35, Demand_previous!$B$4:$B$138, 0), MATCH(AL$4&amp;AL$5,Demand_previous!$D$2:$AY$2&amp;Demand_previous!$D$3:$AY$3, 0))/1000</f>
        <v>1.9303653846153845</v>
      </c>
      <c r="AM35" s="384">
        <f t="array" ref="AM35">INDEX(Demand_previous!$D$4:$AY$138, MATCH('Staging Table'!$A35, Demand_previous!$B$4:$B$138, 0), MATCH(AM$4&amp;AM$5,Demand_previous!$D$2:$AY$2&amp;Demand_previous!$D$3:$AY$3, 0))/1000</f>
        <v>1.2641925000000005</v>
      </c>
      <c r="AN35" s="384">
        <f t="array" ref="AN35">INDEX(Demand_previous!$D$4:$AY$138, MATCH('Staging Table'!$A35, Demand_previous!$B$4:$B$138, 0), MATCH(AN$4&amp;AN$5,Demand_previous!$D$2:$AY$2&amp;Demand_previous!$D$3:$AY$3, 0))/1000</f>
        <v>1.1810049999999994</v>
      </c>
      <c r="AO35" s="384">
        <f t="array" ref="AO35">INDEX(Demand_previous!$D$4:$AY$138, MATCH('Staging Table'!$A35, Demand_previous!$B$4:$B$138, 0), MATCH(AO$4&amp;AO$5,Demand_previous!$D$2:$AY$2&amp;Demand_previous!$D$3:$AY$3, 0))/1000</f>
        <v>1.8671388888888885</v>
      </c>
      <c r="AP35" s="384">
        <f t="array" ref="AP35">INDEX(Demand_previous!$D$4:$AY$138, MATCH('Staging Table'!$A35, Demand_previous!$B$4:$B$138, 0), MATCH(AP$4&amp;AP$5,Demand_previous!$D$2:$AY$2&amp;Demand_previous!$D$3:$AY$3, 0))/1000</f>
        <v>1.5458341346153843</v>
      </c>
      <c r="AQ35" s="384">
        <f t="array" ref="AQ35">INDEX(Demand_previous!$D$4:$AY$138, MATCH('Staging Table'!$A35, Demand_previous!$B$4:$B$138, 0), MATCH(AQ$4&amp;AQ$5,Demand_previous!$D$2:$AY$2&amp;Demand_previous!$D$3:$AY$3, 0))/1000</f>
        <v>0</v>
      </c>
      <c r="AR35" s="384">
        <f t="array" ref="AR35">INDEX(Demand_previous!$D$4:$AY$138, MATCH('Staging Table'!$A35, Demand_previous!$B$4:$B$138, 0), MATCH(AR$4&amp;AR$5,Demand_previous!$D$2:$AY$2&amp;Demand_previous!$D$3:$AY$3, 0))/1000</f>
        <v>0.24669471153846165</v>
      </c>
      <c r="AS35" s="384">
        <f t="array" ref="AS35">INDEX(Demand_previous!$D$4:$AY$138, MATCH('Staging Table'!$A35, Demand_previous!$B$4:$B$138, 0), MATCH(AS$4&amp;AS$5,Demand_previous!$D$2:$AY$2&amp;Demand_previous!$D$3:$AY$3, 0))/1000</f>
        <v>0.86174250000000008</v>
      </c>
      <c r="AT35" s="384">
        <f t="array" ref="AT35">INDEX(Demand_previous!$D$4:$AY$138, MATCH('Staging Table'!$A35, Demand_previous!$B$4:$B$138, 0), MATCH(AT$4&amp;AT$5,Demand_previous!$D$2:$AY$2&amp;Demand_previous!$D$3:$AY$3, 0))/1000</f>
        <v>1.6405555555555553</v>
      </c>
      <c r="AU35" s="384">
        <f t="array" ref="AU35">INDEX(Demand_previous!$D$4:$AY$138, MATCH('Staging Table'!$A35, Demand_previous!$B$4:$B$138, 0), MATCH(AU$4&amp;AU$5,Demand_previous!$D$2:$AY$2&amp;Demand_previous!$D$3:$AY$3, 0))/1000</f>
        <v>1.690007500000001</v>
      </c>
      <c r="AV35" s="384">
        <f>IF($D35=0,IF(C35=0, MAX(AY35 - (VLOOKUP($A35,TOCA_previous!$A$2:$AI$137,MATCH("RHWM 2016",TOCA_previous!$A$2:$AI$2,0),FALSE)*$F$2*TOCA_previous!C32),0),0), 0)</f>
        <v>1185.8901712365914</v>
      </c>
      <c r="AW35" s="427">
        <f>VLOOKUP($A35,REP_previous!$A$1:$D$135,MATCH("FY "&amp;$F$1&amp; " Total Refund",REP_previous!$A$1:$D$1,0),0)</f>
        <v>105927.95137077582</v>
      </c>
      <c r="AX35" s="398">
        <f>MIN(VLOOKUP($A35,TOCA_previous!$A$2:$AI$137,MATCH("TRL - NLSL - Exisiting Resource "&amp;$F$1,TOCA_previous!$A$2:$AI$2,0),FALSE)*$F$2,(VLOOKUP($A35,TOCA_previous!$A$2:$AI$137,MATCH("RHWM 2016",TOCA_previous!$A$2:$AI$2,0),FALSE)*$F$2))</f>
        <v>72749.088000000003</v>
      </c>
      <c r="AY35" s="384">
        <f>SUM(L35:AI35)+(F35*RT1SC!$C$3*$F$2)</f>
        <v>73934.978171236595</v>
      </c>
      <c r="AZ35" s="398">
        <f>VLOOKUP($A35,TOCA_previous!$A$2:$AI$137,MATCH("Above RHWM Not Served with LS "&amp;$F$1,TOCA_previous!$A$2:$AI$2,0),FALSE)*$F$2</f>
        <v>0</v>
      </c>
      <c r="BA35" s="206">
        <f t="shared" si="3"/>
        <v>1185.8901712365914</v>
      </c>
      <c r="BB35" s="399">
        <f>(VLOOKUP($A35,TOCA_previous!$A$2:$AI$137,MATCH("RHWM 2016",TOCA_previous!$A$2:$AI$2,0),FALSE)*$F$2) - $AX35</f>
        <v>0</v>
      </c>
      <c r="BC35" s="206">
        <f t="shared" si="4"/>
        <v>0</v>
      </c>
      <c r="BD35" s="400">
        <f t="shared" si="5"/>
        <v>0</v>
      </c>
      <c r="BE35" s="392">
        <f t="shared" si="6"/>
        <v>0</v>
      </c>
      <c r="BF35" s="399">
        <f t="shared" si="7"/>
        <v>0</v>
      </c>
      <c r="BG35" s="206">
        <f>VLOOKUP($A35,TOCA_current!$A$2:$AI$137,MATCH(BG$4,TOCA_current!$A$2:$AI$2,0),FALSE)</f>
        <v>1.1849E-3</v>
      </c>
      <c r="BH35" s="206">
        <f>VLOOKUP($A35,TOCA_current!$A$2:$AI$137,MATCH(BH$4,TOCA_current!$A$2:$AI$2,0),FALSE)</f>
        <v>1.1849E-3</v>
      </c>
      <c r="BI35" s="391">
        <f t="shared" si="8"/>
        <v>0</v>
      </c>
      <c r="BJ35" s="206">
        <f>VLOOKUP($A35,TOCA_current!A31:BG166,MATCH(BJ$4,TOCA_current!$A$2:$BG$2,0),FALSE)</f>
        <v>0</v>
      </c>
      <c r="BK35" s="206">
        <f t="shared" si="9"/>
        <v>0</v>
      </c>
      <c r="BL35" s="206">
        <f t="shared" si="10"/>
        <v>0</v>
      </c>
      <c r="BM35" s="381">
        <f>VLOOKUP($A35,IRD!$A$4:$G$139, 7, FALSE)</f>
        <v>0</v>
      </c>
      <c r="BN35" s="382">
        <f t="array" ref="BN35">IF($BI35=0, INDEX(LS_current!$D$4:$AY$139, MATCH('Staging Table'!$A35, LS_current!$B$4:$B$139, 0), MATCH(BN$4&amp;BN$5, LS_current!$D$2:$AY$2&amp;LS_current!$D$3:$AY$3, 0)),SUM(VLOOKUP($A35, LS_current!$B$4:$AY$139, LS_current!D$149, FALSE), VLOOKUP($A35, LS_current!$B$4:$AY$139,LS_current!D$149, FALSE))/2)</f>
        <v>-63.992122696487968</v>
      </c>
      <c r="BO35" s="382">
        <f t="array" ref="BO35">IF($BI35=0, INDEX(LS_current!$D$4:$AY$139, MATCH('Staging Table'!$A35, LS_current!$B$4:$B$139, 0), MATCH(BO$4&amp;BO$5, LS_current!$D$2:$AY$2&amp;LS_current!$D$3:$AY$3, 0)),SUM(VLOOKUP($A35, LS_current!$B$4:$AY$139, LS_current!E$149, FALSE), VLOOKUP($A35, LS_current!$B$4:$AY$139,LS_current!E$149, FALSE))/2)</f>
        <v>166.06025804116916</v>
      </c>
      <c r="BP35" s="382">
        <f t="array" ref="BP35">IF($BI35=0, INDEX(LS_current!$D$4:$AY$139, MATCH('Staging Table'!$A35, LS_current!$B$4:$B$139, 0), MATCH(BP$4&amp;BP$5, LS_current!$D$2:$AY$2&amp;LS_current!$D$3:$AY$3, 0)),SUM(VLOOKUP($A35, LS_current!$B$4:$AY$139, LS_current!F$149, FALSE), VLOOKUP($A35, LS_current!$B$4:$AY$139,LS_current!F$149, FALSE))/2)</f>
        <v>61.092339753323358</v>
      </c>
      <c r="BQ35" s="382">
        <f t="array" ref="BQ35">IF($BI35=0, INDEX(LS_current!$D$4:$AY$139, MATCH('Staging Table'!$A35, LS_current!$B$4:$B$139, 0), MATCH(BQ$4&amp;BQ$5, LS_current!$D$2:$AY$2&amp;LS_current!$D$3:$AY$3, 0)),SUM(VLOOKUP($A35, LS_current!$B$4:$AY$139, LS_current!G$149, FALSE), VLOOKUP($A35, LS_current!$B$4:$AY$139,LS_current!G$149, FALSE))/2)</f>
        <v>291.56334700441539</v>
      </c>
      <c r="BR35" s="382">
        <f t="array" ref="BR35">IF($BI35=0, INDEX(LS_current!$D$4:$AY$139, MATCH('Staging Table'!$A35, LS_current!$B$4:$B$139, 0), MATCH(BR$4&amp;BR$5, LS_current!$D$2:$AY$2&amp;LS_current!$D$3:$AY$3, 0)),SUM(VLOOKUP($A35, LS_current!$B$4:$AY$139, LS_current!H$149, FALSE), VLOOKUP($A35, LS_current!$B$4:$AY$139,LS_current!H$149, FALSE))/2)</f>
        <v>509.02289876538725</v>
      </c>
      <c r="BS35" s="382">
        <f t="array" ref="BS35">IF($BI35=0, INDEX(LS_current!$D$4:$AY$139, MATCH('Staging Table'!$A35, LS_current!$B$4:$B$139, 0), MATCH(BS$4&amp;BS$5, LS_current!$D$2:$AY$2&amp;LS_current!$D$3:$AY$3, 0)),SUM(VLOOKUP($A35, LS_current!$B$4:$AY$139, LS_current!I$149, FALSE), VLOOKUP($A35, LS_current!$B$4:$AY$139,LS_current!I$149, FALSE))/2)</f>
        <v>777.70685647232676</v>
      </c>
      <c r="BT35" s="382">
        <f t="array" ref="BT35">IF($BI35=0, INDEX(LS_current!$D$4:$AY$139, MATCH('Staging Table'!$A35, LS_current!$B$4:$B$139, 0), MATCH(BT$4&amp;BT$5, LS_current!$D$2:$AY$2&amp;LS_current!$D$3:$AY$3, 0)),SUM(VLOOKUP($A35, LS_current!$B$4:$AY$139, LS_current!J$149, FALSE), VLOOKUP($A35, LS_current!$B$4:$AY$139,LS_current!J$149, FALSE))/2)</f>
        <v>1319.2351681693053</v>
      </c>
      <c r="BU35" s="382">
        <f t="array" ref="BU35">IF($BI35=0, INDEX(LS_current!$D$4:$AY$139, MATCH('Staging Table'!$A35, LS_current!$B$4:$B$139, 0), MATCH(BU$4&amp;BU$5, LS_current!$D$2:$AY$2&amp;LS_current!$D$3:$AY$3, 0)),SUM(VLOOKUP($A35, LS_current!$B$4:$AY$139, LS_current!K$149, FALSE), VLOOKUP($A35, LS_current!$B$4:$AY$139,LS_current!K$149, FALSE))/2)</f>
        <v>908.80663946761115</v>
      </c>
      <c r="BV35" s="382">
        <f t="array" ref="BV35">IF($BI35=0, INDEX(LS_current!$D$4:$AY$139, MATCH('Staging Table'!$A35, LS_current!$B$4:$B$139, 0), MATCH(BV$4&amp;BV$5, LS_current!$D$2:$AY$2&amp;LS_current!$D$3:$AY$3, 0)),SUM(VLOOKUP($A35, LS_current!$B$4:$AY$139, LS_current!L$149, FALSE), VLOOKUP($A35, LS_current!$B$4:$AY$139,LS_current!L$149, FALSE))/2)</f>
        <v>1445.5260943071507</v>
      </c>
      <c r="BW35" s="382">
        <f t="array" ref="BW35">IF($BI35=0, INDEX(LS_current!$D$4:$AY$139, MATCH('Staging Table'!$A35, LS_current!$B$4:$B$139, 0), MATCH(BW$4&amp;BW$5, LS_current!$D$2:$AY$2&amp;LS_current!$D$3:$AY$3, 0)),SUM(VLOOKUP($A35, LS_current!$B$4:$AY$139, LS_current!M$149, FALSE), VLOOKUP($A35, LS_current!$B$4:$AY$139,LS_current!M$149, FALSE))/2)</f>
        <v>963.6718745953674</v>
      </c>
      <c r="BX35" s="382">
        <f t="array" ref="BX35">IF($BI35=0, INDEX(LS_current!$D$4:$AY$139, MATCH('Staging Table'!$A35, LS_current!$B$4:$B$139, 0), MATCH(BX$4&amp;BX$5, LS_current!$D$2:$AY$2&amp;LS_current!$D$3:$AY$3, 0)),SUM(VLOOKUP($A35, LS_current!$B$4:$AY$139, LS_current!N$149, FALSE), VLOOKUP($A35, LS_current!$B$4:$AY$139,LS_current!N$149, FALSE))/2)</f>
        <v>529.33503349175635</v>
      </c>
      <c r="BY35" s="382">
        <f t="array" ref="BY35">IF($BI35=0, INDEX(LS_current!$D$4:$AY$139, MATCH('Staging Table'!$A35, LS_current!$B$4:$B$139, 0), MATCH(BY$4&amp;BY$5, LS_current!$D$2:$AY$2&amp;LS_current!$D$3:$AY$3, 0)),SUM(VLOOKUP($A35, LS_current!$B$4:$AY$139, LS_current!O$149, FALSE), VLOOKUP($A35, LS_current!$B$4:$AY$139,LS_current!O$149, FALSE))/2)</f>
        <v>292.68059038976662</v>
      </c>
      <c r="BZ35" s="382">
        <f t="array" ref="BZ35">IF($BI35=0, INDEX(LS_current!$D$4:$AY$139, MATCH('Staging Table'!$A35, LS_current!$B$4:$B$139, 0), MATCH(BZ$4&amp;BZ$5, LS_current!$D$2:$AY$2&amp;LS_current!$D$3:$AY$3, 0)),SUM(VLOOKUP($A35, LS_current!$B$4:$AY$139, LS_current!P$149, FALSE), VLOOKUP($A35, LS_current!$B$4:$AY$139,LS_current!P$149, FALSE))/2)</f>
        <v>147.52181245175143</v>
      </c>
      <c r="CA35" s="382">
        <f t="array" ref="CA35">IF($BI35=0, INDEX(LS_current!$D$4:$AY$139, MATCH('Staging Table'!$A35, LS_current!$B$4:$B$139, 0), MATCH(CA$4&amp;CA$5, LS_current!$D$2:$AY$2&amp;LS_current!$D$3:$AY$3, 0)),SUM(VLOOKUP($A35, LS_current!$B$4:$AY$139, LS_current!Q$149, FALSE), VLOOKUP($A35, LS_current!$B$4:$AY$139,LS_current!Q$149, FALSE))/2)</f>
        <v>389.16203881667093</v>
      </c>
      <c r="CB35" s="382">
        <f t="array" ref="CB35">IF($BI35=0, INDEX(LS_current!$D$4:$AY$139, MATCH('Staging Table'!$A35, LS_current!$B$4:$B$139, 0), MATCH(CB$4&amp;CB$5, LS_current!$D$2:$AY$2&amp;LS_current!$D$3:$AY$3, 0)),SUM(VLOOKUP($A35, LS_current!$B$4:$AY$139, LS_current!R$149, FALSE), VLOOKUP($A35, LS_current!$B$4:$AY$139,LS_current!R$149, FALSE))/2)</f>
        <v>-1723.8385482812846</v>
      </c>
      <c r="CC35" s="382">
        <f t="array" ref="CC35">IF($BI35=0, INDEX(LS_current!$D$4:$AY$139, MATCH('Staging Table'!$A35, LS_current!$B$4:$B$139, 0), MATCH(CC$4&amp;CC$5, LS_current!$D$2:$AY$2&amp;LS_current!$D$3:$AY$3, 0)),SUM(VLOOKUP($A35, LS_current!$B$4:$AY$139, LS_current!S$149, FALSE), VLOOKUP($A35, LS_current!$B$4:$AY$139,LS_current!S$149, FALSE))/2)</f>
        <v>-866.86231267900916</v>
      </c>
      <c r="CD35" s="382">
        <f t="array" ref="CD35">IF($BI35=0, INDEX(LS_current!$D$4:$AY$139, MATCH('Staging Table'!$A35, LS_current!$B$4:$B$139, 0), MATCH(CD$4&amp;CD$5, LS_current!$D$2:$AY$2&amp;LS_current!$D$3:$AY$3, 0)),SUM(VLOOKUP($A35, LS_current!$B$4:$AY$139, LS_current!T$149, FALSE), VLOOKUP($A35, LS_current!$B$4:$AY$139,LS_current!T$149, FALSE))/2)</f>
        <v>-948.04038537784663</v>
      </c>
      <c r="CE35" s="382">
        <f t="array" ref="CE35">IF($BI35=0, INDEX(LS_current!$D$4:$AY$139, MATCH('Staging Table'!$A35, LS_current!$B$4:$B$139, 0), MATCH(CE$4&amp;CE$5, LS_current!$D$2:$AY$2&amp;LS_current!$D$3:$AY$3, 0)),SUM(VLOOKUP($A35, LS_current!$B$4:$AY$139, LS_current!U$149, FALSE), VLOOKUP($A35, LS_current!$B$4:$AY$139,LS_current!U$149, FALSE))/2)</f>
        <v>-431.50453128192567</v>
      </c>
      <c r="CF35" s="382">
        <f t="array" ref="CF35">IF($BI35=0, INDEX(LS_current!$D$4:$AY$139, MATCH('Staging Table'!$A35, LS_current!$B$4:$B$139, 0), MATCH(CF$4&amp;CF$5, LS_current!$D$2:$AY$2&amp;LS_current!$D$3:$AY$3, 0)),SUM(VLOOKUP($A35, LS_current!$B$4:$AY$139, LS_current!V$149, FALSE), VLOOKUP($A35, LS_current!$B$4:$AY$139,LS_current!V$149, FALSE))/2)</f>
        <v>-436.72151335633635</v>
      </c>
      <c r="CG35" s="382">
        <f t="array" ref="CG35">IF($BI35=0, INDEX(LS_current!$D$4:$AY$139, MATCH('Staging Table'!$A35, LS_current!$B$4:$B$139, 0), MATCH(CG$4&amp;CG$5, LS_current!$D$2:$AY$2&amp;LS_current!$D$3:$AY$3, 0)),SUM(VLOOKUP($A35, LS_current!$B$4:$AY$139, LS_current!W$149, FALSE), VLOOKUP($A35, LS_current!$B$4:$AY$139,LS_current!W$149, FALSE))/2)</f>
        <v>121.12615460911957</v>
      </c>
      <c r="CH35" s="382">
        <f t="array" ref="CH35">IF($BI35=0, INDEX(LS_current!$D$4:$AY$139, MATCH('Staging Table'!$A35, LS_current!$B$4:$B$139, 0), MATCH(CH$4&amp;CH$5, LS_current!$D$2:$AY$2&amp;LS_current!$D$3:$AY$3, 0)),SUM(VLOOKUP($A35, LS_current!$B$4:$AY$139, LS_current!X$149, FALSE), VLOOKUP($A35, LS_current!$B$4:$AY$139,LS_current!X$149, FALSE))/2)</f>
        <v>-725.03926429347439</v>
      </c>
      <c r="CI35" s="382">
        <f t="array" ref="CI35">IF($BI35=0, INDEX(LS_current!$D$4:$AY$139, MATCH('Staging Table'!$A35, LS_current!$B$4:$B$139, 0), MATCH(CI$4&amp;CI$5, LS_current!$D$2:$AY$2&amp;LS_current!$D$3:$AY$3, 0)),SUM(VLOOKUP($A35, LS_current!$B$4:$AY$139, LS_current!Y$149, FALSE), VLOOKUP($A35, LS_current!$B$4:$AY$139,LS_current!Y$149, FALSE))/2)</f>
        <v>-242.0911424591186</v>
      </c>
      <c r="CJ35" s="382">
        <f t="array" ref="CJ35">IF($BI35=0, INDEX(LS_current!$D$4:$AY$139, MATCH('Staging Table'!$A35, LS_current!$B$4:$B$139, 0), MATCH(CJ$4&amp;CJ$5, LS_current!$D$2:$AY$2&amp;LS_current!$D$3:$AY$3, 0)),SUM(VLOOKUP($A35, LS_current!$B$4:$AY$139, LS_current!Z$149, FALSE), VLOOKUP($A35, LS_current!$B$4:$AY$139,LS_current!Z$149, FALSE))/2)</f>
        <v>-573.99456500698489</v>
      </c>
      <c r="CK35" s="382">
        <f t="array" ref="CK35">IF($BI35=0, INDEX(LS_current!$D$4:$AY$139, MATCH('Staging Table'!$A35, LS_current!$B$4:$B$139, 0), MATCH(CK$4&amp;CK$5, LS_current!$D$2:$AY$2&amp;LS_current!$D$3:$AY$3, 0)),SUM(VLOOKUP($A35, LS_current!$B$4:$AY$139, LS_current!AA$149, FALSE), VLOOKUP($A35, LS_current!$B$4:$AY$139,LS_current!AA$149, FALSE))/2)</f>
        <v>-61.032371740362578</v>
      </c>
      <c r="CL35" s="384">
        <f t="array" ref="CL35">INDEX(Demand_current!$D$4:$AY$138, MATCH($A35, Demand_current!$B$4:$B$138, 0), MATCH(CL$4&amp;CL$5,Demand_current!$D$2:$AY$2&amp;Demand_current!$D$3:$AY$3, 0))/1000</f>
        <v>0.83636057692307741</v>
      </c>
      <c r="CM35" s="384">
        <f t="array" ref="CM35">INDEX(Demand_current!$D$4:$AY$138, MATCH($A35, Demand_current!$B$4:$B$138, 0), MATCH(CM$4&amp;CM$5,Demand_current!$D$2:$AY$2&amp;Demand_current!$D$3:$AY$3, 0))/1000</f>
        <v>0.3945350000000003</v>
      </c>
      <c r="CN35" s="384">
        <f t="array" ref="CN35">INDEX(Demand_current!$D$4:$AY$138, MATCH($A35, Demand_current!$B$4:$B$138, 0), MATCH(CN$4&amp;CN$5,Demand_current!$D$2:$AY$2&amp;Demand_current!$D$3:$AY$3, 0))/1000</f>
        <v>1.4750599999999987</v>
      </c>
      <c r="CO35" s="384">
        <f t="array" ref="CO35">INDEX(Demand_current!$D$4:$AY$138, MATCH($A35, Demand_current!$B$4:$B$138, 0), MATCH(CO$4&amp;CO$5,Demand_current!$D$2:$AY$2&amp;Demand_current!$D$3:$AY$3, 0))/1000</f>
        <v>1.7353774038461549</v>
      </c>
      <c r="CP35" s="384">
        <f t="array" ref="CP35">INDEX(Demand_current!$D$4:$AY$138, MATCH($A35, Demand_current!$B$4:$B$138, 0), MATCH(CP$4&amp;CP$5,Demand_current!$D$2:$AY$2&amp;Demand_current!$D$3:$AY$3, 0))/1000</f>
        <v>0.71775520833333184</v>
      </c>
      <c r="CQ35" s="384">
        <f t="array" ref="CQ35">INDEX(Demand_current!$D$4:$AY$138, MATCH($A35, Demand_current!$B$4:$B$138, 0), MATCH(CQ$4&amp;CQ$5,Demand_current!$D$2:$AY$2&amp;Demand_current!$D$3:$AY$3, 0))/1000</f>
        <v>1.8671388888888885</v>
      </c>
      <c r="CR35" s="384">
        <f t="array" ref="CR35">INDEX(Demand_current!$D$4:$AY$138, MATCH($A35, Demand_current!$B$4:$B$138, 0), MATCH(CR$4&amp;CR$5,Demand_current!$D$2:$AY$2&amp;Demand_current!$D$3:$AY$3, 0))/1000</f>
        <v>1.1972675000000002</v>
      </c>
      <c r="CS35" s="384">
        <f t="array" ref="CS35">INDEX(Demand_current!$D$4:$AY$138, MATCH($A35, Demand_current!$B$4:$B$138, 0), MATCH(CS$4&amp;CS$5,Demand_current!$D$2:$AY$2&amp;Demand_current!$D$3:$AY$3, 0))/1000</f>
        <v>0.10850000000000004</v>
      </c>
      <c r="CT35" s="384">
        <f t="array" ref="CT35">INDEX(Demand_current!$D$4:$AY$138, MATCH($A35, Demand_current!$B$4:$B$138, 0), MATCH(CT$4&amp;CT$5,Demand_current!$D$2:$AY$2&amp;Demand_current!$D$3:$AY$3, 0))/1000</f>
        <v>0.24669471153846165</v>
      </c>
      <c r="CU35" s="384">
        <f t="array" ref="CU35">INDEX(Demand_current!$D$4:$AY$138, MATCH($A35, Demand_current!$B$4:$B$138, 0), MATCH(CU$4&amp;CU$5,Demand_current!$D$2:$AY$2&amp;Demand_current!$D$3:$AY$3, 0))/1000</f>
        <v>0.86174250000000008</v>
      </c>
      <c r="CV35" s="384">
        <f t="array" ref="CV35">INDEX(Demand_current!$D$4:$AY$138, MATCH($A35, Demand_current!$B$4:$B$138, 0), MATCH(CV$4&amp;CV$5,Demand_current!$D$2:$AY$2&amp;Demand_current!$D$3:$AY$3, 0))/1000</f>
        <v>1.6405555555555553</v>
      </c>
      <c r="CW35" s="384">
        <f t="array" ref="CW35">INDEX(Demand_current!$D$4:$AY$138, MATCH($A35, Demand_current!$B$4:$B$138, 0), MATCH(CW$4&amp;CW$5,Demand_current!$D$2:$AY$2&amp;Demand_current!$D$3:$AY$3, 0))/1000</f>
        <v>1.382507812500001</v>
      </c>
      <c r="CX35" s="384">
        <f>IF(D35=0,IF(C35=0,MAX(0,DA35 - (VLOOKUP($A35,TOCA_current!$A$2:$AI$137,MATCH("RHWM 2018",TOCA_current!$A$2:$AI$2,0),FALSE)*$BH$2)), 0),0)</f>
        <v>1848.939051666297</v>
      </c>
      <c r="CY35" s="427">
        <f>VLOOKUP($A35,REP_current!$A$1:$D$135,MATCH("FY "&amp;$BH$1&amp; " Total Refund",REP_current!$A$1:$D$1,0),0)</f>
        <v>106604.71104336144</v>
      </c>
      <c r="CZ35" s="432">
        <f>MIN(VLOOKUP($A35,TOCA_current!$A$2:$AI$137,MATCH("TRL - NLSL - Existing Resource "&amp;$BH$1,TOCA_current!$A$2:$AI$2,0),FALSE)*$BH$2, VLOOKUP($A35,TOCA_current!$A$2:$AI$137,MATCH("RHWM 2018",TOCA_current!$A$2:$AI$2,0),FALSE)*$BH$2)</f>
        <v>72086.039999999994</v>
      </c>
      <c r="DA35" s="397">
        <f>SUM(BN35:CK35)+(BH35*RT1SC!$C$4*$BH$2)</f>
        <v>73934.979051666291</v>
      </c>
      <c r="DB35" s="432">
        <f>VLOOKUP($A35,TOCA_current!$A$2:$AI$137,MATCH("Above RHWM Not Served with LS "&amp;$BH$1,TOCA_current!$A$2:$AI$2,0),FALSE)*$BH$2</f>
        <v>0</v>
      </c>
      <c r="DC35" s="401">
        <f t="shared" si="11"/>
        <v>1848.939051666297</v>
      </c>
      <c r="DD35" s="397">
        <f>(VLOOKUP($A35,TOCA_current!$A$2:$AI$137,MATCH("RHWM 2018",TOCA_current!$A$2:$AI$2,0),FALSE)*$BH$2) - $CZ35</f>
        <v>0</v>
      </c>
      <c r="DE35" s="397">
        <f t="shared" si="12"/>
        <v>0</v>
      </c>
      <c r="DF35" s="397">
        <f t="shared" si="13"/>
        <v>0</v>
      </c>
      <c r="DG35" s="397">
        <f t="shared" si="14"/>
        <v>0</v>
      </c>
      <c r="DH35" s="397">
        <f t="shared" si="15"/>
        <v>0</v>
      </c>
    </row>
    <row r="36" spans="1:112">
      <c r="A36" s="274">
        <v>10086</v>
      </c>
      <c r="B36" s="275" t="s">
        <v>37</v>
      </c>
      <c r="C36" s="397">
        <v>0</v>
      </c>
      <c r="D36" s="397">
        <v>0</v>
      </c>
      <c r="E36" s="205">
        <f>VLOOKUP($A36,TOCA_previous!$A$2:$AI$137,MATCH(E$4,TOCA_previous!$A$2:$AI$2,0),FALSE)</f>
        <v>5.5949999999999999E-4</v>
      </c>
      <c r="F36" s="206">
        <f>VLOOKUP($A36,TOCA_previous!$A$2:$AI$137,MATCH(F$4,TOCA_previous!$A$2:$AI$2,0),FALSE)</f>
        <v>5.5949999999999999E-4</v>
      </c>
      <c r="G36" s="206">
        <f t="shared" si="0"/>
        <v>0</v>
      </c>
      <c r="H36" s="206">
        <f>VLOOKUP($A36,TOCA_previous!$A$2:$AI$137,MATCH(H$4,TOCA_previous!$A$2:$AI$2,0),FALSE)</f>
        <v>0</v>
      </c>
      <c r="I36" s="206">
        <f t="shared" si="1"/>
        <v>0</v>
      </c>
      <c r="J36" s="206">
        <f t="shared" si="2"/>
        <v>0</v>
      </c>
      <c r="K36" s="381">
        <f>VLOOKUP(A36, IRD!$A$5:$C$139, 3, FALSE)</f>
        <v>0</v>
      </c>
      <c r="L36" s="382">
        <f t="array" ref="L36">IF($G36=0, INDEX(LS_previous!$D$4:$AY$138, MATCH('Staging Table'!$A36, LS_previous!$B$4:$B$138, 0), MATCH(L$4&amp;L$5, LS_previous!$D$2:$AY$2&amp;LS_previous!$D$3:$AY$3, 0)),SUM(VLOOKUP($A36, LS_previous!$B$4:$AY$138, LS_previous!D$149, FALSE), VLOOKUP('Staging Table'!$A36, LS_previous!$B$4:$AY$138,LS_previous!AB$149, FALSE))/2)</f>
        <v>-68.395455171650383</v>
      </c>
      <c r="M36" s="382">
        <f t="array" ref="M36">IF($G36=0, INDEX(LS_previous!$D$4:$AY$138, MATCH('Staging Table'!$A36, LS_previous!$B$4:$B$138, 0), MATCH(M$4&amp;M$5, LS_previous!$D$2:$AY$2&amp;LS_previous!$D$3:$AY$3, 0)),SUM(VLOOKUP($A36, LS_previous!$B$4:$AY$138, LS_previous!E$149, FALSE), VLOOKUP('Staging Table'!$A36, LS_previous!$B$4:$AY$138,LS_previous!AC$149, FALSE))/2)</f>
        <v>71.853935155185241</v>
      </c>
      <c r="N36" s="382">
        <f t="array" ref="N36">IF($G36=0, INDEX(LS_previous!$D$4:$AY$138, MATCH('Staging Table'!$A36, LS_previous!$B$4:$B$138, 0), MATCH(N$4&amp;N$5, LS_previous!$D$2:$AY$2&amp;LS_previous!$D$3:$AY$3, 0)),SUM(VLOOKUP($A36, LS_previous!$B$4:$AY$138, LS_previous!F$149, FALSE), VLOOKUP('Staging Table'!$A36, LS_previous!$B$4:$AY$138,LS_previous!AD$149, FALSE))/2)</f>
        <v>-125.69958090151499</v>
      </c>
      <c r="O36" s="382">
        <f t="array" ref="O36">IF($G36=0, INDEX(LS_previous!$D$4:$AY$138, MATCH('Staging Table'!$A36, LS_previous!$B$4:$B$138, 0), MATCH(O$4&amp;O$5, LS_previous!$D$2:$AY$2&amp;LS_previous!$D$3:$AY$3, 0)),SUM(VLOOKUP($A36, LS_previous!$B$4:$AY$138, LS_previous!G$149, FALSE), VLOOKUP('Staging Table'!$A36, LS_previous!$B$4:$AY$138,LS_previous!AE$149, FALSE))/2)</f>
        <v>62.49521105883673</v>
      </c>
      <c r="P36" s="382">
        <f t="array" ref="P36">IF($G36=0, INDEX(LS_previous!$D$4:$AY$138, MATCH('Staging Table'!$A36, LS_previous!$B$4:$B$138, 0), MATCH(P$4&amp;P$5, LS_previous!$D$2:$AY$2&amp;LS_previous!$D$3:$AY$3, 0)),SUM(VLOOKUP($A36, LS_previous!$B$4:$AY$138, LS_previous!H$149, FALSE), VLOOKUP('Staging Table'!$A36, LS_previous!$B$4:$AY$138,LS_previous!AF$149, FALSE))/2)</f>
        <v>187.96995525098851</v>
      </c>
      <c r="Q36" s="382">
        <f t="array" ref="Q36">IF($G36=0, INDEX(LS_previous!$D$4:$AY$138, MATCH('Staging Table'!$A36, LS_previous!$B$4:$B$138, 0), MATCH(Q$4&amp;Q$5, LS_previous!$D$2:$AY$2&amp;LS_previous!$D$3:$AY$3, 0)),SUM(VLOOKUP($A36, LS_previous!$B$4:$AY$138, LS_previous!I$149, FALSE), VLOOKUP('Staging Table'!$A36, LS_previous!$B$4:$AY$138,LS_previous!AG$149, FALSE))/2)</f>
        <v>360.51324596478889</v>
      </c>
      <c r="R36" s="382">
        <f t="array" ref="R36">IF($G36=0, INDEX(LS_previous!$D$4:$AY$138, MATCH('Staging Table'!$A36, LS_previous!$B$4:$B$138, 0), MATCH(R$4&amp;R$5, LS_previous!$D$2:$AY$2&amp;LS_previous!$D$3:$AY$3, 0)),SUM(VLOOKUP($A36, LS_previous!$B$4:$AY$138, LS_previous!J$149, FALSE), VLOOKUP('Staging Table'!$A36, LS_previous!$B$4:$AY$138,LS_previous!AH$149, FALSE))/2)</f>
        <v>461.93965359853905</v>
      </c>
      <c r="S36" s="382">
        <f t="array" ref="S36">IF($G36=0, INDEX(LS_previous!$D$4:$AY$138, MATCH('Staging Table'!$A36, LS_previous!$B$4:$B$138, 0), MATCH(S$4&amp;S$5, LS_previous!$D$2:$AY$2&amp;LS_previous!$D$3:$AY$3, 0)),SUM(VLOOKUP($A36, LS_previous!$B$4:$AY$138, LS_previous!K$149, FALSE), VLOOKUP('Staging Table'!$A36, LS_previous!$B$4:$AY$138,LS_previous!AI$149, FALSE))/2)</f>
        <v>404.84071335377803</v>
      </c>
      <c r="T36" s="382">
        <f t="array" ref="T36">IF($G36=0, INDEX(LS_previous!$D$4:$AY$138, MATCH('Staging Table'!$A36, LS_previous!$B$4:$B$138, 0), MATCH(T$4&amp;T$5, LS_previous!$D$2:$AY$2&amp;LS_previous!$D$3:$AY$3, 0)),SUM(VLOOKUP($A36, LS_previous!$B$4:$AY$138, LS_previous!L$149, FALSE), VLOOKUP('Staging Table'!$A36, LS_previous!$B$4:$AY$138,LS_previous!AJ$149, FALSE))/2)</f>
        <v>341.92599800350808</v>
      </c>
      <c r="U36" s="382">
        <f t="array" ref="U36">IF($G36=0, INDEX(LS_previous!$D$4:$AY$138, MATCH('Staging Table'!$A36, LS_previous!$B$4:$B$138, 0), MATCH(U$4&amp;U$5, LS_previous!$D$2:$AY$2&amp;LS_previous!$D$3:$AY$3, 0)),SUM(VLOOKUP($A36, LS_previous!$B$4:$AY$138, LS_previous!M$149, FALSE), VLOOKUP('Staging Table'!$A36, LS_previous!$B$4:$AY$138,LS_previous!AK$149, FALSE))/2)</f>
        <v>295.50669816833602</v>
      </c>
      <c r="V36" s="382">
        <f t="array" ref="V36">IF($G36=0, INDEX(LS_previous!$D$4:$AY$138, MATCH('Staging Table'!$A36, LS_previous!$B$4:$B$138, 0), MATCH(V$4&amp;V$5, LS_previous!$D$2:$AY$2&amp;LS_previous!$D$3:$AY$3, 0)),SUM(VLOOKUP($A36, LS_previous!$B$4:$AY$138, LS_previous!N$149, FALSE), VLOOKUP('Staging Table'!$A36, LS_previous!$B$4:$AY$138,LS_previous!AL$149, FALSE))/2)</f>
        <v>173.4360408242303</v>
      </c>
      <c r="W36" s="382">
        <f t="array" ref="W36">IF($G36=0, INDEX(LS_previous!$D$4:$AY$138, MATCH('Staging Table'!$A36, LS_previous!$B$4:$B$138, 0), MATCH(W$4&amp;W$5, LS_previous!$D$2:$AY$2&amp;LS_previous!$D$3:$AY$3, 0)),SUM(VLOOKUP($A36, LS_previous!$B$4:$AY$138, LS_previous!O$149, FALSE), VLOOKUP('Staging Table'!$A36, LS_previous!$B$4:$AY$138,LS_previous!AM$149, FALSE))/2)</f>
        <v>116.65033523835086</v>
      </c>
      <c r="X36" s="382">
        <f t="array" ref="X36">IF($G36=0, INDEX(LS_previous!$D$4:$AY$138, MATCH('Staging Table'!$A36, LS_previous!$B$4:$B$138, 0), MATCH(X$4&amp;X$5, LS_previous!$D$2:$AY$2&amp;LS_previous!$D$3:$AY$3, 0)),SUM(VLOOKUP($A36, LS_previous!$B$4:$AY$138, LS_previous!P$149, FALSE), VLOOKUP('Staging Table'!$A36, LS_previous!$B$4:$AY$138,LS_previous!AN$149, FALSE))/2)</f>
        <v>117.78723910148574</v>
      </c>
      <c r="Y36" s="382">
        <f t="array" ref="Y36">IF($G36=0, INDEX(LS_previous!$D$4:$AY$138, MATCH('Staging Table'!$A36, LS_previous!$B$4:$B$138, 0), MATCH(Y$4&amp;Y$5, LS_previous!$D$2:$AY$2&amp;LS_previous!$D$3:$AY$3, 0)),SUM(VLOOKUP($A36, LS_previous!$B$4:$AY$138, LS_previous!Q$149, FALSE), VLOOKUP('Staging Table'!$A36, LS_previous!$B$4:$AY$138,LS_previous!AO$149, FALSE))/2)</f>
        <v>175.22118998085875</v>
      </c>
      <c r="Z36" s="382">
        <f t="array" ref="Z36">IF($G36=0, INDEX(LS_previous!$D$4:$AY$138, MATCH('Staging Table'!$A36, LS_previous!$B$4:$B$138, 0), MATCH(Z$4&amp;Z$5, LS_previous!$D$2:$AY$2&amp;LS_previous!$D$3:$AY$3, 0)),SUM(VLOOKUP($A36, LS_previous!$B$4:$AY$138, LS_previous!R$149, FALSE), VLOOKUP('Staging Table'!$A36, LS_previous!$B$4:$AY$138,LS_previous!AP$149, FALSE))/2)</f>
        <v>-905.82595704116466</v>
      </c>
      <c r="AA36" s="382">
        <f t="array" ref="AA36">IF($G36=0, INDEX(LS_previous!$D$4:$AY$138, MATCH('Staging Table'!$A36, LS_previous!$B$4:$B$138, 0), MATCH(AA$4&amp;AA$5, LS_previous!$D$2:$AY$2&amp;LS_previous!$D$3:$AY$3, 0)),SUM(VLOOKUP($A36, LS_previous!$B$4:$AY$138, LS_previous!S$149, FALSE), VLOOKUP('Staging Table'!$A36, LS_previous!$B$4:$AY$138,LS_previous!AQ$149, FALSE))/2)</f>
        <v>-372.41406601826009</v>
      </c>
      <c r="AB36" s="382">
        <f t="array" ref="AB36">IF($G36=0, INDEX(LS_previous!$D$4:$AY$138, MATCH('Staging Table'!$A36, LS_previous!$B$4:$B$138, 0), MATCH(AB$4&amp;AB$5, LS_previous!$D$2:$AY$2&amp;LS_previous!$D$3:$AY$3, 0)),SUM(VLOOKUP($A36, LS_previous!$B$4:$AY$138, LS_previous!T$149, FALSE), VLOOKUP('Staging Table'!$A36, LS_previous!$B$4:$AY$138,LS_previous!AR$149, FALSE))/2)</f>
        <v>-505.54095257770564</v>
      </c>
      <c r="AC36" s="382">
        <f t="array" ref="AC36">IF($G36=0, INDEX(LS_previous!$D$4:$AY$138, MATCH('Staging Table'!$A36, LS_previous!$B$4:$B$138, 0), MATCH(AC$4&amp;AC$5, LS_previous!$D$2:$AY$2&amp;LS_previous!$D$3:$AY$3, 0)),SUM(VLOOKUP($A36, LS_previous!$B$4:$AY$138, LS_previous!U$149, FALSE), VLOOKUP('Staging Table'!$A36, LS_previous!$B$4:$AY$138,LS_previous!AS$149, FALSE))/2)</f>
        <v>-289.82891023336708</v>
      </c>
      <c r="AD36" s="382">
        <f t="array" ref="AD36">IF($G36=0, INDEX(LS_previous!$D$4:$AY$138, MATCH('Staging Table'!$A36, LS_previous!$B$4:$B$138, 0), MATCH(AD$4&amp;AD$5, LS_previous!$D$2:$AY$2&amp;LS_previous!$D$3:$AY$3, 0)),SUM(VLOOKUP($A36, LS_previous!$B$4:$AY$138, LS_previous!V$149, FALSE), VLOOKUP('Staging Table'!$A36, LS_previous!$B$4:$AY$138,LS_previous!AT$149, FALSE))/2)</f>
        <v>-438.60524822834941</v>
      </c>
      <c r="AE36" s="382">
        <f t="array" ref="AE36">IF($G36=0, INDEX(LS_previous!$D$4:$AY$138, MATCH('Staging Table'!$A36, LS_previous!$B$4:$B$138, 0), MATCH(AE$4&amp;AE$5, LS_previous!$D$2:$AY$2&amp;LS_previous!$D$3:$AY$3, 0)),SUM(VLOOKUP($A36, LS_previous!$B$4:$AY$138, LS_previous!W$149, FALSE), VLOOKUP('Staging Table'!$A36, LS_previous!$B$4:$AY$138,LS_previous!AU$149, FALSE))/2)</f>
        <v>-73.277068660216173</v>
      </c>
      <c r="AF36" s="382">
        <f t="array" ref="AF36">IF($G36=0, INDEX(LS_previous!$D$4:$AY$138, MATCH('Staging Table'!$A36, LS_previous!$B$4:$B$138, 0), MATCH(AF$4&amp;AF$5, LS_previous!$D$2:$AY$2&amp;LS_previous!$D$3:$AY$3, 0)),SUM(VLOOKUP($A36, LS_previous!$B$4:$AY$138, LS_previous!X$149, FALSE), VLOOKUP('Staging Table'!$A36, LS_previous!$B$4:$AY$138,LS_previous!AV$149, FALSE))/2)</f>
        <v>-432.64678246595508</v>
      </c>
      <c r="AG36" s="382">
        <f t="array" ref="AG36">IF($G36=0, INDEX(LS_previous!$D$4:$AY$138, MATCH('Staging Table'!$A36, LS_previous!$B$4:$B$138, 0), MATCH(AG$4&amp;AG$5, LS_previous!$D$2:$AY$2&amp;LS_previous!$D$3:$AY$3, 0)),SUM(VLOOKUP($A36, LS_previous!$B$4:$AY$138, LS_previous!Y$149, FALSE), VLOOKUP('Staging Table'!$A36, LS_previous!$B$4:$AY$138,LS_previous!AW$149, FALSE))/2)</f>
        <v>-166.77453347992446</v>
      </c>
      <c r="AH36" s="382">
        <f t="array" ref="AH36">IF($G36=0, INDEX(LS_previous!$D$4:$AY$138, MATCH('Staging Table'!$A36, LS_previous!$B$4:$B$138, 0), MATCH(AH$4&amp;AH$5, LS_previous!$D$2:$AY$2&amp;LS_previous!$D$3:$AY$3, 0)),SUM(VLOOKUP($A36, LS_previous!$B$4:$AY$138, LS_previous!Z$149, FALSE), VLOOKUP('Staging Table'!$A36, LS_previous!$B$4:$AY$138,LS_previous!AX$149, FALSE))/2)</f>
        <v>-143.71521712458753</v>
      </c>
      <c r="AI36" s="382">
        <f t="array" ref="AI36">IF($G36=0, INDEX(LS_previous!$D$4:$AY$138, MATCH('Staging Table'!$A36, LS_previous!$B$4:$B$138, 0), MATCH(AI$4&amp;AI$5, LS_previous!$D$2:$AY$2&amp;LS_previous!$D$3:$AY$3, 0)),SUM(VLOOKUP($A36, LS_previous!$B$4:$AY$138, LS_previous!AA$149, FALSE), VLOOKUP('Staging Table'!$A36, LS_previous!$B$4:$AY$138,LS_previous!AY$149, FALSE))/2)</f>
        <v>-27.508092094675817</v>
      </c>
      <c r="AJ36" s="384">
        <f t="array" ref="AJ36">INDEX(Demand_previous!$D$4:$AY$138, MATCH('Staging Table'!$A36, Demand_previous!$B$4:$B$138, 0), MATCH(AJ$4&amp;AJ$5,Demand_previous!$D$2:$AY$2&amp;Demand_previous!$D$3:$AY$3, 0))/1000</f>
        <v>0.89870370370370334</v>
      </c>
      <c r="AK36" s="384">
        <f t="array" ref="AK36">INDEX(Demand_previous!$D$4:$AY$138, MATCH('Staging Table'!$A36, Demand_previous!$B$4:$B$138, 0), MATCH(AK$4&amp;AK$5,Demand_previous!$D$2:$AY$2&amp;Demand_previous!$D$3:$AY$3, 0))/1000</f>
        <v>0.28277604166666692</v>
      </c>
      <c r="AL36" s="384">
        <f t="array" ref="AL36">INDEX(Demand_previous!$D$4:$AY$138, MATCH('Staging Table'!$A36, Demand_previous!$B$4:$B$138, 0), MATCH(AL$4&amp;AL$5,Demand_previous!$D$2:$AY$2&amp;Demand_previous!$D$3:$AY$3, 0))/1000</f>
        <v>0.78373076923077001</v>
      </c>
      <c r="AM36" s="384">
        <f t="array" ref="AM36">INDEX(Demand_previous!$D$4:$AY$138, MATCH('Staging Table'!$A36, Demand_previous!$B$4:$B$138, 0), MATCH(AM$4&amp;AM$5,Demand_previous!$D$2:$AY$2&amp;Demand_previous!$D$3:$AY$3, 0))/1000</f>
        <v>0.81402750000000013</v>
      </c>
      <c r="AN36" s="384">
        <f t="array" ref="AN36">INDEX(Demand_previous!$D$4:$AY$138, MATCH('Staging Table'!$A36, Demand_previous!$B$4:$B$138, 0), MATCH(AN$4&amp;AN$5,Demand_previous!$D$2:$AY$2&amp;Demand_previous!$D$3:$AY$3, 0))/1000</f>
        <v>1.0673074999999996</v>
      </c>
      <c r="AO36" s="384">
        <f t="array" ref="AO36">INDEX(Demand_previous!$D$4:$AY$138, MATCH('Staging Table'!$A36, Demand_previous!$B$4:$B$138, 0), MATCH(AO$4&amp;AO$5,Demand_previous!$D$2:$AY$2&amp;Demand_previous!$D$3:$AY$3, 0))/1000</f>
        <v>0.87253009259259229</v>
      </c>
      <c r="AP36" s="384">
        <f t="array" ref="AP36">INDEX(Demand_previous!$D$4:$AY$138, MATCH('Staging Table'!$A36, Demand_previous!$B$4:$B$138, 0), MATCH(AP$4&amp;AP$5,Demand_previous!$D$2:$AY$2&amp;Demand_previous!$D$3:$AY$3, 0))/1000</f>
        <v>1.035521634615385</v>
      </c>
      <c r="AQ36" s="384">
        <f t="array" ref="AQ36">INDEX(Demand_previous!$D$4:$AY$138, MATCH('Staging Table'!$A36, Demand_previous!$B$4:$B$138, 0), MATCH(AQ$4&amp;AQ$5,Demand_previous!$D$2:$AY$2&amp;Demand_previous!$D$3:$AY$3, 0))/1000</f>
        <v>0</v>
      </c>
      <c r="AR36" s="384">
        <f t="array" ref="AR36">INDEX(Demand_previous!$D$4:$AY$138, MATCH('Staging Table'!$A36, Demand_previous!$B$4:$B$138, 0), MATCH(AR$4&amp;AR$5,Demand_previous!$D$2:$AY$2&amp;Demand_previous!$D$3:$AY$3, 0))/1000</f>
        <v>0.27854807692307681</v>
      </c>
      <c r="AS36" s="384">
        <f t="array" ref="AS36">INDEX(Demand_previous!$D$4:$AY$138, MATCH('Staging Table'!$A36, Demand_previous!$B$4:$B$138, 0), MATCH(AS$4&amp;AS$5,Demand_previous!$D$2:$AY$2&amp;Demand_previous!$D$3:$AY$3, 0))/1000</f>
        <v>0.31639000000000062</v>
      </c>
      <c r="AT36" s="384">
        <f t="array" ref="AT36">INDEX(Demand_previous!$D$4:$AY$138, MATCH('Staging Table'!$A36, Demand_previous!$B$4:$B$138, 0), MATCH(AT$4&amp;AT$5,Demand_previous!$D$2:$AY$2&amp;Demand_previous!$D$3:$AY$3, 0))/1000</f>
        <v>0.38271064814814792</v>
      </c>
      <c r="AU36" s="384">
        <f t="array" ref="AU36">INDEX(Demand_previous!$D$4:$AY$138, MATCH('Staging Table'!$A36, Demand_previous!$B$4:$B$138, 0), MATCH(AU$4&amp;AU$5,Demand_previous!$D$2:$AY$2&amp;Demand_previous!$D$3:$AY$3, 0))/1000</f>
        <v>0.36485500000000048</v>
      </c>
      <c r="AV36" s="384">
        <f>IF($D36=0,IF(C36=0, MAX(AY36 - (VLOOKUP($A36,TOCA_previous!$A$2:$AI$137,MATCH("RHWM 2016",TOCA_previous!$A$2:$AI$2,0),FALSE)*$F$2*TOCA_previous!C33),0),0), 0)</f>
        <v>0</v>
      </c>
      <c r="AW36" s="427">
        <f>VLOOKUP($A36,REP_previous!$A$1:$D$135,MATCH("FY "&amp;$F$1&amp; " Total Refund",REP_previous!$A$1:$D$1,0),0)</f>
        <v>50107.775768579268</v>
      </c>
      <c r="AX36" s="398">
        <f>MIN(VLOOKUP($A36,TOCA_previous!$A$2:$AI$137,MATCH("TRL - NLSL - Exisiting Resource "&amp;$F$1,TOCA_previous!$A$2:$AI$2,0),FALSE)*$F$2,(VLOOKUP($A36,TOCA_previous!$A$2:$AI$137,MATCH("RHWM 2016",TOCA_previous!$A$2:$AI$2,0),FALSE)*$F$2))</f>
        <v>34319.088000000003</v>
      </c>
      <c r="AY36" s="384">
        <f>SUM(L36:AI36)+(F36*RT1SC!$C$3*$F$2)</f>
        <v>33539.313080781518</v>
      </c>
      <c r="AZ36" s="398">
        <f>VLOOKUP($A36,TOCA_previous!$A$2:$AI$137,MATCH("Above RHWM Not Served with LS "&amp;$F$1,TOCA_previous!$A$2:$AI$2,0),FALSE)*$F$2</f>
        <v>0</v>
      </c>
      <c r="BA36" s="206">
        <f t="shared" si="3"/>
        <v>-779.77491921848559</v>
      </c>
      <c r="BB36" s="399">
        <f>(VLOOKUP($A36,TOCA_previous!$A$2:$AI$137,MATCH("RHWM 2016",TOCA_previous!$A$2:$AI$2,0),FALSE)*$F$2) - $AX36</f>
        <v>0</v>
      </c>
      <c r="BC36" s="206">
        <f t="shared" si="4"/>
        <v>0</v>
      </c>
      <c r="BD36" s="400">
        <f t="shared" si="5"/>
        <v>779.77491921848559</v>
      </c>
      <c r="BE36" s="392">
        <f t="shared" si="6"/>
        <v>0</v>
      </c>
      <c r="BF36" s="399">
        <f t="shared" si="7"/>
        <v>779.77491921848559</v>
      </c>
      <c r="BG36" s="206">
        <f>VLOOKUP($A36,TOCA_current!$A$2:$AI$137,MATCH(BG$4,TOCA_current!$A$2:$AI$2,0),FALSE)</f>
        <v>5.5900000000000004E-4</v>
      </c>
      <c r="BH36" s="206">
        <f>VLOOKUP($A36,TOCA_current!$A$2:$AI$137,MATCH(BH$4,TOCA_current!$A$2:$AI$2,0),FALSE)</f>
        <v>5.5900000000000004E-4</v>
      </c>
      <c r="BI36" s="391">
        <f t="shared" si="8"/>
        <v>0</v>
      </c>
      <c r="BJ36" s="206">
        <f>VLOOKUP($A36,TOCA_current!A32:BG167,MATCH(BJ$4,TOCA_current!$A$2:$BG$2,0),FALSE)</f>
        <v>0</v>
      </c>
      <c r="BK36" s="206">
        <f t="shared" si="9"/>
        <v>0</v>
      </c>
      <c r="BL36" s="206">
        <f t="shared" si="10"/>
        <v>0</v>
      </c>
      <c r="BM36" s="381">
        <f>VLOOKUP($A36,IRD!$A$4:$G$139, 7, FALSE)</f>
        <v>0</v>
      </c>
      <c r="BN36" s="382">
        <f t="array" ref="BN36">IF($BI36=0, INDEX(LS_current!$D$4:$AY$139, MATCH('Staging Table'!$A36, LS_current!$B$4:$B$139, 0), MATCH(BN$4&amp;BN$5, LS_current!$D$2:$AY$2&amp;LS_current!$D$3:$AY$3, 0)),SUM(VLOOKUP($A36, LS_current!$B$4:$AY$139, LS_current!D$149, FALSE), VLOOKUP($A36, LS_current!$B$4:$AY$139,LS_current!D$149, FALSE))/2)</f>
        <v>-76.005144220893726</v>
      </c>
      <c r="BO36" s="382">
        <f t="array" ref="BO36">IF($BI36=0, INDEX(LS_current!$D$4:$AY$139, MATCH('Staging Table'!$A36, LS_current!$B$4:$B$139, 0), MATCH(BO$4&amp;BO$5, LS_current!$D$2:$AY$2&amp;LS_current!$D$3:$AY$3, 0)),SUM(VLOOKUP($A36, LS_current!$B$4:$AY$139, LS_current!E$149, FALSE), VLOOKUP($A36, LS_current!$B$4:$AY$139,LS_current!E$149, FALSE))/2)</f>
        <v>122.45683504516285</v>
      </c>
      <c r="BP36" s="382">
        <f t="array" ref="BP36">IF($BI36=0, INDEX(LS_current!$D$4:$AY$139, MATCH('Staging Table'!$A36, LS_current!$B$4:$B$139, 0), MATCH(BP$4&amp;BP$5, LS_current!$D$2:$AY$2&amp;LS_current!$D$3:$AY$3, 0)),SUM(VLOOKUP($A36, LS_current!$B$4:$AY$139, LS_current!F$149, FALSE), VLOOKUP($A36, LS_current!$B$4:$AY$139,LS_current!F$149, FALSE))/2)</f>
        <v>-165.66127122786088</v>
      </c>
      <c r="BQ36" s="382">
        <f t="array" ref="BQ36">IF($BI36=0, INDEX(LS_current!$D$4:$AY$139, MATCH('Staging Table'!$A36, LS_current!$B$4:$B$139, 0), MATCH(BQ$4&amp;BQ$5, LS_current!$D$2:$AY$2&amp;LS_current!$D$3:$AY$3, 0)),SUM(VLOOKUP($A36, LS_current!$B$4:$AY$139, LS_current!G$149, FALSE), VLOOKUP($A36, LS_current!$B$4:$AY$139,LS_current!G$149, FALSE))/2)</f>
        <v>74.467940227418467</v>
      </c>
      <c r="BR36" s="382">
        <f t="array" ref="BR36">IF($BI36=0, INDEX(LS_current!$D$4:$AY$139, MATCH('Staging Table'!$A36, LS_current!$B$4:$B$139, 0), MATCH(BR$4&amp;BR$5, LS_current!$D$2:$AY$2&amp;LS_current!$D$3:$AY$3, 0)),SUM(VLOOKUP($A36, LS_current!$B$4:$AY$139, LS_current!H$149, FALSE), VLOOKUP($A36, LS_current!$B$4:$AY$139,LS_current!H$149, FALSE))/2)</f>
        <v>125.44472513279675</v>
      </c>
      <c r="BS36" s="382">
        <f t="array" ref="BS36">IF($BI36=0, INDEX(LS_current!$D$4:$AY$139, MATCH('Staging Table'!$A36, LS_current!$B$4:$B$139, 0), MATCH(BS$4&amp;BS$5, LS_current!$D$2:$AY$2&amp;LS_current!$D$3:$AY$3, 0)),SUM(VLOOKUP($A36, LS_current!$B$4:$AY$139, LS_current!I$149, FALSE), VLOOKUP($A36, LS_current!$B$4:$AY$139,LS_current!I$149, FALSE))/2)</f>
        <v>350.20663960505567</v>
      </c>
      <c r="BT36" s="382">
        <f t="array" ref="BT36">IF($BI36=0, INDEX(LS_current!$D$4:$AY$139, MATCH('Staging Table'!$A36, LS_current!$B$4:$B$139, 0), MATCH(BT$4&amp;BT$5, LS_current!$D$2:$AY$2&amp;LS_current!$D$3:$AY$3, 0)),SUM(VLOOKUP($A36, LS_current!$B$4:$AY$139, LS_current!J$149, FALSE), VLOOKUP($A36, LS_current!$B$4:$AY$139,LS_current!J$149, FALSE))/2)</f>
        <v>444.54001865696796</v>
      </c>
      <c r="BU36" s="382">
        <f t="array" ref="BU36">IF($BI36=0, INDEX(LS_current!$D$4:$AY$139, MATCH('Staging Table'!$A36, LS_current!$B$4:$B$139, 0), MATCH(BU$4&amp;BU$5, LS_current!$D$2:$AY$2&amp;LS_current!$D$3:$AY$3, 0)),SUM(VLOOKUP($A36, LS_current!$B$4:$AY$139, LS_current!K$149, FALSE), VLOOKUP($A36, LS_current!$B$4:$AY$139,LS_current!K$149, FALSE))/2)</f>
        <v>401.73046886859197</v>
      </c>
      <c r="BV36" s="382">
        <f t="array" ref="BV36">IF($BI36=0, INDEX(LS_current!$D$4:$AY$139, MATCH('Staging Table'!$A36, LS_current!$B$4:$B$139, 0), MATCH(BV$4&amp;BV$5, LS_current!$D$2:$AY$2&amp;LS_current!$D$3:$AY$3, 0)),SUM(VLOOKUP($A36, LS_current!$B$4:$AY$139, LS_current!L$149, FALSE), VLOOKUP($A36, LS_current!$B$4:$AY$139,LS_current!L$149, FALSE))/2)</f>
        <v>459.37893663405953</v>
      </c>
      <c r="BW36" s="382">
        <f t="array" ref="BW36">IF($BI36=0, INDEX(LS_current!$D$4:$AY$139, MATCH('Staging Table'!$A36, LS_current!$B$4:$B$139, 0), MATCH(BW$4&amp;BW$5, LS_current!$D$2:$AY$2&amp;LS_current!$D$3:$AY$3, 0)),SUM(VLOOKUP($A36, LS_current!$B$4:$AY$139, LS_current!M$149, FALSE), VLOOKUP($A36, LS_current!$B$4:$AY$139,LS_current!M$149, FALSE))/2)</f>
        <v>387.66052645692503</v>
      </c>
      <c r="BX36" s="382">
        <f t="array" ref="BX36">IF($BI36=0, INDEX(LS_current!$D$4:$AY$139, MATCH('Staging Table'!$A36, LS_current!$B$4:$B$139, 0), MATCH(BX$4&amp;BX$5, LS_current!$D$2:$AY$2&amp;LS_current!$D$3:$AY$3, 0)),SUM(VLOOKUP($A36, LS_current!$B$4:$AY$139, LS_current!N$149, FALSE), VLOOKUP($A36, LS_current!$B$4:$AY$139,LS_current!N$149, FALSE))/2)</f>
        <v>265.32881561472823</v>
      </c>
      <c r="BY36" s="382">
        <f t="array" ref="BY36">IF($BI36=0, INDEX(LS_current!$D$4:$AY$139, MATCH('Staging Table'!$A36, LS_current!$B$4:$B$139, 0), MATCH(BY$4&amp;BY$5, LS_current!$D$2:$AY$2&amp;LS_current!$D$3:$AY$3, 0)),SUM(VLOOKUP($A36, LS_current!$B$4:$AY$139, LS_current!O$149, FALSE), VLOOKUP($A36, LS_current!$B$4:$AY$139,LS_current!O$149, FALSE))/2)</f>
        <v>218.58114636499238</v>
      </c>
      <c r="BZ36" s="382">
        <f t="array" ref="BZ36">IF($BI36=0, INDEX(LS_current!$D$4:$AY$139, MATCH('Staging Table'!$A36, LS_current!$B$4:$B$139, 0), MATCH(BZ$4&amp;BZ$5, LS_current!$D$2:$AY$2&amp;LS_current!$D$3:$AY$3, 0)),SUM(VLOOKUP($A36, LS_current!$B$4:$AY$139, LS_current!P$149, FALSE), VLOOKUP($A36, LS_current!$B$4:$AY$139,LS_current!P$149, FALSE))/2)</f>
        <v>-50.877957920053177</v>
      </c>
      <c r="CA36" s="382">
        <f t="array" ref="CA36">IF($BI36=0, INDEX(LS_current!$D$4:$AY$139, MATCH('Staging Table'!$A36, LS_current!$B$4:$B$139, 0), MATCH(CA$4&amp;CA$5, LS_current!$D$2:$AY$2&amp;LS_current!$D$3:$AY$3, 0)),SUM(VLOOKUP($A36, LS_current!$B$4:$AY$139, LS_current!Q$149, FALSE), VLOOKUP($A36, LS_current!$B$4:$AY$139,LS_current!Q$149, FALSE))/2)</f>
        <v>163.74695526923688</v>
      </c>
      <c r="CB36" s="382">
        <f t="array" ref="CB36">IF($BI36=0, INDEX(LS_current!$D$4:$AY$139, MATCH('Staging Table'!$A36, LS_current!$B$4:$B$139, 0), MATCH(CB$4&amp;CB$5, LS_current!$D$2:$AY$2&amp;LS_current!$D$3:$AY$3, 0)),SUM(VLOOKUP($A36, LS_current!$B$4:$AY$139, LS_current!R$149, FALSE), VLOOKUP($A36, LS_current!$B$4:$AY$139,LS_current!R$149, FALSE))/2)</f>
        <v>-882.59216700923162</v>
      </c>
      <c r="CC36" s="382">
        <f t="array" ref="CC36">IF($BI36=0, INDEX(LS_current!$D$4:$AY$139, MATCH('Staging Table'!$A36, LS_current!$B$4:$B$139, 0), MATCH(CC$4&amp;CC$5, LS_current!$D$2:$AY$2&amp;LS_current!$D$3:$AY$3, 0)),SUM(VLOOKUP($A36, LS_current!$B$4:$AY$139, LS_current!S$149, FALSE), VLOOKUP($A36, LS_current!$B$4:$AY$139,LS_current!S$149, FALSE))/2)</f>
        <v>-392.03121545072679</v>
      </c>
      <c r="CD36" s="382">
        <f t="array" ref="CD36">IF($BI36=0, INDEX(LS_current!$D$4:$AY$139, MATCH('Staging Table'!$A36, LS_current!$B$4:$B$139, 0), MATCH(CD$4&amp;CD$5, LS_current!$D$2:$AY$2&amp;LS_current!$D$3:$AY$3, 0)),SUM(VLOOKUP($A36, LS_current!$B$4:$AY$139, LS_current!T$149, FALSE), VLOOKUP($A36, LS_current!$B$4:$AY$139,LS_current!T$149, FALSE))/2)</f>
        <v>-494.723300891397</v>
      </c>
      <c r="CE36" s="382">
        <f t="array" ref="CE36">IF($BI36=0, INDEX(LS_current!$D$4:$AY$139, MATCH('Staging Table'!$A36, LS_current!$B$4:$B$139, 0), MATCH(CE$4&amp;CE$5, LS_current!$D$2:$AY$2&amp;LS_current!$D$3:$AY$3, 0)),SUM(VLOOKUP($A36, LS_current!$B$4:$AY$139, LS_current!U$149, FALSE), VLOOKUP($A36, LS_current!$B$4:$AY$139,LS_current!U$149, FALSE))/2)</f>
        <v>-211.40543918186904</v>
      </c>
      <c r="CF36" s="382">
        <f t="array" ref="CF36">IF($BI36=0, INDEX(LS_current!$D$4:$AY$139, MATCH('Staging Table'!$A36, LS_current!$B$4:$B$139, 0), MATCH(CF$4&amp;CF$5, LS_current!$D$2:$AY$2&amp;LS_current!$D$3:$AY$3, 0)),SUM(VLOOKUP($A36, LS_current!$B$4:$AY$139, LS_current!V$149, FALSE), VLOOKUP($A36, LS_current!$B$4:$AY$139,LS_current!V$149, FALSE))/2)</f>
        <v>-326.90811660578265</v>
      </c>
      <c r="CG36" s="382">
        <f t="array" ref="CG36">IF($BI36=0, INDEX(LS_current!$D$4:$AY$139, MATCH('Staging Table'!$A36, LS_current!$B$4:$B$139, 0), MATCH(CG$4&amp;CG$5, LS_current!$D$2:$AY$2&amp;LS_current!$D$3:$AY$3, 0)),SUM(VLOOKUP($A36, LS_current!$B$4:$AY$139, LS_current!W$149, FALSE), VLOOKUP($A36, LS_current!$B$4:$AY$139,LS_current!W$149, FALSE))/2)</f>
        <v>-4.1269506063820245</v>
      </c>
      <c r="CH36" s="382">
        <f t="array" ref="CH36">IF($BI36=0, INDEX(LS_current!$D$4:$AY$139, MATCH('Staging Table'!$A36, LS_current!$B$4:$B$139, 0), MATCH(CH$4&amp;CH$5, LS_current!$D$2:$AY$2&amp;LS_current!$D$3:$AY$3, 0)),SUM(VLOOKUP($A36, LS_current!$B$4:$AY$139, LS_current!X$149, FALSE), VLOOKUP($A36, LS_current!$B$4:$AY$139,LS_current!X$149, FALSE))/2)</f>
        <v>-421.16637508654935</v>
      </c>
      <c r="CI36" s="382">
        <f t="array" ref="CI36">IF($BI36=0, INDEX(LS_current!$D$4:$AY$139, MATCH('Staging Table'!$A36, LS_current!$B$4:$B$139, 0), MATCH(CI$4&amp;CI$5, LS_current!$D$2:$AY$2&amp;LS_current!$D$3:$AY$3, 0)),SUM(VLOOKUP($A36, LS_current!$B$4:$AY$139, LS_current!Y$149, FALSE), VLOOKUP($A36, LS_current!$B$4:$AY$139,LS_current!Y$149, FALSE))/2)</f>
        <v>-134.81156716570797</v>
      </c>
      <c r="CJ36" s="382">
        <f t="array" ref="CJ36">IF($BI36=0, INDEX(LS_current!$D$4:$AY$139, MATCH('Staging Table'!$A36, LS_current!$B$4:$B$139, 0), MATCH(CJ$4&amp;CJ$5, LS_current!$D$2:$AY$2&amp;LS_current!$D$3:$AY$3, 0)),SUM(VLOOKUP($A36, LS_current!$B$4:$AY$139, LS_current!Z$149, FALSE), VLOOKUP($A36, LS_current!$B$4:$AY$139,LS_current!Z$149, FALSE))/2)</f>
        <v>-297.79822823774566</v>
      </c>
      <c r="CK36" s="382">
        <f t="array" ref="CK36">IF($BI36=0, INDEX(LS_current!$D$4:$AY$139, MATCH('Staging Table'!$A36, LS_current!$B$4:$B$139, 0), MATCH(CK$4&amp;CK$5, LS_current!$D$2:$AY$2&amp;LS_current!$D$3:$AY$3, 0)),SUM(VLOOKUP($A36, LS_current!$B$4:$AY$139, LS_current!AA$149, FALSE), VLOOKUP($A36, LS_current!$B$4:$AY$139,LS_current!AA$149, FALSE))/2)</f>
        <v>-23.921464767374914</v>
      </c>
      <c r="CL36" s="384">
        <f t="array" ref="CL36">INDEX(Demand_current!$D$4:$AY$138, MATCH($A36, Demand_current!$B$4:$B$138, 0), MATCH(CL$4&amp;CL$5,Demand_current!$D$2:$AY$2&amp;Demand_current!$D$3:$AY$3, 0))/1000</f>
        <v>0.75369230769230744</v>
      </c>
      <c r="CM36" s="384">
        <f t="array" ref="CM36">INDEX(Demand_current!$D$4:$AY$138, MATCH($A36, Demand_current!$B$4:$B$138, 0), MATCH(CM$4&amp;CM$5,Demand_current!$D$2:$AY$2&amp;Demand_current!$D$3:$AY$3, 0))/1000</f>
        <v>0.47814499999999982</v>
      </c>
      <c r="CN36" s="384">
        <f t="array" ref="CN36">INDEX(Demand_current!$D$4:$AY$138, MATCH($A36, Demand_current!$B$4:$B$138, 0), MATCH(CN$4&amp;CN$5,Demand_current!$D$2:$AY$2&amp;Demand_current!$D$3:$AY$3, 0))/1000</f>
        <v>0.5799600000000007</v>
      </c>
      <c r="CO36" s="384">
        <f t="array" ref="CO36">INDEX(Demand_current!$D$4:$AY$138, MATCH($A36, Demand_current!$B$4:$B$138, 0), MATCH(CO$4&amp;CO$5,Demand_current!$D$2:$AY$2&amp;Demand_current!$D$3:$AY$3, 0))/1000</f>
        <v>1.0192187500000005</v>
      </c>
      <c r="CP36" s="384">
        <f t="array" ref="CP36">INDEX(Demand_current!$D$4:$AY$138, MATCH($A36, Demand_current!$B$4:$B$138, 0), MATCH(CP$4&amp;CP$5,Demand_current!$D$2:$AY$2&amp;Demand_current!$D$3:$AY$3, 0))/1000</f>
        <v>0.87194531249999985</v>
      </c>
      <c r="CQ36" s="384">
        <f t="array" ref="CQ36">INDEX(Demand_current!$D$4:$AY$138, MATCH($A36, Demand_current!$B$4:$B$138, 0), MATCH(CQ$4&amp;CQ$5,Demand_current!$D$2:$AY$2&amp;Demand_current!$D$3:$AY$3, 0))/1000</f>
        <v>0.87253009259259229</v>
      </c>
      <c r="CR36" s="384">
        <f t="array" ref="CR36">INDEX(Demand_current!$D$4:$AY$138, MATCH($A36, Demand_current!$B$4:$B$138, 0), MATCH(CR$4&amp;CR$5,Demand_current!$D$2:$AY$2&amp;Demand_current!$D$3:$AY$3, 0))/1000</f>
        <v>0.88266250000000013</v>
      </c>
      <c r="CS36" s="384">
        <f t="array" ref="CS36">INDEX(Demand_current!$D$4:$AY$138, MATCH($A36, Demand_current!$B$4:$B$138, 0), MATCH(CS$4&amp;CS$5,Demand_current!$D$2:$AY$2&amp;Demand_current!$D$3:$AY$3, 0))/1000</f>
        <v>9.0149038461538433E-2</v>
      </c>
      <c r="CT36" s="384">
        <f t="array" ref="CT36">INDEX(Demand_current!$D$4:$AY$138, MATCH($A36, Demand_current!$B$4:$B$138, 0), MATCH(CT$4&amp;CT$5,Demand_current!$D$2:$AY$2&amp;Demand_current!$D$3:$AY$3, 0))/1000</f>
        <v>0.27854807692307681</v>
      </c>
      <c r="CU36" s="384">
        <f t="array" ref="CU36">INDEX(Demand_current!$D$4:$AY$138, MATCH($A36, Demand_current!$B$4:$B$138, 0), MATCH(CU$4&amp;CU$5,Demand_current!$D$2:$AY$2&amp;Demand_current!$D$3:$AY$3, 0))/1000</f>
        <v>0.31639000000000062</v>
      </c>
      <c r="CV36" s="384">
        <f t="array" ref="CV36">INDEX(Demand_current!$D$4:$AY$138, MATCH($A36, Demand_current!$B$4:$B$138, 0), MATCH(CV$4&amp;CV$5,Demand_current!$D$2:$AY$2&amp;Demand_current!$D$3:$AY$3, 0))/1000</f>
        <v>0.38271064814814792</v>
      </c>
      <c r="CW36" s="384">
        <f t="array" ref="CW36">INDEX(Demand_current!$D$4:$AY$138, MATCH($A36, Demand_current!$B$4:$B$138, 0), MATCH(CW$4&amp;CW$5,Demand_current!$D$2:$AY$2&amp;Demand_current!$D$3:$AY$3, 0))/1000</f>
        <v>0.22259895833333376</v>
      </c>
      <c r="CX36" s="384">
        <f>IF(D36=0,IF(C36=0,MAX(0,DA36 - (VLOOKUP($A36,TOCA_current!$A$2:$AI$137,MATCH("RHWM 2018",TOCA_current!$A$2:$AI$2,0),FALSE)*$BH$2)), 0),0)</f>
        <v>0</v>
      </c>
      <c r="CY36" s="427">
        <f>VLOOKUP($A36,REP_current!$A$1:$D$135,MATCH("FY "&amp;$BH$1&amp; " Total Refund",REP_current!$A$1:$D$1,0),0)</f>
        <v>50427.790581798938</v>
      </c>
      <c r="CZ36" s="432">
        <f>MIN(VLOOKUP($A36,TOCA_current!$A$2:$AI$137,MATCH("TRL - NLSL - Existing Resource "&amp;$BH$1,TOCA_current!$A$2:$AI$2,0),FALSE)*$BH$2, VLOOKUP($A36,TOCA_current!$A$2:$AI$137,MATCH("RHWM 2018",TOCA_current!$A$2:$AI$2,0),FALSE)*$BH$2)</f>
        <v>34006.32</v>
      </c>
      <c r="DA36" s="397">
        <f>SUM(BN36:CK36)+(BH36*RT1SC!$C$4*$BH$2)</f>
        <v>33539.313496144357</v>
      </c>
      <c r="DB36" s="432">
        <f>VLOOKUP($A36,TOCA_current!$A$2:$AI$137,MATCH("Above RHWM Not Served with LS "&amp;$BH$1,TOCA_current!$A$2:$AI$2,0),FALSE)*$BH$2</f>
        <v>0</v>
      </c>
      <c r="DC36" s="401">
        <f t="shared" si="11"/>
        <v>-467.00650385564222</v>
      </c>
      <c r="DD36" s="397">
        <f>(VLOOKUP($A36,TOCA_current!$A$2:$AI$137,MATCH("RHWM 2018",TOCA_current!$A$2:$AI$2,0),FALSE)*$BH$2) - $CZ36</f>
        <v>0</v>
      </c>
      <c r="DE36" s="397">
        <f t="shared" si="12"/>
        <v>0</v>
      </c>
      <c r="DF36" s="397">
        <f t="shared" si="13"/>
        <v>467.00650385564222</v>
      </c>
      <c r="DG36" s="397">
        <f t="shared" si="14"/>
        <v>0</v>
      </c>
      <c r="DH36" s="397">
        <f t="shared" si="15"/>
        <v>467.00650385564222</v>
      </c>
    </row>
    <row r="37" spans="1:112">
      <c r="A37" s="274">
        <v>10087</v>
      </c>
      <c r="B37" s="275" t="s">
        <v>38</v>
      </c>
      <c r="C37" s="397">
        <v>0</v>
      </c>
      <c r="D37" s="397">
        <v>0</v>
      </c>
      <c r="E37" s="205">
        <f>VLOOKUP($A37,TOCA_previous!$A$2:$AI$137,MATCH(E$4,TOCA_previous!$A$2:$AI$2,0),FALSE)</f>
        <v>1.19474E-2</v>
      </c>
      <c r="F37" s="206">
        <f>VLOOKUP($A37,TOCA_previous!$A$2:$AI$137,MATCH(F$4,TOCA_previous!$A$2:$AI$2,0),FALSE)</f>
        <v>1.19474E-2</v>
      </c>
      <c r="G37" s="206">
        <f t="shared" si="0"/>
        <v>0</v>
      </c>
      <c r="H37" s="206">
        <f>VLOOKUP($A37,TOCA_previous!$A$2:$AI$137,MATCH(H$4,TOCA_previous!$A$2:$AI$2,0),FALSE)</f>
        <v>0</v>
      </c>
      <c r="I37" s="206">
        <f t="shared" si="1"/>
        <v>0</v>
      </c>
      <c r="J37" s="206">
        <f t="shared" si="2"/>
        <v>0</v>
      </c>
      <c r="K37" s="381">
        <f>VLOOKUP(A37, IRD!$A$5:$C$139, 3, FALSE)</f>
        <v>0</v>
      </c>
      <c r="L37" s="382">
        <f t="array" ref="L37">IF($G37=0, INDEX(LS_previous!$D$4:$AY$138, MATCH('Staging Table'!$A37, LS_previous!$B$4:$B$138, 0), MATCH(L$4&amp;L$5, LS_previous!$D$2:$AY$2&amp;LS_previous!$D$3:$AY$3, 0)),SUM(VLOOKUP($A37, LS_previous!$B$4:$AY$138, LS_previous!D$149, FALSE), VLOOKUP('Staging Table'!$A37, LS_previous!$B$4:$AY$138,LS_previous!AB$149, FALSE))/2)</f>
        <v>-24213.026984482174</v>
      </c>
      <c r="M37" s="382">
        <f t="array" ref="M37">IF($G37=0, INDEX(LS_previous!$D$4:$AY$138, MATCH('Staging Table'!$A37, LS_previous!$B$4:$B$138, 0), MATCH(M$4&amp;M$5, LS_previous!$D$2:$AY$2&amp;LS_previous!$D$3:$AY$3, 0)),SUM(VLOOKUP($A37, LS_previous!$B$4:$AY$138, LS_previous!E$149, FALSE), VLOOKUP('Staging Table'!$A37, LS_previous!$B$4:$AY$138,LS_previous!AC$149, FALSE))/2)</f>
        <v>-11356.397759118749</v>
      </c>
      <c r="N37" s="382">
        <f t="array" ref="N37">IF($G37=0, INDEX(LS_previous!$D$4:$AY$138, MATCH('Staging Table'!$A37, LS_previous!$B$4:$B$138, 0), MATCH(N$4&amp;N$5, LS_previous!$D$2:$AY$2&amp;LS_previous!$D$3:$AY$3, 0)),SUM(VLOOKUP($A37, LS_previous!$B$4:$AY$138, LS_previous!F$149, FALSE), VLOOKUP('Staging Table'!$A37, LS_previous!$B$4:$AY$138,LS_previous!AD$149, FALSE))/2)</f>
        <v>-27535.585693767222</v>
      </c>
      <c r="O37" s="382">
        <f t="array" ref="O37">IF($G37=0, INDEX(LS_previous!$D$4:$AY$138, MATCH('Staging Table'!$A37, LS_previous!$B$4:$B$138, 0), MATCH(O$4&amp;O$5, LS_previous!$D$2:$AY$2&amp;LS_previous!$D$3:$AY$3, 0)),SUM(VLOOKUP($A37, LS_previous!$B$4:$AY$138, LS_previous!G$149, FALSE), VLOOKUP('Staging Table'!$A37, LS_previous!$B$4:$AY$138,LS_previous!AE$149, FALSE))/2)</f>
        <v>-12339.820077382758</v>
      </c>
      <c r="P37" s="382">
        <f t="array" ref="P37">IF($G37=0, INDEX(LS_previous!$D$4:$AY$138, MATCH('Staging Table'!$A37, LS_previous!$B$4:$B$138, 0), MATCH(P$4&amp;P$5, LS_previous!$D$2:$AY$2&amp;LS_previous!$D$3:$AY$3, 0)),SUM(VLOOKUP($A37, LS_previous!$B$4:$AY$138, LS_previous!H$149, FALSE), VLOOKUP('Staging Table'!$A37, LS_previous!$B$4:$AY$138,LS_previous!AF$149, FALSE))/2)</f>
        <v>-22907.859406674423</v>
      </c>
      <c r="Q37" s="382">
        <f t="array" ref="Q37">IF($G37=0, INDEX(LS_previous!$D$4:$AY$138, MATCH('Staging Table'!$A37, LS_previous!$B$4:$B$138, 0), MATCH(Q$4&amp;Q$5, LS_previous!$D$2:$AY$2&amp;LS_previous!$D$3:$AY$3, 0)),SUM(VLOOKUP($A37, LS_previous!$B$4:$AY$138, LS_previous!I$149, FALSE), VLOOKUP('Staging Table'!$A37, LS_previous!$B$4:$AY$138,LS_previous!AG$149, FALSE))/2)</f>
        <v>-11829.127191528652</v>
      </c>
      <c r="R37" s="382">
        <f t="array" ref="R37">IF($G37=0, INDEX(LS_previous!$D$4:$AY$138, MATCH('Staging Table'!$A37, LS_previous!$B$4:$B$138, 0), MATCH(R$4&amp;R$5, LS_previous!$D$2:$AY$2&amp;LS_previous!$D$3:$AY$3, 0)),SUM(VLOOKUP($A37, LS_previous!$B$4:$AY$138, LS_previous!J$149, FALSE), VLOOKUP('Staging Table'!$A37, LS_previous!$B$4:$AY$138,LS_previous!AH$149, FALSE))/2)</f>
        <v>-18820.82562233568</v>
      </c>
      <c r="S37" s="382">
        <f t="array" ref="S37">IF($G37=0, INDEX(LS_previous!$D$4:$AY$138, MATCH('Staging Table'!$A37, LS_previous!$B$4:$B$138, 0), MATCH(S$4&amp;S$5, LS_previous!$D$2:$AY$2&amp;LS_previous!$D$3:$AY$3, 0)),SUM(VLOOKUP($A37, LS_previous!$B$4:$AY$138, LS_previous!K$149, FALSE), VLOOKUP('Staging Table'!$A37, LS_previous!$B$4:$AY$138,LS_previous!AI$149, FALSE))/2)</f>
        <v>-7525.6373089849403</v>
      </c>
      <c r="T37" s="382">
        <f t="array" ref="T37">IF($G37=0, INDEX(LS_previous!$D$4:$AY$138, MATCH('Staging Table'!$A37, LS_previous!$B$4:$B$138, 0), MATCH(T$4&amp;T$5, LS_previous!$D$2:$AY$2&amp;LS_previous!$D$3:$AY$3, 0)),SUM(VLOOKUP($A37, LS_previous!$B$4:$AY$138, LS_previous!L$149, FALSE), VLOOKUP('Staging Table'!$A37, LS_previous!$B$4:$AY$138,LS_previous!AJ$149, FALSE))/2)</f>
        <v>-18572.290324848778</v>
      </c>
      <c r="U37" s="382">
        <f t="array" ref="U37">IF($G37=0, INDEX(LS_previous!$D$4:$AY$138, MATCH('Staging Table'!$A37, LS_previous!$B$4:$B$138, 0), MATCH(U$4&amp;U$5, LS_previous!$D$2:$AY$2&amp;LS_previous!$D$3:$AY$3, 0)),SUM(VLOOKUP($A37, LS_previous!$B$4:$AY$138, LS_previous!M$149, FALSE), VLOOKUP('Staging Table'!$A37, LS_previous!$B$4:$AY$138,LS_previous!AK$149, FALSE))/2)</f>
        <v>-8340.7433614005804</v>
      </c>
      <c r="V37" s="382">
        <f t="array" ref="V37">IF($G37=0, INDEX(LS_previous!$D$4:$AY$138, MATCH('Staging Table'!$A37, LS_previous!$B$4:$B$138, 0), MATCH(V$4&amp;V$5, LS_previous!$D$2:$AY$2&amp;LS_previous!$D$3:$AY$3, 0)),SUM(VLOOKUP($A37, LS_previous!$B$4:$AY$138, LS_previous!N$149, FALSE), VLOOKUP('Staging Table'!$A37, LS_previous!$B$4:$AY$138,LS_previous!AL$149, FALSE))/2)</f>
        <v>-24195.903963818753</v>
      </c>
      <c r="W37" s="382">
        <f t="array" ref="W37">IF($G37=0, INDEX(LS_previous!$D$4:$AY$138, MATCH('Staging Table'!$A37, LS_previous!$B$4:$B$138, 0), MATCH(W$4&amp;W$5, LS_previous!$D$2:$AY$2&amp;LS_previous!$D$3:$AY$3, 0)),SUM(VLOOKUP($A37, LS_previous!$B$4:$AY$138, LS_previous!O$149, FALSE), VLOOKUP('Staging Table'!$A37, LS_previous!$B$4:$AY$138,LS_previous!AM$149, FALSE))/2)</f>
        <v>-12310.942612284769</v>
      </c>
      <c r="X37" s="382">
        <f t="array" ref="X37">IF($G37=0, INDEX(LS_previous!$D$4:$AY$138, MATCH('Staging Table'!$A37, LS_previous!$B$4:$B$138, 0), MATCH(X$4&amp;X$5, LS_previous!$D$2:$AY$2&amp;LS_previous!$D$3:$AY$3, 0)),SUM(VLOOKUP($A37, LS_previous!$B$4:$AY$138, LS_previous!P$149, FALSE), VLOOKUP('Staging Table'!$A37, LS_previous!$B$4:$AY$138,LS_previous!AN$149, FALSE))/2)</f>
        <v>-18968.798661410023</v>
      </c>
      <c r="Y37" s="382">
        <f t="array" ref="Y37">IF($G37=0, INDEX(LS_previous!$D$4:$AY$138, MATCH('Staging Table'!$A37, LS_previous!$B$4:$B$138, 0), MATCH(Y$4&amp;Y$5, LS_previous!$D$2:$AY$2&amp;LS_previous!$D$3:$AY$3, 0)),SUM(VLOOKUP($A37, LS_previous!$B$4:$AY$138, LS_previous!Q$149, FALSE), VLOOKUP('Staging Table'!$A37, LS_previous!$B$4:$AY$138,LS_previous!AO$149, FALSE))/2)</f>
        <v>-9627.1575601835339</v>
      </c>
      <c r="Z37" s="382">
        <f t="array" ref="Z37">IF($G37=0, INDEX(LS_previous!$D$4:$AY$138, MATCH('Staging Table'!$A37, LS_previous!$B$4:$B$138, 0), MATCH(Z$4&amp;Z$5, LS_previous!$D$2:$AY$2&amp;LS_previous!$D$3:$AY$3, 0)),SUM(VLOOKUP($A37, LS_previous!$B$4:$AY$138, LS_previous!R$149, FALSE), VLOOKUP('Staging Table'!$A37, LS_previous!$B$4:$AY$138,LS_previous!AP$149, FALSE))/2)</f>
        <v>-41318.288762204851</v>
      </c>
      <c r="AA37" s="382">
        <f t="array" ref="AA37">IF($G37=0, INDEX(LS_previous!$D$4:$AY$138, MATCH('Staging Table'!$A37, LS_previous!$B$4:$B$138, 0), MATCH(AA$4&amp;AA$5, LS_previous!$D$2:$AY$2&amp;LS_previous!$D$3:$AY$3, 0)),SUM(VLOOKUP($A37, LS_previous!$B$4:$AY$138, LS_previous!S$149, FALSE), VLOOKUP('Staging Table'!$A37, LS_previous!$B$4:$AY$138,LS_previous!AQ$149, FALSE))/2)</f>
        <v>-19922.132752362038</v>
      </c>
      <c r="AB37" s="382">
        <f t="array" ref="AB37">IF($G37=0, INDEX(LS_previous!$D$4:$AY$138, MATCH('Staging Table'!$A37, LS_previous!$B$4:$B$138, 0), MATCH(AB$4&amp;AB$5, LS_previous!$D$2:$AY$2&amp;LS_previous!$D$3:$AY$3, 0)),SUM(VLOOKUP($A37, LS_previous!$B$4:$AY$138, LS_previous!T$149, FALSE), VLOOKUP('Staging Table'!$A37, LS_previous!$B$4:$AY$138,LS_previous!AR$149, FALSE))/2)</f>
        <v>-31805.139113542235</v>
      </c>
      <c r="AC37" s="382">
        <f t="array" ref="AC37">IF($G37=0, INDEX(LS_previous!$D$4:$AY$138, MATCH('Staging Table'!$A37, LS_previous!$B$4:$B$138, 0), MATCH(AC$4&amp;AC$5, LS_previous!$D$2:$AY$2&amp;LS_previous!$D$3:$AY$3, 0)),SUM(VLOOKUP($A37, LS_previous!$B$4:$AY$138, LS_previous!U$149, FALSE), VLOOKUP('Staging Table'!$A37, LS_previous!$B$4:$AY$138,LS_previous!AS$149, FALSE))/2)</f>
        <v>-16186.874095124451</v>
      </c>
      <c r="AD37" s="382">
        <f t="array" ref="AD37">IF($G37=0, INDEX(LS_previous!$D$4:$AY$138, MATCH('Staging Table'!$A37, LS_previous!$B$4:$B$138, 0), MATCH(AD$4&amp;AD$5, LS_previous!$D$2:$AY$2&amp;LS_previous!$D$3:$AY$3, 0)),SUM(VLOOKUP($A37, LS_previous!$B$4:$AY$138, LS_previous!V$149, FALSE), VLOOKUP('Staging Table'!$A37, LS_previous!$B$4:$AY$138,LS_previous!AT$149, FALSE))/2)</f>
        <v>-29713.162937950641</v>
      </c>
      <c r="AE37" s="382">
        <f t="array" ref="AE37">IF($G37=0, INDEX(LS_previous!$D$4:$AY$138, MATCH('Staging Table'!$A37, LS_previous!$B$4:$B$138, 0), MATCH(AE$4&amp;AE$5, LS_previous!$D$2:$AY$2&amp;LS_previous!$D$3:$AY$3, 0)),SUM(VLOOKUP($A37, LS_previous!$B$4:$AY$138, LS_previous!W$149, FALSE), VLOOKUP('Staging Table'!$A37, LS_previous!$B$4:$AY$138,LS_previous!AU$149, FALSE))/2)</f>
        <v>-13521.073617356689</v>
      </c>
      <c r="AF37" s="382">
        <f t="array" ref="AF37">IF($G37=0, INDEX(LS_previous!$D$4:$AY$138, MATCH('Staging Table'!$A37, LS_previous!$B$4:$B$138, 0), MATCH(AF$4&amp;AF$5, LS_previous!$D$2:$AY$2&amp;LS_previous!$D$3:$AY$3, 0)),SUM(VLOOKUP($A37, LS_previous!$B$4:$AY$138, LS_previous!X$149, FALSE), VLOOKUP('Staging Table'!$A37, LS_previous!$B$4:$AY$138,LS_previous!AV$149, FALSE))/2)</f>
        <v>-32212.966411499106</v>
      </c>
      <c r="AG37" s="382">
        <f t="array" ref="AG37">IF($G37=0, INDEX(LS_previous!$D$4:$AY$138, MATCH('Staging Table'!$A37, LS_previous!$B$4:$B$138, 0), MATCH(AG$4&amp;AG$5, LS_previous!$D$2:$AY$2&amp;LS_previous!$D$3:$AY$3, 0)),SUM(VLOOKUP($A37, LS_previous!$B$4:$AY$138, LS_previous!Y$149, FALSE), VLOOKUP('Staging Table'!$A37, LS_previous!$B$4:$AY$138,LS_previous!AW$149, FALSE))/2)</f>
        <v>-13873.574839138604</v>
      </c>
      <c r="AH37" s="382">
        <f t="array" ref="AH37">IF($G37=0, INDEX(LS_previous!$D$4:$AY$138, MATCH('Staging Table'!$A37, LS_previous!$B$4:$B$138, 0), MATCH(AH$4&amp;AH$5, LS_previous!$D$2:$AY$2&amp;LS_previous!$D$3:$AY$3, 0)),SUM(VLOOKUP($A37, LS_previous!$B$4:$AY$138, LS_previous!Z$149, FALSE), VLOOKUP('Staging Table'!$A37, LS_previous!$B$4:$AY$138,LS_previous!AX$149, FALSE))/2)</f>
        <v>-23065.192950445569</v>
      </c>
      <c r="AI37" s="382">
        <f t="array" ref="AI37">IF($G37=0, INDEX(LS_previous!$D$4:$AY$138, MATCH('Staging Table'!$A37, LS_previous!$B$4:$B$138, 0), MATCH(AI$4&amp;AI$5, LS_previous!$D$2:$AY$2&amp;LS_previous!$D$3:$AY$3, 0)),SUM(VLOOKUP($A37, LS_previous!$B$4:$AY$138, LS_previous!AA$149, FALSE), VLOOKUP('Staging Table'!$A37, LS_previous!$B$4:$AY$138,LS_previous!AY$149, FALSE))/2)</f>
        <v>-12705.947526705864</v>
      </c>
      <c r="AJ37" s="384">
        <f t="array" ref="AJ37">INDEX(Demand_previous!$D$4:$AY$138, MATCH('Staging Table'!$A37, Demand_previous!$B$4:$B$138, 0), MATCH(AJ$4&amp;AJ$5,Demand_previous!$D$2:$AY$2&amp;Demand_previous!$D$3:$AY$3, 0))/1000</f>
        <v>0</v>
      </c>
      <c r="AK37" s="384">
        <f t="array" ref="AK37">INDEX(Demand_previous!$D$4:$AY$138, MATCH('Staging Table'!$A37, Demand_previous!$B$4:$B$138, 0), MATCH(AK$4&amp;AK$5,Demand_previous!$D$2:$AY$2&amp;Demand_previous!$D$3:$AY$3, 0))/1000</f>
        <v>0</v>
      </c>
      <c r="AL37" s="384">
        <f t="array" ref="AL37">INDEX(Demand_previous!$D$4:$AY$138, MATCH('Staging Table'!$A37, Demand_previous!$B$4:$B$138, 0), MATCH(AL$4&amp;AL$5,Demand_previous!$D$2:$AY$2&amp;Demand_previous!$D$3:$AY$3, 0))/1000</f>
        <v>2.2211201923076977</v>
      </c>
      <c r="AM37" s="384">
        <f t="array" ref="AM37">INDEX(Demand_previous!$D$4:$AY$138, MATCH('Staging Table'!$A37, Demand_previous!$B$4:$B$138, 0), MATCH(AM$4&amp;AM$5,Demand_previous!$D$2:$AY$2&amp;Demand_previous!$D$3:$AY$3, 0))/1000</f>
        <v>0</v>
      </c>
      <c r="AN37" s="384">
        <f t="array" ref="AN37">INDEX(Demand_previous!$D$4:$AY$138, MATCH('Staging Table'!$A37, Demand_previous!$B$4:$B$138, 0), MATCH(AN$4&amp;AN$5,Demand_previous!$D$2:$AY$2&amp;Demand_previous!$D$3:$AY$3, 0))/1000</f>
        <v>9.2492225000000055</v>
      </c>
      <c r="AO37" s="384">
        <f t="array" ref="AO37">INDEX(Demand_previous!$D$4:$AY$138, MATCH('Staging Table'!$A37, Demand_previous!$B$4:$B$138, 0), MATCH(AO$4&amp;AO$5,Demand_previous!$D$2:$AY$2&amp;Demand_previous!$D$3:$AY$3, 0))/1000</f>
        <v>0</v>
      </c>
      <c r="AP37" s="384">
        <f t="array" ref="AP37">INDEX(Demand_previous!$D$4:$AY$138, MATCH('Staging Table'!$A37, Demand_previous!$B$4:$B$138, 0), MATCH(AP$4&amp;AP$5,Demand_previous!$D$2:$AY$2&amp;Demand_previous!$D$3:$AY$3, 0))/1000</f>
        <v>0</v>
      </c>
      <c r="AQ37" s="384">
        <f t="array" ref="AQ37">INDEX(Demand_previous!$D$4:$AY$138, MATCH('Staging Table'!$A37, Demand_previous!$B$4:$B$138, 0), MATCH(AQ$4&amp;AQ$5,Demand_previous!$D$2:$AY$2&amp;Demand_previous!$D$3:$AY$3, 0))/1000</f>
        <v>0</v>
      </c>
      <c r="AR37" s="384">
        <f t="array" ref="AR37">INDEX(Demand_previous!$D$4:$AY$138, MATCH('Staging Table'!$A37, Demand_previous!$B$4:$B$138, 0), MATCH(AR$4&amp;AR$5,Demand_previous!$D$2:$AY$2&amp;Demand_previous!$D$3:$AY$3, 0))/1000</f>
        <v>0</v>
      </c>
      <c r="AS37" s="384">
        <f t="array" ref="AS37">INDEX(Demand_previous!$D$4:$AY$138, MATCH('Staging Table'!$A37, Demand_previous!$B$4:$B$138, 0), MATCH(AS$4&amp;AS$5,Demand_previous!$D$2:$AY$2&amp;Demand_previous!$D$3:$AY$3, 0))/1000</f>
        <v>0</v>
      </c>
      <c r="AT37" s="384">
        <f t="array" ref="AT37">INDEX(Demand_previous!$D$4:$AY$138, MATCH('Staging Table'!$A37, Demand_previous!$B$4:$B$138, 0), MATCH(AT$4&amp;AT$5,Demand_previous!$D$2:$AY$2&amp;Demand_previous!$D$3:$AY$3, 0))/1000</f>
        <v>0</v>
      </c>
      <c r="AU37" s="384">
        <f t="array" ref="AU37">INDEX(Demand_previous!$D$4:$AY$138, MATCH('Staging Table'!$A37, Demand_previous!$B$4:$B$138, 0), MATCH(AU$4&amp;AU$5,Demand_previous!$D$2:$AY$2&amp;Demand_previous!$D$3:$AY$3, 0))/1000</f>
        <v>0</v>
      </c>
      <c r="AV37" s="384">
        <f>IF($D37=0,IF(C37=0, MAX(AY37 - (VLOOKUP($A37,TOCA_previous!$A$2:$AI$137,MATCH("RHWM 2016",TOCA_previous!$A$2:$AI$2,0),FALSE)*$F$2*TOCA_previous!C34),0),0), 0)</f>
        <v>0</v>
      </c>
      <c r="AW37" s="427">
        <f>VLOOKUP($A37,REP_previous!$A$1:$D$135,MATCH("FY "&amp;$F$1&amp; " Total Refund",REP_previous!$A$1:$D$1,0),0)</f>
        <v>983836.72926358785</v>
      </c>
      <c r="AX37" s="398">
        <f>MIN(VLOOKUP($A37,TOCA_previous!$A$2:$AI$137,MATCH("TRL - NLSL - Exisiting Resource "&amp;$F$1,TOCA_previous!$A$2:$AI$2,0),FALSE)*$F$2,(VLOOKUP($A37,TOCA_previous!$A$2:$AI$137,MATCH("RHWM 2016",TOCA_previous!$A$2:$AI$2,0),FALSE)*$F$2))</f>
        <v>732849.12000000011</v>
      </c>
      <c r="AY37" s="384">
        <f>SUM(L37:AI37)+(F37*RT1SC!$C$3*$F$2)</f>
        <v>269978.10072498495</v>
      </c>
      <c r="AZ37" s="398">
        <f>VLOOKUP($A37,TOCA_previous!$A$2:$AI$137,MATCH("Above RHWM Not Served with LS "&amp;$F$1,TOCA_previous!$A$2:$AI$2,0),FALSE)*$F$2</f>
        <v>0</v>
      </c>
      <c r="BA37" s="206">
        <f t="shared" si="3"/>
        <v>-462871.01927501516</v>
      </c>
      <c r="BB37" s="399">
        <f>(VLOOKUP($A37,TOCA_previous!$A$2:$AI$137,MATCH("RHWM 2016",TOCA_previous!$A$2:$AI$2,0),FALSE)*$F$2) - $AX37</f>
        <v>10681.343999999925</v>
      </c>
      <c r="BC37" s="206">
        <f t="shared" si="4"/>
        <v>0</v>
      </c>
      <c r="BD37" s="400">
        <f t="shared" si="5"/>
        <v>462871.01927501516</v>
      </c>
      <c r="BE37" s="392">
        <f t="shared" si="6"/>
        <v>0</v>
      </c>
      <c r="BF37" s="399">
        <f t="shared" si="7"/>
        <v>462871.01927501516</v>
      </c>
      <c r="BG37" s="206">
        <f>VLOOKUP($A37,TOCA_current!$A$2:$AI$137,MATCH(BG$4,TOCA_current!$A$2:$AI$2,0),FALSE)</f>
        <v>4.4377000000000002E-3</v>
      </c>
      <c r="BH37" s="206">
        <f>VLOOKUP($A37,TOCA_current!$A$2:$AI$137,MATCH(BH$4,TOCA_current!$A$2:$AI$2,0),FALSE)</f>
        <v>4.4377000000000002E-3</v>
      </c>
      <c r="BI37" s="391">
        <f t="shared" si="8"/>
        <v>0</v>
      </c>
      <c r="BJ37" s="206">
        <f>VLOOKUP($A37,TOCA_current!A33:BG168,MATCH(BJ$4,TOCA_current!$A$2:$BG$2,0),FALSE)</f>
        <v>0</v>
      </c>
      <c r="BK37" s="206">
        <f t="shared" si="9"/>
        <v>0</v>
      </c>
      <c r="BL37" s="206">
        <f t="shared" si="10"/>
        <v>0</v>
      </c>
      <c r="BM37" s="381">
        <f>VLOOKUP($A37,IRD!$A$4:$G$139, 7, FALSE)</f>
        <v>0</v>
      </c>
      <c r="BN37" s="382">
        <f t="array" ref="BN37">IF($BI37=0, INDEX(LS_current!$D$4:$AY$139, MATCH('Staging Table'!$A37, LS_current!$B$4:$B$139, 0), MATCH(BN$4&amp;BN$5, LS_current!$D$2:$AY$2&amp;LS_current!$D$3:$AY$3, 0)),SUM(VLOOKUP($A37, LS_current!$B$4:$AY$139, LS_current!D$149, FALSE), VLOOKUP($A37, LS_current!$B$4:$AY$139,LS_current!D$149, FALSE))/2)</f>
        <v>-1505.8740055618237</v>
      </c>
      <c r="BO37" s="382">
        <f t="array" ref="BO37">IF($BI37=0, INDEX(LS_current!$D$4:$AY$139, MATCH('Staging Table'!$A37, LS_current!$B$4:$B$139, 0), MATCH(BO$4&amp;BO$5, LS_current!$D$2:$AY$2&amp;LS_current!$D$3:$AY$3, 0)),SUM(VLOOKUP($A37, LS_current!$B$4:$AY$139, LS_current!E$149, FALSE), VLOOKUP($A37, LS_current!$B$4:$AY$139,LS_current!E$149, FALSE))/2)</f>
        <v>2016.2166674059381</v>
      </c>
      <c r="BP37" s="382">
        <f t="array" ref="BP37">IF($BI37=0, INDEX(LS_current!$D$4:$AY$139, MATCH('Staging Table'!$A37, LS_current!$B$4:$B$139, 0), MATCH(BP$4&amp;BP$5, LS_current!$D$2:$AY$2&amp;LS_current!$D$3:$AY$3, 0)),SUM(VLOOKUP($A37, LS_current!$B$4:$AY$139, LS_current!F$149, FALSE), VLOOKUP($A37, LS_current!$B$4:$AY$139,LS_current!F$149, FALSE))/2)</f>
        <v>-1006.0348134666874</v>
      </c>
      <c r="BQ37" s="382">
        <f t="array" ref="BQ37">IF($BI37=0, INDEX(LS_current!$D$4:$AY$139, MATCH('Staging Table'!$A37, LS_current!$B$4:$B$139, 0), MATCH(BQ$4&amp;BQ$5, LS_current!$D$2:$AY$2&amp;LS_current!$D$3:$AY$3, 0)),SUM(VLOOKUP($A37, LS_current!$B$4:$AY$139, LS_current!G$149, FALSE), VLOOKUP($A37, LS_current!$B$4:$AY$139,LS_current!G$149, FALSE))/2)</f>
        <v>3990.1532811220313</v>
      </c>
      <c r="BR37" s="382">
        <f t="array" ref="BR37">IF($BI37=0, INDEX(LS_current!$D$4:$AY$139, MATCH('Staging Table'!$A37, LS_current!$B$4:$B$139, 0), MATCH(BR$4&amp;BR$5, LS_current!$D$2:$AY$2&amp;LS_current!$D$3:$AY$3, 0)),SUM(VLOOKUP($A37, LS_current!$B$4:$AY$139, LS_current!H$149, FALSE), VLOOKUP($A37, LS_current!$B$4:$AY$139,LS_current!H$149, FALSE))/2)</f>
        <v>2503.572750486248</v>
      </c>
      <c r="BS37" s="382">
        <f t="array" ref="BS37">IF($BI37=0, INDEX(LS_current!$D$4:$AY$139, MATCH('Staging Table'!$A37, LS_current!$B$4:$B$139, 0), MATCH(BS$4&amp;BS$5, LS_current!$D$2:$AY$2&amp;LS_current!$D$3:$AY$3, 0)),SUM(VLOOKUP($A37, LS_current!$B$4:$AY$139, LS_current!I$149, FALSE), VLOOKUP($A37, LS_current!$B$4:$AY$139,LS_current!I$149, FALSE))/2)</f>
        <v>4139.5342917269336</v>
      </c>
      <c r="BT37" s="382">
        <f t="array" ref="BT37">IF($BI37=0, INDEX(LS_current!$D$4:$AY$139, MATCH('Staging Table'!$A37, LS_current!$B$4:$B$139, 0), MATCH(BT$4&amp;BT$5, LS_current!$D$2:$AY$2&amp;LS_current!$D$3:$AY$3, 0)),SUM(VLOOKUP($A37, LS_current!$B$4:$AY$139, LS_current!J$149, FALSE), VLOOKUP($A37, LS_current!$B$4:$AY$139,LS_current!J$149, FALSE))/2)</f>
        <v>3471.7010134061311</v>
      </c>
      <c r="BU37" s="382">
        <f t="array" ref="BU37">IF($BI37=0, INDEX(LS_current!$D$4:$AY$139, MATCH('Staging Table'!$A37, LS_current!$B$4:$B$139, 0), MATCH(BU$4&amp;BU$5, LS_current!$D$2:$AY$2&amp;LS_current!$D$3:$AY$3, 0)),SUM(VLOOKUP($A37, LS_current!$B$4:$AY$139, LS_current!K$149, FALSE), VLOOKUP($A37, LS_current!$B$4:$AY$139,LS_current!K$149, FALSE))/2)</f>
        <v>6428.0155481183374</v>
      </c>
      <c r="BV37" s="382">
        <f t="array" ref="BV37">IF($BI37=0, INDEX(LS_current!$D$4:$AY$139, MATCH('Staging Table'!$A37, LS_current!$B$4:$B$139, 0), MATCH(BV$4&amp;BV$5, LS_current!$D$2:$AY$2&amp;LS_current!$D$3:$AY$3, 0)),SUM(VLOOKUP($A37, LS_current!$B$4:$AY$139, LS_current!L$149, FALSE), VLOOKUP($A37, LS_current!$B$4:$AY$139,LS_current!L$149, FALSE))/2)</f>
        <v>2932.8176622557512</v>
      </c>
      <c r="BW37" s="382">
        <f t="array" ref="BW37">IF($BI37=0, INDEX(LS_current!$D$4:$AY$139, MATCH('Staging Table'!$A37, LS_current!$B$4:$B$139, 0), MATCH(BW$4&amp;BW$5, LS_current!$D$2:$AY$2&amp;LS_current!$D$3:$AY$3, 0)),SUM(VLOOKUP($A37, LS_current!$B$4:$AY$139, LS_current!M$149, FALSE), VLOOKUP($A37, LS_current!$B$4:$AY$139,LS_current!M$149, FALSE))/2)</f>
        <v>4703.9108382073273</v>
      </c>
      <c r="BX37" s="382">
        <f t="array" ref="BX37">IF($BI37=0, INDEX(LS_current!$D$4:$AY$139, MATCH('Staging Table'!$A37, LS_current!$B$4:$B$139, 0), MATCH(BX$4&amp;BX$5, LS_current!$D$2:$AY$2&amp;LS_current!$D$3:$AY$3, 0)),SUM(VLOOKUP($A37, LS_current!$B$4:$AY$139, LS_current!N$149, FALSE), VLOOKUP($A37, LS_current!$B$4:$AY$139,LS_current!N$149, FALSE))/2)</f>
        <v>282.76401673252258</v>
      </c>
      <c r="BY37" s="382">
        <f t="array" ref="BY37">IF($BI37=0, INDEX(LS_current!$D$4:$AY$139, MATCH('Staging Table'!$A37, LS_current!$B$4:$B$139, 0), MATCH(BY$4&amp;BY$5, LS_current!$D$2:$AY$2&amp;LS_current!$D$3:$AY$3, 0)),SUM(VLOOKUP($A37, LS_current!$B$4:$AY$139, LS_current!O$149, FALSE), VLOOKUP($A37, LS_current!$B$4:$AY$139,LS_current!O$149, FALSE))/2)</f>
        <v>2955.623744765523</v>
      </c>
      <c r="BZ37" s="382">
        <f t="array" ref="BZ37">IF($BI37=0, INDEX(LS_current!$D$4:$AY$139, MATCH('Staging Table'!$A37, LS_current!$B$4:$B$139, 0), MATCH(BZ$4&amp;BZ$5, LS_current!$D$2:$AY$2&amp;LS_current!$D$3:$AY$3, 0)),SUM(VLOOKUP($A37, LS_current!$B$4:$AY$139, LS_current!P$149, FALSE), VLOOKUP($A37, LS_current!$B$4:$AY$139,LS_current!P$149, FALSE))/2)</f>
        <v>-561.49135664010646</v>
      </c>
      <c r="CA37" s="382">
        <f t="array" ref="CA37">IF($BI37=0, INDEX(LS_current!$D$4:$AY$139, MATCH('Staging Table'!$A37, LS_current!$B$4:$B$139, 0), MATCH(CA$4&amp;CA$5, LS_current!$D$2:$AY$2&amp;LS_current!$D$3:$AY$3, 0)),SUM(VLOOKUP($A37, LS_current!$B$4:$AY$139, LS_current!Q$149, FALSE), VLOOKUP($A37, LS_current!$B$4:$AY$139,LS_current!Q$149, FALSE))/2)</f>
        <v>2341.8025091203817</v>
      </c>
      <c r="CB37" s="382">
        <f t="array" ref="CB37">IF($BI37=0, INDEX(LS_current!$D$4:$AY$139, MATCH('Staging Table'!$A37, LS_current!$B$4:$B$139, 0), MATCH(CB$4&amp;CB$5, LS_current!$D$2:$AY$2&amp;LS_current!$D$3:$AY$3, 0)),SUM(VLOOKUP($A37, LS_current!$B$4:$AY$139, LS_current!R$149, FALSE), VLOOKUP($A37, LS_current!$B$4:$AY$139,LS_current!R$149, FALSE))/2)</f>
        <v>-8814.4232127672021</v>
      </c>
      <c r="CC37" s="382">
        <f t="array" ref="CC37">IF($BI37=0, INDEX(LS_current!$D$4:$AY$139, MATCH('Staging Table'!$A37, LS_current!$B$4:$B$139, 0), MATCH(CC$4&amp;CC$5, LS_current!$D$2:$AY$2&amp;LS_current!$D$3:$AY$3, 0)),SUM(VLOOKUP($A37, LS_current!$B$4:$AY$139, LS_current!S$149, FALSE), VLOOKUP($A37, LS_current!$B$4:$AY$139,LS_current!S$149, FALSE))/2)</f>
        <v>-2129.0674912445265</v>
      </c>
      <c r="CD37" s="382">
        <f t="array" ref="CD37">IF($BI37=0, INDEX(LS_current!$D$4:$AY$139, MATCH('Staging Table'!$A37, LS_current!$B$4:$B$139, 0), MATCH(CD$4&amp;CD$5, LS_current!$D$2:$AY$2&amp;LS_current!$D$3:$AY$3, 0)),SUM(VLOOKUP($A37, LS_current!$B$4:$AY$139, LS_current!T$149, FALSE), VLOOKUP($A37, LS_current!$B$4:$AY$139,LS_current!T$149, FALSE))/2)</f>
        <v>-5653.6639784718282</v>
      </c>
      <c r="CE37" s="382">
        <f t="array" ref="CE37">IF($BI37=0, INDEX(LS_current!$D$4:$AY$139, MATCH('Staging Table'!$A37, LS_current!$B$4:$B$139, 0), MATCH(CE$4&amp;CE$5, LS_current!$D$2:$AY$2&amp;LS_current!$D$3:$AY$3, 0)),SUM(VLOOKUP($A37, LS_current!$B$4:$AY$139, LS_current!U$149, FALSE), VLOOKUP($A37, LS_current!$B$4:$AY$139,LS_current!U$149, FALSE))/2)</f>
        <v>-810.70264357313135</v>
      </c>
      <c r="CF37" s="382">
        <f t="array" ref="CF37">IF($BI37=0, INDEX(LS_current!$D$4:$AY$139, MATCH('Staging Table'!$A37, LS_current!$B$4:$B$139, 0), MATCH(CF$4&amp;CF$5, LS_current!$D$2:$AY$2&amp;LS_current!$D$3:$AY$3, 0)),SUM(VLOOKUP($A37, LS_current!$B$4:$AY$139, LS_current!V$149, FALSE), VLOOKUP($A37, LS_current!$B$4:$AY$139,LS_current!V$149, FALSE))/2)</f>
        <v>-4582.0675829364609</v>
      </c>
      <c r="CG37" s="382">
        <f t="array" ref="CG37">IF($BI37=0, INDEX(LS_current!$D$4:$AY$139, MATCH('Staging Table'!$A37, LS_current!$B$4:$B$139, 0), MATCH(CG$4&amp;CG$5, LS_current!$D$2:$AY$2&amp;LS_current!$D$3:$AY$3, 0)),SUM(VLOOKUP($A37, LS_current!$B$4:$AY$139, LS_current!W$149, FALSE), VLOOKUP($A37, LS_current!$B$4:$AY$139,LS_current!W$149, FALSE))/2)</f>
        <v>1.0477028516252176</v>
      </c>
      <c r="CH37" s="382">
        <f t="array" ref="CH37">IF($BI37=0, INDEX(LS_current!$D$4:$AY$139, MATCH('Staging Table'!$A37, LS_current!$B$4:$B$139, 0), MATCH(CH$4&amp;CH$5, LS_current!$D$2:$AY$2&amp;LS_current!$D$3:$AY$3, 0)),SUM(VLOOKUP($A37, LS_current!$B$4:$AY$139, LS_current!X$149, FALSE), VLOOKUP($A37, LS_current!$B$4:$AY$139,LS_current!X$149, FALSE))/2)</f>
        <v>-6189.0547699849376</v>
      </c>
      <c r="CI37" s="382">
        <f t="array" ref="CI37">IF($BI37=0, INDEX(LS_current!$D$4:$AY$139, MATCH('Staging Table'!$A37, LS_current!$B$4:$B$139, 0), MATCH(CI$4&amp;CI$5, LS_current!$D$2:$AY$2&amp;LS_current!$D$3:$AY$3, 0)),SUM(VLOOKUP($A37, LS_current!$B$4:$AY$139, LS_current!Y$149, FALSE), VLOOKUP($A37, LS_current!$B$4:$AY$139,LS_current!Y$149, FALSE))/2)</f>
        <v>-436.87787247095184</v>
      </c>
      <c r="CJ37" s="382">
        <f t="array" ref="CJ37">IF($BI37=0, INDEX(LS_current!$D$4:$AY$139, MATCH('Staging Table'!$A37, LS_current!$B$4:$B$139, 0), MATCH(CJ$4&amp;CJ$5, LS_current!$D$2:$AY$2&amp;LS_current!$D$3:$AY$3, 0)),SUM(VLOOKUP($A37, LS_current!$B$4:$AY$139, LS_current!Z$149, FALSE), VLOOKUP($A37, LS_current!$B$4:$AY$139,LS_current!Z$149, FALSE))/2)</f>
        <v>-4040.0578659224393</v>
      </c>
      <c r="CK37" s="382">
        <f t="array" ref="CK37">IF($BI37=0, INDEX(LS_current!$D$4:$AY$139, MATCH('Staging Table'!$A37, LS_current!$B$4:$B$139, 0), MATCH(CK$4&amp;CK$5, LS_current!$D$2:$AY$2&amp;LS_current!$D$3:$AY$3, 0)),SUM(VLOOKUP($A37, LS_current!$B$4:$AY$139, LS_current!AA$149, FALSE), VLOOKUP($A37, LS_current!$B$4:$AY$139,LS_current!AA$149, FALSE))/2)</f>
        <v>-35.434999638961926</v>
      </c>
      <c r="CL37" s="384">
        <f t="array" ref="CL37">INDEX(Demand_current!$D$4:$AY$138, MATCH($A37, Demand_current!$B$4:$B$138, 0), MATCH(CL$4&amp;CL$5,Demand_current!$D$2:$AY$2&amp;Demand_current!$D$3:$AY$3, 0))/1000</f>
        <v>0</v>
      </c>
      <c r="CM37" s="384">
        <f t="array" ref="CM37">INDEX(Demand_current!$D$4:$AY$138, MATCH($A37, Demand_current!$B$4:$B$138, 0), MATCH(CM$4&amp;CM$5,Demand_current!$D$2:$AY$2&amp;Demand_current!$D$3:$AY$3, 0))/1000</f>
        <v>0</v>
      </c>
      <c r="CN37" s="384">
        <f t="array" ref="CN37">INDEX(Demand_current!$D$4:$AY$138, MATCH($A37, Demand_current!$B$4:$B$138, 0), MATCH(CN$4&amp;CN$5,Demand_current!$D$2:$AY$2&amp;Demand_current!$D$3:$AY$3, 0))/1000</f>
        <v>0.45848500000000675</v>
      </c>
      <c r="CO37" s="384">
        <f t="array" ref="CO37">INDEX(Demand_current!$D$4:$AY$138, MATCH($A37, Demand_current!$B$4:$B$138, 0), MATCH(CO$4&amp;CO$5,Demand_current!$D$2:$AY$2&amp;Demand_current!$D$3:$AY$3, 0))/1000</f>
        <v>0.30235336538460794</v>
      </c>
      <c r="CP37" s="384">
        <f t="array" ref="CP37">INDEX(Demand_current!$D$4:$AY$138, MATCH($A37, Demand_current!$B$4:$B$138, 0), MATCH(CP$4&amp;CP$5,Demand_current!$D$2:$AY$2&amp;Demand_current!$D$3:$AY$3, 0))/1000</f>
        <v>7.7726901041666743</v>
      </c>
      <c r="CQ37" s="384">
        <f t="array" ref="CQ37">INDEX(Demand_current!$D$4:$AY$138, MATCH($A37, Demand_current!$B$4:$B$138, 0), MATCH(CQ$4&amp;CQ$5,Demand_current!$D$2:$AY$2&amp;Demand_current!$D$3:$AY$3, 0))/1000</f>
        <v>0</v>
      </c>
      <c r="CR37" s="384">
        <f t="array" ref="CR37">INDEX(Demand_current!$D$4:$AY$138, MATCH($A37, Demand_current!$B$4:$B$138, 0), MATCH(CR$4&amp;CR$5,Demand_current!$D$2:$AY$2&amp;Demand_current!$D$3:$AY$3, 0))/1000</f>
        <v>0</v>
      </c>
      <c r="CS37" s="384">
        <f t="array" ref="CS37">INDEX(Demand_current!$D$4:$AY$138, MATCH($A37, Demand_current!$B$4:$B$138, 0), MATCH(CS$4&amp;CS$5,Demand_current!$D$2:$AY$2&amp;Demand_current!$D$3:$AY$3, 0))/1000</f>
        <v>0</v>
      </c>
      <c r="CT37" s="384">
        <f t="array" ref="CT37">INDEX(Demand_current!$D$4:$AY$138, MATCH($A37, Demand_current!$B$4:$B$138, 0), MATCH(CT$4&amp;CT$5,Demand_current!$D$2:$AY$2&amp;Demand_current!$D$3:$AY$3, 0))/1000</f>
        <v>0</v>
      </c>
      <c r="CU37" s="384">
        <f t="array" ref="CU37">INDEX(Demand_current!$D$4:$AY$138, MATCH($A37, Demand_current!$B$4:$B$138, 0), MATCH(CU$4&amp;CU$5,Demand_current!$D$2:$AY$2&amp;Demand_current!$D$3:$AY$3, 0))/1000</f>
        <v>0</v>
      </c>
      <c r="CV37" s="384">
        <f t="array" ref="CV37">INDEX(Demand_current!$D$4:$AY$138, MATCH($A37, Demand_current!$B$4:$B$138, 0), MATCH(CV$4&amp;CV$5,Demand_current!$D$2:$AY$2&amp;Demand_current!$D$3:$AY$3, 0))/1000</f>
        <v>0</v>
      </c>
      <c r="CW37" s="384">
        <f t="array" ref="CW37">INDEX(Demand_current!$D$4:$AY$138, MATCH($A37, Demand_current!$B$4:$B$138, 0), MATCH(CW$4&amp;CW$5,Demand_current!$D$2:$AY$2&amp;Demand_current!$D$3:$AY$3, 0))/1000</f>
        <v>0</v>
      </c>
      <c r="CX37" s="384">
        <f>IF(D37=0,IF(C37=0,MAX(0,DA37 - (VLOOKUP($A37,TOCA_current!$A$2:$AI$137,MATCH("RHWM 2018",TOCA_current!$A$2:$AI$2,0),FALSE)*$BH$2)), 0),0)</f>
        <v>0</v>
      </c>
      <c r="CY37" s="427">
        <f>VLOOKUP($A37,REP_current!$A$1:$D$135,MATCH("FY "&amp;$BH$1&amp; " Total Refund",REP_current!$A$1:$D$1,0),0)</f>
        <v>693203.97036166384</v>
      </c>
      <c r="CZ37" s="432">
        <f>MIN(VLOOKUP($A37,TOCA_current!$A$2:$AI$137,MATCH("TRL - NLSL - Existing Resource "&amp;$BH$1,TOCA_current!$A$2:$AI$2,0),FALSE)*$BH$2, VLOOKUP($A37,TOCA_current!$A$2:$AI$137,MATCH("RHWM 2018",TOCA_current!$A$2:$AI$2,0),FALSE)*$BH$2)</f>
        <v>269974.44</v>
      </c>
      <c r="DA37" s="397">
        <f>SUM(BN37:CK37)+(BH37*RT1SC!$C$4*$BH$2)</f>
        <v>269978.1029387117</v>
      </c>
      <c r="DB37" s="432">
        <f>VLOOKUP($A37,TOCA_current!$A$2:$AI$137,MATCH("Above RHWM Not Served with LS "&amp;$BH$1,TOCA_current!$A$2:$AI$2,0),FALSE)*$BH$2</f>
        <v>0</v>
      </c>
      <c r="DC37" s="401">
        <f t="shared" si="11"/>
        <v>3.6629387116990983</v>
      </c>
      <c r="DD37" s="397">
        <f>(VLOOKUP($A37,TOCA_current!$A$2:$AI$137,MATCH("RHWM 2018",TOCA_current!$A$2:$AI$2,0),FALSE)*$BH$2) - $CZ37</f>
        <v>466811.64000000007</v>
      </c>
      <c r="DE37" s="397">
        <f t="shared" si="12"/>
        <v>-3.6629387116990983</v>
      </c>
      <c r="DF37" s="397">
        <f t="shared" si="13"/>
        <v>0</v>
      </c>
      <c r="DG37" s="397">
        <f t="shared" si="14"/>
        <v>0</v>
      </c>
      <c r="DH37" s="397">
        <f t="shared" si="15"/>
        <v>-3.6629387116990983</v>
      </c>
    </row>
    <row r="38" spans="1:112">
      <c r="A38" s="274">
        <v>10089</v>
      </c>
      <c r="B38" s="275" t="s">
        <v>39</v>
      </c>
      <c r="C38" s="397">
        <v>0</v>
      </c>
      <c r="D38" s="397">
        <v>0</v>
      </c>
      <c r="E38" s="205">
        <f>VLOOKUP($A38,TOCA_previous!$A$2:$AI$137,MATCH(E$4,TOCA_previous!$A$2:$AI$2,0),FALSE)</f>
        <v>1.4684300000000001E-2</v>
      </c>
      <c r="F38" s="206">
        <f>VLOOKUP($A38,TOCA_previous!$A$2:$AI$137,MATCH(F$4,TOCA_previous!$A$2:$AI$2,0),FALSE)</f>
        <v>1.4684300000000001E-2</v>
      </c>
      <c r="G38" s="206">
        <f t="shared" si="0"/>
        <v>0</v>
      </c>
      <c r="H38" s="206">
        <f>VLOOKUP($A38,TOCA_previous!$A$2:$AI$137,MATCH(H$4,TOCA_previous!$A$2:$AI$2,0),FALSE)</f>
        <v>0</v>
      </c>
      <c r="I38" s="206">
        <f t="shared" si="1"/>
        <v>0</v>
      </c>
      <c r="J38" s="206">
        <f t="shared" si="2"/>
        <v>0</v>
      </c>
      <c r="K38" s="381">
        <f>VLOOKUP(A38, IRD!$A$5:$C$139, 3, FALSE)</f>
        <v>0</v>
      </c>
      <c r="L38" s="382">
        <f t="array" ref="L38">IF($G38=0, INDEX(LS_previous!$D$4:$AY$138, MATCH('Staging Table'!$A38, LS_previous!$B$4:$B$138, 0), MATCH(L$4&amp;L$5, LS_previous!$D$2:$AY$2&amp;LS_previous!$D$3:$AY$3, 0)),SUM(VLOOKUP($A38, LS_previous!$B$4:$AY$138, LS_previous!D$149, FALSE), VLOOKUP('Staging Table'!$A38, LS_previous!$B$4:$AY$138,LS_previous!AB$149, FALSE))/2)</f>
        <v>-1986.4798029974409</v>
      </c>
      <c r="M38" s="382">
        <f t="array" ref="M38">IF($G38=0, INDEX(LS_previous!$D$4:$AY$138, MATCH('Staging Table'!$A38, LS_previous!$B$4:$B$138, 0), MATCH(M$4&amp;M$5, LS_previous!$D$2:$AY$2&amp;LS_previous!$D$3:$AY$3, 0)),SUM(VLOOKUP($A38, LS_previous!$B$4:$AY$138, LS_previous!E$149, FALSE), VLOOKUP('Staging Table'!$A38, LS_previous!$B$4:$AY$138,LS_previous!AC$149, FALSE))/2)</f>
        <v>1963.6117386939914</v>
      </c>
      <c r="N38" s="382">
        <f t="array" ref="N38">IF($G38=0, INDEX(LS_previous!$D$4:$AY$138, MATCH('Staging Table'!$A38, LS_previous!$B$4:$B$138, 0), MATCH(N$4&amp;N$5, LS_previous!$D$2:$AY$2&amp;LS_previous!$D$3:$AY$3, 0)),SUM(VLOOKUP($A38, LS_previous!$B$4:$AY$138, LS_previous!F$149, FALSE), VLOOKUP('Staging Table'!$A38, LS_previous!$B$4:$AY$138,LS_previous!AD$149, FALSE))/2)</f>
        <v>-5266.3661375015508</v>
      </c>
      <c r="O38" s="382">
        <f t="array" ref="O38">IF($G38=0, INDEX(LS_previous!$D$4:$AY$138, MATCH('Staging Table'!$A38, LS_previous!$B$4:$B$138, 0), MATCH(O$4&amp;O$5, LS_previous!$D$2:$AY$2&amp;LS_previous!$D$3:$AY$3, 0)),SUM(VLOOKUP($A38, LS_previous!$B$4:$AY$138, LS_previous!G$149, FALSE), VLOOKUP('Staging Table'!$A38, LS_previous!$B$4:$AY$138,LS_previous!AE$149, FALSE))/2)</f>
        <v>674.41002582891088</v>
      </c>
      <c r="P38" s="382">
        <f t="array" ref="P38">IF($G38=0, INDEX(LS_previous!$D$4:$AY$138, MATCH('Staging Table'!$A38, LS_previous!$B$4:$B$138, 0), MATCH(P$4&amp;P$5, LS_previous!$D$2:$AY$2&amp;LS_previous!$D$3:$AY$3, 0)),SUM(VLOOKUP($A38, LS_previous!$B$4:$AY$138, LS_previous!H$149, FALSE), VLOOKUP('Staging Table'!$A38, LS_previous!$B$4:$AY$138,LS_previous!AF$149, FALSE))/2)</f>
        <v>7154.0285444005131</v>
      </c>
      <c r="Q38" s="382">
        <f t="array" ref="Q38">IF($G38=0, INDEX(LS_previous!$D$4:$AY$138, MATCH('Staging Table'!$A38, LS_previous!$B$4:$B$138, 0), MATCH(Q$4&amp;Q$5, LS_previous!$D$2:$AY$2&amp;LS_previous!$D$3:$AY$3, 0)),SUM(VLOOKUP($A38, LS_previous!$B$4:$AY$138, LS_previous!I$149, FALSE), VLOOKUP('Staging Table'!$A38, LS_previous!$B$4:$AY$138,LS_previous!AG$149, FALSE))/2)</f>
        <v>12070.246914603667</v>
      </c>
      <c r="R38" s="382">
        <f t="array" ref="R38">IF($G38=0, INDEX(LS_previous!$D$4:$AY$138, MATCH('Staging Table'!$A38, LS_previous!$B$4:$B$138, 0), MATCH(R$4&amp;R$5, LS_previous!$D$2:$AY$2&amp;LS_previous!$D$3:$AY$3, 0)),SUM(VLOOKUP($A38, LS_previous!$B$4:$AY$138, LS_previous!J$149, FALSE), VLOOKUP('Staging Table'!$A38, LS_previous!$B$4:$AY$138,LS_previous!AH$149, FALSE))/2)</f>
        <v>15493.878968966979</v>
      </c>
      <c r="S38" s="382">
        <f t="array" ref="S38">IF($G38=0, INDEX(LS_previous!$D$4:$AY$138, MATCH('Staging Table'!$A38, LS_previous!$B$4:$B$138, 0), MATCH(S$4&amp;S$5, LS_previous!$D$2:$AY$2&amp;LS_previous!$D$3:$AY$3, 0)),SUM(VLOOKUP($A38, LS_previous!$B$4:$AY$138, LS_previous!K$149, FALSE), VLOOKUP('Staging Table'!$A38, LS_previous!$B$4:$AY$138,LS_previous!AI$149, FALSE))/2)</f>
        <v>13045.459042718288</v>
      </c>
      <c r="T38" s="382">
        <f t="array" ref="T38">IF($G38=0, INDEX(LS_previous!$D$4:$AY$138, MATCH('Staging Table'!$A38, LS_previous!$B$4:$B$138, 0), MATCH(T$4&amp;T$5, LS_previous!$D$2:$AY$2&amp;LS_previous!$D$3:$AY$3, 0)),SUM(VLOOKUP($A38, LS_previous!$B$4:$AY$138, LS_previous!L$149, FALSE), VLOOKUP('Staging Table'!$A38, LS_previous!$B$4:$AY$138,LS_previous!AJ$149, FALSE))/2)</f>
        <v>9177.1200954118103</v>
      </c>
      <c r="U38" s="382">
        <f t="array" ref="U38">IF($G38=0, INDEX(LS_previous!$D$4:$AY$138, MATCH('Staging Table'!$A38, LS_previous!$B$4:$B$138, 0), MATCH(U$4&amp;U$5, LS_previous!$D$2:$AY$2&amp;LS_previous!$D$3:$AY$3, 0)),SUM(VLOOKUP($A38, LS_previous!$B$4:$AY$138, LS_previous!M$149, FALSE), VLOOKUP('Staging Table'!$A38, LS_previous!$B$4:$AY$138,LS_previous!AK$149, FALSE))/2)</f>
        <v>8564.9318393445828</v>
      </c>
      <c r="V38" s="382">
        <f t="array" ref="V38">IF($G38=0, INDEX(LS_previous!$D$4:$AY$138, MATCH('Staging Table'!$A38, LS_previous!$B$4:$B$138, 0), MATCH(V$4&amp;V$5, LS_previous!$D$2:$AY$2&amp;LS_previous!$D$3:$AY$3, 0)),SUM(VLOOKUP($A38, LS_previous!$B$4:$AY$138, LS_previous!N$149, FALSE), VLOOKUP('Staging Table'!$A38, LS_previous!$B$4:$AY$138,LS_previous!AL$149, FALSE))/2)</f>
        <v>-331.89502417293261</v>
      </c>
      <c r="W38" s="382">
        <f t="array" ref="W38">IF($G38=0, INDEX(LS_previous!$D$4:$AY$138, MATCH('Staging Table'!$A38, LS_previous!$B$4:$B$138, 0), MATCH(W$4&amp;W$5, LS_previous!$D$2:$AY$2&amp;LS_previous!$D$3:$AY$3, 0)),SUM(VLOOKUP($A38, LS_previous!$B$4:$AY$138, LS_previous!O$149, FALSE), VLOOKUP('Staging Table'!$A38, LS_previous!$B$4:$AY$138,LS_previous!AM$149, FALSE))/2)</f>
        <v>309.14145869618369</v>
      </c>
      <c r="X38" s="382">
        <f t="array" ref="X38">IF($G38=0, INDEX(LS_previous!$D$4:$AY$138, MATCH('Staging Table'!$A38, LS_previous!$B$4:$B$138, 0), MATCH(X$4&amp;X$5, LS_previous!$D$2:$AY$2&amp;LS_previous!$D$3:$AY$3, 0)),SUM(VLOOKUP($A38, LS_previous!$B$4:$AY$138, LS_previous!P$149, FALSE), VLOOKUP('Staging Table'!$A38, LS_previous!$B$4:$AY$138,LS_previous!AN$149, FALSE))/2)</f>
        <v>3384.021656189354</v>
      </c>
      <c r="Y38" s="382">
        <f t="array" ref="Y38">IF($G38=0, INDEX(LS_previous!$D$4:$AY$138, MATCH('Staging Table'!$A38, LS_previous!$B$4:$B$138, 0), MATCH(Y$4&amp;Y$5, LS_previous!$D$2:$AY$2&amp;LS_previous!$D$3:$AY$3, 0)),SUM(VLOOKUP($A38, LS_previous!$B$4:$AY$138, LS_previous!Q$149, FALSE), VLOOKUP('Staging Table'!$A38, LS_previous!$B$4:$AY$138,LS_previous!AO$149, FALSE))/2)</f>
        <v>4281.0601927362368</v>
      </c>
      <c r="Z38" s="382">
        <f t="array" ref="Z38">IF($G38=0, INDEX(LS_previous!$D$4:$AY$138, MATCH('Staging Table'!$A38, LS_previous!$B$4:$B$138, 0), MATCH(Z$4&amp;Z$5, LS_previous!$D$2:$AY$2&amp;LS_previous!$D$3:$AY$3, 0)),SUM(VLOOKUP($A38, LS_previous!$B$4:$AY$138, LS_previous!R$149, FALSE), VLOOKUP('Staging Table'!$A38, LS_previous!$B$4:$AY$138,LS_previous!AP$149, FALSE))/2)</f>
        <v>-17428.902009972444</v>
      </c>
      <c r="AA38" s="382">
        <f t="array" ref="AA38">IF($G38=0, INDEX(LS_previous!$D$4:$AY$138, MATCH('Staging Table'!$A38, LS_previous!$B$4:$B$138, 0), MATCH(AA$4&amp;AA$5, LS_previous!$D$2:$AY$2&amp;LS_previous!$D$3:$AY$3, 0)),SUM(VLOOKUP($A38, LS_previous!$B$4:$AY$138, LS_previous!S$149, FALSE), VLOOKUP('Staging Table'!$A38, LS_previous!$B$4:$AY$138,LS_previous!AQ$149, FALSE))/2)</f>
        <v>-6487.5435171258978</v>
      </c>
      <c r="AB38" s="382">
        <f t="array" ref="AB38">IF($G38=0, INDEX(LS_previous!$D$4:$AY$138, MATCH('Staging Table'!$A38, LS_previous!$B$4:$B$138, 0), MATCH(AB$4&amp;AB$5, LS_previous!$D$2:$AY$2&amp;LS_previous!$D$3:$AY$3, 0)),SUM(VLOOKUP($A38, LS_previous!$B$4:$AY$138, LS_previous!T$149, FALSE), VLOOKUP('Staging Table'!$A38, LS_previous!$B$4:$AY$138,LS_previous!AR$149, FALSE))/2)</f>
        <v>-1789.4476493955444</v>
      </c>
      <c r="AC38" s="382">
        <f t="array" ref="AC38">IF($G38=0, INDEX(LS_previous!$D$4:$AY$138, MATCH('Staging Table'!$A38, LS_previous!$B$4:$B$138, 0), MATCH(AC$4&amp;AC$5, LS_previous!$D$2:$AY$2&amp;LS_previous!$D$3:$AY$3, 0)),SUM(VLOOKUP($A38, LS_previous!$B$4:$AY$138, LS_previous!U$149, FALSE), VLOOKUP('Staging Table'!$A38, LS_previous!$B$4:$AY$138,LS_previous!AS$149, FALSE))/2)</f>
        <v>-885.40160990139702</v>
      </c>
      <c r="AD38" s="382">
        <f t="array" ref="AD38">IF($G38=0, INDEX(LS_previous!$D$4:$AY$138, MATCH('Staging Table'!$A38, LS_previous!$B$4:$B$138, 0), MATCH(AD$4&amp;AD$5, LS_previous!$D$2:$AY$2&amp;LS_previous!$D$3:$AY$3, 0)),SUM(VLOOKUP($A38, LS_previous!$B$4:$AY$138, LS_previous!V$149, FALSE), VLOOKUP('Staging Table'!$A38, LS_previous!$B$4:$AY$138,LS_previous!AT$149, FALSE))/2)</f>
        <v>7537.1877796969566</v>
      </c>
      <c r="AE38" s="382">
        <f t="array" ref="AE38">IF($G38=0, INDEX(LS_previous!$D$4:$AY$138, MATCH('Staging Table'!$A38, LS_previous!$B$4:$B$138, 0), MATCH(AE$4&amp;AE$5, LS_previous!$D$2:$AY$2&amp;LS_previous!$D$3:$AY$3, 0)),SUM(VLOOKUP($A38, LS_previous!$B$4:$AY$138, LS_previous!W$149, FALSE), VLOOKUP('Staging Table'!$A38, LS_previous!$B$4:$AY$138,LS_previous!AU$149, FALSE))/2)</f>
        <v>10510.44016634993</v>
      </c>
      <c r="AF38" s="382">
        <f t="array" ref="AF38">IF($G38=0, INDEX(LS_previous!$D$4:$AY$138, MATCH('Staging Table'!$A38, LS_previous!$B$4:$B$138, 0), MATCH(AF$4&amp;AF$5, LS_previous!$D$2:$AY$2&amp;LS_previous!$D$3:$AY$3, 0)),SUM(VLOOKUP($A38, LS_previous!$B$4:$AY$138, LS_previous!X$149, FALSE), VLOOKUP('Staging Table'!$A38, LS_previous!$B$4:$AY$138,LS_previous!AV$149, FALSE))/2)</f>
        <v>7111.2234976499967</v>
      </c>
      <c r="AG38" s="382">
        <f t="array" ref="AG38">IF($G38=0, INDEX(LS_previous!$D$4:$AY$138, MATCH('Staging Table'!$A38, LS_previous!$B$4:$B$138, 0), MATCH(AG$4&amp;AG$5, LS_previous!$D$2:$AY$2&amp;LS_previous!$D$3:$AY$3, 0)),SUM(VLOOKUP($A38, LS_previous!$B$4:$AY$138, LS_previous!Y$149, FALSE), VLOOKUP('Staging Table'!$A38, LS_previous!$B$4:$AY$138,LS_previous!AW$149, FALSE))/2)</f>
        <v>5691.7714381067854</v>
      </c>
      <c r="AH38" s="382">
        <f t="array" ref="AH38">IF($G38=0, INDEX(LS_previous!$D$4:$AY$138, MATCH('Staging Table'!$A38, LS_previous!$B$4:$B$138, 0), MATCH(AH$4&amp;AH$5, LS_previous!$D$2:$AY$2&amp;LS_previous!$D$3:$AY$3, 0)),SUM(VLOOKUP($A38, LS_previous!$B$4:$AY$138, LS_previous!Z$149, FALSE), VLOOKUP('Staging Table'!$A38, LS_previous!$B$4:$AY$138,LS_previous!AX$149, FALSE))/2)</f>
        <v>3693.4566743117393</v>
      </c>
      <c r="AI38" s="382">
        <f t="array" ref="AI38">IF($G38=0, INDEX(LS_previous!$D$4:$AY$138, MATCH('Staging Table'!$A38, LS_previous!$B$4:$B$138, 0), MATCH(AI$4&amp;AI$5, LS_previous!$D$2:$AY$2&amp;LS_previous!$D$3:$AY$3, 0)),SUM(VLOOKUP($A38, LS_previous!$B$4:$AY$138, LS_previous!AA$149, FALSE), VLOOKUP('Staging Table'!$A38, LS_previous!$B$4:$AY$138,LS_previous!AY$149, FALSE))/2)</f>
        <v>4665.1737021521913</v>
      </c>
      <c r="AJ38" s="384">
        <f t="array" ref="AJ38">INDEX(Demand_previous!$D$4:$AY$138, MATCH('Staging Table'!$A38, Demand_previous!$B$4:$B$138, 0), MATCH(AJ$4&amp;AJ$5,Demand_previous!$D$2:$AY$2&amp;Demand_previous!$D$3:$AY$3, 0))/1000</f>
        <v>10.24216203703703</v>
      </c>
      <c r="AK38" s="384">
        <f t="array" ref="AK38">INDEX(Demand_previous!$D$4:$AY$138, MATCH('Staging Table'!$A38, Demand_previous!$B$4:$B$138, 0), MATCH(AK$4&amp;AK$5,Demand_previous!$D$2:$AY$2&amp;Demand_previous!$D$3:$AY$3, 0))/1000</f>
        <v>0</v>
      </c>
      <c r="AL38" s="384">
        <f t="array" ref="AL38">INDEX(Demand_previous!$D$4:$AY$138, MATCH('Staging Table'!$A38, Demand_previous!$B$4:$B$138, 0), MATCH(AL$4&amp;AL$5,Demand_previous!$D$2:$AY$2&amp;Demand_previous!$D$3:$AY$3, 0))/1000</f>
        <v>27.113699519230767</v>
      </c>
      <c r="AM38" s="384">
        <f t="array" ref="AM38">INDEX(Demand_previous!$D$4:$AY$138, MATCH('Staging Table'!$A38, Demand_previous!$B$4:$B$138, 0), MATCH(AM$4&amp;AM$5,Demand_previous!$D$2:$AY$2&amp;Demand_previous!$D$3:$AY$3, 0))/1000</f>
        <v>12.441302499999999</v>
      </c>
      <c r="AN38" s="384">
        <f t="array" ref="AN38">INDEX(Demand_previous!$D$4:$AY$138, MATCH('Staging Table'!$A38, Demand_previous!$B$4:$B$138, 0), MATCH(AN$4&amp;AN$5,Demand_previous!$D$2:$AY$2&amp;Demand_previous!$D$3:$AY$3, 0))/1000</f>
        <v>16.482559999999999</v>
      </c>
      <c r="AO38" s="384">
        <f t="array" ref="AO38">INDEX(Demand_previous!$D$4:$AY$138, MATCH('Staging Table'!$A38, Demand_previous!$B$4:$B$138, 0), MATCH(AO$4&amp;AO$5,Demand_previous!$D$2:$AY$2&amp;Demand_previous!$D$3:$AY$3, 0))/1000</f>
        <v>18.457699074074078</v>
      </c>
      <c r="AP38" s="384">
        <f t="array" ref="AP38">INDEX(Demand_previous!$D$4:$AY$138, MATCH('Staging Table'!$A38, Demand_previous!$B$4:$B$138, 0), MATCH(AP$4&amp;AP$5,Demand_previous!$D$2:$AY$2&amp;Demand_previous!$D$3:$AY$3, 0))/1000</f>
        <v>14.298298076923093</v>
      </c>
      <c r="AQ38" s="384">
        <f t="array" ref="AQ38">INDEX(Demand_previous!$D$4:$AY$138, MATCH('Staging Table'!$A38, Demand_previous!$B$4:$B$138, 0), MATCH(AQ$4&amp;AQ$5,Demand_previous!$D$2:$AY$2&amp;Demand_previous!$D$3:$AY$3, 0))/1000</f>
        <v>1.0990149999999979</v>
      </c>
      <c r="AR38" s="384">
        <f t="array" ref="AR38">INDEX(Demand_previous!$D$4:$AY$138, MATCH('Staging Table'!$A38, Demand_previous!$B$4:$B$138, 0), MATCH(AR$4&amp;AR$5,Demand_previous!$D$2:$AY$2&amp;Demand_previous!$D$3:$AY$3, 0))/1000</f>
        <v>8.478319711538461</v>
      </c>
      <c r="AS38" s="384">
        <f t="array" ref="AS38">INDEX(Demand_previous!$D$4:$AY$138, MATCH('Staging Table'!$A38, Demand_previous!$B$4:$B$138, 0), MATCH(AS$4&amp;AS$5,Demand_previous!$D$2:$AY$2&amp;Demand_previous!$D$3:$AY$3, 0))/1000</f>
        <v>17.801092500000014</v>
      </c>
      <c r="AT38" s="384">
        <f t="array" ref="AT38">INDEX(Demand_previous!$D$4:$AY$138, MATCH('Staging Table'!$A38, Demand_previous!$B$4:$B$138, 0), MATCH(AT$4&amp;AT$5,Demand_previous!$D$2:$AY$2&amp;Demand_previous!$D$3:$AY$3, 0))/1000</f>
        <v>22.379282407407409</v>
      </c>
      <c r="AU38" s="384">
        <f t="array" ref="AU38">INDEX(Demand_previous!$D$4:$AY$138, MATCH('Staging Table'!$A38, Demand_previous!$B$4:$B$138, 0), MATCH(AU$4&amp;AU$5,Demand_previous!$D$2:$AY$2&amp;Demand_previous!$D$3:$AY$3, 0))/1000</f>
        <v>25.303107500000014</v>
      </c>
      <c r="AV38" s="384">
        <f>IF($D38=0,IF(C38=0, MAX(AY38 - (VLOOKUP($A38,TOCA_previous!$A$2:$AI$137,MATCH("RHWM 2016",TOCA_previous!$A$2:$AI$2,0),FALSE)*$F$2*TOCA_previous!C35),0),0), 0)</f>
        <v>81148.62512014294</v>
      </c>
      <c r="AW38" s="427">
        <f>VLOOKUP($A38,REP_previous!$A$1:$D$135,MATCH("FY "&amp;$F$1&amp; " Total Refund",REP_previous!$A$1:$D$1,0),0)</f>
        <v>1197224.6755860206</v>
      </c>
      <c r="AX38" s="398">
        <f>MIN(VLOOKUP($A38,TOCA_previous!$A$2:$AI$137,MATCH("TRL - NLSL - Exisiting Resource "&amp;$F$1,TOCA_previous!$A$2:$AI$2,0),FALSE)*$F$2,(VLOOKUP($A38,TOCA_previous!$A$2:$AI$137,MATCH("RHWM 2016",TOCA_previous!$A$2:$AI$2,0),FALSE)*$F$2))</f>
        <v>900728.92799999996</v>
      </c>
      <c r="AY38" s="384">
        <f>SUM(L38:AI38)+(F38*RT1SC!$C$3*$F$2)</f>
        <v>981877.5531201429</v>
      </c>
      <c r="AZ38" s="398">
        <f>VLOOKUP($A38,TOCA_previous!$A$2:$AI$137,MATCH("Above RHWM Not Served with LS "&amp;$F$1,TOCA_previous!$A$2:$AI$2,0),FALSE)*$F$2</f>
        <v>32509.583999999999</v>
      </c>
      <c r="BA38" s="206">
        <f t="shared" si="3"/>
        <v>81148.62512014294</v>
      </c>
      <c r="BB38" s="399">
        <f>(VLOOKUP($A38,TOCA_previous!$A$2:$AI$137,MATCH("RHWM 2016",TOCA_previous!$A$2:$AI$2,0),FALSE)*$F$2) - $AX38</f>
        <v>0</v>
      </c>
      <c r="BC38" s="206">
        <f t="shared" si="4"/>
        <v>0</v>
      </c>
      <c r="BD38" s="400">
        <f t="shared" si="5"/>
        <v>0</v>
      </c>
      <c r="BE38" s="392">
        <f t="shared" si="6"/>
        <v>0</v>
      </c>
      <c r="BF38" s="399">
        <f t="shared" si="7"/>
        <v>0</v>
      </c>
      <c r="BG38" s="206">
        <f>VLOOKUP($A38,TOCA_current!$A$2:$AI$137,MATCH(BG$4,TOCA_current!$A$2:$AI$2,0),FALSE)</f>
        <v>1.47145E-2</v>
      </c>
      <c r="BH38" s="206">
        <f>VLOOKUP($A38,TOCA_current!$A$2:$AI$137,MATCH(BH$4,TOCA_current!$A$2:$AI$2,0),FALSE)</f>
        <v>1.47145E-2</v>
      </c>
      <c r="BI38" s="391">
        <f t="shared" si="8"/>
        <v>0</v>
      </c>
      <c r="BJ38" s="206">
        <f>VLOOKUP($A38,TOCA_current!A34:BG169,MATCH(BJ$4,TOCA_current!$A$2:$BG$2,0),FALSE)</f>
        <v>0</v>
      </c>
      <c r="BK38" s="206">
        <f t="shared" si="9"/>
        <v>0</v>
      </c>
      <c r="BL38" s="206">
        <f t="shared" si="10"/>
        <v>0</v>
      </c>
      <c r="BM38" s="381">
        <f>VLOOKUP($A38,IRD!$A$4:$G$139, 7, FALSE)</f>
        <v>0</v>
      </c>
      <c r="BN38" s="382">
        <f t="array" ref="BN38">IF($BI38=0, INDEX(LS_current!$D$4:$AY$139, MATCH('Staging Table'!$A38, LS_current!$B$4:$B$139, 0), MATCH(BN$4&amp;BN$5, LS_current!$D$2:$AY$2&amp;LS_current!$D$3:$AY$3, 0)),SUM(VLOOKUP($A38, LS_current!$B$4:$AY$139, LS_current!D$149, FALSE), VLOOKUP($A38, LS_current!$B$4:$AY$139,LS_current!D$149, FALSE))/2)</f>
        <v>-6505.2156433601776</v>
      </c>
      <c r="BO38" s="382">
        <f t="array" ref="BO38">IF($BI38=0, INDEX(LS_current!$D$4:$AY$139, MATCH('Staging Table'!$A38, LS_current!$B$4:$B$139, 0), MATCH(BO$4&amp;BO$5, LS_current!$D$2:$AY$2&amp;LS_current!$D$3:$AY$3, 0)),SUM(VLOOKUP($A38, LS_current!$B$4:$AY$139, LS_current!E$149, FALSE), VLOOKUP($A38, LS_current!$B$4:$AY$139,LS_current!E$149, FALSE))/2)</f>
        <v>-186.41961132012511</v>
      </c>
      <c r="BP38" s="382">
        <f t="array" ref="BP38">IF($BI38=0, INDEX(LS_current!$D$4:$AY$139, MATCH('Staging Table'!$A38, LS_current!$B$4:$B$139, 0), MATCH(BP$4&amp;BP$5, LS_current!$D$2:$AY$2&amp;LS_current!$D$3:$AY$3, 0)),SUM(VLOOKUP($A38, LS_current!$B$4:$AY$139, LS_current!F$149, FALSE), VLOOKUP($A38, LS_current!$B$4:$AY$139,LS_current!F$149, FALSE))/2)</f>
        <v>-10615.386571524788</v>
      </c>
      <c r="BQ38" s="382">
        <f t="array" ref="BQ38">IF($BI38=0, INDEX(LS_current!$D$4:$AY$139, MATCH('Staging Table'!$A38, LS_current!$B$4:$B$139, 0), MATCH(BQ$4&amp;BQ$5, LS_current!$D$2:$AY$2&amp;LS_current!$D$3:$AY$3, 0)),SUM(VLOOKUP($A38, LS_current!$B$4:$AY$139, LS_current!G$149, FALSE), VLOOKUP($A38, LS_current!$B$4:$AY$139,LS_current!G$149, FALSE))/2)</f>
        <v>-2321.4550367149386</v>
      </c>
      <c r="BR38" s="382">
        <f t="array" ref="BR38">IF($BI38=0, INDEX(LS_current!$D$4:$AY$139, MATCH('Staging Table'!$A38, LS_current!$B$4:$B$139, 0), MATCH(BR$4&amp;BR$5, LS_current!$D$2:$AY$2&amp;LS_current!$D$3:$AY$3, 0)),SUM(VLOOKUP($A38, LS_current!$B$4:$AY$139, LS_current!H$149, FALSE), VLOOKUP($A38, LS_current!$B$4:$AY$139,LS_current!H$149, FALSE))/2)</f>
        <v>1334.9270321405056</v>
      </c>
      <c r="BS38" s="382">
        <f t="array" ref="BS38">IF($BI38=0, INDEX(LS_current!$D$4:$AY$139, MATCH('Staging Table'!$A38, LS_current!$B$4:$B$139, 0), MATCH(BS$4&amp;BS$5, LS_current!$D$2:$AY$2&amp;LS_current!$D$3:$AY$3, 0)),SUM(VLOOKUP($A38, LS_current!$B$4:$AY$139, LS_current!I$149, FALSE), VLOOKUP($A38, LS_current!$B$4:$AY$139,LS_current!I$149, FALSE))/2)</f>
        <v>8135.7977298185942</v>
      </c>
      <c r="BT38" s="382">
        <f t="array" ref="BT38">IF($BI38=0, INDEX(LS_current!$D$4:$AY$139, MATCH('Staging Table'!$A38, LS_current!$B$4:$B$139, 0), MATCH(BT$4&amp;BT$5, LS_current!$D$2:$AY$2&amp;LS_current!$D$3:$AY$3, 0)),SUM(VLOOKUP($A38, LS_current!$B$4:$AY$139, LS_current!J$149, FALSE), VLOOKUP($A38, LS_current!$B$4:$AY$139,LS_current!J$149, FALSE))/2)</f>
        <v>10600.957733502604</v>
      </c>
      <c r="BU38" s="382">
        <f t="array" ref="BU38">IF($BI38=0, INDEX(LS_current!$D$4:$AY$139, MATCH('Staging Table'!$A38, LS_current!$B$4:$B$139, 0), MATCH(BU$4&amp;BU$5, LS_current!$D$2:$AY$2&amp;LS_current!$D$3:$AY$3, 0)),SUM(VLOOKUP($A38, LS_current!$B$4:$AY$139, LS_current!K$149, FALSE), VLOOKUP($A38, LS_current!$B$4:$AY$139,LS_current!K$149, FALSE))/2)</f>
        <v>9594.1539314255751</v>
      </c>
      <c r="BV38" s="382">
        <f t="array" ref="BV38">IF($BI38=0, INDEX(LS_current!$D$4:$AY$139, MATCH('Staging Table'!$A38, LS_current!$B$4:$B$139, 0), MATCH(BV$4&amp;BV$5, LS_current!$D$2:$AY$2&amp;LS_current!$D$3:$AY$3, 0)),SUM(VLOOKUP($A38, LS_current!$B$4:$AY$139, LS_current!L$149, FALSE), VLOOKUP($A38, LS_current!$B$4:$AY$139,LS_current!L$149, FALSE))/2)</f>
        <v>8289.6990744219511</v>
      </c>
      <c r="BW38" s="382">
        <f t="array" ref="BW38">IF($BI38=0, INDEX(LS_current!$D$4:$AY$139, MATCH('Staging Table'!$A38, LS_current!$B$4:$B$139, 0), MATCH(BW$4&amp;BW$5, LS_current!$D$2:$AY$2&amp;LS_current!$D$3:$AY$3, 0)),SUM(VLOOKUP($A38, LS_current!$B$4:$AY$139, LS_current!M$149, FALSE), VLOOKUP($A38, LS_current!$B$4:$AY$139,LS_current!M$149, FALSE))/2)</f>
        <v>8009.5456297860874</v>
      </c>
      <c r="BX38" s="382">
        <f t="array" ref="BX38">IF($BI38=0, INDEX(LS_current!$D$4:$AY$139, MATCH('Staging Table'!$A38, LS_current!$B$4:$B$139, 0), MATCH(BX$4&amp;BX$5, LS_current!$D$2:$AY$2&amp;LS_current!$D$3:$AY$3, 0)),SUM(VLOOKUP($A38, LS_current!$B$4:$AY$139, LS_current!N$149, FALSE), VLOOKUP($A38, LS_current!$B$4:$AY$139,LS_current!N$149, FALSE))/2)</f>
        <v>-2459.636472517137</v>
      </c>
      <c r="BY38" s="382">
        <f t="array" ref="BY38">IF($BI38=0, INDEX(LS_current!$D$4:$AY$139, MATCH('Staging Table'!$A38, LS_current!$B$4:$B$139, 0), MATCH(BY$4&amp;BY$5, LS_current!$D$2:$AY$2&amp;LS_current!$D$3:$AY$3, 0)),SUM(VLOOKUP($A38, LS_current!$B$4:$AY$139, LS_current!O$149, FALSE), VLOOKUP($A38, LS_current!$B$4:$AY$139,LS_current!O$149, FALSE))/2)</f>
        <v>-265.64306853724338</v>
      </c>
      <c r="BZ38" s="382">
        <f t="array" ref="BZ38">IF($BI38=0, INDEX(LS_current!$D$4:$AY$139, MATCH('Staging Table'!$A38, LS_current!$B$4:$B$139, 0), MATCH(BZ$4&amp;BZ$5, LS_current!$D$2:$AY$2&amp;LS_current!$D$3:$AY$3, 0)),SUM(VLOOKUP($A38, LS_current!$B$4:$AY$139, LS_current!P$149, FALSE), VLOOKUP($A38, LS_current!$B$4:$AY$139,LS_current!P$149, FALSE))/2)</f>
        <v>-5193.3956016361699</v>
      </c>
      <c r="CA38" s="382">
        <f t="array" ref="CA38">IF($BI38=0, INDEX(LS_current!$D$4:$AY$139, MATCH('Staging Table'!$A38, LS_current!$B$4:$B$139, 0), MATCH(CA$4&amp;CA$5, LS_current!$D$2:$AY$2&amp;LS_current!$D$3:$AY$3, 0)),SUM(VLOOKUP($A38, LS_current!$B$4:$AY$139, LS_current!Q$149, FALSE), VLOOKUP($A38, LS_current!$B$4:$AY$139,LS_current!Q$149, FALSE))/2)</f>
        <v>583.89681987332369</v>
      </c>
      <c r="CB38" s="382">
        <f t="array" ref="CB38">IF($BI38=0, INDEX(LS_current!$D$4:$AY$139, MATCH('Staging Table'!$A38, LS_current!$B$4:$B$139, 0), MATCH(CB$4&amp;CB$5, LS_current!$D$2:$AY$2&amp;LS_current!$D$3:$AY$3, 0)),SUM(VLOOKUP($A38, LS_current!$B$4:$AY$139, LS_current!R$149, FALSE), VLOOKUP($A38, LS_current!$B$4:$AY$139,LS_current!R$149, FALSE))/2)</f>
        <v>-21309.362247687546</v>
      </c>
      <c r="CC38" s="382">
        <f t="array" ref="CC38">IF($BI38=0, INDEX(LS_current!$D$4:$AY$139, MATCH('Staging Table'!$A38, LS_current!$B$4:$B$139, 0), MATCH(CC$4&amp;CC$5, LS_current!$D$2:$AY$2&amp;LS_current!$D$3:$AY$3, 0)),SUM(VLOOKUP($A38, LS_current!$B$4:$AY$139, LS_current!S$149, FALSE), VLOOKUP($A38, LS_current!$B$4:$AY$139,LS_current!S$149, FALSE))/2)</f>
        <v>-10396.295967351911</v>
      </c>
      <c r="CD38" s="382">
        <f t="array" ref="CD38">IF($BI38=0, INDEX(LS_current!$D$4:$AY$139, MATCH('Staging Table'!$A38, LS_current!$B$4:$B$139, 0), MATCH(CD$4&amp;CD$5, LS_current!$D$2:$AY$2&amp;LS_current!$D$3:$AY$3, 0)),SUM(VLOOKUP($A38, LS_current!$B$4:$AY$139, LS_current!T$149, FALSE), VLOOKUP($A38, LS_current!$B$4:$AY$139,LS_current!T$149, FALSE))/2)</f>
        <v>-5901.3915920688014</v>
      </c>
      <c r="CE38" s="382">
        <f t="array" ref="CE38">IF($BI38=0, INDEX(LS_current!$D$4:$AY$139, MATCH('Staging Table'!$A38, LS_current!$B$4:$B$139, 0), MATCH(CE$4&amp;CE$5, LS_current!$D$2:$AY$2&amp;LS_current!$D$3:$AY$3, 0)),SUM(VLOOKUP($A38, LS_current!$B$4:$AY$139, LS_current!U$149, FALSE), VLOOKUP($A38, LS_current!$B$4:$AY$139,LS_current!U$149, FALSE))/2)</f>
        <v>-2009.2297573195174</v>
      </c>
      <c r="CF38" s="382">
        <f t="array" ref="CF38">IF($BI38=0, INDEX(LS_current!$D$4:$AY$139, MATCH('Staging Table'!$A38, LS_current!$B$4:$B$139, 0), MATCH(CF$4&amp;CF$5, LS_current!$D$2:$AY$2&amp;LS_current!$D$3:$AY$3, 0)),SUM(VLOOKUP($A38, LS_current!$B$4:$AY$139, LS_current!V$149, FALSE), VLOOKUP($A38, LS_current!$B$4:$AY$139,LS_current!V$149, FALSE))/2)</f>
        <v>6254.5175263044948</v>
      </c>
      <c r="CG38" s="382">
        <f t="array" ref="CG38">IF($BI38=0, INDEX(LS_current!$D$4:$AY$139, MATCH('Staging Table'!$A38, LS_current!$B$4:$B$139, 0), MATCH(CG$4&amp;CG$5, LS_current!$D$2:$AY$2&amp;LS_current!$D$3:$AY$3, 0)),SUM(VLOOKUP($A38, LS_current!$B$4:$AY$139, LS_current!W$149, FALSE), VLOOKUP($A38, LS_current!$B$4:$AY$139,LS_current!W$149, FALSE))/2)</f>
        <v>8744.5162509881811</v>
      </c>
      <c r="CH38" s="382">
        <f t="array" ref="CH38">IF($BI38=0, INDEX(LS_current!$D$4:$AY$139, MATCH('Staging Table'!$A38, LS_current!$B$4:$B$139, 0), MATCH(CH$4&amp;CH$5, LS_current!$D$2:$AY$2&amp;LS_current!$D$3:$AY$3, 0)),SUM(VLOOKUP($A38, LS_current!$B$4:$AY$139, LS_current!X$149, FALSE), VLOOKUP($A38, LS_current!$B$4:$AY$139,LS_current!X$149, FALSE))/2)</f>
        <v>2854.1805497119276</v>
      </c>
      <c r="CI38" s="382">
        <f t="array" ref="CI38">IF($BI38=0, INDEX(LS_current!$D$4:$AY$139, MATCH('Staging Table'!$A38, LS_current!$B$4:$B$139, 0), MATCH(CI$4&amp;CI$5, LS_current!$D$2:$AY$2&amp;LS_current!$D$3:$AY$3, 0)),SUM(VLOOKUP($A38, LS_current!$B$4:$AY$139, LS_current!Y$149, FALSE), VLOOKUP($A38, LS_current!$B$4:$AY$139,LS_current!Y$149, FALSE))/2)</f>
        <v>3272.3859328089238</v>
      </c>
      <c r="CJ38" s="382">
        <f t="array" ref="CJ38">IF($BI38=0, INDEX(LS_current!$D$4:$AY$139, MATCH('Staging Table'!$A38, LS_current!$B$4:$B$139, 0), MATCH(CJ$4&amp;CJ$5, LS_current!$D$2:$AY$2&amp;LS_current!$D$3:$AY$3, 0)),SUM(VLOOKUP($A38, LS_current!$B$4:$AY$139, LS_current!Z$149, FALSE), VLOOKUP($A38, LS_current!$B$4:$AY$139,LS_current!Z$149, FALSE))/2)</f>
        <v>-4339.7036769307742</v>
      </c>
      <c r="CK38" s="382">
        <f t="array" ref="CK38">IF($BI38=0, INDEX(LS_current!$D$4:$AY$139, MATCH('Staging Table'!$A38, LS_current!$B$4:$B$139, 0), MATCH(CK$4&amp;CK$5, LS_current!$D$2:$AY$2&amp;LS_current!$D$3:$AY$3, 0)),SUM(VLOOKUP($A38, LS_current!$B$4:$AY$139, LS_current!AA$149, FALSE), VLOOKUP($A38, LS_current!$B$4:$AY$139,LS_current!AA$149, FALSE))/2)</f>
        <v>1197.7816452244369</v>
      </c>
      <c r="CL38" s="384">
        <f t="array" ref="CL38">INDEX(Demand_current!$D$4:$AY$138, MATCH($A38, Demand_current!$B$4:$B$138, 0), MATCH(CL$4&amp;CL$5,Demand_current!$D$2:$AY$2&amp;Demand_current!$D$3:$AY$3, 0))/1000</f>
        <v>6.0989759615384571</v>
      </c>
      <c r="CM38" s="384">
        <f t="array" ref="CM38">INDEX(Demand_current!$D$4:$AY$138, MATCH($A38, Demand_current!$B$4:$B$138, 0), MATCH(CM$4&amp;CM$5,Demand_current!$D$2:$AY$2&amp;Demand_current!$D$3:$AY$3, 0))/1000</f>
        <v>4.6575024999999997</v>
      </c>
      <c r="CN38" s="384">
        <f t="array" ref="CN38">INDEX(Demand_current!$D$4:$AY$138, MATCH($A38, Demand_current!$B$4:$B$138, 0), MATCH(CN$4&amp;CN$5,Demand_current!$D$2:$AY$2&amp;Demand_current!$D$3:$AY$3, 0))/1000</f>
        <v>21.390087500000021</v>
      </c>
      <c r="CO38" s="384">
        <f t="array" ref="CO38">INDEX(Demand_current!$D$4:$AY$138, MATCH($A38, Demand_current!$B$4:$B$138, 0), MATCH(CO$4&amp;CO$5,Demand_current!$D$2:$AY$2&amp;Demand_current!$D$3:$AY$3, 0))/1000</f>
        <v>18.273021634615397</v>
      </c>
      <c r="CP38" s="384">
        <f t="array" ref="CP38">INDEX(Demand_current!$D$4:$AY$138, MATCH($A38, Demand_current!$B$4:$B$138, 0), MATCH(CP$4&amp;CP$5,Demand_current!$D$2:$AY$2&amp;Demand_current!$D$3:$AY$3, 0))/1000</f>
        <v>11.069833333333342</v>
      </c>
      <c r="CQ38" s="384">
        <f t="array" ref="CQ38">INDEX(Demand_current!$D$4:$AY$138, MATCH($A38, Demand_current!$B$4:$B$138, 0), MATCH(CQ$4&amp;CQ$5,Demand_current!$D$2:$AY$2&amp;Demand_current!$D$3:$AY$3, 0))/1000</f>
        <v>18.283699074074079</v>
      </c>
      <c r="CR38" s="384">
        <f t="array" ref="CR38">INDEX(Demand_current!$D$4:$AY$138, MATCH($A38, Demand_current!$B$4:$B$138, 0), MATCH(CR$4&amp;CR$5,Demand_current!$D$2:$AY$2&amp;Demand_current!$D$3:$AY$3, 0))/1000</f>
        <v>9.8182700000000196</v>
      </c>
      <c r="CS38" s="384">
        <f t="array" ref="CS38">INDEX(Demand_current!$D$4:$AY$138, MATCH($A38, Demand_current!$B$4:$B$138, 0), MATCH(CS$4&amp;CS$5,Demand_current!$D$2:$AY$2&amp;Demand_current!$D$3:$AY$3, 0))/1000</f>
        <v>5.3793221153846069</v>
      </c>
      <c r="CT38" s="384">
        <f t="array" ref="CT38">INDEX(Demand_current!$D$4:$AY$138, MATCH($A38, Demand_current!$B$4:$B$138, 0), MATCH(CT$4&amp;CT$5,Demand_current!$D$2:$AY$2&amp;Demand_current!$D$3:$AY$3, 0))/1000</f>
        <v>8.333319711538465</v>
      </c>
      <c r="CU38" s="384">
        <f t="array" ref="CU38">INDEX(Demand_current!$D$4:$AY$138, MATCH($A38, Demand_current!$B$4:$B$138, 0), MATCH(CU$4&amp;CU$5,Demand_current!$D$2:$AY$2&amp;Demand_current!$D$3:$AY$3, 0))/1000</f>
        <v>17.675092500000012</v>
      </c>
      <c r="CV38" s="384">
        <f t="array" ref="CV38">INDEX(Demand_current!$D$4:$AY$138, MATCH($A38, Demand_current!$B$4:$B$138, 0), MATCH(CV$4&amp;CV$5,Demand_current!$D$2:$AY$2&amp;Demand_current!$D$3:$AY$3, 0))/1000</f>
        <v>22.027282407407409</v>
      </c>
      <c r="CW38" s="384">
        <f t="array" ref="CW38">INDEX(Demand_current!$D$4:$AY$138, MATCH($A38, Demand_current!$B$4:$B$138, 0), MATCH(CW$4&amp;CW$5,Demand_current!$D$2:$AY$2&amp;Demand_current!$D$3:$AY$3, 0))/1000</f>
        <v>20.316695312500002</v>
      </c>
      <c r="CX38" s="384">
        <f>IF(D38=0,IF(C38=0,MAX(0,DA38 - (VLOOKUP($A38,TOCA_current!$A$2:$AI$137,MATCH("RHWM 2018",TOCA_current!$A$2:$AI$2,0),FALSE)*$BH$2)), 0),0)</f>
        <v>0</v>
      </c>
      <c r="CY38" s="427">
        <f>VLOOKUP($A38,REP_current!$A$1:$D$135,MATCH("FY "&amp;$BH$1&amp; " Total Refund",REP_current!$A$1:$D$1,0),0)</f>
        <v>1207342.0876217578</v>
      </c>
      <c r="CZ38" s="432">
        <f>MIN(VLOOKUP($A38,TOCA_current!$A$2:$AI$137,MATCH("TRL - NLSL - Existing Resource "&amp;$BH$1,TOCA_current!$A$2:$AI$2,0),FALSE)*$BH$2, VLOOKUP($A38,TOCA_current!$A$2:$AI$137,MATCH("RHWM 2018",TOCA_current!$A$2:$AI$2,0),FALSE)*$BH$2)</f>
        <v>895184.4</v>
      </c>
      <c r="DA38" s="397">
        <f>SUM(BN38:CK38)+(BH38*RT1SC!$C$4*$BH$2)</f>
        <v>892553.06805995747</v>
      </c>
      <c r="DB38" s="432">
        <f>VLOOKUP($A38,TOCA_current!$A$2:$AI$137,MATCH("Above RHWM Not Served with LS "&amp;$BH$1,TOCA_current!$A$2:$AI$2,0),FALSE)*$BH$2</f>
        <v>121834.08</v>
      </c>
      <c r="DC38" s="401">
        <f t="shared" si="11"/>
        <v>-2631.3319400425535</v>
      </c>
      <c r="DD38" s="397">
        <f>(VLOOKUP($A38,TOCA_current!$A$2:$AI$137,MATCH("RHWM 2018",TOCA_current!$A$2:$AI$2,0),FALSE)*$BH$2) - $CZ38</f>
        <v>0</v>
      </c>
      <c r="DE38" s="397">
        <f t="shared" si="12"/>
        <v>0</v>
      </c>
      <c r="DF38" s="397">
        <f t="shared" si="13"/>
        <v>0</v>
      </c>
      <c r="DG38" s="397">
        <f t="shared" si="14"/>
        <v>0</v>
      </c>
      <c r="DH38" s="397">
        <f t="shared" si="15"/>
        <v>0</v>
      </c>
    </row>
    <row r="39" spans="1:112">
      <c r="A39" s="274">
        <v>10091</v>
      </c>
      <c r="B39" s="275" t="s">
        <v>40</v>
      </c>
      <c r="C39" s="397">
        <v>0</v>
      </c>
      <c r="D39" s="397">
        <v>0</v>
      </c>
      <c r="E39" s="205">
        <f>VLOOKUP($A39,TOCA_previous!$A$2:$AI$137,MATCH(E$4,TOCA_previous!$A$2:$AI$2,0),FALSE)</f>
        <v>1.3361E-3</v>
      </c>
      <c r="F39" s="206">
        <f>VLOOKUP($A39,TOCA_previous!$A$2:$AI$137,MATCH(F$4,TOCA_previous!$A$2:$AI$2,0),FALSE)</f>
        <v>1.3361E-3</v>
      </c>
      <c r="G39" s="206">
        <f t="shared" si="0"/>
        <v>0</v>
      </c>
      <c r="H39" s="206">
        <f>VLOOKUP($A39,TOCA_previous!$A$2:$AI$137,MATCH(H$4,TOCA_previous!$A$2:$AI$2,0),FALSE)</f>
        <v>0</v>
      </c>
      <c r="I39" s="206">
        <f t="shared" si="1"/>
        <v>0</v>
      </c>
      <c r="J39" s="206">
        <f t="shared" si="2"/>
        <v>0</v>
      </c>
      <c r="K39" s="381">
        <f>VLOOKUP(A39, IRD!$A$5:$C$139, 3, FALSE)</f>
        <v>0</v>
      </c>
      <c r="L39" s="382">
        <f t="array" ref="L39">IF($G39=0, INDEX(LS_previous!$D$4:$AY$138, MATCH('Staging Table'!$A39, LS_previous!$B$4:$B$138, 0), MATCH(L$4&amp;L$5, LS_previous!$D$2:$AY$2&amp;LS_previous!$D$3:$AY$3, 0)),SUM(VLOOKUP($A39, LS_previous!$B$4:$AY$138, LS_previous!D$149, FALSE), VLOOKUP('Staging Table'!$A39, LS_previous!$B$4:$AY$138,LS_previous!AB$149, FALSE))/2)</f>
        <v>-458.36779795324719</v>
      </c>
      <c r="M39" s="382">
        <f t="array" ref="M39">IF($G39=0, INDEX(LS_previous!$D$4:$AY$138, MATCH('Staging Table'!$A39, LS_previous!$B$4:$B$138, 0), MATCH(M$4&amp;M$5, LS_previous!$D$2:$AY$2&amp;LS_previous!$D$3:$AY$3, 0)),SUM(VLOOKUP($A39, LS_previous!$B$4:$AY$138, LS_previous!E$149, FALSE), VLOOKUP('Staging Table'!$A39, LS_previous!$B$4:$AY$138,LS_previous!AC$149, FALSE))/2)</f>
        <v>-106.31766870269348</v>
      </c>
      <c r="N39" s="382">
        <f t="array" ref="N39">IF($G39=0, INDEX(LS_previous!$D$4:$AY$138, MATCH('Staging Table'!$A39, LS_previous!$B$4:$B$138, 0), MATCH(N$4&amp;N$5, LS_previous!$D$2:$AY$2&amp;LS_previous!$D$3:$AY$3, 0)),SUM(VLOOKUP($A39, LS_previous!$B$4:$AY$138, LS_previous!F$149, FALSE), VLOOKUP('Staging Table'!$A39, LS_previous!$B$4:$AY$138,LS_previous!AD$149, FALSE))/2)</f>
        <v>-593.97597094283174</v>
      </c>
      <c r="O39" s="382">
        <f t="array" ref="O39">IF($G39=0, INDEX(LS_previous!$D$4:$AY$138, MATCH('Staging Table'!$A39, LS_previous!$B$4:$B$138, 0), MATCH(O$4&amp;O$5, LS_previous!$D$2:$AY$2&amp;LS_previous!$D$3:$AY$3, 0)),SUM(VLOOKUP($A39, LS_previous!$B$4:$AY$138, LS_previous!G$149, FALSE), VLOOKUP('Staging Table'!$A39, LS_previous!$B$4:$AY$138,LS_previous!AE$149, FALSE))/2)</f>
        <v>106.07223395122764</v>
      </c>
      <c r="P39" s="382">
        <f t="array" ref="P39">IF($G39=0, INDEX(LS_previous!$D$4:$AY$138, MATCH('Staging Table'!$A39, LS_previous!$B$4:$B$138, 0), MATCH(P$4&amp;P$5, LS_previous!$D$2:$AY$2&amp;LS_previous!$D$3:$AY$3, 0)),SUM(VLOOKUP($A39, LS_previous!$B$4:$AY$138, LS_previous!H$149, FALSE), VLOOKUP('Staging Table'!$A39, LS_previous!$B$4:$AY$138,LS_previous!AF$149, FALSE))/2)</f>
        <v>790.78212084154711</v>
      </c>
      <c r="Q39" s="382">
        <f t="array" ref="Q39">IF($G39=0, INDEX(LS_previous!$D$4:$AY$138, MATCH('Staging Table'!$A39, LS_previous!$B$4:$B$138, 0), MATCH(Q$4&amp;Q$5, LS_previous!$D$2:$AY$2&amp;LS_previous!$D$3:$AY$3, 0)),SUM(VLOOKUP($A39, LS_previous!$B$4:$AY$138, LS_previous!I$149, FALSE), VLOOKUP('Staging Table'!$A39, LS_previous!$B$4:$AY$138,LS_previous!AG$149, FALSE))/2)</f>
        <v>989.19027333968688</v>
      </c>
      <c r="R39" s="382">
        <f t="array" ref="R39">IF($G39=0, INDEX(LS_previous!$D$4:$AY$138, MATCH('Staging Table'!$A39, LS_previous!$B$4:$B$138, 0), MATCH(R$4&amp;R$5, LS_previous!$D$2:$AY$2&amp;LS_previous!$D$3:$AY$3, 0)),SUM(VLOOKUP($A39, LS_previous!$B$4:$AY$138, LS_previous!J$149, FALSE), VLOOKUP('Staging Table'!$A39, LS_previous!$B$4:$AY$138,LS_previous!AH$149, FALSE))/2)</f>
        <v>1439.6013222037682</v>
      </c>
      <c r="S39" s="382">
        <f t="array" ref="S39">IF($G39=0, INDEX(LS_previous!$D$4:$AY$138, MATCH('Staging Table'!$A39, LS_previous!$B$4:$B$138, 0), MATCH(S$4&amp;S$5, LS_previous!$D$2:$AY$2&amp;LS_previous!$D$3:$AY$3, 0)),SUM(VLOOKUP($A39, LS_previous!$B$4:$AY$138, LS_previous!K$149, FALSE), VLOOKUP('Staging Table'!$A39, LS_previous!$B$4:$AY$138,LS_previous!AI$149, FALSE))/2)</f>
        <v>1412.9918985022036</v>
      </c>
      <c r="T39" s="382">
        <f t="array" ref="T39">IF($G39=0, INDEX(LS_previous!$D$4:$AY$138, MATCH('Staging Table'!$A39, LS_previous!$B$4:$B$138, 0), MATCH(T$4&amp;T$5, LS_previous!$D$2:$AY$2&amp;LS_previous!$D$3:$AY$3, 0)),SUM(VLOOKUP($A39, LS_previous!$B$4:$AY$138, LS_previous!L$149, FALSE), VLOOKUP('Staging Table'!$A39, LS_previous!$B$4:$AY$138,LS_previous!AJ$149, FALSE))/2)</f>
        <v>954.02283419568676</v>
      </c>
      <c r="U39" s="382">
        <f t="array" ref="U39">IF($G39=0, INDEX(LS_previous!$D$4:$AY$138, MATCH('Staging Table'!$A39, LS_previous!$B$4:$B$138, 0), MATCH(U$4&amp;U$5, LS_previous!$D$2:$AY$2&amp;LS_previous!$D$3:$AY$3, 0)),SUM(VLOOKUP($A39, LS_previous!$B$4:$AY$138, LS_previous!M$149, FALSE), VLOOKUP('Staging Table'!$A39, LS_previous!$B$4:$AY$138,LS_previous!AK$149, FALSE))/2)</f>
        <v>941.42396036231185</v>
      </c>
      <c r="V39" s="382">
        <f t="array" ref="V39">IF($G39=0, INDEX(LS_previous!$D$4:$AY$138, MATCH('Staging Table'!$A39, LS_previous!$B$4:$B$138, 0), MATCH(V$4&amp;V$5, LS_previous!$D$2:$AY$2&amp;LS_previous!$D$3:$AY$3, 0)),SUM(VLOOKUP($A39, LS_previous!$B$4:$AY$138, LS_previous!N$149, FALSE), VLOOKUP('Staging Table'!$A39, LS_previous!$B$4:$AY$138,LS_previous!AL$149, FALSE))/2)</f>
        <v>142.74181956256234</v>
      </c>
      <c r="W39" s="382">
        <f t="array" ref="W39">IF($G39=0, INDEX(LS_previous!$D$4:$AY$138, MATCH('Staging Table'!$A39, LS_previous!$B$4:$B$138, 0), MATCH(W$4&amp;W$5, LS_previous!$D$2:$AY$2&amp;LS_previous!$D$3:$AY$3, 0)),SUM(VLOOKUP($A39, LS_previous!$B$4:$AY$138, LS_previous!O$149, FALSE), VLOOKUP('Staging Table'!$A39, LS_previous!$B$4:$AY$138,LS_previous!AM$149, FALSE))/2)</f>
        <v>295.77539805533615</v>
      </c>
      <c r="X39" s="382">
        <f t="array" ref="X39">IF($G39=0, INDEX(LS_previous!$D$4:$AY$138, MATCH('Staging Table'!$A39, LS_previous!$B$4:$B$138, 0), MATCH(X$4&amp;X$5, LS_previous!$D$2:$AY$2&amp;LS_previous!$D$3:$AY$3, 0)),SUM(VLOOKUP($A39, LS_previous!$B$4:$AY$138, LS_previous!P$149, FALSE), VLOOKUP('Staging Table'!$A39, LS_previous!$B$4:$AY$138,LS_previous!AN$149, FALSE))/2)</f>
        <v>293.08391539498689</v>
      </c>
      <c r="Y39" s="382">
        <f t="array" ref="Y39">IF($G39=0, INDEX(LS_previous!$D$4:$AY$138, MATCH('Staging Table'!$A39, LS_previous!$B$4:$B$138, 0), MATCH(Y$4&amp;Y$5, LS_previous!$D$2:$AY$2&amp;LS_previous!$D$3:$AY$3, 0)),SUM(VLOOKUP($A39, LS_previous!$B$4:$AY$138, LS_previous!Q$149, FALSE), VLOOKUP('Staging Table'!$A39, LS_previous!$B$4:$AY$138,LS_previous!AO$149, FALSE))/2)</f>
        <v>255.99467476930386</v>
      </c>
      <c r="Z39" s="382">
        <f t="array" ref="Z39">IF($G39=0, INDEX(LS_previous!$D$4:$AY$138, MATCH('Staging Table'!$A39, LS_previous!$B$4:$B$138, 0), MATCH(Z$4&amp;Z$5, LS_previous!$D$2:$AY$2&amp;LS_previous!$D$3:$AY$3, 0)),SUM(VLOOKUP($A39, LS_previous!$B$4:$AY$138, LS_previous!R$149, FALSE), VLOOKUP('Staging Table'!$A39, LS_previous!$B$4:$AY$138,LS_previous!AP$149, FALSE))/2)</f>
        <v>-2226.570124937803</v>
      </c>
      <c r="AA39" s="382">
        <f t="array" ref="AA39">IF($G39=0, INDEX(LS_previous!$D$4:$AY$138, MATCH('Staging Table'!$A39, LS_previous!$B$4:$B$138, 0), MATCH(AA$4&amp;AA$5, LS_previous!$D$2:$AY$2&amp;LS_previous!$D$3:$AY$3, 0)),SUM(VLOOKUP($A39, LS_previous!$B$4:$AY$138, LS_previous!S$149, FALSE), VLOOKUP('Staging Table'!$A39, LS_previous!$B$4:$AY$138,LS_previous!AQ$149, FALSE))/2)</f>
        <v>-900.66734049508023</v>
      </c>
      <c r="AB39" s="382">
        <f t="array" ref="AB39">IF($G39=0, INDEX(LS_previous!$D$4:$AY$138, MATCH('Staging Table'!$A39, LS_previous!$B$4:$B$138, 0), MATCH(AB$4&amp;AB$5, LS_previous!$D$2:$AY$2&amp;LS_previous!$D$3:$AY$3, 0)),SUM(VLOOKUP($A39, LS_previous!$B$4:$AY$138, LS_previous!T$149, FALSE), VLOOKUP('Staging Table'!$A39, LS_previous!$B$4:$AY$138,LS_previous!AR$149, FALSE))/2)</f>
        <v>-1022.4209973888696</v>
      </c>
      <c r="AC39" s="382">
        <f t="array" ref="AC39">IF($G39=0, INDEX(LS_previous!$D$4:$AY$138, MATCH('Staging Table'!$A39, LS_previous!$B$4:$B$138, 0), MATCH(AC$4&amp;AC$5, LS_previous!$D$2:$AY$2&amp;LS_previous!$D$3:$AY$3, 0)),SUM(VLOOKUP($A39, LS_previous!$B$4:$AY$138, LS_previous!U$149, FALSE), VLOOKUP('Staging Table'!$A39, LS_previous!$B$4:$AY$138,LS_previous!AS$149, FALSE))/2)</f>
        <v>-509.02916865558836</v>
      </c>
      <c r="AD39" s="382">
        <f t="array" ref="AD39">IF($G39=0, INDEX(LS_previous!$D$4:$AY$138, MATCH('Staging Table'!$A39, LS_previous!$B$4:$B$138, 0), MATCH(AD$4&amp;AD$5, LS_previous!$D$2:$AY$2&amp;LS_previous!$D$3:$AY$3, 0)),SUM(VLOOKUP($A39, LS_previous!$B$4:$AY$138, LS_previous!V$149, FALSE), VLOOKUP('Staging Table'!$A39, LS_previous!$B$4:$AY$138,LS_previous!AT$149, FALSE))/2)</f>
        <v>-404.89542637694012</v>
      </c>
      <c r="AE39" s="382">
        <f t="array" ref="AE39">IF($G39=0, INDEX(LS_previous!$D$4:$AY$138, MATCH('Staging Table'!$A39, LS_previous!$B$4:$B$138, 0), MATCH(AE$4&amp;AE$5, LS_previous!$D$2:$AY$2&amp;LS_previous!$D$3:$AY$3, 0)),SUM(VLOOKUP($A39, LS_previous!$B$4:$AY$138, LS_previous!W$149, FALSE), VLOOKUP('Staging Table'!$A39, LS_previous!$B$4:$AY$138,LS_previous!AU$149, FALSE))/2)</f>
        <v>159.49074595725642</v>
      </c>
      <c r="AF39" s="382">
        <f t="array" ref="AF39">IF($G39=0, INDEX(LS_previous!$D$4:$AY$138, MATCH('Staging Table'!$A39, LS_previous!$B$4:$B$138, 0), MATCH(AF$4&amp;AF$5, LS_previous!$D$2:$AY$2&amp;LS_previous!$D$3:$AY$3, 0)),SUM(VLOOKUP($A39, LS_previous!$B$4:$AY$138, LS_previous!X$149, FALSE), VLOOKUP('Staging Table'!$A39, LS_previous!$B$4:$AY$138,LS_previous!AV$149, FALSE))/2)</f>
        <v>-796.4877554115501</v>
      </c>
      <c r="AG39" s="382">
        <f t="array" ref="AG39">IF($G39=0, INDEX(LS_previous!$D$4:$AY$138, MATCH('Staging Table'!$A39, LS_previous!$B$4:$B$138, 0), MATCH(AG$4&amp;AG$5, LS_previous!$D$2:$AY$2&amp;LS_previous!$D$3:$AY$3, 0)),SUM(VLOOKUP($A39, LS_previous!$B$4:$AY$138, LS_previous!Y$149, FALSE), VLOOKUP('Staging Table'!$A39, LS_previous!$B$4:$AY$138,LS_previous!AW$149, FALSE))/2)</f>
        <v>-170.55929934321193</v>
      </c>
      <c r="AH39" s="382">
        <f t="array" ref="AH39">IF($G39=0, INDEX(LS_previous!$D$4:$AY$138, MATCH('Staging Table'!$A39, LS_previous!$B$4:$B$138, 0), MATCH(AH$4&amp;AH$5, LS_previous!$D$2:$AY$2&amp;LS_previous!$D$3:$AY$3, 0)),SUM(VLOOKUP($A39, LS_previous!$B$4:$AY$138, LS_previous!Z$149, FALSE), VLOOKUP('Staging Table'!$A39, LS_previous!$B$4:$AY$138,LS_previous!AX$149, FALSE))/2)</f>
        <v>-202.78901054541757</v>
      </c>
      <c r="AI39" s="382">
        <f t="array" ref="AI39">IF($G39=0, INDEX(LS_previous!$D$4:$AY$138, MATCH('Staging Table'!$A39, LS_previous!$B$4:$B$138, 0), MATCH(AI$4&amp;AI$5, LS_previous!$D$2:$AY$2&amp;LS_previous!$D$3:$AY$3, 0)),SUM(VLOOKUP($A39, LS_previous!$B$4:$AY$138, LS_previous!AA$149, FALSE), VLOOKUP('Staging Table'!$A39, LS_previous!$B$4:$AY$138,LS_previous!AY$149, FALSE))/2)</f>
        <v>-79.621688378367253</v>
      </c>
      <c r="AJ39" s="384">
        <f t="array" ref="AJ39">INDEX(Demand_previous!$D$4:$AY$138, MATCH('Staging Table'!$A39, Demand_previous!$B$4:$B$138, 0), MATCH(AJ$4&amp;AJ$5,Demand_previous!$D$2:$AY$2&amp;Demand_previous!$D$3:$AY$3, 0))/1000</f>
        <v>1.180395833333332</v>
      </c>
      <c r="AK39" s="384">
        <f t="array" ref="AK39">INDEX(Demand_previous!$D$4:$AY$138, MATCH('Staging Table'!$A39, Demand_previous!$B$4:$B$138, 0), MATCH(AK$4&amp;AK$5,Demand_previous!$D$2:$AY$2&amp;Demand_previous!$D$3:$AY$3, 0))/1000</f>
        <v>1.4974609375000005</v>
      </c>
      <c r="AL39" s="384">
        <f t="array" ref="AL39">INDEX(Demand_previous!$D$4:$AY$138, MATCH('Staging Table'!$A39, Demand_previous!$B$4:$B$138, 0), MATCH(AL$4&amp;AL$5,Demand_previous!$D$2:$AY$2&amp;Demand_previous!$D$3:$AY$3, 0))/1000</f>
        <v>2.2348701923076923</v>
      </c>
      <c r="AM39" s="384">
        <f t="array" ref="AM39">INDEX(Demand_previous!$D$4:$AY$138, MATCH('Staging Table'!$A39, Demand_previous!$B$4:$B$138, 0), MATCH(AM$4&amp;AM$5,Demand_previous!$D$2:$AY$2&amp;Demand_previous!$D$3:$AY$3, 0))/1000</f>
        <v>1.6807575000000008</v>
      </c>
      <c r="AN39" s="384">
        <f t="array" ref="AN39">INDEX(Demand_previous!$D$4:$AY$138, MATCH('Staging Table'!$A39, Demand_previous!$B$4:$B$138, 0), MATCH(AN$4&amp;AN$5,Demand_previous!$D$2:$AY$2&amp;Demand_previous!$D$3:$AY$3, 0))/1000</f>
        <v>2.2725474999999999</v>
      </c>
      <c r="AO39" s="384">
        <f t="array" ref="AO39">INDEX(Demand_previous!$D$4:$AY$138, MATCH('Staging Table'!$A39, Demand_previous!$B$4:$B$138, 0), MATCH(AO$4&amp;AO$5,Demand_previous!$D$2:$AY$2&amp;Demand_previous!$D$3:$AY$3, 0))/1000</f>
        <v>0.90645833333333625</v>
      </c>
      <c r="AP39" s="384">
        <f t="array" ref="AP39">INDEX(Demand_previous!$D$4:$AY$138, MATCH('Staging Table'!$A39, Demand_previous!$B$4:$B$138, 0), MATCH(AP$4&amp;AP$5,Demand_previous!$D$2:$AY$2&amp;Demand_previous!$D$3:$AY$3, 0))/1000</f>
        <v>2.2868365384615381</v>
      </c>
      <c r="AQ39" s="384">
        <f t="array" ref="AQ39">INDEX(Demand_previous!$D$4:$AY$138, MATCH('Staging Table'!$A39, Demand_previous!$B$4:$B$138, 0), MATCH(AQ$4&amp;AQ$5,Demand_previous!$D$2:$AY$2&amp;Demand_previous!$D$3:$AY$3, 0))/1000</f>
        <v>1.670422500000001</v>
      </c>
      <c r="AR39" s="384">
        <f t="array" ref="AR39">INDEX(Demand_previous!$D$4:$AY$138, MATCH('Staging Table'!$A39, Demand_previous!$B$4:$B$138, 0), MATCH(AR$4&amp;AR$5,Demand_previous!$D$2:$AY$2&amp;Demand_previous!$D$3:$AY$3, 0))/1000</f>
        <v>1.9430072115384611</v>
      </c>
      <c r="AS39" s="384">
        <f t="array" ref="AS39">INDEX(Demand_previous!$D$4:$AY$138, MATCH('Staging Table'!$A39, Demand_previous!$B$4:$B$138, 0), MATCH(AS$4&amp;AS$5,Demand_previous!$D$2:$AY$2&amp;Demand_previous!$D$3:$AY$3, 0))/1000</f>
        <v>1.8408474999999997</v>
      </c>
      <c r="AT39" s="384">
        <f t="array" ref="AT39">INDEX(Demand_previous!$D$4:$AY$138, MATCH('Staging Table'!$A39, Demand_previous!$B$4:$B$138, 0), MATCH(AT$4&amp;AT$5,Demand_previous!$D$2:$AY$2&amp;Demand_previous!$D$3:$AY$3, 0))/1000</f>
        <v>2.0868194444444432</v>
      </c>
      <c r="AU39" s="384">
        <f t="array" ref="AU39">INDEX(Demand_previous!$D$4:$AY$138, MATCH('Staging Table'!$A39, Demand_previous!$B$4:$B$138, 0), MATCH(AU$4&amp;AU$5,Demand_previous!$D$2:$AY$2&amp;Demand_previous!$D$3:$AY$3, 0))/1000</f>
        <v>0.96792000000000011</v>
      </c>
      <c r="AV39" s="384">
        <f>IF($D39=0,IF(C39=0, MAX(AY39 - (VLOOKUP($A39,TOCA_previous!$A$2:$AI$137,MATCH("RHWM 2016",TOCA_previous!$A$2:$AI$2,0),FALSE)*$F$2*TOCA_previous!C36),0),0), 0)</f>
        <v>310.34619290826959</v>
      </c>
      <c r="AW39" s="427">
        <f>VLOOKUP($A39,REP_previous!$A$1:$D$135,MATCH("FY "&amp;$F$1&amp; " Total Refund",REP_previous!$A$1:$D$1,0),0)</f>
        <v>125130.74256594109</v>
      </c>
      <c r="AX39" s="398">
        <f>MIN(VLOOKUP($A39,TOCA_previous!$A$2:$AI$137,MATCH("TRL - NLSL - Exisiting Resource "&amp;$F$1,TOCA_previous!$A$2:$AI$2,0),FALSE)*$F$2,(VLOOKUP($A39,TOCA_previous!$A$2:$AI$137,MATCH("RHWM 2016",TOCA_previous!$A$2:$AI$2,0),FALSE)*$F$2))</f>
        <v>81954.720000000001</v>
      </c>
      <c r="AY39" s="384">
        <f>SUM(L39:AI39)+(F39*RT1SC!$C$3*$F$2)</f>
        <v>82265.066192908271</v>
      </c>
      <c r="AZ39" s="398">
        <f>VLOOKUP($A39,TOCA_previous!$A$2:$AI$137,MATCH("Above RHWM Not Served with LS "&amp;$F$1,TOCA_previous!$A$2:$AI$2,0),FALSE)*$F$2</f>
        <v>0</v>
      </c>
      <c r="BA39" s="206">
        <f t="shared" si="3"/>
        <v>310.34619290826959</v>
      </c>
      <c r="BB39" s="399">
        <f>(VLOOKUP($A39,TOCA_previous!$A$2:$AI$137,MATCH("RHWM 2016",TOCA_previous!$A$2:$AI$2,0),FALSE)*$F$2) - $AX39</f>
        <v>0</v>
      </c>
      <c r="BC39" s="206">
        <f t="shared" si="4"/>
        <v>0</v>
      </c>
      <c r="BD39" s="400">
        <f t="shared" si="5"/>
        <v>0</v>
      </c>
      <c r="BE39" s="392">
        <f t="shared" si="6"/>
        <v>0</v>
      </c>
      <c r="BF39" s="399">
        <f t="shared" si="7"/>
        <v>0</v>
      </c>
      <c r="BG39" s="206">
        <f>VLOOKUP($A39,TOCA_current!$A$2:$AI$137,MATCH(BG$4,TOCA_current!$A$2:$AI$2,0),FALSE)</f>
        <v>1.3349E-3</v>
      </c>
      <c r="BH39" s="206">
        <f>VLOOKUP($A39,TOCA_current!$A$2:$AI$137,MATCH(BH$4,TOCA_current!$A$2:$AI$2,0),FALSE)</f>
        <v>1.3349E-3</v>
      </c>
      <c r="BI39" s="391">
        <f t="shared" si="8"/>
        <v>0</v>
      </c>
      <c r="BJ39" s="206">
        <f>VLOOKUP($A39,TOCA_current!A35:BG170,MATCH(BJ$4,TOCA_current!$A$2:$BG$2,0),FALSE)</f>
        <v>0</v>
      </c>
      <c r="BK39" s="206">
        <f t="shared" si="9"/>
        <v>0</v>
      </c>
      <c r="BL39" s="206">
        <f t="shared" si="10"/>
        <v>0</v>
      </c>
      <c r="BM39" s="381">
        <f>VLOOKUP($A39,IRD!$A$4:$G$139, 7, FALSE)</f>
        <v>0</v>
      </c>
      <c r="BN39" s="382">
        <f t="array" ref="BN39">IF($BI39=0, INDEX(LS_current!$D$4:$AY$139, MATCH('Staging Table'!$A39, LS_current!$B$4:$B$139, 0), MATCH(BN$4&amp;BN$5, LS_current!$D$2:$AY$2&amp;LS_current!$D$3:$AY$3, 0)),SUM(VLOOKUP($A39, LS_current!$B$4:$AY$139, LS_current!D$149, FALSE), VLOOKUP($A39, LS_current!$B$4:$AY$139,LS_current!D$149, FALSE))/2)</f>
        <v>-476.52166586846261</v>
      </c>
      <c r="BO39" s="382">
        <f t="array" ref="BO39">IF($BI39=0, INDEX(LS_current!$D$4:$AY$139, MATCH('Staging Table'!$A39, LS_current!$B$4:$B$139, 0), MATCH(BO$4&amp;BO$5, LS_current!$D$2:$AY$2&amp;LS_current!$D$3:$AY$3, 0)),SUM(VLOOKUP($A39, LS_current!$B$4:$AY$139, LS_current!E$149, FALSE), VLOOKUP($A39, LS_current!$B$4:$AY$139,LS_current!E$149, FALSE))/2)</f>
        <v>14.533136854719032</v>
      </c>
      <c r="BP39" s="382">
        <f t="array" ref="BP39">IF($BI39=0, INDEX(LS_current!$D$4:$AY$139, MATCH('Staging Table'!$A39, LS_current!$B$4:$B$139, 0), MATCH(BP$4&amp;BP$5, LS_current!$D$2:$AY$2&amp;LS_current!$D$3:$AY$3, 0)),SUM(VLOOKUP($A39, LS_current!$B$4:$AY$139, LS_current!F$149, FALSE), VLOOKUP($A39, LS_current!$B$4:$AY$139,LS_current!F$149, FALSE))/2)</f>
        <v>-689.38362390352631</v>
      </c>
      <c r="BQ39" s="382">
        <f t="array" ref="BQ39">IF($BI39=0, INDEX(LS_current!$D$4:$AY$139, MATCH('Staging Table'!$A39, LS_current!$B$4:$B$139, 0), MATCH(BQ$4&amp;BQ$5, LS_current!$D$2:$AY$2&amp;LS_current!$D$3:$AY$3, 0)),SUM(VLOOKUP($A39, LS_current!$B$4:$AY$139, LS_current!G$149, FALSE), VLOOKUP($A39, LS_current!$B$4:$AY$139,LS_current!G$149, FALSE))/2)</f>
        <v>134.67624509764073</v>
      </c>
      <c r="BR39" s="382">
        <f t="array" ref="BR39">IF($BI39=0, INDEX(LS_current!$D$4:$AY$139, MATCH('Staging Table'!$A39, LS_current!$B$4:$B$139, 0), MATCH(BR$4&amp;BR$5, LS_current!$D$2:$AY$2&amp;LS_current!$D$3:$AY$3, 0)),SUM(VLOOKUP($A39, LS_current!$B$4:$AY$139, LS_current!H$149, FALSE), VLOOKUP($A39, LS_current!$B$4:$AY$139,LS_current!H$149, FALSE))/2)</f>
        <v>641.49166221783616</v>
      </c>
      <c r="BS39" s="382">
        <f t="array" ref="BS39">IF($BI39=0, INDEX(LS_current!$D$4:$AY$139, MATCH('Staging Table'!$A39, LS_current!$B$4:$B$139, 0), MATCH(BS$4&amp;BS$5, LS_current!$D$2:$AY$2&amp;LS_current!$D$3:$AY$3, 0)),SUM(VLOOKUP($A39, LS_current!$B$4:$AY$139, LS_current!I$149, FALSE), VLOOKUP($A39, LS_current!$B$4:$AY$139,LS_current!I$149, FALSE))/2)</f>
        <v>964.59076513200171</v>
      </c>
      <c r="BT39" s="382">
        <f t="array" ref="BT39">IF($BI39=0, INDEX(LS_current!$D$4:$AY$139, MATCH('Staging Table'!$A39, LS_current!$B$4:$B$139, 0), MATCH(BT$4&amp;BT$5, LS_current!$D$2:$AY$2&amp;LS_current!$D$3:$AY$3, 0)),SUM(VLOOKUP($A39, LS_current!$B$4:$AY$139, LS_current!J$149, FALSE), VLOOKUP($A39, LS_current!$B$4:$AY$139,LS_current!J$149, FALSE))/2)</f>
        <v>1398.0686543921051</v>
      </c>
      <c r="BU39" s="382">
        <f t="array" ref="BU39">IF($BI39=0, INDEX(LS_current!$D$4:$AY$139, MATCH('Staging Table'!$A39, LS_current!$B$4:$B$139, 0), MATCH(BU$4&amp;BU$5, LS_current!$D$2:$AY$2&amp;LS_current!$D$3:$AY$3, 0)),SUM(VLOOKUP($A39, LS_current!$B$4:$AY$139, LS_current!K$149, FALSE), VLOOKUP($A39, LS_current!$B$4:$AY$139,LS_current!K$149, FALSE))/2)</f>
        <v>1405.5757509708114</v>
      </c>
      <c r="BV39" s="382">
        <f t="array" ref="BV39">IF($BI39=0, INDEX(LS_current!$D$4:$AY$139, MATCH('Staging Table'!$A39, LS_current!$B$4:$B$139, 0), MATCH(BV$4&amp;BV$5, LS_current!$D$2:$AY$2&amp;LS_current!$D$3:$AY$3, 0)),SUM(VLOOKUP($A39, LS_current!$B$4:$AY$139, LS_current!L$149, FALSE), VLOOKUP($A39, LS_current!$B$4:$AY$139,LS_current!L$149, FALSE))/2)</f>
        <v>1234.5185585202253</v>
      </c>
      <c r="BW39" s="382">
        <f t="array" ref="BW39">IF($BI39=0, INDEX(LS_current!$D$4:$AY$139, MATCH('Staging Table'!$A39, LS_current!$B$4:$B$139, 0), MATCH(BW$4&amp;BW$5, LS_current!$D$2:$AY$2&amp;LS_current!$D$3:$AY$3, 0)),SUM(VLOOKUP($A39, LS_current!$B$4:$AY$139, LS_current!M$149, FALSE), VLOOKUP($A39, LS_current!$B$4:$AY$139,LS_current!M$149, FALSE))/2)</f>
        <v>1161.4984523566172</v>
      </c>
      <c r="BX39" s="382">
        <f t="array" ref="BX39">IF($BI39=0, INDEX(LS_current!$D$4:$AY$139, MATCH('Staging Table'!$A39, LS_current!$B$4:$B$139, 0), MATCH(BX$4&amp;BX$5, LS_current!$D$2:$AY$2&amp;LS_current!$D$3:$AY$3, 0)),SUM(VLOOKUP($A39, LS_current!$B$4:$AY$139, LS_current!N$149, FALSE), VLOOKUP($A39, LS_current!$B$4:$AY$139,LS_current!N$149, FALSE))/2)</f>
        <v>362.20204304848085</v>
      </c>
      <c r="BY39" s="382">
        <f t="array" ref="BY39">IF($BI39=0, INDEX(LS_current!$D$4:$AY$139, MATCH('Staging Table'!$A39, LS_current!$B$4:$B$139, 0), MATCH(BY$4&amp;BY$5, LS_current!$D$2:$AY$2&amp;LS_current!$D$3:$AY$3, 0)),SUM(VLOOKUP($A39, LS_current!$B$4:$AY$139, LS_current!O$149, FALSE), VLOOKUP($A39, LS_current!$B$4:$AY$139,LS_current!O$149, FALSE))/2)</f>
        <v>539.19917707089189</v>
      </c>
      <c r="BZ39" s="382">
        <f t="array" ref="BZ39">IF($BI39=0, INDEX(LS_current!$D$4:$AY$139, MATCH('Staging Table'!$A39, LS_current!$B$4:$B$139, 0), MATCH(BZ$4&amp;BZ$5, LS_current!$D$2:$AY$2&amp;LS_current!$D$3:$AY$3, 0)),SUM(VLOOKUP($A39, LS_current!$B$4:$AY$139, LS_current!P$149, FALSE), VLOOKUP($A39, LS_current!$B$4:$AY$139,LS_current!P$149, FALSE))/2)</f>
        <v>-109.67522276829823</v>
      </c>
      <c r="CA39" s="382">
        <f t="array" ref="CA39">IF($BI39=0, INDEX(LS_current!$D$4:$AY$139, MATCH('Staging Table'!$A39, LS_current!$B$4:$B$139, 0), MATCH(CA$4&amp;CA$5, LS_current!$D$2:$AY$2&amp;LS_current!$D$3:$AY$3, 0)),SUM(VLOOKUP($A39, LS_current!$B$4:$AY$139, LS_current!Q$149, FALSE), VLOOKUP($A39, LS_current!$B$4:$AY$139,LS_current!Q$149, FALSE))/2)</f>
        <v>228.60366724312053</v>
      </c>
      <c r="CB39" s="382">
        <f t="array" ref="CB39">IF($BI39=0, INDEX(LS_current!$D$4:$AY$139, MATCH('Staging Table'!$A39, LS_current!$B$4:$B$139, 0), MATCH(CB$4&amp;CB$5, LS_current!$D$2:$AY$2&amp;LS_current!$D$3:$AY$3, 0)),SUM(VLOOKUP($A39, LS_current!$B$4:$AY$139, LS_current!R$149, FALSE), VLOOKUP($A39, LS_current!$B$4:$AY$139,LS_current!R$149, FALSE))/2)</f>
        <v>-2171.0616968526351</v>
      </c>
      <c r="CC39" s="382">
        <f t="array" ref="CC39">IF($BI39=0, INDEX(LS_current!$D$4:$AY$139, MATCH('Staging Table'!$A39, LS_current!$B$4:$B$139, 0), MATCH(CC$4&amp;CC$5, LS_current!$D$2:$AY$2&amp;LS_current!$D$3:$AY$3, 0)),SUM(VLOOKUP($A39, LS_current!$B$4:$AY$139, LS_current!S$149, FALSE), VLOOKUP($A39, LS_current!$B$4:$AY$139,LS_current!S$149, FALSE))/2)</f>
        <v>-947.4990431219594</v>
      </c>
      <c r="CD39" s="382">
        <f t="array" ref="CD39">IF($BI39=0, INDEX(LS_current!$D$4:$AY$139, MATCH('Staging Table'!$A39, LS_current!$B$4:$B$139, 0), MATCH(CD$4&amp;CD$5, LS_current!$D$2:$AY$2&amp;LS_current!$D$3:$AY$3, 0)),SUM(VLOOKUP($A39, LS_current!$B$4:$AY$139, LS_current!T$149, FALSE), VLOOKUP($A39, LS_current!$B$4:$AY$139,LS_current!T$149, FALSE))/2)</f>
        <v>-996.56747864029649</v>
      </c>
      <c r="CE39" s="382">
        <f t="array" ref="CE39">IF($BI39=0, INDEX(LS_current!$D$4:$AY$139, MATCH('Staging Table'!$A39, LS_current!$B$4:$B$139, 0), MATCH(CE$4&amp;CE$5, LS_current!$D$2:$AY$2&amp;LS_current!$D$3:$AY$3, 0)),SUM(VLOOKUP($A39, LS_current!$B$4:$AY$139, LS_current!U$149, FALSE), VLOOKUP($A39, LS_current!$B$4:$AY$139,LS_current!U$149, FALSE))/2)</f>
        <v>-321.74101764557599</v>
      </c>
      <c r="CF39" s="382">
        <f t="array" ref="CF39">IF($BI39=0, INDEX(LS_current!$D$4:$AY$139, MATCH('Staging Table'!$A39, LS_current!$B$4:$B$139, 0), MATCH(CF$4&amp;CF$5, LS_current!$D$2:$AY$2&amp;LS_current!$D$3:$AY$3, 0)),SUM(VLOOKUP($A39, LS_current!$B$4:$AY$139, LS_current!V$149, FALSE), VLOOKUP($A39, LS_current!$B$4:$AY$139,LS_current!V$149, FALSE))/2)</f>
        <v>-138.14171995896095</v>
      </c>
      <c r="CG39" s="382">
        <f t="array" ref="CG39">IF($BI39=0, INDEX(LS_current!$D$4:$AY$139, MATCH('Staging Table'!$A39, LS_current!$B$4:$B$139, 0), MATCH(CG$4&amp;CG$5, LS_current!$D$2:$AY$2&amp;LS_current!$D$3:$AY$3, 0)),SUM(VLOOKUP($A39, LS_current!$B$4:$AY$139, LS_current!W$149, FALSE), VLOOKUP($A39, LS_current!$B$4:$AY$139,LS_current!W$149, FALSE))/2)</f>
        <v>324.63257573441933</v>
      </c>
      <c r="CH39" s="382">
        <f t="array" ref="CH39">IF($BI39=0, INDEX(LS_current!$D$4:$AY$139, MATCH('Staging Table'!$A39, LS_current!$B$4:$B$139, 0), MATCH(CH$4&amp;CH$5, LS_current!$D$2:$AY$2&amp;LS_current!$D$3:$AY$3, 0)),SUM(VLOOKUP($A39, LS_current!$B$4:$AY$139, LS_current!X$149, FALSE), VLOOKUP($A39, LS_current!$B$4:$AY$139,LS_current!X$149, FALSE))/2)</f>
        <v>-769.05167263512431</v>
      </c>
      <c r="CI39" s="382">
        <f t="array" ref="CI39">IF($BI39=0, INDEX(LS_current!$D$4:$AY$139, MATCH('Staging Table'!$A39, LS_current!$B$4:$B$139, 0), MATCH(CI$4&amp;CI$5, LS_current!$D$2:$AY$2&amp;LS_current!$D$3:$AY$3, 0)),SUM(VLOOKUP($A39, LS_current!$B$4:$AY$139, LS_current!Y$149, FALSE), VLOOKUP($A39, LS_current!$B$4:$AY$139,LS_current!Y$149, FALSE))/2)</f>
        <v>-94.22075261091868</v>
      </c>
      <c r="CJ39" s="382">
        <f t="array" ref="CJ39">IF($BI39=0, INDEX(LS_current!$D$4:$AY$139, MATCH('Staging Table'!$A39, LS_current!$B$4:$B$139, 0), MATCH(CJ$4&amp;CJ$5, LS_current!$D$2:$AY$2&amp;LS_current!$D$3:$AY$3, 0)),SUM(VLOOKUP($A39, LS_current!$B$4:$AY$139, LS_current!Z$149, FALSE), VLOOKUP($A39, LS_current!$B$4:$AY$139,LS_current!Z$149, FALSE))/2)</f>
        <v>-570.72527920315952</v>
      </c>
      <c r="CK39" s="382">
        <f t="array" ref="CK39">IF($BI39=0, INDEX(LS_current!$D$4:$AY$139, MATCH('Staging Table'!$A39, LS_current!$B$4:$B$139, 0), MATCH(CK$4&amp;CK$5, LS_current!$D$2:$AY$2&amp;LS_current!$D$3:$AY$3, 0)),SUM(VLOOKUP($A39, LS_current!$B$4:$AY$139, LS_current!AA$149, FALSE), VLOOKUP($A39, LS_current!$B$4:$AY$139,LS_current!AA$149, FALSE))/2)</f>
        <v>-71.046677134112542</v>
      </c>
      <c r="CL39" s="384">
        <f t="array" ref="CL39">INDEX(Demand_current!$D$4:$AY$138, MATCH($A39, Demand_current!$B$4:$B$138, 0), MATCH(CL$4&amp;CL$5,Demand_current!$D$2:$AY$2&amp;Demand_current!$D$3:$AY$3, 0))/1000</f>
        <v>0.86037259615384432</v>
      </c>
      <c r="CM39" s="384">
        <f t="array" ref="CM39">INDEX(Demand_current!$D$4:$AY$138, MATCH($A39, Demand_current!$B$4:$B$138, 0), MATCH(CM$4&amp;CM$5,Demand_current!$D$2:$AY$2&amp;Demand_current!$D$3:$AY$3, 0))/1000</f>
        <v>1.9334025000000006</v>
      </c>
      <c r="CN39" s="384">
        <f t="array" ref="CN39">INDEX(Demand_current!$D$4:$AY$138, MATCH($A39, Demand_current!$B$4:$B$138, 0), MATCH(CN$4&amp;CN$5,Demand_current!$D$2:$AY$2&amp;Demand_current!$D$3:$AY$3, 0))/1000</f>
        <v>1.7153849999999995</v>
      </c>
      <c r="CO39" s="384">
        <f t="array" ref="CO39">INDEX(Demand_current!$D$4:$AY$138, MATCH($A39, Demand_current!$B$4:$B$138, 0), MATCH(CO$4&amp;CO$5,Demand_current!$D$2:$AY$2&amp;Demand_current!$D$3:$AY$3, 0))/1000</f>
        <v>2.2031129807692307</v>
      </c>
      <c r="CP39" s="384">
        <f t="array" ref="CP39">INDEX(Demand_current!$D$4:$AY$138, MATCH($A39, Demand_current!$B$4:$B$138, 0), MATCH(CP$4&amp;CP$5,Demand_current!$D$2:$AY$2&amp;Demand_current!$D$3:$AY$3, 0))/1000</f>
        <v>1.7916953124999999</v>
      </c>
      <c r="CQ39" s="384">
        <f t="array" ref="CQ39">INDEX(Demand_current!$D$4:$AY$138, MATCH($A39, Demand_current!$B$4:$B$138, 0), MATCH(CQ$4&amp;CQ$5,Demand_current!$D$2:$AY$2&amp;Demand_current!$D$3:$AY$3, 0))/1000</f>
        <v>0.90645833333333625</v>
      </c>
      <c r="CR39" s="384">
        <f t="array" ref="CR39">INDEX(Demand_current!$D$4:$AY$138, MATCH($A39, Demand_current!$B$4:$B$138, 0), MATCH(CR$4&amp;CR$5,Demand_current!$D$2:$AY$2&amp;Demand_current!$D$3:$AY$3, 0))/1000</f>
        <v>1.9206699999999999</v>
      </c>
      <c r="CS39" s="384">
        <f t="array" ref="CS39">INDEX(Demand_current!$D$4:$AY$138, MATCH($A39, Demand_current!$B$4:$B$138, 0), MATCH(CS$4&amp;CS$5,Demand_current!$D$2:$AY$2&amp;Demand_current!$D$3:$AY$3, 0))/1000</f>
        <v>2.0095216346153855</v>
      </c>
      <c r="CT39" s="384">
        <f t="array" ref="CT39">INDEX(Demand_current!$D$4:$AY$138, MATCH($A39, Demand_current!$B$4:$B$138, 0), MATCH(CT$4&amp;CT$5,Demand_current!$D$2:$AY$2&amp;Demand_current!$D$3:$AY$3, 0))/1000</f>
        <v>1.9430072115384611</v>
      </c>
      <c r="CU39" s="384">
        <f t="array" ref="CU39">INDEX(Demand_current!$D$4:$AY$138, MATCH($A39, Demand_current!$B$4:$B$138, 0), MATCH(CU$4&amp;CU$5,Demand_current!$D$2:$AY$2&amp;Demand_current!$D$3:$AY$3, 0))/1000</f>
        <v>1.8408474999999997</v>
      </c>
      <c r="CV39" s="384">
        <f t="array" ref="CV39">INDEX(Demand_current!$D$4:$AY$138, MATCH($A39, Demand_current!$B$4:$B$138, 0), MATCH(CV$4&amp;CV$5,Demand_current!$D$2:$AY$2&amp;Demand_current!$D$3:$AY$3, 0))/1000</f>
        <v>2.0868194444444432</v>
      </c>
      <c r="CW39" s="384">
        <f t="array" ref="CW39">INDEX(Demand_current!$D$4:$AY$138, MATCH($A39, Demand_current!$B$4:$B$138, 0), MATCH(CW$4&amp;CW$5,Demand_current!$D$2:$AY$2&amp;Demand_current!$D$3:$AY$3, 0))/1000</f>
        <v>0.61358333333333337</v>
      </c>
      <c r="CX39" s="384">
        <f>IF(D39=0,IF(C39=0,MAX(0,DA39 - (VLOOKUP($A39,TOCA_current!$A$2:$AI$137,MATCH("RHWM 2018",TOCA_current!$A$2:$AI$2,0),FALSE)*$BH$2)), 0),0)</f>
        <v>1051.1071847998392</v>
      </c>
      <c r="CY39" s="427">
        <f>VLOOKUP($A39,REP_current!$A$1:$D$135,MATCH("FY "&amp;$BH$1&amp; " Total Refund",REP_current!$A$1:$D$1,0),0)</f>
        <v>125894.70843970538</v>
      </c>
      <c r="CZ39" s="432">
        <f>MIN(VLOOKUP($A39,TOCA_current!$A$2:$AI$137,MATCH("TRL - NLSL - Existing Resource "&amp;$BH$1,TOCA_current!$A$2:$AI$2,0),FALSE)*$BH$2, VLOOKUP($A39,TOCA_current!$A$2:$AI$137,MATCH("RHWM 2018",TOCA_current!$A$2:$AI$2,0),FALSE)*$BH$2)</f>
        <v>81213.960000000006</v>
      </c>
      <c r="DA39" s="397">
        <f>SUM(BN39:CK39)+(BH39*RT1SC!$C$4*$BH$2)</f>
        <v>82265.067184799846</v>
      </c>
      <c r="DB39" s="432">
        <f>VLOOKUP($A39,TOCA_current!$A$2:$AI$137,MATCH("Above RHWM Not Served with LS "&amp;$BH$1,TOCA_current!$A$2:$AI$2,0),FALSE)*$BH$2</f>
        <v>0</v>
      </c>
      <c r="DC39" s="401">
        <f t="shared" si="11"/>
        <v>1051.1071847998392</v>
      </c>
      <c r="DD39" s="397">
        <f>(VLOOKUP($A39,TOCA_current!$A$2:$AI$137,MATCH("RHWM 2018",TOCA_current!$A$2:$AI$2,0),FALSE)*$BH$2) - $CZ39</f>
        <v>0</v>
      </c>
      <c r="DE39" s="397">
        <f t="shared" si="12"/>
        <v>0</v>
      </c>
      <c r="DF39" s="397">
        <f t="shared" si="13"/>
        <v>0</v>
      </c>
      <c r="DG39" s="397">
        <f t="shared" si="14"/>
        <v>0</v>
      </c>
      <c r="DH39" s="397">
        <f t="shared" si="15"/>
        <v>0</v>
      </c>
    </row>
    <row r="40" spans="1:112">
      <c r="A40" s="274">
        <v>10094</v>
      </c>
      <c r="B40" s="275" t="s">
        <v>41</v>
      </c>
      <c r="C40" s="397">
        <v>0</v>
      </c>
      <c r="D40" s="397">
        <v>0</v>
      </c>
      <c r="E40" s="205">
        <f>VLOOKUP($A40,TOCA_previous!$A$2:$AI$137,MATCH(E$4,TOCA_previous!$A$2:$AI$2,0),FALSE)</f>
        <v>4.2119999999999999E-4</v>
      </c>
      <c r="F40" s="206">
        <f>VLOOKUP($A40,TOCA_previous!$A$2:$AI$137,MATCH(F$4,TOCA_previous!$A$2:$AI$2,0),FALSE)</f>
        <v>4.2119999999999999E-4</v>
      </c>
      <c r="G40" s="206">
        <f t="shared" si="0"/>
        <v>0</v>
      </c>
      <c r="H40" s="206">
        <f>VLOOKUP($A40,TOCA_previous!$A$2:$AI$137,MATCH(H$4,TOCA_previous!$A$2:$AI$2,0),FALSE)</f>
        <v>0</v>
      </c>
      <c r="I40" s="206">
        <f t="shared" si="1"/>
        <v>0</v>
      </c>
      <c r="J40" s="206">
        <f t="shared" si="2"/>
        <v>0</v>
      </c>
      <c r="K40" s="381">
        <f>VLOOKUP(A40, IRD!$A$5:$C$139, 3, FALSE)</f>
        <v>0</v>
      </c>
      <c r="L40" s="382">
        <f t="array" ref="L40">IF($G40=0, INDEX(LS_previous!$D$4:$AY$138, MATCH('Staging Table'!$A40, LS_previous!$B$4:$B$138, 0), MATCH(L$4&amp;L$5, LS_previous!$D$2:$AY$2&amp;LS_previous!$D$3:$AY$3, 0)),SUM(VLOOKUP($A40, LS_previous!$B$4:$AY$138, LS_previous!D$149, FALSE), VLOOKUP('Staging Table'!$A40, LS_previous!$B$4:$AY$138,LS_previous!AB$149, FALSE))/2)</f>
        <v>58.662870744773727</v>
      </c>
      <c r="M40" s="382">
        <f t="array" ref="M40">IF($G40=0, INDEX(LS_previous!$D$4:$AY$138, MATCH('Staging Table'!$A40, LS_previous!$B$4:$B$138, 0), MATCH(M$4&amp;M$5, LS_previous!$D$2:$AY$2&amp;LS_previous!$D$3:$AY$3, 0)),SUM(VLOOKUP($A40, LS_previous!$B$4:$AY$138, LS_previous!E$149, FALSE), VLOOKUP('Staging Table'!$A40, LS_previous!$B$4:$AY$138,LS_previous!AC$149, FALSE))/2)</f>
        <v>55.132642872858128</v>
      </c>
      <c r="N40" s="382">
        <f t="array" ref="N40">IF($G40=0, INDEX(LS_previous!$D$4:$AY$138, MATCH('Staging Table'!$A40, LS_previous!$B$4:$B$138, 0), MATCH(N$4&amp;N$5, LS_previous!$D$2:$AY$2&amp;LS_previous!$D$3:$AY$3, 0)),SUM(VLOOKUP($A40, LS_previous!$B$4:$AY$138, LS_previous!F$149, FALSE), VLOOKUP('Staging Table'!$A40, LS_previous!$B$4:$AY$138,LS_previous!AD$149, FALSE))/2)</f>
        <v>-65.753707552668629</v>
      </c>
      <c r="O40" s="382">
        <f t="array" ref="O40">IF($G40=0, INDEX(LS_previous!$D$4:$AY$138, MATCH('Staging Table'!$A40, LS_previous!$B$4:$B$138, 0), MATCH(O$4&amp;O$5, LS_previous!$D$2:$AY$2&amp;LS_previous!$D$3:$AY$3, 0)),SUM(VLOOKUP($A40, LS_previous!$B$4:$AY$138, LS_previous!G$149, FALSE), VLOOKUP('Staging Table'!$A40, LS_previous!$B$4:$AY$138,LS_previous!AE$149, FALSE))/2)</f>
        <v>34.17967685072756</v>
      </c>
      <c r="P40" s="382">
        <f t="array" ref="P40">IF($G40=0, INDEX(LS_previous!$D$4:$AY$138, MATCH('Staging Table'!$A40, LS_previous!$B$4:$B$138, 0), MATCH(P$4&amp;P$5, LS_previous!$D$2:$AY$2&amp;LS_previous!$D$3:$AY$3, 0)),SUM(VLOOKUP($A40, LS_previous!$B$4:$AY$138, LS_previous!H$149, FALSE), VLOOKUP('Staging Table'!$A40, LS_previous!$B$4:$AY$138,LS_previous!AF$149, FALSE))/2)</f>
        <v>261.81498293425625</v>
      </c>
      <c r="Q40" s="382">
        <f t="array" ref="Q40">IF($G40=0, INDEX(LS_previous!$D$4:$AY$138, MATCH('Staging Table'!$A40, LS_previous!$B$4:$B$138, 0), MATCH(Q$4&amp;Q$5, LS_previous!$D$2:$AY$2&amp;LS_previous!$D$3:$AY$3, 0)),SUM(VLOOKUP($A40, LS_previous!$B$4:$AY$138, LS_previous!I$149, FALSE), VLOOKUP('Staging Table'!$A40, LS_previous!$B$4:$AY$138,LS_previous!AG$149, FALSE))/2)</f>
        <v>216.31315674775533</v>
      </c>
      <c r="R40" s="382">
        <f t="array" ref="R40">IF($G40=0, INDEX(LS_previous!$D$4:$AY$138, MATCH('Staging Table'!$A40, LS_previous!$B$4:$B$138, 0), MATCH(R$4&amp;R$5, LS_previous!$D$2:$AY$2&amp;LS_previous!$D$3:$AY$3, 0)),SUM(VLOOKUP($A40, LS_previous!$B$4:$AY$138, LS_previous!J$149, FALSE), VLOOKUP('Staging Table'!$A40, LS_previous!$B$4:$AY$138,LS_previous!AH$149, FALSE))/2)</f>
        <v>432.52514887525422</v>
      </c>
      <c r="S40" s="382">
        <f t="array" ref="S40">IF($G40=0, INDEX(LS_previous!$D$4:$AY$138, MATCH('Staging Table'!$A40, LS_previous!$B$4:$B$138, 0), MATCH(S$4&amp;S$5, LS_previous!$D$2:$AY$2&amp;LS_previous!$D$3:$AY$3, 0)),SUM(VLOOKUP($A40, LS_previous!$B$4:$AY$138, LS_previous!K$149, FALSE), VLOOKUP('Staging Table'!$A40, LS_previous!$B$4:$AY$138,LS_previous!AI$149, FALSE))/2)</f>
        <v>329.942574020753</v>
      </c>
      <c r="T40" s="382">
        <f t="array" ref="T40">IF($G40=0, INDEX(LS_previous!$D$4:$AY$138, MATCH('Staging Table'!$A40, LS_previous!$B$4:$B$138, 0), MATCH(T$4&amp;T$5, LS_previous!$D$2:$AY$2&amp;LS_previous!$D$3:$AY$3, 0)),SUM(VLOOKUP($A40, LS_previous!$B$4:$AY$138, LS_previous!L$149, FALSE), VLOOKUP('Staging Table'!$A40, LS_previous!$B$4:$AY$138,LS_previous!AJ$149, FALSE))/2)</f>
        <v>343.51078187502685</v>
      </c>
      <c r="U40" s="382">
        <f t="array" ref="U40">IF($G40=0, INDEX(LS_previous!$D$4:$AY$138, MATCH('Staging Table'!$A40, LS_previous!$B$4:$B$138, 0), MATCH(U$4&amp;U$5, LS_previous!$D$2:$AY$2&amp;LS_previous!$D$3:$AY$3, 0)),SUM(VLOOKUP($A40, LS_previous!$B$4:$AY$138, LS_previous!M$149, FALSE), VLOOKUP('Staging Table'!$A40, LS_previous!$B$4:$AY$138,LS_previous!AK$149, FALSE))/2)</f>
        <v>241.64450146291881</v>
      </c>
      <c r="V40" s="382">
        <f t="array" ref="V40">IF($G40=0, INDEX(LS_previous!$D$4:$AY$138, MATCH('Staging Table'!$A40, LS_previous!$B$4:$B$138, 0), MATCH(V$4&amp;V$5, LS_previous!$D$2:$AY$2&amp;LS_previous!$D$3:$AY$3, 0)),SUM(VLOOKUP($A40, LS_previous!$B$4:$AY$138, LS_previous!N$149, FALSE), VLOOKUP('Staging Table'!$A40, LS_previous!$B$4:$AY$138,LS_previous!AL$149, FALSE))/2)</f>
        <v>178.84526397706122</v>
      </c>
      <c r="W40" s="382">
        <f t="array" ref="W40">IF($G40=0, INDEX(LS_previous!$D$4:$AY$138, MATCH('Staging Table'!$A40, LS_previous!$B$4:$B$138, 0), MATCH(W$4&amp;W$5, LS_previous!$D$2:$AY$2&amp;LS_previous!$D$3:$AY$3, 0)),SUM(VLOOKUP($A40, LS_previous!$B$4:$AY$138, LS_previous!O$149, FALSE), VLOOKUP('Staging Table'!$A40, LS_previous!$B$4:$AY$138,LS_previous!AM$149, FALSE))/2)</f>
        <v>110.57677087112313</v>
      </c>
      <c r="X40" s="382">
        <f t="array" ref="X40">IF($G40=0, INDEX(LS_previous!$D$4:$AY$138, MATCH('Staging Table'!$A40, LS_previous!$B$4:$B$138, 0), MATCH(X$4&amp;X$5, LS_previous!$D$2:$AY$2&amp;LS_previous!$D$3:$AY$3, 0)),SUM(VLOOKUP($A40, LS_previous!$B$4:$AY$138, LS_previous!P$149, FALSE), VLOOKUP('Staging Table'!$A40, LS_previous!$B$4:$AY$138,LS_previous!AN$149, FALSE))/2)</f>
        <v>267.89262664798184</v>
      </c>
      <c r="Y40" s="382">
        <f t="array" ref="Y40">IF($G40=0, INDEX(LS_previous!$D$4:$AY$138, MATCH('Staging Table'!$A40, LS_previous!$B$4:$B$138, 0), MATCH(Y$4&amp;Y$5, LS_previous!$D$2:$AY$2&amp;LS_previous!$D$3:$AY$3, 0)),SUM(VLOOKUP($A40, LS_previous!$B$4:$AY$138, LS_previous!Q$149, FALSE), VLOOKUP('Staging Table'!$A40, LS_previous!$B$4:$AY$138,LS_previous!AO$149, FALSE))/2)</f>
        <v>154.91471567459837</v>
      </c>
      <c r="Z40" s="382">
        <f t="array" ref="Z40">IF($G40=0, INDEX(LS_previous!$D$4:$AY$138, MATCH('Staging Table'!$A40, LS_previous!$B$4:$B$138, 0), MATCH(Z$4&amp;Z$5, LS_previous!$D$2:$AY$2&amp;LS_previous!$D$3:$AY$3, 0)),SUM(VLOOKUP($A40, LS_previous!$B$4:$AY$138, LS_previous!R$149, FALSE), VLOOKUP('Staging Table'!$A40, LS_previous!$B$4:$AY$138,LS_previous!AP$149, FALSE))/2)</f>
        <v>-545.00086417468924</v>
      </c>
      <c r="AA40" s="382">
        <f t="array" ref="AA40">IF($G40=0, INDEX(LS_previous!$D$4:$AY$138, MATCH('Staging Table'!$A40, LS_previous!$B$4:$B$138, 0), MATCH(AA$4&amp;AA$5, LS_previous!$D$2:$AY$2&amp;LS_previous!$D$3:$AY$3, 0)),SUM(VLOOKUP($A40, LS_previous!$B$4:$AY$138, LS_previous!S$149, FALSE), VLOOKUP('Staging Table'!$A40, LS_previous!$B$4:$AY$138,LS_previous!AQ$149, FALSE))/2)</f>
        <v>-194.52491940463119</v>
      </c>
      <c r="AB40" s="382">
        <f t="array" ref="AB40">IF($G40=0, INDEX(LS_previous!$D$4:$AY$138, MATCH('Staging Table'!$A40, LS_previous!$B$4:$B$138, 0), MATCH(AB$4&amp;AB$5, LS_previous!$D$2:$AY$2&amp;LS_previous!$D$3:$AY$3, 0)),SUM(VLOOKUP($A40, LS_previous!$B$4:$AY$138, LS_previous!T$149, FALSE), VLOOKUP('Staging Table'!$A40, LS_previous!$B$4:$AY$138,LS_previous!AR$149, FALSE))/2)</f>
        <v>-275.17431068048199</v>
      </c>
      <c r="AC40" s="382">
        <f t="array" ref="AC40">IF($G40=0, INDEX(LS_previous!$D$4:$AY$138, MATCH('Staging Table'!$A40, LS_previous!$B$4:$B$138, 0), MATCH(AC$4&amp;AC$5, LS_previous!$D$2:$AY$2&amp;LS_previous!$D$3:$AY$3, 0)),SUM(VLOOKUP($A40, LS_previous!$B$4:$AY$138, LS_previous!U$149, FALSE), VLOOKUP('Staging Table'!$A40, LS_previous!$B$4:$AY$138,LS_previous!AS$149, FALSE))/2)</f>
        <v>-160.26632223466345</v>
      </c>
      <c r="AD40" s="382">
        <f t="array" ref="AD40">IF($G40=0, INDEX(LS_previous!$D$4:$AY$138, MATCH('Staging Table'!$A40, LS_previous!$B$4:$B$138, 0), MATCH(AD$4&amp;AD$5, LS_previous!$D$2:$AY$2&amp;LS_previous!$D$3:$AY$3, 0)),SUM(VLOOKUP($A40, LS_previous!$B$4:$AY$138, LS_previous!V$149, FALSE), VLOOKUP('Staging Table'!$A40, LS_previous!$B$4:$AY$138,LS_previous!AT$149, FALSE))/2)</f>
        <v>-118.53036703088628</v>
      </c>
      <c r="AE40" s="382">
        <f t="array" ref="AE40">IF($G40=0, INDEX(LS_previous!$D$4:$AY$138, MATCH('Staging Table'!$A40, LS_previous!$B$4:$B$138, 0), MATCH(AE$4&amp;AE$5, LS_previous!$D$2:$AY$2&amp;LS_previous!$D$3:$AY$3, 0)),SUM(VLOOKUP($A40, LS_previous!$B$4:$AY$138, LS_previous!W$149, FALSE), VLOOKUP('Staging Table'!$A40, LS_previous!$B$4:$AY$138,LS_previous!AU$149, FALSE))/2)</f>
        <v>14.864414263301001</v>
      </c>
      <c r="AF40" s="382">
        <f t="array" ref="AF40">IF($G40=0, INDEX(LS_previous!$D$4:$AY$138, MATCH('Staging Table'!$A40, LS_previous!$B$4:$B$138, 0), MATCH(AF$4&amp;AF$5, LS_previous!$D$2:$AY$2&amp;LS_previous!$D$3:$AY$3, 0)),SUM(VLOOKUP($A40, LS_previous!$B$4:$AY$138, LS_previous!X$149, FALSE), VLOOKUP('Staging Table'!$A40, LS_previous!$B$4:$AY$138,LS_previous!AV$149, FALSE))/2)</f>
        <v>-127.23956117008106</v>
      </c>
      <c r="AG40" s="382">
        <f t="array" ref="AG40">IF($G40=0, INDEX(LS_previous!$D$4:$AY$138, MATCH('Staging Table'!$A40, LS_previous!$B$4:$B$138, 0), MATCH(AG$4&amp;AG$5, LS_previous!$D$2:$AY$2&amp;LS_previous!$D$3:$AY$3, 0)),SUM(VLOOKUP($A40, LS_previous!$B$4:$AY$138, LS_previous!Y$149, FALSE), VLOOKUP('Staging Table'!$A40, LS_previous!$B$4:$AY$138,LS_previous!AW$149, FALSE))/2)</f>
        <v>-11.921456839578468</v>
      </c>
      <c r="AH40" s="382">
        <f t="array" ref="AH40">IF($G40=0, INDEX(LS_previous!$D$4:$AY$138, MATCH('Staging Table'!$A40, LS_previous!$B$4:$B$138, 0), MATCH(AH$4&amp;AH$5, LS_previous!$D$2:$AY$2&amp;LS_previous!$D$3:$AY$3, 0)),SUM(VLOOKUP($A40, LS_previous!$B$4:$AY$138, LS_previous!Z$149, FALSE), VLOOKUP('Staging Table'!$A40, LS_previous!$B$4:$AY$138,LS_previous!AX$149, FALSE))/2)</f>
        <v>85.156181317468736</v>
      </c>
      <c r="AI40" s="382">
        <f t="array" ref="AI40">IF($G40=0, INDEX(LS_previous!$D$4:$AY$138, MATCH('Staging Table'!$A40, LS_previous!$B$4:$B$138, 0), MATCH(AI$4&amp;AI$5, LS_previous!$D$2:$AY$2&amp;LS_previous!$D$3:$AY$3, 0)),SUM(VLOOKUP($A40, LS_previous!$B$4:$AY$138, LS_previous!AA$149, FALSE), VLOOKUP('Staging Table'!$A40, LS_previous!$B$4:$AY$138,LS_previous!AY$149, FALSE))/2)</f>
        <v>39.89912959735932</v>
      </c>
      <c r="AJ40" s="384">
        <f t="array" ref="AJ40">INDEX(Demand_previous!$D$4:$AY$138, MATCH('Staging Table'!$A40, Demand_previous!$B$4:$B$138, 0), MATCH(AJ$4&amp;AJ$5,Demand_previous!$D$2:$AY$2&amp;Demand_previous!$D$3:$AY$3, 0))/1000</f>
        <v>0.62605324074074076</v>
      </c>
      <c r="AK40" s="384">
        <f t="array" ref="AK40">INDEX(Demand_previous!$D$4:$AY$138, MATCH('Staging Table'!$A40, Demand_previous!$B$4:$B$138, 0), MATCH(AK$4&amp;AK$5,Demand_previous!$D$2:$AY$2&amp;Demand_previous!$D$3:$AY$3, 0))/1000</f>
        <v>0.13507552083333374</v>
      </c>
      <c r="AL40" s="384">
        <f t="array" ref="AL40">INDEX(Demand_previous!$D$4:$AY$138, MATCH('Staging Table'!$A40, Demand_previous!$B$4:$B$138, 0), MATCH(AL$4&amp;AL$5,Demand_previous!$D$2:$AY$2&amp;Demand_previous!$D$3:$AY$3, 0))/1000</f>
        <v>0.45892788461538492</v>
      </c>
      <c r="AM40" s="384">
        <f t="array" ref="AM40">INDEX(Demand_previous!$D$4:$AY$138, MATCH('Staging Table'!$A40, Demand_previous!$B$4:$B$138, 0), MATCH(AM$4&amp;AM$5,Demand_previous!$D$2:$AY$2&amp;Demand_previous!$D$3:$AY$3, 0))/1000</f>
        <v>0.51882750000000044</v>
      </c>
      <c r="AN40" s="384">
        <f t="array" ref="AN40">INDEX(Demand_previous!$D$4:$AY$138, MATCH('Staging Table'!$A40, Demand_previous!$B$4:$B$138, 0), MATCH(AN$4&amp;AN$5,Demand_previous!$D$2:$AY$2&amp;Demand_previous!$D$3:$AY$3, 0))/1000</f>
        <v>0.58852249999999984</v>
      </c>
      <c r="AO40" s="384">
        <f t="array" ref="AO40">INDEX(Demand_previous!$D$4:$AY$138, MATCH('Staging Table'!$A40, Demand_previous!$B$4:$B$138, 0), MATCH(AO$4&amp;AO$5,Demand_previous!$D$2:$AY$2&amp;Demand_previous!$D$3:$AY$3, 0))/1000</f>
        <v>0.59074999999999978</v>
      </c>
      <c r="AP40" s="384">
        <f t="array" ref="AP40">INDEX(Demand_previous!$D$4:$AY$138, MATCH('Staging Table'!$A40, Demand_previous!$B$4:$B$138, 0), MATCH(AP$4&amp;AP$5,Demand_previous!$D$2:$AY$2&amp;Demand_previous!$D$3:$AY$3, 0))/1000</f>
        <v>0.57731490384615336</v>
      </c>
      <c r="AQ40" s="384">
        <f t="array" ref="AQ40">INDEX(Demand_previous!$D$4:$AY$138, MATCH('Staging Table'!$A40, Demand_previous!$B$4:$B$138, 0), MATCH(AQ$4&amp;AQ$5,Demand_previous!$D$2:$AY$2&amp;Demand_previous!$D$3:$AY$3, 0))/1000</f>
        <v>0.43581999999999971</v>
      </c>
      <c r="AR40" s="384">
        <f t="array" ref="AR40">INDEX(Demand_previous!$D$4:$AY$138, MATCH('Staging Table'!$A40, Demand_previous!$B$4:$B$138, 0), MATCH(AR$4&amp;AR$5,Demand_previous!$D$2:$AY$2&amp;Demand_previous!$D$3:$AY$3, 0))/1000</f>
        <v>0.42900000000000049</v>
      </c>
      <c r="AS40" s="384">
        <f t="array" ref="AS40">INDEX(Demand_previous!$D$4:$AY$138, MATCH('Staging Table'!$A40, Demand_previous!$B$4:$B$138, 0), MATCH(AS$4&amp;AS$5,Demand_previous!$D$2:$AY$2&amp;Demand_previous!$D$3:$AY$3, 0))/1000</f>
        <v>0.43351500000000021</v>
      </c>
      <c r="AT40" s="384">
        <f t="array" ref="AT40">INDEX(Demand_previous!$D$4:$AY$138, MATCH('Staging Table'!$A40, Demand_previous!$B$4:$B$138, 0), MATCH(AT$4&amp;AT$5,Demand_previous!$D$2:$AY$2&amp;Demand_previous!$D$3:$AY$3, 0))/1000</f>
        <v>0.53105324074074134</v>
      </c>
      <c r="AU40" s="384">
        <f t="array" ref="AU40">INDEX(Demand_previous!$D$4:$AY$138, MATCH('Staging Table'!$A40, Demand_previous!$B$4:$B$138, 0), MATCH(AU$4&amp;AU$5,Demand_previous!$D$2:$AY$2&amp;Demand_previous!$D$3:$AY$3, 0))/1000</f>
        <v>0.44641250000000043</v>
      </c>
      <c r="AV40" s="384">
        <f>IF($D40=0,IF(C40=0, MAX(AY40 - (VLOOKUP($A40,TOCA_previous!$A$2:$AI$137,MATCH("RHWM 2016",TOCA_previous!$A$2:$AI$2,0),FALSE)*$F$2*TOCA_previous!C37),0),0), 0)</f>
        <v>750.13906081353707</v>
      </c>
      <c r="AW40" s="427">
        <f>VLOOKUP($A40,REP_previous!$A$1:$D$135,MATCH("FY "&amp;$F$1&amp; " Total Refund",REP_previous!$A$1:$D$1,0),0)</f>
        <v>16452.038390542482</v>
      </c>
      <c r="AX40" s="398">
        <f>MIN(VLOOKUP($A40,TOCA_previous!$A$2:$AI$137,MATCH("TRL - NLSL - Exisiting Resource "&amp;$F$1,TOCA_previous!$A$2:$AI$2,0),FALSE)*$F$2,(VLOOKUP($A40,TOCA_previous!$A$2:$AI$137,MATCH("RHWM 2016",TOCA_previous!$A$2:$AI$2,0),FALSE)*$F$2))</f>
        <v>25833.743999999999</v>
      </c>
      <c r="AY40" s="384">
        <f>SUM(L40:AI40)+(F40*RT1SC!$C$3*$F$2)</f>
        <v>27163.627060813538</v>
      </c>
      <c r="AZ40" s="398">
        <f>VLOOKUP($A40,TOCA_previous!$A$2:$AI$137,MATCH("Above RHWM Not Served with LS "&amp;$F$1,TOCA_previous!$A$2:$AI$2,0),FALSE)*$F$2</f>
        <v>0</v>
      </c>
      <c r="BA40" s="206">
        <f t="shared" si="3"/>
        <v>1329.8830608135395</v>
      </c>
      <c r="BB40" s="399">
        <f>(VLOOKUP($A40,TOCA_previous!$A$2:$AI$137,MATCH("RHWM 2016",TOCA_previous!$A$2:$AI$2,0),FALSE)*$F$2) - $AX40</f>
        <v>579.74400000000242</v>
      </c>
      <c r="BC40" s="206">
        <f t="shared" si="4"/>
        <v>-579.74400000000242</v>
      </c>
      <c r="BD40" s="400">
        <f t="shared" si="5"/>
        <v>0</v>
      </c>
      <c r="BE40" s="392">
        <f t="shared" si="6"/>
        <v>0</v>
      </c>
      <c r="BF40" s="399">
        <f t="shared" si="7"/>
        <v>-579.74400000000242</v>
      </c>
      <c r="BG40" s="206">
        <f>VLOOKUP($A40,TOCA_current!$A$2:$AI$137,MATCH(BG$4,TOCA_current!$A$2:$AI$2,0),FALSE)</f>
        <v>4.3019999999999999E-4</v>
      </c>
      <c r="BH40" s="206">
        <f>VLOOKUP($A40,TOCA_current!$A$2:$AI$137,MATCH(BH$4,TOCA_current!$A$2:$AI$2,0),FALSE)</f>
        <v>4.3019999999999999E-4</v>
      </c>
      <c r="BI40" s="391">
        <f t="shared" si="8"/>
        <v>0</v>
      </c>
      <c r="BJ40" s="206">
        <f>VLOOKUP($A40,TOCA_current!A36:BG171,MATCH(BJ$4,TOCA_current!$A$2:$BG$2,0),FALSE)</f>
        <v>0</v>
      </c>
      <c r="BK40" s="206">
        <f t="shared" si="9"/>
        <v>0</v>
      </c>
      <c r="BL40" s="206">
        <f t="shared" si="10"/>
        <v>0</v>
      </c>
      <c r="BM40" s="381">
        <f>VLOOKUP($A40,IRD!$A$4:$G$139, 7, FALSE)</f>
        <v>0</v>
      </c>
      <c r="BN40" s="382">
        <f t="array" ref="BN40">IF($BI40=0, INDEX(LS_current!$D$4:$AY$139, MATCH('Staging Table'!$A40, LS_current!$B$4:$B$139, 0), MATCH(BN$4&amp;BN$5, LS_current!$D$2:$AY$2&amp;LS_current!$D$3:$AY$3, 0)),SUM(VLOOKUP($A40, LS_current!$B$4:$AY$139, LS_current!D$149, FALSE), VLOOKUP($A40, LS_current!$B$4:$AY$139,LS_current!D$149, FALSE))/2)</f>
        <v>24.339106182775822</v>
      </c>
      <c r="BO40" s="382">
        <f t="array" ref="BO40">IF($BI40=0, INDEX(LS_current!$D$4:$AY$139, MATCH('Staging Table'!$A40, LS_current!$B$4:$B$139, 0), MATCH(BO$4&amp;BO$5, LS_current!$D$2:$AY$2&amp;LS_current!$D$3:$AY$3, 0)),SUM(VLOOKUP($A40, LS_current!$B$4:$AY$139, LS_current!E$149, FALSE), VLOOKUP($A40, LS_current!$B$4:$AY$139,LS_current!E$149, FALSE))/2)</f>
        <v>77.857888437261408</v>
      </c>
      <c r="BP40" s="382">
        <f t="array" ref="BP40">IF($BI40=0, INDEX(LS_current!$D$4:$AY$139, MATCH('Staging Table'!$A40, LS_current!$B$4:$B$139, 0), MATCH(BP$4&amp;BP$5, LS_current!$D$2:$AY$2&amp;LS_current!$D$3:$AY$3, 0)),SUM(VLOOKUP($A40, LS_current!$B$4:$AY$139, LS_current!F$149, FALSE), VLOOKUP($A40, LS_current!$B$4:$AY$139,LS_current!F$149, FALSE))/2)</f>
        <v>-130.07566776784574</v>
      </c>
      <c r="BQ40" s="382">
        <f t="array" ref="BQ40">IF($BI40=0, INDEX(LS_current!$D$4:$AY$139, MATCH('Staging Table'!$A40, LS_current!$B$4:$B$139, 0), MATCH(BQ$4&amp;BQ$5, LS_current!$D$2:$AY$2&amp;LS_current!$D$3:$AY$3, 0)),SUM(VLOOKUP($A40, LS_current!$B$4:$AY$139, LS_current!G$149, FALSE), VLOOKUP($A40, LS_current!$B$4:$AY$139,LS_current!G$149, FALSE))/2)</f>
        <v>23.094403731369425</v>
      </c>
      <c r="BR40" s="382">
        <f t="array" ref="BR40">IF($BI40=0, INDEX(LS_current!$D$4:$AY$139, MATCH('Staging Table'!$A40, LS_current!$B$4:$B$139, 0), MATCH(BR$4&amp;BR$5, LS_current!$D$2:$AY$2&amp;LS_current!$D$3:$AY$3, 0)),SUM(VLOOKUP($A40, LS_current!$B$4:$AY$139, LS_current!H$149, FALSE), VLOOKUP($A40, LS_current!$B$4:$AY$139,LS_current!H$149, FALSE))/2)</f>
        <v>181.30245358162665</v>
      </c>
      <c r="BS40" s="382">
        <f t="array" ref="BS40">IF($BI40=0, INDEX(LS_current!$D$4:$AY$139, MATCH('Staging Table'!$A40, LS_current!$B$4:$B$139, 0), MATCH(BS$4&amp;BS$5, LS_current!$D$2:$AY$2&amp;LS_current!$D$3:$AY$3, 0)),SUM(VLOOKUP($A40, LS_current!$B$4:$AY$139, LS_current!I$149, FALSE), VLOOKUP($A40, LS_current!$B$4:$AY$139,LS_current!I$149, FALSE))/2)</f>
        <v>188.31258203594803</v>
      </c>
      <c r="BT40" s="382">
        <f t="array" ref="BT40">IF($BI40=0, INDEX(LS_current!$D$4:$AY$139, MATCH('Staging Table'!$A40, LS_current!$B$4:$B$139, 0), MATCH(BT$4&amp;BT$5, LS_current!$D$2:$AY$2&amp;LS_current!$D$3:$AY$3, 0)),SUM(VLOOKUP($A40, LS_current!$B$4:$AY$139, LS_current!J$149, FALSE), VLOOKUP($A40, LS_current!$B$4:$AY$139,LS_current!J$149, FALSE))/2)</f>
        <v>391.08840648699038</v>
      </c>
      <c r="BU40" s="382">
        <f t="array" ref="BU40">IF($BI40=0, INDEX(LS_current!$D$4:$AY$139, MATCH('Staging Table'!$A40, LS_current!$B$4:$B$139, 0), MATCH(BU$4&amp;BU$5, LS_current!$D$2:$AY$2&amp;LS_current!$D$3:$AY$3, 0)),SUM(VLOOKUP($A40, LS_current!$B$4:$AY$139, LS_current!K$149, FALSE), VLOOKUP($A40, LS_current!$B$4:$AY$139,LS_current!K$149, FALSE))/2)</f>
        <v>310.07113579117754</v>
      </c>
      <c r="BV40" s="382">
        <f t="array" ref="BV40">IF($BI40=0, INDEX(LS_current!$D$4:$AY$139, MATCH('Staging Table'!$A40, LS_current!$B$4:$B$139, 0), MATCH(BV$4&amp;BV$5, LS_current!$D$2:$AY$2&amp;LS_current!$D$3:$AY$3, 0)),SUM(VLOOKUP($A40, LS_current!$B$4:$AY$139, LS_current!L$149, FALSE), VLOOKUP($A40, LS_current!$B$4:$AY$139,LS_current!L$149, FALSE))/2)</f>
        <v>408.17814336309903</v>
      </c>
      <c r="BW40" s="382">
        <f t="array" ref="BW40">IF($BI40=0, INDEX(LS_current!$D$4:$AY$139, MATCH('Staging Table'!$A40, LS_current!$B$4:$B$139, 0), MATCH(BW$4&amp;BW$5, LS_current!$D$2:$AY$2&amp;LS_current!$D$3:$AY$3, 0)),SUM(VLOOKUP($A40, LS_current!$B$4:$AY$139, LS_current!M$149, FALSE), VLOOKUP($A40, LS_current!$B$4:$AY$139,LS_current!M$149, FALSE))/2)</f>
        <v>297.16936901926499</v>
      </c>
      <c r="BX40" s="382">
        <f t="array" ref="BX40">IF($BI40=0, INDEX(LS_current!$D$4:$AY$139, MATCH('Staging Table'!$A40, LS_current!$B$4:$B$139, 0), MATCH(BX$4&amp;BX$5, LS_current!$D$2:$AY$2&amp;LS_current!$D$3:$AY$3, 0)),SUM(VLOOKUP($A40, LS_current!$B$4:$AY$139, LS_current!N$149, FALSE), VLOOKUP($A40, LS_current!$B$4:$AY$139,LS_current!N$149, FALSE))/2)</f>
        <v>219.87011140868708</v>
      </c>
      <c r="BY40" s="382">
        <f t="array" ref="BY40">IF($BI40=0, INDEX(LS_current!$D$4:$AY$139, MATCH('Staging Table'!$A40, LS_current!$B$4:$B$139, 0), MATCH(BY$4&amp;BY$5, LS_current!$D$2:$AY$2&amp;LS_current!$D$3:$AY$3, 0)),SUM(VLOOKUP($A40, LS_current!$B$4:$AY$139, LS_current!O$149, FALSE), VLOOKUP($A40, LS_current!$B$4:$AY$139,LS_current!O$149, FALSE))/2)</f>
        <v>170.94477060146653</v>
      </c>
      <c r="BZ40" s="382">
        <f t="array" ref="BZ40">IF($BI40=0, INDEX(LS_current!$D$4:$AY$139, MATCH('Staging Table'!$A40, LS_current!$B$4:$B$139, 0), MATCH(BZ$4&amp;BZ$5, LS_current!$D$2:$AY$2&amp;LS_current!$D$3:$AY$3, 0)),SUM(VLOOKUP($A40, LS_current!$B$4:$AY$139, LS_current!P$149, FALSE), VLOOKUP($A40, LS_current!$B$4:$AY$139,LS_current!P$149, FALSE))/2)</f>
        <v>113.40005098889674</v>
      </c>
      <c r="CA40" s="382">
        <f t="array" ref="CA40">IF($BI40=0, INDEX(LS_current!$D$4:$AY$139, MATCH('Staging Table'!$A40, LS_current!$B$4:$B$139, 0), MATCH(CA$4&amp;CA$5, LS_current!$D$2:$AY$2&amp;LS_current!$D$3:$AY$3, 0)),SUM(VLOOKUP($A40, LS_current!$B$4:$AY$139, LS_current!Q$149, FALSE), VLOOKUP($A40, LS_current!$B$4:$AY$139,LS_current!Q$149, FALSE))/2)</f>
        <v>131.00498632705865</v>
      </c>
      <c r="CB40" s="382">
        <f t="array" ref="CB40">IF($BI40=0, INDEX(LS_current!$D$4:$AY$139, MATCH('Staging Table'!$A40, LS_current!$B$4:$B$139, 0), MATCH(CB$4&amp;CB$5, LS_current!$D$2:$AY$2&amp;LS_current!$D$3:$AY$3, 0)),SUM(VLOOKUP($A40, LS_current!$B$4:$AY$139, LS_current!R$149, FALSE), VLOOKUP($A40, LS_current!$B$4:$AY$139,LS_current!R$149, FALSE))/2)</f>
        <v>-567.53101010263208</v>
      </c>
      <c r="CC40" s="382">
        <f t="array" ref="CC40">IF($BI40=0, INDEX(LS_current!$D$4:$AY$139, MATCH('Staging Table'!$A40, LS_current!$B$4:$B$139, 0), MATCH(CC$4&amp;CC$5, LS_current!$D$2:$AY$2&amp;LS_current!$D$3:$AY$3, 0)),SUM(VLOOKUP($A40, LS_current!$B$4:$AY$139, LS_current!S$149, FALSE), VLOOKUP($A40, LS_current!$B$4:$AY$139,LS_current!S$149, FALSE))/2)</f>
        <v>-232.06434291038045</v>
      </c>
      <c r="CD40" s="382">
        <f t="array" ref="CD40">IF($BI40=0, INDEX(LS_current!$D$4:$AY$139, MATCH('Staging Table'!$A40, LS_current!$B$4:$B$139, 0), MATCH(CD$4&amp;CD$5, LS_current!$D$2:$AY$2&amp;LS_current!$D$3:$AY$3, 0)),SUM(VLOOKUP($A40, LS_current!$B$4:$AY$139, LS_current!T$149, FALSE), VLOOKUP($A40, LS_current!$B$4:$AY$139,LS_current!T$149, FALSE))/2)</f>
        <v>-299.44030347670673</v>
      </c>
      <c r="CE40" s="382">
        <f t="array" ref="CE40">IF($BI40=0, INDEX(LS_current!$D$4:$AY$139, MATCH('Staging Table'!$A40, LS_current!$B$4:$B$139, 0), MATCH(CE$4&amp;CE$5, LS_current!$D$2:$AY$2&amp;LS_current!$D$3:$AY$3, 0)),SUM(VLOOKUP($A40, LS_current!$B$4:$AY$139, LS_current!U$149, FALSE), VLOOKUP($A40, LS_current!$B$4:$AY$139,LS_current!U$149, FALSE))/2)</f>
        <v>-118.35968289094819</v>
      </c>
      <c r="CF40" s="382">
        <f t="array" ref="CF40">IF($BI40=0, INDEX(LS_current!$D$4:$AY$139, MATCH('Staging Table'!$A40, LS_current!$B$4:$B$139, 0), MATCH(CF$4&amp;CF$5, LS_current!$D$2:$AY$2&amp;LS_current!$D$3:$AY$3, 0)),SUM(VLOOKUP($A40, LS_current!$B$4:$AY$139, LS_current!V$149, FALSE), VLOOKUP($A40, LS_current!$B$4:$AY$139,LS_current!V$149, FALSE))/2)</f>
        <v>-62.883496536328721</v>
      </c>
      <c r="CG40" s="382">
        <f t="array" ref="CG40">IF($BI40=0, INDEX(LS_current!$D$4:$AY$139, MATCH('Staging Table'!$A40, LS_current!$B$4:$B$139, 0), MATCH(CG$4&amp;CG$5, LS_current!$D$2:$AY$2&amp;LS_current!$D$3:$AY$3, 0)),SUM(VLOOKUP($A40, LS_current!$B$4:$AY$139, LS_current!W$149, FALSE), VLOOKUP($A40, LS_current!$B$4:$AY$139,LS_current!W$149, FALSE))/2)</f>
        <v>51.86055178736035</v>
      </c>
      <c r="CH40" s="382">
        <f t="array" ref="CH40">IF($BI40=0, INDEX(LS_current!$D$4:$AY$139, MATCH('Staging Table'!$A40, LS_current!$B$4:$B$139, 0), MATCH(CH$4&amp;CH$5, LS_current!$D$2:$AY$2&amp;LS_current!$D$3:$AY$3, 0)),SUM(VLOOKUP($A40, LS_current!$B$4:$AY$139, LS_current!X$149, FALSE), VLOOKUP($A40, LS_current!$B$4:$AY$139,LS_current!X$149, FALSE))/2)</f>
        <v>-150.82942712385238</v>
      </c>
      <c r="CI40" s="382">
        <f t="array" ref="CI40">IF($BI40=0, INDEX(LS_current!$D$4:$AY$139, MATCH('Staging Table'!$A40, LS_current!$B$4:$B$139, 0), MATCH(CI$4&amp;CI$5, LS_current!$D$2:$AY$2&amp;LS_current!$D$3:$AY$3, 0)),SUM(VLOOKUP($A40, LS_current!$B$4:$AY$139, LS_current!Y$149, FALSE), VLOOKUP($A40, LS_current!$B$4:$AY$139,LS_current!Y$149, FALSE))/2)</f>
        <v>-3.8064379153622667</v>
      </c>
      <c r="CJ40" s="382">
        <f t="array" ref="CJ40">IF($BI40=0, INDEX(LS_current!$D$4:$AY$139, MATCH('Staging Table'!$A40, LS_current!$B$4:$B$139, 0), MATCH(CJ$4&amp;CJ$5, LS_current!$D$2:$AY$2&amp;LS_current!$D$3:$AY$3, 0)),SUM(VLOOKUP($A40, LS_current!$B$4:$AY$139, LS_current!Z$149, FALSE), VLOOKUP($A40, LS_current!$B$4:$AY$139,LS_current!Z$149, FALSE))/2)</f>
        <v>-58.741868314629755</v>
      </c>
      <c r="CK40" s="382">
        <f t="array" ref="CK40">IF($BI40=0, INDEX(LS_current!$D$4:$AY$139, MATCH('Staging Table'!$A40, LS_current!$B$4:$B$139, 0), MATCH(CK$4&amp;CK$5, LS_current!$D$2:$AY$2&amp;LS_current!$D$3:$AY$3, 0)),SUM(VLOOKUP($A40, LS_current!$B$4:$AY$139, LS_current!AA$149, FALSE), VLOOKUP($A40, LS_current!$B$4:$AY$139,LS_current!AA$149, FALSE))/2)</f>
        <v>26.85237613072502</v>
      </c>
      <c r="CL40" s="384">
        <f t="array" ref="CL40">INDEX(Demand_current!$D$4:$AY$138, MATCH($A40, Demand_current!$B$4:$B$138, 0), MATCH(CL$4&amp;CL$5,Demand_current!$D$2:$AY$2&amp;Demand_current!$D$3:$AY$3, 0))/1000</f>
        <v>0.50209374999999967</v>
      </c>
      <c r="CM40" s="384">
        <f t="array" ref="CM40">INDEX(Demand_current!$D$4:$AY$138, MATCH($A40, Demand_current!$B$4:$B$138, 0), MATCH(CM$4&amp;CM$5,Demand_current!$D$2:$AY$2&amp;Demand_current!$D$3:$AY$3, 0))/1000</f>
        <v>0.29047250000000069</v>
      </c>
      <c r="CN40" s="384">
        <f t="array" ref="CN40">INDEX(Demand_current!$D$4:$AY$138, MATCH($A40, Demand_current!$B$4:$B$138, 0), MATCH(CN$4&amp;CN$5,Demand_current!$D$2:$AY$2&amp;Demand_current!$D$3:$AY$3, 0))/1000</f>
        <v>0.28828500000000046</v>
      </c>
      <c r="CO40" s="384">
        <f t="array" ref="CO40">INDEX(Demand_current!$D$4:$AY$138, MATCH($A40, Demand_current!$B$4:$B$138, 0), MATCH(CO$4&amp;CO$5,Demand_current!$D$2:$AY$2&amp;Demand_current!$D$3:$AY$3, 0))/1000</f>
        <v>0.68721875000000043</v>
      </c>
      <c r="CP40" s="384">
        <f t="array" ref="CP40">INDEX(Demand_current!$D$4:$AY$138, MATCH($A40, Demand_current!$B$4:$B$138, 0), MATCH(CP$4&amp;CP$5,Demand_current!$D$2:$AY$2&amp;Demand_current!$D$3:$AY$3, 0))/1000</f>
        <v>0.42696093750000008</v>
      </c>
      <c r="CQ40" s="384">
        <f t="array" ref="CQ40">INDEX(Demand_current!$D$4:$AY$138, MATCH($A40, Demand_current!$B$4:$B$138, 0), MATCH(CQ$4&amp;CQ$5,Demand_current!$D$2:$AY$2&amp;Demand_current!$D$3:$AY$3, 0))/1000</f>
        <v>0.59074999999999978</v>
      </c>
      <c r="CR40" s="384">
        <f t="array" ref="CR40">INDEX(Demand_current!$D$4:$AY$138, MATCH($A40, Demand_current!$B$4:$B$138, 0), MATCH(CR$4&amp;CR$5,Demand_current!$D$2:$AY$2&amp;Demand_current!$D$3:$AY$3, 0))/1000</f>
        <v>0.44500749999999961</v>
      </c>
      <c r="CS40" s="384">
        <f t="array" ref="CS40">INDEX(Demand_current!$D$4:$AY$138, MATCH($A40, Demand_current!$B$4:$B$138, 0), MATCH(CS$4&amp;CS$5,Demand_current!$D$2:$AY$2&amp;Demand_current!$D$3:$AY$3, 0))/1000</f>
        <v>0.55963461538461523</v>
      </c>
      <c r="CT40" s="384">
        <f t="array" ref="CT40">INDEX(Demand_current!$D$4:$AY$138, MATCH($A40, Demand_current!$B$4:$B$138, 0), MATCH(CT$4&amp;CT$5,Demand_current!$D$2:$AY$2&amp;Demand_current!$D$3:$AY$3, 0))/1000</f>
        <v>0.42900000000000049</v>
      </c>
      <c r="CU40" s="384">
        <f t="array" ref="CU40">INDEX(Demand_current!$D$4:$AY$138, MATCH($A40, Demand_current!$B$4:$B$138, 0), MATCH(CU$4&amp;CU$5,Demand_current!$D$2:$AY$2&amp;Demand_current!$D$3:$AY$3, 0))/1000</f>
        <v>0.43351500000000021</v>
      </c>
      <c r="CV40" s="384">
        <f t="array" ref="CV40">INDEX(Demand_current!$D$4:$AY$138, MATCH($A40, Demand_current!$B$4:$B$138, 0), MATCH(CV$4&amp;CV$5,Demand_current!$D$2:$AY$2&amp;Demand_current!$D$3:$AY$3, 0))/1000</f>
        <v>0.53105324074074134</v>
      </c>
      <c r="CW40" s="384">
        <f t="array" ref="CW40">INDEX(Demand_current!$D$4:$AY$138, MATCH($A40, Demand_current!$B$4:$B$138, 0), MATCH(CW$4&amp;CW$5,Demand_current!$D$2:$AY$2&amp;Demand_current!$D$3:$AY$3, 0))/1000</f>
        <v>0.31792968750000028</v>
      </c>
      <c r="CX40" s="384">
        <f>IF(D40=0,IF(C40=0,MAX(0,DA40 - (VLOOKUP($A40,TOCA_current!$A$2:$AI$137,MATCH("RHWM 2018",TOCA_current!$A$2:$AI$2,0),FALSE)*$BH$2)), 0),0)</f>
        <v>988.74738182701913</v>
      </c>
      <c r="CY40" s="427">
        <f>VLOOKUP($A40,REP_current!$A$1:$D$135,MATCH("FY "&amp;$BH$1&amp; " Total Refund",REP_current!$A$1:$D$1,0),0)</f>
        <v>17064.887442487019</v>
      </c>
      <c r="CZ40" s="432">
        <f>MIN(VLOOKUP($A40,TOCA_current!$A$2:$AI$137,MATCH("TRL - NLSL - Existing Resource "&amp;$BH$1,TOCA_current!$A$2:$AI$2,0),FALSE)*$BH$2, VLOOKUP($A40,TOCA_current!$A$2:$AI$137,MATCH("RHWM 2018",TOCA_current!$A$2:$AI$2,0),FALSE)*$BH$2)</f>
        <v>26174.880000000001</v>
      </c>
      <c r="DA40" s="397">
        <f>SUM(BN40:CK40)+(BH40*RT1SC!$C$4*$BH$2)</f>
        <v>27163.62738182702</v>
      </c>
      <c r="DB40" s="432">
        <f>VLOOKUP($A40,TOCA_current!$A$2:$AI$137,MATCH("Above RHWM Not Served with LS "&amp;$BH$1,TOCA_current!$A$2:$AI$2,0),FALSE)*$BH$2</f>
        <v>0</v>
      </c>
      <c r="DC40" s="401">
        <f t="shared" si="11"/>
        <v>988.74738182701913</v>
      </c>
      <c r="DD40" s="397">
        <f>(VLOOKUP($A40,TOCA_current!$A$2:$AI$137,MATCH("RHWM 2018",TOCA_current!$A$2:$AI$2,0),FALSE)*$BH$2) - $CZ40</f>
        <v>0</v>
      </c>
      <c r="DE40" s="397">
        <f t="shared" si="12"/>
        <v>0</v>
      </c>
      <c r="DF40" s="397">
        <f t="shared" si="13"/>
        <v>0</v>
      </c>
      <c r="DG40" s="397">
        <f t="shared" si="14"/>
        <v>0</v>
      </c>
      <c r="DH40" s="397">
        <f t="shared" si="15"/>
        <v>0</v>
      </c>
    </row>
    <row r="41" spans="1:112">
      <c r="A41" s="274">
        <v>10095</v>
      </c>
      <c r="B41" s="275" t="s">
        <v>42</v>
      </c>
      <c r="C41" s="397">
        <v>0</v>
      </c>
      <c r="D41" s="397">
        <v>0</v>
      </c>
      <c r="E41" s="205">
        <f>VLOOKUP($A41,TOCA_previous!$A$2:$AI$137,MATCH(E$4,TOCA_previous!$A$2:$AI$2,0),FALSE)</f>
        <v>5.1650000000000003E-4</v>
      </c>
      <c r="F41" s="206">
        <f>VLOOKUP($A41,TOCA_previous!$A$2:$AI$137,MATCH(F$4,TOCA_previous!$A$2:$AI$2,0),FALSE)</f>
        <v>5.1650000000000003E-4</v>
      </c>
      <c r="G41" s="206">
        <f t="shared" si="0"/>
        <v>0</v>
      </c>
      <c r="H41" s="206">
        <f>VLOOKUP($A41,TOCA_previous!$A$2:$AI$137,MATCH(H$4,TOCA_previous!$A$2:$AI$2,0),FALSE)</f>
        <v>0</v>
      </c>
      <c r="I41" s="206">
        <f t="shared" si="1"/>
        <v>0</v>
      </c>
      <c r="J41" s="206">
        <f t="shared" si="2"/>
        <v>0</v>
      </c>
      <c r="K41" s="381">
        <f>VLOOKUP(A41, IRD!$A$5:$C$139, 3, FALSE)</f>
        <v>0</v>
      </c>
      <c r="L41" s="382">
        <f t="array" ref="L41">IF($G41=0, INDEX(LS_previous!$D$4:$AY$138, MATCH('Staging Table'!$A41, LS_previous!$B$4:$B$138, 0), MATCH(L$4&amp;L$5, LS_previous!$D$2:$AY$2&amp;LS_previous!$D$3:$AY$3, 0)),SUM(VLOOKUP($A41, LS_previous!$B$4:$AY$138, LS_previous!D$149, FALSE), VLOOKUP('Staging Table'!$A41, LS_previous!$B$4:$AY$138,LS_previous!AB$149, FALSE))/2)</f>
        <v>132.44491224994204</v>
      </c>
      <c r="M41" s="382">
        <f t="array" ref="M41">IF($G41=0, INDEX(LS_previous!$D$4:$AY$138, MATCH('Staging Table'!$A41, LS_previous!$B$4:$B$138, 0), MATCH(M$4&amp;M$5, LS_previous!$D$2:$AY$2&amp;LS_previous!$D$3:$AY$3, 0)),SUM(VLOOKUP($A41, LS_previous!$B$4:$AY$138, LS_previous!E$149, FALSE), VLOOKUP('Staging Table'!$A41, LS_previous!$B$4:$AY$138,LS_previous!AC$149, FALSE))/2)</f>
        <v>72.897627359523085</v>
      </c>
      <c r="N41" s="382">
        <f t="array" ref="N41">IF($G41=0, INDEX(LS_previous!$D$4:$AY$138, MATCH('Staging Table'!$A41, LS_previous!$B$4:$B$138, 0), MATCH(N$4&amp;N$5, LS_previous!$D$2:$AY$2&amp;LS_previous!$D$3:$AY$3, 0)),SUM(VLOOKUP($A41, LS_previous!$B$4:$AY$138, LS_previous!F$149, FALSE), VLOOKUP('Staging Table'!$A41, LS_previous!$B$4:$AY$138,LS_previous!AD$149, FALSE))/2)</f>
        <v>-165.13949157396337</v>
      </c>
      <c r="O41" s="382">
        <f t="array" ref="O41">IF($G41=0, INDEX(LS_previous!$D$4:$AY$138, MATCH('Staging Table'!$A41, LS_previous!$B$4:$B$138, 0), MATCH(O$4&amp;O$5, LS_previous!$D$2:$AY$2&amp;LS_previous!$D$3:$AY$3, 0)),SUM(VLOOKUP($A41, LS_previous!$B$4:$AY$138, LS_previous!G$149, FALSE), VLOOKUP('Staging Table'!$A41, LS_previous!$B$4:$AY$138,LS_previous!AE$149, FALSE))/2)</f>
        <v>-119.55061302611409</v>
      </c>
      <c r="P41" s="382">
        <f t="array" ref="P41">IF($G41=0, INDEX(LS_previous!$D$4:$AY$138, MATCH('Staging Table'!$A41, LS_previous!$B$4:$B$138, 0), MATCH(P$4&amp;P$5, LS_previous!$D$2:$AY$2&amp;LS_previous!$D$3:$AY$3, 0)),SUM(VLOOKUP($A41, LS_previous!$B$4:$AY$138, LS_previous!H$149, FALSE), VLOOKUP('Staging Table'!$A41, LS_previous!$B$4:$AY$138,LS_previous!AF$149, FALSE))/2)</f>
        <v>-54.67541575132168</v>
      </c>
      <c r="Q41" s="382">
        <f t="array" ref="Q41">IF($G41=0, INDEX(LS_previous!$D$4:$AY$138, MATCH('Staging Table'!$A41, LS_previous!$B$4:$B$138, 0), MATCH(Q$4&amp;Q$5, LS_previous!$D$2:$AY$2&amp;LS_previous!$D$3:$AY$3, 0)),SUM(VLOOKUP($A41, LS_previous!$B$4:$AY$138, LS_previous!I$149, FALSE), VLOOKUP('Staging Table'!$A41, LS_previous!$B$4:$AY$138,LS_previous!AG$149, FALSE))/2)</f>
        <v>-11.680251044122542</v>
      </c>
      <c r="R41" s="382">
        <f t="array" ref="R41">IF($G41=0, INDEX(LS_previous!$D$4:$AY$138, MATCH('Staging Table'!$A41, LS_previous!$B$4:$B$138, 0), MATCH(R$4&amp;R$5, LS_previous!$D$2:$AY$2&amp;LS_previous!$D$3:$AY$3, 0)),SUM(VLOOKUP($A41, LS_previous!$B$4:$AY$138, LS_previous!J$149, FALSE), VLOOKUP('Staging Table'!$A41, LS_previous!$B$4:$AY$138,LS_previous!AH$149, FALSE))/2)</f>
        <v>275.56189291089436</v>
      </c>
      <c r="S41" s="382">
        <f t="array" ref="S41">IF($G41=0, INDEX(LS_previous!$D$4:$AY$138, MATCH('Staging Table'!$A41, LS_previous!$B$4:$B$138, 0), MATCH(S$4&amp;S$5, LS_previous!$D$2:$AY$2&amp;LS_previous!$D$3:$AY$3, 0)),SUM(VLOOKUP($A41, LS_previous!$B$4:$AY$138, LS_previous!K$149, FALSE), VLOOKUP('Staging Table'!$A41, LS_previous!$B$4:$AY$138,LS_previous!AI$149, FALSE))/2)</f>
        <v>108.00102939629357</v>
      </c>
      <c r="T41" s="382">
        <f t="array" ref="T41">IF($G41=0, INDEX(LS_previous!$D$4:$AY$138, MATCH('Staging Table'!$A41, LS_previous!$B$4:$B$138, 0), MATCH(T$4&amp;T$5, LS_previous!$D$2:$AY$2&amp;LS_previous!$D$3:$AY$3, 0)),SUM(VLOOKUP($A41, LS_previous!$B$4:$AY$138, LS_previous!L$149, FALSE), VLOOKUP('Staging Table'!$A41, LS_previous!$B$4:$AY$138,LS_previous!AJ$149, FALSE))/2)</f>
        <v>328.6140392650791</v>
      </c>
      <c r="U41" s="382">
        <f t="array" ref="U41">IF($G41=0, INDEX(LS_previous!$D$4:$AY$138, MATCH('Staging Table'!$A41, LS_previous!$B$4:$B$138, 0), MATCH(U$4&amp;U$5, LS_previous!$D$2:$AY$2&amp;LS_previous!$D$3:$AY$3, 0)),SUM(VLOOKUP($A41, LS_previous!$B$4:$AY$138, LS_previous!M$149, FALSE), VLOOKUP('Staging Table'!$A41, LS_previous!$B$4:$AY$138,LS_previous!AK$149, FALSE))/2)</f>
        <v>127.74977945298554</v>
      </c>
      <c r="V41" s="382">
        <f t="array" ref="V41">IF($G41=0, INDEX(LS_previous!$D$4:$AY$138, MATCH('Staging Table'!$A41, LS_previous!$B$4:$B$138, 0), MATCH(V$4&amp;V$5, LS_previous!$D$2:$AY$2&amp;LS_previous!$D$3:$AY$3, 0)),SUM(VLOOKUP($A41, LS_previous!$B$4:$AY$138, LS_previous!N$149, FALSE), VLOOKUP('Staging Table'!$A41, LS_previous!$B$4:$AY$138,LS_previous!AL$149, FALSE))/2)</f>
        <v>207.88195547044666</v>
      </c>
      <c r="W41" s="382">
        <f t="array" ref="W41">IF($G41=0, INDEX(LS_previous!$D$4:$AY$138, MATCH('Staging Table'!$A41, LS_previous!$B$4:$B$138, 0), MATCH(W$4&amp;W$5, LS_previous!$D$2:$AY$2&amp;LS_previous!$D$3:$AY$3, 0)),SUM(VLOOKUP($A41, LS_previous!$B$4:$AY$138, LS_previous!O$149, FALSE), VLOOKUP('Staging Table'!$A41, LS_previous!$B$4:$AY$138,LS_previous!AM$149, FALSE))/2)</f>
        <v>-6.287005092746881</v>
      </c>
      <c r="X41" s="382">
        <f t="array" ref="X41">IF($G41=0, INDEX(LS_previous!$D$4:$AY$138, MATCH('Staging Table'!$A41, LS_previous!$B$4:$B$138, 0), MATCH(X$4&amp;X$5, LS_previous!$D$2:$AY$2&amp;LS_previous!$D$3:$AY$3, 0)),SUM(VLOOKUP($A41, LS_previous!$B$4:$AY$138, LS_previous!P$149, FALSE), VLOOKUP('Staging Table'!$A41, LS_previous!$B$4:$AY$138,LS_previous!AN$149, FALSE))/2)</f>
        <v>263.93780428224727</v>
      </c>
      <c r="Y41" s="382">
        <f t="array" ref="Y41">IF($G41=0, INDEX(LS_previous!$D$4:$AY$138, MATCH('Staging Table'!$A41, LS_previous!$B$4:$B$138, 0), MATCH(Y$4&amp;Y$5, LS_previous!$D$2:$AY$2&amp;LS_previous!$D$3:$AY$3, 0)),SUM(VLOOKUP($A41, LS_previous!$B$4:$AY$138, LS_previous!Q$149, FALSE), VLOOKUP('Staging Table'!$A41, LS_previous!$B$4:$AY$138,LS_previous!AO$149, FALSE))/2)</f>
        <v>124.8956838697294</v>
      </c>
      <c r="Z41" s="382">
        <f t="array" ref="Z41">IF($G41=0, INDEX(LS_previous!$D$4:$AY$138, MATCH('Staging Table'!$A41, LS_previous!$B$4:$B$138, 0), MATCH(Z$4&amp;Z$5, LS_previous!$D$2:$AY$2&amp;LS_previous!$D$3:$AY$3, 0)),SUM(VLOOKUP($A41, LS_previous!$B$4:$AY$138, LS_previous!R$149, FALSE), VLOOKUP('Staging Table'!$A41, LS_previous!$B$4:$AY$138,LS_previous!AP$149, FALSE))/2)</f>
        <v>-582.76542057508823</v>
      </c>
      <c r="AA41" s="382">
        <f t="array" ref="AA41">IF($G41=0, INDEX(LS_previous!$D$4:$AY$138, MATCH('Staging Table'!$A41, LS_previous!$B$4:$B$138, 0), MATCH(AA$4&amp;AA$5, LS_previous!$D$2:$AY$2&amp;LS_previous!$D$3:$AY$3, 0)),SUM(VLOOKUP($A41, LS_previous!$B$4:$AY$138, LS_previous!S$149, FALSE), VLOOKUP('Staging Table'!$A41, LS_previous!$B$4:$AY$138,LS_previous!AQ$149, FALSE))/2)</f>
        <v>-298.07418963079772</v>
      </c>
      <c r="AB41" s="382">
        <f t="array" ref="AB41">IF($G41=0, INDEX(LS_previous!$D$4:$AY$138, MATCH('Staging Table'!$A41, LS_previous!$B$4:$B$138, 0), MATCH(AB$4&amp;AB$5, LS_previous!$D$2:$AY$2&amp;LS_previous!$D$3:$AY$3, 0)),SUM(VLOOKUP($A41, LS_previous!$B$4:$AY$138, LS_previous!T$149, FALSE), VLOOKUP('Staging Table'!$A41, LS_previous!$B$4:$AY$138,LS_previous!AR$149, FALSE))/2)</f>
        <v>-140.84429313026817</v>
      </c>
      <c r="AC41" s="382">
        <f t="array" ref="AC41">IF($G41=0, INDEX(LS_previous!$D$4:$AY$138, MATCH('Staging Table'!$A41, LS_previous!$B$4:$B$138, 0), MATCH(AC$4&amp;AC$5, LS_previous!$D$2:$AY$2&amp;LS_previous!$D$3:$AY$3, 0)),SUM(VLOOKUP($A41, LS_previous!$B$4:$AY$138, LS_previous!U$149, FALSE), VLOOKUP('Staging Table'!$A41, LS_previous!$B$4:$AY$138,LS_previous!AS$149, FALSE))/2)</f>
        <v>-121.33121114483322</v>
      </c>
      <c r="AD41" s="382">
        <f t="array" ref="AD41">IF($G41=0, INDEX(LS_previous!$D$4:$AY$138, MATCH('Staging Table'!$A41, LS_previous!$B$4:$B$138, 0), MATCH(AD$4&amp;AD$5, LS_previous!$D$2:$AY$2&amp;LS_previous!$D$3:$AY$3, 0)),SUM(VLOOKUP($A41, LS_previous!$B$4:$AY$138, LS_previous!V$149, FALSE), VLOOKUP('Staging Table'!$A41, LS_previous!$B$4:$AY$138,LS_previous!AT$149, FALSE))/2)</f>
        <v>-69.824310473534524</v>
      </c>
      <c r="AE41" s="382">
        <f t="array" ref="AE41">IF($G41=0, INDEX(LS_previous!$D$4:$AY$138, MATCH('Staging Table'!$A41, LS_previous!$B$4:$B$138, 0), MATCH(AE$4&amp;AE$5, LS_previous!$D$2:$AY$2&amp;LS_previous!$D$3:$AY$3, 0)),SUM(VLOOKUP($A41, LS_previous!$B$4:$AY$138, LS_previous!W$149, FALSE), VLOOKUP('Staging Table'!$A41, LS_previous!$B$4:$AY$138,LS_previous!AU$149, FALSE))/2)</f>
        <v>95.516612219836134</v>
      </c>
      <c r="AF41" s="382">
        <f t="array" ref="AF41">IF($G41=0, INDEX(LS_previous!$D$4:$AY$138, MATCH('Staging Table'!$A41, LS_previous!$B$4:$B$138, 0), MATCH(AF$4&amp;AF$5, LS_previous!$D$2:$AY$2&amp;LS_previous!$D$3:$AY$3, 0)),SUM(VLOOKUP($A41, LS_previous!$B$4:$AY$138, LS_previous!X$149, FALSE), VLOOKUP('Staging Table'!$A41, LS_previous!$B$4:$AY$138,LS_previous!AV$149, FALSE))/2)</f>
        <v>-84.451070855524222</v>
      </c>
      <c r="AG41" s="382">
        <f t="array" ref="AG41">IF($G41=0, INDEX(LS_previous!$D$4:$AY$138, MATCH('Staging Table'!$A41, LS_previous!$B$4:$B$138, 0), MATCH(AG$4&amp;AG$5, LS_previous!$D$2:$AY$2&amp;LS_previous!$D$3:$AY$3, 0)),SUM(VLOOKUP($A41, LS_previous!$B$4:$AY$138, LS_previous!Y$149, FALSE), VLOOKUP('Staging Table'!$A41, LS_previous!$B$4:$AY$138,LS_previous!AW$149, FALSE))/2)</f>
        <v>-5.9969687978211823</v>
      </c>
      <c r="AH41" s="382">
        <f t="array" ref="AH41">IF($G41=0, INDEX(LS_previous!$D$4:$AY$138, MATCH('Staging Table'!$A41, LS_previous!$B$4:$B$138, 0), MATCH(AH$4&amp;AH$5, LS_previous!$D$2:$AY$2&amp;LS_previous!$D$3:$AY$3, 0)),SUM(VLOOKUP($A41, LS_previous!$B$4:$AY$138, LS_previous!Z$149, FALSE), VLOOKUP('Staging Table'!$A41, LS_previous!$B$4:$AY$138,LS_previous!AX$149, FALSE))/2)</f>
        <v>129.05865657757022</v>
      </c>
      <c r="AI41" s="382">
        <f t="array" ref="AI41">IF($G41=0, INDEX(LS_previous!$D$4:$AY$138, MATCH('Staging Table'!$A41, LS_previous!$B$4:$B$138, 0), MATCH(AI$4&amp;AI$5, LS_previous!$D$2:$AY$2&amp;LS_previous!$D$3:$AY$3, 0)),SUM(VLOOKUP($A41, LS_previous!$B$4:$AY$138, LS_previous!AA$149, FALSE), VLOOKUP('Staging Table'!$A41, LS_previous!$B$4:$AY$138,LS_previous!AY$149, FALSE))/2)</f>
        <v>72.893595054691559</v>
      </c>
      <c r="AJ41" s="384">
        <f t="array" ref="AJ41">INDEX(Demand_previous!$D$4:$AY$138, MATCH('Staging Table'!$A41, Demand_previous!$B$4:$B$138, 0), MATCH(AJ$4&amp;AJ$5,Demand_previous!$D$2:$AY$2&amp;Demand_previous!$D$3:$AY$3, 0))/1000</f>
        <v>0.89272685185185152</v>
      </c>
      <c r="AK41" s="384">
        <f t="array" ref="AK41">INDEX(Demand_previous!$D$4:$AY$138, MATCH('Staging Table'!$A41, Demand_previous!$B$4:$B$138, 0), MATCH(AK$4&amp;AK$5,Demand_previous!$D$2:$AY$2&amp;Demand_previous!$D$3:$AY$3, 0))/1000</f>
        <v>0.30901562500000068</v>
      </c>
      <c r="AL41" s="384">
        <f t="array" ref="AL41">INDEX(Demand_previous!$D$4:$AY$138, MATCH('Staging Table'!$A41, Demand_previous!$B$4:$B$138, 0), MATCH(AL$4&amp;AL$5,Demand_previous!$D$2:$AY$2&amp;Demand_previous!$D$3:$AY$3, 0))/1000</f>
        <v>0.68880288461538441</v>
      </c>
      <c r="AM41" s="384">
        <f t="array" ref="AM41">INDEX(Demand_previous!$D$4:$AY$138, MATCH('Staging Table'!$A41, Demand_previous!$B$4:$B$138, 0), MATCH(AM$4&amp;AM$5,Demand_previous!$D$2:$AY$2&amp;Demand_previous!$D$3:$AY$3, 0))/1000</f>
        <v>0.35123250000000006</v>
      </c>
      <c r="AN41" s="384">
        <f t="array" ref="AN41">INDEX(Demand_previous!$D$4:$AY$138, MATCH('Staging Table'!$A41, Demand_previous!$B$4:$B$138, 0), MATCH(AN$4&amp;AN$5,Demand_previous!$D$2:$AY$2&amp;Demand_previous!$D$3:$AY$3, 0))/1000</f>
        <v>0.68923750000000017</v>
      </c>
      <c r="AO41" s="384">
        <f t="array" ref="AO41">INDEX(Demand_previous!$D$4:$AY$138, MATCH('Staging Table'!$A41, Demand_previous!$B$4:$B$138, 0), MATCH(AO$4&amp;AO$5,Demand_previous!$D$2:$AY$2&amp;Demand_previous!$D$3:$AY$3, 0))/1000</f>
        <v>0.50674305555555521</v>
      </c>
      <c r="AP41" s="384">
        <f t="array" ref="AP41">INDEX(Demand_previous!$D$4:$AY$138, MATCH('Staging Table'!$A41, Demand_previous!$B$4:$B$138, 0), MATCH(AP$4&amp;AP$5,Demand_previous!$D$2:$AY$2&amp;Demand_previous!$D$3:$AY$3, 0))/1000</f>
        <v>0.61113461538461522</v>
      </c>
      <c r="AQ41" s="384">
        <f t="array" ref="AQ41">INDEX(Demand_previous!$D$4:$AY$138, MATCH('Staging Table'!$A41, Demand_previous!$B$4:$B$138, 0), MATCH(AQ$4&amp;AQ$5,Demand_previous!$D$2:$AY$2&amp;Demand_previous!$D$3:$AY$3, 0))/1000</f>
        <v>0.18483499999999964</v>
      </c>
      <c r="AR41" s="384">
        <f t="array" ref="AR41">INDEX(Demand_previous!$D$4:$AY$138, MATCH('Staging Table'!$A41, Demand_previous!$B$4:$B$138, 0), MATCH(AR$4&amp;AR$5,Demand_previous!$D$2:$AY$2&amp;Demand_previous!$D$3:$AY$3, 0))/1000</f>
        <v>0.43583653846153836</v>
      </c>
      <c r="AS41" s="384">
        <f t="array" ref="AS41">INDEX(Demand_previous!$D$4:$AY$138, MATCH('Staging Table'!$A41, Demand_previous!$B$4:$B$138, 0), MATCH(AS$4&amp;AS$5,Demand_previous!$D$2:$AY$2&amp;Demand_previous!$D$3:$AY$3, 0))/1000</f>
        <v>0.40867499999999946</v>
      </c>
      <c r="AT41" s="384">
        <f t="array" ref="AT41">INDEX(Demand_previous!$D$4:$AY$138, MATCH('Staging Table'!$A41, Demand_previous!$B$4:$B$138, 0), MATCH(AT$4&amp;AT$5,Demand_previous!$D$2:$AY$2&amp;Demand_previous!$D$3:$AY$3, 0))/1000</f>
        <v>0.52360879629629642</v>
      </c>
      <c r="AU41" s="384">
        <f t="array" ref="AU41">INDEX(Demand_previous!$D$4:$AY$138, MATCH('Staging Table'!$A41, Demand_previous!$B$4:$B$138, 0), MATCH(AU$4&amp;AU$5,Demand_previous!$D$2:$AY$2&amp;Demand_previous!$D$3:$AY$3, 0))/1000</f>
        <v>0.59692499999999971</v>
      </c>
      <c r="AV41" s="384">
        <f>IF($D41=0,IF(C41=0, MAX(AY41 - (VLOOKUP($A41,TOCA_previous!$A$2:$AI$137,MATCH("RHWM 2016",TOCA_previous!$A$2:$AI$2,0),FALSE)*$F$2*TOCA_previous!C38),0),0), 0)</f>
        <v>276.75507457310596</v>
      </c>
      <c r="AW41" s="427">
        <f>VLOOKUP($A41,REP_previous!$A$1:$D$135,MATCH("FY "&amp;$F$1&amp; " Total Refund",REP_previous!$A$1:$D$1,0),0)</f>
        <v>43603.166316351329</v>
      </c>
      <c r="AX41" s="398">
        <f>MIN(VLOOKUP($A41,TOCA_previous!$A$2:$AI$137,MATCH("TRL - NLSL - Exisiting Resource "&amp;$F$1,TOCA_previous!$A$2:$AI$2,0),FALSE)*$F$2,(VLOOKUP($A41,TOCA_previous!$A$2:$AI$137,MATCH("RHWM 2016",TOCA_previous!$A$2:$AI$2,0),FALSE)*$F$2))</f>
        <v>31683.888000000003</v>
      </c>
      <c r="AY41" s="384">
        <f>SUM(L41:AI41)+(F41*RT1SC!$C$3*$F$2)</f>
        <v>31960.643074573109</v>
      </c>
      <c r="AZ41" s="398">
        <f>VLOOKUP($A41,TOCA_previous!$A$2:$AI$137,MATCH("Above RHWM Not Served with LS "&amp;$F$1,TOCA_previous!$A$2:$AI$2,0),FALSE)*$F$2</f>
        <v>0</v>
      </c>
      <c r="BA41" s="206">
        <f t="shared" si="3"/>
        <v>276.75507457310596</v>
      </c>
      <c r="BB41" s="399">
        <f>(VLOOKUP($A41,TOCA_previous!$A$2:$AI$137,MATCH("RHWM 2016",TOCA_previous!$A$2:$AI$2,0),FALSE)*$F$2) - $AX41</f>
        <v>0</v>
      </c>
      <c r="BC41" s="206">
        <f t="shared" si="4"/>
        <v>0</v>
      </c>
      <c r="BD41" s="400">
        <f t="shared" si="5"/>
        <v>0</v>
      </c>
      <c r="BE41" s="392">
        <f t="shared" si="6"/>
        <v>0</v>
      </c>
      <c r="BF41" s="399">
        <f t="shared" si="7"/>
        <v>0</v>
      </c>
      <c r="BG41" s="206">
        <f>VLOOKUP($A41,TOCA_current!$A$2:$AI$137,MATCH(BG$4,TOCA_current!$A$2:$AI$2,0),FALSE)</f>
        <v>5.1610000000000002E-4</v>
      </c>
      <c r="BH41" s="206">
        <f>VLOOKUP($A41,TOCA_current!$A$2:$AI$137,MATCH(BH$4,TOCA_current!$A$2:$AI$2,0),FALSE)</f>
        <v>5.1610000000000002E-4</v>
      </c>
      <c r="BI41" s="391">
        <f t="shared" si="8"/>
        <v>0</v>
      </c>
      <c r="BJ41" s="206">
        <f>VLOOKUP($A41,TOCA_current!A37:BG172,MATCH(BJ$4,TOCA_current!$A$2:$BG$2,0),FALSE)</f>
        <v>0</v>
      </c>
      <c r="BK41" s="206">
        <f t="shared" si="9"/>
        <v>0</v>
      </c>
      <c r="BL41" s="206">
        <f t="shared" si="10"/>
        <v>0</v>
      </c>
      <c r="BM41" s="381">
        <f>VLOOKUP($A41,IRD!$A$4:$G$139, 7, FALSE)</f>
        <v>0</v>
      </c>
      <c r="BN41" s="382">
        <f t="array" ref="BN41">IF($BI41=0, INDEX(LS_current!$D$4:$AY$139, MATCH('Staging Table'!$A41, LS_current!$B$4:$B$139, 0), MATCH(BN$4&amp;BN$5, LS_current!$D$2:$AY$2&amp;LS_current!$D$3:$AY$3, 0)),SUM(VLOOKUP($A41, LS_current!$B$4:$AY$139, LS_current!D$149, FALSE), VLOOKUP($A41, LS_current!$B$4:$AY$139,LS_current!D$149, FALSE))/2)</f>
        <v>125.23228312629112</v>
      </c>
      <c r="BO41" s="382">
        <f t="array" ref="BO41">IF($BI41=0, INDEX(LS_current!$D$4:$AY$139, MATCH('Staging Table'!$A41, LS_current!$B$4:$B$139, 0), MATCH(BO$4&amp;BO$5, LS_current!$D$2:$AY$2&amp;LS_current!$D$3:$AY$3, 0)),SUM(VLOOKUP($A41, LS_current!$B$4:$AY$139, LS_current!E$149, FALSE), VLOOKUP($A41, LS_current!$B$4:$AY$139,LS_current!E$149, FALSE))/2)</f>
        <v>119.51054770448764</v>
      </c>
      <c r="BP41" s="382">
        <f t="array" ref="BP41">IF($BI41=0, INDEX(LS_current!$D$4:$AY$139, MATCH('Staging Table'!$A41, LS_current!$B$4:$B$139, 0), MATCH(BP$4&amp;BP$5, LS_current!$D$2:$AY$2&amp;LS_current!$D$3:$AY$3, 0)),SUM(VLOOKUP($A41, LS_current!$B$4:$AY$139, LS_current!F$149, FALSE), VLOOKUP($A41, LS_current!$B$4:$AY$139,LS_current!F$149, FALSE))/2)</f>
        <v>-202.25478762200169</v>
      </c>
      <c r="BQ41" s="382">
        <f t="array" ref="BQ41">IF($BI41=0, INDEX(LS_current!$D$4:$AY$139, MATCH('Staging Table'!$A41, LS_current!$B$4:$B$139, 0), MATCH(BQ$4&amp;BQ$5, LS_current!$D$2:$AY$2&amp;LS_current!$D$3:$AY$3, 0)),SUM(VLOOKUP($A41, LS_current!$B$4:$AY$139, LS_current!G$149, FALSE), VLOOKUP($A41, LS_current!$B$4:$AY$139,LS_current!G$149, FALSE))/2)</f>
        <v>-108.63002262724387</v>
      </c>
      <c r="BR41" s="382">
        <f t="array" ref="BR41">IF($BI41=0, INDEX(LS_current!$D$4:$AY$139, MATCH('Staging Table'!$A41, LS_current!$B$4:$B$139, 0), MATCH(BR$4&amp;BR$5, LS_current!$D$2:$AY$2&amp;LS_current!$D$3:$AY$3, 0)),SUM(VLOOKUP($A41, LS_current!$B$4:$AY$139, LS_current!H$149, FALSE), VLOOKUP($A41, LS_current!$B$4:$AY$139,LS_current!H$149, FALSE))/2)</f>
        <v>-112.61492121460378</v>
      </c>
      <c r="BS41" s="382">
        <f t="array" ref="BS41">IF($BI41=0, INDEX(LS_current!$D$4:$AY$139, MATCH('Staging Table'!$A41, LS_current!$B$4:$B$139, 0), MATCH(BS$4&amp;BS$5, LS_current!$D$2:$AY$2&amp;LS_current!$D$3:$AY$3, 0)),SUM(VLOOKUP($A41, LS_current!$B$4:$AY$139, LS_current!I$149, FALSE), VLOOKUP($A41, LS_current!$B$4:$AY$139,LS_current!I$149, FALSE))/2)</f>
        <v>-21.327672271611391</v>
      </c>
      <c r="BT41" s="382">
        <f t="array" ref="BT41">IF($BI41=0, INDEX(LS_current!$D$4:$AY$139, MATCH('Staging Table'!$A41, LS_current!$B$4:$B$139, 0), MATCH(BT$4&amp;BT$5, LS_current!$D$2:$AY$2&amp;LS_current!$D$3:$AY$3, 0)),SUM(VLOOKUP($A41, LS_current!$B$4:$AY$139, LS_current!J$149, FALSE), VLOOKUP($A41, LS_current!$B$4:$AY$139,LS_current!J$149, FALSE))/2)</f>
        <v>259.31340559724708</v>
      </c>
      <c r="BU41" s="382">
        <f t="array" ref="BU41">IF($BI41=0, INDEX(LS_current!$D$4:$AY$139, MATCH('Staging Table'!$A41, LS_current!$B$4:$B$139, 0), MATCH(BU$4&amp;BU$5, LS_current!$D$2:$AY$2&amp;LS_current!$D$3:$AY$3, 0)),SUM(VLOOKUP($A41, LS_current!$B$4:$AY$139, LS_current!K$149, FALSE), VLOOKUP($A41, LS_current!$B$4:$AY$139,LS_current!K$149, FALSE))/2)</f>
        <v>105.0147049786766</v>
      </c>
      <c r="BV41" s="382">
        <f t="array" ref="BV41">IF($BI41=0, INDEX(LS_current!$D$4:$AY$139, MATCH('Staging Table'!$A41, LS_current!$B$4:$B$139, 0), MATCH(BV$4&amp;BV$5, LS_current!$D$2:$AY$2&amp;LS_current!$D$3:$AY$3, 0)),SUM(VLOOKUP($A41, LS_current!$B$4:$AY$139, LS_current!L$149, FALSE), VLOOKUP($A41, LS_current!$B$4:$AY$139,LS_current!L$149, FALSE))/2)</f>
        <v>436.88422986911996</v>
      </c>
      <c r="BW41" s="382">
        <f t="array" ref="BW41">IF($BI41=0, INDEX(LS_current!$D$4:$AY$139, MATCH('Staging Table'!$A41, LS_current!$B$4:$B$139, 0), MATCH(BW$4&amp;BW$5, LS_current!$D$2:$AY$2&amp;LS_current!$D$3:$AY$3, 0)),SUM(VLOOKUP($A41, LS_current!$B$4:$AY$139, LS_current!M$149, FALSE), VLOOKUP($A41, LS_current!$B$4:$AY$139,LS_current!M$149, FALSE))/2)</f>
        <v>212.73023721720745</v>
      </c>
      <c r="BX41" s="382">
        <f t="array" ref="BX41">IF($BI41=0, INDEX(LS_current!$D$4:$AY$139, MATCH('Staging Table'!$A41, LS_current!$B$4:$B$139, 0), MATCH(BX$4&amp;BX$5, LS_current!$D$2:$AY$2&amp;LS_current!$D$3:$AY$3, 0)),SUM(VLOOKUP($A41, LS_current!$B$4:$AY$139, LS_current!N$149, FALSE), VLOOKUP($A41, LS_current!$B$4:$AY$139,LS_current!N$149, FALSE))/2)</f>
        <v>292.52749488150516</v>
      </c>
      <c r="BY41" s="382">
        <f t="array" ref="BY41">IF($BI41=0, INDEX(LS_current!$D$4:$AY$139, MATCH('Staging Table'!$A41, LS_current!$B$4:$B$139, 0), MATCH(BY$4&amp;BY$5, LS_current!$D$2:$AY$2&amp;LS_current!$D$3:$AY$3, 0)),SUM(VLOOKUP($A41, LS_current!$B$4:$AY$139, LS_current!O$149, FALSE), VLOOKUP($A41, LS_current!$B$4:$AY$139,LS_current!O$149, FALSE))/2)</f>
        <v>87.702502574190589</v>
      </c>
      <c r="BZ41" s="382">
        <f t="array" ref="BZ41">IF($BI41=0, INDEX(LS_current!$D$4:$AY$139, MATCH('Staging Table'!$A41, LS_current!$B$4:$B$139, 0), MATCH(BZ$4&amp;BZ$5, LS_current!$D$2:$AY$2&amp;LS_current!$D$3:$AY$3, 0)),SUM(VLOOKUP($A41, LS_current!$B$4:$AY$139, LS_current!P$149, FALSE), VLOOKUP($A41, LS_current!$B$4:$AY$139,LS_current!P$149, FALSE))/2)</f>
        <v>108.05454815288113</v>
      </c>
      <c r="CA41" s="382">
        <f t="array" ref="CA41">IF($BI41=0, INDEX(LS_current!$D$4:$AY$139, MATCH('Staging Table'!$A41, LS_current!$B$4:$B$139, 0), MATCH(CA$4&amp;CA$5, LS_current!$D$2:$AY$2&amp;LS_current!$D$3:$AY$3, 0)),SUM(VLOOKUP($A41, LS_current!$B$4:$AY$139, LS_current!Q$149, FALSE), VLOOKUP($A41, LS_current!$B$4:$AY$139,LS_current!Q$149, FALSE))/2)</f>
        <v>114.20300753927233</v>
      </c>
      <c r="CB41" s="382">
        <f t="array" ref="CB41">IF($BI41=0, INDEX(LS_current!$D$4:$AY$139, MATCH('Staging Table'!$A41, LS_current!$B$4:$B$139, 0), MATCH(CB$4&amp;CB$5, LS_current!$D$2:$AY$2&amp;LS_current!$D$3:$AY$3, 0)),SUM(VLOOKUP($A41, LS_current!$B$4:$AY$139, LS_current!R$149, FALSE), VLOOKUP($A41, LS_current!$B$4:$AY$139,LS_current!R$149, FALSE))/2)</f>
        <v>-561.58005651782514</v>
      </c>
      <c r="CC41" s="382">
        <f t="array" ref="CC41">IF($BI41=0, INDEX(LS_current!$D$4:$AY$139, MATCH('Staging Table'!$A41, LS_current!$B$4:$B$139, 0), MATCH(CC$4&amp;CC$5, LS_current!$D$2:$AY$2&amp;LS_current!$D$3:$AY$3, 0)),SUM(VLOOKUP($A41, LS_current!$B$4:$AY$139, LS_current!S$149, FALSE), VLOOKUP($A41, LS_current!$B$4:$AY$139,LS_current!S$149, FALSE))/2)</f>
        <v>-316.33321054404314</v>
      </c>
      <c r="CD41" s="382">
        <f t="array" ref="CD41">IF($BI41=0, INDEX(LS_current!$D$4:$AY$139, MATCH('Staging Table'!$A41, LS_current!$B$4:$B$139, 0), MATCH(CD$4&amp;CD$5, LS_current!$D$2:$AY$2&amp;LS_current!$D$3:$AY$3, 0)),SUM(VLOOKUP($A41, LS_current!$B$4:$AY$139, LS_current!T$149, FALSE), VLOOKUP($A41, LS_current!$B$4:$AY$139,LS_current!T$149, FALSE))/2)</f>
        <v>-131.07085221833631</v>
      </c>
      <c r="CE41" s="382">
        <f t="array" ref="CE41">IF($BI41=0, INDEX(LS_current!$D$4:$AY$139, MATCH('Staging Table'!$A41, LS_current!$B$4:$B$139, 0), MATCH(CE$4&amp;CE$5, LS_current!$D$2:$AY$2&amp;LS_current!$D$3:$AY$3, 0)),SUM(VLOOKUP($A41, LS_current!$B$4:$AY$139, LS_current!U$149, FALSE), VLOOKUP($A41, LS_current!$B$4:$AY$139,LS_current!U$149, FALSE))/2)</f>
        <v>-49.047424081865188</v>
      </c>
      <c r="CF41" s="382">
        <f t="array" ref="CF41">IF($BI41=0, INDEX(LS_current!$D$4:$AY$139, MATCH('Staging Table'!$A41, LS_current!$B$4:$B$139, 0), MATCH(CF$4&amp;CF$5, LS_current!$D$2:$AY$2&amp;LS_current!$D$3:$AY$3, 0)),SUM(VLOOKUP($A41, LS_current!$B$4:$AY$139, LS_current!V$149, FALSE), VLOOKUP($A41, LS_current!$B$4:$AY$139,LS_current!V$149, FALSE))/2)</f>
        <v>33.101650482567948</v>
      </c>
      <c r="CG41" s="382">
        <f t="array" ref="CG41">IF($BI41=0, INDEX(LS_current!$D$4:$AY$139, MATCH('Staging Table'!$A41, LS_current!$B$4:$B$139, 0), MATCH(CG$4&amp;CG$5, LS_current!$D$2:$AY$2&amp;LS_current!$D$3:$AY$3, 0)),SUM(VLOOKUP($A41, LS_current!$B$4:$AY$139, LS_current!W$149, FALSE), VLOOKUP($A41, LS_current!$B$4:$AY$139,LS_current!W$149, FALSE))/2)</f>
        <v>159.25334095178221</v>
      </c>
      <c r="CH41" s="382">
        <f t="array" ref="CH41">IF($BI41=0, INDEX(LS_current!$D$4:$AY$139, MATCH('Staging Table'!$A41, LS_current!$B$4:$B$139, 0), MATCH(CH$4&amp;CH$5, LS_current!$D$2:$AY$2&amp;LS_current!$D$3:$AY$3, 0)),SUM(VLOOKUP($A41, LS_current!$B$4:$AY$139, LS_current!X$149, FALSE), VLOOKUP($A41, LS_current!$B$4:$AY$139,LS_current!X$149, FALSE))/2)</f>
        <v>-74.064646300837467</v>
      </c>
      <c r="CI41" s="382">
        <f t="array" ref="CI41">IF($BI41=0, INDEX(LS_current!$D$4:$AY$139, MATCH('Staging Table'!$A41, LS_current!$B$4:$B$139, 0), MATCH(CI$4&amp;CI$5, LS_current!$D$2:$AY$2&amp;LS_current!$D$3:$AY$3, 0)),SUM(VLOOKUP($A41, LS_current!$B$4:$AY$139, LS_current!Y$149, FALSE), VLOOKUP($A41, LS_current!$B$4:$AY$139,LS_current!Y$149, FALSE))/2)</f>
        <v>23.404783337706817</v>
      </c>
      <c r="CJ41" s="382">
        <f t="array" ref="CJ41">IF($BI41=0, INDEX(LS_current!$D$4:$AY$139, MATCH('Staging Table'!$A41, LS_current!$B$4:$B$139, 0), MATCH(CJ$4&amp;CJ$5, LS_current!$D$2:$AY$2&amp;LS_current!$D$3:$AY$3, 0)),SUM(VLOOKUP($A41, LS_current!$B$4:$AY$139, LS_current!Z$149, FALSE), VLOOKUP($A41, LS_current!$B$4:$AY$139,LS_current!Z$149, FALSE))/2)</f>
        <v>-13.365633977639391</v>
      </c>
      <c r="CK41" s="382">
        <f t="array" ref="CK41">IF($BI41=0, INDEX(LS_current!$D$4:$AY$139, MATCH('Staging Table'!$A41, LS_current!$B$4:$B$139, 0), MATCH(CK$4&amp;CK$5, LS_current!$D$2:$AY$2&amp;LS_current!$D$3:$AY$3, 0)),SUM(VLOOKUP($A41, LS_current!$B$4:$AY$139, LS_current!AA$149, FALSE), VLOOKUP($A41, LS_current!$B$4:$AY$139,LS_current!AA$149, FALSE))/2)</f>
        <v>76.10116857523758</v>
      </c>
      <c r="CL41" s="384">
        <f t="array" ref="CL41">INDEX(Demand_current!$D$4:$AY$138, MATCH($A41, Demand_current!$B$4:$B$138, 0), MATCH(CL$4&amp;CL$5,Demand_current!$D$2:$AY$2&amp;Demand_current!$D$3:$AY$3, 0))/1000</f>
        <v>0.74144711538461483</v>
      </c>
      <c r="CM41" s="384">
        <f t="array" ref="CM41">INDEX(Demand_current!$D$4:$AY$138, MATCH($A41, Demand_current!$B$4:$B$138, 0), MATCH(CM$4&amp;CM$5,Demand_current!$D$2:$AY$2&amp;Demand_current!$D$3:$AY$3, 0))/1000</f>
        <v>0.4842550000000001</v>
      </c>
      <c r="CN41" s="384">
        <f t="array" ref="CN41">INDEX(Demand_current!$D$4:$AY$138, MATCH($A41, Demand_current!$B$4:$B$138, 0), MATCH(CN$4&amp;CN$5,Demand_current!$D$2:$AY$2&amp;Demand_current!$D$3:$AY$3, 0))/1000</f>
        <v>0.52263500000000018</v>
      </c>
      <c r="CO41" s="384">
        <f t="array" ref="CO41">INDEX(Demand_current!$D$4:$AY$138, MATCH($A41, Demand_current!$B$4:$B$138, 0), MATCH(CO$4&amp;CO$5,Demand_current!$D$2:$AY$2&amp;Demand_current!$D$3:$AY$3, 0))/1000</f>
        <v>0.52614663461538491</v>
      </c>
      <c r="CP41" s="384">
        <f t="array" ref="CP41">INDEX(Demand_current!$D$4:$AY$138, MATCH($A41, Demand_current!$B$4:$B$138, 0), MATCH(CP$4&amp;CP$5,Demand_current!$D$2:$AY$2&amp;Demand_current!$D$3:$AY$3, 0))/1000</f>
        <v>0.50753906249999958</v>
      </c>
      <c r="CQ41" s="384">
        <f t="array" ref="CQ41">INDEX(Demand_current!$D$4:$AY$138, MATCH($A41, Demand_current!$B$4:$B$138, 0), MATCH(CQ$4&amp;CQ$5,Demand_current!$D$2:$AY$2&amp;Demand_current!$D$3:$AY$3, 0))/1000</f>
        <v>0.50674305555555521</v>
      </c>
      <c r="CR41" s="384">
        <f t="array" ref="CR41">INDEX(Demand_current!$D$4:$AY$138, MATCH($A41, Demand_current!$B$4:$B$138, 0), MATCH(CR$4&amp;CR$5,Demand_current!$D$2:$AY$2&amp;Demand_current!$D$3:$AY$3, 0))/1000</f>
        <v>0.45509999999999995</v>
      </c>
      <c r="CS41" s="384">
        <f t="array" ref="CS41">INDEX(Demand_current!$D$4:$AY$138, MATCH($A41, Demand_current!$B$4:$B$138, 0), MATCH(CS$4&amp;CS$5,Demand_current!$D$2:$AY$2&amp;Demand_current!$D$3:$AY$3, 0))/1000</f>
        <v>0.3426490384615386</v>
      </c>
      <c r="CT41" s="384">
        <f t="array" ref="CT41">INDEX(Demand_current!$D$4:$AY$138, MATCH($A41, Demand_current!$B$4:$B$138, 0), MATCH(CT$4&amp;CT$5,Demand_current!$D$2:$AY$2&amp;Demand_current!$D$3:$AY$3, 0))/1000</f>
        <v>0.43583653846153836</v>
      </c>
      <c r="CU41" s="384">
        <f t="array" ref="CU41">INDEX(Demand_current!$D$4:$AY$138, MATCH($A41, Demand_current!$B$4:$B$138, 0), MATCH(CU$4&amp;CU$5,Demand_current!$D$2:$AY$2&amp;Demand_current!$D$3:$AY$3, 0))/1000</f>
        <v>0.40867499999999946</v>
      </c>
      <c r="CV41" s="384">
        <f t="array" ref="CV41">INDEX(Demand_current!$D$4:$AY$138, MATCH($A41, Demand_current!$B$4:$B$138, 0), MATCH(CV$4&amp;CV$5,Demand_current!$D$2:$AY$2&amp;Demand_current!$D$3:$AY$3, 0))/1000</f>
        <v>0.52360879629629642</v>
      </c>
      <c r="CW41" s="384">
        <f t="array" ref="CW41">INDEX(Demand_current!$D$4:$AY$138, MATCH($A41, Demand_current!$B$4:$B$138, 0), MATCH(CW$4&amp;CW$5,Demand_current!$D$2:$AY$2&amp;Demand_current!$D$3:$AY$3, 0))/1000</f>
        <v>0.43833854166666653</v>
      </c>
      <c r="CX41" s="384">
        <f>IF(D41=0,IF(C41=0,MAX(0,DA41 - (VLOOKUP($A41,TOCA_current!$A$2:$AI$137,MATCH("RHWM 2018",TOCA_current!$A$2:$AI$2,0),FALSE)*$BH$2)), 0),0)</f>
        <v>564.80345806816331</v>
      </c>
      <c r="CY41" s="427">
        <f>VLOOKUP($A41,REP_current!$A$1:$D$135,MATCH("FY "&amp;$BH$1&amp; " Total Refund",REP_current!$A$1:$D$1,0),0)</f>
        <v>43901.029034336563</v>
      </c>
      <c r="CZ41" s="432">
        <f>MIN(VLOOKUP($A41,TOCA_current!$A$2:$AI$137,MATCH("TRL - NLSL - Existing Resource "&amp;$BH$1,TOCA_current!$A$2:$AI$2,0),FALSE)*$BH$2, VLOOKUP($A41,TOCA_current!$A$2:$AI$137,MATCH("RHWM 2018",TOCA_current!$A$2:$AI$2,0),FALSE)*$BH$2)</f>
        <v>31395.84</v>
      </c>
      <c r="DA41" s="397">
        <f>SUM(BN41:CK41)+(BH41*RT1SC!$C$4*$BH$2)</f>
        <v>31960.643458068163</v>
      </c>
      <c r="DB41" s="432">
        <f>VLOOKUP($A41,TOCA_current!$A$2:$AI$137,MATCH("Above RHWM Not Served with LS "&amp;$BH$1,TOCA_current!$A$2:$AI$2,0),FALSE)*$BH$2</f>
        <v>0</v>
      </c>
      <c r="DC41" s="401">
        <f t="shared" si="11"/>
        <v>564.80345806816331</v>
      </c>
      <c r="DD41" s="397">
        <f>(VLOOKUP($A41,TOCA_current!$A$2:$AI$137,MATCH("RHWM 2018",TOCA_current!$A$2:$AI$2,0),FALSE)*$BH$2) - $CZ41</f>
        <v>0</v>
      </c>
      <c r="DE41" s="397">
        <f t="shared" si="12"/>
        <v>0</v>
      </c>
      <c r="DF41" s="397">
        <f t="shared" si="13"/>
        <v>0</v>
      </c>
      <c r="DG41" s="397">
        <f t="shared" si="14"/>
        <v>0</v>
      </c>
      <c r="DH41" s="397">
        <f t="shared" si="15"/>
        <v>0</v>
      </c>
    </row>
    <row r="42" spans="1:112">
      <c r="A42" s="274">
        <v>10097</v>
      </c>
      <c r="B42" s="275" t="s">
        <v>43</v>
      </c>
      <c r="C42" s="397">
        <v>0</v>
      </c>
      <c r="D42" s="397">
        <v>0</v>
      </c>
      <c r="E42" s="205">
        <f>VLOOKUP($A42,TOCA_previous!$A$2:$AI$137,MATCH(E$4,TOCA_previous!$A$2:$AI$2,0),FALSE)</f>
        <v>2.8899999999999998E-4</v>
      </c>
      <c r="F42" s="206">
        <f>VLOOKUP($A42,TOCA_previous!$A$2:$AI$137,MATCH(F$4,TOCA_previous!$A$2:$AI$2,0),FALSE)</f>
        <v>2.8899999999999998E-4</v>
      </c>
      <c r="G42" s="206">
        <f t="shared" si="0"/>
        <v>0</v>
      </c>
      <c r="H42" s="206">
        <f>VLOOKUP($A42,TOCA_previous!$A$2:$AI$137,MATCH(H$4,TOCA_previous!$A$2:$AI$2,0),FALSE)</f>
        <v>0</v>
      </c>
      <c r="I42" s="206">
        <f t="shared" si="1"/>
        <v>0</v>
      </c>
      <c r="J42" s="206">
        <f t="shared" si="2"/>
        <v>0</v>
      </c>
      <c r="K42" s="381">
        <f>VLOOKUP(A42, IRD!$A$5:$C$139, 3, FALSE)</f>
        <v>0</v>
      </c>
      <c r="L42" s="382">
        <f t="array" ref="L42">IF($G42=0, INDEX(LS_previous!$D$4:$AY$138, MATCH('Staging Table'!$A42, LS_previous!$B$4:$B$138, 0), MATCH(L$4&amp;L$5, LS_previous!$D$2:$AY$2&amp;LS_previous!$D$3:$AY$3, 0)),SUM(VLOOKUP($A42, LS_previous!$B$4:$AY$138, LS_previous!D$149, FALSE), VLOOKUP('Staging Table'!$A42, LS_previous!$B$4:$AY$138,LS_previous!AB$149, FALSE))/2)</f>
        <v>-34.905283368376899</v>
      </c>
      <c r="M42" s="382">
        <f t="array" ref="M42">IF($G42=0, INDEX(LS_previous!$D$4:$AY$138, MATCH('Staging Table'!$A42, LS_previous!$B$4:$B$138, 0), MATCH(M$4&amp;M$5, LS_previous!$D$2:$AY$2&amp;LS_previous!$D$3:$AY$3, 0)),SUM(VLOOKUP($A42, LS_previous!$B$4:$AY$138, LS_previous!E$149, FALSE), VLOOKUP('Staging Table'!$A42, LS_previous!$B$4:$AY$138,LS_previous!AC$149, FALSE))/2)</f>
        <v>18.346743091775863</v>
      </c>
      <c r="N42" s="382">
        <f t="array" ref="N42">IF($G42=0, INDEX(LS_previous!$D$4:$AY$138, MATCH('Staging Table'!$A42, LS_previous!$B$4:$B$138, 0), MATCH(N$4&amp;N$5, LS_previous!$D$2:$AY$2&amp;LS_previous!$D$3:$AY$3, 0)),SUM(VLOOKUP($A42, LS_previous!$B$4:$AY$138, LS_previous!F$149, FALSE), VLOOKUP('Staging Table'!$A42, LS_previous!$B$4:$AY$138,LS_previous!AD$149, FALSE))/2)</f>
        <v>-19.560553852614476</v>
      </c>
      <c r="O42" s="382">
        <f t="array" ref="O42">IF($G42=0, INDEX(LS_previous!$D$4:$AY$138, MATCH('Staging Table'!$A42, LS_previous!$B$4:$B$138, 0), MATCH(O$4&amp;O$5, LS_previous!$D$2:$AY$2&amp;LS_previous!$D$3:$AY$3, 0)),SUM(VLOOKUP($A42, LS_previous!$B$4:$AY$138, LS_previous!G$149, FALSE), VLOOKUP('Staging Table'!$A42, LS_previous!$B$4:$AY$138,LS_previous!AE$149, FALSE))/2)</f>
        <v>99.167817687227625</v>
      </c>
      <c r="P42" s="382">
        <f t="array" ref="P42">IF($G42=0, INDEX(LS_previous!$D$4:$AY$138, MATCH('Staging Table'!$A42, LS_previous!$B$4:$B$138, 0), MATCH(P$4&amp;P$5, LS_previous!$D$2:$AY$2&amp;LS_previous!$D$3:$AY$3, 0)),SUM(VLOOKUP($A42, LS_previous!$B$4:$AY$138, LS_previous!H$149, FALSE), VLOOKUP('Staging Table'!$A42, LS_previous!$B$4:$AY$138,LS_previous!AF$149, FALSE))/2)</f>
        <v>210.45342371320066</v>
      </c>
      <c r="Q42" s="382">
        <f t="array" ref="Q42">IF($G42=0, INDEX(LS_previous!$D$4:$AY$138, MATCH('Staging Table'!$A42, LS_previous!$B$4:$B$138, 0), MATCH(Q$4&amp;Q$5, LS_previous!$D$2:$AY$2&amp;LS_previous!$D$3:$AY$3, 0)),SUM(VLOOKUP($A42, LS_previous!$B$4:$AY$138, LS_previous!I$149, FALSE), VLOOKUP('Staging Table'!$A42, LS_previous!$B$4:$AY$138,LS_previous!AG$149, FALSE))/2)</f>
        <v>235.18564268779994</v>
      </c>
      <c r="R42" s="382">
        <f t="array" ref="R42">IF($G42=0, INDEX(LS_previous!$D$4:$AY$138, MATCH('Staging Table'!$A42, LS_previous!$B$4:$B$138, 0), MATCH(R$4&amp;R$5, LS_previous!$D$2:$AY$2&amp;LS_previous!$D$3:$AY$3, 0)),SUM(VLOOKUP($A42, LS_previous!$B$4:$AY$138, LS_previous!J$149, FALSE), VLOOKUP('Staging Table'!$A42, LS_previous!$B$4:$AY$138,LS_previous!AH$149, FALSE))/2)</f>
        <v>355.15797299370479</v>
      </c>
      <c r="S42" s="382">
        <f t="array" ref="S42">IF($G42=0, INDEX(LS_previous!$D$4:$AY$138, MATCH('Staging Table'!$A42, LS_previous!$B$4:$B$138, 0), MATCH(S$4&amp;S$5, LS_previous!$D$2:$AY$2&amp;LS_previous!$D$3:$AY$3, 0)),SUM(VLOOKUP($A42, LS_previous!$B$4:$AY$138, LS_previous!K$149, FALSE), VLOOKUP('Staging Table'!$A42, LS_previous!$B$4:$AY$138,LS_previous!AI$149, FALSE))/2)</f>
        <v>342.71706194681303</v>
      </c>
      <c r="T42" s="382">
        <f t="array" ref="T42">IF($G42=0, INDEX(LS_previous!$D$4:$AY$138, MATCH('Staging Table'!$A42, LS_previous!$B$4:$B$138, 0), MATCH(T$4&amp;T$5, LS_previous!$D$2:$AY$2&amp;LS_previous!$D$3:$AY$3, 0)),SUM(VLOOKUP($A42, LS_previous!$B$4:$AY$138, LS_previous!L$149, FALSE), VLOOKUP('Staging Table'!$A42, LS_previous!$B$4:$AY$138,LS_previous!AJ$149, FALSE))/2)</f>
        <v>341.92588547455557</v>
      </c>
      <c r="U42" s="382">
        <f t="array" ref="U42">IF($G42=0, INDEX(LS_previous!$D$4:$AY$138, MATCH('Staging Table'!$A42, LS_previous!$B$4:$B$138, 0), MATCH(U$4&amp;U$5, LS_previous!$D$2:$AY$2&amp;LS_previous!$D$3:$AY$3, 0)),SUM(VLOOKUP($A42, LS_previous!$B$4:$AY$138, LS_previous!M$149, FALSE), VLOOKUP('Staging Table'!$A42, LS_previous!$B$4:$AY$138,LS_previous!AK$149, FALSE))/2)</f>
        <v>296.40331415665611</v>
      </c>
      <c r="V42" s="382">
        <f t="array" ref="V42">IF($G42=0, INDEX(LS_previous!$D$4:$AY$138, MATCH('Staging Table'!$A42, LS_previous!$B$4:$B$138, 0), MATCH(V$4&amp;V$5, LS_previous!$D$2:$AY$2&amp;LS_previous!$D$3:$AY$3, 0)),SUM(VLOOKUP($A42, LS_previous!$B$4:$AY$138, LS_previous!N$149, FALSE), VLOOKUP('Staging Table'!$A42, LS_previous!$B$4:$AY$138,LS_previous!AL$149, FALSE))/2)</f>
        <v>154.1402480754291</v>
      </c>
      <c r="W42" s="382">
        <f t="array" ref="W42">IF($G42=0, INDEX(LS_previous!$D$4:$AY$138, MATCH('Staging Table'!$A42, LS_previous!$B$4:$B$138, 0), MATCH(W$4&amp;W$5, LS_previous!$D$2:$AY$2&amp;LS_previous!$D$3:$AY$3, 0)),SUM(VLOOKUP($A42, LS_previous!$B$4:$AY$138, LS_previous!O$149, FALSE), VLOOKUP('Staging Table'!$A42, LS_previous!$B$4:$AY$138,LS_previous!AM$149, FALSE))/2)</f>
        <v>152.6995198997023</v>
      </c>
      <c r="X42" s="382">
        <f t="array" ref="X42">IF($G42=0, INDEX(LS_previous!$D$4:$AY$138, MATCH('Staging Table'!$A42, LS_previous!$B$4:$B$138, 0), MATCH(X$4&amp;X$5, LS_previous!$D$2:$AY$2&amp;LS_previous!$D$3:$AY$3, 0)),SUM(VLOOKUP($A42, LS_previous!$B$4:$AY$138, LS_previous!P$149, FALSE), VLOOKUP('Staging Table'!$A42, LS_previous!$B$4:$AY$138,LS_previous!AN$149, FALSE))/2)</f>
        <v>99.3089689013932</v>
      </c>
      <c r="Y42" s="382">
        <f t="array" ref="Y42">IF($G42=0, INDEX(LS_previous!$D$4:$AY$138, MATCH('Staging Table'!$A42, LS_previous!$B$4:$B$138, 0), MATCH(Y$4&amp;Y$5, LS_previous!$D$2:$AY$2&amp;LS_previous!$D$3:$AY$3, 0)),SUM(VLOOKUP($A42, LS_previous!$B$4:$AY$138, LS_previous!Q$149, FALSE), VLOOKUP('Staging Table'!$A42, LS_previous!$B$4:$AY$138,LS_previous!AO$149, FALSE))/2)</f>
        <v>105.76188990968404</v>
      </c>
      <c r="Z42" s="382">
        <f t="array" ref="Z42">IF($G42=0, INDEX(LS_previous!$D$4:$AY$138, MATCH('Staging Table'!$A42, LS_previous!$B$4:$B$138, 0), MATCH(Z$4&amp;Z$5, LS_previous!$D$2:$AY$2&amp;LS_previous!$D$3:$AY$3, 0)),SUM(VLOOKUP($A42, LS_previous!$B$4:$AY$138, LS_previous!R$149, FALSE), VLOOKUP('Staging Table'!$A42, LS_previous!$B$4:$AY$138,LS_previous!AP$149, FALSE))/2)</f>
        <v>-547.12716369061059</v>
      </c>
      <c r="AA42" s="382">
        <f t="array" ref="AA42">IF($G42=0, INDEX(LS_previous!$D$4:$AY$138, MATCH('Staging Table'!$A42, LS_previous!$B$4:$B$138, 0), MATCH(AA$4&amp;AA$5, LS_previous!$D$2:$AY$2&amp;LS_previous!$D$3:$AY$3, 0)),SUM(VLOOKUP($A42, LS_previous!$B$4:$AY$138, LS_previous!S$149, FALSE), VLOOKUP('Staging Table'!$A42, LS_previous!$B$4:$AY$138,LS_previous!AQ$149, FALSE))/2)</f>
        <v>-222.44698316224691</v>
      </c>
      <c r="AB42" s="382">
        <f t="array" ref="AB42">IF($G42=0, INDEX(LS_previous!$D$4:$AY$138, MATCH('Staging Table'!$A42, LS_previous!$B$4:$B$138, 0), MATCH(AB$4&amp;AB$5, LS_previous!$D$2:$AY$2&amp;LS_previous!$D$3:$AY$3, 0)),SUM(VLOOKUP($A42, LS_previous!$B$4:$AY$138, LS_previous!T$149, FALSE), VLOOKUP('Staging Table'!$A42, LS_previous!$B$4:$AY$138,LS_previous!AR$149, FALSE))/2)</f>
        <v>-385.01350186766206</v>
      </c>
      <c r="AC42" s="382">
        <f t="array" ref="AC42">IF($G42=0, INDEX(LS_previous!$D$4:$AY$138, MATCH('Staging Table'!$A42, LS_previous!$B$4:$B$138, 0), MATCH(AC$4&amp;AC$5, LS_previous!$D$2:$AY$2&amp;LS_previous!$D$3:$AY$3, 0)),SUM(VLOOKUP($A42, LS_previous!$B$4:$AY$138, LS_previous!U$149, FALSE), VLOOKUP('Staging Table'!$A42, LS_previous!$B$4:$AY$138,LS_previous!AS$149, FALSE))/2)</f>
        <v>-191.32016364154265</v>
      </c>
      <c r="AD42" s="382">
        <f t="array" ref="AD42">IF($G42=0, INDEX(LS_previous!$D$4:$AY$138, MATCH('Staging Table'!$A42, LS_previous!$B$4:$B$138, 0), MATCH(AD$4&amp;AD$5, LS_previous!$D$2:$AY$2&amp;LS_previous!$D$3:$AY$3, 0)),SUM(VLOOKUP($A42, LS_previous!$B$4:$AY$138, LS_previous!V$149, FALSE), VLOOKUP('Staging Table'!$A42, LS_previous!$B$4:$AY$138,LS_previous!AT$149, FALSE))/2)</f>
        <v>-305.70518630561742</v>
      </c>
      <c r="AE42" s="382">
        <f t="array" ref="AE42">IF($G42=0, INDEX(LS_previous!$D$4:$AY$138, MATCH('Staging Table'!$A42, LS_previous!$B$4:$B$138, 0), MATCH(AE$4&amp;AE$5, LS_previous!$D$2:$AY$2&amp;LS_previous!$D$3:$AY$3, 0)),SUM(VLOOKUP($A42, LS_previous!$B$4:$AY$138, LS_previous!W$149, FALSE), VLOOKUP('Staging Table'!$A42, LS_previous!$B$4:$AY$138,LS_previous!AU$149, FALSE))/2)</f>
        <v>-107.32955289151471</v>
      </c>
      <c r="AF42" s="382">
        <f t="array" ref="AF42">IF($G42=0, INDEX(LS_previous!$D$4:$AY$138, MATCH('Staging Table'!$A42, LS_previous!$B$4:$B$138, 0), MATCH(AF$4&amp;AF$5, LS_previous!$D$2:$AY$2&amp;LS_previous!$D$3:$AY$3, 0)),SUM(VLOOKUP($A42, LS_previous!$B$4:$AY$138, LS_previous!X$149, FALSE), VLOOKUP('Staging Table'!$A42, LS_previous!$B$4:$AY$138,LS_previous!AV$149, FALSE))/2)</f>
        <v>-348.40122454452364</v>
      </c>
      <c r="AG42" s="382">
        <f t="array" ref="AG42">IF($G42=0, INDEX(LS_previous!$D$4:$AY$138, MATCH('Staging Table'!$A42, LS_previous!$B$4:$B$138, 0), MATCH(AG$4&amp;AG$5, LS_previous!$D$2:$AY$2&amp;LS_previous!$D$3:$AY$3, 0)),SUM(VLOOKUP($A42, LS_previous!$B$4:$AY$138, LS_previous!Y$149, FALSE), VLOOKUP('Staging Table'!$A42, LS_previous!$B$4:$AY$138,LS_previous!AW$149, FALSE))/2)</f>
        <v>-150.03233007274019</v>
      </c>
      <c r="AH42" s="382">
        <f t="array" ref="AH42">IF($G42=0, INDEX(LS_previous!$D$4:$AY$138, MATCH('Staging Table'!$A42, LS_previous!$B$4:$B$138, 0), MATCH(AH$4&amp;AH$5, LS_previous!$D$2:$AY$2&amp;LS_previous!$D$3:$AY$3, 0)),SUM(VLOOKUP($A42, LS_previous!$B$4:$AY$138, LS_previous!Z$149, FALSE), VLOOKUP('Staging Table'!$A42, LS_previous!$B$4:$AY$138,LS_previous!AX$149, FALSE))/2)</f>
        <v>-168.32049999822289</v>
      </c>
      <c r="AI42" s="382">
        <f t="array" ref="AI42">IF($G42=0, INDEX(LS_previous!$D$4:$AY$138, MATCH('Staging Table'!$A42, LS_previous!$B$4:$B$138, 0), MATCH(AI$4&amp;AI$5, LS_previous!$D$2:$AY$2&amp;LS_previous!$D$3:$AY$3, 0)),SUM(VLOOKUP($A42, LS_previous!$B$4:$AY$138, LS_previous!AA$149, FALSE), VLOOKUP('Staging Table'!$A42, LS_previous!$B$4:$AY$138,LS_previous!AY$149, FALSE))/2)</f>
        <v>-85.137990375980849</v>
      </c>
      <c r="AJ42" s="384">
        <f t="array" ref="AJ42">INDEX(Demand_previous!$D$4:$AY$138, MATCH('Staging Table'!$A42, Demand_previous!$B$4:$B$138, 0), MATCH(AJ$4&amp;AJ$5,Demand_previous!$D$2:$AY$2&amp;Demand_previous!$D$3:$AY$3, 0))/1000</f>
        <v>0.29553935185185198</v>
      </c>
      <c r="AK42" s="384">
        <f t="array" ref="AK42">INDEX(Demand_previous!$D$4:$AY$138, MATCH('Staging Table'!$A42, Demand_previous!$B$4:$B$138, 0), MATCH(AK$4&amp;AK$5,Demand_previous!$D$2:$AY$2&amp;Demand_previous!$D$3:$AY$3, 0))/1000</f>
        <v>0.32599479166666684</v>
      </c>
      <c r="AL42" s="384">
        <f t="array" ref="AL42">INDEX(Demand_previous!$D$4:$AY$138, MATCH('Staging Table'!$A42, Demand_previous!$B$4:$B$138, 0), MATCH(AL$4&amp;AL$5,Demand_previous!$D$2:$AY$2&amp;Demand_previous!$D$3:$AY$3, 0))/1000</f>
        <v>0.40214182692307632</v>
      </c>
      <c r="AM42" s="384">
        <f t="array" ref="AM42">INDEX(Demand_previous!$D$4:$AY$138, MATCH('Staging Table'!$A42, Demand_previous!$B$4:$B$138, 0), MATCH(AM$4&amp;AM$5,Demand_previous!$D$2:$AY$2&amp;Demand_previous!$D$3:$AY$3, 0))/1000</f>
        <v>0.38393500000000036</v>
      </c>
      <c r="AN42" s="384">
        <f t="array" ref="AN42">INDEX(Demand_previous!$D$4:$AY$138, MATCH('Staging Table'!$A42, Demand_previous!$B$4:$B$138, 0), MATCH(AN$4&amp;AN$5,Demand_previous!$D$2:$AY$2&amp;Demand_previous!$D$3:$AY$3, 0))/1000</f>
        <v>0.55986250000000026</v>
      </c>
      <c r="AO42" s="384">
        <f t="array" ref="AO42">INDEX(Demand_previous!$D$4:$AY$138, MATCH('Staging Table'!$A42, Demand_previous!$B$4:$B$138, 0), MATCH(AO$4&amp;AO$5,Demand_previous!$D$2:$AY$2&amp;Demand_previous!$D$3:$AY$3, 0))/1000</f>
        <v>0.39144444444444437</v>
      </c>
      <c r="AP42" s="384">
        <f t="array" ref="AP42">INDEX(Demand_previous!$D$4:$AY$138, MATCH('Staging Table'!$A42, Demand_previous!$B$4:$B$138, 0), MATCH(AP$4&amp;AP$5,Demand_previous!$D$2:$AY$2&amp;Demand_previous!$D$3:$AY$3, 0))/1000</f>
        <v>0.4226105769230768</v>
      </c>
      <c r="AQ42" s="384">
        <f t="array" ref="AQ42">INDEX(Demand_previous!$D$4:$AY$138, MATCH('Staging Table'!$A42, Demand_previous!$B$4:$B$138, 0), MATCH(AQ$4&amp;AQ$5,Demand_previous!$D$2:$AY$2&amp;Demand_previous!$D$3:$AY$3, 0))/1000</f>
        <v>0.20475749999999993</v>
      </c>
      <c r="AR42" s="384">
        <f t="array" ref="AR42">INDEX(Demand_previous!$D$4:$AY$138, MATCH('Staging Table'!$A42, Demand_previous!$B$4:$B$138, 0), MATCH(AR$4&amp;AR$5,Demand_previous!$D$2:$AY$2&amp;Demand_previous!$D$3:$AY$3, 0))/1000</f>
        <v>0.2819471153846152</v>
      </c>
      <c r="AS42" s="384">
        <f t="array" ref="AS42">INDEX(Demand_previous!$D$4:$AY$138, MATCH('Staging Table'!$A42, Demand_previous!$B$4:$B$138, 0), MATCH(AS$4&amp;AS$5,Demand_previous!$D$2:$AY$2&amp;Demand_previous!$D$3:$AY$3, 0))/1000</f>
        <v>0.13350500000000001</v>
      </c>
      <c r="AT42" s="384">
        <f t="array" ref="AT42">INDEX(Demand_previous!$D$4:$AY$138, MATCH('Staging Table'!$A42, Demand_previous!$B$4:$B$138, 0), MATCH(AT$4&amp;AT$5,Demand_previous!$D$2:$AY$2&amp;Demand_previous!$D$3:$AY$3, 0))/1000</f>
        <v>0.21111111111111136</v>
      </c>
      <c r="AU42" s="384">
        <f t="array" ref="AU42">INDEX(Demand_previous!$D$4:$AY$138, MATCH('Staging Table'!$A42, Demand_previous!$B$4:$B$138, 0), MATCH(AU$4&amp;AU$5,Demand_previous!$D$2:$AY$2&amp;Demand_previous!$D$3:$AY$3, 0))/1000</f>
        <v>0.21569999999999956</v>
      </c>
      <c r="AV42" s="384">
        <f>IF($D42=0,IF(C42=0, MAX(AY42 - (VLOOKUP($A42,TOCA_previous!$A$2:$AI$137,MATCH("RHWM 2016",TOCA_previous!$A$2:$AI$2,0),FALSE)*$F$2*TOCA_previous!C39),0),0), 0)</f>
        <v>0</v>
      </c>
      <c r="AW42" s="427">
        <f>VLOOKUP($A42,REP_previous!$A$1:$D$135,MATCH("FY "&amp;$F$1&amp; " Total Refund",REP_previous!$A$1:$D$1,0),0)</f>
        <v>11288.316939379813</v>
      </c>
      <c r="AX42" s="398">
        <f>MIN(VLOOKUP($A42,TOCA_previous!$A$2:$AI$137,MATCH("TRL - NLSL - Exisiting Resource "&amp;$F$1,TOCA_previous!$A$2:$AI$2,0),FALSE)*$F$2,(VLOOKUP($A42,TOCA_previous!$A$2:$AI$137,MATCH("RHWM 2016",TOCA_previous!$A$2:$AI$2,0),FALSE)*$F$2))</f>
        <v>17726.111999999997</v>
      </c>
      <c r="AY42" s="384">
        <f>SUM(L42:AI42)+(F42*RT1SC!$C$3*$F$2)</f>
        <v>17573.06004172629</v>
      </c>
      <c r="AZ42" s="398">
        <f>VLOOKUP($A42,TOCA_previous!$A$2:$AI$137,MATCH("Above RHWM Not Served with LS "&amp;$F$1,TOCA_previous!$A$2:$AI$2,0),FALSE)*$F$2</f>
        <v>0</v>
      </c>
      <c r="BA42" s="206">
        <f t="shared" si="3"/>
        <v>-153.05195827370699</v>
      </c>
      <c r="BB42" s="399">
        <f>(VLOOKUP($A42,TOCA_previous!$A$2:$AI$137,MATCH("RHWM 2016",TOCA_previous!$A$2:$AI$2,0),FALSE)*$F$2) - $AX42</f>
        <v>0</v>
      </c>
      <c r="BC42" s="206">
        <f t="shared" si="4"/>
        <v>0</v>
      </c>
      <c r="BD42" s="400">
        <f t="shared" si="5"/>
        <v>153.05195827370699</v>
      </c>
      <c r="BE42" s="392">
        <f t="shared" si="6"/>
        <v>0</v>
      </c>
      <c r="BF42" s="399">
        <f t="shared" si="7"/>
        <v>153.05195827370699</v>
      </c>
      <c r="BG42" s="206">
        <f>VLOOKUP($A42,TOCA_current!$A$2:$AI$137,MATCH(BG$4,TOCA_current!$A$2:$AI$2,0),FALSE)</f>
        <v>2.8870000000000002E-4</v>
      </c>
      <c r="BH42" s="206">
        <f>VLOOKUP($A42,TOCA_current!$A$2:$AI$137,MATCH(BH$4,TOCA_current!$A$2:$AI$2,0),FALSE)</f>
        <v>2.8870000000000002E-4</v>
      </c>
      <c r="BI42" s="391">
        <f t="shared" si="8"/>
        <v>0</v>
      </c>
      <c r="BJ42" s="206">
        <f>VLOOKUP($A42,TOCA_current!A38:BG173,MATCH(BJ$4,TOCA_current!$A$2:$BG$2,0),FALSE)</f>
        <v>0</v>
      </c>
      <c r="BK42" s="206">
        <f t="shared" si="9"/>
        <v>0</v>
      </c>
      <c r="BL42" s="206">
        <f t="shared" si="10"/>
        <v>0</v>
      </c>
      <c r="BM42" s="381">
        <f>VLOOKUP($A42,IRD!$A$4:$G$139, 7, FALSE)</f>
        <v>0</v>
      </c>
      <c r="BN42" s="382">
        <f t="array" ref="BN42">IF($BI42=0, INDEX(LS_current!$D$4:$AY$139, MATCH('Staging Table'!$A42, LS_current!$B$4:$B$139, 0), MATCH(BN$4&amp;BN$5, LS_current!$D$2:$AY$2&amp;LS_current!$D$3:$AY$3, 0)),SUM(VLOOKUP($A42, LS_current!$B$4:$AY$139, LS_current!D$149, FALSE), VLOOKUP($A42, LS_current!$B$4:$AY$139,LS_current!D$149, FALSE))/2)</f>
        <v>-38.708661424994602</v>
      </c>
      <c r="BO42" s="382">
        <f t="array" ref="BO42">IF($BI42=0, INDEX(LS_current!$D$4:$AY$139, MATCH('Staging Table'!$A42, LS_current!$B$4:$B$139, 0), MATCH(BO$4&amp;BO$5, LS_current!$D$2:$AY$2&amp;LS_current!$D$3:$AY$3, 0)),SUM(VLOOKUP($A42, LS_current!$B$4:$AY$139, LS_current!E$149, FALSE), VLOOKUP($A42, LS_current!$B$4:$AY$139,LS_current!E$149, FALSE))/2)</f>
        <v>44.553199423145884</v>
      </c>
      <c r="BP42" s="382">
        <f t="array" ref="BP42">IF($BI42=0, INDEX(LS_current!$D$4:$AY$139, MATCH('Staging Table'!$A42, LS_current!$B$4:$B$139, 0), MATCH(BP$4&amp;BP$5, LS_current!$D$2:$AY$2&amp;LS_current!$D$3:$AY$3, 0)),SUM(VLOOKUP($A42, LS_current!$B$4:$AY$139, LS_current!F$149, FALSE), VLOOKUP($A42, LS_current!$B$4:$AY$139,LS_current!F$149, FALSE))/2)</f>
        <v>-40.049678718217365</v>
      </c>
      <c r="BQ42" s="382">
        <f t="array" ref="BQ42">IF($BI42=0, INDEX(LS_current!$D$4:$AY$139, MATCH('Staging Table'!$A42, LS_current!$B$4:$B$139, 0), MATCH(BQ$4&amp;BQ$5, LS_current!$D$2:$AY$2&amp;LS_current!$D$3:$AY$3, 0)),SUM(VLOOKUP($A42, LS_current!$B$4:$AY$139, LS_current!G$149, FALSE), VLOOKUP($A42, LS_current!$B$4:$AY$139,LS_current!G$149, FALSE))/2)</f>
        <v>105.44157986342702</v>
      </c>
      <c r="BR42" s="382">
        <f t="array" ref="BR42">IF($BI42=0, INDEX(LS_current!$D$4:$AY$139, MATCH('Staging Table'!$A42, LS_current!$B$4:$B$139, 0), MATCH(BR$4&amp;BR$5, LS_current!$D$2:$AY$2&amp;LS_current!$D$3:$AY$3, 0)),SUM(VLOOKUP($A42, LS_current!$B$4:$AY$139, LS_current!H$149, FALSE), VLOOKUP($A42, LS_current!$B$4:$AY$139,LS_current!H$149, FALSE))/2)</f>
        <v>178.30595339148203</v>
      </c>
      <c r="BS42" s="382">
        <f t="array" ref="BS42">IF($BI42=0, INDEX(LS_current!$D$4:$AY$139, MATCH('Staging Table'!$A42, LS_current!$B$4:$B$139, 0), MATCH(BS$4&amp;BS$5, LS_current!$D$2:$AY$2&amp;LS_current!$D$3:$AY$3, 0)),SUM(VLOOKUP($A42, LS_current!$B$4:$AY$139, LS_current!I$149, FALSE), VLOOKUP($A42, LS_current!$B$4:$AY$139,LS_current!I$149, FALSE))/2)</f>
        <v>229.95203820032123</v>
      </c>
      <c r="BT42" s="382">
        <f t="array" ref="BT42">IF($BI42=0, INDEX(LS_current!$D$4:$AY$139, MATCH('Staging Table'!$A42, LS_current!$B$4:$B$139, 0), MATCH(BT$4&amp;BT$5, LS_current!$D$2:$AY$2&amp;LS_current!$D$3:$AY$3, 0)),SUM(VLOOKUP($A42, LS_current!$B$4:$AY$139, LS_current!J$149, FALSE), VLOOKUP($A42, LS_current!$B$4:$AY$139,LS_current!J$149, FALSE))/2)</f>
        <v>346.29662448348233</v>
      </c>
      <c r="BU42" s="382">
        <f t="array" ref="BU42">IF($BI42=0, INDEX(LS_current!$D$4:$AY$139, MATCH('Staging Table'!$A42, LS_current!$B$4:$B$139, 0), MATCH(BU$4&amp;BU$5, LS_current!$D$2:$AY$2&amp;LS_current!$D$3:$AY$3, 0)),SUM(VLOOKUP($A42, LS_current!$B$4:$AY$139, LS_current!K$149, FALSE), VLOOKUP($A42, LS_current!$B$4:$AY$139,LS_current!K$149, FALSE))/2)</f>
        <v>341.18854393982554</v>
      </c>
      <c r="BV42" s="382">
        <f t="array" ref="BV42">IF($BI42=0, INDEX(LS_current!$D$4:$AY$139, MATCH('Staging Table'!$A42, LS_current!$B$4:$B$139, 0), MATCH(BV$4&amp;BV$5, LS_current!$D$2:$AY$2&amp;LS_current!$D$3:$AY$3, 0)),SUM(VLOOKUP($A42, LS_current!$B$4:$AY$139, LS_current!L$149, FALSE), VLOOKUP($A42, LS_current!$B$4:$AY$139,LS_current!L$149, FALSE))/2)</f>
        <v>402.6998821220983</v>
      </c>
      <c r="BW42" s="382">
        <f t="array" ref="BW42">IF($BI42=0, INDEX(LS_current!$D$4:$AY$139, MATCH('Staging Table'!$A42, LS_current!$B$4:$B$139, 0), MATCH(BW$4&amp;BW$5, LS_current!$D$2:$AY$2&amp;LS_current!$D$3:$AY$3, 0)),SUM(VLOOKUP($A42, LS_current!$B$4:$AY$139, LS_current!M$149, FALSE), VLOOKUP($A42, LS_current!$B$4:$AY$139,LS_current!M$149, FALSE))/2)</f>
        <v>344.06541733115245</v>
      </c>
      <c r="BX42" s="382">
        <f t="array" ref="BX42">IF($BI42=0, INDEX(LS_current!$D$4:$AY$139, MATCH('Staging Table'!$A42, LS_current!$B$4:$B$139, 0), MATCH(BX$4&amp;BX$5, LS_current!$D$2:$AY$2&amp;LS_current!$D$3:$AY$3, 0)),SUM(VLOOKUP($A42, LS_current!$B$4:$AY$139, LS_current!N$149, FALSE), VLOOKUP($A42, LS_current!$B$4:$AY$139,LS_current!N$149, FALSE))/2)</f>
        <v>201.73117239350995</v>
      </c>
      <c r="BY42" s="382">
        <f t="array" ref="BY42">IF($BI42=0, INDEX(LS_current!$D$4:$AY$139, MATCH('Staging Table'!$A42, LS_current!$B$4:$B$139, 0), MATCH(BY$4&amp;BY$5, LS_current!$D$2:$AY$2&amp;LS_current!$D$3:$AY$3, 0)),SUM(VLOOKUP($A42, LS_current!$B$4:$AY$139, LS_current!O$149, FALSE), VLOOKUP($A42, LS_current!$B$4:$AY$139,LS_current!O$149, FALSE))/2)</f>
        <v>205.42295716560517</v>
      </c>
      <c r="BZ42" s="382">
        <f t="array" ref="BZ42">IF($BI42=0, INDEX(LS_current!$D$4:$AY$139, MATCH('Staging Table'!$A42, LS_current!$B$4:$B$139, 0), MATCH(BZ$4&amp;BZ$5, LS_current!$D$2:$AY$2&amp;LS_current!$D$3:$AY$3, 0)),SUM(VLOOKUP($A42, LS_current!$B$4:$AY$139, LS_current!P$149, FALSE), VLOOKUP($A42, LS_current!$B$4:$AY$139,LS_current!P$149, FALSE))/2)</f>
        <v>12.310377546477071</v>
      </c>
      <c r="CA42" s="382">
        <f t="array" ref="CA42">IF($BI42=0, INDEX(LS_current!$D$4:$AY$139, MATCH('Staging Table'!$A42, LS_current!$B$4:$B$139, 0), MATCH(CA$4&amp;CA$5, LS_current!$D$2:$AY$2&amp;LS_current!$D$3:$AY$3, 0)),SUM(VLOOKUP($A42, LS_current!$B$4:$AY$139, LS_current!Q$149, FALSE), VLOOKUP($A42, LS_current!$B$4:$AY$139,LS_current!Q$149, FALSE))/2)</f>
        <v>99.903046844774053</v>
      </c>
      <c r="CB42" s="382">
        <f t="array" ref="CB42">IF($BI42=0, INDEX(LS_current!$D$4:$AY$139, MATCH('Staging Table'!$A42, LS_current!$B$4:$B$139, 0), MATCH(CB$4&amp;CB$5, LS_current!$D$2:$AY$2&amp;LS_current!$D$3:$AY$3, 0)),SUM(VLOOKUP($A42, LS_current!$B$4:$AY$139, LS_current!R$149, FALSE), VLOOKUP($A42, LS_current!$B$4:$AY$139,LS_current!R$149, FALSE))/2)</f>
        <v>-534.94802328365859</v>
      </c>
      <c r="CC42" s="382">
        <f t="array" ref="CC42">IF($BI42=0, INDEX(LS_current!$D$4:$AY$139, MATCH('Staging Table'!$A42, LS_current!$B$4:$B$139, 0), MATCH(CC$4&amp;CC$5, LS_current!$D$2:$AY$2&amp;LS_current!$D$3:$AY$3, 0)),SUM(VLOOKUP($A42, LS_current!$B$4:$AY$139, LS_current!S$149, FALSE), VLOOKUP($A42, LS_current!$B$4:$AY$139,LS_current!S$149, FALSE))/2)</f>
        <v>-232.47852719253109</v>
      </c>
      <c r="CD42" s="382">
        <f t="array" ref="CD42">IF($BI42=0, INDEX(LS_current!$D$4:$AY$139, MATCH('Staging Table'!$A42, LS_current!$B$4:$B$139, 0), MATCH(CD$4&amp;CD$5, LS_current!$D$2:$AY$2&amp;LS_current!$D$3:$AY$3, 0)),SUM(VLOOKUP($A42, LS_current!$B$4:$AY$139, LS_current!T$149, FALSE), VLOOKUP($A42, LS_current!$B$4:$AY$139,LS_current!T$149, FALSE))/2)</f>
        <v>-379.28157883246217</v>
      </c>
      <c r="CE42" s="382">
        <f t="array" ref="CE42">IF($BI42=0, INDEX(LS_current!$D$4:$AY$139, MATCH('Staging Table'!$A42, LS_current!$B$4:$B$139, 0), MATCH(CE$4&amp;CE$5, LS_current!$D$2:$AY$2&amp;LS_current!$D$3:$AY$3, 0)),SUM(VLOOKUP($A42, LS_current!$B$4:$AY$139, LS_current!U$149, FALSE), VLOOKUP($A42, LS_current!$B$4:$AY$139,LS_current!U$149, FALSE))/2)</f>
        <v>-150.73563075457173</v>
      </c>
      <c r="CF42" s="382">
        <f t="array" ref="CF42">IF($BI42=0, INDEX(LS_current!$D$4:$AY$139, MATCH('Staging Table'!$A42, LS_current!$B$4:$B$139, 0), MATCH(CF$4&amp;CF$5, LS_current!$D$2:$AY$2&amp;LS_current!$D$3:$AY$3, 0)),SUM(VLOOKUP($A42, LS_current!$B$4:$AY$139, LS_current!V$149, FALSE), VLOOKUP($A42, LS_current!$B$4:$AY$139,LS_current!V$149, FALSE))/2)</f>
        <v>-247.88338830785244</v>
      </c>
      <c r="CG42" s="382">
        <f t="array" ref="CG42">IF($BI42=0, INDEX(LS_current!$D$4:$AY$139, MATCH('Staging Table'!$A42, LS_current!$B$4:$B$139, 0), MATCH(CG$4&amp;CG$5, LS_current!$D$2:$AY$2&amp;LS_current!$D$3:$AY$3, 0)),SUM(VLOOKUP($A42, LS_current!$B$4:$AY$139, LS_current!W$149, FALSE), VLOOKUP($A42, LS_current!$B$4:$AY$139,LS_current!W$149, FALSE))/2)</f>
        <v>-71.544225474172663</v>
      </c>
      <c r="CH42" s="382">
        <f t="array" ref="CH42">IF($BI42=0, INDEX(LS_current!$D$4:$AY$139, MATCH('Staging Table'!$A42, LS_current!$B$4:$B$139, 0), MATCH(CH$4&amp;CH$5, LS_current!$D$2:$AY$2&amp;LS_current!$D$3:$AY$3, 0)),SUM(VLOOKUP($A42, LS_current!$B$4:$AY$139, LS_current!X$149, FALSE), VLOOKUP($A42, LS_current!$B$4:$AY$139,LS_current!X$149, FALSE))/2)</f>
        <v>-342.32775525489592</v>
      </c>
      <c r="CI42" s="382">
        <f t="array" ref="CI42">IF($BI42=0, INDEX(LS_current!$D$4:$AY$139, MATCH('Staging Table'!$A42, LS_current!$B$4:$B$139, 0), MATCH(CI$4&amp;CI$5, LS_current!$D$2:$AY$2&amp;LS_current!$D$3:$AY$3, 0)),SUM(VLOOKUP($A42, LS_current!$B$4:$AY$139, LS_current!Y$149, FALSE), VLOOKUP($A42, LS_current!$B$4:$AY$139,LS_current!Y$149, FALSE))/2)</f>
        <v>-133.45143567216445</v>
      </c>
      <c r="CJ42" s="382">
        <f t="array" ref="CJ42">IF($BI42=0, INDEX(LS_current!$D$4:$AY$139, MATCH('Staging Table'!$A42, LS_current!$B$4:$B$139, 0), MATCH(CJ$4&amp;CJ$5, LS_current!$D$2:$AY$2&amp;LS_current!$D$3:$AY$3, 0)),SUM(VLOOKUP($A42, LS_current!$B$4:$AY$139, LS_current!Z$149, FALSE), VLOOKUP($A42, LS_current!$B$4:$AY$139,LS_current!Z$149, FALSE))/2)</f>
        <v>-247.78521125623809</v>
      </c>
      <c r="CK42" s="382">
        <f t="array" ref="CK42">IF($BI42=0, INDEX(LS_current!$D$4:$AY$139, MATCH('Staging Table'!$A42, LS_current!$B$4:$B$139, 0), MATCH(CK$4&amp;CK$5, LS_current!$D$2:$AY$2&amp;LS_current!$D$3:$AY$3, 0)),SUM(VLOOKUP($A42, LS_current!$B$4:$AY$139, LS_current!AA$149, FALSE), VLOOKUP($A42, LS_current!$B$4:$AY$139,LS_current!AA$149, FALSE))/2)</f>
        <v>-83.215292447837498</v>
      </c>
      <c r="CL42" s="384">
        <f t="array" ref="CL42">INDEX(Demand_current!$D$4:$AY$138, MATCH($A42, Demand_current!$B$4:$B$138, 0), MATCH(CL$4&amp;CL$5,Demand_current!$D$2:$AY$2&amp;Demand_current!$D$3:$AY$3, 0))/1000</f>
        <v>0.22059855769230763</v>
      </c>
      <c r="CM42" s="384">
        <f t="array" ref="CM42">INDEX(Demand_current!$D$4:$AY$138, MATCH($A42, Demand_current!$B$4:$B$138, 0), MATCH(CM$4&amp;CM$5,Demand_current!$D$2:$AY$2&amp;Demand_current!$D$3:$AY$3, 0))/1000</f>
        <v>0.43163499999999982</v>
      </c>
      <c r="CN42" s="384">
        <f t="array" ref="CN42">INDEX(Demand_current!$D$4:$AY$138, MATCH($A42, Demand_current!$B$4:$B$138, 0), MATCH(CN$4&amp;CN$5,Demand_current!$D$2:$AY$2&amp;Demand_current!$D$3:$AY$3, 0))/1000</f>
        <v>0.28598749999999939</v>
      </c>
      <c r="CO42" s="384">
        <f t="array" ref="CO42">INDEX(Demand_current!$D$4:$AY$138, MATCH($A42, Demand_current!$B$4:$B$138, 0), MATCH(CO$4&amp;CO$5,Demand_current!$D$2:$AY$2&amp;Demand_current!$D$3:$AY$3, 0))/1000</f>
        <v>0.50112980769230808</v>
      </c>
      <c r="CP42" s="384">
        <f t="array" ref="CP42">INDEX(Demand_current!$D$4:$AY$138, MATCH($A42, Demand_current!$B$4:$B$138, 0), MATCH(CP$4&amp;CP$5,Demand_current!$D$2:$AY$2&amp;Demand_current!$D$3:$AY$3, 0))/1000</f>
        <v>0.44173177083333337</v>
      </c>
      <c r="CQ42" s="384">
        <f t="array" ref="CQ42">INDEX(Demand_current!$D$4:$AY$138, MATCH($A42, Demand_current!$B$4:$B$138, 0), MATCH(CQ$4&amp;CQ$5,Demand_current!$D$2:$AY$2&amp;Demand_current!$D$3:$AY$3, 0))/1000</f>
        <v>0.39144444444444437</v>
      </c>
      <c r="CR42" s="384">
        <f t="array" ref="CR42">INDEX(Demand_current!$D$4:$AY$138, MATCH($A42, Demand_current!$B$4:$B$138, 0), MATCH(CR$4&amp;CR$5,Demand_current!$D$2:$AY$2&amp;Demand_current!$D$3:$AY$3, 0))/1000</f>
        <v>0.33995500000000001</v>
      </c>
      <c r="CS42" s="384">
        <f t="array" ref="CS42">INDEX(Demand_current!$D$4:$AY$138, MATCH($A42, Demand_current!$B$4:$B$138, 0), MATCH(CS$4&amp;CS$5,Demand_current!$D$2:$AY$2&amp;Demand_current!$D$3:$AY$3, 0))/1000</f>
        <v>0.27180528846153829</v>
      </c>
      <c r="CT42" s="384">
        <f t="array" ref="CT42">INDEX(Demand_current!$D$4:$AY$138, MATCH($A42, Demand_current!$B$4:$B$138, 0), MATCH(CT$4&amp;CT$5,Demand_current!$D$2:$AY$2&amp;Demand_current!$D$3:$AY$3, 0))/1000</f>
        <v>0.2819471153846152</v>
      </c>
      <c r="CU42" s="384">
        <f t="array" ref="CU42">INDEX(Demand_current!$D$4:$AY$138, MATCH($A42, Demand_current!$B$4:$B$138, 0), MATCH(CU$4&amp;CU$5,Demand_current!$D$2:$AY$2&amp;Demand_current!$D$3:$AY$3, 0))/1000</f>
        <v>0.13350500000000001</v>
      </c>
      <c r="CV42" s="384">
        <f t="array" ref="CV42">INDEX(Demand_current!$D$4:$AY$138, MATCH($A42, Demand_current!$B$4:$B$138, 0), MATCH(CV$4&amp;CV$5,Demand_current!$D$2:$AY$2&amp;Demand_current!$D$3:$AY$3, 0))/1000</f>
        <v>0.21111111111111136</v>
      </c>
      <c r="CW42" s="384">
        <f t="array" ref="CW42">INDEX(Demand_current!$D$4:$AY$138, MATCH($A42, Demand_current!$B$4:$B$138, 0), MATCH(CW$4&amp;CW$5,Demand_current!$D$2:$AY$2&amp;Demand_current!$D$3:$AY$3, 0))/1000</f>
        <v>0.15202083333333305</v>
      </c>
      <c r="CX42" s="384">
        <f>IF(D42=0,IF(C42=0,MAX(0,DA42 - (VLOOKUP($A42,TOCA_current!$A$2:$AI$137,MATCH("RHWM 2018",TOCA_current!$A$2:$AI$2,0),FALSE)*$BH$2)), 0),0)</f>
        <v>9.2602562377069262</v>
      </c>
      <c r="CY42" s="427">
        <f>VLOOKUP($A42,REP_current!$A$1:$D$135,MATCH("FY "&amp;$BH$1&amp; " Total Refund",REP_current!$A$1:$D$1,0),0)</f>
        <v>11451.95956449559</v>
      </c>
      <c r="CZ42" s="432">
        <f>MIN(VLOOKUP($A42,TOCA_current!$A$2:$AI$137,MATCH("TRL - NLSL - Existing Resource "&amp;$BH$1,TOCA_current!$A$2:$AI$2,0),FALSE)*$BH$2, VLOOKUP($A42,TOCA_current!$A$2:$AI$137,MATCH("RHWM 2018",TOCA_current!$A$2:$AI$2,0),FALSE)*$BH$2)</f>
        <v>17563.8</v>
      </c>
      <c r="DA42" s="397">
        <f>SUM(BN42:CK42)+(BH42*RT1SC!$C$4*$BH$2)</f>
        <v>17573.060256237706</v>
      </c>
      <c r="DB42" s="432">
        <f>VLOOKUP($A42,TOCA_current!$A$2:$AI$137,MATCH("Above RHWM Not Served with LS "&amp;$BH$1,TOCA_current!$A$2:$AI$2,0),FALSE)*$BH$2</f>
        <v>0</v>
      </c>
      <c r="DC42" s="401">
        <f t="shared" si="11"/>
        <v>9.2602562377069262</v>
      </c>
      <c r="DD42" s="397">
        <f>(VLOOKUP($A42,TOCA_current!$A$2:$AI$137,MATCH("RHWM 2018",TOCA_current!$A$2:$AI$2,0),FALSE)*$BH$2) - $CZ42</f>
        <v>0</v>
      </c>
      <c r="DE42" s="397">
        <f t="shared" si="12"/>
        <v>0</v>
      </c>
      <c r="DF42" s="397">
        <f t="shared" si="13"/>
        <v>0</v>
      </c>
      <c r="DG42" s="397">
        <f t="shared" si="14"/>
        <v>0</v>
      </c>
      <c r="DH42" s="397">
        <f t="shared" si="15"/>
        <v>0</v>
      </c>
    </row>
    <row r="43" spans="1:112">
      <c r="A43" s="274">
        <v>10101</v>
      </c>
      <c r="B43" s="275" t="s">
        <v>44</v>
      </c>
      <c r="C43" s="397">
        <v>0</v>
      </c>
      <c r="D43" s="397">
        <v>0</v>
      </c>
      <c r="E43" s="205">
        <f>VLOOKUP($A43,TOCA_previous!$A$2:$AI$137,MATCH(E$4,TOCA_previous!$A$2:$AI$2,0),FALSE)</f>
        <v>1.0781199999999999E-2</v>
      </c>
      <c r="F43" s="206">
        <f>VLOOKUP($A43,TOCA_previous!$A$2:$AI$137,MATCH(F$4,TOCA_previous!$A$2:$AI$2,0),FALSE)</f>
        <v>1.0781199999999999E-2</v>
      </c>
      <c r="G43" s="206">
        <f t="shared" si="0"/>
        <v>0</v>
      </c>
      <c r="H43" s="206">
        <f>VLOOKUP($A43,TOCA_previous!$A$2:$AI$137,MATCH(H$4,TOCA_previous!$A$2:$AI$2,0),FALSE)</f>
        <v>5.7209999999999997E-2</v>
      </c>
      <c r="I43" s="206">
        <f t="shared" si="1"/>
        <v>0</v>
      </c>
      <c r="J43" s="206">
        <f t="shared" si="2"/>
        <v>0</v>
      </c>
      <c r="K43" s="381">
        <f>VLOOKUP(A43, IRD!$A$5:$C$139, 3, FALSE)</f>
        <v>0</v>
      </c>
      <c r="L43" s="382">
        <f t="array" ref="L43">IF($G43=0, INDEX(LS_previous!$D$4:$AY$138, MATCH('Staging Table'!$A43, LS_previous!$B$4:$B$138, 0), MATCH(L$4&amp;L$5, LS_previous!$D$2:$AY$2&amp;LS_previous!$D$3:$AY$3, 0)),SUM(VLOOKUP($A43, LS_previous!$B$4:$AY$138, LS_previous!D$149, FALSE), VLOOKUP('Staging Table'!$A43, LS_previous!$B$4:$AY$138,LS_previous!AB$149, FALSE))/2)</f>
        <v>-1143.2996057133023</v>
      </c>
      <c r="M43" s="382">
        <f t="array" ref="M43">IF($G43=0, INDEX(LS_previous!$D$4:$AY$138, MATCH('Staging Table'!$A43, LS_previous!$B$4:$B$138, 0), MATCH(M$4&amp;M$5, LS_previous!$D$2:$AY$2&amp;LS_previous!$D$3:$AY$3, 0)),SUM(VLOOKUP($A43, LS_previous!$B$4:$AY$138, LS_previous!E$149, FALSE), VLOOKUP('Staging Table'!$A43, LS_previous!$B$4:$AY$138,LS_previous!AC$149, FALSE))/2)</f>
        <v>-351.28478124202957</v>
      </c>
      <c r="N43" s="382">
        <f t="array" ref="N43">IF($G43=0, INDEX(LS_previous!$D$4:$AY$138, MATCH('Staging Table'!$A43, LS_previous!$B$4:$B$138, 0), MATCH(N$4&amp;N$5, LS_previous!$D$2:$AY$2&amp;LS_previous!$D$3:$AY$3, 0)),SUM(VLOOKUP($A43, LS_previous!$B$4:$AY$138, LS_previous!F$149, FALSE), VLOOKUP('Staging Table'!$A43, LS_previous!$B$4:$AY$138,LS_previous!AD$149, FALSE))/2)</f>
        <v>688.39628236745193</v>
      </c>
      <c r="O43" s="382">
        <f t="array" ref="O43">IF($G43=0, INDEX(LS_previous!$D$4:$AY$138, MATCH('Staging Table'!$A43, LS_previous!$B$4:$B$138, 0), MATCH(O$4&amp;O$5, LS_previous!$D$2:$AY$2&amp;LS_previous!$D$3:$AY$3, 0)),SUM(VLOOKUP($A43, LS_previous!$B$4:$AY$138, LS_previous!G$149, FALSE), VLOOKUP('Staging Table'!$A43, LS_previous!$B$4:$AY$138,LS_previous!AE$149, FALSE))/2)</f>
        <v>1827.5642935970172</v>
      </c>
      <c r="P43" s="382">
        <f t="array" ref="P43">IF($G43=0, INDEX(LS_previous!$D$4:$AY$138, MATCH('Staging Table'!$A43, LS_previous!$B$4:$B$138, 0), MATCH(P$4&amp;P$5, LS_previous!$D$2:$AY$2&amp;LS_previous!$D$3:$AY$3, 0)),SUM(VLOOKUP($A43, LS_previous!$B$4:$AY$138, LS_previous!H$149, FALSE), VLOOKUP('Staging Table'!$A43, LS_previous!$B$4:$AY$138,LS_previous!AF$149, FALSE))/2)</f>
        <v>7493.2526011652517</v>
      </c>
      <c r="Q43" s="382">
        <f t="array" ref="Q43">IF($G43=0, INDEX(LS_previous!$D$4:$AY$138, MATCH('Staging Table'!$A43, LS_previous!$B$4:$B$138, 0), MATCH(Q$4&amp;Q$5, LS_previous!$D$2:$AY$2&amp;LS_previous!$D$3:$AY$3, 0)),SUM(VLOOKUP($A43, LS_previous!$B$4:$AY$138, LS_previous!I$149, FALSE), VLOOKUP('Staging Table'!$A43, LS_previous!$B$4:$AY$138,LS_previous!AG$149, FALSE))/2)</f>
        <v>5656.7432268017583</v>
      </c>
      <c r="R43" s="382">
        <f t="array" ref="R43">IF($G43=0, INDEX(LS_previous!$D$4:$AY$138, MATCH('Staging Table'!$A43, LS_previous!$B$4:$B$138, 0), MATCH(R$4&amp;R$5, LS_previous!$D$2:$AY$2&amp;LS_previous!$D$3:$AY$3, 0)),SUM(VLOOKUP($A43, LS_previous!$B$4:$AY$138, LS_previous!J$149, FALSE), VLOOKUP('Staging Table'!$A43, LS_previous!$B$4:$AY$138,LS_previous!AH$149, FALSE))/2)</f>
        <v>11831.263886642664</v>
      </c>
      <c r="S43" s="382">
        <f t="array" ref="S43">IF($G43=0, INDEX(LS_previous!$D$4:$AY$138, MATCH('Staging Table'!$A43, LS_previous!$B$4:$B$138, 0), MATCH(S$4&amp;S$5, LS_previous!$D$2:$AY$2&amp;LS_previous!$D$3:$AY$3, 0)),SUM(VLOOKUP($A43, LS_previous!$B$4:$AY$138, LS_previous!K$149, FALSE), VLOOKUP('Staging Table'!$A43, LS_previous!$B$4:$AY$138,LS_previous!AI$149, FALSE))/2)</f>
        <v>8948.3824763355733</v>
      </c>
      <c r="T43" s="382">
        <f t="array" ref="T43">IF($G43=0, INDEX(LS_previous!$D$4:$AY$138, MATCH('Staging Table'!$A43, LS_previous!$B$4:$B$138, 0), MATCH(T$4&amp;T$5, LS_previous!$D$2:$AY$2&amp;LS_previous!$D$3:$AY$3, 0)),SUM(VLOOKUP($A43, LS_previous!$B$4:$AY$138, LS_previous!L$149, FALSE), VLOOKUP('Staging Table'!$A43, LS_previous!$B$4:$AY$138,LS_previous!AJ$149, FALSE))/2)</f>
        <v>10753.282631412731</v>
      </c>
      <c r="U43" s="382">
        <f t="array" ref="U43">IF($G43=0, INDEX(LS_previous!$D$4:$AY$138, MATCH('Staging Table'!$A43, LS_previous!$B$4:$B$138, 0), MATCH(U$4&amp;U$5, LS_previous!$D$2:$AY$2&amp;LS_previous!$D$3:$AY$3, 0)),SUM(VLOOKUP($A43, LS_previous!$B$4:$AY$138, LS_previous!M$149, FALSE), VLOOKUP('Staging Table'!$A43, LS_previous!$B$4:$AY$138,LS_previous!AK$149, FALSE))/2)</f>
        <v>7130.3453826496225</v>
      </c>
      <c r="V43" s="382">
        <f t="array" ref="V43">IF($G43=0, INDEX(LS_previous!$D$4:$AY$138, MATCH('Staging Table'!$A43, LS_previous!$B$4:$B$138, 0), MATCH(V$4&amp;V$5, LS_previous!$D$2:$AY$2&amp;LS_previous!$D$3:$AY$3, 0)),SUM(VLOOKUP($A43, LS_previous!$B$4:$AY$138, LS_previous!N$149, FALSE), VLOOKUP('Staging Table'!$A43, LS_previous!$B$4:$AY$138,LS_previous!AL$149, FALSE))/2)</f>
        <v>2438.4482468886345</v>
      </c>
      <c r="W43" s="382">
        <f t="array" ref="W43">IF($G43=0, INDEX(LS_previous!$D$4:$AY$138, MATCH('Staging Table'!$A43, LS_previous!$B$4:$B$138, 0), MATCH(W$4&amp;W$5, LS_previous!$D$2:$AY$2&amp;LS_previous!$D$3:$AY$3, 0)),SUM(VLOOKUP($A43, LS_previous!$B$4:$AY$138, LS_previous!O$149, FALSE), VLOOKUP('Staging Table'!$A43, LS_previous!$B$4:$AY$138,LS_previous!AM$149, FALSE))/2)</f>
        <v>1295.8523250611433</v>
      </c>
      <c r="X43" s="382">
        <f t="array" ref="X43">IF($G43=0, INDEX(LS_previous!$D$4:$AY$138, MATCH('Staging Table'!$A43, LS_previous!$B$4:$B$138, 0), MATCH(X$4&amp;X$5, LS_previous!$D$2:$AY$2&amp;LS_previous!$D$3:$AY$3, 0)),SUM(VLOOKUP($A43, LS_previous!$B$4:$AY$138, LS_previous!P$149, FALSE), VLOOKUP('Staging Table'!$A43, LS_previous!$B$4:$AY$138,LS_previous!AN$149, FALSE))/2)</f>
        <v>3052.0628993761202</v>
      </c>
      <c r="Y43" s="382">
        <f t="array" ref="Y43">IF($G43=0, INDEX(LS_previous!$D$4:$AY$138, MATCH('Staging Table'!$A43, LS_previous!$B$4:$B$138, 0), MATCH(Y$4&amp;Y$5, LS_previous!$D$2:$AY$2&amp;LS_previous!$D$3:$AY$3, 0)),SUM(VLOOKUP($A43, LS_previous!$B$4:$AY$138, LS_previous!Q$149, FALSE), VLOOKUP('Staging Table'!$A43, LS_previous!$B$4:$AY$138,LS_previous!AO$149, FALSE))/2)</f>
        <v>1971.7590252397458</v>
      </c>
      <c r="Z43" s="382">
        <f t="array" ref="Z43">IF($G43=0, INDEX(LS_previous!$D$4:$AY$138, MATCH('Staging Table'!$A43, LS_previous!$B$4:$B$138, 0), MATCH(Z$4&amp;Z$5, LS_previous!$D$2:$AY$2&amp;LS_previous!$D$3:$AY$3, 0)),SUM(VLOOKUP($A43, LS_previous!$B$4:$AY$138, LS_previous!R$149, FALSE), VLOOKUP('Staging Table'!$A43, LS_previous!$B$4:$AY$138,LS_previous!AP$149, FALSE))/2)</f>
        <v>-21004.359254606261</v>
      </c>
      <c r="AA43" s="382">
        <f t="array" ref="AA43">IF($G43=0, INDEX(LS_previous!$D$4:$AY$138, MATCH('Staging Table'!$A43, LS_previous!$B$4:$B$138, 0), MATCH(AA$4&amp;AA$5, LS_previous!$D$2:$AY$2&amp;LS_previous!$D$3:$AY$3, 0)),SUM(VLOOKUP($A43, LS_previous!$B$4:$AY$138, LS_previous!S$149, FALSE), VLOOKUP('Staging Table'!$A43, LS_previous!$B$4:$AY$138,LS_previous!AQ$149, FALSE))/2)</f>
        <v>-9052.1780908955589</v>
      </c>
      <c r="AB43" s="382">
        <f t="array" ref="AB43">IF($G43=0, INDEX(LS_previous!$D$4:$AY$138, MATCH('Staging Table'!$A43, LS_previous!$B$4:$B$138, 0), MATCH(AB$4&amp;AB$5, LS_previous!$D$2:$AY$2&amp;LS_previous!$D$3:$AY$3, 0)),SUM(VLOOKUP($A43, LS_previous!$B$4:$AY$138, LS_previous!T$149, FALSE), VLOOKUP('Staging Table'!$A43, LS_previous!$B$4:$AY$138,LS_previous!AR$149, FALSE))/2)</f>
        <v>-12210.928958946846</v>
      </c>
      <c r="AC43" s="382">
        <f t="array" ref="AC43">IF($G43=0, INDEX(LS_previous!$D$4:$AY$138, MATCH('Staging Table'!$A43, LS_previous!$B$4:$B$138, 0), MATCH(AC$4&amp;AC$5, LS_previous!$D$2:$AY$2&amp;LS_previous!$D$3:$AY$3, 0)),SUM(VLOOKUP($A43, LS_previous!$B$4:$AY$138, LS_previous!U$149, FALSE), VLOOKUP('Staging Table'!$A43, LS_previous!$B$4:$AY$138,LS_previous!AS$149, FALSE))/2)</f>
        <v>-6657.308870076813</v>
      </c>
      <c r="AD43" s="382">
        <f t="array" ref="AD43">IF($G43=0, INDEX(LS_previous!$D$4:$AY$138, MATCH('Staging Table'!$A43, LS_previous!$B$4:$B$138, 0), MATCH(AD$4&amp;AD$5, LS_previous!$D$2:$AY$2&amp;LS_previous!$D$3:$AY$3, 0)),SUM(VLOOKUP($A43, LS_previous!$B$4:$AY$138, LS_previous!V$149, FALSE), VLOOKUP('Staging Table'!$A43, LS_previous!$B$4:$AY$138,LS_previous!AT$149, FALSE))/2)</f>
        <v>-11337.438021446789</v>
      </c>
      <c r="AE43" s="382">
        <f t="array" ref="AE43">IF($G43=0, INDEX(LS_previous!$D$4:$AY$138, MATCH('Staging Table'!$A43, LS_previous!$B$4:$B$138, 0), MATCH(AE$4&amp;AE$5, LS_previous!$D$2:$AY$2&amp;LS_previous!$D$3:$AY$3, 0)),SUM(VLOOKUP($A43, LS_previous!$B$4:$AY$138, LS_previous!W$149, FALSE), VLOOKUP('Staging Table'!$A43, LS_previous!$B$4:$AY$138,LS_previous!AU$149, FALSE))/2)</f>
        <v>-3828.1393745121059</v>
      </c>
      <c r="AF43" s="382">
        <f t="array" ref="AF43">IF($G43=0, INDEX(LS_previous!$D$4:$AY$138, MATCH('Staging Table'!$A43, LS_previous!$B$4:$B$138, 0), MATCH(AF$4&amp;AF$5, LS_previous!$D$2:$AY$2&amp;LS_previous!$D$3:$AY$3, 0)),SUM(VLOOKUP($A43, LS_previous!$B$4:$AY$138, LS_previous!X$149, FALSE), VLOOKUP('Staging Table'!$A43, LS_previous!$B$4:$AY$138,LS_previous!AV$149, FALSE))/2)</f>
        <v>-12591.67787010179</v>
      </c>
      <c r="AG43" s="382">
        <f t="array" ref="AG43">IF($G43=0, INDEX(LS_previous!$D$4:$AY$138, MATCH('Staging Table'!$A43, LS_previous!$B$4:$B$138, 0), MATCH(AG$4&amp;AG$5, LS_previous!$D$2:$AY$2&amp;LS_previous!$D$3:$AY$3, 0)),SUM(VLOOKUP($A43, LS_previous!$B$4:$AY$138, LS_previous!Y$149, FALSE), VLOOKUP('Staging Table'!$A43, LS_previous!$B$4:$AY$138,LS_previous!AW$149, FALSE))/2)</f>
        <v>-5178.6643895509569</v>
      </c>
      <c r="AH43" s="382">
        <f t="array" ref="AH43">IF($G43=0, INDEX(LS_previous!$D$4:$AY$138, MATCH('Staging Table'!$A43, LS_previous!$B$4:$B$138, 0), MATCH(AH$4&amp;AH$5, LS_previous!$D$2:$AY$2&amp;LS_previous!$D$3:$AY$3, 0)),SUM(VLOOKUP($A43, LS_previous!$B$4:$AY$138, LS_previous!Z$149, FALSE), VLOOKUP('Staging Table'!$A43, LS_previous!$B$4:$AY$138,LS_previous!AX$149, FALSE))/2)</f>
        <v>-3856.0282269233248</v>
      </c>
      <c r="AI43" s="382">
        <f t="array" ref="AI43">IF($G43=0, INDEX(LS_previous!$D$4:$AY$138, MATCH('Staging Table'!$A43, LS_previous!$B$4:$B$138, 0), MATCH(AI$4&amp;AI$5, LS_previous!$D$2:$AY$2&amp;LS_previous!$D$3:$AY$3, 0)),SUM(VLOOKUP($A43, LS_previous!$B$4:$AY$138, LS_previous!AA$149, FALSE), VLOOKUP('Staging Table'!$A43, LS_previous!$B$4:$AY$138,LS_previous!AY$149, FALSE))/2)</f>
        <v>-2752.6045184827854</v>
      </c>
      <c r="AJ43" s="384">
        <f t="array" ref="AJ43">INDEX(Demand_previous!$D$4:$AY$138, MATCH('Staging Table'!$A43, Demand_previous!$B$4:$B$138, 0), MATCH(AJ$4&amp;AJ$5,Demand_previous!$D$2:$AY$2&amp;Demand_previous!$D$3:$AY$3, 0))/1000</f>
        <v>9.5975995370370342</v>
      </c>
      <c r="AK43" s="384">
        <f t="array" ref="AK43">INDEX(Demand_previous!$D$4:$AY$138, MATCH('Staging Table'!$A43, Demand_previous!$B$4:$B$138, 0), MATCH(AK$4&amp;AK$5,Demand_previous!$D$2:$AY$2&amp;Demand_previous!$D$3:$AY$3, 0))/1000</f>
        <v>4.3778124999999903</v>
      </c>
      <c r="AL43" s="384">
        <f t="array" ref="AL43">INDEX(Demand_previous!$D$4:$AY$138, MATCH('Staging Table'!$A43, Demand_previous!$B$4:$B$138, 0), MATCH(AL$4&amp;AL$5,Demand_previous!$D$2:$AY$2&amp;Demand_previous!$D$3:$AY$3, 0))/1000</f>
        <v>34.841000000000015</v>
      </c>
      <c r="AM43" s="384">
        <f t="array" ref="AM43">INDEX(Demand_previous!$D$4:$AY$138, MATCH('Staging Table'!$A43, Demand_previous!$B$4:$B$138, 0), MATCH(AM$4&amp;AM$5,Demand_previous!$D$2:$AY$2&amp;Demand_previous!$D$3:$AY$3, 0))/1000</f>
        <v>34.035590000000006</v>
      </c>
      <c r="AN43" s="384">
        <f t="array" ref="AN43">INDEX(Demand_previous!$D$4:$AY$138, MATCH('Staging Table'!$A43, Demand_previous!$B$4:$B$138, 0), MATCH(AN$4&amp;AN$5,Demand_previous!$D$2:$AY$2&amp;Demand_previous!$D$3:$AY$3, 0))/1000</f>
        <v>35.289475000000003</v>
      </c>
      <c r="AO43" s="384">
        <f t="array" ref="AO43">INDEX(Demand_previous!$D$4:$AY$138, MATCH('Staging Table'!$A43, Demand_previous!$B$4:$B$138, 0), MATCH(AO$4&amp;AO$5,Demand_previous!$D$2:$AY$2&amp;Demand_previous!$D$3:$AY$3, 0))/1000</f>
        <v>32.049703703703692</v>
      </c>
      <c r="AP43" s="384">
        <f t="array" ref="AP43">INDEX(Demand_previous!$D$4:$AY$138, MATCH('Staging Table'!$A43, Demand_previous!$B$4:$B$138, 0), MATCH(AP$4&amp;AP$5,Demand_previous!$D$2:$AY$2&amp;Demand_previous!$D$3:$AY$3, 0))/1000</f>
        <v>23.818884615384619</v>
      </c>
      <c r="AQ43" s="384">
        <f t="array" ref="AQ43">INDEX(Demand_previous!$D$4:$AY$138, MATCH('Staging Table'!$A43, Demand_previous!$B$4:$B$138, 0), MATCH(AQ$4&amp;AQ$5,Demand_previous!$D$2:$AY$2&amp;Demand_previous!$D$3:$AY$3, 0))/1000</f>
        <v>9.9971975000000057</v>
      </c>
      <c r="AR43" s="384">
        <f t="array" ref="AR43">INDEX(Demand_previous!$D$4:$AY$138, MATCH('Staging Table'!$A43, Demand_previous!$B$4:$B$138, 0), MATCH(AR$4&amp;AR$5,Demand_previous!$D$2:$AY$2&amp;Demand_previous!$D$3:$AY$3, 0))/1000</f>
        <v>7.8489567307692347</v>
      </c>
      <c r="AS43" s="384">
        <f t="array" ref="AS43">INDEX(Demand_previous!$D$4:$AY$138, MATCH('Staging Table'!$A43, Demand_previous!$B$4:$B$138, 0), MATCH(AS$4&amp;AS$5,Demand_previous!$D$2:$AY$2&amp;Demand_previous!$D$3:$AY$3, 0))/1000</f>
        <v>11.619310000000002</v>
      </c>
      <c r="AT43" s="384">
        <f t="array" ref="AT43">INDEX(Demand_previous!$D$4:$AY$138, MATCH('Staging Table'!$A43, Demand_previous!$B$4:$B$138, 0), MATCH(AT$4&amp;AT$5,Demand_previous!$D$2:$AY$2&amp;Demand_previous!$D$3:$AY$3, 0))/1000</f>
        <v>15.817185185185183</v>
      </c>
      <c r="AU43" s="384">
        <f t="array" ref="AU43">INDEX(Demand_previous!$D$4:$AY$138, MATCH('Staging Table'!$A43, Demand_previous!$B$4:$B$138, 0), MATCH(AU$4&amp;AU$5,Demand_previous!$D$2:$AY$2&amp;Demand_previous!$D$3:$AY$3, 0))/1000</f>
        <v>5.9974774999999951</v>
      </c>
      <c r="AV43" s="384">
        <f>IF($D43=0,IF(C43=0, MAX(AY43 - (VLOOKUP($A43,TOCA_previous!$A$2:$AI$137,MATCH("RHWM 2016",TOCA_previous!$A$2:$AI$2,0),FALSE)*$F$2*TOCA_previous!C40),0),0), 0)</f>
        <v>0</v>
      </c>
      <c r="AW43" s="427">
        <f>VLOOKUP($A43,REP_previous!$A$1:$D$135,MATCH("FY "&amp;$F$1&amp; " Total Refund",REP_previous!$A$1:$D$1,0),0)</f>
        <v>941696.04822817328</v>
      </c>
      <c r="AX43" s="398">
        <f>MIN(VLOOKUP($A43,TOCA_previous!$A$2:$AI$137,MATCH("TRL - NLSL - Exisiting Resource "&amp;$F$1,TOCA_previous!$A$2:$AI$2,0),FALSE)*$F$2,(VLOOKUP($A43,TOCA_previous!$A$2:$AI$137,MATCH("RHWM 2016",TOCA_previous!$A$2:$AI$2,0),FALSE)*$F$2))</f>
        <v>661312.22400000005</v>
      </c>
      <c r="AY43" s="384">
        <f>SUM(L43:AI43)+(F43*RT1SC!$C$3*$F$2)</f>
        <v>634435.98155660718</v>
      </c>
      <c r="AZ43" s="398">
        <f>VLOOKUP($A43,TOCA_previous!$A$2:$AI$137,MATCH("Above RHWM Not Served with LS "&amp;$F$1,TOCA_previous!$A$2:$AI$2,0),FALSE)*$F$2</f>
        <v>26606.736000000001</v>
      </c>
      <c r="BA43" s="206">
        <f t="shared" si="3"/>
        <v>-26876.242443392868</v>
      </c>
      <c r="BB43" s="399">
        <f>(VLOOKUP($A43,TOCA_previous!$A$2:$AI$137,MATCH("RHWM 2016",TOCA_previous!$A$2:$AI$2,0),FALSE)*$F$2) - $AX43</f>
        <v>0</v>
      </c>
      <c r="BC43" s="206">
        <f t="shared" si="4"/>
        <v>0</v>
      </c>
      <c r="BD43" s="400">
        <f t="shared" si="5"/>
        <v>269.50644339286737</v>
      </c>
      <c r="BE43" s="392">
        <f t="shared" si="6"/>
        <v>0</v>
      </c>
      <c r="BF43" s="399">
        <f t="shared" si="7"/>
        <v>269.50644339286737</v>
      </c>
      <c r="BG43" s="206">
        <f>VLOOKUP($A43,TOCA_current!$A$2:$AI$137,MATCH(BG$4,TOCA_current!$A$2:$AI$2,0),FALSE)</f>
        <v>1.07717E-2</v>
      </c>
      <c r="BH43" s="206">
        <f>VLOOKUP($A43,TOCA_current!$A$2:$AI$137,MATCH(BH$4,TOCA_current!$A$2:$AI$2,0),FALSE)</f>
        <v>1.07717E-2</v>
      </c>
      <c r="BI43" s="391">
        <f t="shared" si="8"/>
        <v>0</v>
      </c>
      <c r="BJ43" s="206">
        <f>VLOOKUP($A43,TOCA_current!A39:BG174,MATCH(BJ$4,TOCA_current!$A$2:$BG$2,0),FALSE)</f>
        <v>5.6357943000748582E-2</v>
      </c>
      <c r="BK43" s="206">
        <f t="shared" si="9"/>
        <v>0</v>
      </c>
      <c r="BL43" s="206">
        <f t="shared" si="10"/>
        <v>0</v>
      </c>
      <c r="BM43" s="381">
        <f>VLOOKUP($A43,IRD!$A$4:$G$139, 7, FALSE)</f>
        <v>0</v>
      </c>
      <c r="BN43" s="382">
        <f t="array" ref="BN43">IF($BI43=0, INDEX(LS_current!$D$4:$AY$139, MATCH('Staging Table'!$A43, LS_current!$B$4:$B$139, 0), MATCH(BN$4&amp;BN$5, LS_current!$D$2:$AY$2&amp;LS_current!$D$3:$AY$3, 0)),SUM(VLOOKUP($A43, LS_current!$B$4:$AY$139, LS_current!D$149, FALSE), VLOOKUP($A43, LS_current!$B$4:$AY$139,LS_current!D$149, FALSE))/2)</f>
        <v>-750.16806190375064</v>
      </c>
      <c r="BO43" s="382">
        <f t="array" ref="BO43">IF($BI43=0, INDEX(LS_current!$D$4:$AY$139, MATCH('Staging Table'!$A43, LS_current!$B$4:$B$139, 0), MATCH(BO$4&amp;BO$5, LS_current!$D$2:$AY$2&amp;LS_current!$D$3:$AY$3, 0)),SUM(VLOOKUP($A43, LS_current!$B$4:$AY$139, LS_current!E$149, FALSE), VLOOKUP($A43, LS_current!$B$4:$AY$139,LS_current!E$149, FALSE))/2)</f>
        <v>962.81133677277467</v>
      </c>
      <c r="BP43" s="382">
        <f t="array" ref="BP43">IF($BI43=0, INDEX(LS_current!$D$4:$AY$139, MATCH('Staging Table'!$A43, LS_current!$B$4:$B$139, 0), MATCH(BP$4&amp;BP$5, LS_current!$D$2:$AY$2&amp;LS_current!$D$3:$AY$3, 0)),SUM(VLOOKUP($A43, LS_current!$B$4:$AY$139, LS_current!F$149, FALSE), VLOOKUP($A43, LS_current!$B$4:$AY$139,LS_current!F$149, FALSE))/2)</f>
        <v>342.20481451672822</v>
      </c>
      <c r="BQ43" s="382">
        <f t="array" ref="BQ43">IF($BI43=0, INDEX(LS_current!$D$4:$AY$139, MATCH('Staging Table'!$A43, LS_current!$B$4:$B$139, 0), MATCH(BQ$4&amp;BQ$5, LS_current!$D$2:$AY$2&amp;LS_current!$D$3:$AY$3, 0)),SUM(VLOOKUP($A43, LS_current!$B$4:$AY$139, LS_current!G$149, FALSE), VLOOKUP($A43, LS_current!$B$4:$AY$139,LS_current!G$149, FALSE))/2)</f>
        <v>2485.868297938614</v>
      </c>
      <c r="BR43" s="382">
        <f t="array" ref="BR43">IF($BI43=0, INDEX(LS_current!$D$4:$AY$139, MATCH('Staging Table'!$A43, LS_current!$B$4:$B$139, 0), MATCH(BR$4&amp;BR$5, LS_current!$D$2:$AY$2&amp;LS_current!$D$3:$AY$3, 0)),SUM(VLOOKUP($A43, LS_current!$B$4:$AY$139, LS_current!H$149, FALSE), VLOOKUP($A43, LS_current!$B$4:$AY$139,LS_current!H$149, FALSE))/2)</f>
        <v>6809.215868538362</v>
      </c>
      <c r="BS43" s="382">
        <f t="array" ref="BS43">IF($BI43=0, INDEX(LS_current!$D$4:$AY$139, MATCH('Staging Table'!$A43, LS_current!$B$4:$B$139, 0), MATCH(BS$4&amp;BS$5, LS_current!$D$2:$AY$2&amp;LS_current!$D$3:$AY$3, 0)),SUM(VLOOKUP($A43, LS_current!$B$4:$AY$139, LS_current!I$149, FALSE), VLOOKUP($A43, LS_current!$B$4:$AY$139,LS_current!I$149, FALSE))/2)</f>
        <v>5815.9949147294792</v>
      </c>
      <c r="BT43" s="382">
        <f t="array" ref="BT43">IF($BI43=0, INDEX(LS_current!$D$4:$AY$139, MATCH('Staging Table'!$A43, LS_current!$B$4:$B$139, 0), MATCH(BT$4&amp;BT$5, LS_current!$D$2:$AY$2&amp;LS_current!$D$3:$AY$3, 0)),SUM(VLOOKUP($A43, LS_current!$B$4:$AY$139, LS_current!J$149, FALSE), VLOOKUP($A43, LS_current!$B$4:$AY$139,LS_current!J$149, FALSE))/2)</f>
        <v>11938.825251640897</v>
      </c>
      <c r="BU43" s="382">
        <f t="array" ref="BU43">IF($BI43=0, INDEX(LS_current!$D$4:$AY$139, MATCH('Staging Table'!$A43, LS_current!$B$4:$B$139, 0), MATCH(BU$4&amp;BU$5, LS_current!$D$2:$AY$2&amp;LS_current!$D$3:$AY$3, 0)),SUM(VLOOKUP($A43, LS_current!$B$4:$AY$139, LS_current!K$149, FALSE), VLOOKUP($A43, LS_current!$B$4:$AY$139,LS_current!K$149, FALSE))/2)</f>
        <v>9324.3583098601302</v>
      </c>
      <c r="BV43" s="382">
        <f t="array" ref="BV43">IF($BI43=0, INDEX(LS_current!$D$4:$AY$139, MATCH('Staging Table'!$A43, LS_current!$B$4:$B$139, 0), MATCH(BV$4&amp;BV$5, LS_current!$D$2:$AY$2&amp;LS_current!$D$3:$AY$3, 0)),SUM(VLOOKUP($A43, LS_current!$B$4:$AY$139, LS_current!L$149, FALSE), VLOOKUP($A43, LS_current!$B$4:$AY$139,LS_current!L$149, FALSE))/2)</f>
        <v>13518.534971093202</v>
      </c>
      <c r="BW43" s="382">
        <f t="array" ref="BW43">IF($BI43=0, INDEX(LS_current!$D$4:$AY$139, MATCH('Staging Table'!$A43, LS_current!$B$4:$B$139, 0), MATCH(BW$4&amp;BW$5, LS_current!$D$2:$AY$2&amp;LS_current!$D$3:$AY$3, 0)),SUM(VLOOKUP($A43, LS_current!$B$4:$AY$139, LS_current!M$149, FALSE), VLOOKUP($A43, LS_current!$B$4:$AY$139,LS_current!M$149, FALSE))/2)</f>
        <v>9270.5386084723759</v>
      </c>
      <c r="BX43" s="382">
        <f t="array" ref="BX43">IF($BI43=0, INDEX(LS_current!$D$4:$AY$139, MATCH('Staging Table'!$A43, LS_current!$B$4:$B$139, 0), MATCH(BX$4&amp;BX$5, LS_current!$D$2:$AY$2&amp;LS_current!$D$3:$AY$3, 0)),SUM(VLOOKUP($A43, LS_current!$B$4:$AY$139, LS_current!N$149, FALSE), VLOOKUP($A43, LS_current!$B$4:$AY$139,LS_current!N$149, FALSE))/2)</f>
        <v>4719.3817002811593</v>
      </c>
      <c r="BY43" s="382">
        <f t="array" ref="BY43">IF($BI43=0, INDEX(LS_current!$D$4:$AY$139, MATCH('Staging Table'!$A43, LS_current!$B$4:$B$139, 0), MATCH(BY$4&amp;BY$5, LS_current!$D$2:$AY$2&amp;LS_current!$D$3:$AY$3, 0)),SUM(VLOOKUP($A43, LS_current!$B$4:$AY$139, LS_current!O$149, FALSE), VLOOKUP($A43, LS_current!$B$4:$AY$139,LS_current!O$149, FALSE))/2)</f>
        <v>3627.3594783538283</v>
      </c>
      <c r="BZ43" s="382">
        <f t="array" ref="BZ43">IF($BI43=0, INDEX(LS_current!$D$4:$AY$139, MATCH('Staging Table'!$A43, LS_current!$B$4:$B$139, 0), MATCH(BZ$4&amp;BZ$5, LS_current!$D$2:$AY$2&amp;LS_current!$D$3:$AY$3, 0)),SUM(VLOOKUP($A43, LS_current!$B$4:$AY$139, LS_current!P$149, FALSE), VLOOKUP($A43, LS_current!$B$4:$AY$139,LS_current!P$149, FALSE))/2)</f>
        <v>322.86332946791299</v>
      </c>
      <c r="CA43" s="382">
        <f t="array" ref="CA43">IF($BI43=0, INDEX(LS_current!$D$4:$AY$139, MATCH('Staging Table'!$A43, LS_current!$B$4:$B$139, 0), MATCH(CA$4&amp;CA$5, LS_current!$D$2:$AY$2&amp;LS_current!$D$3:$AY$3, 0)),SUM(VLOOKUP($A43, LS_current!$B$4:$AY$139, LS_current!Q$149, FALSE), VLOOKUP($A43, LS_current!$B$4:$AY$139,LS_current!Q$149, FALSE))/2)</f>
        <v>2080.2146588079449</v>
      </c>
      <c r="CB43" s="382">
        <f t="array" ref="CB43">IF($BI43=0, INDEX(LS_current!$D$4:$AY$139, MATCH('Staging Table'!$A43, LS_current!$B$4:$B$139, 0), MATCH(CB$4&amp;CB$5, LS_current!$D$2:$AY$2&amp;LS_current!$D$3:$AY$3, 0)),SUM(VLOOKUP($A43, LS_current!$B$4:$AY$139, LS_current!R$149, FALSE), VLOOKUP($A43, LS_current!$B$4:$AY$139,LS_current!R$149, FALSE))/2)</f>
        <v>-20113.98609977341</v>
      </c>
      <c r="CC43" s="382">
        <f t="array" ref="CC43">IF($BI43=0, INDEX(LS_current!$D$4:$AY$139, MATCH('Staging Table'!$A43, LS_current!$B$4:$B$139, 0), MATCH(CC$4&amp;CC$5, LS_current!$D$2:$AY$2&amp;LS_current!$D$3:$AY$3, 0)),SUM(VLOOKUP($A43, LS_current!$B$4:$AY$139, LS_current!S$149, FALSE), VLOOKUP($A43, LS_current!$B$4:$AY$139,LS_current!S$149, FALSE))/2)</f>
        <v>-8994.3548287488265</v>
      </c>
      <c r="CD43" s="382">
        <f t="array" ref="CD43">IF($BI43=0, INDEX(LS_current!$D$4:$AY$139, MATCH('Staging Table'!$A43, LS_current!$B$4:$B$139, 0), MATCH(CD$4&amp;CD$5, LS_current!$D$2:$AY$2&amp;LS_current!$D$3:$AY$3, 0)),SUM(VLOOKUP($A43, LS_current!$B$4:$AY$139, LS_current!T$149, FALSE), VLOOKUP($A43, LS_current!$B$4:$AY$139,LS_current!T$149, FALSE))/2)</f>
        <v>-11511.233369967551</v>
      </c>
      <c r="CE43" s="382">
        <f t="array" ref="CE43">IF($BI43=0, INDEX(LS_current!$D$4:$AY$139, MATCH('Staging Table'!$A43, LS_current!$B$4:$B$139, 0), MATCH(CE$4&amp;CE$5, LS_current!$D$2:$AY$2&amp;LS_current!$D$3:$AY$3, 0)),SUM(VLOOKUP($A43, LS_current!$B$4:$AY$139, LS_current!U$149, FALSE), VLOOKUP($A43, LS_current!$B$4:$AY$139,LS_current!U$149, FALSE))/2)</f>
        <v>-4787.0578077555256</v>
      </c>
      <c r="CF43" s="382">
        <f t="array" ref="CF43">IF($BI43=0, INDEX(LS_current!$D$4:$AY$139, MATCH('Staging Table'!$A43, LS_current!$B$4:$B$139, 0), MATCH(CF$4&amp;CF$5, LS_current!$D$2:$AY$2&amp;LS_current!$D$3:$AY$3, 0)),SUM(VLOOKUP($A43, LS_current!$B$4:$AY$139, LS_current!V$149, FALSE), VLOOKUP($A43, LS_current!$B$4:$AY$139,LS_current!V$149, FALSE))/2)</f>
        <v>-8712.7156537433075</v>
      </c>
      <c r="CG43" s="382">
        <f t="array" ref="CG43">IF($BI43=0, INDEX(LS_current!$D$4:$AY$139, MATCH('Staging Table'!$A43, LS_current!$B$4:$B$139, 0), MATCH(CG$4&amp;CG$5, LS_current!$D$2:$AY$2&amp;LS_current!$D$3:$AY$3, 0)),SUM(VLOOKUP($A43, LS_current!$B$4:$AY$139, LS_current!W$149, FALSE), VLOOKUP($A43, LS_current!$B$4:$AY$139,LS_current!W$149, FALSE))/2)</f>
        <v>-2089.2700344307086</v>
      </c>
      <c r="CH43" s="382">
        <f t="array" ref="CH43">IF($BI43=0, INDEX(LS_current!$D$4:$AY$139, MATCH('Staging Table'!$A43, LS_current!$B$4:$B$139, 0), MATCH(CH$4&amp;CH$5, LS_current!$D$2:$AY$2&amp;LS_current!$D$3:$AY$3, 0)),SUM(VLOOKUP($A43, LS_current!$B$4:$AY$139, LS_current!X$149, FALSE), VLOOKUP($A43, LS_current!$B$4:$AY$139,LS_current!X$149, FALSE))/2)</f>
        <v>-11860.29686622501</v>
      </c>
      <c r="CI43" s="382">
        <f t="array" ref="CI43">IF($BI43=0, INDEX(LS_current!$D$4:$AY$139, MATCH('Staging Table'!$A43, LS_current!$B$4:$B$139, 0), MATCH(CI$4&amp;CI$5, LS_current!$D$2:$AY$2&amp;LS_current!$D$3:$AY$3, 0)),SUM(VLOOKUP($A43, LS_current!$B$4:$AY$139, LS_current!Y$149, FALSE), VLOOKUP($A43, LS_current!$B$4:$AY$139,LS_current!Y$149, FALSE))/2)</f>
        <v>-4194.2039304809587</v>
      </c>
      <c r="CJ43" s="382">
        <f t="array" ref="CJ43">IF($BI43=0, INDEX(LS_current!$D$4:$AY$139, MATCH('Staging Table'!$A43, LS_current!$B$4:$B$139, 0), MATCH(CJ$4&amp;CJ$5, LS_current!$D$2:$AY$2&amp;LS_current!$D$3:$AY$3, 0)),SUM(VLOOKUP($A43, LS_current!$B$4:$AY$139, LS_current!Z$149, FALSE), VLOOKUP($A43, LS_current!$B$4:$AY$139,LS_current!Z$149, FALSE))/2)</f>
        <v>-6323.1560907129206</v>
      </c>
      <c r="CK43" s="382">
        <f t="array" ref="CK43">IF($BI43=0, INDEX(LS_current!$D$4:$AY$139, MATCH('Staging Table'!$A43, LS_current!$B$4:$B$139, 0), MATCH(CK$4&amp;CK$5, LS_current!$D$2:$AY$2&amp;LS_current!$D$3:$AY$3, 0)),SUM(VLOOKUP($A43, LS_current!$B$4:$AY$139, LS_current!AA$149, FALSE), VLOOKUP($A43, LS_current!$B$4:$AY$139,LS_current!AA$149, FALSE))/2)</f>
        <v>-2335.0307220657141</v>
      </c>
      <c r="CL43" s="384">
        <f t="array" ref="CL43">INDEX(Demand_current!$D$4:$AY$138, MATCH($A43, Demand_current!$B$4:$B$138, 0), MATCH(CL$4&amp;CL$5,Demand_current!$D$2:$AY$2&amp;Demand_current!$D$3:$AY$3, 0))/1000</f>
        <v>6.6712764423076933</v>
      </c>
      <c r="CM43" s="384">
        <f t="array" ref="CM43">INDEX(Demand_current!$D$4:$AY$138, MATCH($A43, Demand_current!$B$4:$B$138, 0), MATCH(CM$4&amp;CM$5,Demand_current!$D$2:$AY$2&amp;Demand_current!$D$3:$AY$3, 0))/1000</f>
        <v>8.5876199999999869</v>
      </c>
      <c r="CN43" s="384">
        <f t="array" ref="CN43">INDEX(Demand_current!$D$4:$AY$138, MATCH($A43, Demand_current!$B$4:$B$138, 0), MATCH(CN$4&amp;CN$5,Demand_current!$D$2:$AY$2&amp;Demand_current!$D$3:$AY$3, 0))/1000</f>
        <v>30.421080000000011</v>
      </c>
      <c r="CO43" s="384">
        <f t="array" ref="CO43">INDEX(Demand_current!$D$4:$AY$138, MATCH($A43, Demand_current!$B$4:$B$138, 0), MATCH(CO$4&amp;CO$5,Demand_current!$D$2:$AY$2&amp;Demand_current!$D$3:$AY$3, 0))/1000</f>
        <v>38.387721153846151</v>
      </c>
      <c r="CP43" s="384">
        <f t="array" ref="CP43">INDEX(Demand_current!$D$4:$AY$138, MATCH($A43, Demand_current!$B$4:$B$138, 0), MATCH(CP$4&amp;CP$5,Demand_current!$D$2:$AY$2&amp;Demand_current!$D$3:$AY$3, 0))/1000</f>
        <v>30.964953125000001</v>
      </c>
      <c r="CQ43" s="384">
        <f t="array" ref="CQ43">INDEX(Demand_current!$D$4:$AY$138, MATCH($A43, Demand_current!$B$4:$B$138, 0), MATCH(CQ$4&amp;CQ$5,Demand_current!$D$2:$AY$2&amp;Demand_current!$D$3:$AY$3, 0))/1000</f>
        <v>32.049703703703692</v>
      </c>
      <c r="CR43" s="384">
        <f t="array" ref="CR43">INDEX(Demand_current!$D$4:$AY$138, MATCH($A43, Demand_current!$B$4:$B$138, 0), MATCH(CR$4&amp;CR$5,Demand_current!$D$2:$AY$2&amp;Demand_current!$D$3:$AY$3, 0))/1000</f>
        <v>20.677000000000007</v>
      </c>
      <c r="CS43" s="384">
        <f t="array" ref="CS43">INDEX(Demand_current!$D$4:$AY$138, MATCH($A43, Demand_current!$B$4:$B$138, 0), MATCH(CS$4&amp;CS$5,Demand_current!$D$2:$AY$2&amp;Demand_current!$D$3:$AY$3, 0))/1000</f>
        <v>12.557843749999996</v>
      </c>
      <c r="CT43" s="384">
        <f t="array" ref="CT43">INDEX(Demand_current!$D$4:$AY$138, MATCH($A43, Demand_current!$B$4:$B$138, 0), MATCH(CT$4&amp;CT$5,Demand_current!$D$2:$AY$2&amp;Demand_current!$D$3:$AY$3, 0))/1000</f>
        <v>7.8489567307692347</v>
      </c>
      <c r="CU43" s="384">
        <f t="array" ref="CU43">INDEX(Demand_current!$D$4:$AY$138, MATCH($A43, Demand_current!$B$4:$B$138, 0), MATCH(CU$4&amp;CU$5,Demand_current!$D$2:$AY$2&amp;Demand_current!$D$3:$AY$3, 0))/1000</f>
        <v>11.619310000000002</v>
      </c>
      <c r="CV43" s="384">
        <f t="array" ref="CV43">INDEX(Demand_current!$D$4:$AY$138, MATCH($A43, Demand_current!$B$4:$B$138, 0), MATCH(CV$4&amp;CV$5,Demand_current!$D$2:$AY$2&amp;Demand_current!$D$3:$AY$3, 0))/1000</f>
        <v>15.817185185185183</v>
      </c>
      <c r="CW43" s="384">
        <f t="array" ref="CW43">INDEX(Demand_current!$D$4:$AY$138, MATCH($A43, Demand_current!$B$4:$B$138, 0), MATCH(CW$4&amp;CW$5,Demand_current!$D$2:$AY$2&amp;Demand_current!$D$3:$AY$3, 0))/1000</f>
        <v>3.2432890624999899</v>
      </c>
      <c r="CX43" s="384">
        <f>IF(D43=0,IF(C43=0,MAX(0,DA43 - (VLOOKUP($A43,TOCA_current!$A$2:$AI$137,MATCH("RHWM 2018",TOCA_current!$A$2:$AI$2,0),FALSE)*$BH$2)), 0),0)</f>
        <v>0</v>
      </c>
      <c r="CY43" s="427">
        <f>VLOOKUP($A43,REP_current!$A$1:$D$135,MATCH("FY "&amp;$BH$1&amp; " Total Refund",REP_current!$A$1:$D$1,0),0)</f>
        <v>947867.86706278101</v>
      </c>
      <c r="CZ43" s="432">
        <f>MIN(VLOOKUP($A43,TOCA_current!$A$2:$AI$137,MATCH("TRL - NLSL - Existing Resource "&amp;$BH$1,TOCA_current!$A$2:$AI$2,0),FALSE)*$BH$2, VLOOKUP($A43,TOCA_current!$A$2:$AI$137,MATCH("RHWM 2018",TOCA_current!$A$2:$AI$2,0),FALSE)*$BH$2)</f>
        <v>655318.08000000007</v>
      </c>
      <c r="DA43" s="397">
        <f>SUM(BN43:CK43)+(BH43*RT1SC!$C$4*$BH$2)</f>
        <v>644863.00556049775</v>
      </c>
      <c r="DB43" s="432">
        <f>VLOOKUP($A43,TOCA_current!$A$2:$AI$137,MATCH("Above RHWM Not Served with LS "&amp;$BH$1,TOCA_current!$A$2:$AI$2,0),FALSE)*$BH$2</f>
        <v>16179.72</v>
      </c>
      <c r="DC43" s="401">
        <f t="shared" si="11"/>
        <v>-10455.074439502321</v>
      </c>
      <c r="DD43" s="397">
        <f>(VLOOKUP($A43,TOCA_current!$A$2:$AI$137,MATCH("RHWM 2018",TOCA_current!$A$2:$AI$2,0),FALSE)*$BH$2) - $CZ43</f>
        <v>0</v>
      </c>
      <c r="DE43" s="397">
        <f t="shared" si="12"/>
        <v>0</v>
      </c>
      <c r="DF43" s="397">
        <f t="shared" si="13"/>
        <v>0</v>
      </c>
      <c r="DG43" s="397">
        <f t="shared" si="14"/>
        <v>0</v>
      </c>
      <c r="DH43" s="397">
        <f t="shared" si="15"/>
        <v>0</v>
      </c>
    </row>
    <row r="44" spans="1:112">
      <c r="A44" s="274">
        <v>10103</v>
      </c>
      <c r="B44" s="275" t="s">
        <v>45</v>
      </c>
      <c r="C44" s="397">
        <v>0</v>
      </c>
      <c r="D44" s="397">
        <v>1</v>
      </c>
      <c r="E44" s="205">
        <f>VLOOKUP($A44,TOCA_previous!$A$2:$AI$137,MATCH(E$4,TOCA_previous!$A$2:$AI$2,0),FALSE)</f>
        <v>4.25583E-2</v>
      </c>
      <c r="F44" s="206">
        <f>VLOOKUP($A44,TOCA_previous!$A$2:$AI$137,MATCH(F$4,TOCA_previous!$A$2:$AI$2,0),FALSE)</f>
        <v>2.0706599999999999E-2</v>
      </c>
      <c r="G44" s="206">
        <f t="shared" si="0"/>
        <v>2.1851700000000002E-2</v>
      </c>
      <c r="H44" s="206">
        <f>VLOOKUP($A44,TOCA_previous!$A$2:$AI$137,MATCH(H$4,TOCA_previous!$A$2:$AI$2,0),FALSE)</f>
        <v>0</v>
      </c>
      <c r="I44" s="206">
        <f t="shared" si="1"/>
        <v>0</v>
      </c>
      <c r="J44" s="206">
        <f t="shared" si="2"/>
        <v>0</v>
      </c>
      <c r="K44" s="381">
        <f>VLOOKUP(A44, IRD!$A$5:$C$139, 3, FALSE)</f>
        <v>0</v>
      </c>
      <c r="L44" s="382">
        <f t="array" ref="L44">IF($G44=0, INDEX(LS_previous!$D$4:$AY$138, MATCH('Staging Table'!$A44, LS_previous!$B$4:$B$138, 0), MATCH(L$4&amp;L$5, LS_previous!$D$2:$AY$2&amp;LS_previous!$D$3:$AY$3, 0)),SUM(VLOOKUP($A44, LS_previous!$B$4:$AY$138, LS_previous!D$149, FALSE), VLOOKUP('Staging Table'!$A44, LS_previous!$B$4:$AY$138,LS_previous!AB$149, FALSE))/2)</f>
        <v>-11720.488925741276</v>
      </c>
      <c r="M44" s="382">
        <f t="array" ref="M44">IF($G44=0, INDEX(LS_previous!$D$4:$AY$138, MATCH('Staging Table'!$A44, LS_previous!$B$4:$B$138, 0), MATCH(M$4&amp;M$5, LS_previous!$D$2:$AY$2&amp;LS_previous!$D$3:$AY$3, 0)),SUM(VLOOKUP($A44, LS_previous!$B$4:$AY$138, LS_previous!E$149, FALSE), VLOOKUP('Staging Table'!$A44, LS_previous!$B$4:$AY$138,LS_previous!AC$149, FALSE))/2)</f>
        <v>3025.9575218318023</v>
      </c>
      <c r="N44" s="382">
        <f t="array" ref="N44">IF($G44=0, INDEX(LS_previous!$D$4:$AY$138, MATCH('Staging Table'!$A44, LS_previous!$B$4:$B$138, 0), MATCH(N$4&amp;N$5, LS_previous!$D$2:$AY$2&amp;LS_previous!$D$3:$AY$3, 0)),SUM(VLOOKUP($A44, LS_previous!$B$4:$AY$138, LS_previous!F$149, FALSE), VLOOKUP('Staging Table'!$A44, LS_previous!$B$4:$AY$138,LS_previous!AD$149, FALSE))/2)</f>
        <v>-8674.3227796885294</v>
      </c>
      <c r="O44" s="382">
        <f t="array" ref="O44">IF($G44=0, INDEX(LS_previous!$D$4:$AY$138, MATCH('Staging Table'!$A44, LS_previous!$B$4:$B$138, 0), MATCH(O$4&amp;O$5, LS_previous!$D$2:$AY$2&amp;LS_previous!$D$3:$AY$3, 0)),SUM(VLOOKUP($A44, LS_previous!$B$4:$AY$138, LS_previous!G$149, FALSE), VLOOKUP('Staging Table'!$A44, LS_previous!$B$4:$AY$138,LS_previous!AE$149, FALSE))/2)</f>
        <v>10345.985398802499</v>
      </c>
      <c r="P44" s="382">
        <f t="array" ref="P44">IF($G44=0, INDEX(LS_previous!$D$4:$AY$138, MATCH('Staging Table'!$A44, LS_previous!$B$4:$B$138, 0), MATCH(P$4&amp;P$5, LS_previous!$D$2:$AY$2&amp;LS_previous!$D$3:$AY$3, 0)),SUM(VLOOKUP($A44, LS_previous!$B$4:$AY$138, LS_previous!H$149, FALSE), VLOOKUP('Staging Table'!$A44, LS_previous!$B$4:$AY$138,LS_previous!AF$149, FALSE))/2)</f>
        <v>12431.533718819715</v>
      </c>
      <c r="Q44" s="382">
        <f t="array" ref="Q44">IF($G44=0, INDEX(LS_previous!$D$4:$AY$138, MATCH('Staging Table'!$A44, LS_previous!$B$4:$B$138, 0), MATCH(Q$4&amp;Q$5, LS_previous!$D$2:$AY$2&amp;LS_previous!$D$3:$AY$3, 0)),SUM(VLOOKUP($A44, LS_previous!$B$4:$AY$138, LS_previous!I$149, FALSE), VLOOKUP('Staging Table'!$A44, LS_previous!$B$4:$AY$138,LS_previous!AG$149, FALSE))/2)</f>
        <v>22094.408841477758</v>
      </c>
      <c r="R44" s="382">
        <f t="array" ref="R44">IF($G44=0, INDEX(LS_previous!$D$4:$AY$138, MATCH('Staging Table'!$A44, LS_previous!$B$4:$B$138, 0), MATCH(R$4&amp;R$5, LS_previous!$D$2:$AY$2&amp;LS_previous!$D$3:$AY$3, 0)),SUM(VLOOKUP($A44, LS_previous!$B$4:$AY$138, LS_previous!J$149, FALSE), VLOOKUP('Staging Table'!$A44, LS_previous!$B$4:$AY$138,LS_previous!AH$149, FALSE))/2)</f>
        <v>20309.046009677637</v>
      </c>
      <c r="S44" s="382">
        <f t="array" ref="S44">IF($G44=0, INDEX(LS_previous!$D$4:$AY$138, MATCH('Staging Table'!$A44, LS_previous!$B$4:$B$138, 0), MATCH(S$4&amp;S$5, LS_previous!$D$2:$AY$2&amp;LS_previous!$D$3:$AY$3, 0)),SUM(VLOOKUP($A44, LS_previous!$B$4:$AY$138, LS_previous!K$149, FALSE), VLOOKUP('Staging Table'!$A44, LS_previous!$B$4:$AY$138,LS_previous!AI$149, FALSE))/2)</f>
        <v>32384.981531148402</v>
      </c>
      <c r="T44" s="382">
        <f t="array" ref="T44">IF($G44=0, INDEX(LS_previous!$D$4:$AY$138, MATCH('Staging Table'!$A44, LS_previous!$B$4:$B$138, 0), MATCH(T$4&amp;T$5, LS_previous!$D$2:$AY$2&amp;LS_previous!$D$3:$AY$3, 0)),SUM(VLOOKUP($A44, LS_previous!$B$4:$AY$138, LS_previous!L$149, FALSE), VLOOKUP('Staging Table'!$A44, LS_previous!$B$4:$AY$138,LS_previous!AJ$149, FALSE))/2)</f>
        <v>7792.8061135362695</v>
      </c>
      <c r="U44" s="382">
        <f t="array" ref="U44">IF($G44=0, INDEX(LS_previous!$D$4:$AY$138, MATCH('Staging Table'!$A44, LS_previous!$B$4:$B$138, 0), MATCH(U$4&amp;U$5, LS_previous!$D$2:$AY$2&amp;LS_previous!$D$3:$AY$3, 0)),SUM(VLOOKUP($A44, LS_previous!$B$4:$AY$138, LS_previous!M$149, FALSE), VLOOKUP('Staging Table'!$A44, LS_previous!$B$4:$AY$138,LS_previous!AK$149, FALSE))/2)</f>
        <v>13982.638823678888</v>
      </c>
      <c r="V44" s="382">
        <f t="array" ref="V44">IF($G44=0, INDEX(LS_previous!$D$4:$AY$138, MATCH('Staging Table'!$A44, LS_previous!$B$4:$B$138, 0), MATCH(V$4&amp;V$5, LS_previous!$D$2:$AY$2&amp;LS_previous!$D$3:$AY$3, 0)),SUM(VLOOKUP($A44, LS_previous!$B$4:$AY$138, LS_previous!N$149, FALSE), VLOOKUP('Staging Table'!$A44, LS_previous!$B$4:$AY$138,LS_previous!AL$149, FALSE))/2)</f>
        <v>-5888.5964671578404</v>
      </c>
      <c r="W44" s="382">
        <f t="array" ref="W44">IF($G44=0, INDEX(LS_previous!$D$4:$AY$138, MATCH('Staging Table'!$A44, LS_previous!$B$4:$B$138, 0), MATCH(W$4&amp;W$5, LS_previous!$D$2:$AY$2&amp;LS_previous!$D$3:$AY$3, 0)),SUM(VLOOKUP($A44, LS_previous!$B$4:$AY$138, LS_previous!O$149, FALSE), VLOOKUP('Staging Table'!$A44, LS_previous!$B$4:$AY$138,LS_previous!AM$149, FALSE))/2)</f>
        <v>3174.8995979590109</v>
      </c>
      <c r="X44" s="382">
        <f t="array" ref="X44">IF($G44=0, INDEX(LS_previous!$D$4:$AY$138, MATCH('Staging Table'!$A44, LS_previous!$B$4:$B$138, 0), MATCH(X$4&amp;X$5, LS_previous!$D$2:$AY$2&amp;LS_previous!$D$3:$AY$3, 0)),SUM(VLOOKUP($A44, LS_previous!$B$4:$AY$138, LS_previous!P$149, FALSE), VLOOKUP('Staging Table'!$A44, LS_previous!$B$4:$AY$138,LS_previous!AN$149, FALSE))/2)</f>
        <v>-6457.0025245783763</v>
      </c>
      <c r="Y44" s="382">
        <f t="array" ref="Y44">IF($G44=0, INDEX(LS_previous!$D$4:$AY$138, MATCH('Staging Table'!$A44, LS_previous!$B$4:$B$138, 0), MATCH(Y$4&amp;Y$5, LS_previous!$D$2:$AY$2&amp;LS_previous!$D$3:$AY$3, 0)),SUM(VLOOKUP($A44, LS_previous!$B$4:$AY$138, LS_previous!Q$149, FALSE), VLOOKUP('Staging Table'!$A44, LS_previous!$B$4:$AY$138,LS_previous!AO$149, FALSE))/2)</f>
        <v>3641.1031752823073</v>
      </c>
      <c r="Z44" s="382">
        <f t="array" ref="Z44">IF($G44=0, INDEX(LS_previous!$D$4:$AY$138, MATCH('Staging Table'!$A44, LS_previous!$B$4:$B$138, 0), MATCH(Z$4&amp;Z$5, LS_previous!$D$2:$AY$2&amp;LS_previous!$D$3:$AY$3, 0)),SUM(VLOOKUP($A44, LS_previous!$B$4:$AY$138, LS_previous!R$149, FALSE), VLOOKUP('Staging Table'!$A44, LS_previous!$B$4:$AY$138,LS_previous!AP$149, FALSE))/2)</f>
        <v>-24177.780357555108</v>
      </c>
      <c r="AA44" s="382">
        <f t="array" ref="AA44">IF($G44=0, INDEX(LS_previous!$D$4:$AY$138, MATCH('Staging Table'!$A44, LS_previous!$B$4:$B$138, 0), MATCH(AA$4&amp;AA$5, LS_previous!$D$2:$AY$2&amp;LS_previous!$D$3:$AY$3, 0)),SUM(VLOOKUP($A44, LS_previous!$B$4:$AY$138, LS_previous!S$149, FALSE), VLOOKUP('Staging Table'!$A44, LS_previous!$B$4:$AY$138,LS_previous!AQ$149, FALSE))/2)</f>
        <v>4374.3613221973828</v>
      </c>
      <c r="AB44" s="382">
        <f t="array" ref="AB44">IF($G44=0, INDEX(LS_previous!$D$4:$AY$138, MATCH('Staging Table'!$A44, LS_previous!$B$4:$B$138, 0), MATCH(AB$4&amp;AB$5, LS_previous!$D$2:$AY$2&amp;LS_previous!$D$3:$AY$3, 0)),SUM(VLOOKUP($A44, LS_previous!$B$4:$AY$138, LS_previous!T$149, FALSE), VLOOKUP('Staging Table'!$A44, LS_previous!$B$4:$AY$138,LS_previous!AR$149, FALSE))/2)</f>
        <v>-24713.111112271854</v>
      </c>
      <c r="AC44" s="382">
        <f t="array" ref="AC44">IF($G44=0, INDEX(LS_previous!$D$4:$AY$138, MATCH('Staging Table'!$A44, LS_previous!$B$4:$B$138, 0), MATCH(AC$4&amp;AC$5, LS_previous!$D$2:$AY$2&amp;LS_previous!$D$3:$AY$3, 0)),SUM(VLOOKUP($A44, LS_previous!$B$4:$AY$138, LS_previous!U$149, FALSE), VLOOKUP('Staging Table'!$A44, LS_previous!$B$4:$AY$138,LS_previous!AS$149, FALSE))/2)</f>
        <v>-5998.6065756179196</v>
      </c>
      <c r="AD44" s="382">
        <f t="array" ref="AD44">IF($G44=0, INDEX(LS_previous!$D$4:$AY$138, MATCH('Staging Table'!$A44, LS_previous!$B$4:$B$138, 0), MATCH(AD$4&amp;AD$5, LS_previous!$D$2:$AY$2&amp;LS_previous!$D$3:$AY$3, 0)),SUM(VLOOKUP($A44, LS_previous!$B$4:$AY$138, LS_previous!V$149, FALSE), VLOOKUP('Staging Table'!$A44, LS_previous!$B$4:$AY$138,LS_previous!AT$149, FALSE))/2)</f>
        <v>-18802.017368146149</v>
      </c>
      <c r="AE44" s="382">
        <f t="array" ref="AE44">IF($G44=0, INDEX(LS_previous!$D$4:$AY$138, MATCH('Staging Table'!$A44, LS_previous!$B$4:$B$138, 0), MATCH(AE$4&amp;AE$5, LS_previous!$D$2:$AY$2&amp;LS_previous!$D$3:$AY$3, 0)),SUM(VLOOKUP($A44, LS_previous!$B$4:$AY$138, LS_previous!W$149, FALSE), VLOOKUP('Staging Table'!$A44, LS_previous!$B$4:$AY$138,LS_previous!AU$149, FALSE))/2)</f>
        <v>5953.3926309343842</v>
      </c>
      <c r="AF44" s="382">
        <f t="array" ref="AF44">IF($G44=0, INDEX(LS_previous!$D$4:$AY$138, MATCH('Staging Table'!$A44, LS_previous!$B$4:$B$138, 0), MATCH(AF$4&amp;AF$5, LS_previous!$D$2:$AY$2&amp;LS_previous!$D$3:$AY$3, 0)),SUM(VLOOKUP($A44, LS_previous!$B$4:$AY$138, LS_previous!X$149, FALSE), VLOOKUP('Staging Table'!$A44, LS_previous!$B$4:$AY$138,LS_previous!AV$149, FALSE))/2)</f>
        <v>-18851.04356259431</v>
      </c>
      <c r="AG44" s="382">
        <f t="array" ref="AG44">IF($G44=0, INDEX(LS_previous!$D$4:$AY$138, MATCH('Staging Table'!$A44, LS_previous!$B$4:$B$138, 0), MATCH(AG$4&amp;AG$5, LS_previous!$D$2:$AY$2&amp;LS_previous!$D$3:$AY$3, 0)),SUM(VLOOKUP($A44, LS_previous!$B$4:$AY$138, LS_previous!Y$149, FALSE), VLOOKUP('Staging Table'!$A44, LS_previous!$B$4:$AY$138,LS_previous!AW$149, FALSE))/2)</f>
        <v>1962.4680755680529</v>
      </c>
      <c r="AH44" s="382">
        <f t="array" ref="AH44">IF($G44=0, INDEX(LS_previous!$D$4:$AY$138, MATCH('Staging Table'!$A44, LS_previous!$B$4:$B$138, 0), MATCH(AH$4&amp;AH$5, LS_previous!$D$2:$AY$2&amp;LS_previous!$D$3:$AY$3, 0)),SUM(VLOOKUP($A44, LS_previous!$B$4:$AY$138, LS_previous!Z$149, FALSE), VLOOKUP('Staging Table'!$A44, LS_previous!$B$4:$AY$138,LS_previous!AX$149, FALSE))/2)</f>
        <v>-14544.286892367178</v>
      </c>
      <c r="AI44" s="382">
        <f t="array" ref="AI44">IF($G44=0, INDEX(LS_previous!$D$4:$AY$138, MATCH('Staging Table'!$A44, LS_previous!$B$4:$B$138, 0), MATCH(AI$4&amp;AI$5, LS_previous!$D$2:$AY$2&amp;LS_previous!$D$3:$AY$3, 0)),SUM(VLOOKUP($A44, LS_previous!$B$4:$AY$138, LS_previous!AA$149, FALSE), VLOOKUP('Staging Table'!$A44, LS_previous!$B$4:$AY$138,LS_previous!AY$149, FALSE))/2)</f>
        <v>-1646.3536225158823</v>
      </c>
      <c r="AJ44" s="384">
        <f t="array" ref="AJ44">INDEX(Demand_previous!$D$4:$AY$138, MATCH('Staging Table'!$A44, Demand_previous!$B$4:$B$138, 0), MATCH(AJ$4&amp;AJ$5,Demand_previous!$D$2:$AY$2&amp;Demand_previous!$D$3:$AY$3, 0))/1000</f>
        <v>0</v>
      </c>
      <c r="AK44" s="384">
        <f t="array" ref="AK44">INDEX(Demand_previous!$D$4:$AY$138, MATCH('Staging Table'!$A44, Demand_previous!$B$4:$B$138, 0), MATCH(AK$4&amp;AK$5,Demand_previous!$D$2:$AY$2&amp;Demand_previous!$D$3:$AY$3, 0))/1000</f>
        <v>0</v>
      </c>
      <c r="AL44" s="384">
        <f t="array" ref="AL44">INDEX(Demand_previous!$D$4:$AY$138, MATCH('Staging Table'!$A44, Demand_previous!$B$4:$B$138, 0), MATCH(AL$4&amp;AL$5,Demand_previous!$D$2:$AY$2&amp;Demand_previous!$D$3:$AY$3, 0))/1000</f>
        <v>0</v>
      </c>
      <c r="AM44" s="384">
        <f t="array" ref="AM44">INDEX(Demand_previous!$D$4:$AY$138, MATCH('Staging Table'!$A44, Demand_previous!$B$4:$B$138, 0), MATCH(AM$4&amp;AM$5,Demand_previous!$D$2:$AY$2&amp;Demand_previous!$D$3:$AY$3, 0))/1000</f>
        <v>0</v>
      </c>
      <c r="AN44" s="384">
        <f t="array" ref="AN44">INDEX(Demand_previous!$D$4:$AY$138, MATCH('Staging Table'!$A44, Demand_previous!$B$4:$B$138, 0), MATCH(AN$4&amp;AN$5,Demand_previous!$D$2:$AY$2&amp;Demand_previous!$D$3:$AY$3, 0))/1000</f>
        <v>0</v>
      </c>
      <c r="AO44" s="384">
        <f t="array" ref="AO44">INDEX(Demand_previous!$D$4:$AY$138, MATCH('Staging Table'!$A44, Demand_previous!$B$4:$B$138, 0), MATCH(AO$4&amp;AO$5,Demand_previous!$D$2:$AY$2&amp;Demand_previous!$D$3:$AY$3, 0))/1000</f>
        <v>0</v>
      </c>
      <c r="AP44" s="384">
        <f t="array" ref="AP44">INDEX(Demand_previous!$D$4:$AY$138, MATCH('Staging Table'!$A44, Demand_previous!$B$4:$B$138, 0), MATCH(AP$4&amp;AP$5,Demand_previous!$D$2:$AY$2&amp;Demand_previous!$D$3:$AY$3, 0))/1000</f>
        <v>0</v>
      </c>
      <c r="AQ44" s="384">
        <f t="array" ref="AQ44">INDEX(Demand_previous!$D$4:$AY$138, MATCH('Staging Table'!$A44, Demand_previous!$B$4:$B$138, 0), MATCH(AQ$4&amp;AQ$5,Demand_previous!$D$2:$AY$2&amp;Demand_previous!$D$3:$AY$3, 0))/1000</f>
        <v>0</v>
      </c>
      <c r="AR44" s="384">
        <f t="array" ref="AR44">INDEX(Demand_previous!$D$4:$AY$138, MATCH('Staging Table'!$A44, Demand_previous!$B$4:$B$138, 0), MATCH(AR$4&amp;AR$5,Demand_previous!$D$2:$AY$2&amp;Demand_previous!$D$3:$AY$3, 0))/1000</f>
        <v>0</v>
      </c>
      <c r="AS44" s="384">
        <f t="array" ref="AS44">INDEX(Demand_previous!$D$4:$AY$138, MATCH('Staging Table'!$A44, Demand_previous!$B$4:$B$138, 0), MATCH(AS$4&amp;AS$5,Demand_previous!$D$2:$AY$2&amp;Demand_previous!$D$3:$AY$3, 0))/1000</f>
        <v>0</v>
      </c>
      <c r="AT44" s="384">
        <f t="array" ref="AT44">INDEX(Demand_previous!$D$4:$AY$138, MATCH('Staging Table'!$A44, Demand_previous!$B$4:$B$138, 0), MATCH(AT$4&amp;AT$5,Demand_previous!$D$2:$AY$2&amp;Demand_previous!$D$3:$AY$3, 0))/1000</f>
        <v>0</v>
      </c>
      <c r="AU44" s="384">
        <f t="array" ref="AU44">INDEX(Demand_previous!$D$4:$AY$138, MATCH('Staging Table'!$A44, Demand_previous!$B$4:$B$138, 0), MATCH(AU$4&amp;AU$5,Demand_previous!$D$2:$AY$2&amp;Demand_previous!$D$3:$AY$3, 0))/1000</f>
        <v>0</v>
      </c>
      <c r="AV44" s="384">
        <f>IF($D44=0,IF(C44=0, MAX(AY44 - (VLOOKUP($A44,TOCA_previous!$A$2:$AI$137,MATCH("RHWM 2016",TOCA_previous!$A$2:$AI$2,0),FALSE)*$F$2*TOCA_previous!C41),0),0), 0)</f>
        <v>0</v>
      </c>
      <c r="AW44" s="427">
        <f>VLOOKUP($A44,REP_previous!$A$1:$D$135,MATCH("FY "&amp;$F$1&amp; " Total Refund",REP_previous!$A$1:$D$1,0),0)</f>
        <v>4028510.8490117984</v>
      </c>
      <c r="AX44" s="398">
        <f>MIN(VLOOKUP($A44,TOCA_previous!$A$2:$AI$137,MATCH("TRL - NLSL - Exisiting Resource "&amp;$F$1,TOCA_previous!$A$2:$AI$2,0),FALSE)*$F$2,(VLOOKUP($A44,TOCA_previous!$A$2:$AI$137,MATCH("RHWM 2016",TOCA_previous!$A$2:$AI$2,0),FALSE)*$F$2))</f>
        <v>2610499.392</v>
      </c>
      <c r="AY44" s="384">
        <f>SUM(L44:AI44)+(F44*RT1SC!$C$3*$F$2)</f>
        <v>1270130.7785837036</v>
      </c>
      <c r="AZ44" s="398">
        <f>VLOOKUP($A44,TOCA_previous!$A$2:$AI$137,MATCH("Above RHWM Not Served with LS "&amp;$F$1,TOCA_previous!$A$2:$AI$2,0),FALSE)*$F$2</f>
        <v>0</v>
      </c>
      <c r="BA44" s="206">
        <f t="shared" si="3"/>
        <v>-1340368.6134162964</v>
      </c>
      <c r="BB44" s="399">
        <f>(VLOOKUP($A44,TOCA_previous!$A$2:$AI$137,MATCH("RHWM 2016",TOCA_previous!$A$2:$AI$2,0),FALSE)*$F$2) - $AX44</f>
        <v>159851.23200000031</v>
      </c>
      <c r="BC44" s="206">
        <f t="shared" si="4"/>
        <v>0</v>
      </c>
      <c r="BD44" s="400">
        <f t="shared" si="5"/>
        <v>1340368.6134162964</v>
      </c>
      <c r="BE44" s="392">
        <f t="shared" si="6"/>
        <v>0</v>
      </c>
      <c r="BF44" s="399">
        <f t="shared" si="7"/>
        <v>0</v>
      </c>
      <c r="BG44" s="206">
        <f>VLOOKUP($A44,TOCA_current!$A$2:$AI$137,MATCH(BG$4,TOCA_current!$A$2:$AI$2,0),FALSE)</f>
        <v>4.3004800000000003E-2</v>
      </c>
      <c r="BH44" s="206">
        <f>VLOOKUP($A44,TOCA_current!$A$2:$AI$137,MATCH(BH$4,TOCA_current!$A$2:$AI$2,0),FALSE)</f>
        <v>2.1171600000000002E-2</v>
      </c>
      <c r="BI44" s="391">
        <f t="shared" si="8"/>
        <v>2.1833200000000001E-2</v>
      </c>
      <c r="BJ44" s="206">
        <f>VLOOKUP($A44,TOCA_current!A40:BG175,MATCH(BJ$4,TOCA_current!$A$2:$BG$2,0),FALSE)</f>
        <v>0</v>
      </c>
      <c r="BK44" s="206">
        <f t="shared" si="9"/>
        <v>0</v>
      </c>
      <c r="BL44" s="206">
        <f t="shared" si="10"/>
        <v>0</v>
      </c>
      <c r="BM44" s="381">
        <f>VLOOKUP($A44,IRD!$A$4:$G$139, 7, FALSE)</f>
        <v>0</v>
      </c>
      <c r="BN44" s="382">
        <f t="array" ref="BN44">IF($BI44=0, INDEX(LS_current!$D$4:$AY$139, MATCH('Staging Table'!$A44, LS_current!$B$4:$B$139, 0), MATCH(BN$4&amp;BN$5, LS_current!$D$2:$AY$2&amp;LS_current!$D$3:$AY$3, 0)),SUM(VLOOKUP($A44, LS_current!$B$4:$AY$139, LS_current!D$149, FALSE), VLOOKUP($A44, LS_current!$B$4:$AY$139,LS_current!D$149, FALSE))/2)</f>
        <v>-14230.681753465251</v>
      </c>
      <c r="BO44" s="382">
        <f t="array" ref="BO44">IF($BI44=0, INDEX(LS_current!$D$4:$AY$139, MATCH('Staging Table'!$A44, LS_current!$B$4:$B$139, 0), MATCH(BO$4&amp;BO$5, LS_current!$D$2:$AY$2&amp;LS_current!$D$3:$AY$3, 0)),SUM(VLOOKUP($A44, LS_current!$B$4:$AY$139, LS_current!E$149, FALSE), VLOOKUP($A44, LS_current!$B$4:$AY$139,LS_current!E$149, FALSE))/2)</f>
        <v>4984.484183259694</v>
      </c>
      <c r="BP44" s="382">
        <f t="array" ref="BP44">IF($BI44=0, INDEX(LS_current!$D$4:$AY$139, MATCH('Staging Table'!$A44, LS_current!$B$4:$B$139, 0), MATCH(BP$4&amp;BP$5, LS_current!$D$2:$AY$2&amp;LS_current!$D$3:$AY$3, 0)),SUM(VLOOKUP($A44, LS_current!$B$4:$AY$139, LS_current!F$149, FALSE), VLOOKUP($A44, LS_current!$B$4:$AY$139,LS_current!F$149, FALSE))/2)</f>
        <v>-10108.656846382437</v>
      </c>
      <c r="BQ44" s="382">
        <f t="array" ref="BQ44">IF($BI44=0, INDEX(LS_current!$D$4:$AY$139, MATCH('Staging Table'!$A44, LS_current!$B$4:$B$139, 0), MATCH(BQ$4&amp;BQ$5, LS_current!$D$2:$AY$2&amp;LS_current!$D$3:$AY$3, 0)),SUM(VLOOKUP($A44, LS_current!$B$4:$AY$139, LS_current!G$149, FALSE), VLOOKUP($A44, LS_current!$B$4:$AY$139,LS_current!G$149, FALSE))/2)</f>
        <v>8546.2375844701528</v>
      </c>
      <c r="BR44" s="382">
        <f t="array" ref="BR44">IF($BI44=0, INDEX(LS_current!$D$4:$AY$139, MATCH('Staging Table'!$A44, LS_current!$B$4:$B$139, 0), MATCH(BR$4&amp;BR$5, LS_current!$D$2:$AY$2&amp;LS_current!$D$3:$AY$3, 0)),SUM(VLOOKUP($A44, LS_current!$B$4:$AY$139, LS_current!H$149, FALSE), VLOOKUP($A44, LS_current!$B$4:$AY$139,LS_current!H$149, FALSE))/2)</f>
        <v>5287.7854687325889</v>
      </c>
      <c r="BS44" s="382">
        <f t="array" ref="BS44">IF($BI44=0, INDEX(LS_current!$D$4:$AY$139, MATCH('Staging Table'!$A44, LS_current!$B$4:$B$139, 0), MATCH(BS$4&amp;BS$5, LS_current!$D$2:$AY$2&amp;LS_current!$D$3:$AY$3, 0)),SUM(VLOOKUP($A44, LS_current!$B$4:$AY$139, LS_current!I$149, FALSE), VLOOKUP($A44, LS_current!$B$4:$AY$139,LS_current!I$149, FALSE))/2)</f>
        <v>23783.160459861174</v>
      </c>
      <c r="BT44" s="382">
        <f t="array" ref="BT44">IF($BI44=0, INDEX(LS_current!$D$4:$AY$139, MATCH('Staging Table'!$A44, LS_current!$B$4:$B$139, 0), MATCH(BT$4&amp;BT$5, LS_current!$D$2:$AY$2&amp;LS_current!$D$3:$AY$3, 0)),SUM(VLOOKUP($A44, LS_current!$B$4:$AY$139, LS_current!J$149, FALSE), VLOOKUP($A44, LS_current!$B$4:$AY$139,LS_current!J$149, FALSE))/2)</f>
        <v>21293.706523430876</v>
      </c>
      <c r="BU44" s="382">
        <f t="array" ref="BU44">IF($BI44=0, INDEX(LS_current!$D$4:$AY$139, MATCH('Staging Table'!$A44, LS_current!$B$4:$B$139, 0), MATCH(BU$4&amp;BU$5, LS_current!$D$2:$AY$2&amp;LS_current!$D$3:$AY$3, 0)),SUM(VLOOKUP($A44, LS_current!$B$4:$AY$139, LS_current!K$149, FALSE), VLOOKUP($A44, LS_current!$B$4:$AY$139,LS_current!K$149, FALSE))/2)</f>
        <v>27657.874666007658</v>
      </c>
      <c r="BV44" s="382">
        <f t="array" ref="BV44">IF($BI44=0, INDEX(LS_current!$D$4:$AY$139, MATCH('Staging Table'!$A44, LS_current!$B$4:$B$139, 0), MATCH(BV$4&amp;BV$5, LS_current!$D$2:$AY$2&amp;LS_current!$D$3:$AY$3, 0)),SUM(VLOOKUP($A44, LS_current!$B$4:$AY$139, LS_current!L$149, FALSE), VLOOKUP($A44, LS_current!$B$4:$AY$139,LS_current!L$149, FALSE))/2)</f>
        <v>9726.6158168902548</v>
      </c>
      <c r="BW44" s="382">
        <f t="array" ref="BW44">IF($BI44=0, INDEX(LS_current!$D$4:$AY$139, MATCH('Staging Table'!$A44, LS_current!$B$4:$B$139, 0), MATCH(BW$4&amp;BW$5, LS_current!$D$2:$AY$2&amp;LS_current!$D$3:$AY$3, 0)),SUM(VLOOKUP($A44, LS_current!$B$4:$AY$139, LS_current!M$149, FALSE), VLOOKUP($A44, LS_current!$B$4:$AY$139,LS_current!M$149, FALSE))/2)</f>
        <v>16247.370043533865</v>
      </c>
      <c r="BX44" s="382">
        <f t="array" ref="BX44">IF($BI44=0, INDEX(LS_current!$D$4:$AY$139, MATCH('Staging Table'!$A44, LS_current!$B$4:$B$139, 0), MATCH(BX$4&amp;BX$5, LS_current!$D$2:$AY$2&amp;LS_current!$D$3:$AY$3, 0)),SUM(VLOOKUP($A44, LS_current!$B$4:$AY$139, LS_current!N$149, FALSE), VLOOKUP($A44, LS_current!$B$4:$AY$139,LS_current!N$149, FALSE))/2)</f>
        <v>-3521.4213791256188</v>
      </c>
      <c r="BY44" s="382">
        <f t="array" ref="BY44">IF($BI44=0, INDEX(LS_current!$D$4:$AY$139, MATCH('Staging Table'!$A44, LS_current!$B$4:$B$139, 0), MATCH(BY$4&amp;BY$5, LS_current!$D$2:$AY$2&amp;LS_current!$D$3:$AY$3, 0)),SUM(VLOOKUP($A44, LS_current!$B$4:$AY$139, LS_current!O$149, FALSE), VLOOKUP($A44, LS_current!$B$4:$AY$139,LS_current!O$149, FALSE))/2)</f>
        <v>6272.7847105207038</v>
      </c>
      <c r="BZ44" s="382">
        <f t="array" ref="BZ44">IF($BI44=0, INDEX(LS_current!$D$4:$AY$139, MATCH('Staging Table'!$A44, LS_current!$B$4:$B$139, 0), MATCH(BZ$4&amp;BZ$5, LS_current!$D$2:$AY$2&amp;LS_current!$D$3:$AY$3, 0)),SUM(VLOOKUP($A44, LS_current!$B$4:$AY$139, LS_current!P$149, FALSE), VLOOKUP($A44, LS_current!$B$4:$AY$139,LS_current!P$149, FALSE))/2)</f>
        <v>-14936.674955098744</v>
      </c>
      <c r="CA44" s="382">
        <f t="array" ref="CA44">IF($BI44=0, INDEX(LS_current!$D$4:$AY$139, MATCH('Staging Table'!$A44, LS_current!$B$4:$B$139, 0), MATCH(CA$4&amp;CA$5, LS_current!$D$2:$AY$2&amp;LS_current!$D$3:$AY$3, 0)),SUM(VLOOKUP($A44, LS_current!$B$4:$AY$139, LS_current!Q$149, FALSE), VLOOKUP($A44, LS_current!$B$4:$AY$139,LS_current!Q$149, FALSE))/2)</f>
        <v>3276.915770622858</v>
      </c>
      <c r="CB44" s="382">
        <f t="array" ref="CB44">IF($BI44=0, INDEX(LS_current!$D$4:$AY$139, MATCH('Staging Table'!$A44, LS_current!$B$4:$B$139, 0), MATCH(CB$4&amp;CB$5, LS_current!$D$2:$AY$2&amp;LS_current!$D$3:$AY$3, 0)),SUM(VLOOKUP($A44, LS_current!$B$4:$AY$139, LS_current!R$149, FALSE), VLOOKUP($A44, LS_current!$B$4:$AY$139,LS_current!R$149, FALSE))/2)</f>
        <v>-23389.773241954652</v>
      </c>
      <c r="CC44" s="382">
        <f t="array" ref="CC44">IF($BI44=0, INDEX(LS_current!$D$4:$AY$139, MATCH('Staging Table'!$A44, LS_current!$B$4:$B$139, 0), MATCH(CC$4&amp;CC$5, LS_current!$D$2:$AY$2&amp;LS_current!$D$3:$AY$3, 0)),SUM(VLOOKUP($A44, LS_current!$B$4:$AY$139, LS_current!S$149, FALSE), VLOOKUP($A44, LS_current!$B$4:$AY$139,LS_current!S$149, FALSE))/2)</f>
        <v>1391.1137183602696</v>
      </c>
      <c r="CD44" s="382">
        <f t="array" ref="CD44">IF($BI44=0, INDEX(LS_current!$D$4:$AY$139, MATCH('Staging Table'!$A44, LS_current!$B$4:$B$139, 0), MATCH(CD$4&amp;CD$5, LS_current!$D$2:$AY$2&amp;LS_current!$D$3:$AY$3, 0)),SUM(VLOOKUP($A44, LS_current!$B$4:$AY$139, LS_current!T$149, FALSE), VLOOKUP($A44, LS_current!$B$4:$AY$139,LS_current!T$149, FALSE))/2)</f>
        <v>-25339.930851435245</v>
      </c>
      <c r="CE44" s="382">
        <f t="array" ref="CE44">IF($BI44=0, INDEX(LS_current!$D$4:$AY$139, MATCH('Staging Table'!$A44, LS_current!$B$4:$B$139, 0), MATCH(CE$4&amp;CE$5, LS_current!$D$2:$AY$2&amp;LS_current!$D$3:$AY$3, 0)),SUM(VLOOKUP($A44, LS_current!$B$4:$AY$139, LS_current!U$149, FALSE), VLOOKUP($A44, LS_current!$B$4:$AY$139,LS_current!U$149, FALSE))/2)</f>
        <v>-3722.8401513110221</v>
      </c>
      <c r="CF44" s="382">
        <f t="array" ref="CF44">IF($BI44=0, INDEX(LS_current!$D$4:$AY$139, MATCH('Staging Table'!$A44, LS_current!$B$4:$B$139, 0), MATCH(CF$4&amp;CF$5, LS_current!$D$2:$AY$2&amp;LS_current!$D$3:$AY$3, 0)),SUM(VLOOKUP($A44, LS_current!$B$4:$AY$139, LS_current!V$149, FALSE), VLOOKUP($A44, LS_current!$B$4:$AY$139,LS_current!V$149, FALSE))/2)</f>
        <v>-15817.443992720917</v>
      </c>
      <c r="CG44" s="382">
        <f t="array" ref="CG44">IF($BI44=0, INDEX(LS_current!$D$4:$AY$139, MATCH('Staging Table'!$A44, LS_current!$B$4:$B$139, 0), MATCH(CG$4&amp;CG$5, LS_current!$D$2:$AY$2&amp;LS_current!$D$3:$AY$3, 0)),SUM(VLOOKUP($A44, LS_current!$B$4:$AY$139, LS_current!W$149, FALSE), VLOOKUP($A44, LS_current!$B$4:$AY$139,LS_current!W$149, FALSE))/2)</f>
        <v>7616.5417913093406</v>
      </c>
      <c r="CH44" s="382">
        <f t="array" ref="CH44">IF($BI44=0, INDEX(LS_current!$D$4:$AY$139, MATCH('Staging Table'!$A44, LS_current!$B$4:$B$139, 0), MATCH(CH$4&amp;CH$5, LS_current!$D$2:$AY$2&amp;LS_current!$D$3:$AY$3, 0)),SUM(VLOOKUP($A44, LS_current!$B$4:$AY$139, LS_current!X$149, FALSE), VLOOKUP($A44, LS_current!$B$4:$AY$139,LS_current!X$149, FALSE))/2)</f>
        <v>-19643.832082973866</v>
      </c>
      <c r="CI44" s="382">
        <f t="array" ref="CI44">IF($BI44=0, INDEX(LS_current!$D$4:$AY$139, MATCH('Staging Table'!$A44, LS_current!$B$4:$B$139, 0), MATCH(CI$4&amp;CI$5, LS_current!$D$2:$AY$2&amp;LS_current!$D$3:$AY$3, 0)),SUM(VLOOKUP($A44, LS_current!$B$4:$AY$139, LS_current!Y$149, FALSE), VLOOKUP($A44, LS_current!$B$4:$AY$139,LS_current!Y$149, FALSE))/2)</f>
        <v>2367.8211767343382</v>
      </c>
      <c r="CJ44" s="382">
        <f t="array" ref="CJ44">IF($BI44=0, INDEX(LS_current!$D$4:$AY$139, MATCH('Staging Table'!$A44, LS_current!$B$4:$B$139, 0), MATCH(CJ$4&amp;CJ$5, LS_current!$D$2:$AY$2&amp;LS_current!$D$3:$AY$3, 0)),SUM(VLOOKUP($A44, LS_current!$B$4:$AY$139, LS_current!Z$149, FALSE), VLOOKUP($A44, LS_current!$B$4:$AY$139,LS_current!Z$149, FALSE))/2)</f>
        <v>-23065.842364504926</v>
      </c>
      <c r="CK44" s="382">
        <f t="array" ref="CK44">IF($BI44=0, INDEX(LS_current!$D$4:$AY$139, MATCH('Staging Table'!$A44, LS_current!$B$4:$B$139, 0), MATCH(CK$4&amp;CK$5, LS_current!$D$2:$AY$2&amp;LS_current!$D$3:$AY$3, 0)),SUM(VLOOKUP($A44, LS_current!$B$4:$AY$139, LS_current!AA$149, FALSE), VLOOKUP($A44, LS_current!$B$4:$AY$139,LS_current!AA$149, FALSE))/2)</f>
        <v>-611.7692884954522</v>
      </c>
      <c r="CL44" s="384">
        <f t="array" ref="CL44">INDEX(Demand_current!$D$4:$AY$138, MATCH($A44, Demand_current!$B$4:$B$138, 0), MATCH(CL$4&amp;CL$5,Demand_current!$D$2:$AY$2&amp;Demand_current!$D$3:$AY$3, 0))/1000</f>
        <v>0</v>
      </c>
      <c r="CM44" s="384">
        <f t="array" ref="CM44">INDEX(Demand_current!$D$4:$AY$138, MATCH($A44, Demand_current!$B$4:$B$138, 0), MATCH(CM$4&amp;CM$5,Demand_current!$D$2:$AY$2&amp;Demand_current!$D$3:$AY$3, 0))/1000</f>
        <v>0</v>
      </c>
      <c r="CN44" s="384">
        <f t="array" ref="CN44">INDEX(Demand_current!$D$4:$AY$138, MATCH($A44, Demand_current!$B$4:$B$138, 0), MATCH(CN$4&amp;CN$5,Demand_current!$D$2:$AY$2&amp;Demand_current!$D$3:$AY$3, 0))/1000</f>
        <v>0</v>
      </c>
      <c r="CO44" s="384">
        <f t="array" ref="CO44">INDEX(Demand_current!$D$4:$AY$138, MATCH($A44, Demand_current!$B$4:$B$138, 0), MATCH(CO$4&amp;CO$5,Demand_current!$D$2:$AY$2&amp;Demand_current!$D$3:$AY$3, 0))/1000</f>
        <v>0</v>
      </c>
      <c r="CP44" s="384">
        <f t="array" ref="CP44">INDEX(Demand_current!$D$4:$AY$138, MATCH($A44, Demand_current!$B$4:$B$138, 0), MATCH(CP$4&amp;CP$5,Demand_current!$D$2:$AY$2&amp;Demand_current!$D$3:$AY$3, 0))/1000</f>
        <v>0</v>
      </c>
      <c r="CQ44" s="384">
        <f t="array" ref="CQ44">INDEX(Demand_current!$D$4:$AY$138, MATCH($A44, Demand_current!$B$4:$B$138, 0), MATCH(CQ$4&amp;CQ$5,Demand_current!$D$2:$AY$2&amp;Demand_current!$D$3:$AY$3, 0))/1000</f>
        <v>0</v>
      </c>
      <c r="CR44" s="384">
        <f t="array" ref="CR44">INDEX(Demand_current!$D$4:$AY$138, MATCH($A44, Demand_current!$B$4:$B$138, 0), MATCH(CR$4&amp;CR$5,Demand_current!$D$2:$AY$2&amp;Demand_current!$D$3:$AY$3, 0))/1000</f>
        <v>0</v>
      </c>
      <c r="CS44" s="384">
        <f t="array" ref="CS44">INDEX(Demand_current!$D$4:$AY$138, MATCH($A44, Demand_current!$B$4:$B$138, 0), MATCH(CS$4&amp;CS$5,Demand_current!$D$2:$AY$2&amp;Demand_current!$D$3:$AY$3, 0))/1000</f>
        <v>0</v>
      </c>
      <c r="CT44" s="384">
        <f t="array" ref="CT44">INDEX(Demand_current!$D$4:$AY$138, MATCH($A44, Demand_current!$B$4:$B$138, 0), MATCH(CT$4&amp;CT$5,Demand_current!$D$2:$AY$2&amp;Demand_current!$D$3:$AY$3, 0))/1000</f>
        <v>0</v>
      </c>
      <c r="CU44" s="384">
        <f t="array" ref="CU44">INDEX(Demand_current!$D$4:$AY$138, MATCH($A44, Demand_current!$B$4:$B$138, 0), MATCH(CU$4&amp;CU$5,Demand_current!$D$2:$AY$2&amp;Demand_current!$D$3:$AY$3, 0))/1000</f>
        <v>0</v>
      </c>
      <c r="CV44" s="384">
        <f t="array" ref="CV44">INDEX(Demand_current!$D$4:$AY$138, MATCH($A44, Demand_current!$B$4:$B$138, 0), MATCH(CV$4&amp;CV$5,Demand_current!$D$2:$AY$2&amp;Demand_current!$D$3:$AY$3, 0))/1000</f>
        <v>0</v>
      </c>
      <c r="CW44" s="384">
        <f t="array" ref="CW44">INDEX(Demand_current!$D$4:$AY$138, MATCH($A44, Demand_current!$B$4:$B$138, 0), MATCH(CW$4&amp;CW$5,Demand_current!$D$2:$AY$2&amp;Demand_current!$D$3:$AY$3, 0))/1000</f>
        <v>0</v>
      </c>
      <c r="CX44" s="384">
        <f>IF(D44=0,IF(C44=0,MAX(0,DA44 - (VLOOKUP($A44,TOCA_current!$A$2:$AI$137,MATCH("RHWM 2018",TOCA_current!$A$2:$AI$2,0),FALSE)*$BH$2)), 0),0)</f>
        <v>0</v>
      </c>
      <c r="CY44" s="427">
        <f>VLOOKUP($A44,REP_current!$A$1:$D$135,MATCH("FY "&amp;$BH$1&amp; " Total Refund",REP_current!$A$1:$D$1,0),0)</f>
        <v>4076834.2519638757</v>
      </c>
      <c r="CZ44" s="432">
        <f>MIN(VLOOKUP($A44,TOCA_current!$A$2:$AI$137,MATCH("TRL - NLSL - Existing Resource "&amp;$BH$1,TOCA_current!$A$2:$AI$2,0),FALSE)*$BH$2, VLOOKUP($A44,TOCA_current!$A$2:$AI$137,MATCH("RHWM 2018",TOCA_current!$A$2:$AI$2,0),FALSE)*$BH$2)</f>
        <v>2616279.1199999996</v>
      </c>
      <c r="DA44" s="397">
        <f>SUM(BN44:CK44)+(BH44*RT1SC!$C$4*$BH$2)</f>
        <v>1272077.0187910018</v>
      </c>
      <c r="DB44" s="432">
        <f>VLOOKUP($A44,TOCA_current!$A$2:$AI$137,MATCH("Above RHWM Not Served with LS "&amp;$BH$1,TOCA_current!$A$2:$AI$2,0),FALSE)*$BH$2</f>
        <v>0</v>
      </c>
      <c r="DC44" s="401">
        <f t="shared" si="11"/>
        <v>-1344202.1012089979</v>
      </c>
      <c r="DD44" s="397">
        <f>(VLOOKUP($A44,TOCA_current!$A$2:$AI$137,MATCH("RHWM 2018",TOCA_current!$A$2:$AI$2,0),FALSE)*$BH$2) - $CZ44</f>
        <v>128947.20000000019</v>
      </c>
      <c r="DE44" s="397">
        <f t="shared" si="12"/>
        <v>0</v>
      </c>
      <c r="DF44" s="397">
        <f t="shared" si="13"/>
        <v>1344202.1012089979</v>
      </c>
      <c r="DG44" s="397">
        <f t="shared" si="14"/>
        <v>0</v>
      </c>
      <c r="DH44" s="397">
        <f t="shared" si="15"/>
        <v>0</v>
      </c>
    </row>
    <row r="45" spans="1:112">
      <c r="A45" s="274">
        <v>10105</v>
      </c>
      <c r="B45" s="275" t="s">
        <v>46</v>
      </c>
      <c r="C45" s="397">
        <v>0</v>
      </c>
      <c r="D45" s="397">
        <v>1</v>
      </c>
      <c r="E45" s="205">
        <f>VLOOKUP($A45,TOCA_previous!$A$2:$AI$137,MATCH(E$4,TOCA_previous!$A$2:$AI$2,0),FALSE)</f>
        <v>1.2070600000000001E-2</v>
      </c>
      <c r="F45" s="206">
        <f>VLOOKUP($A45,TOCA_previous!$A$2:$AI$137,MATCH(F$4,TOCA_previous!$A$2:$AI$2,0),FALSE)</f>
        <v>4.8071000000000008E-3</v>
      </c>
      <c r="G45" s="206">
        <f t="shared" si="0"/>
        <v>7.2635E-3</v>
      </c>
      <c r="H45" s="206">
        <f>VLOOKUP($A45,TOCA_previous!$A$2:$AI$137,MATCH(H$4,TOCA_previous!$A$2:$AI$2,0),FALSE)</f>
        <v>0</v>
      </c>
      <c r="I45" s="206">
        <f t="shared" si="1"/>
        <v>0</v>
      </c>
      <c r="J45" s="206">
        <f t="shared" si="2"/>
        <v>0</v>
      </c>
      <c r="K45" s="381">
        <f>VLOOKUP(A45, IRD!$A$5:$C$139, 3, FALSE)</f>
        <v>0</v>
      </c>
      <c r="L45" s="382">
        <f t="array" ref="L45">IF($G45=0, INDEX(LS_previous!$D$4:$AY$138, MATCH('Staging Table'!$A45, LS_previous!$B$4:$B$138, 0), MATCH(L$4&amp;L$5, LS_previous!$D$2:$AY$2&amp;LS_previous!$D$3:$AY$3, 0)),SUM(VLOOKUP($A45, LS_previous!$B$4:$AY$138, LS_previous!D$149, FALSE), VLOOKUP('Staging Table'!$A45, LS_previous!$B$4:$AY$138,LS_previous!AB$149, FALSE))/2)</f>
        <v>-641.7382713613888</v>
      </c>
      <c r="M45" s="382">
        <f t="array" ref="M45">IF($G45=0, INDEX(LS_previous!$D$4:$AY$138, MATCH('Staging Table'!$A45, LS_previous!$B$4:$B$138, 0), MATCH(M$4&amp;M$5, LS_previous!$D$2:$AY$2&amp;LS_previous!$D$3:$AY$3, 0)),SUM(VLOOKUP($A45, LS_previous!$B$4:$AY$138, LS_previous!E$149, FALSE), VLOOKUP('Staging Table'!$A45, LS_previous!$B$4:$AY$138,LS_previous!AC$149, FALSE))/2)</f>
        <v>2170.0160197296696</v>
      </c>
      <c r="N45" s="382">
        <f t="array" ref="N45">IF($G45=0, INDEX(LS_previous!$D$4:$AY$138, MATCH('Staging Table'!$A45, LS_previous!$B$4:$B$138, 0), MATCH(N$4&amp;N$5, LS_previous!$D$2:$AY$2&amp;LS_previous!$D$3:$AY$3, 0)),SUM(VLOOKUP($A45, LS_previous!$B$4:$AY$138, LS_previous!F$149, FALSE), VLOOKUP('Staging Table'!$A45, LS_previous!$B$4:$AY$138,LS_previous!AD$149, FALSE))/2)</f>
        <v>-3848.381029511178</v>
      </c>
      <c r="O45" s="382">
        <f t="array" ref="O45">IF($G45=0, INDEX(LS_previous!$D$4:$AY$138, MATCH('Staging Table'!$A45, LS_previous!$B$4:$B$138, 0), MATCH(O$4&amp;O$5, LS_previous!$D$2:$AY$2&amp;LS_previous!$D$3:$AY$3, 0)),SUM(VLOOKUP($A45, LS_previous!$B$4:$AY$138, LS_previous!G$149, FALSE), VLOOKUP('Staging Table'!$A45, LS_previous!$B$4:$AY$138,LS_previous!AE$149, FALSE))/2)</f>
        <v>744.83923948403572</v>
      </c>
      <c r="P45" s="382">
        <f t="array" ref="P45">IF($G45=0, INDEX(LS_previous!$D$4:$AY$138, MATCH('Staging Table'!$A45, LS_previous!$B$4:$B$138, 0), MATCH(P$4&amp;P$5, LS_previous!$D$2:$AY$2&amp;LS_previous!$D$3:$AY$3, 0)),SUM(VLOOKUP($A45, LS_previous!$B$4:$AY$138, LS_previous!H$149, FALSE), VLOOKUP('Staging Table'!$A45, LS_previous!$B$4:$AY$138,LS_previous!AF$149, FALSE))/2)</f>
        <v>-1423.3311261696317</v>
      </c>
      <c r="Q45" s="382">
        <f t="array" ref="Q45">IF($G45=0, INDEX(LS_previous!$D$4:$AY$138, MATCH('Staging Table'!$A45, LS_previous!$B$4:$B$138, 0), MATCH(Q$4&amp;Q$5, LS_previous!$D$2:$AY$2&amp;LS_previous!$D$3:$AY$3, 0)),SUM(VLOOKUP($A45, LS_previous!$B$4:$AY$138, LS_previous!I$149, FALSE), VLOOKUP('Staging Table'!$A45, LS_previous!$B$4:$AY$138,LS_previous!AG$149, FALSE))/2)</f>
        <v>1638.472528094936</v>
      </c>
      <c r="R45" s="382">
        <f t="array" ref="R45">IF($G45=0, INDEX(LS_previous!$D$4:$AY$138, MATCH('Staging Table'!$A45, LS_previous!$B$4:$B$138, 0), MATCH(R$4&amp;R$5, LS_previous!$D$2:$AY$2&amp;LS_previous!$D$3:$AY$3, 0)),SUM(VLOOKUP($A45, LS_previous!$B$4:$AY$138, LS_previous!J$149, FALSE), VLOOKUP('Staging Table'!$A45, LS_previous!$B$4:$AY$138,LS_previous!AH$149, FALSE))/2)</f>
        <v>-115.70964771713807</v>
      </c>
      <c r="S45" s="382">
        <f t="array" ref="S45">IF($G45=0, INDEX(LS_previous!$D$4:$AY$138, MATCH('Staging Table'!$A45, LS_previous!$B$4:$B$138, 0), MATCH(S$4&amp;S$5, LS_previous!$D$2:$AY$2&amp;LS_previous!$D$3:$AY$3, 0)),SUM(VLOOKUP($A45, LS_previous!$B$4:$AY$138, LS_previous!K$149, FALSE), VLOOKUP('Staging Table'!$A45, LS_previous!$B$4:$AY$138,LS_previous!AI$149, FALSE))/2)</f>
        <v>3251.0892102119578</v>
      </c>
      <c r="T45" s="382">
        <f t="array" ref="T45">IF($G45=0, INDEX(LS_previous!$D$4:$AY$138, MATCH('Staging Table'!$A45, LS_previous!$B$4:$B$138, 0), MATCH(T$4&amp;T$5, LS_previous!$D$2:$AY$2&amp;LS_previous!$D$3:$AY$3, 0)),SUM(VLOOKUP($A45, LS_previous!$B$4:$AY$138, LS_previous!L$149, FALSE), VLOOKUP('Staging Table'!$A45, LS_previous!$B$4:$AY$138,LS_previous!AJ$149, FALSE))/2)</f>
        <v>1078.3940557051201</v>
      </c>
      <c r="U45" s="382">
        <f t="array" ref="U45">IF($G45=0, INDEX(LS_previous!$D$4:$AY$138, MATCH('Staging Table'!$A45, LS_previous!$B$4:$B$138, 0), MATCH(U$4&amp;U$5, LS_previous!$D$2:$AY$2&amp;LS_previous!$D$3:$AY$3, 0)),SUM(VLOOKUP($A45, LS_previous!$B$4:$AY$138, LS_previous!M$149, FALSE), VLOOKUP('Staging Table'!$A45, LS_previous!$B$4:$AY$138,LS_previous!AK$149, FALSE))/2)</f>
        <v>2639.8608738691414</v>
      </c>
      <c r="V45" s="382">
        <f t="array" ref="V45">IF($G45=0, INDEX(LS_previous!$D$4:$AY$138, MATCH('Staging Table'!$A45, LS_previous!$B$4:$B$138, 0), MATCH(V$4&amp;V$5, LS_previous!$D$2:$AY$2&amp;LS_previous!$D$3:$AY$3, 0)),SUM(VLOOKUP($A45, LS_previous!$B$4:$AY$138, LS_previous!N$149, FALSE), VLOOKUP('Staging Table'!$A45, LS_previous!$B$4:$AY$138,LS_previous!AL$149, FALSE))/2)</f>
        <v>364.2545175679661</v>
      </c>
      <c r="W45" s="382">
        <f t="array" ref="W45">IF($G45=0, INDEX(LS_previous!$D$4:$AY$138, MATCH('Staging Table'!$A45, LS_previous!$B$4:$B$138, 0), MATCH(W$4&amp;W$5, LS_previous!$D$2:$AY$2&amp;LS_previous!$D$3:$AY$3, 0)),SUM(VLOOKUP($A45, LS_previous!$B$4:$AY$138, LS_previous!O$149, FALSE), VLOOKUP('Staging Table'!$A45, LS_previous!$B$4:$AY$138,LS_previous!AM$149, FALSE))/2)</f>
        <v>1927.3203708154151</v>
      </c>
      <c r="X45" s="382">
        <f t="array" ref="X45">IF($G45=0, INDEX(LS_previous!$D$4:$AY$138, MATCH('Staging Table'!$A45, LS_previous!$B$4:$B$138, 0), MATCH(X$4&amp;X$5, LS_previous!$D$2:$AY$2&amp;LS_previous!$D$3:$AY$3, 0)),SUM(VLOOKUP($A45, LS_previous!$B$4:$AY$138, LS_previous!P$149, FALSE), VLOOKUP('Staging Table'!$A45, LS_previous!$B$4:$AY$138,LS_previous!AN$149, FALSE))/2)</f>
        <v>1679.4272821947316</v>
      </c>
      <c r="Y45" s="382">
        <f t="array" ref="Y45">IF($G45=0, INDEX(LS_previous!$D$4:$AY$138, MATCH('Staging Table'!$A45, LS_previous!$B$4:$B$138, 0), MATCH(Y$4&amp;Y$5, LS_previous!$D$2:$AY$2&amp;LS_previous!$D$3:$AY$3, 0)),SUM(VLOOKUP($A45, LS_previous!$B$4:$AY$138, LS_previous!Q$149, FALSE), VLOOKUP('Staging Table'!$A45, LS_previous!$B$4:$AY$138,LS_previous!AO$149, FALSE))/2)</f>
        <v>3199.0948676575113</v>
      </c>
      <c r="Z45" s="382">
        <f t="array" ref="Z45">IF($G45=0, INDEX(LS_previous!$D$4:$AY$138, MATCH('Staging Table'!$A45, LS_previous!$B$4:$B$138, 0), MATCH(Z$4&amp;Z$5, LS_previous!$D$2:$AY$2&amp;LS_previous!$D$3:$AY$3, 0)),SUM(VLOOKUP($A45, LS_previous!$B$4:$AY$138, LS_previous!R$149, FALSE), VLOOKUP('Staging Table'!$A45, LS_previous!$B$4:$AY$138,LS_previous!AP$149, FALSE))/2)</f>
        <v>-9731.4647370048187</v>
      </c>
      <c r="AA45" s="382">
        <f t="array" ref="AA45">IF($G45=0, INDEX(LS_previous!$D$4:$AY$138, MATCH('Staging Table'!$A45, LS_previous!$B$4:$B$138, 0), MATCH(AA$4&amp;AA$5, LS_previous!$D$2:$AY$2&amp;LS_previous!$D$3:$AY$3, 0)),SUM(VLOOKUP($A45, LS_previous!$B$4:$AY$138, LS_previous!S$149, FALSE), VLOOKUP('Staging Table'!$A45, LS_previous!$B$4:$AY$138,LS_previous!AQ$149, FALSE))/2)</f>
        <v>-2545.1358195761959</v>
      </c>
      <c r="AB45" s="382">
        <f t="array" ref="AB45">IF($G45=0, INDEX(LS_previous!$D$4:$AY$138, MATCH('Staging Table'!$A45, LS_previous!$B$4:$B$138, 0), MATCH(AB$4&amp;AB$5, LS_previous!$D$2:$AY$2&amp;LS_previous!$D$3:$AY$3, 0)),SUM(VLOOKUP($A45, LS_previous!$B$4:$AY$138, LS_previous!T$149, FALSE), VLOOKUP('Staging Table'!$A45, LS_previous!$B$4:$AY$138,LS_previous!AR$149, FALSE))/2)</f>
        <v>-2366.0686475746297</v>
      </c>
      <c r="AC45" s="382">
        <f t="array" ref="AC45">IF($G45=0, INDEX(LS_previous!$D$4:$AY$138, MATCH('Staging Table'!$A45, LS_previous!$B$4:$B$138, 0), MATCH(AC$4&amp;AC$5, LS_previous!$D$2:$AY$2&amp;LS_previous!$D$3:$AY$3, 0)),SUM(VLOOKUP($A45, LS_previous!$B$4:$AY$138, LS_previous!U$149, FALSE), VLOOKUP('Staging Table'!$A45, LS_previous!$B$4:$AY$138,LS_previous!AS$149, FALSE))/2)</f>
        <v>979.63999935920492</v>
      </c>
      <c r="AD45" s="382">
        <f t="array" ref="AD45">IF($G45=0, INDEX(LS_previous!$D$4:$AY$138, MATCH('Staging Table'!$A45, LS_previous!$B$4:$B$138, 0), MATCH(AD$4&amp;AD$5, LS_previous!$D$2:$AY$2&amp;LS_previous!$D$3:$AY$3, 0)),SUM(VLOOKUP($A45, LS_previous!$B$4:$AY$138, LS_previous!V$149, FALSE), VLOOKUP('Staging Table'!$A45, LS_previous!$B$4:$AY$138,LS_previous!AT$149, FALSE))/2)</f>
        <v>-2818.9041129623065</v>
      </c>
      <c r="AE45" s="382">
        <f t="array" ref="AE45">IF($G45=0, INDEX(LS_previous!$D$4:$AY$138, MATCH('Staging Table'!$A45, LS_previous!$B$4:$B$138, 0), MATCH(AE$4&amp;AE$5, LS_previous!$D$2:$AY$2&amp;LS_previous!$D$3:$AY$3, 0)),SUM(VLOOKUP($A45, LS_previous!$B$4:$AY$138, LS_previous!W$149, FALSE), VLOOKUP('Staging Table'!$A45, LS_previous!$B$4:$AY$138,LS_previous!AU$149, FALSE))/2)</f>
        <v>2544.2213742110698</v>
      </c>
      <c r="AF45" s="382">
        <f t="array" ref="AF45">IF($G45=0, INDEX(LS_previous!$D$4:$AY$138, MATCH('Staging Table'!$A45, LS_previous!$B$4:$B$138, 0), MATCH(AF$4&amp;AF$5, LS_previous!$D$2:$AY$2&amp;LS_previous!$D$3:$AY$3, 0)),SUM(VLOOKUP($A45, LS_previous!$B$4:$AY$138, LS_previous!X$149, FALSE), VLOOKUP('Staging Table'!$A45, LS_previous!$B$4:$AY$138,LS_previous!AV$149, FALSE))/2)</f>
        <v>-2717.6109465512982</v>
      </c>
      <c r="AG45" s="382">
        <f t="array" ref="AG45">IF($G45=0, INDEX(LS_previous!$D$4:$AY$138, MATCH('Staging Table'!$A45, LS_previous!$B$4:$B$138, 0), MATCH(AG$4&amp;AG$5, LS_previous!$D$2:$AY$2&amp;LS_previous!$D$3:$AY$3, 0)),SUM(VLOOKUP($A45, LS_previous!$B$4:$AY$138, LS_previous!Y$149, FALSE), VLOOKUP('Staging Table'!$A45, LS_previous!$B$4:$AY$138,LS_previous!AW$149, FALSE))/2)</f>
        <v>1535.6356131028142</v>
      </c>
      <c r="AH45" s="382">
        <f t="array" ref="AH45">IF($G45=0, INDEX(LS_previous!$D$4:$AY$138, MATCH('Staging Table'!$A45, LS_previous!$B$4:$B$138, 0), MATCH(AH$4&amp;AH$5, LS_previous!$D$2:$AY$2&amp;LS_previous!$D$3:$AY$3, 0)),SUM(VLOOKUP($A45, LS_previous!$B$4:$AY$138, LS_previous!Z$149, FALSE), VLOOKUP('Staging Table'!$A45, LS_previous!$B$4:$AY$138,LS_previous!AX$149, FALSE))/2)</f>
        <v>117.4031903633595</v>
      </c>
      <c r="AI45" s="382">
        <f t="array" ref="AI45">IF($G45=0, INDEX(LS_previous!$D$4:$AY$138, MATCH('Staging Table'!$A45, LS_previous!$B$4:$B$138, 0), MATCH(AI$4&amp;AI$5, LS_previous!$D$2:$AY$2&amp;LS_previous!$D$3:$AY$3, 0)),SUM(VLOOKUP($A45, LS_previous!$B$4:$AY$138, LS_previous!AA$149, FALSE), VLOOKUP('Staging Table'!$A45, LS_previous!$B$4:$AY$138,LS_previous!AY$149, FALSE))/2)</f>
        <v>2337.2994328313903</v>
      </c>
      <c r="AJ45" s="384">
        <f t="array" ref="AJ45">INDEX(Demand_previous!$D$4:$AY$138, MATCH('Staging Table'!$A45, Demand_previous!$B$4:$B$138, 0), MATCH(AJ$4&amp;AJ$5,Demand_previous!$D$2:$AY$2&amp;Demand_previous!$D$3:$AY$3, 0))/1000</f>
        <v>0</v>
      </c>
      <c r="AK45" s="384">
        <f t="array" ref="AK45">INDEX(Demand_previous!$D$4:$AY$138, MATCH('Staging Table'!$A45, Demand_previous!$B$4:$B$138, 0), MATCH(AK$4&amp;AK$5,Demand_previous!$D$2:$AY$2&amp;Demand_previous!$D$3:$AY$3, 0))/1000</f>
        <v>0</v>
      </c>
      <c r="AL45" s="384">
        <f t="array" ref="AL45">INDEX(Demand_previous!$D$4:$AY$138, MATCH('Staging Table'!$A45, Demand_previous!$B$4:$B$138, 0), MATCH(AL$4&amp;AL$5,Demand_previous!$D$2:$AY$2&amp;Demand_previous!$D$3:$AY$3, 0))/1000</f>
        <v>0</v>
      </c>
      <c r="AM45" s="384">
        <f t="array" ref="AM45">INDEX(Demand_previous!$D$4:$AY$138, MATCH('Staging Table'!$A45, Demand_previous!$B$4:$B$138, 0), MATCH(AM$4&amp;AM$5,Demand_previous!$D$2:$AY$2&amp;Demand_previous!$D$3:$AY$3, 0))/1000</f>
        <v>0</v>
      </c>
      <c r="AN45" s="384">
        <f t="array" ref="AN45">INDEX(Demand_previous!$D$4:$AY$138, MATCH('Staging Table'!$A45, Demand_previous!$B$4:$B$138, 0), MATCH(AN$4&amp;AN$5,Demand_previous!$D$2:$AY$2&amp;Demand_previous!$D$3:$AY$3, 0))/1000</f>
        <v>0</v>
      </c>
      <c r="AO45" s="384">
        <f t="array" ref="AO45">INDEX(Demand_previous!$D$4:$AY$138, MATCH('Staging Table'!$A45, Demand_previous!$B$4:$B$138, 0), MATCH(AO$4&amp;AO$5,Demand_previous!$D$2:$AY$2&amp;Demand_previous!$D$3:$AY$3, 0))/1000</f>
        <v>0</v>
      </c>
      <c r="AP45" s="384">
        <f t="array" ref="AP45">INDEX(Demand_previous!$D$4:$AY$138, MATCH('Staging Table'!$A45, Demand_previous!$B$4:$B$138, 0), MATCH(AP$4&amp;AP$5,Demand_previous!$D$2:$AY$2&amp;Demand_previous!$D$3:$AY$3, 0))/1000</f>
        <v>0</v>
      </c>
      <c r="AQ45" s="384">
        <f t="array" ref="AQ45">INDEX(Demand_previous!$D$4:$AY$138, MATCH('Staging Table'!$A45, Demand_previous!$B$4:$B$138, 0), MATCH(AQ$4&amp;AQ$5,Demand_previous!$D$2:$AY$2&amp;Demand_previous!$D$3:$AY$3, 0))/1000</f>
        <v>0</v>
      </c>
      <c r="AR45" s="384">
        <f t="array" ref="AR45">INDEX(Demand_previous!$D$4:$AY$138, MATCH('Staging Table'!$A45, Demand_previous!$B$4:$B$138, 0), MATCH(AR$4&amp;AR$5,Demand_previous!$D$2:$AY$2&amp;Demand_previous!$D$3:$AY$3, 0))/1000</f>
        <v>0</v>
      </c>
      <c r="AS45" s="384">
        <f t="array" ref="AS45">INDEX(Demand_previous!$D$4:$AY$138, MATCH('Staging Table'!$A45, Demand_previous!$B$4:$B$138, 0), MATCH(AS$4&amp;AS$5,Demand_previous!$D$2:$AY$2&amp;Demand_previous!$D$3:$AY$3, 0))/1000</f>
        <v>0</v>
      </c>
      <c r="AT45" s="384">
        <f t="array" ref="AT45">INDEX(Demand_previous!$D$4:$AY$138, MATCH('Staging Table'!$A45, Demand_previous!$B$4:$B$138, 0), MATCH(AT$4&amp;AT$5,Demand_previous!$D$2:$AY$2&amp;Demand_previous!$D$3:$AY$3, 0))/1000</f>
        <v>0</v>
      </c>
      <c r="AU45" s="384">
        <f t="array" ref="AU45">INDEX(Demand_previous!$D$4:$AY$138, MATCH('Staging Table'!$A45, Demand_previous!$B$4:$B$138, 0), MATCH(AU$4&amp;AU$5,Demand_previous!$D$2:$AY$2&amp;Demand_previous!$D$3:$AY$3, 0))/1000</f>
        <v>0</v>
      </c>
      <c r="AV45" s="384">
        <f>IF($D45=0,IF(C45=0, MAX(AY45 - (VLOOKUP($A45,TOCA_previous!$A$2:$AI$137,MATCH("RHWM 2016",TOCA_previous!$A$2:$AI$2,0),FALSE)*$F$2*TOCA_previous!C42),0),0), 0)</f>
        <v>0</v>
      </c>
      <c r="AW45" s="427">
        <f>VLOOKUP($A45,REP_previous!$A$1:$D$135,MATCH("FY "&amp;$F$1&amp; " Total Refund",REP_previous!$A$1:$D$1,0),0)</f>
        <v>1131616.8663631843</v>
      </c>
      <c r="AX45" s="398">
        <f>MIN(VLOOKUP($A45,TOCA_previous!$A$2:$AI$137,MATCH("TRL - NLSL - Exisiting Resource "&amp;$F$1,TOCA_previous!$A$2:$AI$2,0),FALSE)*$F$2,(VLOOKUP($A45,TOCA_previous!$A$2:$AI$137,MATCH("RHWM 2016",TOCA_previous!$A$2:$AI$2,0),FALSE)*$F$2))</f>
        <v>740403.3600000001</v>
      </c>
      <c r="AY45" s="384">
        <f>SUM(L45:AI45)+(F45*RT1SC!$C$3*$F$2)</f>
        <v>294863.34358111379</v>
      </c>
      <c r="AZ45" s="398">
        <f>VLOOKUP($A45,TOCA_previous!$A$2:$AI$137,MATCH("Above RHWM Not Served with LS "&amp;$F$1,TOCA_previous!$A$2:$AI$2,0),FALSE)*$F$2</f>
        <v>47644.416000000005</v>
      </c>
      <c r="BA45" s="206">
        <f t="shared" si="3"/>
        <v>-445540.01641888631</v>
      </c>
      <c r="BB45" s="399">
        <f>(VLOOKUP($A45,TOCA_previous!$A$2:$AI$137,MATCH("RHWM 2016",TOCA_previous!$A$2:$AI$2,0),FALSE)*$F$2) - $AX45</f>
        <v>67127.327999999863</v>
      </c>
      <c r="BC45" s="206">
        <f t="shared" si="4"/>
        <v>0</v>
      </c>
      <c r="BD45" s="400">
        <f t="shared" si="5"/>
        <v>397895.60041888629</v>
      </c>
      <c r="BE45" s="392">
        <f t="shared" si="6"/>
        <v>0</v>
      </c>
      <c r="BF45" s="399">
        <f t="shared" si="7"/>
        <v>0</v>
      </c>
      <c r="BG45" s="206">
        <f>VLOOKUP($A45,TOCA_current!$A$2:$AI$137,MATCH(BG$4,TOCA_current!$A$2:$AI$2,0),FALSE)</f>
        <v>1.21703E-2</v>
      </c>
      <c r="BH45" s="206">
        <f>VLOOKUP($A45,TOCA_current!$A$2:$AI$137,MATCH(BH$4,TOCA_current!$A$2:$AI$2,0),FALSE)</f>
        <v>4.9129999999999998E-3</v>
      </c>
      <c r="BI45" s="391">
        <f t="shared" si="8"/>
        <v>7.2573000000000004E-3</v>
      </c>
      <c r="BJ45" s="206">
        <f>VLOOKUP($A45,TOCA_current!A41:BG176,MATCH(BJ$4,TOCA_current!$A$2:$BG$2,0),FALSE)</f>
        <v>0</v>
      </c>
      <c r="BK45" s="206">
        <f t="shared" si="9"/>
        <v>0</v>
      </c>
      <c r="BL45" s="206">
        <f t="shared" si="10"/>
        <v>0</v>
      </c>
      <c r="BM45" s="381">
        <f>VLOOKUP($A45,IRD!$A$4:$G$139, 7, FALSE)</f>
        <v>0</v>
      </c>
      <c r="BN45" s="382">
        <f t="array" ref="BN45">IF($BI45=0, INDEX(LS_current!$D$4:$AY$139, MATCH('Staging Table'!$A45, LS_current!$B$4:$B$139, 0), MATCH(BN$4&amp;BN$5, LS_current!$D$2:$AY$2&amp;LS_current!$D$3:$AY$3, 0)),SUM(VLOOKUP($A45, LS_current!$B$4:$AY$139, LS_current!D$149, FALSE), VLOOKUP($A45, LS_current!$B$4:$AY$139,LS_current!D$149, FALSE))/2)</f>
        <v>-1255.0956306927546</v>
      </c>
      <c r="BO45" s="382">
        <f t="array" ref="BO45">IF($BI45=0, INDEX(LS_current!$D$4:$AY$139, MATCH('Staging Table'!$A45, LS_current!$B$4:$B$139, 0), MATCH(BO$4&amp;BO$5, LS_current!$D$2:$AY$2&amp;LS_current!$D$3:$AY$3, 0)),SUM(VLOOKUP($A45, LS_current!$B$4:$AY$139, LS_current!E$149, FALSE), VLOOKUP($A45, LS_current!$B$4:$AY$139,LS_current!E$149, FALSE))/2)</f>
        <v>2770.8357040731407</v>
      </c>
      <c r="BP45" s="382">
        <f t="array" ref="BP45">IF($BI45=0, INDEX(LS_current!$D$4:$AY$139, MATCH('Staging Table'!$A45, LS_current!$B$4:$B$139, 0), MATCH(BP$4&amp;BP$5, LS_current!$D$2:$AY$2&amp;LS_current!$D$3:$AY$3, 0)),SUM(VLOOKUP($A45, LS_current!$B$4:$AY$139, LS_current!F$149, FALSE), VLOOKUP($A45, LS_current!$B$4:$AY$139,LS_current!F$149, FALSE))/2)</f>
        <v>-4339.9493229740256</v>
      </c>
      <c r="BQ45" s="382">
        <f t="array" ref="BQ45">IF($BI45=0, INDEX(LS_current!$D$4:$AY$139, MATCH('Staging Table'!$A45, LS_current!$B$4:$B$139, 0), MATCH(BQ$4&amp;BQ$5, LS_current!$D$2:$AY$2&amp;LS_current!$D$3:$AY$3, 0)),SUM(VLOOKUP($A45, LS_current!$B$4:$AY$139, LS_current!G$149, FALSE), VLOOKUP($A45, LS_current!$B$4:$AY$139,LS_current!G$149, FALSE))/2)</f>
        <v>382.8829022134305</v>
      </c>
      <c r="BR45" s="382">
        <f t="array" ref="BR45">IF($BI45=0, INDEX(LS_current!$D$4:$AY$139, MATCH('Staging Table'!$A45, LS_current!$B$4:$B$139, 0), MATCH(BR$4&amp;BR$5, LS_current!$D$2:$AY$2&amp;LS_current!$D$3:$AY$3, 0)),SUM(VLOOKUP($A45, LS_current!$B$4:$AY$139, LS_current!H$149, FALSE), VLOOKUP($A45, LS_current!$B$4:$AY$139,LS_current!H$149, FALSE))/2)</f>
        <v>-3123.0738343874218</v>
      </c>
      <c r="BS45" s="382">
        <f t="array" ref="BS45">IF($BI45=0, INDEX(LS_current!$D$4:$AY$139, MATCH('Staging Table'!$A45, LS_current!$B$4:$B$139, 0), MATCH(BS$4&amp;BS$5, LS_current!$D$2:$AY$2&amp;LS_current!$D$3:$AY$3, 0)),SUM(VLOOKUP($A45, LS_current!$B$4:$AY$139, LS_current!I$149, FALSE), VLOOKUP($A45, LS_current!$B$4:$AY$139,LS_current!I$149, FALSE))/2)</f>
        <v>1777.9108682998904</v>
      </c>
      <c r="BT45" s="382">
        <f t="array" ref="BT45">IF($BI45=0, INDEX(LS_current!$D$4:$AY$139, MATCH('Staging Table'!$A45, LS_current!$B$4:$B$139, 0), MATCH(BT$4&amp;BT$5, LS_current!$D$2:$AY$2&amp;LS_current!$D$3:$AY$3, 0)),SUM(VLOOKUP($A45, LS_current!$B$4:$AY$139, LS_current!J$149, FALSE), VLOOKUP($A45, LS_current!$B$4:$AY$139,LS_current!J$149, FALSE))/2)</f>
        <v>127.58703875077663</v>
      </c>
      <c r="BU45" s="382">
        <f t="array" ref="BU45">IF($BI45=0, INDEX(LS_current!$D$4:$AY$139, MATCH('Staging Table'!$A45, LS_current!$B$4:$B$139, 0), MATCH(BU$4&amp;BU$5, LS_current!$D$2:$AY$2&amp;LS_current!$D$3:$AY$3, 0)),SUM(VLOOKUP($A45, LS_current!$B$4:$AY$139, LS_current!K$149, FALSE), VLOOKUP($A45, LS_current!$B$4:$AY$139,LS_current!K$149, FALSE))/2)</f>
        <v>2622.7243587681442</v>
      </c>
      <c r="BV45" s="382">
        <f t="array" ref="BV45">IF($BI45=0, INDEX(LS_current!$D$4:$AY$139, MATCH('Staging Table'!$A45, LS_current!$B$4:$B$139, 0), MATCH(BV$4&amp;BV$5, LS_current!$D$2:$AY$2&amp;LS_current!$D$3:$AY$3, 0)),SUM(VLOOKUP($A45, LS_current!$B$4:$AY$139, LS_current!L$149, FALSE), VLOOKUP($A45, LS_current!$B$4:$AY$139,LS_current!L$149, FALSE))/2)</f>
        <v>1378.0433178589174</v>
      </c>
      <c r="BW45" s="382">
        <f t="array" ref="BW45">IF($BI45=0, INDEX(LS_current!$D$4:$AY$139, MATCH('Staging Table'!$A45, LS_current!$B$4:$B$139, 0), MATCH(BW$4&amp;BW$5, LS_current!$D$2:$AY$2&amp;LS_current!$D$3:$AY$3, 0)),SUM(VLOOKUP($A45, LS_current!$B$4:$AY$139, LS_current!M$149, FALSE), VLOOKUP($A45, LS_current!$B$4:$AY$139,LS_current!M$149, FALSE))/2)</f>
        <v>3110.9938702734753</v>
      </c>
      <c r="BX45" s="382">
        <f t="array" ref="BX45">IF($BI45=0, INDEX(LS_current!$D$4:$AY$139, MATCH('Staging Table'!$A45, LS_current!$B$4:$B$139, 0), MATCH(BX$4&amp;BX$5, LS_current!$D$2:$AY$2&amp;LS_current!$D$3:$AY$3, 0)),SUM(VLOOKUP($A45, LS_current!$B$4:$AY$139, LS_current!N$149, FALSE), VLOOKUP($A45, LS_current!$B$4:$AY$139,LS_current!N$149, FALSE))/2)</f>
        <v>800.32477301459949</v>
      </c>
      <c r="BY45" s="382">
        <f t="array" ref="BY45">IF($BI45=0, INDEX(LS_current!$D$4:$AY$139, MATCH('Staging Table'!$A45, LS_current!$B$4:$B$139, 0), MATCH(BY$4&amp;BY$5, LS_current!$D$2:$AY$2&amp;LS_current!$D$3:$AY$3, 0)),SUM(VLOOKUP($A45, LS_current!$B$4:$AY$139, LS_current!O$149, FALSE), VLOOKUP($A45, LS_current!$B$4:$AY$139,LS_current!O$149, FALSE))/2)</f>
        <v>2620.082935762448</v>
      </c>
      <c r="BZ45" s="382">
        <f t="array" ref="BZ45">IF($BI45=0, INDEX(LS_current!$D$4:$AY$139, MATCH('Staging Table'!$A45, LS_current!$B$4:$B$139, 0), MATCH(BZ$4&amp;BZ$5, LS_current!$D$2:$AY$2&amp;LS_current!$D$3:$AY$3, 0)),SUM(VLOOKUP($A45, LS_current!$B$4:$AY$139, LS_current!P$149, FALSE), VLOOKUP($A45, LS_current!$B$4:$AY$139,LS_current!P$149, FALSE))/2)</f>
        <v>-419.19760690737166</v>
      </c>
      <c r="CA45" s="382">
        <f t="array" ref="CA45">IF($BI45=0, INDEX(LS_current!$D$4:$AY$139, MATCH('Staging Table'!$A45, LS_current!$B$4:$B$139, 0), MATCH(CA$4&amp;CA$5, LS_current!$D$2:$AY$2&amp;LS_current!$D$3:$AY$3, 0)),SUM(VLOOKUP($A45, LS_current!$B$4:$AY$139, LS_current!Q$149, FALSE), VLOOKUP($A45, LS_current!$B$4:$AY$139,LS_current!Q$149, FALSE))/2)</f>
        <v>3197.9882097276595</v>
      </c>
      <c r="CB45" s="382">
        <f t="array" ref="CB45">IF($BI45=0, INDEX(LS_current!$D$4:$AY$139, MATCH('Staging Table'!$A45, LS_current!$B$4:$B$139, 0), MATCH(CB$4&amp;CB$5, LS_current!$D$2:$AY$2&amp;LS_current!$D$3:$AY$3, 0)),SUM(VLOOKUP($A45, LS_current!$B$4:$AY$139, LS_current!R$149, FALSE), VLOOKUP($A45, LS_current!$B$4:$AY$139,LS_current!R$149, FALSE))/2)</f>
        <v>-10153.933492873621</v>
      </c>
      <c r="CC45" s="382">
        <f t="array" ref="CC45">IF($BI45=0, INDEX(LS_current!$D$4:$AY$139, MATCH('Staging Table'!$A45, LS_current!$B$4:$B$139, 0), MATCH(CC$4&amp;CC$5, LS_current!$D$2:$AY$2&amp;LS_current!$D$3:$AY$3, 0)),SUM(VLOOKUP($A45, LS_current!$B$4:$AY$139, LS_current!S$149, FALSE), VLOOKUP($A45, LS_current!$B$4:$AY$139,LS_current!S$149, FALSE))/2)</f>
        <v>-3403.6047111080861</v>
      </c>
      <c r="CD45" s="382">
        <f t="array" ref="CD45">IF($BI45=0, INDEX(LS_current!$D$4:$AY$139, MATCH('Staging Table'!$A45, LS_current!$B$4:$B$139, 0), MATCH(CD$4&amp;CD$5, LS_current!$D$2:$AY$2&amp;LS_current!$D$3:$AY$3, 0)),SUM(VLOOKUP($A45, LS_current!$B$4:$AY$139, LS_current!T$149, FALSE), VLOOKUP($A45, LS_current!$B$4:$AY$139,LS_current!T$149, FALSE))/2)</f>
        <v>-2837.8530613227776</v>
      </c>
      <c r="CE45" s="382">
        <f t="array" ref="CE45">IF($BI45=0, INDEX(LS_current!$D$4:$AY$139, MATCH('Staging Table'!$A45, LS_current!$B$4:$B$139, 0), MATCH(CE$4&amp;CE$5, LS_current!$D$2:$AY$2&amp;LS_current!$D$3:$AY$3, 0)),SUM(VLOOKUP($A45, LS_current!$B$4:$AY$139, LS_current!U$149, FALSE), VLOOKUP($A45, LS_current!$B$4:$AY$139,LS_current!U$149, FALSE))/2)</f>
        <v>1359.4090166359183</v>
      </c>
      <c r="CF45" s="382">
        <f t="array" ref="CF45">IF($BI45=0, INDEX(LS_current!$D$4:$AY$139, MATCH('Staging Table'!$A45, LS_current!$B$4:$B$139, 0), MATCH(CF$4&amp;CF$5, LS_current!$D$2:$AY$2&amp;LS_current!$D$3:$AY$3, 0)),SUM(VLOOKUP($A45, LS_current!$B$4:$AY$139, LS_current!V$149, FALSE), VLOOKUP($A45, LS_current!$B$4:$AY$139,LS_current!V$149, FALSE))/2)</f>
        <v>-2102.052860257978</v>
      </c>
      <c r="CG45" s="382">
        <f t="array" ref="CG45">IF($BI45=0, INDEX(LS_current!$D$4:$AY$139, MATCH('Staging Table'!$A45, LS_current!$B$4:$B$139, 0), MATCH(CG$4&amp;CG$5, LS_current!$D$2:$AY$2&amp;LS_current!$D$3:$AY$3, 0)),SUM(VLOOKUP($A45, LS_current!$B$4:$AY$139, LS_current!W$149, FALSE), VLOOKUP($A45, LS_current!$B$4:$AY$139,LS_current!W$149, FALSE))/2)</f>
        <v>3116.3601532573257</v>
      </c>
      <c r="CH45" s="382">
        <f t="array" ref="CH45">IF($BI45=0, INDEX(LS_current!$D$4:$AY$139, MATCH('Staging Table'!$A45, LS_current!$B$4:$B$139, 0), MATCH(CH$4&amp;CH$5, LS_current!$D$2:$AY$2&amp;LS_current!$D$3:$AY$3, 0)),SUM(VLOOKUP($A45, LS_current!$B$4:$AY$139, LS_current!X$149, FALSE), VLOOKUP($A45, LS_current!$B$4:$AY$139,LS_current!X$149, FALSE))/2)</f>
        <v>-3065.0076812168445</v>
      </c>
      <c r="CI45" s="382">
        <f t="array" ref="CI45">IF($BI45=0, INDEX(LS_current!$D$4:$AY$139, MATCH('Staging Table'!$A45, LS_current!$B$4:$B$139, 0), MATCH(CI$4&amp;CI$5, LS_current!$D$2:$AY$2&amp;LS_current!$D$3:$AY$3, 0)),SUM(VLOOKUP($A45, LS_current!$B$4:$AY$139, LS_current!Y$149, FALSE), VLOOKUP($A45, LS_current!$B$4:$AY$139,LS_current!Y$149, FALSE))/2)</f>
        <v>1628.0806288280455</v>
      </c>
      <c r="CJ45" s="382">
        <f t="array" ref="CJ45">IF($BI45=0, INDEX(LS_current!$D$4:$AY$139, MATCH('Staging Table'!$A45, LS_current!$B$4:$B$139, 0), MATCH(CJ$4&amp;CJ$5, LS_current!$D$2:$AY$2&amp;LS_current!$D$3:$AY$3, 0)),SUM(VLOOKUP($A45, LS_current!$B$4:$AY$139, LS_current!Z$149, FALSE), VLOOKUP($A45, LS_current!$B$4:$AY$139,LS_current!Z$149, FALSE))/2)</f>
        <v>-1947.9650256387176</v>
      </c>
      <c r="CK45" s="382">
        <f t="array" ref="CK45">IF($BI45=0, INDEX(LS_current!$D$4:$AY$139, MATCH('Staging Table'!$A45, LS_current!$B$4:$B$139, 0), MATCH(CK$4&amp;CK$5, LS_current!$D$2:$AY$2&amp;LS_current!$D$3:$AY$3, 0)),SUM(VLOOKUP($A45, LS_current!$B$4:$AY$139, LS_current!AA$149, FALSE), VLOOKUP($A45, LS_current!$B$4:$AY$139,LS_current!AA$149, FALSE))/2)</f>
        <v>2837.0650440033751</v>
      </c>
      <c r="CL45" s="384">
        <f t="array" ref="CL45">INDEX(Demand_current!$D$4:$AY$138, MATCH($A45, Demand_current!$B$4:$B$138, 0), MATCH(CL$4&amp;CL$5,Demand_current!$D$2:$AY$2&amp;Demand_current!$D$3:$AY$3, 0))/1000</f>
        <v>0</v>
      </c>
      <c r="CM45" s="384">
        <f t="array" ref="CM45">INDEX(Demand_current!$D$4:$AY$138, MATCH($A45, Demand_current!$B$4:$B$138, 0), MATCH(CM$4&amp;CM$5,Demand_current!$D$2:$AY$2&amp;Demand_current!$D$3:$AY$3, 0))/1000</f>
        <v>0</v>
      </c>
      <c r="CN45" s="384">
        <f t="array" ref="CN45">INDEX(Demand_current!$D$4:$AY$138, MATCH($A45, Demand_current!$B$4:$B$138, 0), MATCH(CN$4&amp;CN$5,Demand_current!$D$2:$AY$2&amp;Demand_current!$D$3:$AY$3, 0))/1000</f>
        <v>0</v>
      </c>
      <c r="CO45" s="384">
        <f t="array" ref="CO45">INDEX(Demand_current!$D$4:$AY$138, MATCH($A45, Demand_current!$B$4:$B$138, 0), MATCH(CO$4&amp;CO$5,Demand_current!$D$2:$AY$2&amp;Demand_current!$D$3:$AY$3, 0))/1000</f>
        <v>0</v>
      </c>
      <c r="CP45" s="384">
        <f t="array" ref="CP45">INDEX(Demand_current!$D$4:$AY$138, MATCH($A45, Demand_current!$B$4:$B$138, 0), MATCH(CP$4&amp;CP$5,Demand_current!$D$2:$AY$2&amp;Demand_current!$D$3:$AY$3, 0))/1000</f>
        <v>0</v>
      </c>
      <c r="CQ45" s="384">
        <f t="array" ref="CQ45">INDEX(Demand_current!$D$4:$AY$138, MATCH($A45, Demand_current!$B$4:$B$138, 0), MATCH(CQ$4&amp;CQ$5,Demand_current!$D$2:$AY$2&amp;Demand_current!$D$3:$AY$3, 0))/1000</f>
        <v>0</v>
      </c>
      <c r="CR45" s="384">
        <f t="array" ref="CR45">INDEX(Demand_current!$D$4:$AY$138, MATCH($A45, Demand_current!$B$4:$B$138, 0), MATCH(CR$4&amp;CR$5,Demand_current!$D$2:$AY$2&amp;Demand_current!$D$3:$AY$3, 0))/1000</f>
        <v>0</v>
      </c>
      <c r="CS45" s="384">
        <f t="array" ref="CS45">INDEX(Demand_current!$D$4:$AY$138, MATCH($A45, Demand_current!$B$4:$B$138, 0), MATCH(CS$4&amp;CS$5,Demand_current!$D$2:$AY$2&amp;Demand_current!$D$3:$AY$3, 0))/1000</f>
        <v>0</v>
      </c>
      <c r="CT45" s="384">
        <f t="array" ref="CT45">INDEX(Demand_current!$D$4:$AY$138, MATCH($A45, Demand_current!$B$4:$B$138, 0), MATCH(CT$4&amp;CT$5,Demand_current!$D$2:$AY$2&amp;Demand_current!$D$3:$AY$3, 0))/1000</f>
        <v>0</v>
      </c>
      <c r="CU45" s="384">
        <f t="array" ref="CU45">INDEX(Demand_current!$D$4:$AY$138, MATCH($A45, Demand_current!$B$4:$B$138, 0), MATCH(CU$4&amp;CU$5,Demand_current!$D$2:$AY$2&amp;Demand_current!$D$3:$AY$3, 0))/1000</f>
        <v>0</v>
      </c>
      <c r="CV45" s="384">
        <f t="array" ref="CV45">INDEX(Demand_current!$D$4:$AY$138, MATCH($A45, Demand_current!$B$4:$B$138, 0), MATCH(CV$4&amp;CV$5,Demand_current!$D$2:$AY$2&amp;Demand_current!$D$3:$AY$3, 0))/1000</f>
        <v>0</v>
      </c>
      <c r="CW45" s="384">
        <f t="array" ref="CW45">INDEX(Demand_current!$D$4:$AY$138, MATCH($A45, Demand_current!$B$4:$B$138, 0), MATCH(CW$4&amp;CW$5,Demand_current!$D$2:$AY$2&amp;Demand_current!$D$3:$AY$3, 0))/1000</f>
        <v>0</v>
      </c>
      <c r="CX45" s="384">
        <f>IF(D45=0,IF(C45=0,MAX(0,DA45 - (VLOOKUP($A45,TOCA_current!$A$2:$AI$137,MATCH("RHWM 2018",TOCA_current!$A$2:$AI$2,0),FALSE)*$BH$2)), 0),0)</f>
        <v>0</v>
      </c>
      <c r="CY45" s="427">
        <f>VLOOKUP($A45,REP_current!$A$1:$D$135,MATCH("FY "&amp;$BH$1&amp; " Total Refund",REP_current!$A$1:$D$1,0),0)</f>
        <v>1100156.3819007562</v>
      </c>
      <c r="CZ45" s="432">
        <f>MIN(VLOOKUP($A45,TOCA_current!$A$2:$AI$137,MATCH("TRL - NLSL - Existing Resource "&amp;$BH$1,TOCA_current!$A$2:$AI$2,0),FALSE)*$BH$2, VLOOKUP($A45,TOCA_current!$A$2:$AI$137,MATCH("RHWM 2018",TOCA_current!$A$2:$AI$2,0),FALSE)*$BH$2)</f>
        <v>740403.96</v>
      </c>
      <c r="DA45" s="397">
        <f>SUM(BN45:CK45)+(BH45*RT1SC!$C$4*$BH$2)</f>
        <v>293974.00436056749</v>
      </c>
      <c r="DB45" s="432">
        <f>VLOOKUP($A45,TOCA_current!$A$2:$AI$137,MATCH("Above RHWM Not Served with LS "&amp;$BH$1,TOCA_current!$A$2:$AI$2,0),FALSE)*$BH$2</f>
        <v>0</v>
      </c>
      <c r="DC45" s="401">
        <f t="shared" si="11"/>
        <v>-446429.95563943248</v>
      </c>
      <c r="DD45" s="397">
        <f>(VLOOKUP($A45,TOCA_current!$A$2:$AI$137,MATCH("RHWM 2018",TOCA_current!$A$2:$AI$2,0),FALSE)*$BH$2) - $CZ45</f>
        <v>59804.520000000019</v>
      </c>
      <c r="DE45" s="397">
        <f t="shared" si="12"/>
        <v>0</v>
      </c>
      <c r="DF45" s="397">
        <f t="shared" si="13"/>
        <v>446429.95563943248</v>
      </c>
      <c r="DG45" s="397">
        <f t="shared" si="14"/>
        <v>0</v>
      </c>
      <c r="DH45" s="397">
        <f t="shared" si="15"/>
        <v>0</v>
      </c>
    </row>
    <row r="46" spans="1:112">
      <c r="A46" s="274">
        <v>10106</v>
      </c>
      <c r="B46" s="275" t="s">
        <v>47</v>
      </c>
      <c r="C46" s="397">
        <v>1</v>
      </c>
      <c r="D46" s="397">
        <v>0</v>
      </c>
      <c r="E46" s="205">
        <f>VLOOKUP($A46,TOCA_previous!$A$2:$AI$137,MATCH(E$4,TOCA_previous!$A$2:$AI$2,0),FALSE)</f>
        <v>3.3138999999999998E-3</v>
      </c>
      <c r="F46" s="206">
        <f>VLOOKUP($A46,TOCA_previous!$A$2:$AI$137,MATCH(F$4,TOCA_previous!$A$2:$AI$2,0),FALSE)</f>
        <v>3.3138999999999998E-3</v>
      </c>
      <c r="G46" s="206">
        <f t="shared" si="0"/>
        <v>0</v>
      </c>
      <c r="H46" s="206">
        <f>VLOOKUP($A46,TOCA_previous!$A$2:$AI$137,MATCH(H$4,TOCA_previous!$A$2:$AI$2,0),FALSE)</f>
        <v>7.0000000000000007E-2</v>
      </c>
      <c r="I46" s="206">
        <f t="shared" si="1"/>
        <v>7.0000000000000007E-2</v>
      </c>
      <c r="J46" s="206">
        <f t="shared" si="2"/>
        <v>3.3138999999999998E-3</v>
      </c>
      <c r="K46" s="381">
        <f>VLOOKUP(A46, IRD!$A$5:$C$139, 3, FALSE)</f>
        <v>0</v>
      </c>
      <c r="L46" s="382">
        <f t="array" ref="L46">IF($G46=0, INDEX(LS_previous!$D$4:$AY$138, MATCH('Staging Table'!$A46, LS_previous!$B$4:$B$138, 0), MATCH(L$4&amp;L$5, LS_previous!$D$2:$AY$2&amp;LS_previous!$D$3:$AY$3, 0)),SUM(VLOOKUP($A46, LS_previous!$B$4:$AY$138, LS_previous!D$149, FALSE), VLOOKUP('Staging Table'!$A46, LS_previous!$B$4:$AY$138,LS_previous!AB$149, FALSE))/2)</f>
        <v>0</v>
      </c>
      <c r="M46" s="382">
        <f t="array" ref="M46">IF($G46=0, INDEX(LS_previous!$D$4:$AY$138, MATCH('Staging Table'!$A46, LS_previous!$B$4:$B$138, 0), MATCH(M$4&amp;M$5, LS_previous!$D$2:$AY$2&amp;LS_previous!$D$3:$AY$3, 0)),SUM(VLOOKUP($A46, LS_previous!$B$4:$AY$138, LS_previous!E$149, FALSE), VLOOKUP('Staging Table'!$A46, LS_previous!$B$4:$AY$138,LS_previous!AC$149, FALSE))/2)</f>
        <v>0</v>
      </c>
      <c r="N46" s="382">
        <f t="array" ref="N46">IF($G46=0, INDEX(LS_previous!$D$4:$AY$138, MATCH('Staging Table'!$A46, LS_previous!$B$4:$B$138, 0), MATCH(N$4&amp;N$5, LS_previous!$D$2:$AY$2&amp;LS_previous!$D$3:$AY$3, 0)),SUM(VLOOKUP($A46, LS_previous!$B$4:$AY$138, LS_previous!F$149, FALSE), VLOOKUP('Staging Table'!$A46, LS_previous!$B$4:$AY$138,LS_previous!AD$149, FALSE))/2)</f>
        <v>0</v>
      </c>
      <c r="O46" s="382">
        <f t="array" ref="O46">IF($G46=0, INDEX(LS_previous!$D$4:$AY$138, MATCH('Staging Table'!$A46, LS_previous!$B$4:$B$138, 0), MATCH(O$4&amp;O$5, LS_previous!$D$2:$AY$2&amp;LS_previous!$D$3:$AY$3, 0)),SUM(VLOOKUP($A46, LS_previous!$B$4:$AY$138, LS_previous!G$149, FALSE), VLOOKUP('Staging Table'!$A46, LS_previous!$B$4:$AY$138,LS_previous!AE$149, FALSE))/2)</f>
        <v>0</v>
      </c>
      <c r="P46" s="382">
        <f t="array" ref="P46">IF($G46=0, INDEX(LS_previous!$D$4:$AY$138, MATCH('Staging Table'!$A46, LS_previous!$B$4:$B$138, 0), MATCH(P$4&amp;P$5, LS_previous!$D$2:$AY$2&amp;LS_previous!$D$3:$AY$3, 0)),SUM(VLOOKUP($A46, LS_previous!$B$4:$AY$138, LS_previous!H$149, FALSE), VLOOKUP('Staging Table'!$A46, LS_previous!$B$4:$AY$138,LS_previous!AF$149, FALSE))/2)</f>
        <v>0</v>
      </c>
      <c r="Q46" s="382">
        <f t="array" ref="Q46">IF($G46=0, INDEX(LS_previous!$D$4:$AY$138, MATCH('Staging Table'!$A46, LS_previous!$B$4:$B$138, 0), MATCH(Q$4&amp;Q$5, LS_previous!$D$2:$AY$2&amp;LS_previous!$D$3:$AY$3, 0)),SUM(VLOOKUP($A46, LS_previous!$B$4:$AY$138, LS_previous!I$149, FALSE), VLOOKUP('Staging Table'!$A46, LS_previous!$B$4:$AY$138,LS_previous!AG$149, FALSE))/2)</f>
        <v>0</v>
      </c>
      <c r="R46" s="382">
        <f t="array" ref="R46">IF($G46=0, INDEX(LS_previous!$D$4:$AY$138, MATCH('Staging Table'!$A46, LS_previous!$B$4:$B$138, 0), MATCH(R$4&amp;R$5, LS_previous!$D$2:$AY$2&amp;LS_previous!$D$3:$AY$3, 0)),SUM(VLOOKUP($A46, LS_previous!$B$4:$AY$138, LS_previous!J$149, FALSE), VLOOKUP('Staging Table'!$A46, LS_previous!$B$4:$AY$138,LS_previous!AH$149, FALSE))/2)</f>
        <v>0</v>
      </c>
      <c r="S46" s="382">
        <f t="array" ref="S46">IF($G46=0, INDEX(LS_previous!$D$4:$AY$138, MATCH('Staging Table'!$A46, LS_previous!$B$4:$B$138, 0), MATCH(S$4&amp;S$5, LS_previous!$D$2:$AY$2&amp;LS_previous!$D$3:$AY$3, 0)),SUM(VLOOKUP($A46, LS_previous!$B$4:$AY$138, LS_previous!K$149, FALSE), VLOOKUP('Staging Table'!$A46, LS_previous!$B$4:$AY$138,LS_previous!AI$149, FALSE))/2)</f>
        <v>0</v>
      </c>
      <c r="T46" s="382">
        <f t="array" ref="T46">IF($G46=0, INDEX(LS_previous!$D$4:$AY$138, MATCH('Staging Table'!$A46, LS_previous!$B$4:$B$138, 0), MATCH(T$4&amp;T$5, LS_previous!$D$2:$AY$2&amp;LS_previous!$D$3:$AY$3, 0)),SUM(VLOOKUP($A46, LS_previous!$B$4:$AY$138, LS_previous!L$149, FALSE), VLOOKUP('Staging Table'!$A46, LS_previous!$B$4:$AY$138,LS_previous!AJ$149, FALSE))/2)</f>
        <v>0</v>
      </c>
      <c r="U46" s="382">
        <f t="array" ref="U46">IF($G46=0, INDEX(LS_previous!$D$4:$AY$138, MATCH('Staging Table'!$A46, LS_previous!$B$4:$B$138, 0), MATCH(U$4&amp;U$5, LS_previous!$D$2:$AY$2&amp;LS_previous!$D$3:$AY$3, 0)),SUM(VLOOKUP($A46, LS_previous!$B$4:$AY$138, LS_previous!M$149, FALSE), VLOOKUP('Staging Table'!$A46, LS_previous!$B$4:$AY$138,LS_previous!AK$149, FALSE))/2)</f>
        <v>0</v>
      </c>
      <c r="V46" s="382">
        <f t="array" ref="V46">IF($G46=0, INDEX(LS_previous!$D$4:$AY$138, MATCH('Staging Table'!$A46, LS_previous!$B$4:$B$138, 0), MATCH(V$4&amp;V$5, LS_previous!$D$2:$AY$2&amp;LS_previous!$D$3:$AY$3, 0)),SUM(VLOOKUP($A46, LS_previous!$B$4:$AY$138, LS_previous!N$149, FALSE), VLOOKUP('Staging Table'!$A46, LS_previous!$B$4:$AY$138,LS_previous!AL$149, FALSE))/2)</f>
        <v>0</v>
      </c>
      <c r="W46" s="382">
        <f t="array" ref="W46">IF($G46=0, INDEX(LS_previous!$D$4:$AY$138, MATCH('Staging Table'!$A46, LS_previous!$B$4:$B$138, 0), MATCH(W$4&amp;W$5, LS_previous!$D$2:$AY$2&amp;LS_previous!$D$3:$AY$3, 0)),SUM(VLOOKUP($A46, LS_previous!$B$4:$AY$138, LS_previous!O$149, FALSE), VLOOKUP('Staging Table'!$A46, LS_previous!$B$4:$AY$138,LS_previous!AM$149, FALSE))/2)</f>
        <v>0</v>
      </c>
      <c r="X46" s="382">
        <f t="array" ref="X46">IF($G46=0, INDEX(LS_previous!$D$4:$AY$138, MATCH('Staging Table'!$A46, LS_previous!$B$4:$B$138, 0), MATCH(X$4&amp;X$5, LS_previous!$D$2:$AY$2&amp;LS_previous!$D$3:$AY$3, 0)),SUM(VLOOKUP($A46, LS_previous!$B$4:$AY$138, LS_previous!P$149, FALSE), VLOOKUP('Staging Table'!$A46, LS_previous!$B$4:$AY$138,LS_previous!AN$149, FALSE))/2)</f>
        <v>0</v>
      </c>
      <c r="Y46" s="382">
        <f t="array" ref="Y46">IF($G46=0, INDEX(LS_previous!$D$4:$AY$138, MATCH('Staging Table'!$A46, LS_previous!$B$4:$B$138, 0), MATCH(Y$4&amp;Y$5, LS_previous!$D$2:$AY$2&amp;LS_previous!$D$3:$AY$3, 0)),SUM(VLOOKUP($A46, LS_previous!$B$4:$AY$138, LS_previous!Q$149, FALSE), VLOOKUP('Staging Table'!$A46, LS_previous!$B$4:$AY$138,LS_previous!AO$149, FALSE))/2)</f>
        <v>0</v>
      </c>
      <c r="Z46" s="382">
        <f t="array" ref="Z46">IF($G46=0, INDEX(LS_previous!$D$4:$AY$138, MATCH('Staging Table'!$A46, LS_previous!$B$4:$B$138, 0), MATCH(Z$4&amp;Z$5, LS_previous!$D$2:$AY$2&amp;LS_previous!$D$3:$AY$3, 0)),SUM(VLOOKUP($A46, LS_previous!$B$4:$AY$138, LS_previous!R$149, FALSE), VLOOKUP('Staging Table'!$A46, LS_previous!$B$4:$AY$138,LS_previous!AP$149, FALSE))/2)</f>
        <v>0</v>
      </c>
      <c r="AA46" s="382">
        <f t="array" ref="AA46">IF($G46=0, INDEX(LS_previous!$D$4:$AY$138, MATCH('Staging Table'!$A46, LS_previous!$B$4:$B$138, 0), MATCH(AA$4&amp;AA$5, LS_previous!$D$2:$AY$2&amp;LS_previous!$D$3:$AY$3, 0)),SUM(VLOOKUP($A46, LS_previous!$B$4:$AY$138, LS_previous!S$149, FALSE), VLOOKUP('Staging Table'!$A46, LS_previous!$B$4:$AY$138,LS_previous!AQ$149, FALSE))/2)</f>
        <v>0</v>
      </c>
      <c r="AB46" s="382">
        <f t="array" ref="AB46">IF($G46=0, INDEX(LS_previous!$D$4:$AY$138, MATCH('Staging Table'!$A46, LS_previous!$B$4:$B$138, 0), MATCH(AB$4&amp;AB$5, LS_previous!$D$2:$AY$2&amp;LS_previous!$D$3:$AY$3, 0)),SUM(VLOOKUP($A46, LS_previous!$B$4:$AY$138, LS_previous!T$149, FALSE), VLOOKUP('Staging Table'!$A46, LS_previous!$B$4:$AY$138,LS_previous!AR$149, FALSE))/2)</f>
        <v>0</v>
      </c>
      <c r="AC46" s="382">
        <f t="array" ref="AC46">IF($G46=0, INDEX(LS_previous!$D$4:$AY$138, MATCH('Staging Table'!$A46, LS_previous!$B$4:$B$138, 0), MATCH(AC$4&amp;AC$5, LS_previous!$D$2:$AY$2&amp;LS_previous!$D$3:$AY$3, 0)),SUM(VLOOKUP($A46, LS_previous!$B$4:$AY$138, LS_previous!U$149, FALSE), VLOOKUP('Staging Table'!$A46, LS_previous!$B$4:$AY$138,LS_previous!AS$149, FALSE))/2)</f>
        <v>0</v>
      </c>
      <c r="AD46" s="382">
        <f t="array" ref="AD46">IF($G46=0, INDEX(LS_previous!$D$4:$AY$138, MATCH('Staging Table'!$A46, LS_previous!$B$4:$B$138, 0), MATCH(AD$4&amp;AD$5, LS_previous!$D$2:$AY$2&amp;LS_previous!$D$3:$AY$3, 0)),SUM(VLOOKUP($A46, LS_previous!$B$4:$AY$138, LS_previous!V$149, FALSE), VLOOKUP('Staging Table'!$A46, LS_previous!$B$4:$AY$138,LS_previous!AT$149, FALSE))/2)</f>
        <v>0</v>
      </c>
      <c r="AE46" s="382">
        <f t="array" ref="AE46">IF($G46=0, INDEX(LS_previous!$D$4:$AY$138, MATCH('Staging Table'!$A46, LS_previous!$B$4:$B$138, 0), MATCH(AE$4&amp;AE$5, LS_previous!$D$2:$AY$2&amp;LS_previous!$D$3:$AY$3, 0)),SUM(VLOOKUP($A46, LS_previous!$B$4:$AY$138, LS_previous!W$149, FALSE), VLOOKUP('Staging Table'!$A46, LS_previous!$B$4:$AY$138,LS_previous!AU$149, FALSE))/2)</f>
        <v>0</v>
      </c>
      <c r="AF46" s="382">
        <f t="array" ref="AF46">IF($G46=0, INDEX(LS_previous!$D$4:$AY$138, MATCH('Staging Table'!$A46, LS_previous!$B$4:$B$138, 0), MATCH(AF$4&amp;AF$5, LS_previous!$D$2:$AY$2&amp;LS_previous!$D$3:$AY$3, 0)),SUM(VLOOKUP($A46, LS_previous!$B$4:$AY$138, LS_previous!X$149, FALSE), VLOOKUP('Staging Table'!$A46, LS_previous!$B$4:$AY$138,LS_previous!AV$149, FALSE))/2)</f>
        <v>0</v>
      </c>
      <c r="AG46" s="382">
        <f t="array" ref="AG46">IF($G46=0, INDEX(LS_previous!$D$4:$AY$138, MATCH('Staging Table'!$A46, LS_previous!$B$4:$B$138, 0), MATCH(AG$4&amp;AG$5, LS_previous!$D$2:$AY$2&amp;LS_previous!$D$3:$AY$3, 0)),SUM(VLOOKUP($A46, LS_previous!$B$4:$AY$138, LS_previous!Y$149, FALSE), VLOOKUP('Staging Table'!$A46, LS_previous!$B$4:$AY$138,LS_previous!AW$149, FALSE))/2)</f>
        <v>0</v>
      </c>
      <c r="AH46" s="382">
        <f t="array" ref="AH46">IF($G46=0, INDEX(LS_previous!$D$4:$AY$138, MATCH('Staging Table'!$A46, LS_previous!$B$4:$B$138, 0), MATCH(AH$4&amp;AH$5, LS_previous!$D$2:$AY$2&amp;LS_previous!$D$3:$AY$3, 0)),SUM(VLOOKUP($A46, LS_previous!$B$4:$AY$138, LS_previous!Z$149, FALSE), VLOOKUP('Staging Table'!$A46, LS_previous!$B$4:$AY$138,LS_previous!AX$149, FALSE))/2)</f>
        <v>0</v>
      </c>
      <c r="AI46" s="382">
        <f t="array" ref="AI46">IF($G46=0, INDEX(LS_previous!$D$4:$AY$138, MATCH('Staging Table'!$A46, LS_previous!$B$4:$B$138, 0), MATCH(AI$4&amp;AI$5, LS_previous!$D$2:$AY$2&amp;LS_previous!$D$3:$AY$3, 0)),SUM(VLOOKUP($A46, LS_previous!$B$4:$AY$138, LS_previous!AA$149, FALSE), VLOOKUP('Staging Table'!$A46, LS_previous!$B$4:$AY$138,LS_previous!AY$149, FALSE))/2)</f>
        <v>0</v>
      </c>
      <c r="AJ46" s="384">
        <f t="array" ref="AJ46">INDEX(Demand_previous!$D$4:$AY$138, MATCH('Staging Table'!$A46, Demand_previous!$B$4:$B$138, 0), MATCH(AJ$4&amp;AJ$5,Demand_previous!$D$2:$AY$2&amp;Demand_previous!$D$3:$AY$3, 0))/1000</f>
        <v>0</v>
      </c>
      <c r="AK46" s="384">
        <f t="array" ref="AK46">INDEX(Demand_previous!$D$4:$AY$138, MATCH('Staging Table'!$A46, Demand_previous!$B$4:$B$138, 0), MATCH(AK$4&amp;AK$5,Demand_previous!$D$2:$AY$2&amp;Demand_previous!$D$3:$AY$3, 0))/1000</f>
        <v>0</v>
      </c>
      <c r="AL46" s="384">
        <f t="array" ref="AL46">INDEX(Demand_previous!$D$4:$AY$138, MATCH('Staging Table'!$A46, Demand_previous!$B$4:$B$138, 0), MATCH(AL$4&amp;AL$5,Demand_previous!$D$2:$AY$2&amp;Demand_previous!$D$3:$AY$3, 0))/1000</f>
        <v>0</v>
      </c>
      <c r="AM46" s="384">
        <f t="array" ref="AM46">INDEX(Demand_previous!$D$4:$AY$138, MATCH('Staging Table'!$A46, Demand_previous!$B$4:$B$138, 0), MATCH(AM$4&amp;AM$5,Demand_previous!$D$2:$AY$2&amp;Demand_previous!$D$3:$AY$3, 0))/1000</f>
        <v>0</v>
      </c>
      <c r="AN46" s="384">
        <f t="array" ref="AN46">INDEX(Demand_previous!$D$4:$AY$138, MATCH('Staging Table'!$A46, Demand_previous!$B$4:$B$138, 0), MATCH(AN$4&amp;AN$5,Demand_previous!$D$2:$AY$2&amp;Demand_previous!$D$3:$AY$3, 0))/1000</f>
        <v>0</v>
      </c>
      <c r="AO46" s="384">
        <f t="array" ref="AO46">INDEX(Demand_previous!$D$4:$AY$138, MATCH('Staging Table'!$A46, Demand_previous!$B$4:$B$138, 0), MATCH(AO$4&amp;AO$5,Demand_previous!$D$2:$AY$2&amp;Demand_previous!$D$3:$AY$3, 0))/1000</f>
        <v>0</v>
      </c>
      <c r="AP46" s="384">
        <f t="array" ref="AP46">INDEX(Demand_previous!$D$4:$AY$138, MATCH('Staging Table'!$A46, Demand_previous!$B$4:$B$138, 0), MATCH(AP$4&amp;AP$5,Demand_previous!$D$2:$AY$2&amp;Demand_previous!$D$3:$AY$3, 0))/1000</f>
        <v>0</v>
      </c>
      <c r="AQ46" s="384">
        <f t="array" ref="AQ46">INDEX(Demand_previous!$D$4:$AY$138, MATCH('Staging Table'!$A46, Demand_previous!$B$4:$B$138, 0), MATCH(AQ$4&amp;AQ$5,Demand_previous!$D$2:$AY$2&amp;Demand_previous!$D$3:$AY$3, 0))/1000</f>
        <v>0</v>
      </c>
      <c r="AR46" s="384">
        <f t="array" ref="AR46">INDEX(Demand_previous!$D$4:$AY$138, MATCH('Staging Table'!$A46, Demand_previous!$B$4:$B$138, 0), MATCH(AR$4&amp;AR$5,Demand_previous!$D$2:$AY$2&amp;Demand_previous!$D$3:$AY$3, 0))/1000</f>
        <v>0</v>
      </c>
      <c r="AS46" s="384">
        <f t="array" ref="AS46">INDEX(Demand_previous!$D$4:$AY$138, MATCH('Staging Table'!$A46, Demand_previous!$B$4:$B$138, 0), MATCH(AS$4&amp;AS$5,Demand_previous!$D$2:$AY$2&amp;Demand_previous!$D$3:$AY$3, 0))/1000</f>
        <v>0</v>
      </c>
      <c r="AT46" s="384">
        <f t="array" ref="AT46">INDEX(Demand_previous!$D$4:$AY$138, MATCH('Staging Table'!$A46, Demand_previous!$B$4:$B$138, 0), MATCH(AT$4&amp;AT$5,Demand_previous!$D$2:$AY$2&amp;Demand_previous!$D$3:$AY$3, 0))/1000</f>
        <v>0</v>
      </c>
      <c r="AU46" s="384">
        <f t="array" ref="AU46">INDEX(Demand_previous!$D$4:$AY$138, MATCH('Staging Table'!$A46, Demand_previous!$B$4:$B$138, 0), MATCH(AU$4&amp;AU$5,Demand_previous!$D$2:$AY$2&amp;Demand_previous!$D$3:$AY$3, 0))/1000</f>
        <v>0</v>
      </c>
      <c r="AV46" s="384">
        <f>IF($D46=0,IF(C46=0, MAX(AY46 - (VLOOKUP($A46,TOCA_previous!$A$2:$AI$137,MATCH("RHWM 2016",TOCA_previous!$A$2:$AI$2,0),FALSE)*$F$2*TOCA_previous!C43),0),0), 0)</f>
        <v>0</v>
      </c>
      <c r="AW46" s="427">
        <f>VLOOKUP($A46,REP_previous!$A$1:$D$135,MATCH("FY "&amp;$F$1&amp; " Total Refund",REP_previous!$A$1:$D$1,0),0)</f>
        <v>255273.66647167166</v>
      </c>
      <c r="AX46" s="398">
        <f>MIN(VLOOKUP($A46,TOCA_previous!$A$2:$AI$137,MATCH("TRL - NLSL - Exisiting Resource "&amp;$F$1,TOCA_previous!$A$2:$AI$2,0),FALSE)*$F$2,(VLOOKUP($A46,TOCA_previous!$A$2:$AI$137,MATCH("RHWM 2016",TOCA_previous!$A$2:$AI$2,0),FALSE)*$F$2))</f>
        <v>203270.54399999999</v>
      </c>
      <c r="AY46" s="384">
        <f>SUM(L46:AI46)+(F46*RT1SC!$C$3*$F$2)</f>
        <v>203272.699431096</v>
      </c>
      <c r="AZ46" s="398">
        <f>VLOOKUP($A46,TOCA_previous!$A$2:$AI$137,MATCH("Above RHWM Not Served with LS "&amp;$F$1,TOCA_previous!$A$2:$AI$2,0),FALSE)*$F$2</f>
        <v>0</v>
      </c>
      <c r="BA46" s="206">
        <f t="shared" si="3"/>
        <v>2.1554310960054863</v>
      </c>
      <c r="BB46" s="399">
        <f>(VLOOKUP($A46,TOCA_previous!$A$2:$AI$137,MATCH("RHWM 2016",TOCA_previous!$A$2:$AI$2,0),FALSE)*$F$2) - $AX46</f>
        <v>4435.9200000000128</v>
      </c>
      <c r="BC46" s="206">
        <f t="shared" si="4"/>
        <v>-2.1554310960054863</v>
      </c>
      <c r="BD46" s="400">
        <f t="shared" si="5"/>
        <v>0</v>
      </c>
      <c r="BE46" s="392">
        <f t="shared" si="6"/>
        <v>0</v>
      </c>
      <c r="BF46" s="399">
        <f t="shared" si="7"/>
        <v>-2.1554310960054863</v>
      </c>
      <c r="BG46" s="206">
        <f>VLOOKUP($A46,TOCA_current!$A$2:$AI$137,MATCH(BG$4,TOCA_current!$A$2:$AI$2,0),FALSE)</f>
        <v>3.3831999999999998E-3</v>
      </c>
      <c r="BH46" s="206">
        <f>VLOOKUP($A46,TOCA_current!$A$2:$AI$137,MATCH(BH$4,TOCA_current!$A$2:$AI$2,0),FALSE)</f>
        <v>3.3831999999999998E-3</v>
      </c>
      <c r="BI46" s="391">
        <f t="shared" si="8"/>
        <v>0</v>
      </c>
      <c r="BJ46" s="206">
        <f>VLOOKUP($A46,TOCA_current!A42:BG177,MATCH(BJ$4,TOCA_current!$A$2:$BG$2,0),FALSE)</f>
        <v>7.0217483827034397E-2</v>
      </c>
      <c r="BK46" s="206">
        <f t="shared" si="9"/>
        <v>7.0217483827034397E-2</v>
      </c>
      <c r="BL46" s="206">
        <f t="shared" si="10"/>
        <v>3.3831999999999998E-3</v>
      </c>
      <c r="BM46" s="381">
        <f>VLOOKUP($A46,IRD!$A$4:$G$139, 7, FALSE)</f>
        <v>0</v>
      </c>
      <c r="BN46" s="382">
        <f t="array" ref="BN46">IF($BI46=0, INDEX(LS_current!$D$4:$AY$139, MATCH('Staging Table'!$A46, LS_current!$B$4:$B$139, 0), MATCH(BN$4&amp;BN$5, LS_current!$D$2:$AY$2&amp;LS_current!$D$3:$AY$3, 0)),SUM(VLOOKUP($A46, LS_current!$B$4:$AY$139, LS_current!D$149, FALSE), VLOOKUP($A46, LS_current!$B$4:$AY$139,LS_current!D$149, FALSE))/2)</f>
        <v>0</v>
      </c>
      <c r="BO46" s="382">
        <f t="array" ref="BO46">IF($BI46=0, INDEX(LS_current!$D$4:$AY$139, MATCH('Staging Table'!$A46, LS_current!$B$4:$B$139, 0), MATCH(BO$4&amp;BO$5, LS_current!$D$2:$AY$2&amp;LS_current!$D$3:$AY$3, 0)),SUM(VLOOKUP($A46, LS_current!$B$4:$AY$139, LS_current!E$149, FALSE), VLOOKUP($A46, LS_current!$B$4:$AY$139,LS_current!E$149, FALSE))/2)</f>
        <v>0</v>
      </c>
      <c r="BP46" s="382">
        <f t="array" ref="BP46">IF($BI46=0, INDEX(LS_current!$D$4:$AY$139, MATCH('Staging Table'!$A46, LS_current!$B$4:$B$139, 0), MATCH(BP$4&amp;BP$5, LS_current!$D$2:$AY$2&amp;LS_current!$D$3:$AY$3, 0)),SUM(VLOOKUP($A46, LS_current!$B$4:$AY$139, LS_current!F$149, FALSE), VLOOKUP($A46, LS_current!$B$4:$AY$139,LS_current!F$149, FALSE))/2)</f>
        <v>0</v>
      </c>
      <c r="BQ46" s="382">
        <f t="array" ref="BQ46">IF($BI46=0, INDEX(LS_current!$D$4:$AY$139, MATCH('Staging Table'!$A46, LS_current!$B$4:$B$139, 0), MATCH(BQ$4&amp;BQ$5, LS_current!$D$2:$AY$2&amp;LS_current!$D$3:$AY$3, 0)),SUM(VLOOKUP($A46, LS_current!$B$4:$AY$139, LS_current!G$149, FALSE), VLOOKUP($A46, LS_current!$B$4:$AY$139,LS_current!G$149, FALSE))/2)</f>
        <v>0</v>
      </c>
      <c r="BR46" s="382">
        <f t="array" ref="BR46">IF($BI46=0, INDEX(LS_current!$D$4:$AY$139, MATCH('Staging Table'!$A46, LS_current!$B$4:$B$139, 0), MATCH(BR$4&amp;BR$5, LS_current!$D$2:$AY$2&amp;LS_current!$D$3:$AY$3, 0)),SUM(VLOOKUP($A46, LS_current!$B$4:$AY$139, LS_current!H$149, FALSE), VLOOKUP($A46, LS_current!$B$4:$AY$139,LS_current!H$149, FALSE))/2)</f>
        <v>0</v>
      </c>
      <c r="BS46" s="382">
        <f t="array" ref="BS46">IF($BI46=0, INDEX(LS_current!$D$4:$AY$139, MATCH('Staging Table'!$A46, LS_current!$B$4:$B$139, 0), MATCH(BS$4&amp;BS$5, LS_current!$D$2:$AY$2&amp;LS_current!$D$3:$AY$3, 0)),SUM(VLOOKUP($A46, LS_current!$B$4:$AY$139, LS_current!I$149, FALSE), VLOOKUP($A46, LS_current!$B$4:$AY$139,LS_current!I$149, FALSE))/2)</f>
        <v>0</v>
      </c>
      <c r="BT46" s="382">
        <f t="array" ref="BT46">IF($BI46=0, INDEX(LS_current!$D$4:$AY$139, MATCH('Staging Table'!$A46, LS_current!$B$4:$B$139, 0), MATCH(BT$4&amp;BT$5, LS_current!$D$2:$AY$2&amp;LS_current!$D$3:$AY$3, 0)),SUM(VLOOKUP($A46, LS_current!$B$4:$AY$139, LS_current!J$149, FALSE), VLOOKUP($A46, LS_current!$B$4:$AY$139,LS_current!J$149, FALSE))/2)</f>
        <v>0</v>
      </c>
      <c r="BU46" s="382">
        <f t="array" ref="BU46">IF($BI46=0, INDEX(LS_current!$D$4:$AY$139, MATCH('Staging Table'!$A46, LS_current!$B$4:$B$139, 0), MATCH(BU$4&amp;BU$5, LS_current!$D$2:$AY$2&amp;LS_current!$D$3:$AY$3, 0)),SUM(VLOOKUP($A46, LS_current!$B$4:$AY$139, LS_current!K$149, FALSE), VLOOKUP($A46, LS_current!$B$4:$AY$139,LS_current!K$149, FALSE))/2)</f>
        <v>0</v>
      </c>
      <c r="BV46" s="382">
        <f t="array" ref="BV46">IF($BI46=0, INDEX(LS_current!$D$4:$AY$139, MATCH('Staging Table'!$A46, LS_current!$B$4:$B$139, 0), MATCH(BV$4&amp;BV$5, LS_current!$D$2:$AY$2&amp;LS_current!$D$3:$AY$3, 0)),SUM(VLOOKUP($A46, LS_current!$B$4:$AY$139, LS_current!L$149, FALSE), VLOOKUP($A46, LS_current!$B$4:$AY$139,LS_current!L$149, FALSE))/2)</f>
        <v>0</v>
      </c>
      <c r="BW46" s="382">
        <f t="array" ref="BW46">IF($BI46=0, INDEX(LS_current!$D$4:$AY$139, MATCH('Staging Table'!$A46, LS_current!$B$4:$B$139, 0), MATCH(BW$4&amp;BW$5, LS_current!$D$2:$AY$2&amp;LS_current!$D$3:$AY$3, 0)),SUM(VLOOKUP($A46, LS_current!$B$4:$AY$139, LS_current!M$149, FALSE), VLOOKUP($A46, LS_current!$B$4:$AY$139,LS_current!M$149, FALSE))/2)</f>
        <v>0</v>
      </c>
      <c r="BX46" s="382">
        <f t="array" ref="BX46">IF($BI46=0, INDEX(LS_current!$D$4:$AY$139, MATCH('Staging Table'!$A46, LS_current!$B$4:$B$139, 0), MATCH(BX$4&amp;BX$5, LS_current!$D$2:$AY$2&amp;LS_current!$D$3:$AY$3, 0)),SUM(VLOOKUP($A46, LS_current!$B$4:$AY$139, LS_current!N$149, FALSE), VLOOKUP($A46, LS_current!$B$4:$AY$139,LS_current!N$149, FALSE))/2)</f>
        <v>0</v>
      </c>
      <c r="BY46" s="382">
        <f t="array" ref="BY46">IF($BI46=0, INDEX(LS_current!$D$4:$AY$139, MATCH('Staging Table'!$A46, LS_current!$B$4:$B$139, 0), MATCH(BY$4&amp;BY$5, LS_current!$D$2:$AY$2&amp;LS_current!$D$3:$AY$3, 0)),SUM(VLOOKUP($A46, LS_current!$B$4:$AY$139, LS_current!O$149, FALSE), VLOOKUP($A46, LS_current!$B$4:$AY$139,LS_current!O$149, FALSE))/2)</f>
        <v>0</v>
      </c>
      <c r="BZ46" s="382">
        <f t="array" ref="BZ46">IF($BI46=0, INDEX(LS_current!$D$4:$AY$139, MATCH('Staging Table'!$A46, LS_current!$B$4:$B$139, 0), MATCH(BZ$4&amp;BZ$5, LS_current!$D$2:$AY$2&amp;LS_current!$D$3:$AY$3, 0)),SUM(VLOOKUP($A46, LS_current!$B$4:$AY$139, LS_current!P$149, FALSE), VLOOKUP($A46, LS_current!$B$4:$AY$139,LS_current!P$149, FALSE))/2)</f>
        <v>0</v>
      </c>
      <c r="CA46" s="382">
        <f t="array" ref="CA46">IF($BI46=0, INDEX(LS_current!$D$4:$AY$139, MATCH('Staging Table'!$A46, LS_current!$B$4:$B$139, 0), MATCH(CA$4&amp;CA$5, LS_current!$D$2:$AY$2&amp;LS_current!$D$3:$AY$3, 0)),SUM(VLOOKUP($A46, LS_current!$B$4:$AY$139, LS_current!Q$149, FALSE), VLOOKUP($A46, LS_current!$B$4:$AY$139,LS_current!Q$149, FALSE))/2)</f>
        <v>0</v>
      </c>
      <c r="CB46" s="382">
        <f t="array" ref="CB46">IF($BI46=0, INDEX(LS_current!$D$4:$AY$139, MATCH('Staging Table'!$A46, LS_current!$B$4:$B$139, 0), MATCH(CB$4&amp;CB$5, LS_current!$D$2:$AY$2&amp;LS_current!$D$3:$AY$3, 0)),SUM(VLOOKUP($A46, LS_current!$B$4:$AY$139, LS_current!R$149, FALSE), VLOOKUP($A46, LS_current!$B$4:$AY$139,LS_current!R$149, FALSE))/2)</f>
        <v>0</v>
      </c>
      <c r="CC46" s="382">
        <f t="array" ref="CC46">IF($BI46=0, INDEX(LS_current!$D$4:$AY$139, MATCH('Staging Table'!$A46, LS_current!$B$4:$B$139, 0), MATCH(CC$4&amp;CC$5, LS_current!$D$2:$AY$2&amp;LS_current!$D$3:$AY$3, 0)),SUM(VLOOKUP($A46, LS_current!$B$4:$AY$139, LS_current!S$149, FALSE), VLOOKUP($A46, LS_current!$B$4:$AY$139,LS_current!S$149, FALSE))/2)</f>
        <v>0</v>
      </c>
      <c r="CD46" s="382">
        <f t="array" ref="CD46">IF($BI46=0, INDEX(LS_current!$D$4:$AY$139, MATCH('Staging Table'!$A46, LS_current!$B$4:$B$139, 0), MATCH(CD$4&amp;CD$5, LS_current!$D$2:$AY$2&amp;LS_current!$D$3:$AY$3, 0)),SUM(VLOOKUP($A46, LS_current!$B$4:$AY$139, LS_current!T$149, FALSE), VLOOKUP($A46, LS_current!$B$4:$AY$139,LS_current!T$149, FALSE))/2)</f>
        <v>0</v>
      </c>
      <c r="CE46" s="382">
        <f t="array" ref="CE46">IF($BI46=0, INDEX(LS_current!$D$4:$AY$139, MATCH('Staging Table'!$A46, LS_current!$B$4:$B$139, 0), MATCH(CE$4&amp;CE$5, LS_current!$D$2:$AY$2&amp;LS_current!$D$3:$AY$3, 0)),SUM(VLOOKUP($A46, LS_current!$B$4:$AY$139, LS_current!U$149, FALSE), VLOOKUP($A46, LS_current!$B$4:$AY$139,LS_current!U$149, FALSE))/2)</f>
        <v>0</v>
      </c>
      <c r="CF46" s="382">
        <f t="array" ref="CF46">IF($BI46=0, INDEX(LS_current!$D$4:$AY$139, MATCH('Staging Table'!$A46, LS_current!$B$4:$B$139, 0), MATCH(CF$4&amp;CF$5, LS_current!$D$2:$AY$2&amp;LS_current!$D$3:$AY$3, 0)),SUM(VLOOKUP($A46, LS_current!$B$4:$AY$139, LS_current!V$149, FALSE), VLOOKUP($A46, LS_current!$B$4:$AY$139,LS_current!V$149, FALSE))/2)</f>
        <v>0</v>
      </c>
      <c r="CG46" s="382">
        <f t="array" ref="CG46">IF($BI46=0, INDEX(LS_current!$D$4:$AY$139, MATCH('Staging Table'!$A46, LS_current!$B$4:$B$139, 0), MATCH(CG$4&amp;CG$5, LS_current!$D$2:$AY$2&amp;LS_current!$D$3:$AY$3, 0)),SUM(VLOOKUP($A46, LS_current!$B$4:$AY$139, LS_current!W$149, FALSE), VLOOKUP($A46, LS_current!$B$4:$AY$139,LS_current!W$149, FALSE))/2)</f>
        <v>0</v>
      </c>
      <c r="CH46" s="382">
        <f t="array" ref="CH46">IF($BI46=0, INDEX(LS_current!$D$4:$AY$139, MATCH('Staging Table'!$A46, LS_current!$B$4:$B$139, 0), MATCH(CH$4&amp;CH$5, LS_current!$D$2:$AY$2&amp;LS_current!$D$3:$AY$3, 0)),SUM(VLOOKUP($A46, LS_current!$B$4:$AY$139, LS_current!X$149, FALSE), VLOOKUP($A46, LS_current!$B$4:$AY$139,LS_current!X$149, FALSE))/2)</f>
        <v>0</v>
      </c>
      <c r="CI46" s="382">
        <f t="array" ref="CI46">IF($BI46=0, INDEX(LS_current!$D$4:$AY$139, MATCH('Staging Table'!$A46, LS_current!$B$4:$B$139, 0), MATCH(CI$4&amp;CI$5, LS_current!$D$2:$AY$2&amp;LS_current!$D$3:$AY$3, 0)),SUM(VLOOKUP($A46, LS_current!$B$4:$AY$139, LS_current!Y$149, FALSE), VLOOKUP($A46, LS_current!$B$4:$AY$139,LS_current!Y$149, FALSE))/2)</f>
        <v>0</v>
      </c>
      <c r="CJ46" s="382">
        <f t="array" ref="CJ46">IF($BI46=0, INDEX(LS_current!$D$4:$AY$139, MATCH('Staging Table'!$A46, LS_current!$B$4:$B$139, 0), MATCH(CJ$4&amp;CJ$5, LS_current!$D$2:$AY$2&amp;LS_current!$D$3:$AY$3, 0)),SUM(VLOOKUP($A46, LS_current!$B$4:$AY$139, LS_current!Z$149, FALSE), VLOOKUP($A46, LS_current!$B$4:$AY$139,LS_current!Z$149, FALSE))/2)</f>
        <v>0</v>
      </c>
      <c r="CK46" s="382">
        <f t="array" ref="CK46">IF($BI46=0, INDEX(LS_current!$D$4:$AY$139, MATCH('Staging Table'!$A46, LS_current!$B$4:$B$139, 0), MATCH(CK$4&amp;CK$5, LS_current!$D$2:$AY$2&amp;LS_current!$D$3:$AY$3, 0)),SUM(VLOOKUP($A46, LS_current!$B$4:$AY$139, LS_current!AA$149, FALSE), VLOOKUP($A46, LS_current!$B$4:$AY$139,LS_current!AA$149, FALSE))/2)</f>
        <v>0</v>
      </c>
      <c r="CL46" s="384">
        <f t="array" ref="CL46">INDEX(Demand_current!$D$4:$AY$138, MATCH($A46, Demand_current!$B$4:$B$138, 0), MATCH(CL$4&amp;CL$5,Demand_current!$D$2:$AY$2&amp;Demand_current!$D$3:$AY$3, 0))/1000</f>
        <v>0</v>
      </c>
      <c r="CM46" s="384">
        <f t="array" ref="CM46">INDEX(Demand_current!$D$4:$AY$138, MATCH($A46, Demand_current!$B$4:$B$138, 0), MATCH(CM$4&amp;CM$5,Demand_current!$D$2:$AY$2&amp;Demand_current!$D$3:$AY$3, 0))/1000</f>
        <v>0</v>
      </c>
      <c r="CN46" s="384">
        <f t="array" ref="CN46">INDEX(Demand_current!$D$4:$AY$138, MATCH($A46, Demand_current!$B$4:$B$138, 0), MATCH(CN$4&amp;CN$5,Demand_current!$D$2:$AY$2&amp;Demand_current!$D$3:$AY$3, 0))/1000</f>
        <v>0</v>
      </c>
      <c r="CO46" s="384">
        <f t="array" ref="CO46">INDEX(Demand_current!$D$4:$AY$138, MATCH($A46, Demand_current!$B$4:$B$138, 0), MATCH(CO$4&amp;CO$5,Demand_current!$D$2:$AY$2&amp;Demand_current!$D$3:$AY$3, 0))/1000</f>
        <v>0</v>
      </c>
      <c r="CP46" s="384">
        <f t="array" ref="CP46">INDEX(Demand_current!$D$4:$AY$138, MATCH($A46, Demand_current!$B$4:$B$138, 0), MATCH(CP$4&amp;CP$5,Demand_current!$D$2:$AY$2&amp;Demand_current!$D$3:$AY$3, 0))/1000</f>
        <v>0</v>
      </c>
      <c r="CQ46" s="384">
        <f t="array" ref="CQ46">INDEX(Demand_current!$D$4:$AY$138, MATCH($A46, Demand_current!$B$4:$B$138, 0), MATCH(CQ$4&amp;CQ$5,Demand_current!$D$2:$AY$2&amp;Demand_current!$D$3:$AY$3, 0))/1000</f>
        <v>0</v>
      </c>
      <c r="CR46" s="384">
        <f t="array" ref="CR46">INDEX(Demand_current!$D$4:$AY$138, MATCH($A46, Demand_current!$B$4:$B$138, 0), MATCH(CR$4&amp;CR$5,Demand_current!$D$2:$AY$2&amp;Demand_current!$D$3:$AY$3, 0))/1000</f>
        <v>0</v>
      </c>
      <c r="CS46" s="384">
        <f t="array" ref="CS46">INDEX(Demand_current!$D$4:$AY$138, MATCH($A46, Demand_current!$B$4:$B$138, 0), MATCH(CS$4&amp;CS$5,Demand_current!$D$2:$AY$2&amp;Demand_current!$D$3:$AY$3, 0))/1000</f>
        <v>0</v>
      </c>
      <c r="CT46" s="384">
        <f t="array" ref="CT46">INDEX(Demand_current!$D$4:$AY$138, MATCH($A46, Demand_current!$B$4:$B$138, 0), MATCH(CT$4&amp;CT$5,Demand_current!$D$2:$AY$2&amp;Demand_current!$D$3:$AY$3, 0))/1000</f>
        <v>0</v>
      </c>
      <c r="CU46" s="384">
        <f t="array" ref="CU46">INDEX(Demand_current!$D$4:$AY$138, MATCH($A46, Demand_current!$B$4:$B$138, 0), MATCH(CU$4&amp;CU$5,Demand_current!$D$2:$AY$2&amp;Demand_current!$D$3:$AY$3, 0))/1000</f>
        <v>0</v>
      </c>
      <c r="CV46" s="384">
        <f t="array" ref="CV46">INDEX(Demand_current!$D$4:$AY$138, MATCH($A46, Demand_current!$B$4:$B$138, 0), MATCH(CV$4&amp;CV$5,Demand_current!$D$2:$AY$2&amp;Demand_current!$D$3:$AY$3, 0))/1000</f>
        <v>0</v>
      </c>
      <c r="CW46" s="384">
        <f t="array" ref="CW46">INDEX(Demand_current!$D$4:$AY$138, MATCH($A46, Demand_current!$B$4:$B$138, 0), MATCH(CW$4&amp;CW$5,Demand_current!$D$2:$AY$2&amp;Demand_current!$D$3:$AY$3, 0))/1000</f>
        <v>0</v>
      </c>
      <c r="CX46" s="384">
        <f>IF(D46=0,IF(C46=0,MAX(0,DA46 - (VLOOKUP($A46,TOCA_current!$A$2:$AI$137,MATCH("RHWM 2018",TOCA_current!$A$2:$AI$2,0),FALSE)*$BH$2)), 0),0)</f>
        <v>0</v>
      </c>
      <c r="CY46" s="427">
        <f>VLOOKUP($A46,REP_current!$A$1:$D$135,MATCH("FY "&amp;$BH$1&amp; " Total Refund",REP_current!$A$1:$D$1,0),0)</f>
        <v>260035.52408878764</v>
      </c>
      <c r="CZ46" s="432">
        <f>MIN(VLOOKUP($A46,TOCA_current!$A$2:$AI$137,MATCH("TRL - NLSL - Existing Resource "&amp;$BH$1,TOCA_current!$A$2:$AI$2,0),FALSE)*$BH$2, VLOOKUP($A46,TOCA_current!$A$2:$AI$137,MATCH("RHWM 2018",TOCA_current!$A$2:$AI$2,0),FALSE)*$BH$2)</f>
        <v>205824.96</v>
      </c>
      <c r="DA46" s="397">
        <f>SUM(BN46:CK46)+(BH46*RT1SC!$C$4*$BH$2)</f>
        <v>205823.23416787197</v>
      </c>
      <c r="DB46" s="432">
        <f>VLOOKUP($A46,TOCA_current!$A$2:$AI$137,MATCH("Above RHWM Not Served with LS "&amp;$BH$1,TOCA_current!$A$2:$AI$2,0),FALSE)*$BH$2</f>
        <v>639.4799999999999</v>
      </c>
      <c r="DC46" s="401">
        <f t="shared" si="11"/>
        <v>-1.7258321280241944</v>
      </c>
      <c r="DD46" s="397">
        <f>(VLOOKUP($A46,TOCA_current!$A$2:$AI$137,MATCH("RHWM 2018",TOCA_current!$A$2:$AI$2,0),FALSE)*$BH$2) - $CZ46</f>
        <v>0</v>
      </c>
      <c r="DE46" s="397">
        <f t="shared" si="12"/>
        <v>0</v>
      </c>
      <c r="DF46" s="397">
        <f t="shared" si="13"/>
        <v>0</v>
      </c>
      <c r="DG46" s="397">
        <f t="shared" si="14"/>
        <v>0</v>
      </c>
      <c r="DH46" s="397">
        <f t="shared" si="15"/>
        <v>0</v>
      </c>
    </row>
    <row r="47" spans="1:112">
      <c r="A47" s="274">
        <v>10109</v>
      </c>
      <c r="B47" s="275" t="s">
        <v>48</v>
      </c>
      <c r="C47" s="397">
        <v>0</v>
      </c>
      <c r="D47" s="397">
        <v>0</v>
      </c>
      <c r="E47" s="205">
        <f>VLOOKUP($A47,TOCA_previous!$A$2:$AI$137,MATCH(E$4,TOCA_previous!$A$2:$AI$2,0),FALSE)</f>
        <v>1.7183999999999999E-3</v>
      </c>
      <c r="F47" s="206">
        <f>VLOOKUP($A47,TOCA_previous!$A$2:$AI$137,MATCH(F$4,TOCA_previous!$A$2:$AI$2,0),FALSE)</f>
        <v>1.7183999999999999E-3</v>
      </c>
      <c r="G47" s="206">
        <f t="shared" si="0"/>
        <v>0</v>
      </c>
      <c r="H47" s="206">
        <f>VLOOKUP($A47,TOCA_previous!$A$2:$AI$137,MATCH(H$4,TOCA_previous!$A$2:$AI$2,0),FALSE)</f>
        <v>7.3580000000000007E-2</v>
      </c>
      <c r="I47" s="206">
        <f t="shared" si="1"/>
        <v>0</v>
      </c>
      <c r="J47" s="206">
        <f t="shared" si="2"/>
        <v>0</v>
      </c>
      <c r="K47" s="381">
        <f>VLOOKUP(A47, IRD!$A$5:$C$139, 3, FALSE)</f>
        <v>21100.335000000003</v>
      </c>
      <c r="L47" s="382">
        <f t="array" ref="L47">IF($G47=0, INDEX(LS_previous!$D$4:$AY$138, MATCH('Staging Table'!$A47, LS_previous!$B$4:$B$138, 0), MATCH(L$4&amp;L$5, LS_previous!$D$2:$AY$2&amp;LS_previous!$D$3:$AY$3, 0)),SUM(VLOOKUP($A47, LS_previous!$B$4:$AY$138, LS_previous!D$149, FALSE), VLOOKUP('Staging Table'!$A47, LS_previous!$B$4:$AY$138,LS_previous!AB$149, FALSE))/2)</f>
        <v>-512.3493250526617</v>
      </c>
      <c r="M47" s="382">
        <f t="array" ref="M47">IF($G47=0, INDEX(LS_previous!$D$4:$AY$138, MATCH('Staging Table'!$A47, LS_previous!$B$4:$B$138, 0), MATCH(M$4&amp;M$5, LS_previous!$D$2:$AY$2&amp;LS_previous!$D$3:$AY$3, 0)),SUM(VLOOKUP($A47, LS_previous!$B$4:$AY$138, LS_previous!E$149, FALSE), VLOOKUP('Staging Table'!$A47, LS_previous!$B$4:$AY$138,LS_previous!AC$149, FALSE))/2)</f>
        <v>285.92532362943757</v>
      </c>
      <c r="N47" s="382">
        <f t="array" ref="N47">IF($G47=0, INDEX(LS_previous!$D$4:$AY$138, MATCH('Staging Table'!$A47, LS_previous!$B$4:$B$138, 0), MATCH(N$4&amp;N$5, LS_previous!$D$2:$AY$2&amp;LS_previous!$D$3:$AY$3, 0)),SUM(VLOOKUP($A47, LS_previous!$B$4:$AY$138, LS_previous!F$149, FALSE), VLOOKUP('Staging Table'!$A47, LS_previous!$B$4:$AY$138,LS_previous!AD$149, FALSE))/2)</f>
        <v>-1798.9466302433657</v>
      </c>
      <c r="O47" s="382">
        <f t="array" ref="O47">IF($G47=0, INDEX(LS_previous!$D$4:$AY$138, MATCH('Staging Table'!$A47, LS_previous!$B$4:$B$138, 0), MATCH(O$4&amp;O$5, LS_previous!$D$2:$AY$2&amp;LS_previous!$D$3:$AY$3, 0)),SUM(VLOOKUP($A47, LS_previous!$B$4:$AY$138, LS_previous!G$149, FALSE), VLOOKUP('Staging Table'!$A47, LS_previous!$B$4:$AY$138,LS_previous!AE$149, FALSE))/2)</f>
        <v>-641.61023005629113</v>
      </c>
      <c r="P47" s="382">
        <f t="array" ref="P47">IF($G47=0, INDEX(LS_previous!$D$4:$AY$138, MATCH('Staging Table'!$A47, LS_previous!$B$4:$B$138, 0), MATCH(P$4&amp;P$5, LS_previous!$D$2:$AY$2&amp;LS_previous!$D$3:$AY$3, 0)),SUM(VLOOKUP($A47, LS_previous!$B$4:$AY$138, LS_previous!H$149, FALSE), VLOOKUP('Staging Table'!$A47, LS_previous!$B$4:$AY$138,LS_previous!AF$149, FALSE))/2)</f>
        <v>-650.67938301465711</v>
      </c>
      <c r="Q47" s="382">
        <f t="array" ref="Q47">IF($G47=0, INDEX(LS_previous!$D$4:$AY$138, MATCH('Staging Table'!$A47, LS_previous!$B$4:$B$138, 0), MATCH(Q$4&amp;Q$5, LS_previous!$D$2:$AY$2&amp;LS_previous!$D$3:$AY$3, 0)),SUM(VLOOKUP($A47, LS_previous!$B$4:$AY$138, LS_previous!I$149, FALSE), VLOOKUP('Staging Table'!$A47, LS_previous!$B$4:$AY$138,LS_previous!AG$149, FALSE))/2)</f>
        <v>306.14936883984547</v>
      </c>
      <c r="R47" s="382">
        <f t="array" ref="R47">IF($G47=0, INDEX(LS_previous!$D$4:$AY$138, MATCH('Staging Table'!$A47, LS_previous!$B$4:$B$138, 0), MATCH(R$4&amp;R$5, LS_previous!$D$2:$AY$2&amp;LS_previous!$D$3:$AY$3, 0)),SUM(VLOOKUP($A47, LS_previous!$B$4:$AY$138, LS_previous!J$149, FALSE), VLOOKUP('Staging Table'!$A47, LS_previous!$B$4:$AY$138,LS_previous!AH$149, FALSE))/2)</f>
        <v>-142.19301940352216</v>
      </c>
      <c r="S47" s="382">
        <f t="array" ref="S47">IF($G47=0, INDEX(LS_previous!$D$4:$AY$138, MATCH('Staging Table'!$A47, LS_previous!$B$4:$B$138, 0), MATCH(S$4&amp;S$5, LS_previous!$D$2:$AY$2&amp;LS_previous!$D$3:$AY$3, 0)),SUM(VLOOKUP($A47, LS_previous!$B$4:$AY$138, LS_previous!K$149, FALSE), VLOOKUP('Staging Table'!$A47, LS_previous!$B$4:$AY$138,LS_previous!AI$149, FALSE))/2)</f>
        <v>304.2721281986278</v>
      </c>
      <c r="T47" s="382">
        <f t="array" ref="T47">IF($G47=0, INDEX(LS_previous!$D$4:$AY$138, MATCH('Staging Table'!$A47, LS_previous!$B$4:$B$138, 0), MATCH(T$4&amp;T$5, LS_previous!$D$2:$AY$2&amp;LS_previous!$D$3:$AY$3, 0)),SUM(VLOOKUP($A47, LS_previous!$B$4:$AY$138, LS_previous!L$149, FALSE), VLOOKUP('Staging Table'!$A47, LS_previous!$B$4:$AY$138,LS_previous!AJ$149, FALSE))/2)</f>
        <v>-404.18316055544619</v>
      </c>
      <c r="U47" s="382">
        <f t="array" ref="U47">IF($G47=0, INDEX(LS_previous!$D$4:$AY$138, MATCH('Staging Table'!$A47, LS_previous!$B$4:$B$138, 0), MATCH(U$4&amp;U$5, LS_previous!$D$2:$AY$2&amp;LS_previous!$D$3:$AY$3, 0)),SUM(VLOOKUP($A47, LS_previous!$B$4:$AY$138, LS_previous!M$149, FALSE), VLOOKUP('Staging Table'!$A47, LS_previous!$B$4:$AY$138,LS_previous!AK$149, FALSE))/2)</f>
        <v>61.24953303390248</v>
      </c>
      <c r="V47" s="382">
        <f t="array" ref="V47">IF($G47=0, INDEX(LS_previous!$D$4:$AY$138, MATCH('Staging Table'!$A47, LS_previous!$B$4:$B$138, 0), MATCH(V$4&amp;V$5, LS_previous!$D$2:$AY$2&amp;LS_previous!$D$3:$AY$3, 0)),SUM(VLOOKUP($A47, LS_previous!$B$4:$AY$138, LS_previous!N$149, FALSE), VLOOKUP('Staging Table'!$A47, LS_previous!$B$4:$AY$138,LS_previous!AL$149, FALSE))/2)</f>
        <v>-742.83796576879831</v>
      </c>
      <c r="W47" s="382">
        <f t="array" ref="W47">IF($G47=0, INDEX(LS_previous!$D$4:$AY$138, MATCH('Staging Table'!$A47, LS_previous!$B$4:$B$138, 0), MATCH(W$4&amp;W$5, LS_previous!$D$2:$AY$2&amp;LS_previous!$D$3:$AY$3, 0)),SUM(VLOOKUP($A47, LS_previous!$B$4:$AY$138, LS_previous!O$149, FALSE), VLOOKUP('Staging Table'!$A47, LS_previous!$B$4:$AY$138,LS_previous!AM$149, FALSE))/2)</f>
        <v>-321.44050174516178</v>
      </c>
      <c r="X47" s="382">
        <f t="array" ref="X47">IF($G47=0, INDEX(LS_previous!$D$4:$AY$138, MATCH('Staging Table'!$A47, LS_previous!$B$4:$B$138, 0), MATCH(X$4&amp;X$5, LS_previous!$D$2:$AY$2&amp;LS_previous!$D$3:$AY$3, 0)),SUM(VLOOKUP($A47, LS_previous!$B$4:$AY$138, LS_previous!P$149, FALSE), VLOOKUP('Staging Table'!$A47, LS_previous!$B$4:$AY$138,LS_previous!AN$149, FALSE))/2)</f>
        <v>1226.0657161251002</v>
      </c>
      <c r="Y47" s="382">
        <f t="array" ref="Y47">IF($G47=0, INDEX(LS_previous!$D$4:$AY$138, MATCH('Staging Table'!$A47, LS_previous!$B$4:$B$138, 0), MATCH(Y$4&amp;Y$5, LS_previous!$D$2:$AY$2&amp;LS_previous!$D$3:$AY$3, 0)),SUM(VLOOKUP($A47, LS_previous!$B$4:$AY$138, LS_previous!Q$149, FALSE), VLOOKUP('Staging Table'!$A47, LS_previous!$B$4:$AY$138,LS_previous!AO$149, FALSE))/2)</f>
        <v>1355.7320907294152</v>
      </c>
      <c r="Z47" s="382">
        <f t="array" ref="Z47">IF($G47=0, INDEX(LS_previous!$D$4:$AY$138, MATCH('Staging Table'!$A47, LS_previous!$B$4:$B$138, 0), MATCH(Z$4&amp;Z$5, LS_previous!$D$2:$AY$2&amp;LS_previous!$D$3:$AY$3, 0)),SUM(VLOOKUP($A47, LS_previous!$B$4:$AY$138, LS_previous!R$149, FALSE), VLOOKUP('Staging Table'!$A47, LS_previous!$B$4:$AY$138,LS_previous!AP$149, FALSE))/2)</f>
        <v>-744.42591310015723</v>
      </c>
      <c r="AA47" s="382">
        <f t="array" ref="AA47">IF($G47=0, INDEX(LS_previous!$D$4:$AY$138, MATCH('Staging Table'!$A47, LS_previous!$B$4:$B$138, 0), MATCH(AA$4&amp;AA$5, LS_previous!$D$2:$AY$2&amp;LS_previous!$D$3:$AY$3, 0)),SUM(VLOOKUP($A47, LS_previous!$B$4:$AY$138, LS_previous!S$149, FALSE), VLOOKUP('Staging Table'!$A47, LS_previous!$B$4:$AY$138,LS_previous!AQ$149, FALSE))/2)</f>
        <v>601.33509804150435</v>
      </c>
      <c r="AB47" s="382">
        <f t="array" ref="AB47">IF($G47=0, INDEX(LS_previous!$D$4:$AY$138, MATCH('Staging Table'!$A47, LS_previous!$B$4:$B$138, 0), MATCH(AB$4&amp;AB$5, LS_previous!$D$2:$AY$2&amp;LS_previous!$D$3:$AY$3, 0)),SUM(VLOOKUP($A47, LS_previous!$B$4:$AY$138, LS_previous!T$149, FALSE), VLOOKUP('Staging Table'!$A47, LS_previous!$B$4:$AY$138,LS_previous!AR$149, FALSE))/2)</f>
        <v>982.88903733774896</v>
      </c>
      <c r="AC47" s="382">
        <f t="array" ref="AC47">IF($G47=0, INDEX(LS_previous!$D$4:$AY$138, MATCH('Staging Table'!$A47, LS_previous!$B$4:$B$138, 0), MATCH(AC$4&amp;AC$5, LS_previous!$D$2:$AY$2&amp;LS_previous!$D$3:$AY$3, 0)),SUM(VLOOKUP($A47, LS_previous!$B$4:$AY$138, LS_previous!U$149, FALSE), VLOOKUP('Staging Table'!$A47, LS_previous!$B$4:$AY$138,LS_previous!AS$149, FALSE))/2)</f>
        <v>1112.3680671223988</v>
      </c>
      <c r="AD47" s="382">
        <f t="array" ref="AD47">IF($G47=0, INDEX(LS_previous!$D$4:$AY$138, MATCH('Staging Table'!$A47, LS_previous!$B$4:$B$138, 0), MATCH(AD$4&amp;AD$5, LS_previous!$D$2:$AY$2&amp;LS_previous!$D$3:$AY$3, 0)),SUM(VLOOKUP($A47, LS_previous!$B$4:$AY$138, LS_previous!V$149, FALSE), VLOOKUP('Staging Table'!$A47, LS_previous!$B$4:$AY$138,LS_previous!AT$149, FALSE))/2)</f>
        <v>1018.3636735378095</v>
      </c>
      <c r="AE47" s="382">
        <f t="array" ref="AE47">IF($G47=0, INDEX(LS_previous!$D$4:$AY$138, MATCH('Staging Table'!$A47, LS_previous!$B$4:$B$138, 0), MATCH(AE$4&amp;AE$5, LS_previous!$D$2:$AY$2&amp;LS_previous!$D$3:$AY$3, 0)),SUM(VLOOKUP($A47, LS_previous!$B$4:$AY$138, LS_previous!W$149, FALSE), VLOOKUP('Staging Table'!$A47, LS_previous!$B$4:$AY$138,LS_previous!AU$149, FALSE))/2)</f>
        <v>1903.8752599004192</v>
      </c>
      <c r="AF47" s="382">
        <f t="array" ref="AF47">IF($G47=0, INDEX(LS_previous!$D$4:$AY$138, MATCH('Staging Table'!$A47, LS_previous!$B$4:$B$138, 0), MATCH(AF$4&amp;AF$5, LS_previous!$D$2:$AY$2&amp;LS_previous!$D$3:$AY$3, 0)),SUM(VLOOKUP($A47, LS_previous!$B$4:$AY$138, LS_previous!X$149, FALSE), VLOOKUP('Staging Table'!$A47, LS_previous!$B$4:$AY$138,LS_previous!AV$149, FALSE))/2)</f>
        <v>1110.9696364798983</v>
      </c>
      <c r="AG47" s="382">
        <f t="array" ref="AG47">IF($G47=0, INDEX(LS_previous!$D$4:$AY$138, MATCH('Staging Table'!$A47, LS_previous!$B$4:$B$138, 0), MATCH(AG$4&amp;AG$5, LS_previous!$D$2:$AY$2&amp;LS_previous!$D$3:$AY$3, 0)),SUM(VLOOKUP($A47, LS_previous!$B$4:$AY$138, LS_previous!Y$149, FALSE), VLOOKUP('Staging Table'!$A47, LS_previous!$B$4:$AY$138,LS_previous!AW$149, FALSE))/2)</f>
        <v>1357.8776290761361</v>
      </c>
      <c r="AH47" s="382">
        <f t="array" ref="AH47">IF($G47=0, INDEX(LS_previous!$D$4:$AY$138, MATCH('Staging Table'!$A47, LS_previous!$B$4:$B$138, 0), MATCH(AH$4&amp;AH$5, LS_previous!$D$2:$AY$2&amp;LS_previous!$D$3:$AY$3, 0)),SUM(VLOOKUP($A47, LS_previous!$B$4:$AY$138, LS_previous!Z$149, FALSE), VLOOKUP('Staging Table'!$A47, LS_previous!$B$4:$AY$138,LS_previous!AX$149, FALSE))/2)</f>
        <v>810.0584007026082</v>
      </c>
      <c r="AI47" s="382">
        <f t="array" ref="AI47">IF($G47=0, INDEX(LS_previous!$D$4:$AY$138, MATCH('Staging Table'!$A47, LS_previous!$B$4:$B$138, 0), MATCH(AI$4&amp;AI$5, LS_previous!$D$2:$AY$2&amp;LS_previous!$D$3:$AY$3, 0)),SUM(VLOOKUP($A47, LS_previous!$B$4:$AY$138, LS_previous!AA$149, FALSE), VLOOKUP('Staging Table'!$A47, LS_previous!$B$4:$AY$138,LS_previous!AY$149, FALSE))/2)</f>
        <v>1349.7604233145826</v>
      </c>
      <c r="AJ47" s="384">
        <f t="array" ref="AJ47">INDEX(Demand_previous!$D$4:$AY$138, MATCH('Staging Table'!$A47, Demand_previous!$B$4:$B$138, 0), MATCH(AJ$4&amp;AJ$5,Demand_previous!$D$2:$AY$2&amp;Demand_previous!$D$3:$AY$3, 0))/1000</f>
        <v>3.8859722222222226</v>
      </c>
      <c r="AK47" s="384">
        <f t="array" ref="AK47">INDEX(Demand_previous!$D$4:$AY$138, MATCH('Staging Table'!$A47, Demand_previous!$B$4:$B$138, 0), MATCH(AK$4&amp;AK$5,Demand_previous!$D$2:$AY$2&amp;Demand_previous!$D$3:$AY$3, 0))/1000</f>
        <v>1.4324010416666662</v>
      </c>
      <c r="AL47" s="384">
        <f t="array" ref="AL47">INDEX(Demand_previous!$D$4:$AY$138, MATCH('Staging Table'!$A47, Demand_previous!$B$4:$B$138, 0), MATCH(AL$4&amp;AL$5,Demand_previous!$D$2:$AY$2&amp;Demand_previous!$D$3:$AY$3, 0))/1000</f>
        <v>4.4788100961538442</v>
      </c>
      <c r="AM47" s="384">
        <f t="array" ref="AM47">INDEX(Demand_previous!$D$4:$AY$138, MATCH('Staging Table'!$A47, Demand_previous!$B$4:$B$138, 0), MATCH(AM$4&amp;AM$5,Demand_previous!$D$2:$AY$2&amp;Demand_previous!$D$3:$AY$3, 0))/1000</f>
        <v>2.3620125000000001</v>
      </c>
      <c r="AN47" s="384">
        <f t="array" ref="AN47">INDEX(Demand_previous!$D$4:$AY$138, MATCH('Staging Table'!$A47, Demand_previous!$B$4:$B$138, 0), MATCH(AN$4&amp;AN$5,Demand_previous!$D$2:$AY$2&amp;Demand_previous!$D$3:$AY$3, 0))/1000</f>
        <v>2.9964175000000006</v>
      </c>
      <c r="AO47" s="384">
        <f t="array" ref="AO47">INDEX(Demand_previous!$D$4:$AY$138, MATCH('Staging Table'!$A47, Demand_previous!$B$4:$B$138, 0), MATCH(AO$4&amp;AO$5,Demand_previous!$D$2:$AY$2&amp;Demand_previous!$D$3:$AY$3, 0))/1000</f>
        <v>2.2712962962962964</v>
      </c>
      <c r="AP47" s="384">
        <f t="array" ref="AP47">INDEX(Demand_previous!$D$4:$AY$138, MATCH('Staging Table'!$A47, Demand_previous!$B$4:$B$138, 0), MATCH(AP$4&amp;AP$5,Demand_previous!$D$2:$AY$2&amp;Demand_previous!$D$3:$AY$3, 0))/1000</f>
        <v>3.088387019230769</v>
      </c>
      <c r="AQ47" s="384">
        <f t="array" ref="AQ47">INDEX(Demand_previous!$D$4:$AY$138, MATCH('Staging Table'!$A47, Demand_previous!$B$4:$B$138, 0), MATCH(AQ$4&amp;AQ$5,Demand_previous!$D$2:$AY$2&amp;Demand_previous!$D$3:$AY$3, 0))/1000</f>
        <v>1.0516350000000023</v>
      </c>
      <c r="AR47" s="384">
        <f t="array" ref="AR47">INDEX(Demand_previous!$D$4:$AY$138, MATCH('Staging Table'!$A47, Demand_previous!$B$4:$B$138, 0), MATCH(AR$4&amp;AR$5,Demand_previous!$D$2:$AY$2&amp;Demand_previous!$D$3:$AY$3, 0))/1000</f>
        <v>2.436117788461539</v>
      </c>
      <c r="AS47" s="384">
        <f t="array" ref="AS47">INDEX(Demand_previous!$D$4:$AY$138, MATCH('Staging Table'!$A47, Demand_previous!$B$4:$B$138, 0), MATCH(AS$4&amp;AS$5,Demand_previous!$D$2:$AY$2&amp;Demand_previous!$D$3:$AY$3, 0))/1000</f>
        <v>3.5135174999999981</v>
      </c>
      <c r="AT47" s="384">
        <f t="array" ref="AT47">INDEX(Demand_previous!$D$4:$AY$138, MATCH('Staging Table'!$A47, Demand_previous!$B$4:$B$138, 0), MATCH(AT$4&amp;AT$5,Demand_previous!$D$2:$AY$2&amp;Demand_previous!$D$3:$AY$3, 0))/1000</f>
        <v>2.6438379629629631</v>
      </c>
      <c r="AU47" s="384">
        <f t="array" ref="AU47">INDEX(Demand_previous!$D$4:$AY$138, MATCH('Staging Table'!$A47, Demand_previous!$B$4:$B$138, 0), MATCH(AU$4&amp;AU$5,Demand_previous!$D$2:$AY$2&amp;Demand_previous!$D$3:$AY$3, 0))/1000</f>
        <v>3.8064575000000005</v>
      </c>
      <c r="AV47" s="384">
        <f>IF($D47=0,IF(C47=0, MAX(AY47 - (VLOOKUP($A47,TOCA_previous!$A$2:$AI$137,MATCH("RHWM 2016",TOCA_previous!$A$2:$AI$2,0),FALSE)*$F$2*TOCA_previous!C44),0),0), 0)</f>
        <v>7825.8822481053794</v>
      </c>
      <c r="AW47" s="427">
        <f>VLOOKUP($A47,REP_previous!$A$1:$D$135,MATCH("FY "&amp;$F$1&amp; " Total Refund",REP_previous!$A$1:$D$1,0),0)</f>
        <v>67120.566881073595</v>
      </c>
      <c r="AX47" s="398">
        <f>MIN(VLOOKUP($A47,TOCA_previous!$A$2:$AI$137,MATCH("TRL - NLSL - Exisiting Resource "&amp;$F$1,TOCA_previous!$A$2:$AI$2,0),FALSE)*$F$2,(VLOOKUP($A47,TOCA_previous!$A$2:$AI$137,MATCH("RHWM 2016",TOCA_previous!$A$2:$AI$2,0),FALSE)*$F$2))</f>
        <v>105408</v>
      </c>
      <c r="AY47" s="384">
        <f>SUM(L47:AI47)+(F47*RT1SC!$C$3*$F$2)</f>
        <v>113233.88224810538</v>
      </c>
      <c r="AZ47" s="398">
        <f>VLOOKUP($A47,TOCA_previous!$A$2:$AI$137,MATCH("Above RHWM Not Served with LS "&amp;$F$1,TOCA_previous!$A$2:$AI$2,0),FALSE)*$F$2</f>
        <v>0</v>
      </c>
      <c r="BA47" s="206">
        <f t="shared" si="3"/>
        <v>7825.8822481053794</v>
      </c>
      <c r="BB47" s="399">
        <f>(VLOOKUP($A47,TOCA_previous!$A$2:$AI$137,MATCH("RHWM 2016",TOCA_previous!$A$2:$AI$2,0),FALSE)*$F$2) - $AX47</f>
        <v>0</v>
      </c>
      <c r="BC47" s="206">
        <f t="shared" si="4"/>
        <v>0</v>
      </c>
      <c r="BD47" s="400">
        <f t="shared" si="5"/>
        <v>0</v>
      </c>
      <c r="BE47" s="392">
        <f t="shared" si="6"/>
        <v>0</v>
      </c>
      <c r="BF47" s="399">
        <f t="shared" si="7"/>
        <v>0</v>
      </c>
      <c r="BG47" s="206">
        <f>VLOOKUP($A47,TOCA_current!$A$2:$AI$137,MATCH(BG$4,TOCA_current!$A$2:$AI$2,0),FALSE)</f>
        <v>1.717E-3</v>
      </c>
      <c r="BH47" s="206">
        <f>VLOOKUP($A47,TOCA_current!$A$2:$AI$137,MATCH(BH$4,TOCA_current!$A$2:$AI$2,0),FALSE)</f>
        <v>1.717E-3</v>
      </c>
      <c r="BI47" s="391">
        <f t="shared" si="8"/>
        <v>0</v>
      </c>
      <c r="BJ47" s="206">
        <f>VLOOKUP($A47,TOCA_current!A43:BG178,MATCH(BJ$4,TOCA_current!$A$2:$BG$2,0),FALSE)</f>
        <v>8.3126467628312661E-2</v>
      </c>
      <c r="BK47" s="206">
        <f t="shared" si="9"/>
        <v>0</v>
      </c>
      <c r="BL47" s="206">
        <f t="shared" si="10"/>
        <v>0</v>
      </c>
      <c r="BM47" s="381">
        <f>VLOOKUP($A47,IRD!$A$4:$G$139, 7, FALSE)</f>
        <v>21100.335000000003</v>
      </c>
      <c r="BN47" s="382">
        <f t="array" ref="BN47">IF($BI47=0, INDEX(LS_current!$D$4:$AY$139, MATCH('Staging Table'!$A47, LS_current!$B$4:$B$139, 0), MATCH(BN$4&amp;BN$5, LS_current!$D$2:$AY$2&amp;LS_current!$D$3:$AY$3, 0)),SUM(VLOOKUP($A47, LS_current!$B$4:$AY$139, LS_current!D$149, FALSE), VLOOKUP($A47, LS_current!$B$4:$AY$139,LS_current!D$149, FALSE))/2)</f>
        <v>-1466.3107775085414</v>
      </c>
      <c r="BO47" s="382">
        <f t="array" ref="BO47">IF($BI47=0, INDEX(LS_current!$D$4:$AY$139, MATCH('Staging Table'!$A47, LS_current!$B$4:$B$139, 0), MATCH(BO$4&amp;BO$5, LS_current!$D$2:$AY$2&amp;LS_current!$D$3:$AY$3, 0)),SUM(VLOOKUP($A47, LS_current!$B$4:$AY$139, LS_current!E$149, FALSE), VLOOKUP($A47, LS_current!$B$4:$AY$139,LS_current!E$149, FALSE))/2)</f>
        <v>-292.28766051423099</v>
      </c>
      <c r="BP47" s="382">
        <f t="array" ref="BP47">IF($BI47=0, INDEX(LS_current!$D$4:$AY$139, MATCH('Staging Table'!$A47, LS_current!$B$4:$B$139, 0), MATCH(BP$4&amp;BP$5, LS_current!$D$2:$AY$2&amp;LS_current!$D$3:$AY$3, 0)),SUM(VLOOKUP($A47, LS_current!$B$4:$AY$139, LS_current!F$149, FALSE), VLOOKUP($A47, LS_current!$B$4:$AY$139,LS_current!F$149, FALSE))/2)</f>
        <v>-2816.5768706587428</v>
      </c>
      <c r="BQ47" s="382">
        <f t="array" ref="BQ47">IF($BI47=0, INDEX(LS_current!$D$4:$AY$139, MATCH('Staging Table'!$A47, LS_current!$B$4:$B$139, 0), MATCH(BQ$4&amp;BQ$5, LS_current!$D$2:$AY$2&amp;LS_current!$D$3:$AY$3, 0)),SUM(VLOOKUP($A47, LS_current!$B$4:$AY$139, LS_current!G$149, FALSE), VLOOKUP($A47, LS_current!$B$4:$AY$139,LS_current!G$149, FALSE))/2)</f>
        <v>-1322.8850064928843</v>
      </c>
      <c r="BR47" s="382">
        <f t="array" ref="BR47">IF($BI47=0, INDEX(LS_current!$D$4:$AY$139, MATCH('Staging Table'!$A47, LS_current!$B$4:$B$139, 0), MATCH(BR$4&amp;BR$5, LS_current!$D$2:$AY$2&amp;LS_current!$D$3:$AY$3, 0)),SUM(VLOOKUP($A47, LS_current!$B$4:$AY$139, LS_current!H$149, FALSE), VLOOKUP($A47, LS_current!$B$4:$AY$139,LS_current!H$149, FALSE))/2)</f>
        <v>-1737.5978210142894</v>
      </c>
      <c r="BS47" s="382">
        <f t="array" ref="BS47">IF($BI47=0, INDEX(LS_current!$D$4:$AY$139, MATCH('Staging Table'!$A47, LS_current!$B$4:$B$139, 0), MATCH(BS$4&amp;BS$5, LS_current!$D$2:$AY$2&amp;LS_current!$D$3:$AY$3, 0)),SUM(VLOOKUP($A47, LS_current!$B$4:$AY$139, LS_current!I$149, FALSE), VLOOKUP($A47, LS_current!$B$4:$AY$139,LS_current!I$149, FALSE))/2)</f>
        <v>-494.98230554225302</v>
      </c>
      <c r="BT47" s="382">
        <f t="array" ref="BT47">IF($BI47=0, INDEX(LS_current!$D$4:$AY$139, MATCH('Staging Table'!$A47, LS_current!$B$4:$B$139, 0), MATCH(BT$4&amp;BT$5, LS_current!$D$2:$AY$2&amp;LS_current!$D$3:$AY$3, 0)),SUM(VLOOKUP($A47, LS_current!$B$4:$AY$139, LS_current!J$149, FALSE), VLOOKUP($A47, LS_current!$B$4:$AY$139,LS_current!J$149, FALSE))/2)</f>
        <v>-1126.2187477030161</v>
      </c>
      <c r="BU47" s="382">
        <f t="array" ref="BU47">IF($BI47=0, INDEX(LS_current!$D$4:$AY$139, MATCH('Staging Table'!$A47, LS_current!$B$4:$B$139, 0), MATCH(BU$4&amp;BU$5, LS_current!$D$2:$AY$2&amp;LS_current!$D$3:$AY$3, 0)),SUM(VLOOKUP($A47, LS_current!$B$4:$AY$139, LS_current!K$149, FALSE), VLOOKUP($A47, LS_current!$B$4:$AY$139,LS_current!K$149, FALSE))/2)</f>
        <v>-438.94203032670384</v>
      </c>
      <c r="BV47" s="382">
        <f t="array" ref="BV47">IF($BI47=0, INDEX(LS_current!$D$4:$AY$139, MATCH('Staging Table'!$A47, LS_current!$B$4:$B$139, 0), MATCH(BV$4&amp;BV$5, LS_current!$D$2:$AY$2&amp;LS_current!$D$3:$AY$3, 0)),SUM(VLOOKUP($A47, LS_current!$B$4:$AY$139, LS_current!L$149, FALSE), VLOOKUP($A47, LS_current!$B$4:$AY$139,LS_current!L$149, FALSE))/2)</f>
        <v>-902.41599964100169</v>
      </c>
      <c r="BW47" s="382">
        <f t="array" ref="BW47">IF($BI47=0, INDEX(LS_current!$D$4:$AY$139, MATCH('Staging Table'!$A47, LS_current!$B$4:$B$139, 0), MATCH(BW$4&amp;BW$5, LS_current!$D$2:$AY$2&amp;LS_current!$D$3:$AY$3, 0)),SUM(VLOOKUP($A47, LS_current!$B$4:$AY$139, LS_current!M$149, FALSE), VLOOKUP($A47, LS_current!$B$4:$AY$139,LS_current!M$149, FALSE))/2)</f>
        <v>-299.88553322622511</v>
      </c>
      <c r="BX47" s="382">
        <f t="array" ref="BX47">IF($BI47=0, INDEX(LS_current!$D$4:$AY$139, MATCH('Staging Table'!$A47, LS_current!$B$4:$B$139, 0), MATCH(BX$4&amp;BX$5, LS_current!$D$2:$AY$2&amp;LS_current!$D$3:$AY$3, 0)),SUM(VLOOKUP($A47, LS_current!$B$4:$AY$139, LS_current!N$149, FALSE), VLOOKUP($A47, LS_current!$B$4:$AY$139,LS_current!N$149, FALSE))/2)</f>
        <v>-1426.9657506073545</v>
      </c>
      <c r="BY47" s="382">
        <f t="array" ref="BY47">IF($BI47=0, INDEX(LS_current!$D$4:$AY$139, MATCH('Staging Table'!$A47, LS_current!$B$4:$B$139, 0), MATCH(BY$4&amp;BY$5, LS_current!$D$2:$AY$2&amp;LS_current!$D$3:$AY$3, 0)),SUM(VLOOKUP($A47, LS_current!$B$4:$AY$139, LS_current!O$149, FALSE), VLOOKUP($A47, LS_current!$B$4:$AY$139,LS_current!O$149, FALSE))/2)</f>
        <v>-704.01180445672298</v>
      </c>
      <c r="BZ47" s="382">
        <f t="array" ref="BZ47">IF($BI47=0, INDEX(LS_current!$D$4:$AY$139, MATCH('Staging Table'!$A47, LS_current!$B$4:$B$139, 0), MATCH(BZ$4&amp;BZ$5, LS_current!$D$2:$AY$2&amp;LS_current!$D$3:$AY$3, 0)),SUM(VLOOKUP($A47, LS_current!$B$4:$AY$139, LS_current!P$149, FALSE), VLOOKUP($A47, LS_current!$B$4:$AY$139,LS_current!P$149, FALSE))/2)</f>
        <v>-186.75614981883973</v>
      </c>
      <c r="CA47" s="382">
        <f t="array" ref="CA47">IF($BI47=0, INDEX(LS_current!$D$4:$AY$139, MATCH('Staging Table'!$A47, LS_current!$B$4:$B$139, 0), MATCH(CA$4&amp;CA$5, LS_current!$D$2:$AY$2&amp;LS_current!$D$3:$AY$3, 0)),SUM(VLOOKUP($A47, LS_current!$B$4:$AY$139, LS_current!Q$149, FALSE), VLOOKUP($A47, LS_current!$B$4:$AY$139,LS_current!Q$149, FALSE))/2)</f>
        <v>604.75016672143101</v>
      </c>
      <c r="CB47" s="382">
        <f t="array" ref="CB47">IF($BI47=0, INDEX(LS_current!$D$4:$AY$139, MATCH('Staging Table'!$A47, LS_current!$B$4:$B$139, 0), MATCH(CB$4&amp;CB$5, LS_current!$D$2:$AY$2&amp;LS_current!$D$3:$AY$3, 0)),SUM(VLOOKUP($A47, LS_current!$B$4:$AY$139, LS_current!R$149, FALSE), VLOOKUP($A47, LS_current!$B$4:$AY$139,LS_current!R$149, FALSE))/2)</f>
        <v>-1603.8226739800548</v>
      </c>
      <c r="CC47" s="382">
        <f t="array" ref="CC47">IF($BI47=0, INDEX(LS_current!$D$4:$AY$139, MATCH('Staging Table'!$A47, LS_current!$B$4:$B$139, 0), MATCH(CC$4&amp;CC$5, LS_current!$D$2:$AY$2&amp;LS_current!$D$3:$AY$3, 0)),SUM(VLOOKUP($A47, LS_current!$B$4:$AY$139, LS_current!S$149, FALSE), VLOOKUP($A47, LS_current!$B$4:$AY$139,LS_current!S$149, FALSE))/2)</f>
        <v>-192.6527744703003</v>
      </c>
      <c r="CD47" s="382">
        <f t="array" ref="CD47">IF($BI47=0, INDEX(LS_current!$D$4:$AY$139, MATCH('Staging Table'!$A47, LS_current!$B$4:$B$139, 0), MATCH(CD$4&amp;CD$5, LS_current!$D$2:$AY$2&amp;LS_current!$D$3:$AY$3, 0)),SUM(VLOOKUP($A47, LS_current!$B$4:$AY$139, LS_current!T$149, FALSE), VLOOKUP($A47, LS_current!$B$4:$AY$139,LS_current!T$149, FALSE))/2)</f>
        <v>85.468539122489346</v>
      </c>
      <c r="CE47" s="382">
        <f t="array" ref="CE47">IF($BI47=0, INDEX(LS_current!$D$4:$AY$139, MATCH('Staging Table'!$A47, LS_current!$B$4:$B$139, 0), MATCH(CE$4&amp;CE$5, LS_current!$D$2:$AY$2&amp;LS_current!$D$3:$AY$3, 0)),SUM(VLOOKUP($A47, LS_current!$B$4:$AY$139, LS_current!U$149, FALSE), VLOOKUP($A47, LS_current!$B$4:$AY$139,LS_current!U$149, FALSE))/2)</f>
        <v>673.23928609075301</v>
      </c>
      <c r="CF47" s="382">
        <f t="array" ref="CF47">IF($BI47=0, INDEX(LS_current!$D$4:$AY$139, MATCH('Staging Table'!$A47, LS_current!$B$4:$B$139, 0), MATCH(CF$4&amp;CF$5, LS_current!$D$2:$AY$2&amp;LS_current!$D$3:$AY$3, 0)),SUM(VLOOKUP($A47, LS_current!$B$4:$AY$139, LS_current!V$149, FALSE), VLOOKUP($A47, LS_current!$B$4:$AY$139,LS_current!V$149, FALSE))/2)</f>
        <v>466.60912842195285</v>
      </c>
      <c r="CG47" s="382">
        <f t="array" ref="CG47">IF($BI47=0, INDEX(LS_current!$D$4:$AY$139, MATCH('Staging Table'!$A47, LS_current!$B$4:$B$139, 0), MATCH(CG$4&amp;CG$5, LS_current!$D$2:$AY$2&amp;LS_current!$D$3:$AY$3, 0)),SUM(VLOOKUP($A47, LS_current!$B$4:$AY$139, LS_current!W$149, FALSE), VLOOKUP($A47, LS_current!$B$4:$AY$139,LS_current!W$149, FALSE))/2)</f>
        <v>1346.8550604809334</v>
      </c>
      <c r="CH47" s="382">
        <f t="array" ref="CH47">IF($BI47=0, INDEX(LS_current!$D$4:$AY$139, MATCH('Staging Table'!$A47, LS_current!$B$4:$B$139, 0), MATCH(CH$4&amp;CH$5, LS_current!$D$2:$AY$2&amp;LS_current!$D$3:$AY$3, 0)),SUM(VLOOKUP($A47, LS_current!$B$4:$AY$139, LS_current!X$149, FALSE), VLOOKUP($A47, LS_current!$B$4:$AY$139,LS_current!X$149, FALSE))/2)</f>
        <v>179.8112325159118</v>
      </c>
      <c r="CI47" s="382">
        <f t="array" ref="CI47">IF($BI47=0, INDEX(LS_current!$D$4:$AY$139, MATCH('Staging Table'!$A47, LS_current!$B$4:$B$139, 0), MATCH(CI$4&amp;CI$5, LS_current!$D$2:$AY$2&amp;LS_current!$D$3:$AY$3, 0)),SUM(VLOOKUP($A47, LS_current!$B$4:$AY$139, LS_current!Y$149, FALSE), VLOOKUP($A47, LS_current!$B$4:$AY$139,LS_current!Y$149, FALSE))/2)</f>
        <v>758.18320246239637</v>
      </c>
      <c r="CJ47" s="382">
        <f t="array" ref="CJ47">IF($BI47=0, INDEX(LS_current!$D$4:$AY$139, MATCH('Staging Table'!$A47, LS_current!$B$4:$B$139, 0), MATCH(CJ$4&amp;CJ$5, LS_current!$D$2:$AY$2&amp;LS_current!$D$3:$AY$3, 0)),SUM(VLOOKUP($A47, LS_current!$B$4:$AY$139, LS_current!Z$149, FALSE), VLOOKUP($A47, LS_current!$B$4:$AY$139,LS_current!Z$149, FALSE))/2)</f>
        <v>-522.20654183221541</v>
      </c>
      <c r="CK47" s="382">
        <f t="array" ref="CK47">IF($BI47=0, INDEX(LS_current!$D$4:$AY$139, MATCH('Staging Table'!$A47, LS_current!$B$4:$B$139, 0), MATCH(CK$4&amp;CK$5, LS_current!$D$2:$AY$2&amp;LS_current!$D$3:$AY$3, 0)),SUM(VLOOKUP($A47, LS_current!$B$4:$AY$139, LS_current!AA$149, FALSE), VLOOKUP($A47, LS_current!$B$4:$AY$139,LS_current!AA$149, FALSE))/2)</f>
        <v>609.25225759287468</v>
      </c>
      <c r="CL47" s="384">
        <f t="array" ref="CL47">INDEX(Demand_current!$D$4:$AY$138, MATCH($A47, Demand_current!$B$4:$B$138, 0), MATCH(CL$4&amp;CL$5,Demand_current!$D$2:$AY$2&amp;Demand_current!$D$3:$AY$3, 0))/1000</f>
        <v>3.467509615384615</v>
      </c>
      <c r="CM47" s="384">
        <f t="array" ref="CM47">INDEX(Demand_current!$D$4:$AY$138, MATCH($A47, Demand_current!$B$4:$B$138, 0), MATCH(CM$4&amp;CM$5,Demand_current!$D$2:$AY$2&amp;Demand_current!$D$3:$AY$3, 0))/1000</f>
        <v>1.8852649999999995</v>
      </c>
      <c r="CN47" s="384">
        <f t="array" ref="CN47">INDEX(Demand_current!$D$4:$AY$138, MATCH($A47, Demand_current!$B$4:$B$138, 0), MATCH(CN$4&amp;CN$5,Demand_current!$D$2:$AY$2&amp;Demand_current!$D$3:$AY$3, 0))/1000</f>
        <v>3.9710425000000003</v>
      </c>
      <c r="CO47" s="384">
        <f t="array" ref="CO47">INDEX(Demand_current!$D$4:$AY$138, MATCH($A47, Demand_current!$B$4:$B$138, 0), MATCH(CO$4&amp;CO$5,Demand_current!$D$2:$AY$2&amp;Demand_current!$D$3:$AY$3, 0))/1000</f>
        <v>2.8421274038461539</v>
      </c>
      <c r="CP47" s="384">
        <f t="array" ref="CP47">INDEX(Demand_current!$D$4:$AY$138, MATCH($A47, Demand_current!$B$4:$B$138, 0), MATCH(CP$4&amp;CP$5,Demand_current!$D$2:$AY$2&amp;Demand_current!$D$3:$AY$3, 0))/1000</f>
        <v>2.5478932291666672</v>
      </c>
      <c r="CQ47" s="384">
        <f t="array" ref="CQ47">INDEX(Demand_current!$D$4:$AY$138, MATCH($A47, Demand_current!$B$4:$B$138, 0), MATCH(CQ$4&amp;CQ$5,Demand_current!$D$2:$AY$2&amp;Demand_current!$D$3:$AY$3, 0))/1000</f>
        <v>2.2712962962962964</v>
      </c>
      <c r="CR47" s="384">
        <f t="array" ref="CR47">INDEX(Demand_current!$D$4:$AY$138, MATCH($A47, Demand_current!$B$4:$B$138, 0), MATCH(CR$4&amp;CR$5,Demand_current!$D$2:$AY$2&amp;Demand_current!$D$3:$AY$3, 0))/1000</f>
        <v>2.5358025000000008</v>
      </c>
      <c r="CS47" s="384">
        <f t="array" ref="CS47">INDEX(Demand_current!$D$4:$AY$138, MATCH($A47, Demand_current!$B$4:$B$138, 0), MATCH(CS$4&amp;CS$5,Demand_current!$D$2:$AY$2&amp;Demand_current!$D$3:$AY$3, 0))/1000</f>
        <v>1.6915336538461552</v>
      </c>
      <c r="CT47" s="384">
        <f t="array" ref="CT47">INDEX(Demand_current!$D$4:$AY$138, MATCH($A47, Demand_current!$B$4:$B$138, 0), MATCH(CT$4&amp;CT$5,Demand_current!$D$2:$AY$2&amp;Demand_current!$D$3:$AY$3, 0))/1000</f>
        <v>2.436117788461539</v>
      </c>
      <c r="CU47" s="384">
        <f t="array" ref="CU47">INDEX(Demand_current!$D$4:$AY$138, MATCH($A47, Demand_current!$B$4:$B$138, 0), MATCH(CU$4&amp;CU$5,Demand_current!$D$2:$AY$2&amp;Demand_current!$D$3:$AY$3, 0))/1000</f>
        <v>3.5135174999999981</v>
      </c>
      <c r="CV47" s="384">
        <f t="array" ref="CV47">INDEX(Demand_current!$D$4:$AY$138, MATCH($A47, Demand_current!$B$4:$B$138, 0), MATCH(CV$4&amp;CV$5,Demand_current!$D$2:$AY$2&amp;Demand_current!$D$3:$AY$3, 0))/1000</f>
        <v>2.6438379629629631</v>
      </c>
      <c r="CW47" s="384">
        <f t="array" ref="CW47">INDEX(Demand_current!$D$4:$AY$138, MATCH($A47, Demand_current!$B$4:$B$138, 0), MATCH(CW$4&amp;CW$5,Demand_current!$D$2:$AY$2&amp;Demand_current!$D$3:$AY$3, 0))/1000</f>
        <v>3.2391848958333345</v>
      </c>
      <c r="CX47" s="384">
        <f>IF(D47=0,IF(C47=0,MAX(0,DA47 - (VLOOKUP($A47,TOCA_current!$A$2:$AI$137,MATCH("RHWM 2018",TOCA_current!$A$2:$AI$2,0),FALSE)*$BH$2)), 0),0)</f>
        <v>0</v>
      </c>
      <c r="CY47" s="427">
        <f>VLOOKUP($A47,REP_current!$A$1:$D$135,MATCH("FY "&amp;$BH$1&amp; " Total Refund",REP_current!$A$1:$D$1,0),0)</f>
        <v>68108.813897606262</v>
      </c>
      <c r="CZ47" s="432">
        <f>MIN(VLOOKUP($A47,TOCA_current!$A$2:$AI$137,MATCH("TRL - NLSL - Existing Resource "&amp;$BH$1,TOCA_current!$A$2:$AI$2,0),FALSE)*$BH$2, VLOOKUP($A47,TOCA_current!$A$2:$AI$137,MATCH("RHWM 2018",TOCA_current!$A$2:$AI$2,0),FALSE)*$BH$2)</f>
        <v>104454.23999999999</v>
      </c>
      <c r="DA47" s="397">
        <f>SUM(BN47:CK47)+(BH47*RT1SC!$C$4*$BH$2)</f>
        <v>93646.523523935364</v>
      </c>
      <c r="DB47" s="432">
        <f>VLOOKUP($A47,TOCA_current!$A$2:$AI$137,MATCH("Above RHWM Not Served with LS "&amp;$BH$1,TOCA_current!$A$2:$AI$2,0),FALSE)*$BH$2</f>
        <v>19587.36</v>
      </c>
      <c r="DC47" s="401">
        <f t="shared" si="11"/>
        <v>-10807.716476064626</v>
      </c>
      <c r="DD47" s="397">
        <f>(VLOOKUP($A47,TOCA_current!$A$2:$AI$137,MATCH("RHWM 2018",TOCA_current!$A$2:$AI$2,0),FALSE)*$BH$2) - $CZ47</f>
        <v>0</v>
      </c>
      <c r="DE47" s="397">
        <f t="shared" si="12"/>
        <v>0</v>
      </c>
      <c r="DF47" s="397">
        <f t="shared" si="13"/>
        <v>0</v>
      </c>
      <c r="DG47" s="397">
        <f t="shared" si="14"/>
        <v>0</v>
      </c>
      <c r="DH47" s="397">
        <f t="shared" si="15"/>
        <v>0</v>
      </c>
    </row>
    <row r="48" spans="1:112">
      <c r="A48" s="274">
        <v>10111</v>
      </c>
      <c r="B48" s="275" t="s">
        <v>49</v>
      </c>
      <c r="C48" s="397">
        <v>0</v>
      </c>
      <c r="D48" s="397">
        <v>0</v>
      </c>
      <c r="E48" s="205">
        <f>VLOOKUP($A48,TOCA_previous!$A$2:$AI$137,MATCH(E$4,TOCA_previous!$A$2:$AI$2,0),FALSE)</f>
        <v>4.1599999999999997E-4</v>
      </c>
      <c r="F48" s="206">
        <f>VLOOKUP($A48,TOCA_previous!$A$2:$AI$137,MATCH(F$4,TOCA_previous!$A$2:$AI$2,0),FALSE)</f>
        <v>4.1599999999999997E-4</v>
      </c>
      <c r="G48" s="206">
        <f t="shared" si="0"/>
        <v>0</v>
      </c>
      <c r="H48" s="206">
        <f>VLOOKUP($A48,TOCA_previous!$A$2:$AI$137,MATCH(H$4,TOCA_previous!$A$2:$AI$2,0),FALSE)</f>
        <v>7.0000000000000007E-2</v>
      </c>
      <c r="I48" s="206">
        <f t="shared" si="1"/>
        <v>0</v>
      </c>
      <c r="J48" s="206">
        <f t="shared" si="2"/>
        <v>0</v>
      </c>
      <c r="K48" s="381">
        <f>VLOOKUP(A48, IRD!$A$5:$C$139, 3, FALSE)</f>
        <v>5227.6489999999994</v>
      </c>
      <c r="L48" s="382">
        <f t="array" ref="L48">IF($G48=0, INDEX(LS_previous!$D$4:$AY$138, MATCH('Staging Table'!$A48, LS_previous!$B$4:$B$138, 0), MATCH(L$4&amp;L$5, LS_previous!$D$2:$AY$2&amp;LS_previous!$D$3:$AY$3, 0)),SUM(VLOOKUP($A48, LS_previous!$B$4:$AY$138, LS_previous!D$149, FALSE), VLOOKUP('Staging Table'!$A48, LS_previous!$B$4:$AY$138,LS_previous!AB$149, FALSE))/2)</f>
        <v>-335.94267086935929</v>
      </c>
      <c r="M48" s="382">
        <f t="array" ref="M48">IF($G48=0, INDEX(LS_previous!$D$4:$AY$138, MATCH('Staging Table'!$A48, LS_previous!$B$4:$B$138, 0), MATCH(M$4&amp;M$5, LS_previous!$D$2:$AY$2&amp;LS_previous!$D$3:$AY$3, 0)),SUM(VLOOKUP($A48, LS_previous!$B$4:$AY$138, LS_previous!E$149, FALSE), VLOOKUP('Staging Table'!$A48, LS_previous!$B$4:$AY$138,LS_previous!AC$149, FALSE))/2)</f>
        <v>-83.60506876754755</v>
      </c>
      <c r="N48" s="382">
        <f t="array" ref="N48">IF($G48=0, INDEX(LS_previous!$D$4:$AY$138, MATCH('Staging Table'!$A48, LS_previous!$B$4:$B$138, 0), MATCH(N$4&amp;N$5, LS_previous!$D$2:$AY$2&amp;LS_previous!$D$3:$AY$3, 0)),SUM(VLOOKUP($A48, LS_previous!$B$4:$AY$138, LS_previous!F$149, FALSE), VLOOKUP('Staging Table'!$A48, LS_previous!$B$4:$AY$138,LS_previous!AD$149, FALSE))/2)</f>
        <v>-288.8171432618949</v>
      </c>
      <c r="O48" s="382">
        <f t="array" ref="O48">IF($G48=0, INDEX(LS_previous!$D$4:$AY$138, MATCH('Staging Table'!$A48, LS_previous!$B$4:$B$138, 0), MATCH(O$4&amp;O$5, LS_previous!$D$2:$AY$2&amp;LS_previous!$D$3:$AY$3, 0)),SUM(VLOOKUP($A48, LS_previous!$B$4:$AY$138, LS_previous!G$149, FALSE), VLOOKUP('Staging Table'!$A48, LS_previous!$B$4:$AY$138,LS_previous!AE$149, FALSE))/2)</f>
        <v>-10.478701875824527</v>
      </c>
      <c r="P48" s="382">
        <f t="array" ref="P48">IF($G48=0, INDEX(LS_previous!$D$4:$AY$138, MATCH('Staging Table'!$A48, LS_previous!$B$4:$B$138, 0), MATCH(P$4&amp;P$5, LS_previous!$D$2:$AY$2&amp;LS_previous!$D$3:$AY$3, 0)),SUM(VLOOKUP($A48, LS_previous!$B$4:$AY$138, LS_previous!H$149, FALSE), VLOOKUP('Staging Table'!$A48, LS_previous!$B$4:$AY$138,LS_previous!AF$149, FALSE))/2)</f>
        <v>61.617007836302491</v>
      </c>
      <c r="Q48" s="382">
        <f t="array" ref="Q48">IF($G48=0, INDEX(LS_previous!$D$4:$AY$138, MATCH('Staging Table'!$A48, LS_previous!$B$4:$B$138, 0), MATCH(Q$4&amp;Q$5, LS_previous!$D$2:$AY$2&amp;LS_previous!$D$3:$AY$3, 0)),SUM(VLOOKUP($A48, LS_previous!$B$4:$AY$138, LS_previous!I$149, FALSE), VLOOKUP('Staging Table'!$A48, LS_previous!$B$4:$AY$138,LS_previous!AG$149, FALSE))/2)</f>
        <v>311.50499431877085</v>
      </c>
      <c r="R48" s="382">
        <f t="array" ref="R48">IF($G48=0, INDEX(LS_previous!$D$4:$AY$138, MATCH('Staging Table'!$A48, LS_previous!$B$4:$B$138, 0), MATCH(R$4&amp;R$5, LS_previous!$D$2:$AY$2&amp;LS_previous!$D$3:$AY$3, 0)),SUM(VLOOKUP($A48, LS_previous!$B$4:$AY$138, LS_previous!J$149, FALSE), VLOOKUP('Staging Table'!$A48, LS_previous!$B$4:$AY$138,LS_previous!AH$149, FALSE))/2)</f>
        <v>188.13819642000431</v>
      </c>
      <c r="S48" s="382">
        <f t="array" ref="S48">IF($G48=0, INDEX(LS_previous!$D$4:$AY$138, MATCH('Staging Table'!$A48, LS_previous!$B$4:$B$138, 0), MATCH(S$4&amp;S$5, LS_previous!$D$2:$AY$2&amp;LS_previous!$D$3:$AY$3, 0)),SUM(VLOOKUP($A48, LS_previous!$B$4:$AY$138, LS_previous!K$149, FALSE), VLOOKUP('Staging Table'!$A48, LS_previous!$B$4:$AY$138,LS_previous!AI$149, FALSE))/2)</f>
        <v>305.16182619333642</v>
      </c>
      <c r="T48" s="382">
        <f t="array" ref="T48">IF($G48=0, INDEX(LS_previous!$D$4:$AY$138, MATCH('Staging Table'!$A48, LS_previous!$B$4:$B$138, 0), MATCH(T$4&amp;T$5, LS_previous!$D$2:$AY$2&amp;LS_previous!$D$3:$AY$3, 0)),SUM(VLOOKUP($A48, LS_previous!$B$4:$AY$138, LS_previous!L$149, FALSE), VLOOKUP('Staging Table'!$A48, LS_previous!$B$4:$AY$138,LS_previous!AJ$149, FALSE))/2)</f>
        <v>46.494624074100557</v>
      </c>
      <c r="U48" s="382">
        <f t="array" ref="U48">IF($G48=0, INDEX(LS_previous!$D$4:$AY$138, MATCH('Staging Table'!$A48, LS_previous!$B$4:$B$138, 0), MATCH(U$4&amp;U$5, LS_previous!$D$2:$AY$2&amp;LS_previous!$D$3:$AY$3, 0)),SUM(VLOOKUP($A48, LS_previous!$B$4:$AY$138, LS_previous!M$149, FALSE), VLOOKUP('Staging Table'!$A48, LS_previous!$B$4:$AY$138,LS_previous!AK$149, FALSE))/2)</f>
        <v>157.64105082757419</v>
      </c>
      <c r="V48" s="382">
        <f t="array" ref="V48">IF($G48=0, INDEX(LS_previous!$D$4:$AY$138, MATCH('Staging Table'!$A48, LS_previous!$B$4:$B$138, 0), MATCH(V$4&amp;V$5, LS_previous!$D$2:$AY$2&amp;LS_previous!$D$3:$AY$3, 0)),SUM(VLOOKUP($A48, LS_previous!$B$4:$AY$138, LS_previous!N$149, FALSE), VLOOKUP('Staging Table'!$A48, LS_previous!$B$4:$AY$138,LS_previous!AL$149, FALSE))/2)</f>
        <v>-203.99422076339624</v>
      </c>
      <c r="W48" s="382">
        <f t="array" ref="W48">IF($G48=0, INDEX(LS_previous!$D$4:$AY$138, MATCH('Staging Table'!$A48, LS_previous!$B$4:$B$138, 0), MATCH(W$4&amp;W$5, LS_previous!$D$2:$AY$2&amp;LS_previous!$D$3:$AY$3, 0)),SUM(VLOOKUP($A48, LS_previous!$B$4:$AY$138, LS_previous!O$149, FALSE), VLOOKUP('Staging Table'!$A48, LS_previous!$B$4:$AY$138,LS_previous!AM$149, FALSE))/2)</f>
        <v>-54.114102843335218</v>
      </c>
      <c r="X48" s="382">
        <f t="array" ref="X48">IF($G48=0, INDEX(LS_previous!$D$4:$AY$138, MATCH('Staging Table'!$A48, LS_previous!$B$4:$B$138, 0), MATCH(X$4&amp;X$5, LS_previous!$D$2:$AY$2&amp;LS_previous!$D$3:$AY$3, 0)),SUM(VLOOKUP($A48, LS_previous!$B$4:$AY$138, LS_previous!P$149, FALSE), VLOOKUP('Staging Table'!$A48, LS_previous!$B$4:$AY$138,LS_previous!AN$149, FALSE))/2)</f>
        <v>-29.194072446437531</v>
      </c>
      <c r="Y48" s="382">
        <f t="array" ref="Y48">IF($G48=0, INDEX(LS_previous!$D$4:$AY$138, MATCH('Staging Table'!$A48, LS_previous!$B$4:$B$138, 0), MATCH(Y$4&amp;Y$5, LS_previous!$D$2:$AY$2&amp;LS_previous!$D$3:$AY$3, 0)),SUM(VLOOKUP($A48, LS_previous!$B$4:$AY$138, LS_previous!Q$149, FALSE), VLOOKUP('Staging Table'!$A48, LS_previous!$B$4:$AY$138,LS_previous!AO$149, FALSE))/2)</f>
        <v>113.96696609836863</v>
      </c>
      <c r="Z48" s="382">
        <f t="array" ref="Z48">IF($G48=0, INDEX(LS_previous!$D$4:$AY$138, MATCH('Staging Table'!$A48, LS_previous!$B$4:$B$138, 0), MATCH(Z$4&amp;Z$5, LS_previous!$D$2:$AY$2&amp;LS_previous!$D$3:$AY$3, 0)),SUM(VLOOKUP($A48, LS_previous!$B$4:$AY$138, LS_previous!R$149, FALSE), VLOOKUP('Staging Table'!$A48, LS_previous!$B$4:$AY$138,LS_previous!AP$149, FALSE))/2)</f>
        <v>-525.94184116018687</v>
      </c>
      <c r="AA48" s="382">
        <f t="array" ref="AA48">IF($G48=0, INDEX(LS_previous!$D$4:$AY$138, MATCH('Staging Table'!$A48, LS_previous!$B$4:$B$138, 0), MATCH(AA$4&amp;AA$5, LS_previous!$D$2:$AY$2&amp;LS_previous!$D$3:$AY$3, 0)),SUM(VLOOKUP($A48, LS_previous!$B$4:$AY$138, LS_previous!S$149, FALSE), VLOOKUP('Staging Table'!$A48, LS_previous!$B$4:$AY$138,LS_previous!AQ$149, FALSE))/2)</f>
        <v>-107.34292039963577</v>
      </c>
      <c r="AB48" s="382">
        <f t="array" ref="AB48">IF($G48=0, INDEX(LS_previous!$D$4:$AY$138, MATCH('Staging Table'!$A48, LS_previous!$B$4:$B$138, 0), MATCH(AB$4&amp;AB$5, LS_previous!$D$2:$AY$2&amp;LS_previous!$D$3:$AY$3, 0)),SUM(VLOOKUP($A48, LS_previous!$B$4:$AY$138, LS_previous!T$149, FALSE), VLOOKUP('Staging Table'!$A48, LS_previous!$B$4:$AY$138,LS_previous!AR$149, FALSE))/2)</f>
        <v>-169.95596116590809</v>
      </c>
      <c r="AC48" s="382">
        <f t="array" ref="AC48">IF($G48=0, INDEX(LS_previous!$D$4:$AY$138, MATCH('Staging Table'!$A48, LS_previous!$B$4:$B$138, 0), MATCH(AC$4&amp;AC$5, LS_previous!$D$2:$AY$2&amp;LS_previous!$D$3:$AY$3, 0)),SUM(VLOOKUP($A48, LS_previous!$B$4:$AY$138, LS_previous!U$149, FALSE), VLOOKUP('Staging Table'!$A48, LS_previous!$B$4:$AY$138,LS_previous!AS$149, FALSE))/2)</f>
        <v>-13.639972577445405</v>
      </c>
      <c r="AD48" s="382">
        <f t="array" ref="AD48">IF($G48=0, INDEX(LS_previous!$D$4:$AY$138, MATCH('Staging Table'!$A48, LS_previous!$B$4:$B$138, 0), MATCH(AD$4&amp;AD$5, LS_previous!$D$2:$AY$2&amp;LS_previous!$D$3:$AY$3, 0)),SUM(VLOOKUP($A48, LS_previous!$B$4:$AY$138, LS_previous!V$149, FALSE), VLOOKUP('Staging Table'!$A48, LS_previous!$B$4:$AY$138,LS_previous!AT$149, FALSE))/2)</f>
        <v>287.66823009295194</v>
      </c>
      <c r="AE48" s="382">
        <f t="array" ref="AE48">IF($G48=0, INDEX(LS_previous!$D$4:$AY$138, MATCH('Staging Table'!$A48, LS_previous!$B$4:$B$138, 0), MATCH(AE$4&amp;AE$5, LS_previous!$D$2:$AY$2&amp;LS_previous!$D$3:$AY$3, 0)),SUM(VLOOKUP($A48, LS_previous!$B$4:$AY$138, LS_previous!W$149, FALSE), VLOOKUP('Staging Table'!$A48, LS_previous!$B$4:$AY$138,LS_previous!AU$149, FALSE))/2)</f>
        <v>505.55227334647009</v>
      </c>
      <c r="AF48" s="382">
        <f t="array" ref="AF48">IF($G48=0, INDEX(LS_previous!$D$4:$AY$138, MATCH('Staging Table'!$A48, LS_previous!$B$4:$B$138, 0), MATCH(AF$4&amp;AF$5, LS_previous!$D$2:$AY$2&amp;LS_previous!$D$3:$AY$3, 0)),SUM(VLOOKUP($A48, LS_previous!$B$4:$AY$138, LS_previous!X$149, FALSE), VLOOKUP('Staging Table'!$A48, LS_previous!$B$4:$AY$138,LS_previous!AV$149, FALSE))/2)</f>
        <v>277.9247667455993</v>
      </c>
      <c r="AG48" s="382">
        <f t="array" ref="AG48">IF($G48=0, INDEX(LS_previous!$D$4:$AY$138, MATCH('Staging Table'!$A48, LS_previous!$B$4:$B$138, 0), MATCH(AG$4&amp;AG$5, LS_previous!$D$2:$AY$2&amp;LS_previous!$D$3:$AY$3, 0)),SUM(VLOOKUP($A48, LS_previous!$B$4:$AY$138, LS_previous!Y$149, FALSE), VLOOKUP('Staging Table'!$A48, LS_previous!$B$4:$AY$138,LS_previous!AW$149, FALSE))/2)</f>
        <v>333.34174633128055</v>
      </c>
      <c r="AH48" s="382">
        <f t="array" ref="AH48">IF($G48=0, INDEX(LS_previous!$D$4:$AY$138, MATCH('Staging Table'!$A48, LS_previous!$B$4:$B$138, 0), MATCH(AH$4&amp;AH$5, LS_previous!$D$2:$AY$2&amp;LS_previous!$D$3:$AY$3, 0)),SUM(VLOOKUP($A48, LS_previous!$B$4:$AY$138, LS_previous!Z$149, FALSE), VLOOKUP('Staging Table'!$A48, LS_previous!$B$4:$AY$138,LS_previous!AX$149, FALSE))/2)</f>
        <v>95.250314881450777</v>
      </c>
      <c r="AI48" s="382">
        <f t="array" ref="AI48">IF($G48=0, INDEX(LS_previous!$D$4:$AY$138, MATCH('Staging Table'!$A48, LS_previous!$B$4:$B$138, 0), MATCH(AI$4&amp;AI$5, LS_previous!$D$2:$AY$2&amp;LS_previous!$D$3:$AY$3, 0)),SUM(VLOOKUP($A48, LS_previous!$B$4:$AY$138, LS_previous!AA$149, FALSE), VLOOKUP('Staging Table'!$A48, LS_previous!$B$4:$AY$138,LS_previous!AY$149, FALSE))/2)</f>
        <v>235.9635847875154</v>
      </c>
      <c r="AJ48" s="384">
        <f t="array" ref="AJ48">INDEX(Demand_previous!$D$4:$AY$138, MATCH('Staging Table'!$A48, Demand_previous!$B$4:$B$138, 0), MATCH(AJ$4&amp;AJ$5,Demand_previous!$D$2:$AY$2&amp;Demand_previous!$D$3:$AY$3, 0))/1000</f>
        <v>0.7296342592592594</v>
      </c>
      <c r="AK48" s="384">
        <f t="array" ref="AK48">INDEX(Demand_previous!$D$4:$AY$138, MATCH('Staging Table'!$A48, Demand_previous!$B$4:$B$138, 0), MATCH(AK$4&amp;AK$5,Demand_previous!$D$2:$AY$2&amp;Demand_previous!$D$3:$AY$3, 0))/1000</f>
        <v>0.32921875000000012</v>
      </c>
      <c r="AL48" s="384">
        <f t="array" ref="AL48">INDEX(Demand_previous!$D$4:$AY$138, MATCH('Staging Table'!$A48, Demand_previous!$B$4:$B$138, 0), MATCH(AL$4&amp;AL$5,Demand_previous!$D$2:$AY$2&amp;Demand_previous!$D$3:$AY$3, 0))/1000</f>
        <v>1.2021466346153844</v>
      </c>
      <c r="AM48" s="384">
        <f t="array" ref="AM48">INDEX(Demand_previous!$D$4:$AY$138, MATCH('Staging Table'!$A48, Demand_previous!$B$4:$B$138, 0), MATCH(AM$4&amp;AM$5,Demand_previous!$D$2:$AY$2&amp;Demand_previous!$D$3:$AY$3, 0))/1000</f>
        <v>0.92864499999999972</v>
      </c>
      <c r="AN48" s="384">
        <f t="array" ref="AN48">INDEX(Demand_previous!$D$4:$AY$138, MATCH('Staging Table'!$A48, Demand_previous!$B$4:$B$138, 0), MATCH(AN$4&amp;AN$5,Demand_previous!$D$2:$AY$2&amp;Demand_previous!$D$3:$AY$3, 0))/1000</f>
        <v>0.65619500000000053</v>
      </c>
      <c r="AO48" s="384">
        <f t="array" ref="AO48">INDEX(Demand_previous!$D$4:$AY$138, MATCH('Staging Table'!$A48, Demand_previous!$B$4:$B$138, 0), MATCH(AO$4&amp;AO$5,Demand_previous!$D$2:$AY$2&amp;Demand_previous!$D$3:$AY$3, 0))/1000</f>
        <v>0.81426157407407362</v>
      </c>
      <c r="AP48" s="384">
        <f t="array" ref="AP48">INDEX(Demand_previous!$D$4:$AY$138, MATCH('Staging Table'!$A48, Demand_previous!$B$4:$B$138, 0), MATCH(AP$4&amp;AP$5,Demand_previous!$D$2:$AY$2&amp;Demand_previous!$D$3:$AY$3, 0))/1000</f>
        <v>0.51435096153846183</v>
      </c>
      <c r="AQ48" s="384">
        <f t="array" ref="AQ48">INDEX(Demand_previous!$D$4:$AY$138, MATCH('Staging Table'!$A48, Demand_previous!$B$4:$B$138, 0), MATCH(AQ$4&amp;AQ$5,Demand_previous!$D$2:$AY$2&amp;Demand_previous!$D$3:$AY$3, 0))/1000</f>
        <v>0.11265000000000003</v>
      </c>
      <c r="AR48" s="384">
        <f t="array" ref="AR48">INDEX(Demand_previous!$D$4:$AY$138, MATCH('Staging Table'!$A48, Demand_previous!$B$4:$B$138, 0), MATCH(AR$4&amp;AR$5,Demand_previous!$D$2:$AY$2&amp;Demand_previous!$D$3:$AY$3, 0))/1000</f>
        <v>0.37378846153846146</v>
      </c>
      <c r="AS48" s="384">
        <f t="array" ref="AS48">INDEX(Demand_previous!$D$4:$AY$138, MATCH('Staging Table'!$A48, Demand_previous!$B$4:$B$138, 0), MATCH(AS$4&amp;AS$5,Demand_previous!$D$2:$AY$2&amp;Demand_previous!$D$3:$AY$3, 0))/1000</f>
        <v>0.75751000000000046</v>
      </c>
      <c r="AT48" s="384">
        <f t="array" ref="AT48">INDEX(Demand_previous!$D$4:$AY$138, MATCH('Staging Table'!$A48, Demand_previous!$B$4:$B$138, 0), MATCH(AT$4&amp;AT$5,Demand_previous!$D$2:$AY$2&amp;Demand_previous!$D$3:$AY$3, 0))/1000</f>
        <v>0.76755787037037093</v>
      </c>
      <c r="AU48" s="384">
        <f t="array" ref="AU48">INDEX(Demand_previous!$D$4:$AY$138, MATCH('Staging Table'!$A48, Demand_previous!$B$4:$B$138, 0), MATCH(AU$4&amp;AU$5,Demand_previous!$D$2:$AY$2&amp;Demand_previous!$D$3:$AY$3, 0))/1000</f>
        <v>0.78324749999999965</v>
      </c>
      <c r="AV48" s="384">
        <f>IF($D48=0,IF(C48=0, MAX(AY48 - (VLOOKUP($A48,TOCA_previous!$A$2:$AI$137,MATCH("RHWM 2016",TOCA_previous!$A$2:$AI$2,0),FALSE)*$F$2*TOCA_previous!C45),0),0), 0)</f>
        <v>0</v>
      </c>
      <c r="AW48" s="427">
        <f>VLOOKUP($A48,REP_previous!$A$1:$D$135,MATCH("FY "&amp;$F$1&amp; " Total Refund",REP_previous!$A$1:$D$1,0),0)</f>
        <v>16248.926805474055</v>
      </c>
      <c r="AX48" s="398">
        <f>MIN(VLOOKUP($A48,TOCA_previous!$A$2:$AI$137,MATCH("TRL - NLSL - Exisiting Resource "&amp;$F$1,TOCA_previous!$A$2:$AI$2,0),FALSE)*$F$2,(VLOOKUP($A48,TOCA_previous!$A$2:$AI$137,MATCH("RHWM 2016",TOCA_previous!$A$2:$AI$2,0),FALSE)*$F$2))</f>
        <v>25517.519999999997</v>
      </c>
      <c r="AY48" s="384">
        <f>SUM(L48:AI48)+(F48*RT1SC!$C$3*$F$2)</f>
        <v>26614.397060062754</v>
      </c>
      <c r="AZ48" s="398">
        <f>VLOOKUP($A48,TOCA_previous!$A$2:$AI$137,MATCH("Above RHWM Not Served with LS "&amp;$F$1,TOCA_previous!$A$2:$AI$2,0),FALSE)*$F$2</f>
        <v>0</v>
      </c>
      <c r="BA48" s="206">
        <f t="shared" si="3"/>
        <v>1096.8770600627577</v>
      </c>
      <c r="BB48" s="399">
        <f>(VLOOKUP($A48,TOCA_previous!$A$2:$AI$137,MATCH("RHWM 2016",TOCA_previous!$A$2:$AI$2,0),FALSE)*$F$2) - $AX48</f>
        <v>2617.6320000000014</v>
      </c>
      <c r="BC48" s="206">
        <f t="shared" si="4"/>
        <v>-1096.8770600627577</v>
      </c>
      <c r="BD48" s="400">
        <f t="shared" si="5"/>
        <v>0</v>
      </c>
      <c r="BE48" s="392">
        <f t="shared" si="6"/>
        <v>0</v>
      </c>
      <c r="BF48" s="399">
        <f t="shared" si="7"/>
        <v>-1096.8770600627577</v>
      </c>
      <c r="BG48" s="206">
        <f>VLOOKUP($A48,TOCA_current!$A$2:$AI$137,MATCH(BG$4,TOCA_current!$A$2:$AI$2,0),FALSE)</f>
        <v>4.2480000000000003E-4</v>
      </c>
      <c r="BH48" s="206">
        <f>VLOOKUP($A48,TOCA_current!$A$2:$AI$137,MATCH(BH$4,TOCA_current!$A$2:$AI$2,0),FALSE)</f>
        <v>4.2480000000000003E-4</v>
      </c>
      <c r="BI48" s="391">
        <f t="shared" si="8"/>
        <v>0</v>
      </c>
      <c r="BJ48" s="206">
        <f>VLOOKUP($A48,TOCA_current!A44:BG179,MATCH(BJ$4,TOCA_current!$A$2:$BG$2,0),FALSE)</f>
        <v>7.0000000000000007E-2</v>
      </c>
      <c r="BK48" s="206">
        <f t="shared" si="9"/>
        <v>0</v>
      </c>
      <c r="BL48" s="206">
        <f t="shared" si="10"/>
        <v>0</v>
      </c>
      <c r="BM48" s="381">
        <f>VLOOKUP($A48,IRD!$A$4:$G$139, 7, FALSE)</f>
        <v>5227.6489999999994</v>
      </c>
      <c r="BN48" s="382">
        <f t="array" ref="BN48">IF($BI48=0, INDEX(LS_current!$D$4:$AY$139, MATCH('Staging Table'!$A48, LS_current!$B$4:$B$139, 0), MATCH(BN$4&amp;BN$5, LS_current!$D$2:$AY$2&amp;LS_current!$D$3:$AY$3, 0)),SUM(VLOOKUP($A48, LS_current!$B$4:$AY$139, LS_current!D$149, FALSE), VLOOKUP($A48, LS_current!$B$4:$AY$139,LS_current!D$149, FALSE))/2)</f>
        <v>-369.57160226303336</v>
      </c>
      <c r="BO48" s="382">
        <f t="array" ref="BO48">IF($BI48=0, INDEX(LS_current!$D$4:$AY$139, MATCH('Staging Table'!$A48, LS_current!$B$4:$B$139, 0), MATCH(BO$4&amp;BO$5, LS_current!$D$2:$AY$2&amp;LS_current!$D$3:$AY$3, 0)),SUM(VLOOKUP($A48, LS_current!$B$4:$AY$139, LS_current!E$149, FALSE), VLOOKUP($A48, LS_current!$B$4:$AY$139,LS_current!E$149, FALSE))/2)</f>
        <v>-61.014679200026421</v>
      </c>
      <c r="BP48" s="382">
        <f t="array" ref="BP48">IF($BI48=0, INDEX(LS_current!$D$4:$AY$139, MATCH('Staging Table'!$A48, LS_current!$B$4:$B$139, 0), MATCH(BP$4&amp;BP$5, LS_current!$D$2:$AY$2&amp;LS_current!$D$3:$AY$3, 0)),SUM(VLOOKUP($A48, LS_current!$B$4:$AY$139, LS_current!F$149, FALSE), VLOOKUP($A48, LS_current!$B$4:$AY$139,LS_current!F$149, FALSE))/2)</f>
        <v>-352.02042507619922</v>
      </c>
      <c r="BQ48" s="382">
        <f t="array" ref="BQ48">IF($BI48=0, INDEX(LS_current!$D$4:$AY$139, MATCH('Staging Table'!$A48, LS_current!$B$4:$B$139, 0), MATCH(BQ$4&amp;BQ$5, LS_current!$D$2:$AY$2&amp;LS_current!$D$3:$AY$3, 0)),SUM(VLOOKUP($A48, LS_current!$B$4:$AY$139, LS_current!G$149, FALSE), VLOOKUP($A48, LS_current!$B$4:$AY$139,LS_current!G$149, FALSE))/2)</f>
        <v>-21.236584599986713</v>
      </c>
      <c r="BR48" s="382">
        <f t="array" ref="BR48">IF($BI48=0, INDEX(LS_current!$D$4:$AY$139, MATCH('Staging Table'!$A48, LS_current!$B$4:$B$139, 0), MATCH(BR$4&amp;BR$5, LS_current!$D$2:$AY$2&amp;LS_current!$D$3:$AY$3, 0)),SUM(VLOOKUP($A48, LS_current!$B$4:$AY$139, LS_current!H$149, FALSE), VLOOKUP($A48, LS_current!$B$4:$AY$139,LS_current!H$149, FALSE))/2)</f>
        <v>-17.584501902661714</v>
      </c>
      <c r="BS48" s="382">
        <f t="array" ref="BS48">IF($BI48=0, INDEX(LS_current!$D$4:$AY$139, MATCH('Staging Table'!$A48, LS_current!$B$4:$B$139, 0), MATCH(BS$4&amp;BS$5, LS_current!$D$2:$AY$2&amp;LS_current!$D$3:$AY$3, 0)),SUM(VLOOKUP($A48, LS_current!$B$4:$AY$139, LS_current!I$149, FALSE), VLOOKUP($A48, LS_current!$B$4:$AY$139,LS_current!I$149, FALSE))/2)</f>
        <v>284.04199732419988</v>
      </c>
      <c r="BT48" s="382">
        <f t="array" ref="BT48">IF($BI48=0, INDEX(LS_current!$D$4:$AY$139, MATCH('Staging Table'!$A48, LS_current!$B$4:$B$139, 0), MATCH(BT$4&amp;BT$5, LS_current!$D$2:$AY$2&amp;LS_current!$D$3:$AY$3, 0)),SUM(VLOOKUP($A48, LS_current!$B$4:$AY$139, LS_current!J$149, FALSE), VLOOKUP($A48, LS_current!$B$4:$AY$139,LS_current!J$149, FALSE))/2)</f>
        <v>147.48166498296973</v>
      </c>
      <c r="BU48" s="382">
        <f t="array" ref="BU48">IF($BI48=0, INDEX(LS_current!$D$4:$AY$139, MATCH('Staging Table'!$A48, LS_current!$B$4:$B$139, 0), MATCH(BU$4&amp;BU$5, LS_current!$D$2:$AY$2&amp;LS_current!$D$3:$AY$3, 0)),SUM(VLOOKUP($A48, LS_current!$B$4:$AY$139, LS_current!K$149, FALSE), VLOOKUP($A48, LS_current!$B$4:$AY$139,LS_current!K$149, FALSE))/2)</f>
        <v>285.70189977706241</v>
      </c>
      <c r="BV48" s="382">
        <f t="array" ref="BV48">IF($BI48=0, INDEX(LS_current!$D$4:$AY$139, MATCH('Staging Table'!$A48, LS_current!$B$4:$B$139, 0), MATCH(BV$4&amp;BV$5, LS_current!$D$2:$AY$2&amp;LS_current!$D$3:$AY$3, 0)),SUM(VLOOKUP($A48, LS_current!$B$4:$AY$139, LS_current!L$149, FALSE), VLOOKUP($A48, LS_current!$B$4:$AY$139,LS_current!L$149, FALSE))/2)</f>
        <v>110.5888026514283</v>
      </c>
      <c r="BW48" s="382">
        <f t="array" ref="BW48">IF($BI48=0, INDEX(LS_current!$D$4:$AY$139, MATCH('Staging Table'!$A48, LS_current!$B$4:$B$139, 0), MATCH(BW$4&amp;BW$5, LS_current!$D$2:$AY$2&amp;LS_current!$D$3:$AY$3, 0)),SUM(VLOOKUP($A48, LS_current!$B$4:$AY$139, LS_current!M$149, FALSE), VLOOKUP($A48, LS_current!$B$4:$AY$139,LS_current!M$149, FALSE))/2)</f>
        <v>212.61172421985998</v>
      </c>
      <c r="BX48" s="382">
        <f t="array" ref="BX48">IF($BI48=0, INDEX(LS_current!$D$4:$AY$139, MATCH('Staging Table'!$A48, LS_current!$B$4:$B$139, 0), MATCH(BX$4&amp;BX$5, LS_current!$D$2:$AY$2&amp;LS_current!$D$3:$AY$3, 0)),SUM(VLOOKUP($A48, LS_current!$B$4:$AY$139, LS_current!N$149, FALSE), VLOOKUP($A48, LS_current!$B$4:$AY$139,LS_current!N$149, FALSE))/2)</f>
        <v>-163.20895693535499</v>
      </c>
      <c r="BY48" s="382">
        <f t="array" ref="BY48">IF($BI48=0, INDEX(LS_current!$D$4:$AY$139, MATCH('Staging Table'!$A48, LS_current!$B$4:$B$139, 0), MATCH(BY$4&amp;BY$5, LS_current!$D$2:$AY$2&amp;LS_current!$D$3:$AY$3, 0)),SUM(VLOOKUP($A48, LS_current!$B$4:$AY$139, LS_current!O$149, FALSE), VLOOKUP($A48, LS_current!$B$4:$AY$139,LS_current!O$149, FALSE))/2)</f>
        <v>5.6637734809460198</v>
      </c>
      <c r="BZ48" s="382">
        <f t="array" ref="BZ48">IF($BI48=0, INDEX(LS_current!$D$4:$AY$139, MATCH('Staging Table'!$A48, LS_current!$B$4:$B$139, 0), MATCH(BZ$4&amp;BZ$5, LS_current!$D$2:$AY$2&amp;LS_current!$D$3:$AY$3, 0)),SUM(VLOOKUP($A48, LS_current!$B$4:$AY$139, LS_current!P$149, FALSE), VLOOKUP($A48, LS_current!$B$4:$AY$139,LS_current!P$149, FALSE))/2)</f>
        <v>-181.51845174318169</v>
      </c>
      <c r="CA48" s="382">
        <f t="array" ref="CA48">IF($BI48=0, INDEX(LS_current!$D$4:$AY$139, MATCH('Staging Table'!$A48, LS_current!$B$4:$B$139, 0), MATCH(CA$4&amp;CA$5, LS_current!$D$2:$AY$2&amp;LS_current!$D$3:$AY$3, 0)),SUM(VLOOKUP($A48, LS_current!$B$4:$AY$139, LS_current!Q$149, FALSE), VLOOKUP($A48, LS_current!$B$4:$AY$139,LS_current!Q$149, FALSE))/2)</f>
        <v>90.497195703706325</v>
      </c>
      <c r="CB48" s="382">
        <f t="array" ref="CB48">IF($BI48=0, INDEX(LS_current!$D$4:$AY$139, MATCH('Staging Table'!$A48, LS_current!$B$4:$B$139, 0), MATCH(CB$4&amp;CB$5, LS_current!$D$2:$AY$2&amp;LS_current!$D$3:$AY$3, 0)),SUM(VLOOKUP($A48, LS_current!$B$4:$AY$139, LS_current!R$149, FALSE), VLOOKUP($A48, LS_current!$B$4:$AY$139,LS_current!R$149, FALSE))/2)</f>
        <v>-547.81443675406376</v>
      </c>
      <c r="CC48" s="382">
        <f t="array" ref="CC48">IF($BI48=0, INDEX(LS_current!$D$4:$AY$139, MATCH('Staging Table'!$A48, LS_current!$B$4:$B$139, 0), MATCH(CC$4&amp;CC$5, LS_current!$D$2:$AY$2&amp;LS_current!$D$3:$AY$3, 0)),SUM(VLOOKUP($A48, LS_current!$B$4:$AY$139, LS_current!S$149, FALSE), VLOOKUP($A48, LS_current!$B$4:$AY$139,LS_current!S$149, FALSE))/2)</f>
        <v>-144.20302061443419</v>
      </c>
      <c r="CD48" s="382">
        <f t="array" ref="CD48">IF($BI48=0, INDEX(LS_current!$D$4:$AY$139, MATCH('Staging Table'!$A48, LS_current!$B$4:$B$139, 0), MATCH(CD$4&amp;CD$5, LS_current!$D$2:$AY$2&amp;LS_current!$D$3:$AY$3, 0)),SUM(VLOOKUP($A48, LS_current!$B$4:$AY$139, LS_current!T$149, FALSE), VLOOKUP($A48, LS_current!$B$4:$AY$139,LS_current!T$149, FALSE))/2)</f>
        <v>-193.61512811925854</v>
      </c>
      <c r="CE48" s="382">
        <f t="array" ref="CE48">IF($BI48=0, INDEX(LS_current!$D$4:$AY$139, MATCH('Staging Table'!$A48, LS_current!$B$4:$B$139, 0), MATCH(CE$4&amp;CE$5, LS_current!$D$2:$AY$2&amp;LS_current!$D$3:$AY$3, 0)),SUM(VLOOKUP($A48, LS_current!$B$4:$AY$139, LS_current!U$149, FALSE), VLOOKUP($A48, LS_current!$B$4:$AY$139,LS_current!U$149, FALSE))/2)</f>
        <v>27.911710618143161</v>
      </c>
      <c r="CF48" s="382">
        <f t="array" ref="CF48">IF($BI48=0, INDEX(LS_current!$D$4:$AY$139, MATCH('Staging Table'!$A48, LS_current!$B$4:$B$139, 0), MATCH(CF$4&amp;CF$5, LS_current!$D$2:$AY$2&amp;LS_current!$D$3:$AY$3, 0)),SUM(VLOOKUP($A48, LS_current!$B$4:$AY$139, LS_current!V$149, FALSE), VLOOKUP($A48, LS_current!$B$4:$AY$139,LS_current!V$149, FALSE))/2)</f>
        <v>342.89771890136581</v>
      </c>
      <c r="CG48" s="382">
        <f t="array" ref="CG48">IF($BI48=0, INDEX(LS_current!$D$4:$AY$139, MATCH('Staging Table'!$A48, LS_current!$B$4:$B$139, 0), MATCH(CG$4&amp;CG$5, LS_current!$D$2:$AY$2&amp;LS_current!$D$3:$AY$3, 0)),SUM(VLOOKUP($A48, LS_current!$B$4:$AY$139, LS_current!W$149, FALSE), VLOOKUP($A48, LS_current!$B$4:$AY$139,LS_current!W$149, FALSE))/2)</f>
        <v>542.23444862684937</v>
      </c>
      <c r="CH48" s="382">
        <f t="array" ref="CH48">IF($BI48=0, INDEX(LS_current!$D$4:$AY$139, MATCH('Staging Table'!$A48, LS_current!$B$4:$B$139, 0), MATCH(CH$4&amp;CH$5, LS_current!$D$2:$AY$2&amp;LS_current!$D$3:$AY$3, 0)),SUM(VLOOKUP($A48, LS_current!$B$4:$AY$139, LS_current!X$149, FALSE), VLOOKUP($A48, LS_current!$B$4:$AY$139,LS_current!X$149, FALSE))/2)</f>
        <v>254.93169957644704</v>
      </c>
      <c r="CI48" s="382">
        <f t="array" ref="CI48">IF($BI48=0, INDEX(LS_current!$D$4:$AY$139, MATCH('Staging Table'!$A48, LS_current!$B$4:$B$139, 0), MATCH(CI$4&amp;CI$5, LS_current!$D$2:$AY$2&amp;LS_current!$D$3:$AY$3, 0)),SUM(VLOOKUP($A48, LS_current!$B$4:$AY$139, LS_current!Y$149, FALSE), VLOOKUP($A48, LS_current!$B$4:$AY$139,LS_current!Y$149, FALSE))/2)</f>
        <v>341.50776005010243</v>
      </c>
      <c r="CJ48" s="382">
        <f t="array" ref="CJ48">IF($BI48=0, INDEX(LS_current!$D$4:$AY$139, MATCH('Staging Table'!$A48, LS_current!$B$4:$B$139, 0), MATCH(CJ$4&amp;CJ$5, LS_current!$D$2:$AY$2&amp;LS_current!$D$3:$AY$3, 0)),SUM(VLOOKUP($A48, LS_current!$B$4:$AY$139, LS_current!Z$149, FALSE), VLOOKUP($A48, LS_current!$B$4:$AY$139,LS_current!Z$149, FALSE))/2)</f>
        <v>-46.606702603567555</v>
      </c>
      <c r="CK48" s="382">
        <f t="array" ref="CK48">IF($BI48=0, INDEX(LS_current!$D$4:$AY$139, MATCH('Staging Table'!$A48, LS_current!$B$4:$B$139, 0), MATCH(CK$4&amp;CK$5, LS_current!$D$2:$AY$2&amp;LS_current!$D$3:$AY$3, 0)),SUM(VLOOKUP($A48, LS_current!$B$4:$AY$139, LS_current!AA$149, FALSE), VLOOKUP($A48, LS_current!$B$4:$AY$139,LS_current!AA$149, FALSE))/2)</f>
        <v>223.22718312489997</v>
      </c>
      <c r="CL48" s="384">
        <f t="array" ref="CL48">INDEX(Demand_current!$D$4:$AY$138, MATCH($A48, Demand_current!$B$4:$B$138, 0), MATCH(CL$4&amp;CL$5,Demand_current!$D$2:$AY$2&amp;Demand_current!$D$3:$AY$3, 0))/1000</f>
        <v>0.64719711538461555</v>
      </c>
      <c r="CM48" s="384">
        <f t="array" ref="CM48">INDEX(Demand_current!$D$4:$AY$138, MATCH($A48, Demand_current!$B$4:$B$138, 0), MATCH(CM$4&amp;CM$5,Demand_current!$D$2:$AY$2&amp;Demand_current!$D$3:$AY$3, 0))/1000</f>
        <v>0.45412999999999992</v>
      </c>
      <c r="CN48" s="384">
        <f t="array" ref="CN48">INDEX(Demand_current!$D$4:$AY$138, MATCH($A48, Demand_current!$B$4:$B$138, 0), MATCH(CN$4&amp;CN$5,Demand_current!$D$2:$AY$2&amp;Demand_current!$D$3:$AY$3, 0))/1000</f>
        <v>1.0581525000000001</v>
      </c>
      <c r="CO48" s="384">
        <f t="array" ref="CO48">INDEX(Demand_current!$D$4:$AY$138, MATCH($A48, Demand_current!$B$4:$B$138, 0), MATCH(CO$4&amp;CO$5,Demand_current!$D$2:$AY$2&amp;Demand_current!$D$3:$AY$3, 0))/1000</f>
        <v>1.0662740384615381</v>
      </c>
      <c r="CP48" s="384">
        <f t="array" ref="CP48">INDEX(Demand_current!$D$4:$AY$138, MATCH($A48, Demand_current!$B$4:$B$138, 0), MATCH(CP$4&amp;CP$5,Demand_current!$D$2:$AY$2&amp;Demand_current!$D$3:$AY$3, 0))/1000</f>
        <v>0.53257812500000035</v>
      </c>
      <c r="CQ48" s="384">
        <f t="array" ref="CQ48">INDEX(Demand_current!$D$4:$AY$138, MATCH($A48, Demand_current!$B$4:$B$138, 0), MATCH(CQ$4&amp;CQ$5,Demand_current!$D$2:$AY$2&amp;Demand_current!$D$3:$AY$3, 0))/1000</f>
        <v>0.81426157407407362</v>
      </c>
      <c r="CR48" s="384">
        <f t="array" ref="CR48">INDEX(Demand_current!$D$4:$AY$138, MATCH($A48, Demand_current!$B$4:$B$138, 0), MATCH(CR$4&amp;CR$5,Demand_current!$D$2:$AY$2&amp;Demand_current!$D$3:$AY$3, 0))/1000</f>
        <v>0.41192500000000032</v>
      </c>
      <c r="CS48" s="384">
        <f t="array" ref="CS48">INDEX(Demand_current!$D$4:$AY$138, MATCH($A48, Demand_current!$B$4:$B$138, 0), MATCH(CS$4&amp;CS$5,Demand_current!$D$2:$AY$2&amp;Demand_current!$D$3:$AY$3, 0))/1000</f>
        <v>0.23431730769230763</v>
      </c>
      <c r="CT48" s="384">
        <f t="array" ref="CT48">INDEX(Demand_current!$D$4:$AY$138, MATCH($A48, Demand_current!$B$4:$B$138, 0), MATCH(CT$4&amp;CT$5,Demand_current!$D$2:$AY$2&amp;Demand_current!$D$3:$AY$3, 0))/1000</f>
        <v>0.37378846153846146</v>
      </c>
      <c r="CU48" s="384">
        <f t="array" ref="CU48">INDEX(Demand_current!$D$4:$AY$138, MATCH($A48, Demand_current!$B$4:$B$138, 0), MATCH(CU$4&amp;CU$5,Demand_current!$D$2:$AY$2&amp;Demand_current!$D$3:$AY$3, 0))/1000</f>
        <v>0.75751000000000046</v>
      </c>
      <c r="CV48" s="384">
        <f t="array" ref="CV48">INDEX(Demand_current!$D$4:$AY$138, MATCH($A48, Demand_current!$B$4:$B$138, 0), MATCH(CV$4&amp;CV$5,Demand_current!$D$2:$AY$2&amp;Demand_current!$D$3:$AY$3, 0))/1000</f>
        <v>0.76755787037037093</v>
      </c>
      <c r="CW48" s="384">
        <f t="array" ref="CW48">INDEX(Demand_current!$D$4:$AY$138, MATCH($A48, Demand_current!$B$4:$B$138, 0), MATCH(CW$4&amp;CW$5,Demand_current!$D$2:$AY$2&amp;Demand_current!$D$3:$AY$3, 0))/1000</f>
        <v>0.65642447916666646</v>
      </c>
      <c r="CX48" s="384">
        <f>IF(D48=0,IF(C48=0,MAX(0,DA48 - (VLOOKUP($A48,TOCA_current!$A$2:$AI$137,MATCH("RHWM 2018",TOCA_current!$A$2:$AI$2,0),FALSE)*$BH$2)), 0),0)</f>
        <v>0</v>
      </c>
      <c r="CY48" s="427">
        <f>VLOOKUP($A48,REP_current!$A$1:$D$135,MATCH("FY "&amp;$BH$1&amp; " Total Refund",REP_current!$A$1:$D$1,0),0)</f>
        <v>16850.683834422329</v>
      </c>
      <c r="CZ48" s="432">
        <f>MIN(VLOOKUP($A48,TOCA_current!$A$2:$AI$137,MATCH("TRL - NLSL - Existing Resource "&amp;$BH$1,TOCA_current!$A$2:$AI$2,0),FALSE)*$BH$2, VLOOKUP($A48,TOCA_current!$A$2:$AI$137,MATCH("RHWM 2018",TOCA_current!$A$2:$AI$2,0),FALSE)*$BH$2)</f>
        <v>25842</v>
      </c>
      <c r="DA48" s="397">
        <f>SUM(BN48:CK48)+(BH48*RT1SC!$C$4*$BH$2)</f>
        <v>26614.397377034213</v>
      </c>
      <c r="DB48" s="432">
        <f>VLOOKUP($A48,TOCA_current!$A$2:$AI$137,MATCH("Above RHWM Not Served with LS "&amp;$BH$1,TOCA_current!$A$2:$AI$2,0),FALSE)*$BH$2</f>
        <v>0</v>
      </c>
      <c r="DC48" s="401">
        <f t="shared" si="11"/>
        <v>772.3973770342127</v>
      </c>
      <c r="DD48" s="397">
        <f>(VLOOKUP($A48,TOCA_current!$A$2:$AI$137,MATCH("RHWM 2018",TOCA_current!$A$2:$AI$2,0),FALSE)*$BH$2) - $CZ48</f>
        <v>2041.0799999999981</v>
      </c>
      <c r="DE48" s="397">
        <f t="shared" si="12"/>
        <v>-772.3973770342127</v>
      </c>
      <c r="DF48" s="397">
        <f t="shared" si="13"/>
        <v>0</v>
      </c>
      <c r="DG48" s="397">
        <f t="shared" si="14"/>
        <v>0</v>
      </c>
      <c r="DH48" s="397">
        <f t="shared" si="15"/>
        <v>-772.3973770342127</v>
      </c>
    </row>
    <row r="49" spans="1:112">
      <c r="A49" s="274">
        <v>10112</v>
      </c>
      <c r="B49" s="275" t="s">
        <v>50</v>
      </c>
      <c r="C49" s="397">
        <v>0</v>
      </c>
      <c r="D49" s="397">
        <v>0</v>
      </c>
      <c r="E49" s="205">
        <f>VLOOKUP($A49,TOCA_previous!$A$2:$AI$137,MATCH(E$4,TOCA_previous!$A$2:$AI$2,0),FALSE)</f>
        <v>8.0128999999999999E-3</v>
      </c>
      <c r="F49" s="206">
        <f>VLOOKUP($A49,TOCA_previous!$A$2:$AI$137,MATCH(F$4,TOCA_previous!$A$2:$AI$2,0),FALSE)</f>
        <v>8.0128999999999999E-3</v>
      </c>
      <c r="G49" s="206">
        <f t="shared" si="0"/>
        <v>0</v>
      </c>
      <c r="H49" s="206">
        <f>VLOOKUP($A49,TOCA_previous!$A$2:$AI$137,MATCH(H$4,TOCA_previous!$A$2:$AI$2,0),FALSE)</f>
        <v>0</v>
      </c>
      <c r="I49" s="206">
        <f t="shared" si="1"/>
        <v>0</v>
      </c>
      <c r="J49" s="206">
        <f t="shared" si="2"/>
        <v>0</v>
      </c>
      <c r="K49" s="381">
        <f>VLOOKUP(A49, IRD!$A$5:$C$139, 3, FALSE)</f>
        <v>0</v>
      </c>
      <c r="L49" s="382">
        <f t="array" ref="L49">IF($G49=0, INDEX(LS_previous!$D$4:$AY$138, MATCH('Staging Table'!$A49, LS_previous!$B$4:$B$138, 0), MATCH(L$4&amp;L$5, LS_previous!$D$2:$AY$2&amp;LS_previous!$D$3:$AY$3, 0)),SUM(VLOOKUP($A49, LS_previous!$B$4:$AY$138, LS_previous!D$149, FALSE), VLOOKUP('Staging Table'!$A49, LS_previous!$B$4:$AY$138,LS_previous!AB$149, FALSE))/2)</f>
        <v>147.34863459353437</v>
      </c>
      <c r="M49" s="382">
        <f t="array" ref="M49">IF($G49=0, INDEX(LS_previous!$D$4:$AY$138, MATCH('Staging Table'!$A49, LS_previous!$B$4:$B$138, 0), MATCH(M$4&amp;M$5, LS_previous!$D$2:$AY$2&amp;LS_previous!$D$3:$AY$3, 0)),SUM(VLOOKUP($A49, LS_previous!$B$4:$AY$138, LS_previous!E$149, FALSE), VLOOKUP('Staging Table'!$A49, LS_previous!$B$4:$AY$138,LS_previous!AC$149, FALSE))/2)</f>
        <v>910.01507757816762</v>
      </c>
      <c r="N49" s="382">
        <f t="array" ref="N49">IF($G49=0, INDEX(LS_previous!$D$4:$AY$138, MATCH('Staging Table'!$A49, LS_previous!$B$4:$B$138, 0), MATCH(N$4&amp;N$5, LS_previous!$D$2:$AY$2&amp;LS_previous!$D$3:$AY$3, 0)),SUM(VLOOKUP($A49, LS_previous!$B$4:$AY$138, LS_previous!F$149, FALSE), VLOOKUP('Staging Table'!$A49, LS_previous!$B$4:$AY$138,LS_previous!AD$149, FALSE))/2)</f>
        <v>-2324.2675202962455</v>
      </c>
      <c r="O49" s="382">
        <f t="array" ref="O49">IF($G49=0, INDEX(LS_previous!$D$4:$AY$138, MATCH('Staging Table'!$A49, LS_previous!$B$4:$B$138, 0), MATCH(O$4&amp;O$5, LS_previous!$D$2:$AY$2&amp;LS_previous!$D$3:$AY$3, 0)),SUM(VLOOKUP($A49, LS_previous!$B$4:$AY$138, LS_previous!G$149, FALSE), VLOOKUP('Staging Table'!$A49, LS_previous!$B$4:$AY$138,LS_previous!AE$149, FALSE))/2)</f>
        <v>280.53751884424491</v>
      </c>
      <c r="P49" s="382">
        <f t="array" ref="P49">IF($G49=0, INDEX(LS_previous!$D$4:$AY$138, MATCH('Staging Table'!$A49, LS_previous!$B$4:$B$138, 0), MATCH(P$4&amp;P$5, LS_previous!$D$2:$AY$2&amp;LS_previous!$D$3:$AY$3, 0)),SUM(VLOOKUP($A49, LS_previous!$B$4:$AY$138, LS_previous!H$149, FALSE), VLOOKUP('Staging Table'!$A49, LS_previous!$B$4:$AY$138,LS_previous!AF$149, FALSE))/2)</f>
        <v>2240.6491466142033</v>
      </c>
      <c r="Q49" s="382">
        <f t="array" ref="Q49">IF($G49=0, INDEX(LS_previous!$D$4:$AY$138, MATCH('Staging Table'!$A49, LS_previous!$B$4:$B$138, 0), MATCH(Q$4&amp;Q$5, LS_previous!$D$2:$AY$2&amp;LS_previous!$D$3:$AY$3, 0)),SUM(VLOOKUP($A49, LS_previous!$B$4:$AY$138, LS_previous!I$149, FALSE), VLOOKUP('Staging Table'!$A49, LS_previous!$B$4:$AY$138,LS_previous!AG$149, FALSE))/2)</f>
        <v>2809.7118321559574</v>
      </c>
      <c r="R49" s="382">
        <f t="array" ref="R49">IF($G49=0, INDEX(LS_previous!$D$4:$AY$138, MATCH('Staging Table'!$A49, LS_previous!$B$4:$B$138, 0), MATCH(R$4&amp;R$5, LS_previous!$D$2:$AY$2&amp;LS_previous!$D$3:$AY$3, 0)),SUM(VLOOKUP($A49, LS_previous!$B$4:$AY$138, LS_previous!J$149, FALSE), VLOOKUP('Staging Table'!$A49, LS_previous!$B$4:$AY$138,LS_previous!AH$149, FALSE))/2)</f>
        <v>5379.5032747448313</v>
      </c>
      <c r="S49" s="382">
        <f t="array" ref="S49">IF($G49=0, INDEX(LS_previous!$D$4:$AY$138, MATCH('Staging Table'!$A49, LS_previous!$B$4:$B$138, 0), MATCH(S$4&amp;S$5, LS_previous!$D$2:$AY$2&amp;LS_previous!$D$3:$AY$3, 0)),SUM(VLOOKUP($A49, LS_previous!$B$4:$AY$138, LS_previous!K$149, FALSE), VLOOKUP('Staging Table'!$A49, LS_previous!$B$4:$AY$138,LS_previous!AI$149, FALSE))/2)</f>
        <v>4728.134108905253</v>
      </c>
      <c r="T49" s="382">
        <f t="array" ref="T49">IF($G49=0, INDEX(LS_previous!$D$4:$AY$138, MATCH('Staging Table'!$A49, LS_previous!$B$4:$B$138, 0), MATCH(T$4&amp;T$5, LS_previous!$D$2:$AY$2&amp;LS_previous!$D$3:$AY$3, 0)),SUM(VLOOKUP($A49, LS_previous!$B$4:$AY$138, LS_previous!L$149, FALSE), VLOOKUP('Staging Table'!$A49, LS_previous!$B$4:$AY$138,LS_previous!AJ$149, FALSE))/2)</f>
        <v>3997.3784505850017</v>
      </c>
      <c r="U49" s="382">
        <f t="array" ref="U49">IF($G49=0, INDEX(LS_previous!$D$4:$AY$138, MATCH('Staging Table'!$A49, LS_previous!$B$4:$B$138, 0), MATCH(U$4&amp;U$5, LS_previous!$D$2:$AY$2&amp;LS_previous!$D$3:$AY$3, 0)),SUM(VLOOKUP($A49, LS_previous!$B$4:$AY$138, LS_previous!M$149, FALSE), VLOOKUP('Staging Table'!$A49, LS_previous!$B$4:$AY$138,LS_previous!AK$149, FALSE))/2)</f>
        <v>2929.5315761448765</v>
      </c>
      <c r="V49" s="382">
        <f t="array" ref="V49">IF($G49=0, INDEX(LS_previous!$D$4:$AY$138, MATCH('Staging Table'!$A49, LS_previous!$B$4:$B$138, 0), MATCH(V$4&amp;V$5, LS_previous!$D$2:$AY$2&amp;LS_previous!$D$3:$AY$3, 0)),SUM(VLOOKUP($A49, LS_previous!$B$4:$AY$138, LS_previous!N$149, FALSE), VLOOKUP('Staging Table'!$A49, LS_previous!$B$4:$AY$138,LS_previous!AL$149, FALSE))/2)</f>
        <v>898.5592263100516</v>
      </c>
      <c r="W49" s="382">
        <f t="array" ref="W49">IF($G49=0, INDEX(LS_previous!$D$4:$AY$138, MATCH('Staging Table'!$A49, LS_previous!$B$4:$B$138, 0), MATCH(W$4&amp;W$5, LS_previous!$D$2:$AY$2&amp;LS_previous!$D$3:$AY$3, 0)),SUM(VLOOKUP($A49, LS_previous!$B$4:$AY$138, LS_previous!O$149, FALSE), VLOOKUP('Staging Table'!$A49, LS_previous!$B$4:$AY$138,LS_previous!AM$149, FALSE))/2)</f>
        <v>645.14924741980576</v>
      </c>
      <c r="X49" s="382">
        <f t="array" ref="X49">IF($G49=0, INDEX(LS_previous!$D$4:$AY$138, MATCH('Staging Table'!$A49, LS_previous!$B$4:$B$138, 0), MATCH(X$4&amp;X$5, LS_previous!$D$2:$AY$2&amp;LS_previous!$D$3:$AY$3, 0)),SUM(VLOOKUP($A49, LS_previous!$B$4:$AY$138, LS_previous!P$149, FALSE), VLOOKUP('Staging Table'!$A49, LS_previous!$B$4:$AY$138,LS_previous!AN$149, FALSE))/2)</f>
        <v>3087.7995526296618</v>
      </c>
      <c r="Y49" s="382">
        <f t="array" ref="Y49">IF($G49=0, INDEX(LS_previous!$D$4:$AY$138, MATCH('Staging Table'!$A49, LS_previous!$B$4:$B$138, 0), MATCH(Y$4&amp;Y$5, LS_previous!$D$2:$AY$2&amp;LS_previous!$D$3:$AY$3, 0)),SUM(VLOOKUP($A49, LS_previous!$B$4:$AY$138, LS_previous!Q$149, FALSE), VLOOKUP('Staging Table'!$A49, LS_previous!$B$4:$AY$138,LS_previous!AO$149, FALSE))/2)</f>
        <v>2015.2001306481216</v>
      </c>
      <c r="Z49" s="382">
        <f t="array" ref="Z49">IF($G49=0, INDEX(LS_previous!$D$4:$AY$138, MATCH('Staging Table'!$A49, LS_previous!$B$4:$B$138, 0), MATCH(Z$4&amp;Z$5, LS_previous!$D$2:$AY$2&amp;LS_previous!$D$3:$AY$3, 0)),SUM(VLOOKUP($A49, LS_previous!$B$4:$AY$138, LS_previous!R$149, FALSE), VLOOKUP('Staging Table'!$A49, LS_previous!$B$4:$AY$138,LS_previous!AP$149, FALSE))/2)</f>
        <v>-11532.846675558802</v>
      </c>
      <c r="AA49" s="382">
        <f t="array" ref="AA49">IF($G49=0, INDEX(LS_previous!$D$4:$AY$138, MATCH('Staging Table'!$A49, LS_previous!$B$4:$B$138, 0), MATCH(AA$4&amp;AA$5, LS_previous!$D$2:$AY$2&amp;LS_previous!$D$3:$AY$3, 0)),SUM(VLOOKUP($A49, LS_previous!$B$4:$AY$138, LS_previous!S$149, FALSE), VLOOKUP('Staging Table'!$A49, LS_previous!$B$4:$AY$138,LS_previous!AQ$149, FALSE))/2)</f>
        <v>-4132.3750629092337</v>
      </c>
      <c r="AB49" s="382">
        <f t="array" ref="AB49">IF($G49=0, INDEX(LS_previous!$D$4:$AY$138, MATCH('Staging Table'!$A49, LS_previous!$B$4:$B$138, 0), MATCH(AB$4&amp;AB$5, LS_previous!$D$2:$AY$2&amp;LS_previous!$D$3:$AY$3, 0)),SUM(VLOOKUP($A49, LS_previous!$B$4:$AY$138, LS_previous!T$149, FALSE), VLOOKUP('Staging Table'!$A49, LS_previous!$B$4:$AY$138,LS_previous!AR$149, FALSE))/2)</f>
        <v>-5778.3197741016957</v>
      </c>
      <c r="AC49" s="382">
        <f t="array" ref="AC49">IF($G49=0, INDEX(LS_previous!$D$4:$AY$138, MATCH('Staging Table'!$A49, LS_previous!$B$4:$B$138, 0), MATCH(AC$4&amp;AC$5, LS_previous!$D$2:$AY$2&amp;LS_previous!$D$3:$AY$3, 0)),SUM(VLOOKUP($A49, LS_previous!$B$4:$AY$138, LS_previous!U$149, FALSE), VLOOKUP('Staging Table'!$A49, LS_previous!$B$4:$AY$138,LS_previous!AS$149, FALSE))/2)</f>
        <v>-2513.2511285235869</v>
      </c>
      <c r="AD49" s="382">
        <f t="array" ref="AD49">IF($G49=0, INDEX(LS_previous!$D$4:$AY$138, MATCH('Staging Table'!$A49, LS_previous!$B$4:$B$138, 0), MATCH(AD$4&amp;AD$5, LS_previous!$D$2:$AY$2&amp;LS_previous!$D$3:$AY$3, 0)),SUM(VLOOKUP($A49, LS_previous!$B$4:$AY$138, LS_previous!V$149, FALSE), VLOOKUP('Staging Table'!$A49, LS_previous!$B$4:$AY$138,LS_previous!AT$149, FALSE))/2)</f>
        <v>-2994.515133385059</v>
      </c>
      <c r="AE49" s="382">
        <f t="array" ref="AE49">IF($G49=0, INDEX(LS_previous!$D$4:$AY$138, MATCH('Staging Table'!$A49, LS_previous!$B$4:$B$138, 0), MATCH(AE$4&amp;AE$5, LS_previous!$D$2:$AY$2&amp;LS_previous!$D$3:$AY$3, 0)),SUM(VLOOKUP($A49, LS_previous!$B$4:$AY$138, LS_previous!W$149, FALSE), VLOOKUP('Staging Table'!$A49, LS_previous!$B$4:$AY$138,LS_previous!AU$149, FALSE))/2)</f>
        <v>990.29568316810219</v>
      </c>
      <c r="AF49" s="382">
        <f t="array" ref="AF49">IF($G49=0, INDEX(LS_previous!$D$4:$AY$138, MATCH('Staging Table'!$A49, LS_previous!$B$4:$B$138, 0), MATCH(AF$4&amp;AF$5, LS_previous!$D$2:$AY$2&amp;LS_previous!$D$3:$AY$3, 0)),SUM(VLOOKUP($A49, LS_previous!$B$4:$AY$138, LS_previous!X$149, FALSE), VLOOKUP('Staging Table'!$A49, LS_previous!$B$4:$AY$138,LS_previous!AV$149, FALSE))/2)</f>
        <v>-3618.5957991446849</v>
      </c>
      <c r="AG49" s="382">
        <f t="array" ref="AG49">IF($G49=0, INDEX(LS_previous!$D$4:$AY$138, MATCH('Staging Table'!$A49, LS_previous!$B$4:$B$138, 0), MATCH(AG$4&amp;AG$5, LS_previous!$D$2:$AY$2&amp;LS_previous!$D$3:$AY$3, 0)),SUM(VLOOKUP($A49, LS_previous!$B$4:$AY$138, LS_previous!Y$149, FALSE), VLOOKUP('Staging Table'!$A49, LS_previous!$B$4:$AY$138,LS_previous!AW$149, FALSE))/2)</f>
        <v>52.381829273839685</v>
      </c>
      <c r="AH49" s="382">
        <f t="array" ref="AH49">IF($G49=0, INDEX(LS_previous!$D$4:$AY$138, MATCH('Staging Table'!$A49, LS_previous!$B$4:$B$138, 0), MATCH(AH$4&amp;AH$5, LS_previous!$D$2:$AY$2&amp;LS_previous!$D$3:$AY$3, 0)),SUM(VLOOKUP($A49, LS_previous!$B$4:$AY$138, LS_previous!Z$149, FALSE), VLOOKUP('Staging Table'!$A49, LS_previous!$B$4:$AY$138,LS_previous!AX$149, FALSE))/2)</f>
        <v>402.86549330186608</v>
      </c>
      <c r="AI49" s="382">
        <f t="array" ref="AI49">IF($G49=0, INDEX(LS_previous!$D$4:$AY$138, MATCH('Staging Table'!$A49, LS_previous!$B$4:$B$138, 0), MATCH(AI$4&amp;AI$5, LS_previous!$D$2:$AY$2&amp;LS_previous!$D$3:$AY$3, 0)),SUM(VLOOKUP($A49, LS_previous!$B$4:$AY$138, LS_previous!AA$149, FALSE), VLOOKUP('Staging Table'!$A49, LS_previous!$B$4:$AY$138,LS_previous!AY$149, FALSE))/2)</f>
        <v>717.52584746125467</v>
      </c>
      <c r="AJ49" s="384">
        <f t="array" ref="AJ49">INDEX(Demand_previous!$D$4:$AY$138, MATCH('Staging Table'!$A49, Demand_previous!$B$4:$B$138, 0), MATCH(AJ$4&amp;AJ$5,Demand_previous!$D$2:$AY$2&amp;Demand_previous!$D$3:$AY$3, 0))/1000</f>
        <v>11.231050925925928</v>
      </c>
      <c r="AK49" s="384">
        <f t="array" ref="AK49">INDEX(Demand_previous!$D$4:$AY$138, MATCH('Staging Table'!$A49, Demand_previous!$B$4:$B$138, 0), MATCH(AK$4&amp;AK$5,Demand_previous!$D$2:$AY$2&amp;Demand_previous!$D$3:$AY$3, 0))/1000</f>
        <v>6.2681354166666754</v>
      </c>
      <c r="AL49" s="384">
        <f t="array" ref="AL49">INDEX(Demand_previous!$D$4:$AY$138, MATCH('Staging Table'!$A49, Demand_previous!$B$4:$B$138, 0), MATCH(AL$4&amp;AL$5,Demand_previous!$D$2:$AY$2&amp;Demand_previous!$D$3:$AY$3, 0))/1000</f>
        <v>13.986257211538463</v>
      </c>
      <c r="AM49" s="384">
        <f t="array" ref="AM49">INDEX(Demand_previous!$D$4:$AY$138, MATCH('Staging Table'!$A49, Demand_previous!$B$4:$B$138, 0), MATCH(AM$4&amp;AM$5,Demand_previous!$D$2:$AY$2&amp;Demand_previous!$D$3:$AY$3, 0))/1000</f>
        <v>10.480450000000003</v>
      </c>
      <c r="AN49" s="384">
        <f t="array" ref="AN49">INDEX(Demand_previous!$D$4:$AY$138, MATCH('Staging Table'!$A49, Demand_previous!$B$4:$B$138, 0), MATCH(AN$4&amp;AN$5,Demand_previous!$D$2:$AY$2&amp;Demand_previous!$D$3:$AY$3, 0))/1000</f>
        <v>11.370535000000006</v>
      </c>
      <c r="AO49" s="384">
        <f t="array" ref="AO49">INDEX(Demand_previous!$D$4:$AY$138, MATCH('Staging Table'!$A49, Demand_previous!$B$4:$B$138, 0), MATCH(AO$4&amp;AO$5,Demand_previous!$D$2:$AY$2&amp;Demand_previous!$D$3:$AY$3, 0))/1000</f>
        <v>6.6183773148148113</v>
      </c>
      <c r="AP49" s="384">
        <f t="array" ref="AP49">INDEX(Demand_previous!$D$4:$AY$138, MATCH('Staging Table'!$A49, Demand_previous!$B$4:$B$138, 0), MATCH(AP$4&amp;AP$5,Demand_previous!$D$2:$AY$2&amp;Demand_previous!$D$3:$AY$3, 0))/1000</f>
        <v>12.595995192307695</v>
      </c>
      <c r="AQ49" s="384">
        <f t="array" ref="AQ49">INDEX(Demand_previous!$D$4:$AY$138, MATCH('Staging Table'!$A49, Demand_previous!$B$4:$B$138, 0), MATCH(AQ$4&amp;AQ$5,Demand_previous!$D$2:$AY$2&amp;Demand_previous!$D$3:$AY$3, 0))/1000</f>
        <v>6.9379299999999908</v>
      </c>
      <c r="AR49" s="384">
        <f t="array" ref="AR49">INDEX(Demand_previous!$D$4:$AY$138, MATCH('Staging Table'!$A49, Demand_previous!$B$4:$B$138, 0), MATCH(AR$4&amp;AR$5,Demand_previous!$D$2:$AY$2&amp;Demand_previous!$D$3:$AY$3, 0))/1000</f>
        <v>8.6316658653846119</v>
      </c>
      <c r="AS49" s="384">
        <f t="array" ref="AS49">INDEX(Demand_previous!$D$4:$AY$138, MATCH('Staging Table'!$A49, Demand_previous!$B$4:$B$138, 0), MATCH(AS$4&amp;AS$5,Demand_previous!$D$2:$AY$2&amp;Demand_previous!$D$3:$AY$3, 0))/1000</f>
        <v>9.6328200000000059</v>
      </c>
      <c r="AT49" s="384">
        <f t="array" ref="AT49">INDEX(Demand_previous!$D$4:$AY$138, MATCH('Staging Table'!$A49, Demand_previous!$B$4:$B$138, 0), MATCH(AT$4&amp;AT$5,Demand_previous!$D$2:$AY$2&amp;Demand_previous!$D$3:$AY$3, 0))/1000</f>
        <v>15.228557870370375</v>
      </c>
      <c r="AU49" s="384">
        <f t="array" ref="AU49">INDEX(Demand_previous!$D$4:$AY$138, MATCH('Staging Table'!$A49, Demand_previous!$B$4:$B$138, 0), MATCH(AU$4&amp;AU$5,Demand_previous!$D$2:$AY$2&amp;Demand_previous!$D$3:$AY$3, 0))/1000</f>
        <v>12.528475000000007</v>
      </c>
      <c r="AV49" s="384">
        <f>IF($D49=0,IF(C49=0, MAX(AY49 - (VLOOKUP($A49,TOCA_previous!$A$2:$AI$137,MATCH("RHWM 2016",TOCA_previous!$A$2:$AI$2,0),FALSE)*$F$2*TOCA_previous!C46),0),0), 0)</f>
        <v>0</v>
      </c>
      <c r="AW49" s="427">
        <f>VLOOKUP($A49,REP_previous!$A$1:$D$135,MATCH("FY "&amp;$F$1&amp; " Total Refund",REP_previous!$A$1:$D$1,0),0)</f>
        <v>578427.51343570859</v>
      </c>
      <c r="AX49" s="398">
        <f>MIN(VLOOKUP($A49,TOCA_previous!$A$2:$AI$137,MATCH("TRL - NLSL - Exisiting Resource "&amp;$F$1,TOCA_previous!$A$2:$AI$2,0),FALSE)*$F$2,(VLOOKUP($A49,TOCA_previous!$A$2:$AI$137,MATCH("RHWM 2016",TOCA_previous!$A$2:$AI$2,0),FALSE)*$F$2))</f>
        <v>491508.72</v>
      </c>
      <c r="AY49" s="384">
        <f>SUM(L49:AI49)+(F49*RT1SC!$C$3*$F$2)</f>
        <v>490845.04315691552</v>
      </c>
      <c r="AZ49" s="398">
        <f>VLOOKUP($A49,TOCA_previous!$A$2:$AI$137,MATCH("Above RHWM Not Served with LS "&amp;$F$1,TOCA_previous!$A$2:$AI$2,0),FALSE)*$F$2</f>
        <v>0</v>
      </c>
      <c r="BA49" s="206">
        <f t="shared" si="3"/>
        <v>-663.67684308445314</v>
      </c>
      <c r="BB49" s="399">
        <f>(VLOOKUP($A49,TOCA_previous!$A$2:$AI$137,MATCH("RHWM 2016",TOCA_previous!$A$2:$AI$2,0),FALSE)*$F$2) - $AX49</f>
        <v>15169.968000000052</v>
      </c>
      <c r="BC49" s="206">
        <f t="shared" si="4"/>
        <v>0</v>
      </c>
      <c r="BD49" s="400">
        <f t="shared" si="5"/>
        <v>663.67684308445314</v>
      </c>
      <c r="BE49" s="392">
        <f t="shared" si="6"/>
        <v>0</v>
      </c>
      <c r="BF49" s="399">
        <f t="shared" si="7"/>
        <v>663.67684308445314</v>
      </c>
      <c r="BG49" s="206">
        <f>VLOOKUP($A49,TOCA_current!$A$2:$AI$137,MATCH(BG$4,TOCA_current!$A$2:$AI$2,0),FALSE)</f>
        <v>8.0683000000000005E-3</v>
      </c>
      <c r="BH49" s="206">
        <f>VLOOKUP($A49,TOCA_current!$A$2:$AI$137,MATCH(BH$4,TOCA_current!$A$2:$AI$2,0),FALSE)</f>
        <v>8.0683000000000005E-3</v>
      </c>
      <c r="BI49" s="391">
        <f t="shared" si="8"/>
        <v>0</v>
      </c>
      <c r="BJ49" s="206">
        <f>VLOOKUP($A49,TOCA_current!A45:BG180,MATCH(BJ$4,TOCA_current!$A$2:$BG$2,0),FALSE)</f>
        <v>0</v>
      </c>
      <c r="BK49" s="206">
        <f t="shared" si="9"/>
        <v>0</v>
      </c>
      <c r="BL49" s="206">
        <f t="shared" si="10"/>
        <v>0</v>
      </c>
      <c r="BM49" s="381">
        <f>VLOOKUP($A49,IRD!$A$4:$G$139, 7, FALSE)</f>
        <v>0</v>
      </c>
      <c r="BN49" s="382">
        <f t="array" ref="BN49">IF($BI49=0, INDEX(LS_current!$D$4:$AY$139, MATCH('Staging Table'!$A49, LS_current!$B$4:$B$139, 0), MATCH(BN$4&amp;BN$5, LS_current!$D$2:$AY$2&amp;LS_current!$D$3:$AY$3, 0)),SUM(VLOOKUP($A49, LS_current!$B$4:$AY$139, LS_current!D$149, FALSE), VLOOKUP($A49, LS_current!$B$4:$AY$139,LS_current!D$149, FALSE))/2)</f>
        <v>-152.42436049630851</v>
      </c>
      <c r="BO49" s="382">
        <f t="array" ref="BO49">IF($BI49=0, INDEX(LS_current!$D$4:$AY$139, MATCH('Staging Table'!$A49, LS_current!$B$4:$B$139, 0), MATCH(BO$4&amp;BO$5, LS_current!$D$2:$AY$2&amp;LS_current!$D$3:$AY$3, 0)),SUM(VLOOKUP($A49, LS_current!$B$4:$AY$139, LS_current!E$149, FALSE), VLOOKUP($A49, LS_current!$B$4:$AY$139,LS_current!E$149, FALSE))/2)</f>
        <v>1532.1796422091029</v>
      </c>
      <c r="BP49" s="382">
        <f t="array" ref="BP49">IF($BI49=0, INDEX(LS_current!$D$4:$AY$139, MATCH('Staging Table'!$A49, LS_current!$B$4:$B$139, 0), MATCH(BP$4&amp;BP$5, LS_current!$D$2:$AY$2&amp;LS_current!$D$3:$AY$3, 0)),SUM(VLOOKUP($A49, LS_current!$B$4:$AY$139, LS_current!F$149, FALSE), VLOOKUP($A49, LS_current!$B$4:$AY$139,LS_current!F$149, FALSE))/2)</f>
        <v>-3125.022649817085</v>
      </c>
      <c r="BQ49" s="382">
        <f t="array" ref="BQ49">IF($BI49=0, INDEX(LS_current!$D$4:$AY$139, MATCH('Staging Table'!$A49, LS_current!$B$4:$B$139, 0), MATCH(BQ$4&amp;BQ$5, LS_current!$D$2:$AY$2&amp;LS_current!$D$3:$AY$3, 0)),SUM(VLOOKUP($A49, LS_current!$B$4:$AY$139, LS_current!G$149, FALSE), VLOOKUP($A49, LS_current!$B$4:$AY$139,LS_current!G$149, FALSE))/2)</f>
        <v>317.90510257045025</v>
      </c>
      <c r="BR49" s="382">
        <f t="array" ref="BR49">IF($BI49=0, INDEX(LS_current!$D$4:$AY$139, MATCH('Staging Table'!$A49, LS_current!$B$4:$B$139, 0), MATCH(BR$4&amp;BR$5, LS_current!$D$2:$AY$2&amp;LS_current!$D$3:$AY$3, 0)),SUM(VLOOKUP($A49, LS_current!$B$4:$AY$139, LS_current!H$149, FALSE), VLOOKUP($A49, LS_current!$B$4:$AY$139,LS_current!H$149, FALSE))/2)</f>
        <v>1122.0578210893473</v>
      </c>
      <c r="BS49" s="382">
        <f t="array" ref="BS49">IF($BI49=0, INDEX(LS_current!$D$4:$AY$139, MATCH('Staging Table'!$A49, LS_current!$B$4:$B$139, 0), MATCH(BS$4&amp;BS$5, LS_current!$D$2:$AY$2&amp;LS_current!$D$3:$AY$3, 0)),SUM(VLOOKUP($A49, LS_current!$B$4:$AY$139, LS_current!I$149, FALSE), VLOOKUP($A49, LS_current!$B$4:$AY$139,LS_current!I$149, FALSE))/2)</f>
        <v>2527.0504129257097</v>
      </c>
      <c r="BT49" s="382">
        <f t="array" ref="BT49">IF($BI49=0, INDEX(LS_current!$D$4:$AY$139, MATCH('Staging Table'!$A49, LS_current!$B$4:$B$139, 0), MATCH(BT$4&amp;BT$5, LS_current!$D$2:$AY$2&amp;LS_current!$D$3:$AY$3, 0)),SUM(VLOOKUP($A49, LS_current!$B$4:$AY$139, LS_current!J$149, FALSE), VLOOKUP($A49, LS_current!$B$4:$AY$139,LS_current!J$149, FALSE))/2)</f>
        <v>4941.2382179427805</v>
      </c>
      <c r="BU49" s="382">
        <f t="array" ref="BU49">IF($BI49=0, INDEX(LS_current!$D$4:$AY$139, MATCH('Staging Table'!$A49, LS_current!$B$4:$B$139, 0), MATCH(BU$4&amp;BU$5, LS_current!$D$2:$AY$2&amp;LS_current!$D$3:$AY$3, 0)),SUM(VLOOKUP($A49, LS_current!$B$4:$AY$139, LS_current!K$149, FALSE), VLOOKUP($A49, LS_current!$B$4:$AY$139,LS_current!K$149, FALSE))/2)</f>
        <v>4566.627894941792</v>
      </c>
      <c r="BV49" s="382">
        <f t="array" ref="BV49">IF($BI49=0, INDEX(LS_current!$D$4:$AY$139, MATCH('Staging Table'!$A49, LS_current!$B$4:$B$139, 0), MATCH(BV$4&amp;BV$5, LS_current!$D$2:$AY$2&amp;LS_current!$D$3:$AY$3, 0)),SUM(VLOOKUP($A49, LS_current!$B$4:$AY$139, LS_current!L$149, FALSE), VLOOKUP($A49, LS_current!$B$4:$AY$139,LS_current!L$149, FALSE))/2)</f>
        <v>5521.001734069021</v>
      </c>
      <c r="BW49" s="382">
        <f t="array" ref="BW49">IF($BI49=0, INDEX(LS_current!$D$4:$AY$139, MATCH('Staging Table'!$A49, LS_current!$B$4:$B$139, 0), MATCH(BW$4&amp;BW$5, LS_current!$D$2:$AY$2&amp;LS_current!$D$3:$AY$3, 0)),SUM(VLOOKUP($A49, LS_current!$B$4:$AY$139, LS_current!M$149, FALSE), VLOOKUP($A49, LS_current!$B$4:$AY$139,LS_current!M$149, FALSE))/2)</f>
        <v>4156.9073583406207</v>
      </c>
      <c r="BX49" s="382">
        <f t="array" ref="BX49">IF($BI49=0, INDEX(LS_current!$D$4:$AY$139, MATCH('Staging Table'!$A49, LS_current!$B$4:$B$139, 0), MATCH(BX$4&amp;BX$5, LS_current!$D$2:$AY$2&amp;LS_current!$D$3:$AY$3, 0)),SUM(VLOOKUP($A49, LS_current!$B$4:$AY$139, LS_current!N$149, FALSE), VLOOKUP($A49, LS_current!$B$4:$AY$139,LS_current!N$149, FALSE))/2)</f>
        <v>2026.7613000434903</v>
      </c>
      <c r="BY49" s="382">
        <f t="array" ref="BY49">IF($BI49=0, INDEX(LS_current!$D$4:$AY$139, MATCH('Staging Table'!$A49, LS_current!$B$4:$B$139, 0), MATCH(BY$4&amp;BY$5, LS_current!$D$2:$AY$2&amp;LS_current!$D$3:$AY$3, 0)),SUM(VLOOKUP($A49, LS_current!$B$4:$AY$139, LS_current!O$149, FALSE), VLOOKUP($A49, LS_current!$B$4:$AY$139,LS_current!O$149, FALSE))/2)</f>
        <v>1995.7518087954704</v>
      </c>
      <c r="BZ49" s="382">
        <f t="array" ref="BZ49">IF($BI49=0, INDEX(LS_current!$D$4:$AY$139, MATCH('Staging Table'!$A49, LS_current!$B$4:$B$139, 0), MATCH(BZ$4&amp;BZ$5, LS_current!$D$2:$AY$2&amp;LS_current!$D$3:$AY$3, 0)),SUM(VLOOKUP($A49, LS_current!$B$4:$AY$139, LS_current!P$149, FALSE), VLOOKUP($A49, LS_current!$B$4:$AY$139,LS_current!P$149, FALSE))/2)</f>
        <v>488.64464689380111</v>
      </c>
      <c r="CA49" s="382">
        <f t="array" ref="CA49">IF($BI49=0, INDEX(LS_current!$D$4:$AY$139, MATCH('Staging Table'!$A49, LS_current!$B$4:$B$139, 0), MATCH(CA$4&amp;CA$5, LS_current!$D$2:$AY$2&amp;LS_current!$D$3:$AY$3, 0)),SUM(VLOOKUP($A49, LS_current!$B$4:$AY$139, LS_current!Q$149, FALSE), VLOOKUP($A49, LS_current!$B$4:$AY$139,LS_current!Q$149, FALSE))/2)</f>
        <v>1748.9760715541761</v>
      </c>
      <c r="CB49" s="382">
        <f t="array" ref="CB49">IF($BI49=0, INDEX(LS_current!$D$4:$AY$139, MATCH('Staging Table'!$A49, LS_current!$B$4:$B$139, 0), MATCH(CB$4&amp;CB$5, LS_current!$D$2:$AY$2&amp;LS_current!$D$3:$AY$3, 0)),SUM(VLOOKUP($A49, LS_current!$B$4:$AY$139, LS_current!R$149, FALSE), VLOOKUP($A49, LS_current!$B$4:$AY$139,LS_current!R$149, FALSE))/2)</f>
        <v>-11467.128360788163</v>
      </c>
      <c r="CC49" s="382">
        <f t="array" ref="CC49">IF($BI49=0, INDEX(LS_current!$D$4:$AY$139, MATCH('Staging Table'!$A49, LS_current!$B$4:$B$139, 0), MATCH(CC$4&amp;CC$5, LS_current!$D$2:$AY$2&amp;LS_current!$D$3:$AY$3, 0)),SUM(VLOOKUP($A49, LS_current!$B$4:$AY$139, LS_current!S$149, FALSE), VLOOKUP($A49, LS_current!$B$4:$AY$139,LS_current!S$149, FALSE))/2)</f>
        <v>-4565.2565148856866</v>
      </c>
      <c r="CD49" s="382">
        <f t="array" ref="CD49">IF($BI49=0, INDEX(LS_current!$D$4:$AY$139, MATCH('Staging Table'!$A49, LS_current!$B$4:$B$139, 0), MATCH(CD$4&amp;CD$5, LS_current!$D$2:$AY$2&amp;LS_current!$D$3:$AY$3, 0)),SUM(VLOOKUP($A49, LS_current!$B$4:$AY$139, LS_current!T$149, FALSE), VLOOKUP($A49, LS_current!$B$4:$AY$139,LS_current!T$149, FALSE))/2)</f>
        <v>-5839.6365437961686</v>
      </c>
      <c r="CE49" s="382">
        <f t="array" ref="CE49">IF($BI49=0, INDEX(LS_current!$D$4:$AY$139, MATCH('Staging Table'!$A49, LS_current!$B$4:$B$139, 0), MATCH(CE$4&amp;CE$5, LS_current!$D$2:$AY$2&amp;LS_current!$D$3:$AY$3, 0)),SUM(VLOOKUP($A49, LS_current!$B$4:$AY$139, LS_current!U$149, FALSE), VLOOKUP($A49, LS_current!$B$4:$AY$139,LS_current!U$149, FALSE))/2)</f>
        <v>-1504.4118795189152</v>
      </c>
      <c r="CF49" s="382">
        <f t="array" ref="CF49">IF($BI49=0, INDEX(LS_current!$D$4:$AY$139, MATCH('Staging Table'!$A49, LS_current!$B$4:$B$139, 0), MATCH(CF$4&amp;CF$5, LS_current!$D$2:$AY$2&amp;LS_current!$D$3:$AY$3, 0)),SUM(VLOOKUP($A49, LS_current!$B$4:$AY$139, LS_current!V$149, FALSE), VLOOKUP($A49, LS_current!$B$4:$AY$139,LS_current!V$149, FALSE))/2)</f>
        <v>-1584.5990955464003</v>
      </c>
      <c r="CG49" s="382">
        <f t="array" ref="CG49">IF($BI49=0, INDEX(LS_current!$D$4:$AY$139, MATCH('Staging Table'!$A49, LS_current!$B$4:$B$139, 0), MATCH(CG$4&amp;CG$5, LS_current!$D$2:$AY$2&amp;LS_current!$D$3:$AY$3, 0)),SUM(VLOOKUP($A49, LS_current!$B$4:$AY$139, LS_current!W$149, FALSE), VLOOKUP($A49, LS_current!$B$4:$AY$139,LS_current!W$149, FALSE))/2)</f>
        <v>1880.141727768385</v>
      </c>
      <c r="CH49" s="382">
        <f t="array" ref="CH49">IF($BI49=0, INDEX(LS_current!$D$4:$AY$139, MATCH('Staging Table'!$A49, LS_current!$B$4:$B$139, 0), MATCH(CH$4&amp;CH$5, LS_current!$D$2:$AY$2&amp;LS_current!$D$3:$AY$3, 0)),SUM(VLOOKUP($A49, LS_current!$B$4:$AY$139, LS_current!X$149, FALSE), VLOOKUP($A49, LS_current!$B$4:$AY$139,LS_current!X$149, FALSE))/2)</f>
        <v>-3669.2386214862381</v>
      </c>
      <c r="CI49" s="382">
        <f t="array" ref="CI49">IF($BI49=0, INDEX(LS_current!$D$4:$AY$139, MATCH('Staging Table'!$A49, LS_current!$B$4:$B$139, 0), MATCH(CI$4&amp;CI$5, LS_current!$D$2:$AY$2&amp;LS_current!$D$3:$AY$3, 0)),SUM(VLOOKUP($A49, LS_current!$B$4:$AY$139, LS_current!Y$149, FALSE), VLOOKUP($A49, LS_current!$B$4:$AY$139,LS_current!Y$149, FALSE))/2)</f>
        <v>403.73869541487875</v>
      </c>
      <c r="CJ49" s="382">
        <f t="array" ref="CJ49">IF($BI49=0, INDEX(LS_current!$D$4:$AY$139, MATCH('Staging Table'!$A49, LS_current!$B$4:$B$139, 0), MATCH(CJ$4&amp;CJ$5, LS_current!$D$2:$AY$2&amp;LS_current!$D$3:$AY$3, 0)),SUM(VLOOKUP($A49, LS_current!$B$4:$AY$139, LS_current!Z$149, FALSE), VLOOKUP($A49, LS_current!$B$4:$AY$139,LS_current!Z$149, FALSE))/2)</f>
        <v>-1990.0066123266588</v>
      </c>
      <c r="CK49" s="382">
        <f t="array" ref="CK49">IF($BI49=0, INDEX(LS_current!$D$4:$AY$139, MATCH('Staging Table'!$A49, LS_current!$B$4:$B$139, 0), MATCH(CK$4&amp;CK$5, LS_current!$D$2:$AY$2&amp;LS_current!$D$3:$AY$3, 0)),SUM(VLOOKUP($A49, LS_current!$B$4:$AY$139, LS_current!AA$149, FALSE), VLOOKUP($A49, LS_current!$B$4:$AY$139,LS_current!AA$149, FALSE))/2)</f>
        <v>663.82676461071242</v>
      </c>
      <c r="CL49" s="384">
        <f t="array" ref="CL49">INDEX(Demand_current!$D$4:$AY$138, MATCH($A49, Demand_current!$B$4:$B$138, 0), MATCH(CL$4&amp;CL$5,Demand_current!$D$2:$AY$2&amp;Demand_current!$D$3:$AY$3, 0))/1000</f>
        <v>9.0539374999999964</v>
      </c>
      <c r="CM49" s="384">
        <f t="array" ref="CM49">INDEX(Demand_current!$D$4:$AY$138, MATCH($A49, Demand_current!$B$4:$B$138, 0), MATCH(CM$4&amp;CM$5,Demand_current!$D$2:$AY$2&amp;Demand_current!$D$3:$AY$3, 0))/1000</f>
        <v>9.0115300000000023</v>
      </c>
      <c r="CN49" s="384">
        <f t="array" ref="CN49">INDEX(Demand_current!$D$4:$AY$138, MATCH($A49, Demand_current!$B$4:$B$138, 0), MATCH(CN$4&amp;CN$5,Demand_current!$D$2:$AY$2&amp;Demand_current!$D$3:$AY$3, 0))/1000</f>
        <v>11.111347499999999</v>
      </c>
      <c r="CO49" s="384">
        <f t="array" ref="CO49">INDEX(Demand_current!$D$4:$AY$138, MATCH($A49, Demand_current!$B$4:$B$138, 0), MATCH(CO$4&amp;CO$5,Demand_current!$D$2:$AY$2&amp;Demand_current!$D$3:$AY$3, 0))/1000</f>
        <v>13.300240384615391</v>
      </c>
      <c r="CP49" s="384">
        <f t="array" ref="CP49">INDEX(Demand_current!$D$4:$AY$138, MATCH($A49, Demand_current!$B$4:$B$138, 0), MATCH(CP$4&amp;CP$5,Demand_current!$D$2:$AY$2&amp;Demand_current!$D$3:$AY$3, 0))/1000</f>
        <v>8.666348958333332</v>
      </c>
      <c r="CQ49" s="384">
        <f t="array" ref="CQ49">INDEX(Demand_current!$D$4:$AY$138, MATCH($A49, Demand_current!$B$4:$B$138, 0), MATCH(CQ$4&amp;CQ$5,Demand_current!$D$2:$AY$2&amp;Demand_current!$D$3:$AY$3, 0))/1000</f>
        <v>6.6183773148148113</v>
      </c>
      <c r="CR49" s="384">
        <f t="array" ref="CR49">INDEX(Demand_current!$D$4:$AY$138, MATCH($A49, Demand_current!$B$4:$B$138, 0), MATCH(CR$4&amp;CR$5,Demand_current!$D$2:$AY$2&amp;Demand_current!$D$3:$AY$3, 0))/1000</f>
        <v>10.272115000000005</v>
      </c>
      <c r="CS49" s="384">
        <f t="array" ref="CS49">INDEX(Demand_current!$D$4:$AY$138, MATCH($A49, Demand_current!$B$4:$B$138, 0), MATCH(CS$4&amp;CS$5,Demand_current!$D$2:$AY$2&amp;Demand_current!$D$3:$AY$3, 0))/1000</f>
        <v>9.1466249999999967</v>
      </c>
      <c r="CT49" s="384">
        <f t="array" ref="CT49">INDEX(Demand_current!$D$4:$AY$138, MATCH($A49, Demand_current!$B$4:$B$138, 0), MATCH(CT$4&amp;CT$5,Demand_current!$D$2:$AY$2&amp;Demand_current!$D$3:$AY$3, 0))/1000</f>
        <v>8.6316658653846119</v>
      </c>
      <c r="CU49" s="384">
        <f t="array" ref="CU49">INDEX(Demand_current!$D$4:$AY$138, MATCH($A49, Demand_current!$B$4:$B$138, 0), MATCH(CU$4&amp;CU$5,Demand_current!$D$2:$AY$2&amp;Demand_current!$D$3:$AY$3, 0))/1000</f>
        <v>9.6328200000000059</v>
      </c>
      <c r="CV49" s="384">
        <f t="array" ref="CV49">INDEX(Demand_current!$D$4:$AY$138, MATCH($A49, Demand_current!$B$4:$B$138, 0), MATCH(CV$4&amp;CV$5,Demand_current!$D$2:$AY$2&amp;Demand_current!$D$3:$AY$3, 0))/1000</f>
        <v>15.228557870370375</v>
      </c>
      <c r="CW49" s="384">
        <f t="array" ref="CW49">INDEX(Demand_current!$D$4:$AY$138, MATCH($A49, Demand_current!$B$4:$B$138, 0), MATCH(CW$4&amp;CW$5,Demand_current!$D$2:$AY$2&amp;Demand_current!$D$3:$AY$3, 0))/1000</f>
        <v>10.234786458333339</v>
      </c>
      <c r="CX49" s="384">
        <f>IF(D49=0,IF(C49=0,MAX(0,DA49 - (VLOOKUP($A49,TOCA_current!$A$2:$AI$137,MATCH("RHWM 2018",TOCA_current!$A$2:$AI$2,0),FALSE)*$BH$2)), 0),0)</f>
        <v>0</v>
      </c>
      <c r="CY49" s="427">
        <f>VLOOKUP($A49,REP_current!$A$1:$D$135,MATCH("FY "&amp;$BH$1&amp; " Total Refund",REP_current!$A$1:$D$1,0),0)</f>
        <v>585492.23640435282</v>
      </c>
      <c r="CZ49" s="432">
        <f>MIN(VLOOKUP($A49,TOCA_current!$A$2:$AI$137,MATCH("TRL - NLSL - Existing Resource "&amp;$BH$1,TOCA_current!$A$2:$AI$2,0),FALSE)*$BH$2, VLOOKUP($A49,TOCA_current!$A$2:$AI$137,MATCH("RHWM 2018",TOCA_current!$A$2:$AI$2,0),FALSE)*$BH$2)</f>
        <v>490849.08</v>
      </c>
      <c r="DA49" s="397">
        <f>SUM(BN49:CK49)+(BH49*RT1SC!$C$4*$BH$2)</f>
        <v>490845.04916107614</v>
      </c>
      <c r="DB49" s="432">
        <f>VLOOKUP($A49,TOCA_current!$A$2:$AI$137,MATCH("Above RHWM Not Served with LS "&amp;$BH$1,TOCA_current!$A$2:$AI$2,0),FALSE)*$BH$2</f>
        <v>0</v>
      </c>
      <c r="DC49" s="401">
        <f t="shared" si="11"/>
        <v>-4.0308389238780364</v>
      </c>
      <c r="DD49" s="397">
        <f>(VLOOKUP($A49,TOCA_current!$A$2:$AI$137,MATCH("RHWM 2018",TOCA_current!$A$2:$AI$2,0),FALSE)*$BH$2) - $CZ49</f>
        <v>11230.319999999949</v>
      </c>
      <c r="DE49" s="397">
        <f t="shared" si="12"/>
        <v>0</v>
      </c>
      <c r="DF49" s="397">
        <f t="shared" si="13"/>
        <v>4.0308389238780364</v>
      </c>
      <c r="DG49" s="397">
        <f t="shared" si="14"/>
        <v>0</v>
      </c>
      <c r="DH49" s="397">
        <f t="shared" si="15"/>
        <v>4.0308389238780364</v>
      </c>
    </row>
    <row r="50" spans="1:112">
      <c r="A50" s="274">
        <v>10113</v>
      </c>
      <c r="B50" s="275" t="s">
        <v>51</v>
      </c>
      <c r="C50" s="397">
        <v>0</v>
      </c>
      <c r="D50" s="397">
        <v>0</v>
      </c>
      <c r="E50" s="205">
        <f>VLOOKUP($A50,TOCA_previous!$A$2:$AI$137,MATCH(E$4,TOCA_previous!$A$2:$AI$2,0),FALSE)</f>
        <v>5.3451000000000002E-3</v>
      </c>
      <c r="F50" s="206">
        <f>VLOOKUP($A50,TOCA_previous!$A$2:$AI$137,MATCH(F$4,TOCA_previous!$A$2:$AI$2,0),FALSE)</f>
        <v>5.3451000000000002E-3</v>
      </c>
      <c r="G50" s="206">
        <f t="shared" si="0"/>
        <v>0</v>
      </c>
      <c r="H50" s="206">
        <f>VLOOKUP($A50,TOCA_previous!$A$2:$AI$137,MATCH(H$4,TOCA_previous!$A$2:$AI$2,0),FALSE)</f>
        <v>7.4010000000000006E-2</v>
      </c>
      <c r="I50" s="206">
        <f t="shared" si="1"/>
        <v>0</v>
      </c>
      <c r="J50" s="206">
        <f t="shared" si="2"/>
        <v>0</v>
      </c>
      <c r="K50" s="381">
        <f>VLOOKUP(A50, IRD!$A$5:$C$139, 3, FALSE)</f>
        <v>134655.962</v>
      </c>
      <c r="L50" s="382">
        <f t="array" ref="L50">IF($G50=0, INDEX(LS_previous!$D$4:$AY$138, MATCH('Staging Table'!$A50, LS_previous!$B$4:$B$138, 0), MATCH(L$4&amp;L$5, LS_previous!$D$2:$AY$2&amp;LS_previous!$D$3:$AY$3, 0)),SUM(VLOOKUP($A50, LS_previous!$B$4:$AY$138, LS_previous!D$149, FALSE), VLOOKUP('Staging Table'!$A50, LS_previous!$B$4:$AY$138,LS_previous!AB$149, FALSE))/2)</f>
        <v>-2049.9295419803202</v>
      </c>
      <c r="M50" s="382">
        <f t="array" ref="M50">IF($G50=0, INDEX(LS_previous!$D$4:$AY$138, MATCH('Staging Table'!$A50, LS_previous!$B$4:$B$138, 0), MATCH(M$4&amp;M$5, LS_previous!$D$2:$AY$2&amp;LS_previous!$D$3:$AY$3, 0)),SUM(VLOOKUP($A50, LS_previous!$B$4:$AY$138, LS_previous!E$149, FALSE), VLOOKUP('Staging Table'!$A50, LS_previous!$B$4:$AY$138,LS_previous!AC$149, FALSE))/2)</f>
        <v>47.491632525434397</v>
      </c>
      <c r="N50" s="382">
        <f t="array" ref="N50">IF($G50=0, INDEX(LS_previous!$D$4:$AY$138, MATCH('Staging Table'!$A50, LS_previous!$B$4:$B$138, 0), MATCH(N$4&amp;N$5, LS_previous!$D$2:$AY$2&amp;LS_previous!$D$3:$AY$3, 0)),SUM(VLOOKUP($A50, LS_previous!$B$4:$AY$138, LS_previous!F$149, FALSE), VLOOKUP('Staging Table'!$A50, LS_previous!$B$4:$AY$138,LS_previous!AD$149, FALSE))/2)</f>
        <v>-9162.0246712720073</v>
      </c>
      <c r="O50" s="382">
        <f t="array" ref="O50">IF($G50=0, INDEX(LS_previous!$D$4:$AY$138, MATCH('Staging Table'!$A50, LS_previous!$B$4:$B$138, 0), MATCH(O$4&amp;O$5, LS_previous!$D$2:$AY$2&amp;LS_previous!$D$3:$AY$3, 0)),SUM(VLOOKUP($A50, LS_previous!$B$4:$AY$138, LS_previous!G$149, FALSE), VLOOKUP('Staging Table'!$A50, LS_previous!$B$4:$AY$138,LS_previous!AE$149, FALSE))/2)</f>
        <v>-4710.6741670588226</v>
      </c>
      <c r="P50" s="382">
        <f t="array" ref="P50">IF($G50=0, INDEX(LS_previous!$D$4:$AY$138, MATCH('Staging Table'!$A50, LS_previous!$B$4:$B$138, 0), MATCH(P$4&amp;P$5, LS_previous!$D$2:$AY$2&amp;LS_previous!$D$3:$AY$3, 0)),SUM(VLOOKUP($A50, LS_previous!$B$4:$AY$138, LS_previous!H$149, FALSE), VLOOKUP('Staging Table'!$A50, LS_previous!$B$4:$AY$138,LS_previous!AF$149, FALSE))/2)</f>
        <v>-8448.3657315244709</v>
      </c>
      <c r="Q50" s="382">
        <f t="array" ref="Q50">IF($G50=0, INDEX(LS_previous!$D$4:$AY$138, MATCH('Staging Table'!$A50, LS_previous!$B$4:$B$138, 0), MATCH(Q$4&amp;Q$5, LS_previous!$D$2:$AY$2&amp;LS_previous!$D$3:$AY$3, 0)),SUM(VLOOKUP($A50, LS_previous!$B$4:$AY$138, LS_previous!I$149, FALSE), VLOOKUP('Staging Table'!$A50, LS_previous!$B$4:$AY$138,LS_previous!AG$149, FALSE))/2)</f>
        <v>-3926.3608078527368</v>
      </c>
      <c r="R50" s="382">
        <f t="array" ref="R50">IF($G50=0, INDEX(LS_previous!$D$4:$AY$138, MATCH('Staging Table'!$A50, LS_previous!$B$4:$B$138, 0), MATCH(R$4&amp;R$5, LS_previous!$D$2:$AY$2&amp;LS_previous!$D$3:$AY$3, 0)),SUM(VLOOKUP($A50, LS_previous!$B$4:$AY$138, LS_previous!J$149, FALSE), VLOOKUP('Staging Table'!$A50, LS_previous!$B$4:$AY$138,LS_previous!AH$149, FALSE))/2)</f>
        <v>-5933.8376406621082</v>
      </c>
      <c r="S50" s="382">
        <f t="array" ref="S50">IF($G50=0, INDEX(LS_previous!$D$4:$AY$138, MATCH('Staging Table'!$A50, LS_previous!$B$4:$B$138, 0), MATCH(S$4&amp;S$5, LS_previous!$D$2:$AY$2&amp;LS_previous!$D$3:$AY$3, 0)),SUM(VLOOKUP($A50, LS_previous!$B$4:$AY$138, LS_previous!K$149, FALSE), VLOOKUP('Staging Table'!$A50, LS_previous!$B$4:$AY$138,LS_previous!AI$149, FALSE))/2)</f>
        <v>-3188.8330553221122</v>
      </c>
      <c r="T50" s="382">
        <f t="array" ref="T50">IF($G50=0, INDEX(LS_previous!$D$4:$AY$138, MATCH('Staging Table'!$A50, LS_previous!$B$4:$B$138, 0), MATCH(T$4&amp;T$5, LS_previous!$D$2:$AY$2&amp;LS_previous!$D$3:$AY$3, 0)),SUM(VLOOKUP($A50, LS_previous!$B$4:$AY$138, LS_previous!L$149, FALSE), VLOOKUP('Staging Table'!$A50, LS_previous!$B$4:$AY$138,LS_previous!AJ$149, FALSE))/2)</f>
        <v>-6038.687315051744</v>
      </c>
      <c r="U50" s="382">
        <f t="array" ref="U50">IF($G50=0, INDEX(LS_previous!$D$4:$AY$138, MATCH('Staging Table'!$A50, LS_previous!$B$4:$B$138, 0), MATCH(U$4&amp;U$5, LS_previous!$D$2:$AY$2&amp;LS_previous!$D$3:$AY$3, 0)),SUM(VLOOKUP($A50, LS_previous!$B$4:$AY$138, LS_previous!M$149, FALSE), VLOOKUP('Staging Table'!$A50, LS_previous!$B$4:$AY$138,LS_previous!AK$149, FALSE))/2)</f>
        <v>-3223.9885017344559</v>
      </c>
      <c r="V50" s="382">
        <f t="array" ref="V50">IF($G50=0, INDEX(LS_previous!$D$4:$AY$138, MATCH('Staging Table'!$A50, LS_previous!$B$4:$B$138, 0), MATCH(V$4&amp;V$5, LS_previous!$D$2:$AY$2&amp;LS_previous!$D$3:$AY$3, 0)),SUM(VLOOKUP($A50, LS_previous!$B$4:$AY$138, LS_previous!N$149, FALSE), VLOOKUP('Staging Table'!$A50, LS_previous!$B$4:$AY$138,LS_previous!AL$149, FALSE))/2)</f>
        <v>-5891.0056180346874</v>
      </c>
      <c r="W50" s="382">
        <f t="array" ref="W50">IF($G50=0, INDEX(LS_previous!$D$4:$AY$138, MATCH('Staging Table'!$A50, LS_previous!$B$4:$B$138, 0), MATCH(W$4&amp;W$5, LS_previous!$D$2:$AY$2&amp;LS_previous!$D$3:$AY$3, 0)),SUM(VLOOKUP($A50, LS_previous!$B$4:$AY$138, LS_previous!O$149, FALSE), VLOOKUP('Staging Table'!$A50, LS_previous!$B$4:$AY$138,LS_previous!AM$149, FALSE))/2)</f>
        <v>-3634.1837324709413</v>
      </c>
      <c r="X50" s="382">
        <f t="array" ref="X50">IF($G50=0, INDEX(LS_previous!$D$4:$AY$138, MATCH('Staging Table'!$A50, LS_previous!$B$4:$B$138, 0), MATCH(X$4&amp;X$5, LS_previous!$D$2:$AY$2&amp;LS_previous!$D$3:$AY$3, 0)),SUM(VLOOKUP($A50, LS_previous!$B$4:$AY$138, LS_previous!P$149, FALSE), VLOOKUP('Staging Table'!$A50, LS_previous!$B$4:$AY$138,LS_previous!AN$149, FALSE))/2)</f>
        <v>1120.565082611889</v>
      </c>
      <c r="Y50" s="382">
        <f t="array" ref="Y50">IF($G50=0, INDEX(LS_previous!$D$4:$AY$138, MATCH('Staging Table'!$A50, LS_previous!$B$4:$B$138, 0), MATCH(Y$4&amp;Y$5, LS_previous!$D$2:$AY$2&amp;LS_previous!$D$3:$AY$3, 0)),SUM(VLOOKUP($A50, LS_previous!$B$4:$AY$138, LS_previous!Q$149, FALSE), VLOOKUP('Staging Table'!$A50, LS_previous!$B$4:$AY$138,LS_previous!AO$149, FALSE))/2)</f>
        <v>1245.1949538278604</v>
      </c>
      <c r="Z50" s="382">
        <f t="array" ref="Z50">IF($G50=0, INDEX(LS_previous!$D$4:$AY$138, MATCH('Staging Table'!$A50, LS_previous!$B$4:$B$138, 0), MATCH(Z$4&amp;Z$5, LS_previous!$D$2:$AY$2&amp;LS_previous!$D$3:$AY$3, 0)),SUM(VLOOKUP($A50, LS_previous!$B$4:$AY$138, LS_previous!R$149, FALSE), VLOOKUP('Staging Table'!$A50, LS_previous!$B$4:$AY$138,LS_previous!AP$149, FALSE))/2)</f>
        <v>-559.17667592623911</v>
      </c>
      <c r="AA50" s="382">
        <f t="array" ref="AA50">IF($G50=0, INDEX(LS_previous!$D$4:$AY$138, MATCH('Staging Table'!$A50, LS_previous!$B$4:$B$138, 0), MATCH(AA$4&amp;AA$5, LS_previous!$D$2:$AY$2&amp;LS_previous!$D$3:$AY$3, 0)),SUM(VLOOKUP($A50, LS_previous!$B$4:$AY$138, LS_previous!S$149, FALSE), VLOOKUP('Staging Table'!$A50, LS_previous!$B$4:$AY$138,LS_previous!AQ$149, FALSE))/2)</f>
        <v>2192.2396958459285</v>
      </c>
      <c r="AB50" s="382">
        <f t="array" ref="AB50">IF($G50=0, INDEX(LS_previous!$D$4:$AY$138, MATCH('Staging Table'!$A50, LS_previous!$B$4:$B$138, 0), MATCH(AB$4&amp;AB$5, LS_previous!$D$2:$AY$2&amp;LS_previous!$D$3:$AY$3, 0)),SUM(VLOOKUP($A50, LS_previous!$B$4:$AY$138, LS_previous!T$149, FALSE), VLOOKUP('Staging Table'!$A50, LS_previous!$B$4:$AY$138,LS_previous!AR$149, FALSE))/2)</f>
        <v>9120.4760787790983</v>
      </c>
      <c r="AC50" s="382">
        <f t="array" ref="AC50">IF($G50=0, INDEX(LS_previous!$D$4:$AY$138, MATCH('Staging Table'!$A50, LS_previous!$B$4:$B$138, 0), MATCH(AC$4&amp;AC$5, LS_previous!$D$2:$AY$2&amp;LS_previous!$D$3:$AY$3, 0)),SUM(VLOOKUP($A50, LS_previous!$B$4:$AY$138, LS_previous!U$149, FALSE), VLOOKUP('Staging Table'!$A50, LS_previous!$B$4:$AY$138,LS_previous!AS$149, FALSE))/2)</f>
        <v>7109.7273744622489</v>
      </c>
      <c r="AD50" s="382">
        <f t="array" ref="AD50">IF($G50=0, INDEX(LS_previous!$D$4:$AY$138, MATCH('Staging Table'!$A50, LS_previous!$B$4:$B$138, 0), MATCH(AD$4&amp;AD$5, LS_previous!$D$2:$AY$2&amp;LS_previous!$D$3:$AY$3, 0)),SUM(VLOOKUP($A50, LS_previous!$B$4:$AY$138, LS_previous!V$149, FALSE), VLOOKUP('Staging Table'!$A50, LS_previous!$B$4:$AY$138,LS_previous!AT$149, FALSE))/2)</f>
        <v>14696.536214110187</v>
      </c>
      <c r="AE50" s="382">
        <f t="array" ref="AE50">IF($G50=0, INDEX(LS_previous!$D$4:$AY$138, MATCH('Staging Table'!$A50, LS_previous!$B$4:$B$138, 0), MATCH(AE$4&amp;AE$5, LS_previous!$D$2:$AY$2&amp;LS_previous!$D$3:$AY$3, 0)),SUM(VLOOKUP($A50, LS_previous!$B$4:$AY$138, LS_previous!W$149, FALSE), VLOOKUP('Staging Table'!$A50, LS_previous!$B$4:$AY$138,LS_previous!AU$149, FALSE))/2)</f>
        <v>15336.125079721676</v>
      </c>
      <c r="AF50" s="382">
        <f t="array" ref="AF50">IF($G50=0, INDEX(LS_previous!$D$4:$AY$138, MATCH('Staging Table'!$A50, LS_previous!$B$4:$B$138, 0), MATCH(AF$4&amp;AF$5, LS_previous!$D$2:$AY$2&amp;LS_previous!$D$3:$AY$3, 0)),SUM(VLOOKUP($A50, LS_previous!$B$4:$AY$138, LS_previous!X$149, FALSE), VLOOKUP('Staging Table'!$A50, LS_previous!$B$4:$AY$138,LS_previous!AV$149, FALSE))/2)</f>
        <v>12290.2034342113</v>
      </c>
      <c r="AG50" s="382">
        <f t="array" ref="AG50">IF($G50=0, INDEX(LS_previous!$D$4:$AY$138, MATCH('Staging Table'!$A50, LS_previous!$B$4:$B$138, 0), MATCH(AG$4&amp;AG$5, LS_previous!$D$2:$AY$2&amp;LS_previous!$D$3:$AY$3, 0)),SUM(VLOOKUP($A50, LS_previous!$B$4:$AY$138, LS_previous!Y$149, FALSE), VLOOKUP('Staging Table'!$A50, LS_previous!$B$4:$AY$138,LS_previous!AW$149, FALSE))/2)</f>
        <v>9912.789332969538</v>
      </c>
      <c r="AH50" s="382">
        <f t="array" ref="AH50">IF($G50=0, INDEX(LS_previous!$D$4:$AY$138, MATCH('Staging Table'!$A50, LS_previous!$B$4:$B$138, 0), MATCH(AH$4&amp;AH$5, LS_previous!$D$2:$AY$2&amp;LS_previous!$D$3:$AY$3, 0)),SUM(VLOOKUP($A50, LS_previous!$B$4:$AY$138, LS_previous!Z$149, FALSE), VLOOKUP('Staging Table'!$A50, LS_previous!$B$4:$AY$138,LS_previous!AX$149, FALSE))/2)</f>
        <v>4151.8155552231765</v>
      </c>
      <c r="AI50" s="382">
        <f t="array" ref="AI50">IF($G50=0, INDEX(LS_previous!$D$4:$AY$138, MATCH('Staging Table'!$A50, LS_previous!$B$4:$B$138, 0), MATCH(AI$4&amp;AI$5, LS_previous!$D$2:$AY$2&amp;LS_previous!$D$3:$AY$3, 0)),SUM(VLOOKUP($A50, LS_previous!$B$4:$AY$138, LS_previous!AA$149, FALSE), VLOOKUP('Staging Table'!$A50, LS_previous!$B$4:$AY$138,LS_previous!AY$149, FALSE))/2)</f>
        <v>4177.6522236724722</v>
      </c>
      <c r="AJ50" s="384">
        <f t="array" ref="AJ50">INDEX(Demand_previous!$D$4:$AY$138, MATCH('Staging Table'!$A50, Demand_previous!$B$4:$B$138, 0), MATCH(AJ$4&amp;AJ$5,Demand_previous!$D$2:$AY$2&amp;Demand_previous!$D$3:$AY$3, 0))/1000</f>
        <v>7.100729166666671</v>
      </c>
      <c r="AK50" s="384">
        <f t="array" ref="AK50">INDEX(Demand_previous!$D$4:$AY$138, MATCH('Staging Table'!$A50, Demand_previous!$B$4:$B$138, 0), MATCH(AK$4&amp;AK$5,Demand_previous!$D$2:$AY$2&amp;Demand_previous!$D$3:$AY$3, 0))/1000</f>
        <v>0.94551302083333155</v>
      </c>
      <c r="AL50" s="384">
        <f t="array" ref="AL50">INDEX(Demand_previous!$D$4:$AY$138, MATCH('Staging Table'!$A50, Demand_previous!$B$4:$B$138, 0), MATCH(AL$4&amp;AL$5,Demand_previous!$D$2:$AY$2&amp;Demand_previous!$D$3:$AY$3, 0))/1000</f>
        <v>4.8109182692307684</v>
      </c>
      <c r="AM50" s="384">
        <f t="array" ref="AM50">INDEX(Demand_previous!$D$4:$AY$138, MATCH('Staging Table'!$A50, Demand_previous!$B$4:$B$138, 0), MATCH(AM$4&amp;AM$5,Demand_previous!$D$2:$AY$2&amp;Demand_previous!$D$3:$AY$3, 0))/1000</f>
        <v>1.3714074999999988</v>
      </c>
      <c r="AN50" s="384">
        <f t="array" ref="AN50">INDEX(Demand_previous!$D$4:$AY$138, MATCH('Staging Table'!$A50, Demand_previous!$B$4:$B$138, 0), MATCH(AN$4&amp;AN$5,Demand_previous!$D$2:$AY$2&amp;Demand_previous!$D$3:$AY$3, 0))/1000</f>
        <v>1.3513399999999969</v>
      </c>
      <c r="AO50" s="384">
        <f t="array" ref="AO50">INDEX(Demand_previous!$D$4:$AY$138, MATCH('Staging Table'!$A50, Demand_previous!$B$4:$B$138, 0), MATCH(AO$4&amp;AO$5,Demand_previous!$D$2:$AY$2&amp;Demand_previous!$D$3:$AY$3, 0))/1000</f>
        <v>2.9989768518518503</v>
      </c>
      <c r="AP50" s="384">
        <f t="array" ref="AP50">INDEX(Demand_previous!$D$4:$AY$138, MATCH('Staging Table'!$A50, Demand_previous!$B$4:$B$138, 0), MATCH(AP$4&amp;AP$5,Demand_previous!$D$2:$AY$2&amp;Demand_previous!$D$3:$AY$3, 0))/1000</f>
        <v>3.441367788461541</v>
      </c>
      <c r="AQ50" s="384">
        <f t="array" ref="AQ50">INDEX(Demand_previous!$D$4:$AY$138, MATCH('Staging Table'!$A50, Demand_previous!$B$4:$B$138, 0), MATCH(AQ$4&amp;AQ$5,Demand_previous!$D$2:$AY$2&amp;Demand_previous!$D$3:$AY$3, 0))/1000</f>
        <v>0.52039499999998995</v>
      </c>
      <c r="AR50" s="384">
        <f t="array" ref="AR50">INDEX(Demand_previous!$D$4:$AY$138, MATCH('Staging Table'!$A50, Demand_previous!$B$4:$B$138, 0), MATCH(AR$4&amp;AR$5,Demand_previous!$D$2:$AY$2&amp;Demand_previous!$D$3:$AY$3, 0))/1000</f>
        <v>11.750992788461529</v>
      </c>
      <c r="AS50" s="384">
        <f t="array" ref="AS50">INDEX(Demand_previous!$D$4:$AY$138, MATCH('Staging Table'!$A50, Demand_previous!$B$4:$B$138, 0), MATCH(AS$4&amp;AS$5,Demand_previous!$D$2:$AY$2&amp;Demand_previous!$D$3:$AY$3, 0))/1000</f>
        <v>15.022442499999993</v>
      </c>
      <c r="AT50" s="384">
        <f t="array" ref="AT50">INDEX(Demand_previous!$D$4:$AY$138, MATCH('Staging Table'!$A50, Demand_previous!$B$4:$B$138, 0), MATCH(AT$4&amp;AT$5,Demand_previous!$D$2:$AY$2&amp;Demand_previous!$D$3:$AY$3, 0))/1000</f>
        <v>14.184247685185184</v>
      </c>
      <c r="AU50" s="384">
        <f t="array" ref="AU50">INDEX(Demand_previous!$D$4:$AY$138, MATCH('Staging Table'!$A50, Demand_previous!$B$4:$B$138, 0), MATCH(AU$4&amp;AU$5,Demand_previous!$D$2:$AY$2&amp;Demand_previous!$D$3:$AY$3, 0))/1000</f>
        <v>18.755529999999993</v>
      </c>
      <c r="AV50" s="384">
        <f>IF($D50=0,IF(C50=0, MAX(AY50 - (VLOOKUP($A50,TOCA_previous!$A$2:$AI$137,MATCH("RHWM 2016",TOCA_previous!$A$2:$AI$2,0),FALSE)*$F$2*TOCA_previous!C47),0),0), 0)</f>
        <v>24636.27577173413</v>
      </c>
      <c r="AW50" s="427">
        <f>VLOOKUP($A50,REP_previous!$A$1:$D$135,MATCH("FY "&amp;$F$1&amp; " Total Refund",REP_previous!$A$1:$D$1,0),0)</f>
        <v>208779.17949023889</v>
      </c>
      <c r="AX50" s="398">
        <f>MIN(VLOOKUP($A50,TOCA_previous!$A$2:$AI$137,MATCH("TRL - NLSL - Exisiting Resource "&amp;$F$1,TOCA_previous!$A$2:$AI$2,0),FALSE)*$F$2,(VLOOKUP($A50,TOCA_previous!$A$2:$AI$137,MATCH("RHWM 2016",TOCA_previous!$A$2:$AI$2,0),FALSE)*$F$2))</f>
        <v>327862.80000000005</v>
      </c>
      <c r="AY50" s="384">
        <f>SUM(L50:AI50)+(F50*RT1SC!$C$3*$F$2)</f>
        <v>352499.07577173418</v>
      </c>
      <c r="AZ50" s="398">
        <f>VLOOKUP($A50,TOCA_previous!$A$2:$AI$137,MATCH("Above RHWM Not Served with LS "&amp;$F$1,TOCA_previous!$A$2:$AI$2,0),FALSE)*$F$2</f>
        <v>18780.191999999999</v>
      </c>
      <c r="BA50" s="206">
        <f t="shared" si="3"/>
        <v>24636.27577173413</v>
      </c>
      <c r="BB50" s="399">
        <f>(VLOOKUP($A50,TOCA_previous!$A$2:$AI$137,MATCH("RHWM 2016",TOCA_previous!$A$2:$AI$2,0),FALSE)*$F$2) - $AX50</f>
        <v>0</v>
      </c>
      <c r="BC50" s="206">
        <f t="shared" si="4"/>
        <v>0</v>
      </c>
      <c r="BD50" s="400">
        <f t="shared" si="5"/>
        <v>0</v>
      </c>
      <c r="BE50" s="392">
        <f t="shared" si="6"/>
        <v>0</v>
      </c>
      <c r="BF50" s="399">
        <f t="shared" si="7"/>
        <v>0</v>
      </c>
      <c r="BG50" s="206">
        <f>VLOOKUP($A50,TOCA_current!$A$2:$AI$137,MATCH(BG$4,TOCA_current!$A$2:$AI$2,0),FALSE)</f>
        <v>5.3404000000000004E-3</v>
      </c>
      <c r="BH50" s="206">
        <f>VLOOKUP($A50,TOCA_current!$A$2:$AI$137,MATCH(BH$4,TOCA_current!$A$2:$AI$2,0),FALSE)</f>
        <v>5.3404000000000004E-3</v>
      </c>
      <c r="BI50" s="391">
        <f t="shared" si="8"/>
        <v>0</v>
      </c>
      <c r="BJ50" s="206">
        <f>VLOOKUP($A50,TOCA_current!A46:BG181,MATCH(BJ$4,TOCA_current!$A$2:$BG$2,0),FALSE)</f>
        <v>7.9993798533218308E-2</v>
      </c>
      <c r="BK50" s="206">
        <f t="shared" si="9"/>
        <v>0</v>
      </c>
      <c r="BL50" s="206">
        <f t="shared" si="10"/>
        <v>0</v>
      </c>
      <c r="BM50" s="381">
        <f>VLOOKUP($A50,IRD!$A$4:$G$139, 7, FALSE)</f>
        <v>134655.962</v>
      </c>
      <c r="BN50" s="382">
        <f t="array" ref="BN50">IF($BI50=0, INDEX(LS_current!$D$4:$AY$139, MATCH('Staging Table'!$A50, LS_current!$B$4:$B$139, 0), MATCH(BN$4&amp;BN$5, LS_current!$D$2:$AY$2&amp;LS_current!$D$3:$AY$3, 0)),SUM(VLOOKUP($A50, LS_current!$B$4:$AY$139, LS_current!D$149, FALSE), VLOOKUP($A50, LS_current!$B$4:$AY$139,LS_current!D$149, FALSE))/2)</f>
        <v>-3401.965410370769</v>
      </c>
      <c r="BO50" s="382">
        <f t="array" ref="BO50">IF($BI50=0, INDEX(LS_current!$D$4:$AY$139, MATCH('Staging Table'!$A50, LS_current!$B$4:$B$139, 0), MATCH(BO$4&amp;BO$5, LS_current!$D$2:$AY$2&amp;LS_current!$D$3:$AY$3, 0)),SUM(VLOOKUP($A50, LS_current!$B$4:$AY$139, LS_current!E$149, FALSE), VLOOKUP($A50, LS_current!$B$4:$AY$139,LS_current!E$149, FALSE))/2)</f>
        <v>-538.91077589411907</v>
      </c>
      <c r="BP50" s="382">
        <f t="array" ref="BP50">IF($BI50=0, INDEX(LS_current!$D$4:$AY$139, MATCH('Staging Table'!$A50, LS_current!$B$4:$B$139, 0), MATCH(BP$4&amp;BP$5, LS_current!$D$2:$AY$2&amp;LS_current!$D$3:$AY$3, 0)),SUM(VLOOKUP($A50, LS_current!$B$4:$AY$139, LS_current!F$149, FALSE), VLOOKUP($A50, LS_current!$B$4:$AY$139,LS_current!F$149, FALSE))/2)</f>
        <v>-10841.08071675361</v>
      </c>
      <c r="BQ50" s="382">
        <f t="array" ref="BQ50">IF($BI50=0, INDEX(LS_current!$D$4:$AY$139, MATCH('Staging Table'!$A50, LS_current!$B$4:$B$139, 0), MATCH(BQ$4&amp;BQ$5, LS_current!$D$2:$AY$2&amp;LS_current!$D$3:$AY$3, 0)),SUM(VLOOKUP($A50, LS_current!$B$4:$AY$139, LS_current!G$149, FALSE), VLOOKUP($A50, LS_current!$B$4:$AY$139,LS_current!G$149, FALSE))/2)</f>
        <v>-5575.6478361529407</v>
      </c>
      <c r="BR50" s="382">
        <f t="array" ref="BR50">IF($BI50=0, INDEX(LS_current!$D$4:$AY$139, MATCH('Staging Table'!$A50, LS_current!$B$4:$B$139, 0), MATCH(BR$4&amp;BR$5, LS_current!$D$2:$AY$2&amp;LS_current!$D$3:$AY$3, 0)),SUM(VLOOKUP($A50, LS_current!$B$4:$AY$139, LS_current!H$149, FALSE), VLOOKUP($A50, LS_current!$B$4:$AY$139,LS_current!H$149, FALSE))/2)</f>
        <v>-10274.556691056907</v>
      </c>
      <c r="BS50" s="382">
        <f t="array" ref="BS50">IF($BI50=0, INDEX(LS_current!$D$4:$AY$139, MATCH('Staging Table'!$A50, LS_current!$B$4:$B$139, 0), MATCH(BS$4&amp;BS$5, LS_current!$D$2:$AY$2&amp;LS_current!$D$3:$AY$3, 0)),SUM(VLOOKUP($A50, LS_current!$B$4:$AY$139, LS_current!I$149, FALSE), VLOOKUP($A50, LS_current!$B$4:$AY$139,LS_current!I$149, FALSE))/2)</f>
        <v>-5145.2049639591423</v>
      </c>
      <c r="BT50" s="382">
        <f t="array" ref="BT50">IF($BI50=0, INDEX(LS_current!$D$4:$AY$139, MATCH('Staging Table'!$A50, LS_current!$B$4:$B$139, 0), MATCH(BT$4&amp;BT$5, LS_current!$D$2:$AY$2&amp;LS_current!$D$3:$AY$3, 0)),SUM(VLOOKUP($A50, LS_current!$B$4:$AY$139, LS_current!J$149, FALSE), VLOOKUP($A50, LS_current!$B$4:$AY$139,LS_current!J$149, FALSE))/2)</f>
        <v>-7447.8141985050588</v>
      </c>
      <c r="BU50" s="382">
        <f t="array" ref="BU50">IF($BI50=0, INDEX(LS_current!$D$4:$AY$139, MATCH('Staging Table'!$A50, LS_current!$B$4:$B$139, 0), MATCH(BU$4&amp;BU$5, LS_current!$D$2:$AY$2&amp;LS_current!$D$3:$AY$3, 0)),SUM(VLOOKUP($A50, LS_current!$B$4:$AY$139, LS_current!K$149, FALSE), VLOOKUP($A50, LS_current!$B$4:$AY$139,LS_current!K$149, FALSE))/2)</f>
        <v>-4219.9776648554061</v>
      </c>
      <c r="BV50" s="382">
        <f t="array" ref="BV50">IF($BI50=0, INDEX(LS_current!$D$4:$AY$139, MATCH('Staging Table'!$A50, LS_current!$B$4:$B$139, 0), MATCH(BV$4&amp;BV$5, LS_current!$D$2:$AY$2&amp;LS_current!$D$3:$AY$3, 0)),SUM(VLOOKUP($A50, LS_current!$B$4:$AY$139, LS_current!L$149, FALSE), VLOOKUP($A50, LS_current!$B$4:$AY$139,LS_current!L$149, FALSE))/2)</f>
        <v>-6094.8923821099625</v>
      </c>
      <c r="BW50" s="382">
        <f t="array" ref="BW50">IF($BI50=0, INDEX(LS_current!$D$4:$AY$139, MATCH('Staging Table'!$A50, LS_current!$B$4:$B$139, 0), MATCH(BW$4&amp;BW$5, LS_current!$D$2:$AY$2&amp;LS_current!$D$3:$AY$3, 0)),SUM(VLOOKUP($A50, LS_current!$B$4:$AY$139, LS_current!M$149, FALSE), VLOOKUP($A50, LS_current!$B$4:$AY$139,LS_current!M$149, FALSE))/2)</f>
        <v>-3235.8358728254707</v>
      </c>
      <c r="BX50" s="382">
        <f t="array" ref="BX50">IF($BI50=0, INDEX(LS_current!$D$4:$AY$139, MATCH('Staging Table'!$A50, LS_current!$B$4:$B$139, 0), MATCH(BX$4&amp;BX$5, LS_current!$D$2:$AY$2&amp;LS_current!$D$3:$AY$3, 0)),SUM(VLOOKUP($A50, LS_current!$B$4:$AY$139, LS_current!N$149, FALSE), VLOOKUP($A50, LS_current!$B$4:$AY$139,LS_current!N$149, FALSE))/2)</f>
        <v>-6377.1758917551088</v>
      </c>
      <c r="BY50" s="382">
        <f t="array" ref="BY50">IF($BI50=0, INDEX(LS_current!$D$4:$AY$139, MATCH('Staging Table'!$A50, LS_current!$B$4:$B$139, 0), MATCH(BY$4&amp;BY$5, LS_current!$D$2:$AY$2&amp;LS_current!$D$3:$AY$3, 0)),SUM(VLOOKUP($A50, LS_current!$B$4:$AY$139, LS_current!O$149, FALSE), VLOOKUP($A50, LS_current!$B$4:$AY$139,LS_current!O$149, FALSE))/2)</f>
        <v>-3642.3637365874683</v>
      </c>
      <c r="BZ50" s="382">
        <f t="array" ref="BZ50">IF($BI50=0, INDEX(LS_current!$D$4:$AY$139, MATCH('Staging Table'!$A50, LS_current!$B$4:$B$139, 0), MATCH(BZ$4&amp;BZ$5, LS_current!$D$2:$AY$2&amp;LS_current!$D$3:$AY$3, 0)),SUM(VLOOKUP($A50, LS_current!$B$4:$AY$139, LS_current!P$149, FALSE), VLOOKUP($A50, LS_current!$B$4:$AY$139,LS_current!P$149, FALSE))/2)</f>
        <v>-1719.5698165943686</v>
      </c>
      <c r="CA50" s="382">
        <f t="array" ref="CA50">IF($BI50=0, INDEX(LS_current!$D$4:$AY$139, MATCH('Staging Table'!$A50, LS_current!$B$4:$B$139, 0), MATCH(CA$4&amp;CA$5, LS_current!$D$2:$AY$2&amp;LS_current!$D$3:$AY$3, 0)),SUM(VLOOKUP($A50, LS_current!$B$4:$AY$139, LS_current!Q$149, FALSE), VLOOKUP($A50, LS_current!$B$4:$AY$139,LS_current!Q$149, FALSE))/2)</f>
        <v>91.00467499075603</v>
      </c>
      <c r="CB50" s="382">
        <f t="array" ref="CB50">IF($BI50=0, INDEX(LS_current!$D$4:$AY$139, MATCH('Staging Table'!$A50, LS_current!$B$4:$B$139, 0), MATCH(CB$4&amp;CB$5, LS_current!$D$2:$AY$2&amp;LS_current!$D$3:$AY$3, 0)),SUM(VLOOKUP($A50, LS_current!$B$4:$AY$139, LS_current!R$149, FALSE), VLOOKUP($A50, LS_current!$B$4:$AY$139,LS_current!R$149, FALSE))/2)</f>
        <v>-1685.0633908695891</v>
      </c>
      <c r="CC50" s="382">
        <f t="array" ref="CC50">IF($BI50=0, INDEX(LS_current!$D$4:$AY$139, MATCH('Staging Table'!$A50, LS_current!$B$4:$B$139, 0), MATCH(CC$4&amp;CC$5, LS_current!$D$2:$AY$2&amp;LS_current!$D$3:$AY$3, 0)),SUM(VLOOKUP($A50, LS_current!$B$4:$AY$139, LS_current!S$149, FALSE), VLOOKUP($A50, LS_current!$B$4:$AY$139,LS_current!S$149, FALSE))/2)</f>
        <v>1003.3559649498002</v>
      </c>
      <c r="CD50" s="382">
        <f t="array" ref="CD50">IF($BI50=0, INDEX(LS_current!$D$4:$AY$139, MATCH('Staging Table'!$A50, LS_current!$B$4:$B$139, 0), MATCH(CD$4&amp;CD$5, LS_current!$D$2:$AY$2&amp;LS_current!$D$3:$AY$3, 0)),SUM(VLOOKUP($A50, LS_current!$B$4:$AY$139, LS_current!T$149, FALSE), VLOOKUP($A50, LS_current!$B$4:$AY$139,LS_current!T$149, FALSE))/2)</f>
        <v>7910.2438742747472</v>
      </c>
      <c r="CE50" s="382">
        <f t="array" ref="CE50">IF($BI50=0, INDEX(LS_current!$D$4:$AY$139, MATCH('Staging Table'!$A50, LS_current!$B$4:$B$139, 0), MATCH(CE$4&amp;CE$5, LS_current!$D$2:$AY$2&amp;LS_current!$D$3:$AY$3, 0)),SUM(VLOOKUP($A50, LS_current!$B$4:$AY$139, LS_current!U$149, FALSE), VLOOKUP($A50, LS_current!$B$4:$AY$139,LS_current!U$149, FALSE))/2)</f>
        <v>6899.0662414904218</v>
      </c>
      <c r="CF50" s="382">
        <f t="array" ref="CF50">IF($BI50=0, INDEX(LS_current!$D$4:$AY$139, MATCH('Staging Table'!$A50, LS_current!$B$4:$B$139, 0), MATCH(CF$4&amp;CF$5, LS_current!$D$2:$AY$2&amp;LS_current!$D$3:$AY$3, 0)),SUM(VLOOKUP($A50, LS_current!$B$4:$AY$139, LS_current!V$149, FALSE), VLOOKUP($A50, LS_current!$B$4:$AY$139,LS_current!V$149, FALSE))/2)</f>
        <v>14500.585569728943</v>
      </c>
      <c r="CG50" s="382">
        <f t="array" ref="CG50">IF($BI50=0, INDEX(LS_current!$D$4:$AY$139, MATCH('Staging Table'!$A50, LS_current!$B$4:$B$139, 0), MATCH(CG$4&amp;CG$5, LS_current!$D$2:$AY$2&amp;LS_current!$D$3:$AY$3, 0)),SUM(VLOOKUP($A50, LS_current!$B$4:$AY$139, LS_current!W$149, FALSE), VLOOKUP($A50, LS_current!$B$4:$AY$139,LS_current!W$149, FALSE))/2)</f>
        <v>14910.609281183681</v>
      </c>
      <c r="CH50" s="382">
        <f t="array" ref="CH50">IF($BI50=0, INDEX(LS_current!$D$4:$AY$139, MATCH('Staging Table'!$A50, LS_current!$B$4:$B$139, 0), MATCH(CH$4&amp;CH$5, LS_current!$D$2:$AY$2&amp;LS_current!$D$3:$AY$3, 0)),SUM(VLOOKUP($A50, LS_current!$B$4:$AY$139, LS_current!X$149, FALSE), VLOOKUP($A50, LS_current!$B$4:$AY$139,LS_current!X$149, FALSE))/2)</f>
        <v>11035.792216615013</v>
      </c>
      <c r="CI50" s="382">
        <f t="array" ref="CI50">IF($BI50=0, INDEX(LS_current!$D$4:$AY$139, MATCH('Staging Table'!$A50, LS_current!$B$4:$B$139, 0), MATCH(CI$4&amp;CI$5, LS_current!$D$2:$AY$2&amp;LS_current!$D$3:$AY$3, 0)),SUM(VLOOKUP($A50, LS_current!$B$4:$AY$139, LS_current!Y$149, FALSE), VLOOKUP($A50, LS_current!$B$4:$AY$139,LS_current!Y$149, FALSE))/2)</f>
        <v>9233.0283676355157</v>
      </c>
      <c r="CJ50" s="382">
        <f t="array" ref="CJ50">IF($BI50=0, INDEX(LS_current!$D$4:$AY$139, MATCH('Staging Table'!$A50, LS_current!$B$4:$B$139, 0), MATCH(CJ$4&amp;CJ$5, LS_current!$D$2:$AY$2&amp;LS_current!$D$3:$AY$3, 0)),SUM(VLOOKUP($A50, LS_current!$B$4:$AY$139, LS_current!Z$149, FALSE), VLOOKUP($A50, LS_current!$B$4:$AY$139,LS_current!Z$149, FALSE))/2)</f>
        <v>1501.4982660449805</v>
      </c>
      <c r="CK50" s="382">
        <f t="array" ref="CK50">IF($BI50=0, INDEX(LS_current!$D$4:$AY$139, MATCH('Staging Table'!$A50, LS_current!$B$4:$B$139, 0), MATCH(CK$4&amp;CK$5, LS_current!$D$2:$AY$2&amp;LS_current!$D$3:$AY$3, 0)),SUM(VLOOKUP($A50, LS_current!$B$4:$AY$139, LS_current!AA$149, FALSE), VLOOKUP($A50, LS_current!$B$4:$AY$139,LS_current!AA$149, FALSE))/2)</f>
        <v>3116.8277645014514</v>
      </c>
      <c r="CL50" s="384">
        <f t="array" ref="CL50">INDEX(Demand_current!$D$4:$AY$138, MATCH($A50, Demand_current!$B$4:$B$138, 0), MATCH(CL$4&amp;CL$5,Demand_current!$D$2:$AY$2&amp;Demand_current!$D$3:$AY$3, 0))/1000</f>
        <v>5.7574879807692305</v>
      </c>
      <c r="CM50" s="384">
        <f t="array" ref="CM50">INDEX(Demand_current!$D$4:$AY$138, MATCH($A50, Demand_current!$B$4:$B$138, 0), MATCH(CM$4&amp;CM$5,Demand_current!$D$2:$AY$2&amp;Demand_current!$D$3:$AY$3, 0))/1000</f>
        <v>2.0681724999999993</v>
      </c>
      <c r="CN50" s="384">
        <f t="array" ref="CN50">INDEX(Demand_current!$D$4:$AY$138, MATCH($A50, Demand_current!$B$4:$B$138, 0), MATCH(CN$4&amp;CN$5,Demand_current!$D$2:$AY$2&amp;Demand_current!$D$3:$AY$3, 0))/1000</f>
        <v>3.7637149999999977</v>
      </c>
      <c r="CO50" s="384">
        <f t="array" ref="CO50">INDEX(Demand_current!$D$4:$AY$138, MATCH($A50, Demand_current!$B$4:$B$138, 0), MATCH(CO$4&amp;CO$5,Demand_current!$D$2:$AY$2&amp;Demand_current!$D$3:$AY$3, 0))/1000</f>
        <v>2.4190072115384624</v>
      </c>
      <c r="CP50" s="384">
        <f t="array" ref="CP50">INDEX(Demand_current!$D$4:$AY$138, MATCH($A50, Demand_current!$B$4:$B$138, 0), MATCH(CP$4&amp;CP$5,Demand_current!$D$2:$AY$2&amp;Demand_current!$D$3:$AY$3, 0))/1000</f>
        <v>0.36518749999999756</v>
      </c>
      <c r="CQ50" s="384">
        <f t="array" ref="CQ50">INDEX(Demand_current!$D$4:$AY$138, MATCH($A50, Demand_current!$B$4:$B$138, 0), MATCH(CQ$4&amp;CQ$5,Demand_current!$D$2:$AY$2&amp;Demand_current!$D$3:$AY$3, 0))/1000</f>
        <v>2.9989768518518503</v>
      </c>
      <c r="CR50" s="384">
        <f t="array" ref="CR50">INDEX(Demand_current!$D$4:$AY$138, MATCH($A50, Demand_current!$B$4:$B$138, 0), MATCH(CR$4&amp;CR$5,Demand_current!$D$2:$AY$2&amp;Demand_current!$D$3:$AY$3, 0))/1000</f>
        <v>1.8959825000000023</v>
      </c>
      <c r="CS50" s="384">
        <f t="array" ref="CS50">INDEX(Demand_current!$D$4:$AY$138, MATCH($A50, Demand_current!$B$4:$B$138, 0), MATCH(CS$4&amp;CS$5,Demand_current!$D$2:$AY$2&amp;Demand_current!$D$3:$AY$3, 0))/1000</f>
        <v>2.7619182692307582</v>
      </c>
      <c r="CT50" s="384">
        <f t="array" ref="CT50">INDEX(Demand_current!$D$4:$AY$138, MATCH($A50, Demand_current!$B$4:$B$138, 0), MATCH(CT$4&amp;CT$5,Demand_current!$D$2:$AY$2&amp;Demand_current!$D$3:$AY$3, 0))/1000</f>
        <v>11.750992788461529</v>
      </c>
      <c r="CU50" s="384">
        <f t="array" ref="CU50">INDEX(Demand_current!$D$4:$AY$138, MATCH($A50, Demand_current!$B$4:$B$138, 0), MATCH(CU$4&amp;CU$5,Demand_current!$D$2:$AY$2&amp;Demand_current!$D$3:$AY$3, 0))/1000</f>
        <v>15.022442499999993</v>
      </c>
      <c r="CV50" s="384">
        <f t="array" ref="CV50">INDEX(Demand_current!$D$4:$AY$138, MATCH($A50, Demand_current!$B$4:$B$138, 0), MATCH(CV$4&amp;CV$5,Demand_current!$D$2:$AY$2&amp;Demand_current!$D$3:$AY$3, 0))/1000</f>
        <v>14.184247685185184</v>
      </c>
      <c r="CW50" s="384">
        <f t="array" ref="CW50">INDEX(Demand_current!$D$4:$AY$138, MATCH($A50, Demand_current!$B$4:$B$138, 0), MATCH(CW$4&amp;CW$5,Demand_current!$D$2:$AY$2&amp;Demand_current!$D$3:$AY$3, 0))/1000</f>
        <v>16.731927083333332</v>
      </c>
      <c r="CX50" s="384">
        <f>IF(D50=0,IF(C50=0,MAX(0,DA50 - (VLOOKUP($A50,TOCA_current!$A$2:$AI$137,MATCH("RHWM 2018",TOCA_current!$A$2:$AI$2,0),FALSE)*$BH$2)), 0),0)</f>
        <v>4.1917399094090797</v>
      </c>
      <c r="CY50" s="427">
        <f>VLOOKUP($A50,REP_current!$A$1:$D$135,MATCH("FY "&amp;$BH$1&amp; " Total Refund",REP_current!$A$1:$D$1,0),0)</f>
        <v>211839.43490901371</v>
      </c>
      <c r="CZ50" s="432">
        <f>MIN(VLOOKUP($A50,TOCA_current!$A$2:$AI$137,MATCH("TRL - NLSL - Existing Resource "&amp;$BH$1,TOCA_current!$A$2:$AI$2,0),FALSE)*$BH$2, VLOOKUP($A50,TOCA_current!$A$2:$AI$137,MATCH("RHWM 2018",TOCA_current!$A$2:$AI$2,0),FALSE)*$BH$2)</f>
        <v>324890.88</v>
      </c>
      <c r="DA50" s="397">
        <f>SUM(BN50:CK50)+(BH50*RT1SC!$C$4*$BH$2)</f>
        <v>324895.07173990941</v>
      </c>
      <c r="DB50" s="432">
        <f>VLOOKUP($A50,TOCA_current!$A$2:$AI$137,MATCH("Above RHWM Not Served with LS "&amp;$BH$1,TOCA_current!$A$2:$AI$2,0),FALSE)*$BH$2</f>
        <v>46384.2</v>
      </c>
      <c r="DC50" s="401">
        <f t="shared" si="11"/>
        <v>4.1917399094090797</v>
      </c>
      <c r="DD50" s="397">
        <f>(VLOOKUP($A50,TOCA_current!$A$2:$AI$137,MATCH("RHWM 2018",TOCA_current!$A$2:$AI$2,0),FALSE)*$BH$2) - $CZ50</f>
        <v>0</v>
      </c>
      <c r="DE50" s="397">
        <f t="shared" si="12"/>
        <v>0</v>
      </c>
      <c r="DF50" s="397">
        <f t="shared" si="13"/>
        <v>0</v>
      </c>
      <c r="DG50" s="397">
        <f t="shared" si="14"/>
        <v>0</v>
      </c>
      <c r="DH50" s="397">
        <f t="shared" si="15"/>
        <v>0</v>
      </c>
    </row>
    <row r="51" spans="1:112">
      <c r="A51" s="274">
        <v>10116</v>
      </c>
      <c r="B51" s="275" t="s">
        <v>52</v>
      </c>
      <c r="C51" s="397">
        <v>0</v>
      </c>
      <c r="D51" s="397">
        <v>0</v>
      </c>
      <c r="E51" s="205">
        <f>VLOOKUP($A51,TOCA_previous!$A$2:$AI$137,MATCH(E$4,TOCA_previous!$A$2:$AI$2,0),FALSE)</f>
        <v>2.8399999999999999E-5</v>
      </c>
      <c r="F51" s="206">
        <f>VLOOKUP($A51,TOCA_previous!$A$2:$AI$137,MATCH(F$4,TOCA_previous!$A$2:$AI$2,0),FALSE)</f>
        <v>2.8399999999999999E-5</v>
      </c>
      <c r="G51" s="206">
        <f t="shared" si="0"/>
        <v>0</v>
      </c>
      <c r="H51" s="206">
        <f>VLOOKUP($A51,TOCA_previous!$A$2:$AI$137,MATCH(H$4,TOCA_previous!$A$2:$AI$2,0),FALSE)</f>
        <v>0</v>
      </c>
      <c r="I51" s="206">
        <f t="shared" si="1"/>
        <v>0</v>
      </c>
      <c r="J51" s="206">
        <f t="shared" si="2"/>
        <v>0</v>
      </c>
      <c r="K51" s="381">
        <f>VLOOKUP(A51, IRD!$A$5:$C$139, 3, FALSE)</f>
        <v>0</v>
      </c>
      <c r="L51" s="382">
        <f t="array" ref="L51">IF($G51=0, INDEX(LS_previous!$D$4:$AY$138, MATCH('Staging Table'!$A51, LS_previous!$B$4:$B$138, 0), MATCH(L$4&amp;L$5, LS_previous!$D$2:$AY$2&amp;LS_previous!$D$3:$AY$3, 0)),SUM(VLOOKUP($A51, LS_previous!$B$4:$AY$138, LS_previous!D$149, FALSE), VLOOKUP('Staging Table'!$A51, LS_previous!$B$4:$AY$138,LS_previous!AB$149, FALSE))/2)</f>
        <v>11.500650354111045</v>
      </c>
      <c r="M51" s="382">
        <f t="array" ref="M51">IF($G51=0, INDEX(LS_previous!$D$4:$AY$138, MATCH('Staging Table'!$A51, LS_previous!$B$4:$B$138, 0), MATCH(M$4&amp;M$5, LS_previous!$D$2:$AY$2&amp;LS_previous!$D$3:$AY$3, 0)),SUM(VLOOKUP($A51, LS_previous!$B$4:$AY$138, LS_previous!E$149, FALSE), VLOOKUP('Staging Table'!$A51, LS_previous!$B$4:$AY$138,LS_previous!AC$149, FALSE))/2)</f>
        <v>24.422040497600122</v>
      </c>
      <c r="N51" s="382">
        <f t="array" ref="N51">IF($G51=0, INDEX(LS_previous!$D$4:$AY$138, MATCH('Staging Table'!$A51, LS_previous!$B$4:$B$138, 0), MATCH(N$4&amp;N$5, LS_previous!$D$2:$AY$2&amp;LS_previous!$D$3:$AY$3, 0)),SUM(VLOOKUP($A51, LS_previous!$B$4:$AY$138, LS_previous!F$149, FALSE), VLOOKUP('Staging Table'!$A51, LS_previous!$B$4:$AY$138,LS_previous!AD$149, FALSE))/2)</f>
        <v>0.19276425808217823</v>
      </c>
      <c r="O51" s="382">
        <f t="array" ref="O51">IF($G51=0, INDEX(LS_previous!$D$4:$AY$138, MATCH('Staging Table'!$A51, LS_previous!$B$4:$B$138, 0), MATCH(O$4&amp;O$5, LS_previous!$D$2:$AY$2&amp;LS_previous!$D$3:$AY$3, 0)),SUM(VLOOKUP($A51, LS_previous!$B$4:$AY$138, LS_previous!G$149, FALSE), VLOOKUP('Staging Table'!$A51, LS_previous!$B$4:$AY$138,LS_previous!AE$149, FALSE))/2)</f>
        <v>20.752683814246595</v>
      </c>
      <c r="P51" s="382">
        <f t="array" ref="P51">IF($G51=0, INDEX(LS_previous!$D$4:$AY$138, MATCH('Staging Table'!$A51, LS_previous!$B$4:$B$138, 0), MATCH(P$4&amp;P$5, LS_previous!$D$2:$AY$2&amp;LS_previous!$D$3:$AY$3, 0)),SUM(VLOOKUP($A51, LS_previous!$B$4:$AY$138, LS_previous!H$149, FALSE), VLOOKUP('Staging Table'!$A51, LS_previous!$B$4:$AY$138,LS_previous!AF$149, FALSE))/2)</f>
        <v>11.281710150362969</v>
      </c>
      <c r="Q51" s="382">
        <f t="array" ref="Q51">IF($G51=0, INDEX(LS_previous!$D$4:$AY$138, MATCH('Staging Table'!$A51, LS_previous!$B$4:$B$138, 0), MATCH(Q$4&amp;Q$5, LS_previous!$D$2:$AY$2&amp;LS_previous!$D$3:$AY$3, 0)),SUM(VLOOKUP($A51, LS_previous!$B$4:$AY$138, LS_previous!I$149, FALSE), VLOOKUP('Staging Table'!$A51, LS_previous!$B$4:$AY$138,LS_previous!AG$149, FALSE))/2)</f>
        <v>25.658579419839157</v>
      </c>
      <c r="R51" s="382">
        <f t="array" ref="R51">IF($G51=0, INDEX(LS_previous!$D$4:$AY$138, MATCH('Staging Table'!$A51, LS_previous!$B$4:$B$138, 0), MATCH(R$4&amp;R$5, LS_previous!$D$2:$AY$2&amp;LS_previous!$D$3:$AY$3, 0)),SUM(VLOOKUP($A51, LS_previous!$B$4:$AY$138, LS_previous!J$149, FALSE), VLOOKUP('Staging Table'!$A51, LS_previous!$B$4:$AY$138,LS_previous!AH$149, FALSE))/2)</f>
        <v>26.57343264021182</v>
      </c>
      <c r="S51" s="382">
        <f t="array" ref="S51">IF($G51=0, INDEX(LS_previous!$D$4:$AY$138, MATCH('Staging Table'!$A51, LS_previous!$B$4:$B$138, 0), MATCH(S$4&amp;S$5, LS_previous!$D$2:$AY$2&amp;LS_previous!$D$3:$AY$3, 0)),SUM(VLOOKUP($A51, LS_previous!$B$4:$AY$138, LS_previous!K$149, FALSE), VLOOKUP('Staging Table'!$A51, LS_previous!$B$4:$AY$138,LS_previous!AI$149, FALSE))/2)</f>
        <v>31.746084288198922</v>
      </c>
      <c r="T51" s="382">
        <f t="array" ref="T51">IF($G51=0, INDEX(LS_previous!$D$4:$AY$138, MATCH('Staging Table'!$A51, LS_previous!$B$4:$B$138, 0), MATCH(T$4&amp;T$5, LS_previous!$D$2:$AY$2&amp;LS_previous!$D$3:$AY$3, 0)),SUM(VLOOKUP($A51, LS_previous!$B$4:$AY$138, LS_previous!L$149, FALSE), VLOOKUP('Staging Table'!$A51, LS_previous!$B$4:$AY$138,LS_previous!AJ$149, FALSE))/2)</f>
        <v>22.203554143520336</v>
      </c>
      <c r="U51" s="382">
        <f t="array" ref="U51">IF($G51=0, INDEX(LS_previous!$D$4:$AY$138, MATCH('Staging Table'!$A51, LS_previous!$B$4:$B$138, 0), MATCH(U$4&amp;U$5, LS_previous!$D$2:$AY$2&amp;LS_previous!$D$3:$AY$3, 0)),SUM(VLOOKUP($A51, LS_previous!$B$4:$AY$138, LS_previous!M$149, FALSE), VLOOKUP('Staging Table'!$A51, LS_previous!$B$4:$AY$138,LS_previous!AK$149, FALSE))/2)</f>
        <v>26.484076546882463</v>
      </c>
      <c r="V51" s="382">
        <f t="array" ref="V51">IF($G51=0, INDEX(LS_previous!$D$4:$AY$138, MATCH('Staging Table'!$A51, LS_previous!$B$4:$B$138, 0), MATCH(V$4&amp;V$5, LS_previous!$D$2:$AY$2&amp;LS_previous!$D$3:$AY$3, 0)),SUM(VLOOKUP($A51, LS_previous!$B$4:$AY$138, LS_previous!N$149, FALSE), VLOOKUP('Staging Table'!$A51, LS_previous!$B$4:$AY$138,LS_previous!AL$149, FALSE))/2)</f>
        <v>16.612493582498914</v>
      </c>
      <c r="W51" s="382">
        <f t="array" ref="W51">IF($G51=0, INDEX(LS_previous!$D$4:$AY$138, MATCH('Staging Table'!$A51, LS_previous!$B$4:$B$138, 0), MATCH(W$4&amp;W$5, LS_previous!$D$2:$AY$2&amp;LS_previous!$D$3:$AY$3, 0)),SUM(VLOOKUP($A51, LS_previous!$B$4:$AY$138, LS_previous!O$149, FALSE), VLOOKUP('Staging Table'!$A51, LS_previous!$B$4:$AY$138,LS_previous!AM$149, FALSE))/2)</f>
        <v>23.210541055887695</v>
      </c>
      <c r="X51" s="382">
        <f t="array" ref="X51">IF($G51=0, INDEX(LS_previous!$D$4:$AY$138, MATCH('Staging Table'!$A51, LS_previous!$B$4:$B$138, 0), MATCH(X$4&amp;X$5, LS_previous!$D$2:$AY$2&amp;LS_previous!$D$3:$AY$3, 0)),SUM(VLOOKUP($A51, LS_previous!$B$4:$AY$138, LS_previous!P$149, FALSE), VLOOKUP('Staging Table'!$A51, LS_previous!$B$4:$AY$138,LS_previous!AN$149, FALSE))/2)</f>
        <v>31.916510438752823</v>
      </c>
      <c r="Y51" s="382">
        <f t="array" ref="Y51">IF($G51=0, INDEX(LS_previous!$D$4:$AY$138, MATCH('Staging Table'!$A51, LS_previous!$B$4:$B$138, 0), MATCH(Y$4&amp;Y$5, LS_previous!$D$2:$AY$2&amp;LS_previous!$D$3:$AY$3, 0)),SUM(VLOOKUP($A51, LS_previous!$B$4:$AY$138, LS_previous!Q$149, FALSE), VLOOKUP('Staging Table'!$A51, LS_previous!$B$4:$AY$138,LS_previous!AO$149, FALSE))/2)</f>
        <v>32.35947845479248</v>
      </c>
      <c r="Z51" s="382">
        <f t="array" ref="Z51">IF($G51=0, INDEX(LS_previous!$D$4:$AY$138, MATCH('Staging Table'!$A51, LS_previous!$B$4:$B$138, 0), MATCH(Z$4&amp;Z$5, LS_previous!$D$2:$AY$2&amp;LS_previous!$D$3:$AY$3, 0)),SUM(VLOOKUP($A51, LS_previous!$B$4:$AY$138, LS_previous!R$149, FALSE), VLOOKUP('Staging Table'!$A51, LS_previous!$B$4:$AY$138,LS_previous!AP$149, FALSE))/2)</f>
        <v>-41.350433386897379</v>
      </c>
      <c r="AA51" s="382">
        <f t="array" ref="AA51">IF($G51=0, INDEX(LS_previous!$D$4:$AY$138, MATCH('Staging Table'!$A51, LS_previous!$B$4:$B$138, 0), MATCH(AA$4&amp;AA$5, LS_previous!$D$2:$AY$2&amp;LS_previous!$D$3:$AY$3, 0)),SUM(VLOOKUP($A51, LS_previous!$B$4:$AY$138, LS_previous!S$149, FALSE), VLOOKUP('Staging Table'!$A51, LS_previous!$B$4:$AY$138,LS_previous!AQ$149, FALSE))/2)</f>
        <v>-1.5542253349751292</v>
      </c>
      <c r="AB51" s="382">
        <f t="array" ref="AB51">IF($G51=0, INDEX(LS_previous!$D$4:$AY$138, MATCH('Staging Table'!$A51, LS_previous!$B$4:$B$138, 0), MATCH(AB$4&amp;AB$5, LS_previous!$D$2:$AY$2&amp;LS_previous!$D$3:$AY$3, 0)),SUM(VLOOKUP($A51, LS_previous!$B$4:$AY$138, LS_previous!T$149, FALSE), VLOOKUP('Staging Table'!$A51, LS_previous!$B$4:$AY$138,LS_previous!AR$149, FALSE))/2)</f>
        <v>-10.130370425749504</v>
      </c>
      <c r="AC51" s="382">
        <f t="array" ref="AC51">IF($G51=0, INDEX(LS_previous!$D$4:$AY$138, MATCH('Staging Table'!$A51, LS_previous!$B$4:$B$138, 0), MATCH(AC$4&amp;AC$5, LS_previous!$D$2:$AY$2&amp;LS_previous!$D$3:$AY$3, 0)),SUM(VLOOKUP($A51, LS_previous!$B$4:$AY$138, LS_previous!U$149, FALSE), VLOOKUP('Staging Table'!$A51, LS_previous!$B$4:$AY$138,LS_previous!AS$149, FALSE))/2)</f>
        <v>8.194705718270562</v>
      </c>
      <c r="AD51" s="382">
        <f t="array" ref="AD51">IF($G51=0, INDEX(LS_previous!$D$4:$AY$138, MATCH('Staging Table'!$A51, LS_previous!$B$4:$B$138, 0), MATCH(AD$4&amp;AD$5, LS_previous!$D$2:$AY$2&amp;LS_previous!$D$3:$AY$3, 0)),SUM(VLOOKUP($A51, LS_previous!$B$4:$AY$138, LS_previous!V$149, FALSE), VLOOKUP('Staging Table'!$A51, LS_previous!$B$4:$AY$138,LS_previous!AT$149, FALSE))/2)</f>
        <v>-11.454261214808085</v>
      </c>
      <c r="AE51" s="382">
        <f t="array" ref="AE51">IF($G51=0, INDEX(LS_previous!$D$4:$AY$138, MATCH('Staging Table'!$A51, LS_previous!$B$4:$B$138, 0), MATCH(AE$4&amp;AE$5, LS_previous!$D$2:$AY$2&amp;LS_previous!$D$3:$AY$3, 0)),SUM(VLOOKUP($A51, LS_previous!$B$4:$AY$138, LS_previous!W$149, FALSE), VLOOKUP('Staging Table'!$A51, LS_previous!$B$4:$AY$138,LS_previous!AU$149, FALSE))/2)</f>
        <v>7.6434619303840208</v>
      </c>
      <c r="AF51" s="382">
        <f t="array" ref="AF51">IF($G51=0, INDEX(LS_previous!$D$4:$AY$138, MATCH('Staging Table'!$A51, LS_previous!$B$4:$B$138, 0), MATCH(AF$4&amp;AF$5, LS_previous!$D$2:$AY$2&amp;LS_previous!$D$3:$AY$3, 0)),SUM(VLOOKUP($A51, LS_previous!$B$4:$AY$138, LS_previous!X$149, FALSE), VLOOKUP('Staging Table'!$A51, LS_previous!$B$4:$AY$138,LS_previous!AV$149, FALSE))/2)</f>
        <v>-27.916790924098521</v>
      </c>
      <c r="AG51" s="382">
        <f t="array" ref="AG51">IF($G51=0, INDEX(LS_previous!$D$4:$AY$138, MATCH('Staging Table'!$A51, LS_previous!$B$4:$B$138, 0), MATCH(AG$4&amp;AG$5, LS_previous!$D$2:$AY$2&amp;LS_previous!$D$3:$AY$3, 0)),SUM(VLOOKUP($A51, LS_previous!$B$4:$AY$138, LS_previous!Y$149, FALSE), VLOOKUP('Staging Table'!$A51, LS_previous!$B$4:$AY$138,LS_previous!AW$149, FALSE))/2)</f>
        <v>-2.0340394691430674E-2</v>
      </c>
      <c r="AH51" s="382">
        <f t="array" ref="AH51">IF($G51=0, INDEX(LS_previous!$D$4:$AY$138, MATCH('Staging Table'!$A51, LS_previous!$B$4:$B$138, 0), MATCH(AH$4&amp;AH$5, LS_previous!$D$2:$AY$2&amp;LS_previous!$D$3:$AY$3, 0)),SUM(VLOOKUP($A51, LS_previous!$B$4:$AY$138, LS_previous!Z$149, FALSE), VLOOKUP('Staging Table'!$A51, LS_previous!$B$4:$AY$138,LS_previous!AX$149, FALSE))/2)</f>
        <v>4.7778089967144268</v>
      </c>
      <c r="AI51" s="382">
        <f t="array" ref="AI51">IF($G51=0, INDEX(LS_previous!$D$4:$AY$138, MATCH('Staging Table'!$A51, LS_previous!$B$4:$B$138, 0), MATCH(AI$4&amp;AI$5, LS_previous!$D$2:$AY$2&amp;LS_previous!$D$3:$AY$3, 0)),SUM(VLOOKUP($A51, LS_previous!$B$4:$AY$138, LS_previous!AA$149, FALSE), VLOOKUP('Staging Table'!$A51, LS_previous!$B$4:$AY$138,LS_previous!AY$149, FALSE))/2)</f>
        <v>12.564360115301533</v>
      </c>
      <c r="AJ51" s="384">
        <f t="array" ref="AJ51">INDEX(Demand_previous!$D$4:$AY$138, MATCH('Staging Table'!$A51, Demand_previous!$B$4:$B$138, 0), MATCH(AJ$4&amp;AJ$5,Demand_previous!$D$2:$AY$2&amp;Demand_previous!$D$3:$AY$3, 0))/1000</f>
        <v>0.25196296296296294</v>
      </c>
      <c r="AK51" s="384">
        <f t="array" ref="AK51">INDEX(Demand_previous!$D$4:$AY$138, MATCH('Staging Table'!$A51, Demand_previous!$B$4:$B$138, 0), MATCH(AK$4&amp;AK$5,Demand_previous!$D$2:$AY$2&amp;Demand_previous!$D$3:$AY$3, 0))/1000</f>
        <v>0</v>
      </c>
      <c r="AL51" s="384">
        <f t="array" ref="AL51">INDEX(Demand_previous!$D$4:$AY$138, MATCH('Staging Table'!$A51, Demand_previous!$B$4:$B$138, 0), MATCH(AL$4&amp;AL$5,Demand_previous!$D$2:$AY$2&amp;Demand_previous!$D$3:$AY$3, 0))/1000</f>
        <v>6.0233173076923052E-2</v>
      </c>
      <c r="AM51" s="384">
        <f t="array" ref="AM51">INDEX(Demand_previous!$D$4:$AY$138, MATCH('Staging Table'!$A51, Demand_previous!$B$4:$B$138, 0), MATCH(AM$4&amp;AM$5,Demand_previous!$D$2:$AY$2&amp;Demand_previous!$D$3:$AY$3, 0))/1000</f>
        <v>4.1385000000000033E-2</v>
      </c>
      <c r="AN51" s="384">
        <f t="array" ref="AN51">INDEX(Demand_previous!$D$4:$AY$138, MATCH('Staging Table'!$A51, Demand_previous!$B$4:$B$138, 0), MATCH(AN$4&amp;AN$5,Demand_previous!$D$2:$AY$2&amp;Demand_previous!$D$3:$AY$3, 0))/1000</f>
        <v>6.5884999999999957E-2</v>
      </c>
      <c r="AO51" s="384">
        <f t="array" ref="AO51">INDEX(Demand_previous!$D$4:$AY$138, MATCH('Staging Table'!$A51, Demand_previous!$B$4:$B$138, 0), MATCH(AO$4&amp;AO$5,Demand_previous!$D$2:$AY$2&amp;Demand_previous!$D$3:$AY$3, 0))/1000</f>
        <v>0.17853240740740745</v>
      </c>
      <c r="AP51" s="384">
        <f t="array" ref="AP51">INDEX(Demand_previous!$D$4:$AY$138, MATCH('Staging Table'!$A51, Demand_previous!$B$4:$B$138, 0), MATCH(AP$4&amp;AP$5,Demand_previous!$D$2:$AY$2&amp;Demand_previous!$D$3:$AY$3, 0))/1000</f>
        <v>0.73967307692307693</v>
      </c>
      <c r="AQ51" s="384">
        <f t="array" ref="AQ51">INDEX(Demand_previous!$D$4:$AY$138, MATCH('Staging Table'!$A51, Demand_previous!$B$4:$B$138, 0), MATCH(AQ$4&amp;AQ$5,Demand_previous!$D$2:$AY$2&amp;Demand_previous!$D$3:$AY$3, 0))/1000</f>
        <v>0.52765249999999997</v>
      </c>
      <c r="AR51" s="384">
        <f t="array" ref="AR51">INDEX(Demand_previous!$D$4:$AY$138, MATCH('Staging Table'!$A51, Demand_previous!$B$4:$B$138, 0), MATCH(AR$4&amp;AR$5,Demand_previous!$D$2:$AY$2&amp;Demand_previous!$D$3:$AY$3, 0))/1000</f>
        <v>0.44526923076923075</v>
      </c>
      <c r="AS51" s="384">
        <f t="array" ref="AS51">INDEX(Demand_previous!$D$4:$AY$138, MATCH('Staging Table'!$A51, Demand_previous!$B$4:$B$138, 0), MATCH(AS$4&amp;AS$5,Demand_previous!$D$2:$AY$2&amp;Demand_previous!$D$3:$AY$3, 0))/1000</f>
        <v>0.45929749999999997</v>
      </c>
      <c r="AT51" s="384">
        <f t="array" ref="AT51">INDEX(Demand_previous!$D$4:$AY$138, MATCH('Staging Table'!$A51, Demand_previous!$B$4:$B$138, 0), MATCH(AT$4&amp;AT$5,Demand_previous!$D$2:$AY$2&amp;Demand_previous!$D$3:$AY$3, 0))/1000</f>
        <v>0.39448379629629626</v>
      </c>
      <c r="AU51" s="384">
        <f t="array" ref="AU51">INDEX(Demand_previous!$D$4:$AY$138, MATCH('Staging Table'!$A51, Demand_previous!$B$4:$B$138, 0), MATCH(AU$4&amp;AU$5,Demand_previous!$D$2:$AY$2&amp;Demand_previous!$D$3:$AY$3, 0))/1000</f>
        <v>0.24551749999999994</v>
      </c>
      <c r="AV51" s="384">
        <f>IF($D51=0,IF(C51=0, MAX(AY51 - (VLOOKUP($A51,TOCA_previous!$A$2:$AI$137,MATCH("RHWM 2016",TOCA_previous!$A$2:$AI$2,0),FALSE)*$F$2*TOCA_previous!C48),0),0), 0)</f>
        <v>11.308004100437984</v>
      </c>
      <c r="AW51" s="427">
        <f>VLOOKUP($A51,REP_previous!$A$1:$D$135,MATCH("FY "&amp;$F$1&amp; " Total Refund",REP_previous!$A$1:$D$1,0),0)</f>
        <v>2934.5632493620033</v>
      </c>
      <c r="AX51" s="398">
        <f>MIN(VLOOKUP($A51,TOCA_previous!$A$2:$AI$137,MATCH("TRL - NLSL - Exisiting Resource "&amp;$F$1,TOCA_previous!$A$2:$AI$2,0),FALSE)*$F$2,(VLOOKUP($A51,TOCA_previous!$A$2:$AI$137,MATCH("RHWM 2016",TOCA_previous!$A$2:$AI$2,0),FALSE)*$F$2))</f>
        <v>1739.232</v>
      </c>
      <c r="AY51" s="384">
        <f>SUM(L51:AI51)+(F51*RT1SC!$C$3*$F$2)</f>
        <v>1987.7080041004381</v>
      </c>
      <c r="AZ51" s="398">
        <f>VLOOKUP($A51,TOCA_previous!$A$2:$AI$137,MATCH("Above RHWM Not Served with LS "&amp;$F$1,TOCA_previous!$A$2:$AI$2,0),FALSE)*$F$2</f>
        <v>0</v>
      </c>
      <c r="BA51" s="206">
        <f t="shared" si="3"/>
        <v>248.4760041004381</v>
      </c>
      <c r="BB51" s="399">
        <f>(VLOOKUP($A51,TOCA_previous!$A$2:$AI$137,MATCH("RHWM 2016",TOCA_previous!$A$2:$AI$2,0),FALSE)*$F$2) - $AX51</f>
        <v>237.16800000000012</v>
      </c>
      <c r="BC51" s="206">
        <f t="shared" si="4"/>
        <v>-237.16800000000012</v>
      </c>
      <c r="BD51" s="400">
        <f t="shared" si="5"/>
        <v>0</v>
      </c>
      <c r="BE51" s="392">
        <f t="shared" si="6"/>
        <v>0</v>
      </c>
      <c r="BF51" s="399">
        <f t="shared" si="7"/>
        <v>-237.16800000000012</v>
      </c>
      <c r="BG51" s="206">
        <f>VLOOKUP($A51,TOCA_current!$A$2:$AI$137,MATCH(BG$4,TOCA_current!$A$2:$AI$2,0),FALSE)</f>
        <v>3.2299999999999999E-5</v>
      </c>
      <c r="BH51" s="206">
        <f>VLOOKUP($A51,TOCA_current!$A$2:$AI$137,MATCH(BH$4,TOCA_current!$A$2:$AI$2,0),FALSE)</f>
        <v>3.2299999999999999E-5</v>
      </c>
      <c r="BI51" s="391">
        <f t="shared" si="8"/>
        <v>0</v>
      </c>
      <c r="BJ51" s="206">
        <f>VLOOKUP($A51,TOCA_current!A47:BG182,MATCH(BJ$4,TOCA_current!$A$2:$BG$2,0),FALSE)</f>
        <v>0</v>
      </c>
      <c r="BK51" s="206">
        <f t="shared" si="9"/>
        <v>0</v>
      </c>
      <c r="BL51" s="206">
        <f t="shared" si="10"/>
        <v>0</v>
      </c>
      <c r="BM51" s="381">
        <f>VLOOKUP($A51,IRD!$A$4:$G$139, 7, FALSE)</f>
        <v>0</v>
      </c>
      <c r="BN51" s="382">
        <f t="array" ref="BN51">IF($BI51=0, INDEX(LS_current!$D$4:$AY$139, MATCH('Staging Table'!$A51, LS_current!$B$4:$B$139, 0), MATCH(BN$4&amp;BN$5, LS_current!$D$2:$AY$2&amp;LS_current!$D$3:$AY$3, 0)),SUM(VLOOKUP($A51, LS_current!$B$4:$AY$139, LS_current!D$149, FALSE), VLOOKUP($A51, LS_current!$B$4:$AY$139,LS_current!D$149, FALSE))/2)</f>
        <v>-0.85678096303195161</v>
      </c>
      <c r="BO51" s="382">
        <f t="array" ref="BO51">IF($BI51=0, INDEX(LS_current!$D$4:$AY$139, MATCH('Staging Table'!$A51, LS_current!$B$4:$B$139, 0), MATCH(BO$4&amp;BO$5, LS_current!$D$2:$AY$2&amp;LS_current!$D$3:$AY$3, 0)),SUM(VLOOKUP($A51, LS_current!$B$4:$AY$139, LS_current!E$149, FALSE), VLOOKUP($A51, LS_current!$B$4:$AY$139,LS_current!E$149, FALSE))/2)</f>
        <v>20.556321237851108</v>
      </c>
      <c r="BP51" s="382">
        <f t="array" ref="BP51">IF($BI51=0, INDEX(LS_current!$D$4:$AY$139, MATCH('Staging Table'!$A51, LS_current!$B$4:$B$139, 0), MATCH(BP$4&amp;BP$5, LS_current!$D$2:$AY$2&amp;LS_current!$D$3:$AY$3, 0)),SUM(VLOOKUP($A51, LS_current!$B$4:$AY$139, LS_current!F$149, FALSE), VLOOKUP($A51, LS_current!$B$4:$AY$139,LS_current!F$149, FALSE))/2)</f>
        <v>-16.169303507441668</v>
      </c>
      <c r="BQ51" s="382">
        <f t="array" ref="BQ51">IF($BI51=0, INDEX(LS_current!$D$4:$AY$139, MATCH('Staging Table'!$A51, LS_current!$B$4:$B$139, 0), MATCH(BQ$4&amp;BQ$5, LS_current!$D$2:$AY$2&amp;LS_current!$D$3:$AY$3, 0)),SUM(VLOOKUP($A51, LS_current!$B$4:$AY$139, LS_current!G$149, FALSE), VLOOKUP($A51, LS_current!$B$4:$AY$139,LS_current!G$149, FALSE))/2)</f>
        <v>12.946282056074466</v>
      </c>
      <c r="BR51" s="382">
        <f t="array" ref="BR51">IF($BI51=0, INDEX(LS_current!$D$4:$AY$139, MATCH('Staging Table'!$A51, LS_current!$B$4:$B$139, 0), MATCH(BR$4&amp;BR$5, LS_current!$D$2:$AY$2&amp;LS_current!$D$3:$AY$3, 0)),SUM(VLOOKUP($A51, LS_current!$B$4:$AY$139, LS_current!H$149, FALSE), VLOOKUP($A51, LS_current!$B$4:$AY$139,LS_current!H$149, FALSE))/2)</f>
        <v>-5.8925996032390913</v>
      </c>
      <c r="BS51" s="382">
        <f t="array" ref="BS51">IF($BI51=0, INDEX(LS_current!$D$4:$AY$139, MATCH('Staging Table'!$A51, LS_current!$B$4:$B$139, 0), MATCH(BS$4&amp;BS$5, LS_current!$D$2:$AY$2&amp;LS_current!$D$3:$AY$3, 0)),SUM(VLOOKUP($A51, LS_current!$B$4:$AY$139, LS_current!I$149, FALSE), VLOOKUP($A51, LS_current!$B$4:$AY$139,LS_current!I$149, FALSE))/2)</f>
        <v>16.661386331383369</v>
      </c>
      <c r="BT51" s="382">
        <f t="array" ref="BT51">IF($BI51=0, INDEX(LS_current!$D$4:$AY$139, MATCH('Staging Table'!$A51, LS_current!$B$4:$B$139, 0), MATCH(BT$4&amp;BT$5, LS_current!$D$2:$AY$2&amp;LS_current!$D$3:$AY$3, 0)),SUM(VLOOKUP($A51, LS_current!$B$4:$AY$139, LS_current!J$149, FALSE), VLOOKUP($A51, LS_current!$B$4:$AY$139,LS_current!J$149, FALSE))/2)</f>
        <v>13.826676033309596</v>
      </c>
      <c r="BU51" s="382">
        <f t="array" ref="BU51">IF($BI51=0, INDEX(LS_current!$D$4:$AY$139, MATCH('Staging Table'!$A51, LS_current!$B$4:$B$139, 0), MATCH(BU$4&amp;BU$5, LS_current!$D$2:$AY$2&amp;LS_current!$D$3:$AY$3, 0)),SUM(VLOOKUP($A51, LS_current!$B$4:$AY$139, LS_current!K$149, FALSE), VLOOKUP($A51, LS_current!$B$4:$AY$139,LS_current!K$149, FALSE))/2)</f>
        <v>24.249374677022402</v>
      </c>
      <c r="BV51" s="382">
        <f t="array" ref="BV51">IF($BI51=0, INDEX(LS_current!$D$4:$AY$139, MATCH('Staging Table'!$A51, LS_current!$B$4:$B$139, 0), MATCH(BV$4&amp;BV$5, LS_current!$D$2:$AY$2&amp;LS_current!$D$3:$AY$3, 0)),SUM(VLOOKUP($A51, LS_current!$B$4:$AY$139, LS_current!L$149, FALSE), VLOOKUP($A51, LS_current!$B$4:$AY$139,LS_current!L$149, FALSE))/2)</f>
        <v>18.221371293882157</v>
      </c>
      <c r="BW51" s="382">
        <f t="array" ref="BW51">IF($BI51=0, INDEX(LS_current!$D$4:$AY$139, MATCH('Staging Table'!$A51, LS_current!$B$4:$B$139, 0), MATCH(BW$4&amp;BW$5, LS_current!$D$2:$AY$2&amp;LS_current!$D$3:$AY$3, 0)),SUM(VLOOKUP($A51, LS_current!$B$4:$AY$139, LS_current!M$149, FALSE), VLOOKUP($A51, LS_current!$B$4:$AY$139,LS_current!M$149, FALSE))/2)</f>
        <v>25.363579077922495</v>
      </c>
      <c r="BX51" s="382">
        <f t="array" ref="BX51">IF($BI51=0, INDEX(LS_current!$D$4:$AY$139, MATCH('Staging Table'!$A51, LS_current!$B$4:$B$139, 0), MATCH(BX$4&amp;BX$5, LS_current!$D$2:$AY$2&amp;LS_current!$D$3:$AY$3, 0)),SUM(VLOOKUP($A51, LS_current!$B$4:$AY$139, LS_current!N$149, FALSE), VLOOKUP($A51, LS_current!$B$4:$AY$139,LS_current!N$149, FALSE))/2)</f>
        <v>9.4906680578814502</v>
      </c>
      <c r="BY51" s="382">
        <f t="array" ref="BY51">IF($BI51=0, INDEX(LS_current!$D$4:$AY$139, MATCH('Staging Table'!$A51, LS_current!$B$4:$B$139, 0), MATCH(BY$4&amp;BY$5, LS_current!$D$2:$AY$2&amp;LS_current!$D$3:$AY$3, 0)),SUM(VLOOKUP($A51, LS_current!$B$4:$AY$139, LS_current!O$149, FALSE), VLOOKUP($A51, LS_current!$B$4:$AY$139,LS_current!O$149, FALSE))/2)</f>
        <v>21.532538332002254</v>
      </c>
      <c r="BZ51" s="382">
        <f t="array" ref="BZ51">IF($BI51=0, INDEX(LS_current!$D$4:$AY$139, MATCH('Staging Table'!$A51, LS_current!$B$4:$B$139, 0), MATCH(BZ$4&amp;BZ$5, LS_current!$D$2:$AY$2&amp;LS_current!$D$3:$AY$3, 0)),SUM(VLOOKUP($A51, LS_current!$B$4:$AY$139, LS_current!P$149, FALSE), VLOOKUP($A51, LS_current!$B$4:$AY$139,LS_current!P$149, FALSE))/2)</f>
        <v>11.8345070826159</v>
      </c>
      <c r="CA51" s="382">
        <f t="array" ref="CA51">IF($BI51=0, INDEX(LS_current!$D$4:$AY$139, MATCH('Staging Table'!$A51, LS_current!$B$4:$B$139, 0), MATCH(CA$4&amp;CA$5, LS_current!$D$2:$AY$2&amp;LS_current!$D$3:$AY$3, 0)),SUM(VLOOKUP($A51, LS_current!$B$4:$AY$139, LS_current!Q$149, FALSE), VLOOKUP($A51, LS_current!$B$4:$AY$139,LS_current!Q$149, FALSE))/2)</f>
        <v>25.383617987828906</v>
      </c>
      <c r="CB51" s="382">
        <f t="array" ref="CB51">IF($BI51=0, INDEX(LS_current!$D$4:$AY$139, MATCH('Staging Table'!$A51, LS_current!$B$4:$B$139, 0), MATCH(CB$4&amp;CB$5, LS_current!$D$2:$AY$2&amp;LS_current!$D$3:$AY$3, 0)),SUM(VLOOKUP($A51, LS_current!$B$4:$AY$139, LS_current!R$149, FALSE), VLOOKUP($A51, LS_current!$B$4:$AY$139,LS_current!R$149, FALSE))/2)</f>
        <v>-56.925614659030714</v>
      </c>
      <c r="CC51" s="382">
        <f t="array" ref="CC51">IF($BI51=0, INDEX(LS_current!$D$4:$AY$139, MATCH('Staging Table'!$A51, LS_current!$B$4:$B$139, 0), MATCH(CC$4&amp;CC$5, LS_current!$D$2:$AY$2&amp;LS_current!$D$3:$AY$3, 0)),SUM(VLOOKUP($A51, LS_current!$B$4:$AY$139, LS_current!S$149, FALSE), VLOOKUP($A51, LS_current!$B$4:$AY$139,LS_current!S$149, FALSE))/2)</f>
        <v>-12.083075955381887</v>
      </c>
      <c r="CD51" s="382">
        <f t="array" ref="CD51">IF($BI51=0, INDEX(LS_current!$D$4:$AY$139, MATCH('Staging Table'!$A51, LS_current!$B$4:$B$139, 0), MATCH(CD$4&amp;CD$5, LS_current!$D$2:$AY$2&amp;LS_current!$D$3:$AY$3, 0)),SUM(VLOOKUP($A51, LS_current!$B$4:$AY$139, LS_current!T$149, FALSE), VLOOKUP($A51, LS_current!$B$4:$AY$139,LS_current!T$149, FALSE))/2)</f>
        <v>-23.149400749180899</v>
      </c>
      <c r="CE51" s="382">
        <f t="array" ref="CE51">IF($BI51=0, INDEX(LS_current!$D$4:$AY$139, MATCH('Staging Table'!$A51, LS_current!$B$4:$B$139, 0), MATCH(CE$4&amp;CE$5, LS_current!$D$2:$AY$2&amp;LS_current!$D$3:$AY$3, 0)),SUM(VLOOKUP($A51, LS_current!$B$4:$AY$139, LS_current!U$149, FALSE), VLOOKUP($A51, LS_current!$B$4:$AY$139,LS_current!U$149, FALSE))/2)</f>
        <v>5.0033499363607064</v>
      </c>
      <c r="CF51" s="382">
        <f t="array" ref="CF51">IF($BI51=0, INDEX(LS_current!$D$4:$AY$139, MATCH('Staging Table'!$A51, LS_current!$B$4:$B$139, 0), MATCH(CF$4&amp;CF$5, LS_current!$D$2:$AY$2&amp;LS_current!$D$3:$AY$3, 0)),SUM(VLOOKUP($A51, LS_current!$B$4:$AY$139, LS_current!V$149, FALSE), VLOOKUP($A51, LS_current!$B$4:$AY$139,LS_current!V$149, FALSE))/2)</f>
        <v>-17.690973821765255</v>
      </c>
      <c r="CG51" s="382">
        <f t="array" ref="CG51">IF($BI51=0, INDEX(LS_current!$D$4:$AY$139, MATCH('Staging Table'!$A51, LS_current!$B$4:$B$139, 0), MATCH(CG$4&amp;CG$5, LS_current!$D$2:$AY$2&amp;LS_current!$D$3:$AY$3, 0)),SUM(VLOOKUP($A51, LS_current!$B$4:$AY$139, LS_current!W$149, FALSE), VLOOKUP($A51, LS_current!$B$4:$AY$139,LS_current!W$149, FALSE))/2)</f>
        <v>4.8482466823146027</v>
      </c>
      <c r="CH51" s="382">
        <f t="array" ref="CH51">IF($BI51=0, INDEX(LS_current!$D$4:$AY$139, MATCH('Staging Table'!$A51, LS_current!$B$4:$B$139, 0), MATCH(CH$4&amp;CH$5, LS_current!$D$2:$AY$2&amp;LS_current!$D$3:$AY$3, 0)),SUM(VLOOKUP($A51, LS_current!$B$4:$AY$139, LS_current!X$149, FALSE), VLOOKUP($A51, LS_current!$B$4:$AY$139,LS_current!X$149, FALSE))/2)</f>
        <v>-40.827998596235318</v>
      </c>
      <c r="CI51" s="382">
        <f t="array" ref="CI51">IF($BI51=0, INDEX(LS_current!$D$4:$AY$139, MATCH('Staging Table'!$A51, LS_current!$B$4:$B$139, 0), MATCH(CI$4&amp;CI$5, LS_current!$D$2:$AY$2&amp;LS_current!$D$3:$AY$3, 0)),SUM(VLOOKUP($A51, LS_current!$B$4:$AY$139, LS_current!Y$149, FALSE), VLOOKUP($A51, LS_current!$B$4:$AY$139,LS_current!Y$149, FALSE))/2)</f>
        <v>-5.0741100526876011</v>
      </c>
      <c r="CJ51" s="382">
        <f t="array" ref="CJ51">IF($BI51=0, INDEX(LS_current!$D$4:$AY$139, MATCH('Staging Table'!$A51, LS_current!$B$4:$B$139, 0), MATCH(CJ$4&amp;CJ$5, LS_current!$D$2:$AY$2&amp;LS_current!$D$3:$AY$3, 0)),SUM(VLOOKUP($A51, LS_current!$B$4:$AY$139, LS_current!Z$149, FALSE), VLOOKUP($A51, LS_current!$B$4:$AY$139,LS_current!Z$149, FALSE))/2)</f>
        <v>-14.724417123576345</v>
      </c>
      <c r="CK51" s="382">
        <f t="array" ref="CK51">IF($BI51=0, INDEX(LS_current!$D$4:$AY$139, MATCH('Staging Table'!$A51, LS_current!$B$4:$B$139, 0), MATCH(CK$4&amp;CK$5, LS_current!$D$2:$AY$2&amp;LS_current!$D$3:$AY$3, 0)),SUM(VLOOKUP($A51, LS_current!$B$4:$AY$139, LS_current!AA$149, FALSE), VLOOKUP($A51, LS_current!$B$4:$AY$139,LS_current!AA$149, FALSE))/2)</f>
        <v>6.154098905212507</v>
      </c>
      <c r="CL51" s="384">
        <f t="array" ref="CL51">INDEX(Demand_current!$D$4:$AY$138, MATCH($A51, Demand_current!$B$4:$B$138, 0), MATCH(CL$4&amp;CL$5,Demand_current!$D$2:$AY$2&amp;Demand_current!$D$3:$AY$3, 0))/1000</f>
        <v>0.24326923076923079</v>
      </c>
      <c r="CM51" s="384">
        <f t="array" ref="CM51">INDEX(Demand_current!$D$4:$AY$138, MATCH($A51, Demand_current!$B$4:$B$138, 0), MATCH(CM$4&amp;CM$5,Demand_current!$D$2:$AY$2&amp;Demand_current!$D$3:$AY$3, 0))/1000</f>
        <v>0</v>
      </c>
      <c r="CN51" s="384">
        <f t="array" ref="CN51">INDEX(Demand_current!$D$4:$AY$138, MATCH($A51, Demand_current!$B$4:$B$138, 0), MATCH(CN$4&amp;CN$5,Demand_current!$D$2:$AY$2&amp;Demand_current!$D$3:$AY$3, 0))/1000</f>
        <v>4.9722500000000003E-2</v>
      </c>
      <c r="CO51" s="384">
        <f t="array" ref="CO51">INDEX(Demand_current!$D$4:$AY$138, MATCH($A51, Demand_current!$B$4:$B$138, 0), MATCH(CO$4&amp;CO$5,Demand_current!$D$2:$AY$2&amp;Demand_current!$D$3:$AY$3, 0))/1000</f>
        <v>5.2100961538461582E-2</v>
      </c>
      <c r="CP51" s="384">
        <f t="array" ref="CP51">INDEX(Demand_current!$D$4:$AY$138, MATCH($A51, Demand_current!$B$4:$B$138, 0), MATCH(CP$4&amp;CP$5,Demand_current!$D$2:$AY$2&amp;Demand_current!$D$3:$AY$3, 0))/1000</f>
        <v>5.5463541666666658E-2</v>
      </c>
      <c r="CQ51" s="384">
        <f t="array" ref="CQ51">INDEX(Demand_current!$D$4:$AY$138, MATCH($A51, Demand_current!$B$4:$B$138, 0), MATCH(CQ$4&amp;CQ$5,Demand_current!$D$2:$AY$2&amp;Demand_current!$D$3:$AY$3, 0))/1000</f>
        <v>0.17853240740740745</v>
      </c>
      <c r="CR51" s="384">
        <f t="array" ref="CR51">INDEX(Demand_current!$D$4:$AY$138, MATCH($A51, Demand_current!$B$4:$B$138, 0), MATCH(CR$4&amp;CR$5,Demand_current!$D$2:$AY$2&amp;Demand_current!$D$3:$AY$3, 0))/1000</f>
        <v>0.72941999999999996</v>
      </c>
      <c r="CS51" s="384">
        <f t="array" ref="CS51">INDEX(Demand_current!$D$4:$AY$138, MATCH($A51, Demand_current!$B$4:$B$138, 0), MATCH(CS$4&amp;CS$5,Demand_current!$D$2:$AY$2&amp;Demand_current!$D$3:$AY$3, 0))/1000</f>
        <v>0.5354350961538461</v>
      </c>
      <c r="CT51" s="384">
        <f t="array" ref="CT51">INDEX(Demand_current!$D$4:$AY$138, MATCH($A51, Demand_current!$B$4:$B$138, 0), MATCH(CT$4&amp;CT$5,Demand_current!$D$2:$AY$2&amp;Demand_current!$D$3:$AY$3, 0))/1000</f>
        <v>0.44526923076923075</v>
      </c>
      <c r="CU51" s="384">
        <f t="array" ref="CU51">INDEX(Demand_current!$D$4:$AY$138, MATCH($A51, Demand_current!$B$4:$B$138, 0), MATCH(CU$4&amp;CU$5,Demand_current!$D$2:$AY$2&amp;Demand_current!$D$3:$AY$3, 0))/1000</f>
        <v>0.45929749999999997</v>
      </c>
      <c r="CV51" s="384">
        <f t="array" ref="CV51">INDEX(Demand_current!$D$4:$AY$138, MATCH($A51, Demand_current!$B$4:$B$138, 0), MATCH(CV$4&amp;CV$5,Demand_current!$D$2:$AY$2&amp;Demand_current!$D$3:$AY$3, 0))/1000</f>
        <v>0.39448379629629626</v>
      </c>
      <c r="CW51" s="384">
        <f t="array" ref="CW51">INDEX(Demand_current!$D$4:$AY$138, MATCH($A51, Demand_current!$B$4:$B$138, 0), MATCH(CW$4&amp;CW$5,Demand_current!$D$2:$AY$2&amp;Demand_current!$D$3:$AY$3, 0))/1000</f>
        <v>0.23703906249999995</v>
      </c>
      <c r="CX51" s="384">
        <f>IF(D51=0,IF(C51=0,MAX(0,DA51 - (VLOOKUP($A51,TOCA_current!$A$2:$AI$137,MATCH("RHWM 2018",TOCA_current!$A$2:$AI$2,0),FALSE)*$BH$2)), 0),0)</f>
        <v>25.468028668090938</v>
      </c>
      <c r="CY51" s="427">
        <f>VLOOKUP($A51,REP_current!$A$1:$D$135,MATCH("FY "&amp;$BH$1&amp; " Total Refund",REP_current!$A$1:$D$1,0),0)</f>
        <v>3106.5164304322193</v>
      </c>
      <c r="CZ51" s="432">
        <f>MIN(VLOOKUP($A51,TOCA_current!$A$2:$AI$137,MATCH("TRL - NLSL - Existing Resource "&amp;$BH$1,TOCA_current!$A$2:$AI$2,0),FALSE)*$BH$2, VLOOKUP($A51,TOCA_current!$A$2:$AI$137,MATCH("RHWM 2018",TOCA_current!$A$2:$AI$2,0),FALSE)*$BH$2)</f>
        <v>1962.24</v>
      </c>
      <c r="DA51" s="397">
        <f>SUM(BN51:CK51)+(BH51*RT1SC!$C$4*$BH$2)</f>
        <v>1987.7080286680909</v>
      </c>
      <c r="DB51" s="432">
        <f>VLOOKUP($A51,TOCA_current!$A$2:$AI$137,MATCH("Above RHWM Not Served with LS "&amp;$BH$1,TOCA_current!$A$2:$AI$2,0),FALSE)*$BH$2</f>
        <v>0</v>
      </c>
      <c r="DC51" s="401">
        <f t="shared" si="11"/>
        <v>25.468028668090938</v>
      </c>
      <c r="DD51" s="397">
        <f>(VLOOKUP($A51,TOCA_current!$A$2:$AI$137,MATCH("RHWM 2018",TOCA_current!$A$2:$AI$2,0),FALSE)*$BH$2) - $CZ51</f>
        <v>0</v>
      </c>
      <c r="DE51" s="397">
        <f t="shared" si="12"/>
        <v>0</v>
      </c>
      <c r="DF51" s="397">
        <f t="shared" si="13"/>
        <v>0</v>
      </c>
      <c r="DG51" s="397">
        <f t="shared" si="14"/>
        <v>0</v>
      </c>
      <c r="DH51" s="397">
        <f t="shared" si="15"/>
        <v>0</v>
      </c>
    </row>
    <row r="52" spans="1:112">
      <c r="A52" s="274">
        <v>10118</v>
      </c>
      <c r="B52" s="275" t="s">
        <v>53</v>
      </c>
      <c r="C52" s="397">
        <v>1</v>
      </c>
      <c r="D52" s="397">
        <v>0</v>
      </c>
      <c r="E52" s="205">
        <f>VLOOKUP($A52,TOCA_previous!$A$2:$AI$137,MATCH(E$4,TOCA_previous!$A$2:$AI$2,0),FALSE)</f>
        <v>6.4767999999999996E-3</v>
      </c>
      <c r="F52" s="206">
        <f>VLOOKUP($A52,TOCA_previous!$A$2:$AI$137,MATCH(F$4,TOCA_previous!$A$2:$AI$2,0),FALSE)</f>
        <v>6.4767999999999996E-3</v>
      </c>
      <c r="G52" s="206">
        <f t="shared" si="0"/>
        <v>0</v>
      </c>
      <c r="H52" s="206">
        <f>VLOOKUP($A52,TOCA_previous!$A$2:$AI$137,MATCH(H$4,TOCA_previous!$A$2:$AI$2,0),FALSE)</f>
        <v>6.5680000000000002E-2</v>
      </c>
      <c r="I52" s="206">
        <f t="shared" si="1"/>
        <v>6.5680000000000002E-2</v>
      </c>
      <c r="J52" s="206">
        <f t="shared" si="2"/>
        <v>6.4767999999999996E-3</v>
      </c>
      <c r="K52" s="381">
        <f>VLOOKUP(A52, IRD!$A$5:$C$139, 3, FALSE)</f>
        <v>0</v>
      </c>
      <c r="L52" s="382">
        <f t="array" ref="L52">IF($G52=0, INDEX(LS_previous!$D$4:$AY$138, MATCH('Staging Table'!$A52, LS_previous!$B$4:$B$138, 0), MATCH(L$4&amp;L$5, LS_previous!$D$2:$AY$2&amp;LS_previous!$D$3:$AY$3, 0)),SUM(VLOOKUP($A52, LS_previous!$B$4:$AY$138, LS_previous!D$149, FALSE), VLOOKUP('Staging Table'!$A52, LS_previous!$B$4:$AY$138,LS_previous!AB$149, FALSE))/2)</f>
        <v>0</v>
      </c>
      <c r="M52" s="382">
        <f t="array" ref="M52">IF($G52=0, INDEX(LS_previous!$D$4:$AY$138, MATCH('Staging Table'!$A52, LS_previous!$B$4:$B$138, 0), MATCH(M$4&amp;M$5, LS_previous!$D$2:$AY$2&amp;LS_previous!$D$3:$AY$3, 0)),SUM(VLOOKUP($A52, LS_previous!$B$4:$AY$138, LS_previous!E$149, FALSE), VLOOKUP('Staging Table'!$A52, LS_previous!$B$4:$AY$138,LS_previous!AC$149, FALSE))/2)</f>
        <v>0</v>
      </c>
      <c r="N52" s="382">
        <f t="array" ref="N52">IF($G52=0, INDEX(LS_previous!$D$4:$AY$138, MATCH('Staging Table'!$A52, LS_previous!$B$4:$B$138, 0), MATCH(N$4&amp;N$5, LS_previous!$D$2:$AY$2&amp;LS_previous!$D$3:$AY$3, 0)),SUM(VLOOKUP($A52, LS_previous!$B$4:$AY$138, LS_previous!F$149, FALSE), VLOOKUP('Staging Table'!$A52, LS_previous!$B$4:$AY$138,LS_previous!AD$149, FALSE))/2)</f>
        <v>0</v>
      </c>
      <c r="O52" s="382">
        <f t="array" ref="O52">IF($G52=0, INDEX(LS_previous!$D$4:$AY$138, MATCH('Staging Table'!$A52, LS_previous!$B$4:$B$138, 0), MATCH(O$4&amp;O$5, LS_previous!$D$2:$AY$2&amp;LS_previous!$D$3:$AY$3, 0)),SUM(VLOOKUP($A52, LS_previous!$B$4:$AY$138, LS_previous!G$149, FALSE), VLOOKUP('Staging Table'!$A52, LS_previous!$B$4:$AY$138,LS_previous!AE$149, FALSE))/2)</f>
        <v>0</v>
      </c>
      <c r="P52" s="382">
        <f t="array" ref="P52">IF($G52=0, INDEX(LS_previous!$D$4:$AY$138, MATCH('Staging Table'!$A52, LS_previous!$B$4:$B$138, 0), MATCH(P$4&amp;P$5, LS_previous!$D$2:$AY$2&amp;LS_previous!$D$3:$AY$3, 0)),SUM(VLOOKUP($A52, LS_previous!$B$4:$AY$138, LS_previous!H$149, FALSE), VLOOKUP('Staging Table'!$A52, LS_previous!$B$4:$AY$138,LS_previous!AF$149, FALSE))/2)</f>
        <v>0</v>
      </c>
      <c r="Q52" s="382">
        <f t="array" ref="Q52">IF($G52=0, INDEX(LS_previous!$D$4:$AY$138, MATCH('Staging Table'!$A52, LS_previous!$B$4:$B$138, 0), MATCH(Q$4&amp;Q$5, LS_previous!$D$2:$AY$2&amp;LS_previous!$D$3:$AY$3, 0)),SUM(VLOOKUP($A52, LS_previous!$B$4:$AY$138, LS_previous!I$149, FALSE), VLOOKUP('Staging Table'!$A52, LS_previous!$B$4:$AY$138,LS_previous!AG$149, FALSE))/2)</f>
        <v>0</v>
      </c>
      <c r="R52" s="382">
        <f t="array" ref="R52">IF($G52=0, INDEX(LS_previous!$D$4:$AY$138, MATCH('Staging Table'!$A52, LS_previous!$B$4:$B$138, 0), MATCH(R$4&amp;R$5, LS_previous!$D$2:$AY$2&amp;LS_previous!$D$3:$AY$3, 0)),SUM(VLOOKUP($A52, LS_previous!$B$4:$AY$138, LS_previous!J$149, FALSE), VLOOKUP('Staging Table'!$A52, LS_previous!$B$4:$AY$138,LS_previous!AH$149, FALSE))/2)</f>
        <v>0</v>
      </c>
      <c r="S52" s="382">
        <f t="array" ref="S52">IF($G52=0, INDEX(LS_previous!$D$4:$AY$138, MATCH('Staging Table'!$A52, LS_previous!$B$4:$B$138, 0), MATCH(S$4&amp;S$5, LS_previous!$D$2:$AY$2&amp;LS_previous!$D$3:$AY$3, 0)),SUM(VLOOKUP($A52, LS_previous!$B$4:$AY$138, LS_previous!K$149, FALSE), VLOOKUP('Staging Table'!$A52, LS_previous!$B$4:$AY$138,LS_previous!AI$149, FALSE))/2)</f>
        <v>0</v>
      </c>
      <c r="T52" s="382">
        <f t="array" ref="T52">IF($G52=0, INDEX(LS_previous!$D$4:$AY$138, MATCH('Staging Table'!$A52, LS_previous!$B$4:$B$138, 0), MATCH(T$4&amp;T$5, LS_previous!$D$2:$AY$2&amp;LS_previous!$D$3:$AY$3, 0)),SUM(VLOOKUP($A52, LS_previous!$B$4:$AY$138, LS_previous!L$149, FALSE), VLOOKUP('Staging Table'!$A52, LS_previous!$B$4:$AY$138,LS_previous!AJ$149, FALSE))/2)</f>
        <v>0</v>
      </c>
      <c r="U52" s="382">
        <f t="array" ref="U52">IF($G52=0, INDEX(LS_previous!$D$4:$AY$138, MATCH('Staging Table'!$A52, LS_previous!$B$4:$B$138, 0), MATCH(U$4&amp;U$5, LS_previous!$D$2:$AY$2&amp;LS_previous!$D$3:$AY$3, 0)),SUM(VLOOKUP($A52, LS_previous!$B$4:$AY$138, LS_previous!M$149, FALSE), VLOOKUP('Staging Table'!$A52, LS_previous!$B$4:$AY$138,LS_previous!AK$149, FALSE))/2)</f>
        <v>0</v>
      </c>
      <c r="V52" s="382">
        <f t="array" ref="V52">IF($G52=0, INDEX(LS_previous!$D$4:$AY$138, MATCH('Staging Table'!$A52, LS_previous!$B$4:$B$138, 0), MATCH(V$4&amp;V$5, LS_previous!$D$2:$AY$2&amp;LS_previous!$D$3:$AY$3, 0)),SUM(VLOOKUP($A52, LS_previous!$B$4:$AY$138, LS_previous!N$149, FALSE), VLOOKUP('Staging Table'!$A52, LS_previous!$B$4:$AY$138,LS_previous!AL$149, FALSE))/2)</f>
        <v>0</v>
      </c>
      <c r="W52" s="382">
        <f t="array" ref="W52">IF($G52=0, INDEX(LS_previous!$D$4:$AY$138, MATCH('Staging Table'!$A52, LS_previous!$B$4:$B$138, 0), MATCH(W$4&amp;W$5, LS_previous!$D$2:$AY$2&amp;LS_previous!$D$3:$AY$3, 0)),SUM(VLOOKUP($A52, LS_previous!$B$4:$AY$138, LS_previous!O$149, FALSE), VLOOKUP('Staging Table'!$A52, LS_previous!$B$4:$AY$138,LS_previous!AM$149, FALSE))/2)</f>
        <v>0</v>
      </c>
      <c r="X52" s="382">
        <f t="array" ref="X52">IF($G52=0, INDEX(LS_previous!$D$4:$AY$138, MATCH('Staging Table'!$A52, LS_previous!$B$4:$B$138, 0), MATCH(X$4&amp;X$5, LS_previous!$D$2:$AY$2&amp;LS_previous!$D$3:$AY$3, 0)),SUM(VLOOKUP($A52, LS_previous!$B$4:$AY$138, LS_previous!P$149, FALSE), VLOOKUP('Staging Table'!$A52, LS_previous!$B$4:$AY$138,LS_previous!AN$149, FALSE))/2)</f>
        <v>0</v>
      </c>
      <c r="Y52" s="382">
        <f t="array" ref="Y52">IF($G52=0, INDEX(LS_previous!$D$4:$AY$138, MATCH('Staging Table'!$A52, LS_previous!$B$4:$B$138, 0), MATCH(Y$4&amp;Y$5, LS_previous!$D$2:$AY$2&amp;LS_previous!$D$3:$AY$3, 0)),SUM(VLOOKUP($A52, LS_previous!$B$4:$AY$138, LS_previous!Q$149, FALSE), VLOOKUP('Staging Table'!$A52, LS_previous!$B$4:$AY$138,LS_previous!AO$149, FALSE))/2)</f>
        <v>0</v>
      </c>
      <c r="Z52" s="382">
        <f t="array" ref="Z52">IF($G52=0, INDEX(LS_previous!$D$4:$AY$138, MATCH('Staging Table'!$A52, LS_previous!$B$4:$B$138, 0), MATCH(Z$4&amp;Z$5, LS_previous!$D$2:$AY$2&amp;LS_previous!$D$3:$AY$3, 0)),SUM(VLOOKUP($A52, LS_previous!$B$4:$AY$138, LS_previous!R$149, FALSE), VLOOKUP('Staging Table'!$A52, LS_previous!$B$4:$AY$138,LS_previous!AP$149, FALSE))/2)</f>
        <v>0</v>
      </c>
      <c r="AA52" s="382">
        <f t="array" ref="AA52">IF($G52=0, INDEX(LS_previous!$D$4:$AY$138, MATCH('Staging Table'!$A52, LS_previous!$B$4:$B$138, 0), MATCH(AA$4&amp;AA$5, LS_previous!$D$2:$AY$2&amp;LS_previous!$D$3:$AY$3, 0)),SUM(VLOOKUP($A52, LS_previous!$B$4:$AY$138, LS_previous!S$149, FALSE), VLOOKUP('Staging Table'!$A52, LS_previous!$B$4:$AY$138,LS_previous!AQ$149, FALSE))/2)</f>
        <v>0</v>
      </c>
      <c r="AB52" s="382">
        <f t="array" ref="AB52">IF($G52=0, INDEX(LS_previous!$D$4:$AY$138, MATCH('Staging Table'!$A52, LS_previous!$B$4:$B$138, 0), MATCH(AB$4&amp;AB$5, LS_previous!$D$2:$AY$2&amp;LS_previous!$D$3:$AY$3, 0)),SUM(VLOOKUP($A52, LS_previous!$B$4:$AY$138, LS_previous!T$149, FALSE), VLOOKUP('Staging Table'!$A52, LS_previous!$B$4:$AY$138,LS_previous!AR$149, FALSE))/2)</f>
        <v>0</v>
      </c>
      <c r="AC52" s="382">
        <f t="array" ref="AC52">IF($G52=0, INDEX(LS_previous!$D$4:$AY$138, MATCH('Staging Table'!$A52, LS_previous!$B$4:$B$138, 0), MATCH(AC$4&amp;AC$5, LS_previous!$D$2:$AY$2&amp;LS_previous!$D$3:$AY$3, 0)),SUM(VLOOKUP($A52, LS_previous!$B$4:$AY$138, LS_previous!U$149, FALSE), VLOOKUP('Staging Table'!$A52, LS_previous!$B$4:$AY$138,LS_previous!AS$149, FALSE))/2)</f>
        <v>0</v>
      </c>
      <c r="AD52" s="382">
        <f t="array" ref="AD52">IF($G52=0, INDEX(LS_previous!$D$4:$AY$138, MATCH('Staging Table'!$A52, LS_previous!$B$4:$B$138, 0), MATCH(AD$4&amp;AD$5, LS_previous!$D$2:$AY$2&amp;LS_previous!$D$3:$AY$3, 0)),SUM(VLOOKUP($A52, LS_previous!$B$4:$AY$138, LS_previous!V$149, FALSE), VLOOKUP('Staging Table'!$A52, LS_previous!$B$4:$AY$138,LS_previous!AT$149, FALSE))/2)</f>
        <v>0</v>
      </c>
      <c r="AE52" s="382">
        <f t="array" ref="AE52">IF($G52=0, INDEX(LS_previous!$D$4:$AY$138, MATCH('Staging Table'!$A52, LS_previous!$B$4:$B$138, 0), MATCH(AE$4&amp;AE$5, LS_previous!$D$2:$AY$2&amp;LS_previous!$D$3:$AY$3, 0)),SUM(VLOOKUP($A52, LS_previous!$B$4:$AY$138, LS_previous!W$149, FALSE), VLOOKUP('Staging Table'!$A52, LS_previous!$B$4:$AY$138,LS_previous!AU$149, FALSE))/2)</f>
        <v>0</v>
      </c>
      <c r="AF52" s="382">
        <f t="array" ref="AF52">IF($G52=0, INDEX(LS_previous!$D$4:$AY$138, MATCH('Staging Table'!$A52, LS_previous!$B$4:$B$138, 0), MATCH(AF$4&amp;AF$5, LS_previous!$D$2:$AY$2&amp;LS_previous!$D$3:$AY$3, 0)),SUM(VLOOKUP($A52, LS_previous!$B$4:$AY$138, LS_previous!X$149, FALSE), VLOOKUP('Staging Table'!$A52, LS_previous!$B$4:$AY$138,LS_previous!AV$149, FALSE))/2)</f>
        <v>0</v>
      </c>
      <c r="AG52" s="382">
        <f t="array" ref="AG52">IF($G52=0, INDEX(LS_previous!$D$4:$AY$138, MATCH('Staging Table'!$A52, LS_previous!$B$4:$B$138, 0), MATCH(AG$4&amp;AG$5, LS_previous!$D$2:$AY$2&amp;LS_previous!$D$3:$AY$3, 0)),SUM(VLOOKUP($A52, LS_previous!$B$4:$AY$138, LS_previous!Y$149, FALSE), VLOOKUP('Staging Table'!$A52, LS_previous!$B$4:$AY$138,LS_previous!AW$149, FALSE))/2)</f>
        <v>0</v>
      </c>
      <c r="AH52" s="382">
        <f t="array" ref="AH52">IF($G52=0, INDEX(LS_previous!$D$4:$AY$138, MATCH('Staging Table'!$A52, LS_previous!$B$4:$B$138, 0), MATCH(AH$4&amp;AH$5, LS_previous!$D$2:$AY$2&amp;LS_previous!$D$3:$AY$3, 0)),SUM(VLOOKUP($A52, LS_previous!$B$4:$AY$138, LS_previous!Z$149, FALSE), VLOOKUP('Staging Table'!$A52, LS_previous!$B$4:$AY$138,LS_previous!AX$149, FALSE))/2)</f>
        <v>0</v>
      </c>
      <c r="AI52" s="382">
        <f t="array" ref="AI52">IF($G52=0, INDEX(LS_previous!$D$4:$AY$138, MATCH('Staging Table'!$A52, LS_previous!$B$4:$B$138, 0), MATCH(AI$4&amp;AI$5, LS_previous!$D$2:$AY$2&amp;LS_previous!$D$3:$AY$3, 0)),SUM(VLOOKUP($A52, LS_previous!$B$4:$AY$138, LS_previous!AA$149, FALSE), VLOOKUP('Staging Table'!$A52, LS_previous!$B$4:$AY$138,LS_previous!AY$149, FALSE))/2)</f>
        <v>0</v>
      </c>
      <c r="AJ52" s="384">
        <f t="array" ref="AJ52">INDEX(Demand_previous!$D$4:$AY$138, MATCH('Staging Table'!$A52, Demand_previous!$B$4:$B$138, 0), MATCH(AJ$4&amp;AJ$5,Demand_previous!$D$2:$AY$2&amp;Demand_previous!$D$3:$AY$3, 0))/1000</f>
        <v>0</v>
      </c>
      <c r="AK52" s="384">
        <f t="array" ref="AK52">INDEX(Demand_previous!$D$4:$AY$138, MATCH('Staging Table'!$A52, Demand_previous!$B$4:$B$138, 0), MATCH(AK$4&amp;AK$5,Demand_previous!$D$2:$AY$2&amp;Demand_previous!$D$3:$AY$3, 0))/1000</f>
        <v>0</v>
      </c>
      <c r="AL52" s="384">
        <f t="array" ref="AL52">INDEX(Demand_previous!$D$4:$AY$138, MATCH('Staging Table'!$A52, Demand_previous!$B$4:$B$138, 0), MATCH(AL$4&amp;AL$5,Demand_previous!$D$2:$AY$2&amp;Demand_previous!$D$3:$AY$3, 0))/1000</f>
        <v>0</v>
      </c>
      <c r="AM52" s="384">
        <f t="array" ref="AM52">INDEX(Demand_previous!$D$4:$AY$138, MATCH('Staging Table'!$A52, Demand_previous!$B$4:$B$138, 0), MATCH(AM$4&amp;AM$5,Demand_previous!$D$2:$AY$2&amp;Demand_previous!$D$3:$AY$3, 0))/1000</f>
        <v>0</v>
      </c>
      <c r="AN52" s="384">
        <f t="array" ref="AN52">INDEX(Demand_previous!$D$4:$AY$138, MATCH('Staging Table'!$A52, Demand_previous!$B$4:$B$138, 0), MATCH(AN$4&amp;AN$5,Demand_previous!$D$2:$AY$2&amp;Demand_previous!$D$3:$AY$3, 0))/1000</f>
        <v>0</v>
      </c>
      <c r="AO52" s="384">
        <f t="array" ref="AO52">INDEX(Demand_previous!$D$4:$AY$138, MATCH('Staging Table'!$A52, Demand_previous!$B$4:$B$138, 0), MATCH(AO$4&amp;AO$5,Demand_previous!$D$2:$AY$2&amp;Demand_previous!$D$3:$AY$3, 0))/1000</f>
        <v>0</v>
      </c>
      <c r="AP52" s="384">
        <f t="array" ref="AP52">INDEX(Demand_previous!$D$4:$AY$138, MATCH('Staging Table'!$A52, Demand_previous!$B$4:$B$138, 0), MATCH(AP$4&amp;AP$5,Demand_previous!$D$2:$AY$2&amp;Demand_previous!$D$3:$AY$3, 0))/1000</f>
        <v>0</v>
      </c>
      <c r="AQ52" s="384">
        <f t="array" ref="AQ52">INDEX(Demand_previous!$D$4:$AY$138, MATCH('Staging Table'!$A52, Demand_previous!$B$4:$B$138, 0), MATCH(AQ$4&amp;AQ$5,Demand_previous!$D$2:$AY$2&amp;Demand_previous!$D$3:$AY$3, 0))/1000</f>
        <v>0</v>
      </c>
      <c r="AR52" s="384">
        <f t="array" ref="AR52">INDEX(Demand_previous!$D$4:$AY$138, MATCH('Staging Table'!$A52, Demand_previous!$B$4:$B$138, 0), MATCH(AR$4&amp;AR$5,Demand_previous!$D$2:$AY$2&amp;Demand_previous!$D$3:$AY$3, 0))/1000</f>
        <v>0</v>
      </c>
      <c r="AS52" s="384">
        <f t="array" ref="AS52">INDEX(Demand_previous!$D$4:$AY$138, MATCH('Staging Table'!$A52, Demand_previous!$B$4:$B$138, 0), MATCH(AS$4&amp;AS$5,Demand_previous!$D$2:$AY$2&amp;Demand_previous!$D$3:$AY$3, 0))/1000</f>
        <v>0</v>
      </c>
      <c r="AT52" s="384">
        <f t="array" ref="AT52">INDEX(Demand_previous!$D$4:$AY$138, MATCH('Staging Table'!$A52, Demand_previous!$B$4:$B$138, 0), MATCH(AT$4&amp;AT$5,Demand_previous!$D$2:$AY$2&amp;Demand_previous!$D$3:$AY$3, 0))/1000</f>
        <v>0</v>
      </c>
      <c r="AU52" s="384">
        <f t="array" ref="AU52">INDEX(Demand_previous!$D$4:$AY$138, MATCH('Staging Table'!$A52, Demand_previous!$B$4:$B$138, 0), MATCH(AU$4&amp;AU$5,Demand_previous!$D$2:$AY$2&amp;Demand_previous!$D$3:$AY$3, 0))/1000</f>
        <v>0</v>
      </c>
      <c r="AV52" s="384">
        <f>IF($D52=0,IF(C52=0, MAX(AY52 - (VLOOKUP($A52,TOCA_previous!$A$2:$AI$137,MATCH("RHWM 2016",TOCA_previous!$A$2:$AI$2,0),FALSE)*$F$2*TOCA_previous!C49),0),0), 0)</f>
        <v>0</v>
      </c>
      <c r="AW52" s="427">
        <f>VLOOKUP($A52,REP_previous!$A$1:$D$135,MATCH("FY "&amp;$F$1&amp; " Total Refund",REP_previous!$A$1:$D$1,0),0)</f>
        <v>499059.38441628258</v>
      </c>
      <c r="AX52" s="398">
        <f>MIN(VLOOKUP($A52,TOCA_previous!$A$2:$AI$137,MATCH("TRL - NLSL - Exisiting Resource "&amp;$F$1,TOCA_previous!$A$2:$AI$2,0),FALSE)*$F$2,(VLOOKUP($A52,TOCA_previous!$A$2:$AI$137,MATCH("RHWM 2016",TOCA_previous!$A$2:$AI$2,0),FALSE)*$F$2))</f>
        <v>397282.75200000004</v>
      </c>
      <c r="AY52" s="384">
        <f>SUM(L52:AI52)+(F52*RT1SC!$C$3*$F$2)</f>
        <v>397283.14664755197</v>
      </c>
      <c r="AZ52" s="398">
        <f>VLOOKUP($A52,TOCA_previous!$A$2:$AI$137,MATCH("Above RHWM Not Served with LS "&amp;$F$1,TOCA_previous!$A$2:$AI$2,0),FALSE)*$F$2</f>
        <v>4128.4799999999996</v>
      </c>
      <c r="BA52" s="206">
        <f t="shared" si="3"/>
        <v>0.39464755193330348</v>
      </c>
      <c r="BB52" s="399">
        <f>(VLOOKUP($A52,TOCA_previous!$A$2:$AI$137,MATCH("RHWM 2016",TOCA_previous!$A$2:$AI$2,0),FALSE)*$F$2) - $AX52</f>
        <v>0</v>
      </c>
      <c r="BC52" s="206">
        <f t="shared" si="4"/>
        <v>0</v>
      </c>
      <c r="BD52" s="400">
        <f t="shared" si="5"/>
        <v>0</v>
      </c>
      <c r="BE52" s="392">
        <f t="shared" si="6"/>
        <v>0</v>
      </c>
      <c r="BF52" s="399">
        <f t="shared" si="7"/>
        <v>0</v>
      </c>
      <c r="BG52" s="206">
        <f>VLOOKUP($A52,TOCA_current!$A$2:$AI$137,MATCH(BG$4,TOCA_current!$A$2:$AI$2,0),FALSE)</f>
        <v>6.4710999999999996E-3</v>
      </c>
      <c r="BH52" s="206">
        <f>VLOOKUP($A52,TOCA_current!$A$2:$AI$137,MATCH(BH$4,TOCA_current!$A$2:$AI$2,0),FALSE)</f>
        <v>6.4710999999999996E-3</v>
      </c>
      <c r="BI52" s="391">
        <f t="shared" si="8"/>
        <v>0</v>
      </c>
      <c r="BJ52" s="206">
        <f>VLOOKUP($A52,TOCA_current!A48:BG183,MATCH(BJ$4,TOCA_current!$A$2:$BG$2,0),FALSE)</f>
        <v>6.6935203934046866E-2</v>
      </c>
      <c r="BK52" s="206">
        <f t="shared" si="9"/>
        <v>6.6935203934046866E-2</v>
      </c>
      <c r="BL52" s="206">
        <f t="shared" si="10"/>
        <v>6.4710999999999996E-3</v>
      </c>
      <c r="BM52" s="381">
        <f>VLOOKUP($A52,IRD!$A$4:$G$139, 7, FALSE)</f>
        <v>0</v>
      </c>
      <c r="BN52" s="382">
        <f t="array" ref="BN52">IF($BI52=0, INDEX(LS_current!$D$4:$AY$139, MATCH('Staging Table'!$A52, LS_current!$B$4:$B$139, 0), MATCH(BN$4&amp;BN$5, LS_current!$D$2:$AY$2&amp;LS_current!$D$3:$AY$3, 0)),SUM(VLOOKUP($A52, LS_current!$B$4:$AY$139, LS_current!D$149, FALSE), VLOOKUP($A52, LS_current!$B$4:$AY$139,LS_current!D$149, FALSE))/2)</f>
        <v>0</v>
      </c>
      <c r="BO52" s="382">
        <f t="array" ref="BO52">IF($BI52=0, INDEX(LS_current!$D$4:$AY$139, MATCH('Staging Table'!$A52, LS_current!$B$4:$B$139, 0), MATCH(BO$4&amp;BO$5, LS_current!$D$2:$AY$2&amp;LS_current!$D$3:$AY$3, 0)),SUM(VLOOKUP($A52, LS_current!$B$4:$AY$139, LS_current!E$149, FALSE), VLOOKUP($A52, LS_current!$B$4:$AY$139,LS_current!E$149, FALSE))/2)</f>
        <v>0</v>
      </c>
      <c r="BP52" s="382">
        <f t="array" ref="BP52">IF($BI52=0, INDEX(LS_current!$D$4:$AY$139, MATCH('Staging Table'!$A52, LS_current!$B$4:$B$139, 0), MATCH(BP$4&amp;BP$5, LS_current!$D$2:$AY$2&amp;LS_current!$D$3:$AY$3, 0)),SUM(VLOOKUP($A52, LS_current!$B$4:$AY$139, LS_current!F$149, FALSE), VLOOKUP($A52, LS_current!$B$4:$AY$139,LS_current!F$149, FALSE))/2)</f>
        <v>0</v>
      </c>
      <c r="BQ52" s="382">
        <f t="array" ref="BQ52">IF($BI52=0, INDEX(LS_current!$D$4:$AY$139, MATCH('Staging Table'!$A52, LS_current!$B$4:$B$139, 0), MATCH(BQ$4&amp;BQ$5, LS_current!$D$2:$AY$2&amp;LS_current!$D$3:$AY$3, 0)),SUM(VLOOKUP($A52, LS_current!$B$4:$AY$139, LS_current!G$149, FALSE), VLOOKUP($A52, LS_current!$B$4:$AY$139,LS_current!G$149, FALSE))/2)</f>
        <v>0</v>
      </c>
      <c r="BR52" s="382">
        <f t="array" ref="BR52">IF($BI52=0, INDEX(LS_current!$D$4:$AY$139, MATCH('Staging Table'!$A52, LS_current!$B$4:$B$139, 0), MATCH(BR$4&amp;BR$5, LS_current!$D$2:$AY$2&amp;LS_current!$D$3:$AY$3, 0)),SUM(VLOOKUP($A52, LS_current!$B$4:$AY$139, LS_current!H$149, FALSE), VLOOKUP($A52, LS_current!$B$4:$AY$139,LS_current!H$149, FALSE))/2)</f>
        <v>0</v>
      </c>
      <c r="BS52" s="382">
        <f t="array" ref="BS52">IF($BI52=0, INDEX(LS_current!$D$4:$AY$139, MATCH('Staging Table'!$A52, LS_current!$B$4:$B$139, 0), MATCH(BS$4&amp;BS$5, LS_current!$D$2:$AY$2&amp;LS_current!$D$3:$AY$3, 0)),SUM(VLOOKUP($A52, LS_current!$B$4:$AY$139, LS_current!I$149, FALSE), VLOOKUP($A52, LS_current!$B$4:$AY$139,LS_current!I$149, FALSE))/2)</f>
        <v>0</v>
      </c>
      <c r="BT52" s="382">
        <f t="array" ref="BT52">IF($BI52=0, INDEX(LS_current!$D$4:$AY$139, MATCH('Staging Table'!$A52, LS_current!$B$4:$B$139, 0), MATCH(BT$4&amp;BT$5, LS_current!$D$2:$AY$2&amp;LS_current!$D$3:$AY$3, 0)),SUM(VLOOKUP($A52, LS_current!$B$4:$AY$139, LS_current!J$149, FALSE), VLOOKUP($A52, LS_current!$B$4:$AY$139,LS_current!J$149, FALSE))/2)</f>
        <v>0</v>
      </c>
      <c r="BU52" s="382">
        <f t="array" ref="BU52">IF($BI52=0, INDEX(LS_current!$D$4:$AY$139, MATCH('Staging Table'!$A52, LS_current!$B$4:$B$139, 0), MATCH(BU$4&amp;BU$5, LS_current!$D$2:$AY$2&amp;LS_current!$D$3:$AY$3, 0)),SUM(VLOOKUP($A52, LS_current!$B$4:$AY$139, LS_current!K$149, FALSE), VLOOKUP($A52, LS_current!$B$4:$AY$139,LS_current!K$149, FALSE))/2)</f>
        <v>0</v>
      </c>
      <c r="BV52" s="382">
        <f t="array" ref="BV52">IF($BI52=0, INDEX(LS_current!$D$4:$AY$139, MATCH('Staging Table'!$A52, LS_current!$B$4:$B$139, 0), MATCH(BV$4&amp;BV$5, LS_current!$D$2:$AY$2&amp;LS_current!$D$3:$AY$3, 0)),SUM(VLOOKUP($A52, LS_current!$B$4:$AY$139, LS_current!L$149, FALSE), VLOOKUP($A52, LS_current!$B$4:$AY$139,LS_current!L$149, FALSE))/2)</f>
        <v>0</v>
      </c>
      <c r="BW52" s="382">
        <f t="array" ref="BW52">IF($BI52=0, INDEX(LS_current!$D$4:$AY$139, MATCH('Staging Table'!$A52, LS_current!$B$4:$B$139, 0), MATCH(BW$4&amp;BW$5, LS_current!$D$2:$AY$2&amp;LS_current!$D$3:$AY$3, 0)),SUM(VLOOKUP($A52, LS_current!$B$4:$AY$139, LS_current!M$149, FALSE), VLOOKUP($A52, LS_current!$B$4:$AY$139,LS_current!M$149, FALSE))/2)</f>
        <v>0</v>
      </c>
      <c r="BX52" s="382">
        <f t="array" ref="BX52">IF($BI52=0, INDEX(LS_current!$D$4:$AY$139, MATCH('Staging Table'!$A52, LS_current!$B$4:$B$139, 0), MATCH(BX$4&amp;BX$5, LS_current!$D$2:$AY$2&amp;LS_current!$D$3:$AY$3, 0)),SUM(VLOOKUP($A52, LS_current!$B$4:$AY$139, LS_current!N$149, FALSE), VLOOKUP($A52, LS_current!$B$4:$AY$139,LS_current!N$149, FALSE))/2)</f>
        <v>0</v>
      </c>
      <c r="BY52" s="382">
        <f t="array" ref="BY52">IF($BI52=0, INDEX(LS_current!$D$4:$AY$139, MATCH('Staging Table'!$A52, LS_current!$B$4:$B$139, 0), MATCH(BY$4&amp;BY$5, LS_current!$D$2:$AY$2&amp;LS_current!$D$3:$AY$3, 0)),SUM(VLOOKUP($A52, LS_current!$B$4:$AY$139, LS_current!O$149, FALSE), VLOOKUP($A52, LS_current!$B$4:$AY$139,LS_current!O$149, FALSE))/2)</f>
        <v>0</v>
      </c>
      <c r="BZ52" s="382">
        <f t="array" ref="BZ52">IF($BI52=0, INDEX(LS_current!$D$4:$AY$139, MATCH('Staging Table'!$A52, LS_current!$B$4:$B$139, 0), MATCH(BZ$4&amp;BZ$5, LS_current!$D$2:$AY$2&amp;LS_current!$D$3:$AY$3, 0)),SUM(VLOOKUP($A52, LS_current!$B$4:$AY$139, LS_current!P$149, FALSE), VLOOKUP($A52, LS_current!$B$4:$AY$139,LS_current!P$149, FALSE))/2)</f>
        <v>0</v>
      </c>
      <c r="CA52" s="382">
        <f t="array" ref="CA52">IF($BI52=0, INDEX(LS_current!$D$4:$AY$139, MATCH('Staging Table'!$A52, LS_current!$B$4:$B$139, 0), MATCH(CA$4&amp;CA$5, LS_current!$D$2:$AY$2&amp;LS_current!$D$3:$AY$3, 0)),SUM(VLOOKUP($A52, LS_current!$B$4:$AY$139, LS_current!Q$149, FALSE), VLOOKUP($A52, LS_current!$B$4:$AY$139,LS_current!Q$149, FALSE))/2)</f>
        <v>0</v>
      </c>
      <c r="CB52" s="382">
        <f t="array" ref="CB52">IF($BI52=0, INDEX(LS_current!$D$4:$AY$139, MATCH('Staging Table'!$A52, LS_current!$B$4:$B$139, 0), MATCH(CB$4&amp;CB$5, LS_current!$D$2:$AY$2&amp;LS_current!$D$3:$AY$3, 0)),SUM(VLOOKUP($A52, LS_current!$B$4:$AY$139, LS_current!R$149, FALSE), VLOOKUP($A52, LS_current!$B$4:$AY$139,LS_current!R$149, FALSE))/2)</f>
        <v>0</v>
      </c>
      <c r="CC52" s="382">
        <f t="array" ref="CC52">IF($BI52=0, INDEX(LS_current!$D$4:$AY$139, MATCH('Staging Table'!$A52, LS_current!$B$4:$B$139, 0), MATCH(CC$4&amp;CC$5, LS_current!$D$2:$AY$2&amp;LS_current!$D$3:$AY$3, 0)),SUM(VLOOKUP($A52, LS_current!$B$4:$AY$139, LS_current!S$149, FALSE), VLOOKUP($A52, LS_current!$B$4:$AY$139,LS_current!S$149, FALSE))/2)</f>
        <v>0</v>
      </c>
      <c r="CD52" s="382">
        <f t="array" ref="CD52">IF($BI52=0, INDEX(LS_current!$D$4:$AY$139, MATCH('Staging Table'!$A52, LS_current!$B$4:$B$139, 0), MATCH(CD$4&amp;CD$5, LS_current!$D$2:$AY$2&amp;LS_current!$D$3:$AY$3, 0)),SUM(VLOOKUP($A52, LS_current!$B$4:$AY$139, LS_current!T$149, FALSE), VLOOKUP($A52, LS_current!$B$4:$AY$139,LS_current!T$149, FALSE))/2)</f>
        <v>0</v>
      </c>
      <c r="CE52" s="382">
        <f t="array" ref="CE52">IF($BI52=0, INDEX(LS_current!$D$4:$AY$139, MATCH('Staging Table'!$A52, LS_current!$B$4:$B$139, 0), MATCH(CE$4&amp;CE$5, LS_current!$D$2:$AY$2&amp;LS_current!$D$3:$AY$3, 0)),SUM(VLOOKUP($A52, LS_current!$B$4:$AY$139, LS_current!U$149, FALSE), VLOOKUP($A52, LS_current!$B$4:$AY$139,LS_current!U$149, FALSE))/2)</f>
        <v>0</v>
      </c>
      <c r="CF52" s="382">
        <f t="array" ref="CF52">IF($BI52=0, INDEX(LS_current!$D$4:$AY$139, MATCH('Staging Table'!$A52, LS_current!$B$4:$B$139, 0), MATCH(CF$4&amp;CF$5, LS_current!$D$2:$AY$2&amp;LS_current!$D$3:$AY$3, 0)),SUM(VLOOKUP($A52, LS_current!$B$4:$AY$139, LS_current!V$149, FALSE), VLOOKUP($A52, LS_current!$B$4:$AY$139,LS_current!V$149, FALSE))/2)</f>
        <v>0</v>
      </c>
      <c r="CG52" s="382">
        <f t="array" ref="CG52">IF($BI52=0, INDEX(LS_current!$D$4:$AY$139, MATCH('Staging Table'!$A52, LS_current!$B$4:$B$139, 0), MATCH(CG$4&amp;CG$5, LS_current!$D$2:$AY$2&amp;LS_current!$D$3:$AY$3, 0)),SUM(VLOOKUP($A52, LS_current!$B$4:$AY$139, LS_current!W$149, FALSE), VLOOKUP($A52, LS_current!$B$4:$AY$139,LS_current!W$149, FALSE))/2)</f>
        <v>0</v>
      </c>
      <c r="CH52" s="382">
        <f t="array" ref="CH52">IF($BI52=0, INDEX(LS_current!$D$4:$AY$139, MATCH('Staging Table'!$A52, LS_current!$B$4:$B$139, 0), MATCH(CH$4&amp;CH$5, LS_current!$D$2:$AY$2&amp;LS_current!$D$3:$AY$3, 0)),SUM(VLOOKUP($A52, LS_current!$B$4:$AY$139, LS_current!X$149, FALSE), VLOOKUP($A52, LS_current!$B$4:$AY$139,LS_current!X$149, FALSE))/2)</f>
        <v>0</v>
      </c>
      <c r="CI52" s="382">
        <f t="array" ref="CI52">IF($BI52=0, INDEX(LS_current!$D$4:$AY$139, MATCH('Staging Table'!$A52, LS_current!$B$4:$B$139, 0), MATCH(CI$4&amp;CI$5, LS_current!$D$2:$AY$2&amp;LS_current!$D$3:$AY$3, 0)),SUM(VLOOKUP($A52, LS_current!$B$4:$AY$139, LS_current!Y$149, FALSE), VLOOKUP($A52, LS_current!$B$4:$AY$139,LS_current!Y$149, FALSE))/2)</f>
        <v>0</v>
      </c>
      <c r="CJ52" s="382">
        <f t="array" ref="CJ52">IF($BI52=0, INDEX(LS_current!$D$4:$AY$139, MATCH('Staging Table'!$A52, LS_current!$B$4:$B$139, 0), MATCH(CJ$4&amp;CJ$5, LS_current!$D$2:$AY$2&amp;LS_current!$D$3:$AY$3, 0)),SUM(VLOOKUP($A52, LS_current!$B$4:$AY$139, LS_current!Z$149, FALSE), VLOOKUP($A52, LS_current!$B$4:$AY$139,LS_current!Z$149, FALSE))/2)</f>
        <v>0</v>
      </c>
      <c r="CK52" s="382">
        <f t="array" ref="CK52">IF($BI52=0, INDEX(LS_current!$D$4:$AY$139, MATCH('Staging Table'!$A52, LS_current!$B$4:$B$139, 0), MATCH(CK$4&amp;CK$5, LS_current!$D$2:$AY$2&amp;LS_current!$D$3:$AY$3, 0)),SUM(VLOOKUP($A52, LS_current!$B$4:$AY$139, LS_current!AA$149, FALSE), VLOOKUP($A52, LS_current!$B$4:$AY$139,LS_current!AA$149, FALSE))/2)</f>
        <v>0</v>
      </c>
      <c r="CL52" s="384">
        <f t="array" ref="CL52">INDEX(Demand_current!$D$4:$AY$138, MATCH($A52, Demand_current!$B$4:$B$138, 0), MATCH(CL$4&amp;CL$5,Demand_current!$D$2:$AY$2&amp;Demand_current!$D$3:$AY$3, 0))/1000</f>
        <v>0</v>
      </c>
      <c r="CM52" s="384">
        <f t="array" ref="CM52">INDEX(Demand_current!$D$4:$AY$138, MATCH($A52, Demand_current!$B$4:$B$138, 0), MATCH(CM$4&amp;CM$5,Demand_current!$D$2:$AY$2&amp;Demand_current!$D$3:$AY$3, 0))/1000</f>
        <v>0</v>
      </c>
      <c r="CN52" s="384">
        <f t="array" ref="CN52">INDEX(Demand_current!$D$4:$AY$138, MATCH($A52, Demand_current!$B$4:$B$138, 0), MATCH(CN$4&amp;CN$5,Demand_current!$D$2:$AY$2&amp;Demand_current!$D$3:$AY$3, 0))/1000</f>
        <v>0</v>
      </c>
      <c r="CO52" s="384">
        <f t="array" ref="CO52">INDEX(Demand_current!$D$4:$AY$138, MATCH($A52, Demand_current!$B$4:$B$138, 0), MATCH(CO$4&amp;CO$5,Demand_current!$D$2:$AY$2&amp;Demand_current!$D$3:$AY$3, 0))/1000</f>
        <v>0</v>
      </c>
      <c r="CP52" s="384">
        <f t="array" ref="CP52">INDEX(Demand_current!$D$4:$AY$138, MATCH($A52, Demand_current!$B$4:$B$138, 0), MATCH(CP$4&amp;CP$5,Demand_current!$D$2:$AY$2&amp;Demand_current!$D$3:$AY$3, 0))/1000</f>
        <v>0</v>
      </c>
      <c r="CQ52" s="384">
        <f t="array" ref="CQ52">INDEX(Demand_current!$D$4:$AY$138, MATCH($A52, Demand_current!$B$4:$B$138, 0), MATCH(CQ$4&amp;CQ$5,Demand_current!$D$2:$AY$2&amp;Demand_current!$D$3:$AY$3, 0))/1000</f>
        <v>0</v>
      </c>
      <c r="CR52" s="384">
        <f t="array" ref="CR52">INDEX(Demand_current!$D$4:$AY$138, MATCH($A52, Demand_current!$B$4:$B$138, 0), MATCH(CR$4&amp;CR$5,Demand_current!$D$2:$AY$2&amp;Demand_current!$D$3:$AY$3, 0))/1000</f>
        <v>0</v>
      </c>
      <c r="CS52" s="384">
        <f t="array" ref="CS52">INDEX(Demand_current!$D$4:$AY$138, MATCH($A52, Demand_current!$B$4:$B$138, 0), MATCH(CS$4&amp;CS$5,Demand_current!$D$2:$AY$2&amp;Demand_current!$D$3:$AY$3, 0))/1000</f>
        <v>0</v>
      </c>
      <c r="CT52" s="384">
        <f t="array" ref="CT52">INDEX(Demand_current!$D$4:$AY$138, MATCH($A52, Demand_current!$B$4:$B$138, 0), MATCH(CT$4&amp;CT$5,Demand_current!$D$2:$AY$2&amp;Demand_current!$D$3:$AY$3, 0))/1000</f>
        <v>0</v>
      </c>
      <c r="CU52" s="384">
        <f t="array" ref="CU52">INDEX(Demand_current!$D$4:$AY$138, MATCH($A52, Demand_current!$B$4:$B$138, 0), MATCH(CU$4&amp;CU$5,Demand_current!$D$2:$AY$2&amp;Demand_current!$D$3:$AY$3, 0))/1000</f>
        <v>0</v>
      </c>
      <c r="CV52" s="384">
        <f t="array" ref="CV52">INDEX(Demand_current!$D$4:$AY$138, MATCH($A52, Demand_current!$B$4:$B$138, 0), MATCH(CV$4&amp;CV$5,Demand_current!$D$2:$AY$2&amp;Demand_current!$D$3:$AY$3, 0))/1000</f>
        <v>0</v>
      </c>
      <c r="CW52" s="384">
        <f t="array" ref="CW52">INDEX(Demand_current!$D$4:$AY$138, MATCH($A52, Demand_current!$B$4:$B$138, 0), MATCH(CW$4&amp;CW$5,Demand_current!$D$2:$AY$2&amp;Demand_current!$D$3:$AY$3, 0))/1000</f>
        <v>0</v>
      </c>
      <c r="CX52" s="384">
        <f>IF(D52=0,IF(C52=0,MAX(0,DA52 - (VLOOKUP($A52,TOCA_current!$A$2:$AI$137,MATCH("RHWM 2018",TOCA_current!$A$2:$AI$2,0),FALSE)*$BH$2)), 0),0)</f>
        <v>0</v>
      </c>
      <c r="CY52" s="427">
        <f>VLOOKUP($A52,REP_current!$A$1:$D$135,MATCH("FY "&amp;$BH$1&amp; " Total Refund",REP_current!$A$1:$D$1,0),0)</f>
        <v>502767.38362718758</v>
      </c>
      <c r="CZ52" s="432">
        <f>MIN(VLOOKUP($A52,TOCA_current!$A$2:$AI$137,MATCH("TRL - NLSL - Existing Resource "&amp;$BH$1,TOCA_current!$A$2:$AI$2,0),FALSE)*$BH$2, VLOOKUP($A52,TOCA_current!$A$2:$AI$137,MATCH("RHWM 2018",TOCA_current!$A$2:$AI$2,0),FALSE)*$BH$2)</f>
        <v>393683.16000000003</v>
      </c>
      <c r="DA52" s="397">
        <f>SUM(BN52:CK52)+(BH52*RT1SC!$C$4*$BH$2)</f>
        <v>393681.34624725592</v>
      </c>
      <c r="DB52" s="432">
        <f>VLOOKUP($A52,TOCA_current!$A$2:$AI$137,MATCH("Above RHWM Not Served with LS "&amp;$BH$1,TOCA_current!$A$2:$AI$2,0),FALSE)*$BH$2</f>
        <v>11720.880000000001</v>
      </c>
      <c r="DC52" s="401">
        <f t="shared" si="11"/>
        <v>-1.8137527441140264</v>
      </c>
      <c r="DD52" s="397">
        <f>(VLOOKUP($A52,TOCA_current!$A$2:$AI$137,MATCH("RHWM 2018",TOCA_current!$A$2:$AI$2,0),FALSE)*$BH$2) - $CZ52</f>
        <v>0</v>
      </c>
      <c r="DE52" s="397">
        <f t="shared" si="12"/>
        <v>0</v>
      </c>
      <c r="DF52" s="397">
        <f t="shared" si="13"/>
        <v>0</v>
      </c>
      <c r="DG52" s="397">
        <f t="shared" si="14"/>
        <v>0</v>
      </c>
      <c r="DH52" s="397">
        <f t="shared" si="15"/>
        <v>0</v>
      </c>
    </row>
    <row r="53" spans="1:112">
      <c r="A53" s="274">
        <v>10121</v>
      </c>
      <c r="B53" s="275" t="s">
        <v>54</v>
      </c>
      <c r="C53" s="397">
        <v>1</v>
      </c>
      <c r="D53" s="397">
        <v>0</v>
      </c>
      <c r="E53" s="205">
        <f>VLOOKUP($A53,TOCA_previous!$A$2:$AI$137,MATCH(E$4,TOCA_previous!$A$2:$AI$2,0),FALSE)</f>
        <v>5.6921999999999997E-3</v>
      </c>
      <c r="F53" s="206">
        <f>VLOOKUP($A53,TOCA_previous!$A$2:$AI$137,MATCH(F$4,TOCA_previous!$A$2:$AI$2,0),FALSE)</f>
        <v>5.6921999999999997E-3</v>
      </c>
      <c r="G53" s="206">
        <f t="shared" si="0"/>
        <v>0</v>
      </c>
      <c r="H53" s="206">
        <f>VLOOKUP($A53,TOCA_previous!$A$2:$AI$137,MATCH(H$4,TOCA_previous!$A$2:$AI$2,0),FALSE)</f>
        <v>5.5E-2</v>
      </c>
      <c r="I53" s="206">
        <f t="shared" si="1"/>
        <v>5.5E-2</v>
      </c>
      <c r="J53" s="206">
        <f t="shared" si="2"/>
        <v>5.6921999999999997E-3</v>
      </c>
      <c r="K53" s="381">
        <f>VLOOKUP(A53, IRD!$A$5:$C$139, 3, FALSE)</f>
        <v>0</v>
      </c>
      <c r="L53" s="382">
        <f t="array" ref="L53">IF($G53=0, INDEX(LS_previous!$D$4:$AY$138, MATCH('Staging Table'!$A53, LS_previous!$B$4:$B$138, 0), MATCH(L$4&amp;L$5, LS_previous!$D$2:$AY$2&amp;LS_previous!$D$3:$AY$3, 0)),SUM(VLOOKUP($A53, LS_previous!$B$4:$AY$138, LS_previous!D$149, FALSE), VLOOKUP('Staging Table'!$A53, LS_previous!$B$4:$AY$138,LS_previous!AB$149, FALSE))/2)</f>
        <v>0</v>
      </c>
      <c r="M53" s="382">
        <f t="array" ref="M53">IF($G53=0, INDEX(LS_previous!$D$4:$AY$138, MATCH('Staging Table'!$A53, LS_previous!$B$4:$B$138, 0), MATCH(M$4&amp;M$5, LS_previous!$D$2:$AY$2&amp;LS_previous!$D$3:$AY$3, 0)),SUM(VLOOKUP($A53, LS_previous!$B$4:$AY$138, LS_previous!E$149, FALSE), VLOOKUP('Staging Table'!$A53, LS_previous!$B$4:$AY$138,LS_previous!AC$149, FALSE))/2)</f>
        <v>0</v>
      </c>
      <c r="N53" s="382">
        <f t="array" ref="N53">IF($G53=0, INDEX(LS_previous!$D$4:$AY$138, MATCH('Staging Table'!$A53, LS_previous!$B$4:$B$138, 0), MATCH(N$4&amp;N$5, LS_previous!$D$2:$AY$2&amp;LS_previous!$D$3:$AY$3, 0)),SUM(VLOOKUP($A53, LS_previous!$B$4:$AY$138, LS_previous!F$149, FALSE), VLOOKUP('Staging Table'!$A53, LS_previous!$B$4:$AY$138,LS_previous!AD$149, FALSE))/2)</f>
        <v>0</v>
      </c>
      <c r="O53" s="382">
        <f t="array" ref="O53">IF($G53=0, INDEX(LS_previous!$D$4:$AY$138, MATCH('Staging Table'!$A53, LS_previous!$B$4:$B$138, 0), MATCH(O$4&amp;O$5, LS_previous!$D$2:$AY$2&amp;LS_previous!$D$3:$AY$3, 0)),SUM(VLOOKUP($A53, LS_previous!$B$4:$AY$138, LS_previous!G$149, FALSE), VLOOKUP('Staging Table'!$A53, LS_previous!$B$4:$AY$138,LS_previous!AE$149, FALSE))/2)</f>
        <v>0</v>
      </c>
      <c r="P53" s="382">
        <f t="array" ref="P53">IF($G53=0, INDEX(LS_previous!$D$4:$AY$138, MATCH('Staging Table'!$A53, LS_previous!$B$4:$B$138, 0), MATCH(P$4&amp;P$5, LS_previous!$D$2:$AY$2&amp;LS_previous!$D$3:$AY$3, 0)),SUM(VLOOKUP($A53, LS_previous!$B$4:$AY$138, LS_previous!H$149, FALSE), VLOOKUP('Staging Table'!$A53, LS_previous!$B$4:$AY$138,LS_previous!AF$149, FALSE))/2)</f>
        <v>0</v>
      </c>
      <c r="Q53" s="382">
        <f t="array" ref="Q53">IF($G53=0, INDEX(LS_previous!$D$4:$AY$138, MATCH('Staging Table'!$A53, LS_previous!$B$4:$B$138, 0), MATCH(Q$4&amp;Q$5, LS_previous!$D$2:$AY$2&amp;LS_previous!$D$3:$AY$3, 0)),SUM(VLOOKUP($A53, LS_previous!$B$4:$AY$138, LS_previous!I$149, FALSE), VLOOKUP('Staging Table'!$A53, LS_previous!$B$4:$AY$138,LS_previous!AG$149, FALSE))/2)</f>
        <v>0</v>
      </c>
      <c r="R53" s="382">
        <f t="array" ref="R53">IF($G53=0, INDEX(LS_previous!$D$4:$AY$138, MATCH('Staging Table'!$A53, LS_previous!$B$4:$B$138, 0), MATCH(R$4&amp;R$5, LS_previous!$D$2:$AY$2&amp;LS_previous!$D$3:$AY$3, 0)),SUM(VLOOKUP($A53, LS_previous!$B$4:$AY$138, LS_previous!J$149, FALSE), VLOOKUP('Staging Table'!$A53, LS_previous!$B$4:$AY$138,LS_previous!AH$149, FALSE))/2)</f>
        <v>0</v>
      </c>
      <c r="S53" s="382">
        <f t="array" ref="S53">IF($G53=0, INDEX(LS_previous!$D$4:$AY$138, MATCH('Staging Table'!$A53, LS_previous!$B$4:$B$138, 0), MATCH(S$4&amp;S$5, LS_previous!$D$2:$AY$2&amp;LS_previous!$D$3:$AY$3, 0)),SUM(VLOOKUP($A53, LS_previous!$B$4:$AY$138, LS_previous!K$149, FALSE), VLOOKUP('Staging Table'!$A53, LS_previous!$B$4:$AY$138,LS_previous!AI$149, FALSE))/2)</f>
        <v>0</v>
      </c>
      <c r="T53" s="382">
        <f t="array" ref="T53">IF($G53=0, INDEX(LS_previous!$D$4:$AY$138, MATCH('Staging Table'!$A53, LS_previous!$B$4:$B$138, 0), MATCH(T$4&amp;T$5, LS_previous!$D$2:$AY$2&amp;LS_previous!$D$3:$AY$3, 0)),SUM(VLOOKUP($A53, LS_previous!$B$4:$AY$138, LS_previous!L$149, FALSE), VLOOKUP('Staging Table'!$A53, LS_previous!$B$4:$AY$138,LS_previous!AJ$149, FALSE))/2)</f>
        <v>0</v>
      </c>
      <c r="U53" s="382">
        <f t="array" ref="U53">IF($G53=0, INDEX(LS_previous!$D$4:$AY$138, MATCH('Staging Table'!$A53, LS_previous!$B$4:$B$138, 0), MATCH(U$4&amp;U$5, LS_previous!$D$2:$AY$2&amp;LS_previous!$D$3:$AY$3, 0)),SUM(VLOOKUP($A53, LS_previous!$B$4:$AY$138, LS_previous!M$149, FALSE), VLOOKUP('Staging Table'!$A53, LS_previous!$B$4:$AY$138,LS_previous!AK$149, FALSE))/2)</f>
        <v>0</v>
      </c>
      <c r="V53" s="382">
        <f t="array" ref="V53">IF($G53=0, INDEX(LS_previous!$D$4:$AY$138, MATCH('Staging Table'!$A53, LS_previous!$B$4:$B$138, 0), MATCH(V$4&amp;V$5, LS_previous!$D$2:$AY$2&amp;LS_previous!$D$3:$AY$3, 0)),SUM(VLOOKUP($A53, LS_previous!$B$4:$AY$138, LS_previous!N$149, FALSE), VLOOKUP('Staging Table'!$A53, LS_previous!$B$4:$AY$138,LS_previous!AL$149, FALSE))/2)</f>
        <v>0</v>
      </c>
      <c r="W53" s="382">
        <f t="array" ref="W53">IF($G53=0, INDEX(LS_previous!$D$4:$AY$138, MATCH('Staging Table'!$A53, LS_previous!$B$4:$B$138, 0), MATCH(W$4&amp;W$5, LS_previous!$D$2:$AY$2&amp;LS_previous!$D$3:$AY$3, 0)),SUM(VLOOKUP($A53, LS_previous!$B$4:$AY$138, LS_previous!O$149, FALSE), VLOOKUP('Staging Table'!$A53, LS_previous!$B$4:$AY$138,LS_previous!AM$149, FALSE))/2)</f>
        <v>0</v>
      </c>
      <c r="X53" s="382">
        <f t="array" ref="X53">IF($G53=0, INDEX(LS_previous!$D$4:$AY$138, MATCH('Staging Table'!$A53, LS_previous!$B$4:$B$138, 0), MATCH(X$4&amp;X$5, LS_previous!$D$2:$AY$2&amp;LS_previous!$D$3:$AY$3, 0)),SUM(VLOOKUP($A53, LS_previous!$B$4:$AY$138, LS_previous!P$149, FALSE), VLOOKUP('Staging Table'!$A53, LS_previous!$B$4:$AY$138,LS_previous!AN$149, FALSE))/2)</f>
        <v>0</v>
      </c>
      <c r="Y53" s="382">
        <f t="array" ref="Y53">IF($G53=0, INDEX(LS_previous!$D$4:$AY$138, MATCH('Staging Table'!$A53, LS_previous!$B$4:$B$138, 0), MATCH(Y$4&amp;Y$5, LS_previous!$D$2:$AY$2&amp;LS_previous!$D$3:$AY$3, 0)),SUM(VLOOKUP($A53, LS_previous!$B$4:$AY$138, LS_previous!Q$149, FALSE), VLOOKUP('Staging Table'!$A53, LS_previous!$B$4:$AY$138,LS_previous!AO$149, FALSE))/2)</f>
        <v>0</v>
      </c>
      <c r="Z53" s="382">
        <f t="array" ref="Z53">IF($G53=0, INDEX(LS_previous!$D$4:$AY$138, MATCH('Staging Table'!$A53, LS_previous!$B$4:$B$138, 0), MATCH(Z$4&amp;Z$5, LS_previous!$D$2:$AY$2&amp;LS_previous!$D$3:$AY$3, 0)),SUM(VLOOKUP($A53, LS_previous!$B$4:$AY$138, LS_previous!R$149, FALSE), VLOOKUP('Staging Table'!$A53, LS_previous!$B$4:$AY$138,LS_previous!AP$149, FALSE))/2)</f>
        <v>0</v>
      </c>
      <c r="AA53" s="382">
        <f t="array" ref="AA53">IF($G53=0, INDEX(LS_previous!$D$4:$AY$138, MATCH('Staging Table'!$A53, LS_previous!$B$4:$B$138, 0), MATCH(AA$4&amp;AA$5, LS_previous!$D$2:$AY$2&amp;LS_previous!$D$3:$AY$3, 0)),SUM(VLOOKUP($A53, LS_previous!$B$4:$AY$138, LS_previous!S$149, FALSE), VLOOKUP('Staging Table'!$A53, LS_previous!$B$4:$AY$138,LS_previous!AQ$149, FALSE))/2)</f>
        <v>0</v>
      </c>
      <c r="AB53" s="382">
        <f t="array" ref="AB53">IF($G53=0, INDEX(LS_previous!$D$4:$AY$138, MATCH('Staging Table'!$A53, LS_previous!$B$4:$B$138, 0), MATCH(AB$4&amp;AB$5, LS_previous!$D$2:$AY$2&amp;LS_previous!$D$3:$AY$3, 0)),SUM(VLOOKUP($A53, LS_previous!$B$4:$AY$138, LS_previous!T$149, FALSE), VLOOKUP('Staging Table'!$A53, LS_previous!$B$4:$AY$138,LS_previous!AR$149, FALSE))/2)</f>
        <v>0</v>
      </c>
      <c r="AC53" s="382">
        <f t="array" ref="AC53">IF($G53=0, INDEX(LS_previous!$D$4:$AY$138, MATCH('Staging Table'!$A53, LS_previous!$B$4:$B$138, 0), MATCH(AC$4&amp;AC$5, LS_previous!$D$2:$AY$2&amp;LS_previous!$D$3:$AY$3, 0)),SUM(VLOOKUP($A53, LS_previous!$B$4:$AY$138, LS_previous!U$149, FALSE), VLOOKUP('Staging Table'!$A53, LS_previous!$B$4:$AY$138,LS_previous!AS$149, FALSE))/2)</f>
        <v>0</v>
      </c>
      <c r="AD53" s="382">
        <f t="array" ref="AD53">IF($G53=0, INDEX(LS_previous!$D$4:$AY$138, MATCH('Staging Table'!$A53, LS_previous!$B$4:$B$138, 0), MATCH(AD$4&amp;AD$5, LS_previous!$D$2:$AY$2&amp;LS_previous!$D$3:$AY$3, 0)),SUM(VLOOKUP($A53, LS_previous!$B$4:$AY$138, LS_previous!V$149, FALSE), VLOOKUP('Staging Table'!$A53, LS_previous!$B$4:$AY$138,LS_previous!AT$149, FALSE))/2)</f>
        <v>0</v>
      </c>
      <c r="AE53" s="382">
        <f t="array" ref="AE53">IF($G53=0, INDEX(LS_previous!$D$4:$AY$138, MATCH('Staging Table'!$A53, LS_previous!$B$4:$B$138, 0), MATCH(AE$4&amp;AE$5, LS_previous!$D$2:$AY$2&amp;LS_previous!$D$3:$AY$3, 0)),SUM(VLOOKUP($A53, LS_previous!$B$4:$AY$138, LS_previous!W$149, FALSE), VLOOKUP('Staging Table'!$A53, LS_previous!$B$4:$AY$138,LS_previous!AU$149, FALSE))/2)</f>
        <v>0</v>
      </c>
      <c r="AF53" s="382">
        <f t="array" ref="AF53">IF($G53=0, INDEX(LS_previous!$D$4:$AY$138, MATCH('Staging Table'!$A53, LS_previous!$B$4:$B$138, 0), MATCH(AF$4&amp;AF$5, LS_previous!$D$2:$AY$2&amp;LS_previous!$D$3:$AY$3, 0)),SUM(VLOOKUP($A53, LS_previous!$B$4:$AY$138, LS_previous!X$149, FALSE), VLOOKUP('Staging Table'!$A53, LS_previous!$B$4:$AY$138,LS_previous!AV$149, FALSE))/2)</f>
        <v>0</v>
      </c>
      <c r="AG53" s="382">
        <f t="array" ref="AG53">IF($G53=0, INDEX(LS_previous!$D$4:$AY$138, MATCH('Staging Table'!$A53, LS_previous!$B$4:$B$138, 0), MATCH(AG$4&amp;AG$5, LS_previous!$D$2:$AY$2&amp;LS_previous!$D$3:$AY$3, 0)),SUM(VLOOKUP($A53, LS_previous!$B$4:$AY$138, LS_previous!Y$149, FALSE), VLOOKUP('Staging Table'!$A53, LS_previous!$B$4:$AY$138,LS_previous!AW$149, FALSE))/2)</f>
        <v>0</v>
      </c>
      <c r="AH53" s="382">
        <f t="array" ref="AH53">IF($G53=0, INDEX(LS_previous!$D$4:$AY$138, MATCH('Staging Table'!$A53, LS_previous!$B$4:$B$138, 0), MATCH(AH$4&amp;AH$5, LS_previous!$D$2:$AY$2&amp;LS_previous!$D$3:$AY$3, 0)),SUM(VLOOKUP($A53, LS_previous!$B$4:$AY$138, LS_previous!Z$149, FALSE), VLOOKUP('Staging Table'!$A53, LS_previous!$B$4:$AY$138,LS_previous!AX$149, FALSE))/2)</f>
        <v>0</v>
      </c>
      <c r="AI53" s="382">
        <f t="array" ref="AI53">IF($G53=0, INDEX(LS_previous!$D$4:$AY$138, MATCH('Staging Table'!$A53, LS_previous!$B$4:$B$138, 0), MATCH(AI$4&amp;AI$5, LS_previous!$D$2:$AY$2&amp;LS_previous!$D$3:$AY$3, 0)),SUM(VLOOKUP($A53, LS_previous!$B$4:$AY$138, LS_previous!AA$149, FALSE), VLOOKUP('Staging Table'!$A53, LS_previous!$B$4:$AY$138,LS_previous!AY$149, FALSE))/2)</f>
        <v>0</v>
      </c>
      <c r="AJ53" s="384">
        <f t="array" ref="AJ53">INDEX(Demand_previous!$D$4:$AY$138, MATCH('Staging Table'!$A53, Demand_previous!$B$4:$B$138, 0), MATCH(AJ$4&amp;AJ$5,Demand_previous!$D$2:$AY$2&amp;Demand_previous!$D$3:$AY$3, 0))/1000</f>
        <v>0</v>
      </c>
      <c r="AK53" s="384">
        <f t="array" ref="AK53">INDEX(Demand_previous!$D$4:$AY$138, MATCH('Staging Table'!$A53, Demand_previous!$B$4:$B$138, 0), MATCH(AK$4&amp;AK$5,Demand_previous!$D$2:$AY$2&amp;Demand_previous!$D$3:$AY$3, 0))/1000</f>
        <v>0</v>
      </c>
      <c r="AL53" s="384">
        <f t="array" ref="AL53">INDEX(Demand_previous!$D$4:$AY$138, MATCH('Staging Table'!$A53, Demand_previous!$B$4:$B$138, 0), MATCH(AL$4&amp;AL$5,Demand_previous!$D$2:$AY$2&amp;Demand_previous!$D$3:$AY$3, 0))/1000</f>
        <v>0</v>
      </c>
      <c r="AM53" s="384">
        <f t="array" ref="AM53">INDEX(Demand_previous!$D$4:$AY$138, MATCH('Staging Table'!$A53, Demand_previous!$B$4:$B$138, 0), MATCH(AM$4&amp;AM$5,Demand_previous!$D$2:$AY$2&amp;Demand_previous!$D$3:$AY$3, 0))/1000</f>
        <v>0</v>
      </c>
      <c r="AN53" s="384">
        <f t="array" ref="AN53">INDEX(Demand_previous!$D$4:$AY$138, MATCH('Staging Table'!$A53, Demand_previous!$B$4:$B$138, 0), MATCH(AN$4&amp;AN$5,Demand_previous!$D$2:$AY$2&amp;Demand_previous!$D$3:$AY$3, 0))/1000</f>
        <v>0</v>
      </c>
      <c r="AO53" s="384">
        <f t="array" ref="AO53">INDEX(Demand_previous!$D$4:$AY$138, MATCH('Staging Table'!$A53, Demand_previous!$B$4:$B$138, 0), MATCH(AO$4&amp;AO$5,Demand_previous!$D$2:$AY$2&amp;Demand_previous!$D$3:$AY$3, 0))/1000</f>
        <v>0</v>
      </c>
      <c r="AP53" s="384">
        <f t="array" ref="AP53">INDEX(Demand_previous!$D$4:$AY$138, MATCH('Staging Table'!$A53, Demand_previous!$B$4:$B$138, 0), MATCH(AP$4&amp;AP$5,Demand_previous!$D$2:$AY$2&amp;Demand_previous!$D$3:$AY$3, 0))/1000</f>
        <v>0</v>
      </c>
      <c r="AQ53" s="384">
        <f t="array" ref="AQ53">INDEX(Demand_previous!$D$4:$AY$138, MATCH('Staging Table'!$A53, Demand_previous!$B$4:$B$138, 0), MATCH(AQ$4&amp;AQ$5,Demand_previous!$D$2:$AY$2&amp;Demand_previous!$D$3:$AY$3, 0))/1000</f>
        <v>0</v>
      </c>
      <c r="AR53" s="384">
        <f t="array" ref="AR53">INDEX(Demand_previous!$D$4:$AY$138, MATCH('Staging Table'!$A53, Demand_previous!$B$4:$B$138, 0), MATCH(AR$4&amp;AR$5,Demand_previous!$D$2:$AY$2&amp;Demand_previous!$D$3:$AY$3, 0))/1000</f>
        <v>0</v>
      </c>
      <c r="AS53" s="384">
        <f t="array" ref="AS53">INDEX(Demand_previous!$D$4:$AY$138, MATCH('Staging Table'!$A53, Demand_previous!$B$4:$B$138, 0), MATCH(AS$4&amp;AS$5,Demand_previous!$D$2:$AY$2&amp;Demand_previous!$D$3:$AY$3, 0))/1000</f>
        <v>0</v>
      </c>
      <c r="AT53" s="384">
        <f t="array" ref="AT53">INDEX(Demand_previous!$D$4:$AY$138, MATCH('Staging Table'!$A53, Demand_previous!$B$4:$B$138, 0), MATCH(AT$4&amp;AT$5,Demand_previous!$D$2:$AY$2&amp;Demand_previous!$D$3:$AY$3, 0))/1000</f>
        <v>0</v>
      </c>
      <c r="AU53" s="384">
        <f t="array" ref="AU53">INDEX(Demand_previous!$D$4:$AY$138, MATCH('Staging Table'!$A53, Demand_previous!$B$4:$B$138, 0), MATCH(AU$4&amp;AU$5,Demand_previous!$D$2:$AY$2&amp;Demand_previous!$D$3:$AY$3, 0))/1000</f>
        <v>0</v>
      </c>
      <c r="AV53" s="384">
        <f>IF($D53=0,IF(C53=0, MAX(AY53 - (VLOOKUP($A53,TOCA_previous!$A$2:$AI$137,MATCH("RHWM 2016",TOCA_previous!$A$2:$AI$2,0),FALSE)*$F$2*TOCA_previous!C50),0),0), 0)</f>
        <v>0</v>
      </c>
      <c r="AW53" s="427">
        <f>VLOOKUP($A53,REP_previous!$A$1:$D$135,MATCH("FY "&amp;$F$1&amp; " Total Refund",REP_previous!$A$1:$D$1,0),0)</f>
        <v>451604.17194172292</v>
      </c>
      <c r="AX53" s="398">
        <f>MIN(VLOOKUP($A53,TOCA_previous!$A$2:$AI$137,MATCH("TRL - NLSL - Exisiting Resource "&amp;$F$1,TOCA_previous!$A$2:$AI$2,0),FALSE)*$F$2,(VLOOKUP($A53,TOCA_previous!$A$2:$AI$137,MATCH("RHWM 2016",TOCA_previous!$A$2:$AI$2,0),FALSE)*$F$2))</f>
        <v>349155.21600000001</v>
      </c>
      <c r="AY53" s="384">
        <f>SUM(L53:AI53)+(F53*RT1SC!$C$3*$F$2)</f>
        <v>349156.23878260801</v>
      </c>
      <c r="AZ53" s="398">
        <f>VLOOKUP($A53,TOCA_previous!$A$2:$AI$137,MATCH("Above RHWM Not Served with LS "&amp;$F$1,TOCA_previous!$A$2:$AI$2,0),FALSE)*$F$2</f>
        <v>0</v>
      </c>
      <c r="BA53" s="206">
        <f t="shared" si="3"/>
        <v>1.0227826079935767</v>
      </c>
      <c r="BB53" s="399">
        <f>(VLOOKUP($A53,TOCA_previous!$A$2:$AI$137,MATCH("RHWM 2016",TOCA_previous!$A$2:$AI$2,0),FALSE)*$F$2) - $AX53</f>
        <v>6385.9679999999935</v>
      </c>
      <c r="BC53" s="206">
        <f t="shared" si="4"/>
        <v>-1.0227826079935767</v>
      </c>
      <c r="BD53" s="400">
        <f t="shared" si="5"/>
        <v>0</v>
      </c>
      <c r="BE53" s="392">
        <f t="shared" si="6"/>
        <v>0</v>
      </c>
      <c r="BF53" s="399">
        <f t="shared" si="7"/>
        <v>-1.0227826079935767</v>
      </c>
      <c r="BG53" s="206">
        <f>VLOOKUP($A53,TOCA_current!$A$2:$AI$137,MATCH(BG$4,TOCA_current!$A$2:$AI$2,0),FALSE)</f>
        <v>5.5944000000000002E-3</v>
      </c>
      <c r="BH53" s="206">
        <f>VLOOKUP($A53,TOCA_current!$A$2:$AI$137,MATCH(BH$4,TOCA_current!$A$2:$AI$2,0),FALSE)</f>
        <v>5.5944000000000002E-3</v>
      </c>
      <c r="BI53" s="391">
        <f t="shared" si="8"/>
        <v>0</v>
      </c>
      <c r="BJ53" s="206">
        <f>VLOOKUP($A53,TOCA_current!A49:BG184,MATCH(BJ$4,TOCA_current!$A$2:$BG$2,0),FALSE)</f>
        <v>0.06</v>
      </c>
      <c r="BK53" s="206">
        <f t="shared" si="9"/>
        <v>0.06</v>
      </c>
      <c r="BL53" s="206">
        <f t="shared" si="10"/>
        <v>5.5944000000000002E-3</v>
      </c>
      <c r="BM53" s="381">
        <f>VLOOKUP($A53,IRD!$A$4:$G$139, 7, FALSE)</f>
        <v>0</v>
      </c>
      <c r="BN53" s="382">
        <f t="array" ref="BN53">IF($BI53=0, INDEX(LS_current!$D$4:$AY$139, MATCH('Staging Table'!$A53, LS_current!$B$4:$B$139, 0), MATCH(BN$4&amp;BN$5, LS_current!$D$2:$AY$2&amp;LS_current!$D$3:$AY$3, 0)),SUM(VLOOKUP($A53, LS_current!$B$4:$AY$139, LS_current!D$149, FALSE), VLOOKUP($A53, LS_current!$B$4:$AY$139,LS_current!D$149, FALSE))/2)</f>
        <v>0</v>
      </c>
      <c r="BO53" s="382">
        <f t="array" ref="BO53">IF($BI53=0, INDEX(LS_current!$D$4:$AY$139, MATCH('Staging Table'!$A53, LS_current!$B$4:$B$139, 0), MATCH(BO$4&amp;BO$5, LS_current!$D$2:$AY$2&amp;LS_current!$D$3:$AY$3, 0)),SUM(VLOOKUP($A53, LS_current!$B$4:$AY$139, LS_current!E$149, FALSE), VLOOKUP($A53, LS_current!$B$4:$AY$139,LS_current!E$149, FALSE))/2)</f>
        <v>0</v>
      </c>
      <c r="BP53" s="382">
        <f t="array" ref="BP53">IF($BI53=0, INDEX(LS_current!$D$4:$AY$139, MATCH('Staging Table'!$A53, LS_current!$B$4:$B$139, 0), MATCH(BP$4&amp;BP$5, LS_current!$D$2:$AY$2&amp;LS_current!$D$3:$AY$3, 0)),SUM(VLOOKUP($A53, LS_current!$B$4:$AY$139, LS_current!F$149, FALSE), VLOOKUP($A53, LS_current!$B$4:$AY$139,LS_current!F$149, FALSE))/2)</f>
        <v>0</v>
      </c>
      <c r="BQ53" s="382">
        <f t="array" ref="BQ53">IF($BI53=0, INDEX(LS_current!$D$4:$AY$139, MATCH('Staging Table'!$A53, LS_current!$B$4:$B$139, 0), MATCH(BQ$4&amp;BQ$5, LS_current!$D$2:$AY$2&amp;LS_current!$D$3:$AY$3, 0)),SUM(VLOOKUP($A53, LS_current!$B$4:$AY$139, LS_current!G$149, FALSE), VLOOKUP($A53, LS_current!$B$4:$AY$139,LS_current!G$149, FALSE))/2)</f>
        <v>0</v>
      </c>
      <c r="BR53" s="382">
        <f t="array" ref="BR53">IF($BI53=0, INDEX(LS_current!$D$4:$AY$139, MATCH('Staging Table'!$A53, LS_current!$B$4:$B$139, 0), MATCH(BR$4&amp;BR$5, LS_current!$D$2:$AY$2&amp;LS_current!$D$3:$AY$3, 0)),SUM(VLOOKUP($A53, LS_current!$B$4:$AY$139, LS_current!H$149, FALSE), VLOOKUP($A53, LS_current!$B$4:$AY$139,LS_current!H$149, FALSE))/2)</f>
        <v>0</v>
      </c>
      <c r="BS53" s="382">
        <f t="array" ref="BS53">IF($BI53=0, INDEX(LS_current!$D$4:$AY$139, MATCH('Staging Table'!$A53, LS_current!$B$4:$B$139, 0), MATCH(BS$4&amp;BS$5, LS_current!$D$2:$AY$2&amp;LS_current!$D$3:$AY$3, 0)),SUM(VLOOKUP($A53, LS_current!$B$4:$AY$139, LS_current!I$149, FALSE), VLOOKUP($A53, LS_current!$B$4:$AY$139,LS_current!I$149, FALSE))/2)</f>
        <v>0</v>
      </c>
      <c r="BT53" s="382">
        <f t="array" ref="BT53">IF($BI53=0, INDEX(LS_current!$D$4:$AY$139, MATCH('Staging Table'!$A53, LS_current!$B$4:$B$139, 0), MATCH(BT$4&amp;BT$5, LS_current!$D$2:$AY$2&amp;LS_current!$D$3:$AY$3, 0)),SUM(VLOOKUP($A53, LS_current!$B$4:$AY$139, LS_current!J$149, FALSE), VLOOKUP($A53, LS_current!$B$4:$AY$139,LS_current!J$149, FALSE))/2)</f>
        <v>0</v>
      </c>
      <c r="BU53" s="382">
        <f t="array" ref="BU53">IF($BI53=0, INDEX(LS_current!$D$4:$AY$139, MATCH('Staging Table'!$A53, LS_current!$B$4:$B$139, 0), MATCH(BU$4&amp;BU$5, LS_current!$D$2:$AY$2&amp;LS_current!$D$3:$AY$3, 0)),SUM(VLOOKUP($A53, LS_current!$B$4:$AY$139, LS_current!K$149, FALSE), VLOOKUP($A53, LS_current!$B$4:$AY$139,LS_current!K$149, FALSE))/2)</f>
        <v>0</v>
      </c>
      <c r="BV53" s="382">
        <f t="array" ref="BV53">IF($BI53=0, INDEX(LS_current!$D$4:$AY$139, MATCH('Staging Table'!$A53, LS_current!$B$4:$B$139, 0), MATCH(BV$4&amp;BV$5, LS_current!$D$2:$AY$2&amp;LS_current!$D$3:$AY$3, 0)),SUM(VLOOKUP($A53, LS_current!$B$4:$AY$139, LS_current!L$149, FALSE), VLOOKUP($A53, LS_current!$B$4:$AY$139,LS_current!L$149, FALSE))/2)</f>
        <v>0</v>
      </c>
      <c r="BW53" s="382">
        <f t="array" ref="BW53">IF($BI53=0, INDEX(LS_current!$D$4:$AY$139, MATCH('Staging Table'!$A53, LS_current!$B$4:$B$139, 0), MATCH(BW$4&amp;BW$5, LS_current!$D$2:$AY$2&amp;LS_current!$D$3:$AY$3, 0)),SUM(VLOOKUP($A53, LS_current!$B$4:$AY$139, LS_current!M$149, FALSE), VLOOKUP($A53, LS_current!$B$4:$AY$139,LS_current!M$149, FALSE))/2)</f>
        <v>0</v>
      </c>
      <c r="BX53" s="382">
        <f t="array" ref="BX53">IF($BI53=0, INDEX(LS_current!$D$4:$AY$139, MATCH('Staging Table'!$A53, LS_current!$B$4:$B$139, 0), MATCH(BX$4&amp;BX$5, LS_current!$D$2:$AY$2&amp;LS_current!$D$3:$AY$3, 0)),SUM(VLOOKUP($A53, LS_current!$B$4:$AY$139, LS_current!N$149, FALSE), VLOOKUP($A53, LS_current!$B$4:$AY$139,LS_current!N$149, FALSE))/2)</f>
        <v>0</v>
      </c>
      <c r="BY53" s="382">
        <f t="array" ref="BY53">IF($BI53=0, INDEX(LS_current!$D$4:$AY$139, MATCH('Staging Table'!$A53, LS_current!$B$4:$B$139, 0), MATCH(BY$4&amp;BY$5, LS_current!$D$2:$AY$2&amp;LS_current!$D$3:$AY$3, 0)),SUM(VLOOKUP($A53, LS_current!$B$4:$AY$139, LS_current!O$149, FALSE), VLOOKUP($A53, LS_current!$B$4:$AY$139,LS_current!O$149, FALSE))/2)</f>
        <v>0</v>
      </c>
      <c r="BZ53" s="382">
        <f t="array" ref="BZ53">IF($BI53=0, INDEX(LS_current!$D$4:$AY$139, MATCH('Staging Table'!$A53, LS_current!$B$4:$B$139, 0), MATCH(BZ$4&amp;BZ$5, LS_current!$D$2:$AY$2&amp;LS_current!$D$3:$AY$3, 0)),SUM(VLOOKUP($A53, LS_current!$B$4:$AY$139, LS_current!P$149, FALSE), VLOOKUP($A53, LS_current!$B$4:$AY$139,LS_current!P$149, FALSE))/2)</f>
        <v>0</v>
      </c>
      <c r="CA53" s="382">
        <f t="array" ref="CA53">IF($BI53=0, INDEX(LS_current!$D$4:$AY$139, MATCH('Staging Table'!$A53, LS_current!$B$4:$B$139, 0), MATCH(CA$4&amp;CA$5, LS_current!$D$2:$AY$2&amp;LS_current!$D$3:$AY$3, 0)),SUM(VLOOKUP($A53, LS_current!$B$4:$AY$139, LS_current!Q$149, FALSE), VLOOKUP($A53, LS_current!$B$4:$AY$139,LS_current!Q$149, FALSE))/2)</f>
        <v>0</v>
      </c>
      <c r="CB53" s="382">
        <f t="array" ref="CB53">IF($BI53=0, INDEX(LS_current!$D$4:$AY$139, MATCH('Staging Table'!$A53, LS_current!$B$4:$B$139, 0), MATCH(CB$4&amp;CB$5, LS_current!$D$2:$AY$2&amp;LS_current!$D$3:$AY$3, 0)),SUM(VLOOKUP($A53, LS_current!$B$4:$AY$139, LS_current!R$149, FALSE), VLOOKUP($A53, LS_current!$B$4:$AY$139,LS_current!R$149, FALSE))/2)</f>
        <v>0</v>
      </c>
      <c r="CC53" s="382">
        <f t="array" ref="CC53">IF($BI53=0, INDEX(LS_current!$D$4:$AY$139, MATCH('Staging Table'!$A53, LS_current!$B$4:$B$139, 0), MATCH(CC$4&amp;CC$5, LS_current!$D$2:$AY$2&amp;LS_current!$D$3:$AY$3, 0)),SUM(VLOOKUP($A53, LS_current!$B$4:$AY$139, LS_current!S$149, FALSE), VLOOKUP($A53, LS_current!$B$4:$AY$139,LS_current!S$149, FALSE))/2)</f>
        <v>0</v>
      </c>
      <c r="CD53" s="382">
        <f t="array" ref="CD53">IF($BI53=0, INDEX(LS_current!$D$4:$AY$139, MATCH('Staging Table'!$A53, LS_current!$B$4:$B$139, 0), MATCH(CD$4&amp;CD$5, LS_current!$D$2:$AY$2&amp;LS_current!$D$3:$AY$3, 0)),SUM(VLOOKUP($A53, LS_current!$B$4:$AY$139, LS_current!T$149, FALSE), VLOOKUP($A53, LS_current!$B$4:$AY$139,LS_current!T$149, FALSE))/2)</f>
        <v>0</v>
      </c>
      <c r="CE53" s="382">
        <f t="array" ref="CE53">IF($BI53=0, INDEX(LS_current!$D$4:$AY$139, MATCH('Staging Table'!$A53, LS_current!$B$4:$B$139, 0), MATCH(CE$4&amp;CE$5, LS_current!$D$2:$AY$2&amp;LS_current!$D$3:$AY$3, 0)),SUM(VLOOKUP($A53, LS_current!$B$4:$AY$139, LS_current!U$149, FALSE), VLOOKUP($A53, LS_current!$B$4:$AY$139,LS_current!U$149, FALSE))/2)</f>
        <v>0</v>
      </c>
      <c r="CF53" s="382">
        <f t="array" ref="CF53">IF($BI53=0, INDEX(LS_current!$D$4:$AY$139, MATCH('Staging Table'!$A53, LS_current!$B$4:$B$139, 0), MATCH(CF$4&amp;CF$5, LS_current!$D$2:$AY$2&amp;LS_current!$D$3:$AY$3, 0)),SUM(VLOOKUP($A53, LS_current!$B$4:$AY$139, LS_current!V$149, FALSE), VLOOKUP($A53, LS_current!$B$4:$AY$139,LS_current!V$149, FALSE))/2)</f>
        <v>0</v>
      </c>
      <c r="CG53" s="382">
        <f t="array" ref="CG53">IF($BI53=0, INDEX(LS_current!$D$4:$AY$139, MATCH('Staging Table'!$A53, LS_current!$B$4:$B$139, 0), MATCH(CG$4&amp;CG$5, LS_current!$D$2:$AY$2&amp;LS_current!$D$3:$AY$3, 0)),SUM(VLOOKUP($A53, LS_current!$B$4:$AY$139, LS_current!W$149, FALSE), VLOOKUP($A53, LS_current!$B$4:$AY$139,LS_current!W$149, FALSE))/2)</f>
        <v>0</v>
      </c>
      <c r="CH53" s="382">
        <f t="array" ref="CH53">IF($BI53=0, INDEX(LS_current!$D$4:$AY$139, MATCH('Staging Table'!$A53, LS_current!$B$4:$B$139, 0), MATCH(CH$4&amp;CH$5, LS_current!$D$2:$AY$2&amp;LS_current!$D$3:$AY$3, 0)),SUM(VLOOKUP($A53, LS_current!$B$4:$AY$139, LS_current!X$149, FALSE), VLOOKUP($A53, LS_current!$B$4:$AY$139,LS_current!X$149, FALSE))/2)</f>
        <v>0</v>
      </c>
      <c r="CI53" s="382">
        <f t="array" ref="CI53">IF($BI53=0, INDEX(LS_current!$D$4:$AY$139, MATCH('Staging Table'!$A53, LS_current!$B$4:$B$139, 0), MATCH(CI$4&amp;CI$5, LS_current!$D$2:$AY$2&amp;LS_current!$D$3:$AY$3, 0)),SUM(VLOOKUP($A53, LS_current!$B$4:$AY$139, LS_current!Y$149, FALSE), VLOOKUP($A53, LS_current!$B$4:$AY$139,LS_current!Y$149, FALSE))/2)</f>
        <v>0</v>
      </c>
      <c r="CJ53" s="382">
        <f t="array" ref="CJ53">IF($BI53=0, INDEX(LS_current!$D$4:$AY$139, MATCH('Staging Table'!$A53, LS_current!$B$4:$B$139, 0), MATCH(CJ$4&amp;CJ$5, LS_current!$D$2:$AY$2&amp;LS_current!$D$3:$AY$3, 0)),SUM(VLOOKUP($A53, LS_current!$B$4:$AY$139, LS_current!Z$149, FALSE), VLOOKUP($A53, LS_current!$B$4:$AY$139,LS_current!Z$149, FALSE))/2)</f>
        <v>0</v>
      </c>
      <c r="CK53" s="382">
        <f t="array" ref="CK53">IF($BI53=0, INDEX(LS_current!$D$4:$AY$139, MATCH('Staging Table'!$A53, LS_current!$B$4:$B$139, 0), MATCH(CK$4&amp;CK$5, LS_current!$D$2:$AY$2&amp;LS_current!$D$3:$AY$3, 0)),SUM(VLOOKUP($A53, LS_current!$B$4:$AY$139, LS_current!AA$149, FALSE), VLOOKUP($A53, LS_current!$B$4:$AY$139,LS_current!AA$149, FALSE))/2)</f>
        <v>0</v>
      </c>
      <c r="CL53" s="384">
        <f t="array" ref="CL53">INDEX(Demand_current!$D$4:$AY$138, MATCH($A53, Demand_current!$B$4:$B$138, 0), MATCH(CL$4&amp;CL$5,Demand_current!$D$2:$AY$2&amp;Demand_current!$D$3:$AY$3, 0))/1000</f>
        <v>0</v>
      </c>
      <c r="CM53" s="384">
        <f t="array" ref="CM53">INDEX(Demand_current!$D$4:$AY$138, MATCH($A53, Demand_current!$B$4:$B$138, 0), MATCH(CM$4&amp;CM$5,Demand_current!$D$2:$AY$2&amp;Demand_current!$D$3:$AY$3, 0))/1000</f>
        <v>0</v>
      </c>
      <c r="CN53" s="384">
        <f t="array" ref="CN53">INDEX(Demand_current!$D$4:$AY$138, MATCH($A53, Demand_current!$B$4:$B$138, 0), MATCH(CN$4&amp;CN$5,Demand_current!$D$2:$AY$2&amp;Demand_current!$D$3:$AY$3, 0))/1000</f>
        <v>0</v>
      </c>
      <c r="CO53" s="384">
        <f t="array" ref="CO53">INDEX(Demand_current!$D$4:$AY$138, MATCH($A53, Demand_current!$B$4:$B$138, 0), MATCH(CO$4&amp;CO$5,Demand_current!$D$2:$AY$2&amp;Demand_current!$D$3:$AY$3, 0))/1000</f>
        <v>0</v>
      </c>
      <c r="CP53" s="384">
        <f t="array" ref="CP53">INDEX(Demand_current!$D$4:$AY$138, MATCH($A53, Demand_current!$B$4:$B$138, 0), MATCH(CP$4&amp;CP$5,Demand_current!$D$2:$AY$2&amp;Demand_current!$D$3:$AY$3, 0))/1000</f>
        <v>0</v>
      </c>
      <c r="CQ53" s="384">
        <f t="array" ref="CQ53">INDEX(Demand_current!$D$4:$AY$138, MATCH($A53, Demand_current!$B$4:$B$138, 0), MATCH(CQ$4&amp;CQ$5,Demand_current!$D$2:$AY$2&amp;Demand_current!$D$3:$AY$3, 0))/1000</f>
        <v>0</v>
      </c>
      <c r="CR53" s="384">
        <f t="array" ref="CR53">INDEX(Demand_current!$D$4:$AY$138, MATCH($A53, Demand_current!$B$4:$B$138, 0), MATCH(CR$4&amp;CR$5,Demand_current!$D$2:$AY$2&amp;Demand_current!$D$3:$AY$3, 0))/1000</f>
        <v>0</v>
      </c>
      <c r="CS53" s="384">
        <f t="array" ref="CS53">INDEX(Demand_current!$D$4:$AY$138, MATCH($A53, Demand_current!$B$4:$B$138, 0), MATCH(CS$4&amp;CS$5,Demand_current!$D$2:$AY$2&amp;Demand_current!$D$3:$AY$3, 0))/1000</f>
        <v>0</v>
      </c>
      <c r="CT53" s="384">
        <f t="array" ref="CT53">INDEX(Demand_current!$D$4:$AY$138, MATCH($A53, Demand_current!$B$4:$B$138, 0), MATCH(CT$4&amp;CT$5,Demand_current!$D$2:$AY$2&amp;Demand_current!$D$3:$AY$3, 0))/1000</f>
        <v>0</v>
      </c>
      <c r="CU53" s="384">
        <f t="array" ref="CU53">INDEX(Demand_current!$D$4:$AY$138, MATCH($A53, Demand_current!$B$4:$B$138, 0), MATCH(CU$4&amp;CU$5,Demand_current!$D$2:$AY$2&amp;Demand_current!$D$3:$AY$3, 0))/1000</f>
        <v>0</v>
      </c>
      <c r="CV53" s="384">
        <f t="array" ref="CV53">INDEX(Demand_current!$D$4:$AY$138, MATCH($A53, Demand_current!$B$4:$B$138, 0), MATCH(CV$4&amp;CV$5,Demand_current!$D$2:$AY$2&amp;Demand_current!$D$3:$AY$3, 0))/1000</f>
        <v>0</v>
      </c>
      <c r="CW53" s="384">
        <f t="array" ref="CW53">INDEX(Demand_current!$D$4:$AY$138, MATCH($A53, Demand_current!$B$4:$B$138, 0), MATCH(CW$4&amp;CW$5,Demand_current!$D$2:$AY$2&amp;Demand_current!$D$3:$AY$3, 0))/1000</f>
        <v>0</v>
      </c>
      <c r="CX53" s="384">
        <f>IF(D53=0,IF(C53=0,MAX(0,DA53 - (VLOOKUP($A53,TOCA_current!$A$2:$AI$137,MATCH("RHWM 2018",TOCA_current!$A$2:$AI$2,0),FALSE)*$BH$2)), 0),0)</f>
        <v>0</v>
      </c>
      <c r="CY53" s="427">
        <f>VLOOKUP($A53,REP_current!$A$1:$D$135,MATCH("FY "&amp;$BH$1&amp; " Total Refund",REP_current!$A$1:$D$1,0),0)</f>
        <v>451182.23210318614</v>
      </c>
      <c r="CZ53" s="432">
        <f>MIN(VLOOKUP($A53,TOCA_current!$A$2:$AI$137,MATCH("TRL - NLSL - Existing Resource "&amp;$BH$1,TOCA_current!$A$2:$AI$2,0),FALSE)*$BH$2, VLOOKUP($A53,TOCA_current!$A$2:$AI$137,MATCH("RHWM 2018",TOCA_current!$A$2:$AI$2,0),FALSE)*$BH$2)</f>
        <v>340343.51999999996</v>
      </c>
      <c r="DA53" s="397">
        <f>SUM(BN53:CK53)+(BH53*RT1SC!$C$4*$BH$2)</f>
        <v>340345.67901062395</v>
      </c>
      <c r="DB53" s="432">
        <f>VLOOKUP($A53,TOCA_current!$A$2:$AI$137,MATCH("Above RHWM Not Served with LS "&amp;$BH$1,TOCA_current!$A$2:$AI$2,0),FALSE)*$BH$2</f>
        <v>0</v>
      </c>
      <c r="DC53" s="401">
        <f t="shared" si="11"/>
        <v>2.1590106239891611</v>
      </c>
      <c r="DD53" s="397">
        <f>(VLOOKUP($A53,TOCA_current!$A$2:$AI$137,MATCH("RHWM 2018",TOCA_current!$A$2:$AI$2,0),FALSE)*$BH$2) - $CZ53</f>
        <v>11974.920000000042</v>
      </c>
      <c r="DE53" s="397">
        <f t="shared" si="12"/>
        <v>-2.1590106239891611</v>
      </c>
      <c r="DF53" s="397">
        <f t="shared" si="13"/>
        <v>0</v>
      </c>
      <c r="DG53" s="397">
        <f t="shared" si="14"/>
        <v>0</v>
      </c>
      <c r="DH53" s="397">
        <f t="shared" si="15"/>
        <v>-2.1590106239891611</v>
      </c>
    </row>
    <row r="54" spans="1:112">
      <c r="A54" s="274">
        <v>10123</v>
      </c>
      <c r="B54" s="275" t="s">
        <v>55</v>
      </c>
      <c r="C54" s="397">
        <v>0</v>
      </c>
      <c r="D54" s="397">
        <v>1</v>
      </c>
      <c r="E54" s="205">
        <f>VLOOKUP($A54,TOCA_previous!$A$2:$AI$137,MATCH(E$4,TOCA_previous!$A$2:$AI$2,0),FALSE)</f>
        <v>7.7879599999999993E-2</v>
      </c>
      <c r="F54" s="206">
        <f>VLOOKUP($A54,TOCA_previous!$A$2:$AI$137,MATCH(F$4,TOCA_previous!$A$2:$AI$2,0),FALSE)</f>
        <v>3.7940499999999995E-2</v>
      </c>
      <c r="G54" s="206">
        <f t="shared" si="0"/>
        <v>3.9939099999999998E-2</v>
      </c>
      <c r="H54" s="206">
        <f>VLOOKUP($A54,TOCA_previous!$A$2:$AI$137,MATCH(H$4,TOCA_previous!$A$2:$AI$2,0),FALSE)</f>
        <v>0</v>
      </c>
      <c r="I54" s="206">
        <f t="shared" si="1"/>
        <v>0</v>
      </c>
      <c r="J54" s="206">
        <f t="shared" si="2"/>
        <v>0</v>
      </c>
      <c r="K54" s="381">
        <f>VLOOKUP(A54, IRD!$A$5:$C$139, 3, FALSE)</f>
        <v>0</v>
      </c>
      <c r="L54" s="382">
        <f t="array" ref="L54">IF($G54=0, INDEX(LS_previous!$D$4:$AY$138, MATCH('Staging Table'!$A54, LS_previous!$B$4:$B$138, 0), MATCH(L$4&amp;L$5, LS_previous!$D$2:$AY$2&amp;LS_previous!$D$3:$AY$3, 0)),SUM(VLOOKUP($A54, LS_previous!$B$4:$AY$138, LS_previous!D$149, FALSE), VLOOKUP('Staging Table'!$A54, LS_previous!$B$4:$AY$138,LS_previous!AB$149, FALSE))/2)</f>
        <v>-5169.2034948831715</v>
      </c>
      <c r="M54" s="382">
        <f t="array" ref="M54">IF($G54=0, INDEX(LS_previous!$D$4:$AY$138, MATCH('Staging Table'!$A54, LS_previous!$B$4:$B$138, 0), MATCH(M$4&amp;M$5, LS_previous!$D$2:$AY$2&amp;LS_previous!$D$3:$AY$3, 0)),SUM(VLOOKUP($A54, LS_previous!$B$4:$AY$138, LS_previous!E$149, FALSE), VLOOKUP('Staging Table'!$A54, LS_previous!$B$4:$AY$138,LS_previous!AC$149, FALSE))/2)</f>
        <v>17413.718634130739</v>
      </c>
      <c r="N54" s="382">
        <f t="array" ref="N54">IF($G54=0, INDEX(LS_previous!$D$4:$AY$138, MATCH('Staging Table'!$A54, LS_previous!$B$4:$B$138, 0), MATCH(N$4&amp;N$5, LS_previous!$D$2:$AY$2&amp;LS_previous!$D$3:$AY$3, 0)),SUM(VLOOKUP($A54, LS_previous!$B$4:$AY$138, LS_previous!F$149, FALSE), VLOOKUP('Staging Table'!$A54, LS_previous!$B$4:$AY$138,LS_previous!AD$149, FALSE))/2)</f>
        <v>-27025.841554760598</v>
      </c>
      <c r="O54" s="382">
        <f t="array" ref="O54">IF($G54=0, INDEX(LS_previous!$D$4:$AY$138, MATCH('Staging Table'!$A54, LS_previous!$B$4:$B$138, 0), MATCH(O$4&amp;O$5, LS_previous!$D$2:$AY$2&amp;LS_previous!$D$3:$AY$3, 0)),SUM(VLOOKUP($A54, LS_previous!$B$4:$AY$138, LS_previous!G$149, FALSE), VLOOKUP('Staging Table'!$A54, LS_previous!$B$4:$AY$138,LS_previous!AE$149, FALSE))/2)</f>
        <v>9123.3414775987403</v>
      </c>
      <c r="P54" s="382">
        <f t="array" ref="P54">IF($G54=0, INDEX(LS_previous!$D$4:$AY$138, MATCH('Staging Table'!$A54, LS_previous!$B$4:$B$138, 0), MATCH(P$4&amp;P$5, LS_previous!$D$2:$AY$2&amp;LS_previous!$D$3:$AY$3, 0)),SUM(VLOOKUP($A54, LS_previous!$B$4:$AY$138, LS_previous!H$149, FALSE), VLOOKUP('Staging Table'!$A54, LS_previous!$B$4:$AY$138,LS_previous!AF$149, FALSE))/2)</f>
        <v>-11408.408398136933</v>
      </c>
      <c r="Q54" s="382">
        <f t="array" ref="Q54">IF($G54=0, INDEX(LS_previous!$D$4:$AY$138, MATCH('Staging Table'!$A54, LS_previous!$B$4:$B$138, 0), MATCH(Q$4&amp;Q$5, LS_previous!$D$2:$AY$2&amp;LS_previous!$D$3:$AY$3, 0)),SUM(VLOOKUP($A54, LS_previous!$B$4:$AY$138, LS_previous!I$149, FALSE), VLOOKUP('Staging Table'!$A54, LS_previous!$B$4:$AY$138,LS_previous!AG$149, FALSE))/2)</f>
        <v>13129.168704789328</v>
      </c>
      <c r="R54" s="382">
        <f t="array" ref="R54">IF($G54=0, INDEX(LS_previous!$D$4:$AY$138, MATCH('Staging Table'!$A54, LS_previous!$B$4:$B$138, 0), MATCH(R$4&amp;R$5, LS_previous!$D$2:$AY$2&amp;LS_previous!$D$3:$AY$3, 0)),SUM(VLOOKUP($A54, LS_previous!$B$4:$AY$138, LS_previous!J$149, FALSE), VLOOKUP('Staging Table'!$A54, LS_previous!$B$4:$AY$138,LS_previous!AH$149, FALSE))/2)</f>
        <v>320.43242280357663</v>
      </c>
      <c r="S54" s="382">
        <f t="array" ref="S54">IF($G54=0, INDEX(LS_previous!$D$4:$AY$138, MATCH('Staging Table'!$A54, LS_previous!$B$4:$B$138, 0), MATCH(S$4&amp;S$5, LS_previous!$D$2:$AY$2&amp;LS_previous!$D$3:$AY$3, 0)),SUM(VLOOKUP($A54, LS_previous!$B$4:$AY$138, LS_previous!K$149, FALSE), VLOOKUP('Staging Table'!$A54, LS_previous!$B$4:$AY$138,LS_previous!AI$149, FALSE))/2)</f>
        <v>27127.148802008574</v>
      </c>
      <c r="T54" s="382">
        <f t="array" ref="T54">IF($G54=0, INDEX(LS_previous!$D$4:$AY$138, MATCH('Staging Table'!$A54, LS_previous!$B$4:$B$138, 0), MATCH(T$4&amp;T$5, LS_previous!$D$2:$AY$2&amp;LS_previous!$D$3:$AY$3, 0)),SUM(VLOOKUP($A54, LS_previous!$B$4:$AY$138, LS_previous!L$149, FALSE), VLOOKUP('Staging Table'!$A54, LS_previous!$B$4:$AY$138,LS_previous!AJ$149, FALSE))/2)</f>
        <v>3341.971069899213</v>
      </c>
      <c r="U54" s="382">
        <f t="array" ref="U54">IF($G54=0, INDEX(LS_previous!$D$4:$AY$138, MATCH('Staging Table'!$A54, LS_previous!$B$4:$B$138, 0), MATCH(U$4&amp;U$5, LS_previous!$D$2:$AY$2&amp;LS_previous!$D$3:$AY$3, 0)),SUM(VLOOKUP($A54, LS_previous!$B$4:$AY$138, LS_previous!M$149, FALSE), VLOOKUP('Staging Table'!$A54, LS_previous!$B$4:$AY$138,LS_previous!AK$149, FALSE))/2)</f>
        <v>17205.546048079894</v>
      </c>
      <c r="V54" s="382">
        <f t="array" ref="V54">IF($G54=0, INDEX(LS_previous!$D$4:$AY$138, MATCH('Staging Table'!$A54, LS_previous!$B$4:$B$138, 0), MATCH(V$4&amp;V$5, LS_previous!$D$2:$AY$2&amp;LS_previous!$D$3:$AY$3, 0)),SUM(VLOOKUP($A54, LS_previous!$B$4:$AY$138, LS_previous!N$149, FALSE), VLOOKUP('Staging Table'!$A54, LS_previous!$B$4:$AY$138,LS_previous!AL$149, FALSE))/2)</f>
        <v>-6541.7529532579501</v>
      </c>
      <c r="W54" s="382">
        <f t="array" ref="W54">IF($G54=0, INDEX(LS_previous!$D$4:$AY$138, MATCH('Staging Table'!$A54, LS_previous!$B$4:$B$138, 0), MATCH(W$4&amp;W$5, LS_previous!$D$2:$AY$2&amp;LS_previous!$D$3:$AY$3, 0)),SUM(VLOOKUP($A54, LS_previous!$B$4:$AY$138, LS_previous!O$149, FALSE), VLOOKUP('Staging Table'!$A54, LS_previous!$B$4:$AY$138,LS_previous!AM$149, FALSE))/2)</f>
        <v>8634.5182490807274</v>
      </c>
      <c r="X54" s="382">
        <f t="array" ref="X54">IF($G54=0, INDEX(LS_previous!$D$4:$AY$138, MATCH('Staging Table'!$A54, LS_previous!$B$4:$B$138, 0), MATCH(X$4&amp;X$5, LS_previous!$D$2:$AY$2&amp;LS_previous!$D$3:$AY$3, 0)),SUM(VLOOKUP($A54, LS_previous!$B$4:$AY$138, LS_previous!P$149, FALSE), VLOOKUP('Staging Table'!$A54, LS_previous!$B$4:$AY$138,LS_previous!AN$149, FALSE))/2)</f>
        <v>8163.498664795683</v>
      </c>
      <c r="Y54" s="382">
        <f t="array" ref="Y54">IF($G54=0, INDEX(LS_previous!$D$4:$AY$138, MATCH('Staging Table'!$A54, LS_previous!$B$4:$B$138, 0), MATCH(Y$4&amp;Y$5, LS_previous!$D$2:$AY$2&amp;LS_previous!$D$3:$AY$3, 0)),SUM(VLOOKUP($A54, LS_previous!$B$4:$AY$138, LS_previous!Q$149, FALSE), VLOOKUP('Staging Table'!$A54, LS_previous!$B$4:$AY$138,LS_previous!AO$149, FALSE))/2)</f>
        <v>21633.357190924784</v>
      </c>
      <c r="Z54" s="382">
        <f t="array" ref="Z54">IF($G54=0, INDEX(LS_previous!$D$4:$AY$138, MATCH('Staging Table'!$A54, LS_previous!$B$4:$B$138, 0), MATCH(Z$4&amp;Z$5, LS_previous!$D$2:$AY$2&amp;LS_previous!$D$3:$AY$3, 0)),SUM(VLOOKUP($A54, LS_previous!$B$4:$AY$138, LS_previous!R$149, FALSE), VLOOKUP('Staging Table'!$A54, LS_previous!$B$4:$AY$138,LS_previous!AP$149, FALSE))/2)</f>
        <v>-60124.002012484576</v>
      </c>
      <c r="AA54" s="382">
        <f t="array" ref="AA54">IF($G54=0, INDEX(LS_previous!$D$4:$AY$138, MATCH('Staging Table'!$A54, LS_previous!$B$4:$B$138, 0), MATCH(AA$4&amp;AA$5, LS_previous!$D$2:$AY$2&amp;LS_previous!$D$3:$AY$3, 0)),SUM(VLOOKUP($A54, LS_previous!$B$4:$AY$138, LS_previous!S$149, FALSE), VLOOKUP('Staging Table'!$A54, LS_previous!$B$4:$AY$138,LS_previous!AQ$149, FALSE))/2)</f>
        <v>-5725.6839931025534</v>
      </c>
      <c r="AB54" s="382">
        <f t="array" ref="AB54">IF($G54=0, INDEX(LS_previous!$D$4:$AY$138, MATCH('Staging Table'!$A54, LS_previous!$B$4:$B$138, 0), MATCH(AB$4&amp;AB$5, LS_previous!$D$2:$AY$2&amp;LS_previous!$D$3:$AY$3, 0)),SUM(VLOOKUP($A54, LS_previous!$B$4:$AY$138, LS_previous!T$149, FALSE), VLOOKUP('Staging Table'!$A54, LS_previous!$B$4:$AY$138,LS_previous!AR$149, FALSE))/2)</f>
        <v>-27020.140665280385</v>
      </c>
      <c r="AC54" s="382">
        <f t="array" ref="AC54">IF($G54=0, INDEX(LS_previous!$D$4:$AY$138, MATCH('Staging Table'!$A54, LS_previous!$B$4:$B$138, 0), MATCH(AC$4&amp;AC$5, LS_previous!$D$2:$AY$2&amp;LS_previous!$D$3:$AY$3, 0)),SUM(VLOOKUP($A54, LS_previous!$B$4:$AY$138, LS_previous!U$149, FALSE), VLOOKUP('Staging Table'!$A54, LS_previous!$B$4:$AY$138,LS_previous!AS$149, FALSE))/2)</f>
        <v>1961.8524722977745</v>
      </c>
      <c r="AD54" s="382">
        <f t="array" ref="AD54">IF($G54=0, INDEX(LS_previous!$D$4:$AY$138, MATCH('Staging Table'!$A54, LS_previous!$B$4:$B$138, 0), MATCH(AD$4&amp;AD$5, LS_previous!$D$2:$AY$2&amp;LS_previous!$D$3:$AY$3, 0)),SUM(VLOOKUP($A54, LS_previous!$B$4:$AY$138, LS_previous!V$149, FALSE), VLOOKUP('Staging Table'!$A54, LS_previous!$B$4:$AY$138,LS_previous!AT$149, FALSE))/2)</f>
        <v>-20093.167870988313</v>
      </c>
      <c r="AE54" s="382">
        <f t="array" ref="AE54">IF($G54=0, INDEX(LS_previous!$D$4:$AY$138, MATCH('Staging Table'!$A54, LS_previous!$B$4:$B$138, 0), MATCH(AE$4&amp;AE$5, LS_previous!$D$2:$AY$2&amp;LS_previous!$D$3:$AY$3, 0)),SUM(VLOOKUP($A54, LS_previous!$B$4:$AY$138, LS_previous!W$149, FALSE), VLOOKUP('Staging Table'!$A54, LS_previous!$B$4:$AY$138,LS_previous!AU$149, FALSE))/2)</f>
        <v>22537.076513108557</v>
      </c>
      <c r="AF54" s="382">
        <f t="array" ref="AF54">IF($G54=0, INDEX(LS_previous!$D$4:$AY$138, MATCH('Staging Table'!$A54, LS_previous!$B$4:$B$138, 0), MATCH(AF$4&amp;AF$5, LS_previous!$D$2:$AY$2&amp;LS_previous!$D$3:$AY$3, 0)),SUM(VLOOKUP($A54, LS_previous!$B$4:$AY$138, LS_previous!X$149, FALSE), VLOOKUP('Staging Table'!$A54, LS_previous!$B$4:$AY$138,LS_previous!AV$149, FALSE))/2)</f>
        <v>-20431.095849459591</v>
      </c>
      <c r="AG54" s="382">
        <f t="array" ref="AG54">IF($G54=0, INDEX(LS_previous!$D$4:$AY$138, MATCH('Staging Table'!$A54, LS_previous!$B$4:$B$138, 0), MATCH(AG$4&amp;AG$5, LS_previous!$D$2:$AY$2&amp;LS_previous!$D$3:$AY$3, 0)),SUM(VLOOKUP($A54, LS_previous!$B$4:$AY$138, LS_previous!Y$149, FALSE), VLOOKUP('Staging Table'!$A54, LS_previous!$B$4:$AY$138,LS_previous!AW$149, FALSE))/2)</f>
        <v>13279.889401796107</v>
      </c>
      <c r="AH54" s="382">
        <f t="array" ref="AH54">IF($G54=0, INDEX(LS_previous!$D$4:$AY$138, MATCH('Staging Table'!$A54, LS_previous!$B$4:$B$138, 0), MATCH(AH$4&amp;AH$5, LS_previous!$D$2:$AY$2&amp;LS_previous!$D$3:$AY$3, 0)),SUM(VLOOKUP($A54, LS_previous!$B$4:$AY$138, LS_previous!Z$149, FALSE), VLOOKUP('Staging Table'!$A54, LS_previous!$B$4:$AY$138,LS_previous!AX$149, FALSE))/2)</f>
        <v>939.23440926978219</v>
      </c>
      <c r="AI54" s="382">
        <f t="array" ref="AI54">IF($G54=0, INDEX(LS_previous!$D$4:$AY$138, MATCH('Staging Table'!$A54, LS_previous!$B$4:$B$138, 0), MATCH(AI$4&amp;AI$5, LS_previous!$D$2:$AY$2&amp;LS_previous!$D$3:$AY$3, 0)),SUM(VLOOKUP($A54, LS_previous!$B$4:$AY$138, LS_previous!AA$149, FALSE), VLOOKUP('Staging Table'!$A54, LS_previous!$B$4:$AY$138,LS_previous!AY$149, FALSE))/2)</f>
        <v>18729.724459201832</v>
      </c>
      <c r="AJ54" s="384">
        <f t="array" ref="AJ54">INDEX(Demand_previous!$D$4:$AY$138, MATCH('Staging Table'!$A54, Demand_previous!$B$4:$B$138, 0), MATCH(AJ$4&amp;AJ$5,Demand_previous!$D$2:$AY$2&amp;Demand_previous!$D$3:$AY$3, 0))/1000</f>
        <v>0</v>
      </c>
      <c r="AK54" s="384">
        <f t="array" ref="AK54">INDEX(Demand_previous!$D$4:$AY$138, MATCH('Staging Table'!$A54, Demand_previous!$B$4:$B$138, 0), MATCH(AK$4&amp;AK$5,Demand_previous!$D$2:$AY$2&amp;Demand_previous!$D$3:$AY$3, 0))/1000</f>
        <v>0</v>
      </c>
      <c r="AL54" s="384">
        <f t="array" ref="AL54">INDEX(Demand_previous!$D$4:$AY$138, MATCH('Staging Table'!$A54, Demand_previous!$B$4:$B$138, 0), MATCH(AL$4&amp;AL$5,Demand_previous!$D$2:$AY$2&amp;Demand_previous!$D$3:$AY$3, 0))/1000</f>
        <v>0</v>
      </c>
      <c r="AM54" s="384">
        <f t="array" ref="AM54">INDEX(Demand_previous!$D$4:$AY$138, MATCH('Staging Table'!$A54, Demand_previous!$B$4:$B$138, 0), MATCH(AM$4&amp;AM$5,Demand_previous!$D$2:$AY$2&amp;Demand_previous!$D$3:$AY$3, 0))/1000</f>
        <v>0</v>
      </c>
      <c r="AN54" s="384">
        <f t="array" ref="AN54">INDEX(Demand_previous!$D$4:$AY$138, MATCH('Staging Table'!$A54, Demand_previous!$B$4:$B$138, 0), MATCH(AN$4&amp;AN$5,Demand_previous!$D$2:$AY$2&amp;Demand_previous!$D$3:$AY$3, 0))/1000</f>
        <v>0</v>
      </c>
      <c r="AO54" s="384">
        <f t="array" ref="AO54">INDEX(Demand_previous!$D$4:$AY$138, MATCH('Staging Table'!$A54, Demand_previous!$B$4:$B$138, 0), MATCH(AO$4&amp;AO$5,Demand_previous!$D$2:$AY$2&amp;Demand_previous!$D$3:$AY$3, 0))/1000</f>
        <v>0</v>
      </c>
      <c r="AP54" s="384">
        <f t="array" ref="AP54">INDEX(Demand_previous!$D$4:$AY$138, MATCH('Staging Table'!$A54, Demand_previous!$B$4:$B$138, 0), MATCH(AP$4&amp;AP$5,Demand_previous!$D$2:$AY$2&amp;Demand_previous!$D$3:$AY$3, 0))/1000</f>
        <v>0</v>
      </c>
      <c r="AQ54" s="384">
        <f t="array" ref="AQ54">INDEX(Demand_previous!$D$4:$AY$138, MATCH('Staging Table'!$A54, Demand_previous!$B$4:$B$138, 0), MATCH(AQ$4&amp;AQ$5,Demand_previous!$D$2:$AY$2&amp;Demand_previous!$D$3:$AY$3, 0))/1000</f>
        <v>0</v>
      </c>
      <c r="AR54" s="384">
        <f t="array" ref="AR54">INDEX(Demand_previous!$D$4:$AY$138, MATCH('Staging Table'!$A54, Demand_previous!$B$4:$B$138, 0), MATCH(AR$4&amp;AR$5,Demand_previous!$D$2:$AY$2&amp;Demand_previous!$D$3:$AY$3, 0))/1000</f>
        <v>0</v>
      </c>
      <c r="AS54" s="384">
        <f t="array" ref="AS54">INDEX(Demand_previous!$D$4:$AY$138, MATCH('Staging Table'!$A54, Demand_previous!$B$4:$B$138, 0), MATCH(AS$4&amp;AS$5,Demand_previous!$D$2:$AY$2&amp;Demand_previous!$D$3:$AY$3, 0))/1000</f>
        <v>0</v>
      </c>
      <c r="AT54" s="384">
        <f t="array" ref="AT54">INDEX(Demand_previous!$D$4:$AY$138, MATCH('Staging Table'!$A54, Demand_previous!$B$4:$B$138, 0), MATCH(AT$4&amp;AT$5,Demand_previous!$D$2:$AY$2&amp;Demand_previous!$D$3:$AY$3, 0))/1000</f>
        <v>0</v>
      </c>
      <c r="AU54" s="384">
        <f t="array" ref="AU54">INDEX(Demand_previous!$D$4:$AY$138, MATCH('Staging Table'!$A54, Demand_previous!$B$4:$B$138, 0), MATCH(AU$4&amp;AU$5,Demand_previous!$D$2:$AY$2&amp;Demand_previous!$D$3:$AY$3, 0))/1000</f>
        <v>0</v>
      </c>
      <c r="AV54" s="384">
        <f>IF($D54=0,IF(C54=0, MAX(AY54 - (VLOOKUP($A54,TOCA_previous!$A$2:$AI$137,MATCH("RHWM 2016",TOCA_previous!$A$2:$AI$2,0),FALSE)*$F$2*TOCA_previous!C51),0),0), 0)</f>
        <v>0</v>
      </c>
      <c r="AW54" s="427">
        <f>VLOOKUP($A54,REP_previous!$A$1:$D$135,MATCH("FY "&amp;$F$1&amp; " Total Refund",REP_previous!$A$1:$D$1,0),0)</f>
        <v>6488787.8246806525</v>
      </c>
      <c r="AX54" s="398">
        <f>MIN(VLOOKUP($A54,TOCA_previous!$A$2:$AI$137,MATCH("TRL - NLSL - Exisiting Resource "&amp;$F$1,TOCA_previous!$A$2:$AI$2,0),FALSE)*$F$2,(VLOOKUP($A54,TOCA_previous!$A$2:$AI$137,MATCH("RHWM 2016",TOCA_previous!$A$2:$AI$2,0),FALSE)*$F$2))</f>
        <v>4777090.5600000005</v>
      </c>
      <c r="AY54" s="384">
        <f>SUM(L54:AI54)+(F54*RT1SC!$C$3*$F$2)</f>
        <v>2327249.3946383512</v>
      </c>
      <c r="AZ54" s="398">
        <f>VLOOKUP($A54,TOCA_previous!$A$2:$AI$137,MATCH("Above RHWM Not Served with LS "&amp;$F$1,TOCA_previous!$A$2:$AI$2,0),FALSE)*$F$2</f>
        <v>221119.63199999998</v>
      </c>
      <c r="BA54" s="206">
        <f t="shared" si="3"/>
        <v>-2449841.1653616494</v>
      </c>
      <c r="BB54" s="399">
        <f>(VLOOKUP($A54,TOCA_previous!$A$2:$AI$137,MATCH("RHWM 2016",TOCA_previous!$A$2:$AI$2,0),FALSE)*$F$2) - $AX54</f>
        <v>0</v>
      </c>
      <c r="BC54" s="206">
        <f t="shared" si="4"/>
        <v>0</v>
      </c>
      <c r="BD54" s="400">
        <f t="shared" si="5"/>
        <v>2228721.5333616491</v>
      </c>
      <c r="BE54" s="392">
        <f t="shared" si="6"/>
        <v>0</v>
      </c>
      <c r="BF54" s="399">
        <f t="shared" si="7"/>
        <v>0</v>
      </c>
      <c r="BG54" s="206">
        <f>VLOOKUP($A54,TOCA_current!$A$2:$AI$137,MATCH(BG$4,TOCA_current!$A$2:$AI$2,0),FALSE)</f>
        <v>7.7811000000000005E-2</v>
      </c>
      <c r="BH54" s="206">
        <f>VLOOKUP($A54,TOCA_current!$A$2:$AI$137,MATCH(BH$4,TOCA_current!$A$2:$AI$2,0),FALSE)</f>
        <v>3.7905700000000007E-2</v>
      </c>
      <c r="BI54" s="391">
        <f t="shared" si="8"/>
        <v>3.9905299999999998E-2</v>
      </c>
      <c r="BJ54" s="206">
        <f>VLOOKUP($A54,TOCA_current!A50:BG185,MATCH(BJ$4,TOCA_current!$A$2:$BG$2,0),FALSE)</f>
        <v>0</v>
      </c>
      <c r="BK54" s="206">
        <f t="shared" si="9"/>
        <v>0</v>
      </c>
      <c r="BL54" s="206">
        <f t="shared" si="10"/>
        <v>0</v>
      </c>
      <c r="BM54" s="381">
        <f>VLOOKUP($A54,IRD!$A$4:$G$139, 7, FALSE)</f>
        <v>0</v>
      </c>
      <c r="BN54" s="382">
        <f t="array" ref="BN54">IF($BI54=0, INDEX(LS_current!$D$4:$AY$139, MATCH('Staging Table'!$A54, LS_current!$B$4:$B$139, 0), MATCH(BN$4&amp;BN$5, LS_current!$D$2:$AY$2&amp;LS_current!$D$3:$AY$3, 0)),SUM(VLOOKUP($A54, LS_current!$B$4:$AY$139, LS_current!D$149, FALSE), VLOOKUP($A54, LS_current!$B$4:$AY$139,LS_current!D$149, FALSE))/2)</f>
        <v>-9936.3924380929093</v>
      </c>
      <c r="BO54" s="382">
        <f t="array" ref="BO54">IF($BI54=0, INDEX(LS_current!$D$4:$AY$139, MATCH('Staging Table'!$A54, LS_current!$B$4:$B$139, 0), MATCH(BO$4&amp;BO$5, LS_current!$D$2:$AY$2&amp;LS_current!$D$3:$AY$3, 0)),SUM(VLOOKUP($A54, LS_current!$B$4:$AY$139, LS_current!E$149, FALSE), VLOOKUP($A54, LS_current!$B$4:$AY$139,LS_current!E$149, FALSE))/2)</f>
        <v>21178.714868285198</v>
      </c>
      <c r="BP54" s="382">
        <f t="array" ref="BP54">IF($BI54=0, INDEX(LS_current!$D$4:$AY$139, MATCH('Staging Table'!$A54, LS_current!$B$4:$B$139, 0), MATCH(BP$4&amp;BP$5, LS_current!$D$2:$AY$2&amp;LS_current!$D$3:$AY$3, 0)),SUM(VLOOKUP($A54, LS_current!$B$4:$AY$139, LS_current!F$149, FALSE), VLOOKUP($A54, LS_current!$B$4:$AY$139,LS_current!F$149, FALSE))/2)</f>
        <v>-29613.665184583078</v>
      </c>
      <c r="BQ54" s="382">
        <f t="array" ref="BQ54">IF($BI54=0, INDEX(LS_current!$D$4:$AY$139, MATCH('Staging Table'!$A54, LS_current!$B$4:$B$139, 0), MATCH(BQ$4&amp;BQ$5, LS_current!$D$2:$AY$2&amp;LS_current!$D$3:$AY$3, 0)),SUM(VLOOKUP($A54, LS_current!$B$4:$AY$139, LS_current!G$149, FALSE), VLOOKUP($A54, LS_current!$B$4:$AY$139,LS_current!G$149, FALSE))/2)</f>
        <v>6060.3481836823921</v>
      </c>
      <c r="BR54" s="382">
        <f t="array" ref="BR54">IF($BI54=0, INDEX(LS_current!$D$4:$AY$139, MATCH('Staging Table'!$A54, LS_current!$B$4:$B$139, 0), MATCH(BR$4&amp;BR$5, LS_current!$D$2:$AY$2&amp;LS_current!$D$3:$AY$3, 0)),SUM(VLOOKUP($A54, LS_current!$B$4:$AY$139, LS_current!H$149, FALSE), VLOOKUP($A54, LS_current!$B$4:$AY$139,LS_current!H$149, FALSE))/2)</f>
        <v>-22397.309148003143</v>
      </c>
      <c r="BS54" s="382">
        <f t="array" ref="BS54">IF($BI54=0, INDEX(LS_current!$D$4:$AY$139, MATCH('Staging Table'!$A54, LS_current!$B$4:$B$139, 0), MATCH(BS$4&amp;BS$5, LS_current!$D$2:$AY$2&amp;LS_current!$D$3:$AY$3, 0)),SUM(VLOOKUP($A54, LS_current!$B$4:$AY$139, LS_current!I$149, FALSE), VLOOKUP($A54, LS_current!$B$4:$AY$139,LS_current!I$149, FALSE))/2)</f>
        <v>15177.90987187362</v>
      </c>
      <c r="BT54" s="382">
        <f t="array" ref="BT54">IF($BI54=0, INDEX(LS_current!$D$4:$AY$139, MATCH('Staging Table'!$A54, LS_current!$B$4:$B$139, 0), MATCH(BT$4&amp;BT$5, LS_current!$D$2:$AY$2&amp;LS_current!$D$3:$AY$3, 0)),SUM(VLOOKUP($A54, LS_current!$B$4:$AY$139, LS_current!J$149, FALSE), VLOOKUP($A54, LS_current!$B$4:$AY$139,LS_current!J$149, FALSE))/2)</f>
        <v>1502.7365794372454</v>
      </c>
      <c r="BU54" s="382">
        <f t="array" ref="BU54">IF($BI54=0, INDEX(LS_current!$D$4:$AY$139, MATCH('Staging Table'!$A54, LS_current!$B$4:$B$139, 0), MATCH(BU$4&amp;BU$5, LS_current!$D$2:$AY$2&amp;LS_current!$D$3:$AY$3, 0)),SUM(VLOOKUP($A54, LS_current!$B$4:$AY$139, LS_current!K$149, FALSE), VLOOKUP($A54, LS_current!$B$4:$AY$139,LS_current!K$149, FALSE))/2)</f>
        <v>20644.036866712311</v>
      </c>
      <c r="BV54" s="382">
        <f t="array" ref="BV54">IF($BI54=0, INDEX(LS_current!$D$4:$AY$139, MATCH('Staging Table'!$A54, LS_current!$B$4:$B$139, 0), MATCH(BV$4&amp;BV$5, LS_current!$D$2:$AY$2&amp;LS_current!$D$3:$AY$3, 0)),SUM(VLOOKUP($A54, LS_current!$B$4:$AY$139, LS_current!L$149, FALSE), VLOOKUP($A54, LS_current!$B$4:$AY$139,LS_current!L$149, FALSE))/2)</f>
        <v>6886.6183174770267</v>
      </c>
      <c r="BW54" s="382">
        <f t="array" ref="BW54">IF($BI54=0, INDEX(LS_current!$D$4:$AY$139, MATCH('Staging Table'!$A54, LS_current!$B$4:$B$139, 0), MATCH(BW$4&amp;BW$5, LS_current!$D$2:$AY$2&amp;LS_current!$D$3:$AY$3, 0)),SUM(VLOOKUP($A54, LS_current!$B$4:$AY$139, LS_current!M$149, FALSE), VLOOKUP($A54, LS_current!$B$4:$AY$139,LS_current!M$149, FALSE))/2)</f>
        <v>21193.38382829741</v>
      </c>
      <c r="BX54" s="382">
        <f t="array" ref="BX54">IF($BI54=0, INDEX(LS_current!$D$4:$AY$139, MATCH('Staging Table'!$A54, LS_current!$B$4:$B$139, 0), MATCH(BX$4&amp;BX$5, LS_current!$D$2:$AY$2&amp;LS_current!$D$3:$AY$3, 0)),SUM(VLOOKUP($A54, LS_current!$B$4:$AY$139, LS_current!N$149, FALSE), VLOOKUP($A54, LS_current!$B$4:$AY$139,LS_current!N$149, FALSE))/2)</f>
        <v>-2358.8942909710313</v>
      </c>
      <c r="BY54" s="382">
        <f t="array" ref="BY54">IF($BI54=0, INDEX(LS_current!$D$4:$AY$139, MATCH('Staging Table'!$A54, LS_current!$B$4:$B$139, 0), MATCH(BY$4&amp;BY$5, LS_current!$D$2:$AY$2&amp;LS_current!$D$3:$AY$3, 0)),SUM(VLOOKUP($A54, LS_current!$B$4:$AY$139, LS_current!O$149, FALSE), VLOOKUP($A54, LS_current!$B$4:$AY$139,LS_current!O$149, FALSE))/2)</f>
        <v>14071.474565058117</v>
      </c>
      <c r="BZ54" s="382">
        <f t="array" ref="BZ54">IF($BI54=0, INDEX(LS_current!$D$4:$AY$139, MATCH('Staging Table'!$A54, LS_current!$B$4:$B$139, 0), MATCH(BZ$4&amp;BZ$5, LS_current!$D$2:$AY$2&amp;LS_current!$D$3:$AY$3, 0)),SUM(VLOOKUP($A54, LS_current!$B$4:$AY$139, LS_current!P$149, FALSE), VLOOKUP($A54, LS_current!$B$4:$AY$139,LS_current!P$149, FALSE))/2)</f>
        <v>-7649.700534937685</v>
      </c>
      <c r="CA54" s="382">
        <f t="array" ref="CA54">IF($BI54=0, INDEX(LS_current!$D$4:$AY$139, MATCH('Staging Table'!$A54, LS_current!$B$4:$B$139, 0), MATCH(CA$4&amp;CA$5, LS_current!$D$2:$AY$2&amp;LS_current!$D$3:$AY$3, 0)),SUM(VLOOKUP($A54, LS_current!$B$4:$AY$139, LS_current!Q$149, FALSE), VLOOKUP($A54, LS_current!$B$4:$AY$139,LS_current!Q$149, FALSE))/2)</f>
        <v>21141.376283629892</v>
      </c>
      <c r="CB54" s="382">
        <f t="array" ref="CB54">IF($BI54=0, INDEX(LS_current!$D$4:$AY$139, MATCH('Staging Table'!$A54, LS_current!$B$4:$B$139, 0), MATCH(CB$4&amp;CB$5, LS_current!$D$2:$AY$2&amp;LS_current!$D$3:$AY$3, 0)),SUM(VLOOKUP($A54, LS_current!$B$4:$AY$139, LS_current!R$149, FALSE), VLOOKUP($A54, LS_current!$B$4:$AY$139,LS_current!R$149, FALSE))/2)</f>
        <v>-58623.167922006862</v>
      </c>
      <c r="CC54" s="382">
        <f t="array" ref="CC54">IF($BI54=0, INDEX(LS_current!$D$4:$AY$139, MATCH('Staging Table'!$A54, LS_current!$B$4:$B$139, 0), MATCH(CC$4&amp;CC$5, LS_current!$D$2:$AY$2&amp;LS_current!$D$3:$AY$3, 0)),SUM(VLOOKUP($A54, LS_current!$B$4:$AY$139, LS_current!S$149, FALSE), VLOOKUP($A54, LS_current!$B$4:$AY$139,LS_current!S$149, FALSE))/2)</f>
        <v>-10712.956787675532</v>
      </c>
      <c r="CD54" s="382">
        <f t="array" ref="CD54">IF($BI54=0, INDEX(LS_current!$D$4:$AY$139, MATCH('Staging Table'!$A54, LS_current!$B$4:$B$139, 0), MATCH(CD$4&amp;CD$5, LS_current!$D$2:$AY$2&amp;LS_current!$D$3:$AY$3, 0)),SUM(VLOOKUP($A54, LS_current!$B$4:$AY$139, LS_current!T$149, FALSE), VLOOKUP($A54, LS_current!$B$4:$AY$139,LS_current!T$149, FALSE))/2)</f>
        <v>-28269.581027189706</v>
      </c>
      <c r="CE54" s="382">
        <f t="array" ref="CE54">IF($BI54=0, INDEX(LS_current!$D$4:$AY$139, MATCH('Staging Table'!$A54, LS_current!$B$4:$B$139, 0), MATCH(CE$4&amp;CE$5, LS_current!$D$2:$AY$2&amp;LS_current!$D$3:$AY$3, 0)),SUM(VLOOKUP($A54, LS_current!$B$4:$AY$139, LS_current!U$149, FALSE), VLOOKUP($A54, LS_current!$B$4:$AY$139,LS_current!U$149, FALSE))/2)</f>
        <v>5830.1199189692707</v>
      </c>
      <c r="CF54" s="382">
        <f t="array" ref="CF54">IF($BI54=0, INDEX(LS_current!$D$4:$AY$139, MATCH('Staging Table'!$A54, LS_current!$B$4:$B$139, 0), MATCH(CF$4&amp;CF$5, LS_current!$D$2:$AY$2&amp;LS_current!$D$3:$AY$3, 0)),SUM(VLOOKUP($A54, LS_current!$B$4:$AY$139, LS_current!V$149, FALSE), VLOOKUP($A54, LS_current!$B$4:$AY$139,LS_current!V$149, FALSE))/2)</f>
        <v>-14575.116040114182</v>
      </c>
      <c r="CG54" s="382">
        <f t="array" ref="CG54">IF($BI54=0, INDEX(LS_current!$D$4:$AY$139, MATCH('Staging Table'!$A54, LS_current!$B$4:$B$139, 0), MATCH(CG$4&amp;CG$5, LS_current!$D$2:$AY$2&amp;LS_current!$D$3:$AY$3, 0)),SUM(VLOOKUP($A54, LS_current!$B$4:$AY$139, LS_current!W$149, FALSE), VLOOKUP($A54, LS_current!$B$4:$AY$139,LS_current!W$149, FALSE))/2)</f>
        <v>25456.938624328548</v>
      </c>
      <c r="CH54" s="382">
        <f t="array" ref="CH54">IF($BI54=0, INDEX(LS_current!$D$4:$AY$139, MATCH('Staging Table'!$A54, LS_current!$B$4:$B$139, 0), MATCH(CH$4&amp;CH$5, LS_current!$D$2:$AY$2&amp;LS_current!$D$3:$AY$3, 0)),SUM(VLOOKUP($A54, LS_current!$B$4:$AY$139, LS_current!X$149, FALSE), VLOOKUP($A54, LS_current!$B$4:$AY$139,LS_current!X$149, FALSE))/2)</f>
        <v>-21873.242919173921</v>
      </c>
      <c r="CI54" s="382">
        <f t="array" ref="CI54">IF($BI54=0, INDEX(LS_current!$D$4:$AY$139, MATCH('Staging Table'!$A54, LS_current!$B$4:$B$139, 0), MATCH(CI$4&amp;CI$5, LS_current!$D$2:$AY$2&amp;LS_current!$D$3:$AY$3, 0)),SUM(VLOOKUP($A54, LS_current!$B$4:$AY$139, LS_current!Y$149, FALSE), VLOOKUP($A54, LS_current!$B$4:$AY$139,LS_current!Y$149, FALSE))/2)</f>
        <v>13842.842070459425</v>
      </c>
      <c r="CJ54" s="382">
        <f t="array" ref="CJ54">IF($BI54=0, INDEX(LS_current!$D$4:$AY$139, MATCH('Staging Table'!$A54, LS_current!$B$4:$B$139, 0), MATCH(CJ$4&amp;CJ$5, LS_current!$D$2:$AY$2&amp;LS_current!$D$3:$AY$3, 0)),SUM(VLOOKUP($A54, LS_current!$B$4:$AY$139, LS_current!Z$149, FALSE), VLOOKUP($A54, LS_current!$B$4:$AY$139,LS_current!Z$149, FALSE))/2)</f>
        <v>-15646.699017373016</v>
      </c>
      <c r="CK54" s="382">
        <f t="array" ref="CK54">IF($BI54=0, INDEX(LS_current!$D$4:$AY$139, MATCH('Staging Table'!$A54, LS_current!$B$4:$B$139, 0), MATCH(CK$4&amp;CK$5, LS_current!$D$2:$AY$2&amp;LS_current!$D$3:$AY$3, 0)),SUM(VLOOKUP($A54, LS_current!$B$4:$AY$139, LS_current!AA$149, FALSE), VLOOKUP($A54, LS_current!$B$4:$AY$139,LS_current!AA$149, FALSE))/2)</f>
        <v>21348.837540907531</v>
      </c>
      <c r="CL54" s="384">
        <f t="array" ref="CL54">INDEX(Demand_current!$D$4:$AY$138, MATCH($A54, Demand_current!$B$4:$B$138, 0), MATCH(CL$4&amp;CL$5,Demand_current!$D$2:$AY$2&amp;Demand_current!$D$3:$AY$3, 0))/1000</f>
        <v>0</v>
      </c>
      <c r="CM54" s="384">
        <f t="array" ref="CM54">INDEX(Demand_current!$D$4:$AY$138, MATCH($A54, Demand_current!$B$4:$B$138, 0), MATCH(CM$4&amp;CM$5,Demand_current!$D$2:$AY$2&amp;Demand_current!$D$3:$AY$3, 0))/1000</f>
        <v>0</v>
      </c>
      <c r="CN54" s="384">
        <f t="array" ref="CN54">INDEX(Demand_current!$D$4:$AY$138, MATCH($A54, Demand_current!$B$4:$B$138, 0), MATCH(CN$4&amp;CN$5,Demand_current!$D$2:$AY$2&amp;Demand_current!$D$3:$AY$3, 0))/1000</f>
        <v>0</v>
      </c>
      <c r="CO54" s="384">
        <f t="array" ref="CO54">INDEX(Demand_current!$D$4:$AY$138, MATCH($A54, Demand_current!$B$4:$B$138, 0), MATCH(CO$4&amp;CO$5,Demand_current!$D$2:$AY$2&amp;Demand_current!$D$3:$AY$3, 0))/1000</f>
        <v>0</v>
      </c>
      <c r="CP54" s="384">
        <f t="array" ref="CP54">INDEX(Demand_current!$D$4:$AY$138, MATCH($A54, Demand_current!$B$4:$B$138, 0), MATCH(CP$4&amp;CP$5,Demand_current!$D$2:$AY$2&amp;Demand_current!$D$3:$AY$3, 0))/1000</f>
        <v>0</v>
      </c>
      <c r="CQ54" s="384">
        <f t="array" ref="CQ54">INDEX(Demand_current!$D$4:$AY$138, MATCH($A54, Demand_current!$B$4:$B$138, 0), MATCH(CQ$4&amp;CQ$5,Demand_current!$D$2:$AY$2&amp;Demand_current!$D$3:$AY$3, 0))/1000</f>
        <v>0</v>
      </c>
      <c r="CR54" s="384">
        <f t="array" ref="CR54">INDEX(Demand_current!$D$4:$AY$138, MATCH($A54, Demand_current!$B$4:$B$138, 0), MATCH(CR$4&amp;CR$5,Demand_current!$D$2:$AY$2&amp;Demand_current!$D$3:$AY$3, 0))/1000</f>
        <v>0</v>
      </c>
      <c r="CS54" s="384">
        <f t="array" ref="CS54">INDEX(Demand_current!$D$4:$AY$138, MATCH($A54, Demand_current!$B$4:$B$138, 0), MATCH(CS$4&amp;CS$5,Demand_current!$D$2:$AY$2&amp;Demand_current!$D$3:$AY$3, 0))/1000</f>
        <v>0</v>
      </c>
      <c r="CT54" s="384">
        <f t="array" ref="CT54">INDEX(Demand_current!$D$4:$AY$138, MATCH($A54, Demand_current!$B$4:$B$138, 0), MATCH(CT$4&amp;CT$5,Demand_current!$D$2:$AY$2&amp;Demand_current!$D$3:$AY$3, 0))/1000</f>
        <v>0</v>
      </c>
      <c r="CU54" s="384">
        <f t="array" ref="CU54">INDEX(Demand_current!$D$4:$AY$138, MATCH($A54, Demand_current!$B$4:$B$138, 0), MATCH(CU$4&amp;CU$5,Demand_current!$D$2:$AY$2&amp;Demand_current!$D$3:$AY$3, 0))/1000</f>
        <v>0</v>
      </c>
      <c r="CV54" s="384">
        <f t="array" ref="CV54">INDEX(Demand_current!$D$4:$AY$138, MATCH($A54, Demand_current!$B$4:$B$138, 0), MATCH(CV$4&amp;CV$5,Demand_current!$D$2:$AY$2&amp;Demand_current!$D$3:$AY$3, 0))/1000</f>
        <v>0</v>
      </c>
      <c r="CW54" s="384">
        <f t="array" ref="CW54">INDEX(Demand_current!$D$4:$AY$138, MATCH($A54, Demand_current!$B$4:$B$138, 0), MATCH(CW$4&amp;CW$5,Demand_current!$D$2:$AY$2&amp;Demand_current!$D$3:$AY$3, 0))/1000</f>
        <v>0</v>
      </c>
      <c r="CX54" s="384">
        <f>IF(D54=0,IF(C54=0,MAX(0,DA54 - (VLOOKUP($A54,TOCA_current!$A$2:$AI$137,MATCH("RHWM 2018",TOCA_current!$A$2:$AI$2,0),FALSE)*$BH$2)), 0),0)</f>
        <v>0</v>
      </c>
      <c r="CY54" s="427">
        <f>VLOOKUP($A54,REP_current!$A$1:$D$135,MATCH("FY "&amp;$BH$1&amp; " Total Refund",REP_current!$A$1:$D$1,0),0)</f>
        <v>6533371.8532547178</v>
      </c>
      <c r="CZ54" s="432">
        <f>MIN(VLOOKUP($A54,TOCA_current!$A$2:$AI$137,MATCH("TRL - NLSL - Existing Resource "&amp;$BH$1,TOCA_current!$A$2:$AI$2,0),FALSE)*$BH$2, VLOOKUP($A54,TOCA_current!$A$2:$AI$137,MATCH("RHWM 2018",TOCA_current!$A$2:$AI$2,0),FALSE)*$BH$2)</f>
        <v>4733772.5999999996</v>
      </c>
      <c r="DA54" s="397">
        <f>SUM(BN54:CK54)+(BH54*RT1SC!$C$4*$BH$2)</f>
        <v>2278742.0336434692</v>
      </c>
      <c r="DB54" s="432">
        <f>VLOOKUP($A54,TOCA_current!$A$2:$AI$137,MATCH("Above RHWM Not Served with LS "&amp;$BH$1,TOCA_current!$A$2:$AI$2,0),FALSE)*$BH$2</f>
        <v>379579.56000000006</v>
      </c>
      <c r="DC54" s="401">
        <f t="shared" si="11"/>
        <v>-2455030.5663565304</v>
      </c>
      <c r="DD54" s="397">
        <f>(VLOOKUP($A54,TOCA_current!$A$2:$AI$137,MATCH("RHWM 2018",TOCA_current!$A$2:$AI$2,0),FALSE)*$BH$2) - $CZ54</f>
        <v>0</v>
      </c>
      <c r="DE54" s="397">
        <f t="shared" si="12"/>
        <v>0</v>
      </c>
      <c r="DF54" s="397">
        <f t="shared" si="13"/>
        <v>2075451.0063565304</v>
      </c>
      <c r="DG54" s="397">
        <f t="shared" si="14"/>
        <v>0</v>
      </c>
      <c r="DH54" s="397">
        <f t="shared" si="15"/>
        <v>0</v>
      </c>
    </row>
    <row r="55" spans="1:112">
      <c r="A55" s="274">
        <v>10136</v>
      </c>
      <c r="B55" s="275" t="s">
        <v>56</v>
      </c>
      <c r="C55" s="397">
        <v>1</v>
      </c>
      <c r="D55" s="397">
        <v>0</v>
      </c>
      <c r="E55" s="205">
        <f>VLOOKUP($A55,TOCA_previous!$A$2:$AI$137,MATCH(E$4,TOCA_previous!$A$2:$AI$2,0),FALSE)</f>
        <v>2.5810999999999998E-3</v>
      </c>
      <c r="F55" s="206">
        <f>VLOOKUP($A55,TOCA_previous!$A$2:$AI$137,MATCH(F$4,TOCA_previous!$A$2:$AI$2,0),FALSE)</f>
        <v>2.5810999999999998E-3</v>
      </c>
      <c r="G55" s="206">
        <f t="shared" si="0"/>
        <v>0</v>
      </c>
      <c r="H55" s="206">
        <f>VLOOKUP($A55,TOCA_previous!$A$2:$AI$137,MATCH(H$4,TOCA_previous!$A$2:$AI$2,0),FALSE)</f>
        <v>7.0000000000000007E-2</v>
      </c>
      <c r="I55" s="206">
        <f t="shared" si="1"/>
        <v>7.0000000000000007E-2</v>
      </c>
      <c r="J55" s="206">
        <f t="shared" si="2"/>
        <v>2.5810999999999998E-3</v>
      </c>
      <c r="K55" s="381">
        <f>VLOOKUP(A55, IRD!$A$5:$C$139, 3, FALSE)</f>
        <v>0</v>
      </c>
      <c r="L55" s="382">
        <f t="array" ref="L55">IF($G55=0, INDEX(LS_previous!$D$4:$AY$138, MATCH('Staging Table'!$A55, LS_previous!$B$4:$B$138, 0), MATCH(L$4&amp;L$5, LS_previous!$D$2:$AY$2&amp;LS_previous!$D$3:$AY$3, 0)),SUM(VLOOKUP($A55, LS_previous!$B$4:$AY$138, LS_previous!D$149, FALSE), VLOOKUP('Staging Table'!$A55, LS_previous!$B$4:$AY$138,LS_previous!AB$149, FALSE))/2)</f>
        <v>0</v>
      </c>
      <c r="M55" s="382">
        <f t="array" ref="M55">IF($G55=0, INDEX(LS_previous!$D$4:$AY$138, MATCH('Staging Table'!$A55, LS_previous!$B$4:$B$138, 0), MATCH(M$4&amp;M$5, LS_previous!$D$2:$AY$2&amp;LS_previous!$D$3:$AY$3, 0)),SUM(VLOOKUP($A55, LS_previous!$B$4:$AY$138, LS_previous!E$149, FALSE), VLOOKUP('Staging Table'!$A55, LS_previous!$B$4:$AY$138,LS_previous!AC$149, FALSE))/2)</f>
        <v>0</v>
      </c>
      <c r="N55" s="382">
        <f t="array" ref="N55">IF($G55=0, INDEX(LS_previous!$D$4:$AY$138, MATCH('Staging Table'!$A55, LS_previous!$B$4:$B$138, 0), MATCH(N$4&amp;N$5, LS_previous!$D$2:$AY$2&amp;LS_previous!$D$3:$AY$3, 0)),SUM(VLOOKUP($A55, LS_previous!$B$4:$AY$138, LS_previous!F$149, FALSE), VLOOKUP('Staging Table'!$A55, LS_previous!$B$4:$AY$138,LS_previous!AD$149, FALSE))/2)</f>
        <v>0</v>
      </c>
      <c r="O55" s="382">
        <f t="array" ref="O55">IF($G55=0, INDEX(LS_previous!$D$4:$AY$138, MATCH('Staging Table'!$A55, LS_previous!$B$4:$B$138, 0), MATCH(O$4&amp;O$5, LS_previous!$D$2:$AY$2&amp;LS_previous!$D$3:$AY$3, 0)),SUM(VLOOKUP($A55, LS_previous!$B$4:$AY$138, LS_previous!G$149, FALSE), VLOOKUP('Staging Table'!$A55, LS_previous!$B$4:$AY$138,LS_previous!AE$149, FALSE))/2)</f>
        <v>0</v>
      </c>
      <c r="P55" s="382">
        <f t="array" ref="P55">IF($G55=0, INDEX(LS_previous!$D$4:$AY$138, MATCH('Staging Table'!$A55, LS_previous!$B$4:$B$138, 0), MATCH(P$4&amp;P$5, LS_previous!$D$2:$AY$2&amp;LS_previous!$D$3:$AY$3, 0)),SUM(VLOOKUP($A55, LS_previous!$B$4:$AY$138, LS_previous!H$149, FALSE), VLOOKUP('Staging Table'!$A55, LS_previous!$B$4:$AY$138,LS_previous!AF$149, FALSE))/2)</f>
        <v>0</v>
      </c>
      <c r="Q55" s="382">
        <f t="array" ref="Q55">IF($G55=0, INDEX(LS_previous!$D$4:$AY$138, MATCH('Staging Table'!$A55, LS_previous!$B$4:$B$138, 0), MATCH(Q$4&amp;Q$5, LS_previous!$D$2:$AY$2&amp;LS_previous!$D$3:$AY$3, 0)),SUM(VLOOKUP($A55, LS_previous!$B$4:$AY$138, LS_previous!I$149, FALSE), VLOOKUP('Staging Table'!$A55, LS_previous!$B$4:$AY$138,LS_previous!AG$149, FALSE))/2)</f>
        <v>0</v>
      </c>
      <c r="R55" s="382">
        <f t="array" ref="R55">IF($G55=0, INDEX(LS_previous!$D$4:$AY$138, MATCH('Staging Table'!$A55, LS_previous!$B$4:$B$138, 0), MATCH(R$4&amp;R$5, LS_previous!$D$2:$AY$2&amp;LS_previous!$D$3:$AY$3, 0)),SUM(VLOOKUP($A55, LS_previous!$B$4:$AY$138, LS_previous!J$149, FALSE), VLOOKUP('Staging Table'!$A55, LS_previous!$B$4:$AY$138,LS_previous!AH$149, FALSE))/2)</f>
        <v>0</v>
      </c>
      <c r="S55" s="382">
        <f t="array" ref="S55">IF($G55=0, INDEX(LS_previous!$D$4:$AY$138, MATCH('Staging Table'!$A55, LS_previous!$B$4:$B$138, 0), MATCH(S$4&amp;S$5, LS_previous!$D$2:$AY$2&amp;LS_previous!$D$3:$AY$3, 0)),SUM(VLOOKUP($A55, LS_previous!$B$4:$AY$138, LS_previous!K$149, FALSE), VLOOKUP('Staging Table'!$A55, LS_previous!$B$4:$AY$138,LS_previous!AI$149, FALSE))/2)</f>
        <v>0</v>
      </c>
      <c r="T55" s="382">
        <f t="array" ref="T55">IF($G55=0, INDEX(LS_previous!$D$4:$AY$138, MATCH('Staging Table'!$A55, LS_previous!$B$4:$B$138, 0), MATCH(T$4&amp;T$5, LS_previous!$D$2:$AY$2&amp;LS_previous!$D$3:$AY$3, 0)),SUM(VLOOKUP($A55, LS_previous!$B$4:$AY$138, LS_previous!L$149, FALSE), VLOOKUP('Staging Table'!$A55, LS_previous!$B$4:$AY$138,LS_previous!AJ$149, FALSE))/2)</f>
        <v>0</v>
      </c>
      <c r="U55" s="382">
        <f t="array" ref="U55">IF($G55=0, INDEX(LS_previous!$D$4:$AY$138, MATCH('Staging Table'!$A55, LS_previous!$B$4:$B$138, 0), MATCH(U$4&amp;U$5, LS_previous!$D$2:$AY$2&amp;LS_previous!$D$3:$AY$3, 0)),SUM(VLOOKUP($A55, LS_previous!$B$4:$AY$138, LS_previous!M$149, FALSE), VLOOKUP('Staging Table'!$A55, LS_previous!$B$4:$AY$138,LS_previous!AK$149, FALSE))/2)</f>
        <v>0</v>
      </c>
      <c r="V55" s="382">
        <f t="array" ref="V55">IF($G55=0, INDEX(LS_previous!$D$4:$AY$138, MATCH('Staging Table'!$A55, LS_previous!$B$4:$B$138, 0), MATCH(V$4&amp;V$5, LS_previous!$D$2:$AY$2&amp;LS_previous!$D$3:$AY$3, 0)),SUM(VLOOKUP($A55, LS_previous!$B$4:$AY$138, LS_previous!N$149, FALSE), VLOOKUP('Staging Table'!$A55, LS_previous!$B$4:$AY$138,LS_previous!AL$149, FALSE))/2)</f>
        <v>0</v>
      </c>
      <c r="W55" s="382">
        <f t="array" ref="W55">IF($G55=0, INDEX(LS_previous!$D$4:$AY$138, MATCH('Staging Table'!$A55, LS_previous!$B$4:$B$138, 0), MATCH(W$4&amp;W$5, LS_previous!$D$2:$AY$2&amp;LS_previous!$D$3:$AY$3, 0)),SUM(VLOOKUP($A55, LS_previous!$B$4:$AY$138, LS_previous!O$149, FALSE), VLOOKUP('Staging Table'!$A55, LS_previous!$B$4:$AY$138,LS_previous!AM$149, FALSE))/2)</f>
        <v>0</v>
      </c>
      <c r="X55" s="382">
        <f t="array" ref="X55">IF($G55=0, INDEX(LS_previous!$D$4:$AY$138, MATCH('Staging Table'!$A55, LS_previous!$B$4:$B$138, 0), MATCH(X$4&amp;X$5, LS_previous!$D$2:$AY$2&amp;LS_previous!$D$3:$AY$3, 0)),SUM(VLOOKUP($A55, LS_previous!$B$4:$AY$138, LS_previous!P$149, FALSE), VLOOKUP('Staging Table'!$A55, LS_previous!$B$4:$AY$138,LS_previous!AN$149, FALSE))/2)</f>
        <v>0</v>
      </c>
      <c r="Y55" s="382">
        <f t="array" ref="Y55">IF($G55=0, INDEX(LS_previous!$D$4:$AY$138, MATCH('Staging Table'!$A55, LS_previous!$B$4:$B$138, 0), MATCH(Y$4&amp;Y$5, LS_previous!$D$2:$AY$2&amp;LS_previous!$D$3:$AY$3, 0)),SUM(VLOOKUP($A55, LS_previous!$B$4:$AY$138, LS_previous!Q$149, FALSE), VLOOKUP('Staging Table'!$A55, LS_previous!$B$4:$AY$138,LS_previous!AO$149, FALSE))/2)</f>
        <v>0</v>
      </c>
      <c r="Z55" s="382">
        <f t="array" ref="Z55">IF($G55=0, INDEX(LS_previous!$D$4:$AY$138, MATCH('Staging Table'!$A55, LS_previous!$B$4:$B$138, 0), MATCH(Z$4&amp;Z$5, LS_previous!$D$2:$AY$2&amp;LS_previous!$D$3:$AY$3, 0)),SUM(VLOOKUP($A55, LS_previous!$B$4:$AY$138, LS_previous!R$149, FALSE), VLOOKUP('Staging Table'!$A55, LS_previous!$B$4:$AY$138,LS_previous!AP$149, FALSE))/2)</f>
        <v>0</v>
      </c>
      <c r="AA55" s="382">
        <f t="array" ref="AA55">IF($G55=0, INDEX(LS_previous!$D$4:$AY$138, MATCH('Staging Table'!$A55, LS_previous!$B$4:$B$138, 0), MATCH(AA$4&amp;AA$5, LS_previous!$D$2:$AY$2&amp;LS_previous!$D$3:$AY$3, 0)),SUM(VLOOKUP($A55, LS_previous!$B$4:$AY$138, LS_previous!S$149, FALSE), VLOOKUP('Staging Table'!$A55, LS_previous!$B$4:$AY$138,LS_previous!AQ$149, FALSE))/2)</f>
        <v>0</v>
      </c>
      <c r="AB55" s="382">
        <f t="array" ref="AB55">IF($G55=0, INDEX(LS_previous!$D$4:$AY$138, MATCH('Staging Table'!$A55, LS_previous!$B$4:$B$138, 0), MATCH(AB$4&amp;AB$5, LS_previous!$D$2:$AY$2&amp;LS_previous!$D$3:$AY$3, 0)),SUM(VLOOKUP($A55, LS_previous!$B$4:$AY$138, LS_previous!T$149, FALSE), VLOOKUP('Staging Table'!$A55, LS_previous!$B$4:$AY$138,LS_previous!AR$149, FALSE))/2)</f>
        <v>0</v>
      </c>
      <c r="AC55" s="382">
        <f t="array" ref="AC55">IF($G55=0, INDEX(LS_previous!$D$4:$AY$138, MATCH('Staging Table'!$A55, LS_previous!$B$4:$B$138, 0), MATCH(AC$4&amp;AC$5, LS_previous!$D$2:$AY$2&amp;LS_previous!$D$3:$AY$3, 0)),SUM(VLOOKUP($A55, LS_previous!$B$4:$AY$138, LS_previous!U$149, FALSE), VLOOKUP('Staging Table'!$A55, LS_previous!$B$4:$AY$138,LS_previous!AS$149, FALSE))/2)</f>
        <v>0</v>
      </c>
      <c r="AD55" s="382">
        <f t="array" ref="AD55">IF($G55=0, INDEX(LS_previous!$D$4:$AY$138, MATCH('Staging Table'!$A55, LS_previous!$B$4:$B$138, 0), MATCH(AD$4&amp;AD$5, LS_previous!$D$2:$AY$2&amp;LS_previous!$D$3:$AY$3, 0)),SUM(VLOOKUP($A55, LS_previous!$B$4:$AY$138, LS_previous!V$149, FALSE), VLOOKUP('Staging Table'!$A55, LS_previous!$B$4:$AY$138,LS_previous!AT$149, FALSE))/2)</f>
        <v>0</v>
      </c>
      <c r="AE55" s="382">
        <f t="array" ref="AE55">IF($G55=0, INDEX(LS_previous!$D$4:$AY$138, MATCH('Staging Table'!$A55, LS_previous!$B$4:$B$138, 0), MATCH(AE$4&amp;AE$5, LS_previous!$D$2:$AY$2&amp;LS_previous!$D$3:$AY$3, 0)),SUM(VLOOKUP($A55, LS_previous!$B$4:$AY$138, LS_previous!W$149, FALSE), VLOOKUP('Staging Table'!$A55, LS_previous!$B$4:$AY$138,LS_previous!AU$149, FALSE))/2)</f>
        <v>0</v>
      </c>
      <c r="AF55" s="382">
        <f t="array" ref="AF55">IF($G55=0, INDEX(LS_previous!$D$4:$AY$138, MATCH('Staging Table'!$A55, LS_previous!$B$4:$B$138, 0), MATCH(AF$4&amp;AF$5, LS_previous!$D$2:$AY$2&amp;LS_previous!$D$3:$AY$3, 0)),SUM(VLOOKUP($A55, LS_previous!$B$4:$AY$138, LS_previous!X$149, FALSE), VLOOKUP('Staging Table'!$A55, LS_previous!$B$4:$AY$138,LS_previous!AV$149, FALSE))/2)</f>
        <v>0</v>
      </c>
      <c r="AG55" s="382">
        <f t="array" ref="AG55">IF($G55=0, INDEX(LS_previous!$D$4:$AY$138, MATCH('Staging Table'!$A55, LS_previous!$B$4:$B$138, 0), MATCH(AG$4&amp;AG$5, LS_previous!$D$2:$AY$2&amp;LS_previous!$D$3:$AY$3, 0)),SUM(VLOOKUP($A55, LS_previous!$B$4:$AY$138, LS_previous!Y$149, FALSE), VLOOKUP('Staging Table'!$A55, LS_previous!$B$4:$AY$138,LS_previous!AW$149, FALSE))/2)</f>
        <v>0</v>
      </c>
      <c r="AH55" s="382">
        <f t="array" ref="AH55">IF($G55=0, INDEX(LS_previous!$D$4:$AY$138, MATCH('Staging Table'!$A55, LS_previous!$B$4:$B$138, 0), MATCH(AH$4&amp;AH$5, LS_previous!$D$2:$AY$2&amp;LS_previous!$D$3:$AY$3, 0)),SUM(VLOOKUP($A55, LS_previous!$B$4:$AY$138, LS_previous!Z$149, FALSE), VLOOKUP('Staging Table'!$A55, LS_previous!$B$4:$AY$138,LS_previous!AX$149, FALSE))/2)</f>
        <v>0</v>
      </c>
      <c r="AI55" s="382">
        <f t="array" ref="AI55">IF($G55=0, INDEX(LS_previous!$D$4:$AY$138, MATCH('Staging Table'!$A55, LS_previous!$B$4:$B$138, 0), MATCH(AI$4&amp;AI$5, LS_previous!$D$2:$AY$2&amp;LS_previous!$D$3:$AY$3, 0)),SUM(VLOOKUP($A55, LS_previous!$B$4:$AY$138, LS_previous!AA$149, FALSE), VLOOKUP('Staging Table'!$A55, LS_previous!$B$4:$AY$138,LS_previous!AY$149, FALSE))/2)</f>
        <v>0</v>
      </c>
      <c r="AJ55" s="384">
        <f t="array" ref="AJ55">INDEX(Demand_previous!$D$4:$AY$138, MATCH('Staging Table'!$A55, Demand_previous!$B$4:$B$138, 0), MATCH(AJ$4&amp;AJ$5,Demand_previous!$D$2:$AY$2&amp;Demand_previous!$D$3:$AY$3, 0))/1000</f>
        <v>0</v>
      </c>
      <c r="AK55" s="384">
        <f t="array" ref="AK55">INDEX(Demand_previous!$D$4:$AY$138, MATCH('Staging Table'!$A55, Demand_previous!$B$4:$B$138, 0), MATCH(AK$4&amp;AK$5,Demand_previous!$D$2:$AY$2&amp;Demand_previous!$D$3:$AY$3, 0))/1000</f>
        <v>0</v>
      </c>
      <c r="AL55" s="384">
        <f t="array" ref="AL55">INDEX(Demand_previous!$D$4:$AY$138, MATCH('Staging Table'!$A55, Demand_previous!$B$4:$B$138, 0), MATCH(AL$4&amp;AL$5,Demand_previous!$D$2:$AY$2&amp;Demand_previous!$D$3:$AY$3, 0))/1000</f>
        <v>0</v>
      </c>
      <c r="AM55" s="384">
        <f t="array" ref="AM55">INDEX(Demand_previous!$D$4:$AY$138, MATCH('Staging Table'!$A55, Demand_previous!$B$4:$B$138, 0), MATCH(AM$4&amp;AM$5,Demand_previous!$D$2:$AY$2&amp;Demand_previous!$D$3:$AY$3, 0))/1000</f>
        <v>0</v>
      </c>
      <c r="AN55" s="384">
        <f t="array" ref="AN55">INDEX(Demand_previous!$D$4:$AY$138, MATCH('Staging Table'!$A55, Demand_previous!$B$4:$B$138, 0), MATCH(AN$4&amp;AN$5,Demand_previous!$D$2:$AY$2&amp;Demand_previous!$D$3:$AY$3, 0))/1000</f>
        <v>0</v>
      </c>
      <c r="AO55" s="384">
        <f t="array" ref="AO55">INDEX(Demand_previous!$D$4:$AY$138, MATCH('Staging Table'!$A55, Demand_previous!$B$4:$B$138, 0), MATCH(AO$4&amp;AO$5,Demand_previous!$D$2:$AY$2&amp;Demand_previous!$D$3:$AY$3, 0))/1000</f>
        <v>0</v>
      </c>
      <c r="AP55" s="384">
        <f t="array" ref="AP55">INDEX(Demand_previous!$D$4:$AY$138, MATCH('Staging Table'!$A55, Demand_previous!$B$4:$B$138, 0), MATCH(AP$4&amp;AP$5,Demand_previous!$D$2:$AY$2&amp;Demand_previous!$D$3:$AY$3, 0))/1000</f>
        <v>0</v>
      </c>
      <c r="AQ55" s="384">
        <f t="array" ref="AQ55">INDEX(Demand_previous!$D$4:$AY$138, MATCH('Staging Table'!$A55, Demand_previous!$B$4:$B$138, 0), MATCH(AQ$4&amp;AQ$5,Demand_previous!$D$2:$AY$2&amp;Demand_previous!$D$3:$AY$3, 0))/1000</f>
        <v>0</v>
      </c>
      <c r="AR55" s="384">
        <f t="array" ref="AR55">INDEX(Demand_previous!$D$4:$AY$138, MATCH('Staging Table'!$A55, Demand_previous!$B$4:$B$138, 0), MATCH(AR$4&amp;AR$5,Demand_previous!$D$2:$AY$2&amp;Demand_previous!$D$3:$AY$3, 0))/1000</f>
        <v>0</v>
      </c>
      <c r="AS55" s="384">
        <f t="array" ref="AS55">INDEX(Demand_previous!$D$4:$AY$138, MATCH('Staging Table'!$A55, Demand_previous!$B$4:$B$138, 0), MATCH(AS$4&amp;AS$5,Demand_previous!$D$2:$AY$2&amp;Demand_previous!$D$3:$AY$3, 0))/1000</f>
        <v>0</v>
      </c>
      <c r="AT55" s="384">
        <f t="array" ref="AT55">INDEX(Demand_previous!$D$4:$AY$138, MATCH('Staging Table'!$A55, Demand_previous!$B$4:$B$138, 0), MATCH(AT$4&amp;AT$5,Demand_previous!$D$2:$AY$2&amp;Demand_previous!$D$3:$AY$3, 0))/1000</f>
        <v>0</v>
      </c>
      <c r="AU55" s="384">
        <f t="array" ref="AU55">INDEX(Demand_previous!$D$4:$AY$138, MATCH('Staging Table'!$A55, Demand_previous!$B$4:$B$138, 0), MATCH(AU$4&amp;AU$5,Demand_previous!$D$2:$AY$2&amp;Demand_previous!$D$3:$AY$3, 0))/1000</f>
        <v>0</v>
      </c>
      <c r="AV55" s="384">
        <f>IF($D55=0,IF(C55=0, MAX(AY55 - (VLOOKUP($A55,TOCA_previous!$A$2:$AI$137,MATCH("RHWM 2016",TOCA_previous!$A$2:$AI$2,0),FALSE)*$F$2*TOCA_previous!C52),0),0), 0)</f>
        <v>0</v>
      </c>
      <c r="AW55" s="427">
        <f>VLOOKUP($A55,REP_previous!$A$1:$D$135,MATCH("FY "&amp;$F$1&amp; " Total Refund",REP_previous!$A$1:$D$1,0),0)</f>
        <v>206155.73437281154</v>
      </c>
      <c r="AX55" s="398">
        <f>MIN(VLOOKUP($A55,TOCA_previous!$A$2:$AI$137,MATCH("TRL - NLSL - Exisiting Resource "&amp;$F$1,TOCA_previous!$A$2:$AI$2,0),FALSE)*$F$2,(VLOOKUP($A55,TOCA_previous!$A$2:$AI$137,MATCH("RHWM 2016",TOCA_previous!$A$2:$AI$2,0),FALSE)*$F$2))</f>
        <v>158322.81600000002</v>
      </c>
      <c r="AY55" s="384">
        <f>SUM(L55:AI55)+(F55*RT1SC!$C$3*$F$2)</f>
        <v>158323.17345170397</v>
      </c>
      <c r="AZ55" s="398">
        <f>VLOOKUP($A55,TOCA_previous!$A$2:$AI$137,MATCH("Above RHWM Not Served with LS "&amp;$F$1,TOCA_previous!$A$2:$AI$2,0),FALSE)*$F$2</f>
        <v>0</v>
      </c>
      <c r="BA55" s="206">
        <f t="shared" si="3"/>
        <v>0.35745170395239256</v>
      </c>
      <c r="BB55" s="399">
        <f>(VLOOKUP($A55,TOCA_previous!$A$2:$AI$137,MATCH("RHWM 2016",TOCA_previous!$A$2:$AI$2,0),FALSE)*$F$2) - $AX55</f>
        <v>2925.0719999999856</v>
      </c>
      <c r="BC55" s="206">
        <f t="shared" si="4"/>
        <v>-0.35745170395239256</v>
      </c>
      <c r="BD55" s="400">
        <f t="shared" si="5"/>
        <v>0</v>
      </c>
      <c r="BE55" s="392">
        <f t="shared" si="6"/>
        <v>0</v>
      </c>
      <c r="BF55" s="399">
        <f t="shared" si="7"/>
        <v>-0.35745170395239256</v>
      </c>
      <c r="BG55" s="206">
        <f>VLOOKUP($A55,TOCA_current!$A$2:$AI$137,MATCH(BG$4,TOCA_current!$A$2:$AI$2,0),FALSE)</f>
        <v>2.6083E-3</v>
      </c>
      <c r="BH55" s="206">
        <f>VLOOKUP($A55,TOCA_current!$A$2:$AI$137,MATCH(BH$4,TOCA_current!$A$2:$AI$2,0),FALSE)</f>
        <v>2.6083E-3</v>
      </c>
      <c r="BI55" s="391">
        <f t="shared" si="8"/>
        <v>0</v>
      </c>
      <c r="BJ55" s="206">
        <f>VLOOKUP($A55,TOCA_current!A51:BG186,MATCH(BJ$4,TOCA_current!$A$2:$BG$2,0),FALSE)</f>
        <v>7.0000000000000007E-2</v>
      </c>
      <c r="BK55" s="206">
        <f t="shared" si="9"/>
        <v>7.0000000000000007E-2</v>
      </c>
      <c r="BL55" s="206">
        <f t="shared" si="10"/>
        <v>2.6083E-3</v>
      </c>
      <c r="BM55" s="381">
        <f>VLOOKUP($A55,IRD!$A$4:$G$139, 7, FALSE)</f>
        <v>0</v>
      </c>
      <c r="BN55" s="382">
        <f t="array" ref="BN55">IF($BI55=0, INDEX(LS_current!$D$4:$AY$139, MATCH('Staging Table'!$A55, LS_current!$B$4:$B$139, 0), MATCH(BN$4&amp;BN$5, LS_current!$D$2:$AY$2&amp;LS_current!$D$3:$AY$3, 0)),SUM(VLOOKUP($A55, LS_current!$B$4:$AY$139, LS_current!D$149, FALSE), VLOOKUP($A55, LS_current!$B$4:$AY$139,LS_current!D$149, FALSE))/2)</f>
        <v>0</v>
      </c>
      <c r="BO55" s="382">
        <f t="array" ref="BO55">IF($BI55=0, INDEX(LS_current!$D$4:$AY$139, MATCH('Staging Table'!$A55, LS_current!$B$4:$B$139, 0), MATCH(BO$4&amp;BO$5, LS_current!$D$2:$AY$2&amp;LS_current!$D$3:$AY$3, 0)),SUM(VLOOKUP($A55, LS_current!$B$4:$AY$139, LS_current!E$149, FALSE), VLOOKUP($A55, LS_current!$B$4:$AY$139,LS_current!E$149, FALSE))/2)</f>
        <v>0</v>
      </c>
      <c r="BP55" s="382">
        <f t="array" ref="BP55">IF($BI55=0, INDEX(LS_current!$D$4:$AY$139, MATCH('Staging Table'!$A55, LS_current!$B$4:$B$139, 0), MATCH(BP$4&amp;BP$5, LS_current!$D$2:$AY$2&amp;LS_current!$D$3:$AY$3, 0)),SUM(VLOOKUP($A55, LS_current!$B$4:$AY$139, LS_current!F$149, FALSE), VLOOKUP($A55, LS_current!$B$4:$AY$139,LS_current!F$149, FALSE))/2)</f>
        <v>0</v>
      </c>
      <c r="BQ55" s="382">
        <f t="array" ref="BQ55">IF($BI55=0, INDEX(LS_current!$D$4:$AY$139, MATCH('Staging Table'!$A55, LS_current!$B$4:$B$139, 0), MATCH(BQ$4&amp;BQ$5, LS_current!$D$2:$AY$2&amp;LS_current!$D$3:$AY$3, 0)),SUM(VLOOKUP($A55, LS_current!$B$4:$AY$139, LS_current!G$149, FALSE), VLOOKUP($A55, LS_current!$B$4:$AY$139,LS_current!G$149, FALSE))/2)</f>
        <v>0</v>
      </c>
      <c r="BR55" s="382">
        <f t="array" ref="BR55">IF($BI55=0, INDEX(LS_current!$D$4:$AY$139, MATCH('Staging Table'!$A55, LS_current!$B$4:$B$139, 0), MATCH(BR$4&amp;BR$5, LS_current!$D$2:$AY$2&amp;LS_current!$D$3:$AY$3, 0)),SUM(VLOOKUP($A55, LS_current!$B$4:$AY$139, LS_current!H$149, FALSE), VLOOKUP($A55, LS_current!$B$4:$AY$139,LS_current!H$149, FALSE))/2)</f>
        <v>0</v>
      </c>
      <c r="BS55" s="382">
        <f t="array" ref="BS55">IF($BI55=0, INDEX(LS_current!$D$4:$AY$139, MATCH('Staging Table'!$A55, LS_current!$B$4:$B$139, 0), MATCH(BS$4&amp;BS$5, LS_current!$D$2:$AY$2&amp;LS_current!$D$3:$AY$3, 0)),SUM(VLOOKUP($A55, LS_current!$B$4:$AY$139, LS_current!I$149, FALSE), VLOOKUP($A55, LS_current!$B$4:$AY$139,LS_current!I$149, FALSE))/2)</f>
        <v>0</v>
      </c>
      <c r="BT55" s="382">
        <f t="array" ref="BT55">IF($BI55=0, INDEX(LS_current!$D$4:$AY$139, MATCH('Staging Table'!$A55, LS_current!$B$4:$B$139, 0), MATCH(BT$4&amp;BT$5, LS_current!$D$2:$AY$2&amp;LS_current!$D$3:$AY$3, 0)),SUM(VLOOKUP($A55, LS_current!$B$4:$AY$139, LS_current!J$149, FALSE), VLOOKUP($A55, LS_current!$B$4:$AY$139,LS_current!J$149, FALSE))/2)</f>
        <v>0</v>
      </c>
      <c r="BU55" s="382">
        <f t="array" ref="BU55">IF($BI55=0, INDEX(LS_current!$D$4:$AY$139, MATCH('Staging Table'!$A55, LS_current!$B$4:$B$139, 0), MATCH(BU$4&amp;BU$5, LS_current!$D$2:$AY$2&amp;LS_current!$D$3:$AY$3, 0)),SUM(VLOOKUP($A55, LS_current!$B$4:$AY$139, LS_current!K$149, FALSE), VLOOKUP($A55, LS_current!$B$4:$AY$139,LS_current!K$149, FALSE))/2)</f>
        <v>0</v>
      </c>
      <c r="BV55" s="382">
        <f t="array" ref="BV55">IF($BI55=0, INDEX(LS_current!$D$4:$AY$139, MATCH('Staging Table'!$A55, LS_current!$B$4:$B$139, 0), MATCH(BV$4&amp;BV$5, LS_current!$D$2:$AY$2&amp;LS_current!$D$3:$AY$3, 0)),SUM(VLOOKUP($A55, LS_current!$B$4:$AY$139, LS_current!L$149, FALSE), VLOOKUP($A55, LS_current!$B$4:$AY$139,LS_current!L$149, FALSE))/2)</f>
        <v>0</v>
      </c>
      <c r="BW55" s="382">
        <f t="array" ref="BW55">IF($BI55=0, INDEX(LS_current!$D$4:$AY$139, MATCH('Staging Table'!$A55, LS_current!$B$4:$B$139, 0), MATCH(BW$4&amp;BW$5, LS_current!$D$2:$AY$2&amp;LS_current!$D$3:$AY$3, 0)),SUM(VLOOKUP($A55, LS_current!$B$4:$AY$139, LS_current!M$149, FALSE), VLOOKUP($A55, LS_current!$B$4:$AY$139,LS_current!M$149, FALSE))/2)</f>
        <v>0</v>
      </c>
      <c r="BX55" s="382">
        <f t="array" ref="BX55">IF($BI55=0, INDEX(LS_current!$D$4:$AY$139, MATCH('Staging Table'!$A55, LS_current!$B$4:$B$139, 0), MATCH(BX$4&amp;BX$5, LS_current!$D$2:$AY$2&amp;LS_current!$D$3:$AY$3, 0)),SUM(VLOOKUP($A55, LS_current!$B$4:$AY$139, LS_current!N$149, FALSE), VLOOKUP($A55, LS_current!$B$4:$AY$139,LS_current!N$149, FALSE))/2)</f>
        <v>0</v>
      </c>
      <c r="BY55" s="382">
        <f t="array" ref="BY55">IF($BI55=0, INDEX(LS_current!$D$4:$AY$139, MATCH('Staging Table'!$A55, LS_current!$B$4:$B$139, 0), MATCH(BY$4&amp;BY$5, LS_current!$D$2:$AY$2&amp;LS_current!$D$3:$AY$3, 0)),SUM(VLOOKUP($A55, LS_current!$B$4:$AY$139, LS_current!O$149, FALSE), VLOOKUP($A55, LS_current!$B$4:$AY$139,LS_current!O$149, FALSE))/2)</f>
        <v>0</v>
      </c>
      <c r="BZ55" s="382">
        <f t="array" ref="BZ55">IF($BI55=0, INDEX(LS_current!$D$4:$AY$139, MATCH('Staging Table'!$A55, LS_current!$B$4:$B$139, 0), MATCH(BZ$4&amp;BZ$5, LS_current!$D$2:$AY$2&amp;LS_current!$D$3:$AY$3, 0)),SUM(VLOOKUP($A55, LS_current!$B$4:$AY$139, LS_current!P$149, FALSE), VLOOKUP($A55, LS_current!$B$4:$AY$139,LS_current!P$149, FALSE))/2)</f>
        <v>0</v>
      </c>
      <c r="CA55" s="382">
        <f t="array" ref="CA55">IF($BI55=0, INDEX(LS_current!$D$4:$AY$139, MATCH('Staging Table'!$A55, LS_current!$B$4:$B$139, 0), MATCH(CA$4&amp;CA$5, LS_current!$D$2:$AY$2&amp;LS_current!$D$3:$AY$3, 0)),SUM(VLOOKUP($A55, LS_current!$B$4:$AY$139, LS_current!Q$149, FALSE), VLOOKUP($A55, LS_current!$B$4:$AY$139,LS_current!Q$149, FALSE))/2)</f>
        <v>0</v>
      </c>
      <c r="CB55" s="382">
        <f t="array" ref="CB55">IF($BI55=0, INDEX(LS_current!$D$4:$AY$139, MATCH('Staging Table'!$A55, LS_current!$B$4:$B$139, 0), MATCH(CB$4&amp;CB$5, LS_current!$D$2:$AY$2&amp;LS_current!$D$3:$AY$3, 0)),SUM(VLOOKUP($A55, LS_current!$B$4:$AY$139, LS_current!R$149, FALSE), VLOOKUP($A55, LS_current!$B$4:$AY$139,LS_current!R$149, FALSE))/2)</f>
        <v>0</v>
      </c>
      <c r="CC55" s="382">
        <f t="array" ref="CC55">IF($BI55=0, INDEX(LS_current!$D$4:$AY$139, MATCH('Staging Table'!$A55, LS_current!$B$4:$B$139, 0), MATCH(CC$4&amp;CC$5, LS_current!$D$2:$AY$2&amp;LS_current!$D$3:$AY$3, 0)),SUM(VLOOKUP($A55, LS_current!$B$4:$AY$139, LS_current!S$149, FALSE), VLOOKUP($A55, LS_current!$B$4:$AY$139,LS_current!S$149, FALSE))/2)</f>
        <v>0</v>
      </c>
      <c r="CD55" s="382">
        <f t="array" ref="CD55">IF($BI55=0, INDEX(LS_current!$D$4:$AY$139, MATCH('Staging Table'!$A55, LS_current!$B$4:$B$139, 0), MATCH(CD$4&amp;CD$5, LS_current!$D$2:$AY$2&amp;LS_current!$D$3:$AY$3, 0)),SUM(VLOOKUP($A55, LS_current!$B$4:$AY$139, LS_current!T$149, FALSE), VLOOKUP($A55, LS_current!$B$4:$AY$139,LS_current!T$149, FALSE))/2)</f>
        <v>0</v>
      </c>
      <c r="CE55" s="382">
        <f t="array" ref="CE55">IF($BI55=0, INDEX(LS_current!$D$4:$AY$139, MATCH('Staging Table'!$A55, LS_current!$B$4:$B$139, 0), MATCH(CE$4&amp;CE$5, LS_current!$D$2:$AY$2&amp;LS_current!$D$3:$AY$3, 0)),SUM(VLOOKUP($A55, LS_current!$B$4:$AY$139, LS_current!U$149, FALSE), VLOOKUP($A55, LS_current!$B$4:$AY$139,LS_current!U$149, FALSE))/2)</f>
        <v>0</v>
      </c>
      <c r="CF55" s="382">
        <f t="array" ref="CF55">IF($BI55=0, INDEX(LS_current!$D$4:$AY$139, MATCH('Staging Table'!$A55, LS_current!$B$4:$B$139, 0), MATCH(CF$4&amp;CF$5, LS_current!$D$2:$AY$2&amp;LS_current!$D$3:$AY$3, 0)),SUM(VLOOKUP($A55, LS_current!$B$4:$AY$139, LS_current!V$149, FALSE), VLOOKUP($A55, LS_current!$B$4:$AY$139,LS_current!V$149, FALSE))/2)</f>
        <v>0</v>
      </c>
      <c r="CG55" s="382">
        <f t="array" ref="CG55">IF($BI55=0, INDEX(LS_current!$D$4:$AY$139, MATCH('Staging Table'!$A55, LS_current!$B$4:$B$139, 0), MATCH(CG$4&amp;CG$5, LS_current!$D$2:$AY$2&amp;LS_current!$D$3:$AY$3, 0)),SUM(VLOOKUP($A55, LS_current!$B$4:$AY$139, LS_current!W$149, FALSE), VLOOKUP($A55, LS_current!$B$4:$AY$139,LS_current!W$149, FALSE))/2)</f>
        <v>0</v>
      </c>
      <c r="CH55" s="382">
        <f t="array" ref="CH55">IF($BI55=0, INDEX(LS_current!$D$4:$AY$139, MATCH('Staging Table'!$A55, LS_current!$B$4:$B$139, 0), MATCH(CH$4&amp;CH$5, LS_current!$D$2:$AY$2&amp;LS_current!$D$3:$AY$3, 0)),SUM(VLOOKUP($A55, LS_current!$B$4:$AY$139, LS_current!X$149, FALSE), VLOOKUP($A55, LS_current!$B$4:$AY$139,LS_current!X$149, FALSE))/2)</f>
        <v>0</v>
      </c>
      <c r="CI55" s="382">
        <f t="array" ref="CI55">IF($BI55=0, INDEX(LS_current!$D$4:$AY$139, MATCH('Staging Table'!$A55, LS_current!$B$4:$B$139, 0), MATCH(CI$4&amp;CI$5, LS_current!$D$2:$AY$2&amp;LS_current!$D$3:$AY$3, 0)),SUM(VLOOKUP($A55, LS_current!$B$4:$AY$139, LS_current!Y$149, FALSE), VLOOKUP($A55, LS_current!$B$4:$AY$139,LS_current!Y$149, FALSE))/2)</f>
        <v>0</v>
      </c>
      <c r="CJ55" s="382">
        <f t="array" ref="CJ55">IF($BI55=0, INDEX(LS_current!$D$4:$AY$139, MATCH('Staging Table'!$A55, LS_current!$B$4:$B$139, 0), MATCH(CJ$4&amp;CJ$5, LS_current!$D$2:$AY$2&amp;LS_current!$D$3:$AY$3, 0)),SUM(VLOOKUP($A55, LS_current!$B$4:$AY$139, LS_current!Z$149, FALSE), VLOOKUP($A55, LS_current!$B$4:$AY$139,LS_current!Z$149, FALSE))/2)</f>
        <v>0</v>
      </c>
      <c r="CK55" s="382">
        <f t="array" ref="CK55">IF($BI55=0, INDEX(LS_current!$D$4:$AY$139, MATCH('Staging Table'!$A55, LS_current!$B$4:$B$139, 0), MATCH(CK$4&amp;CK$5, LS_current!$D$2:$AY$2&amp;LS_current!$D$3:$AY$3, 0)),SUM(VLOOKUP($A55, LS_current!$B$4:$AY$139, LS_current!AA$149, FALSE), VLOOKUP($A55, LS_current!$B$4:$AY$139,LS_current!AA$149, FALSE))/2)</f>
        <v>0</v>
      </c>
      <c r="CL55" s="384">
        <f t="array" ref="CL55">INDEX(Demand_current!$D$4:$AY$138, MATCH($A55, Demand_current!$B$4:$B$138, 0), MATCH(CL$4&amp;CL$5,Demand_current!$D$2:$AY$2&amp;Demand_current!$D$3:$AY$3, 0))/1000</f>
        <v>0</v>
      </c>
      <c r="CM55" s="384">
        <f t="array" ref="CM55">INDEX(Demand_current!$D$4:$AY$138, MATCH($A55, Demand_current!$B$4:$B$138, 0), MATCH(CM$4&amp;CM$5,Demand_current!$D$2:$AY$2&amp;Demand_current!$D$3:$AY$3, 0))/1000</f>
        <v>0</v>
      </c>
      <c r="CN55" s="384">
        <f t="array" ref="CN55">INDEX(Demand_current!$D$4:$AY$138, MATCH($A55, Demand_current!$B$4:$B$138, 0), MATCH(CN$4&amp;CN$5,Demand_current!$D$2:$AY$2&amp;Demand_current!$D$3:$AY$3, 0))/1000</f>
        <v>0</v>
      </c>
      <c r="CO55" s="384">
        <f t="array" ref="CO55">INDEX(Demand_current!$D$4:$AY$138, MATCH($A55, Demand_current!$B$4:$B$138, 0), MATCH(CO$4&amp;CO$5,Demand_current!$D$2:$AY$2&amp;Demand_current!$D$3:$AY$3, 0))/1000</f>
        <v>0</v>
      </c>
      <c r="CP55" s="384">
        <f t="array" ref="CP55">INDEX(Demand_current!$D$4:$AY$138, MATCH($A55, Demand_current!$B$4:$B$138, 0), MATCH(CP$4&amp;CP$5,Demand_current!$D$2:$AY$2&amp;Demand_current!$D$3:$AY$3, 0))/1000</f>
        <v>0</v>
      </c>
      <c r="CQ55" s="384">
        <f t="array" ref="CQ55">INDEX(Demand_current!$D$4:$AY$138, MATCH($A55, Demand_current!$B$4:$B$138, 0), MATCH(CQ$4&amp;CQ$5,Demand_current!$D$2:$AY$2&amp;Demand_current!$D$3:$AY$3, 0))/1000</f>
        <v>0</v>
      </c>
      <c r="CR55" s="384">
        <f t="array" ref="CR55">INDEX(Demand_current!$D$4:$AY$138, MATCH($A55, Demand_current!$B$4:$B$138, 0), MATCH(CR$4&amp;CR$5,Demand_current!$D$2:$AY$2&amp;Demand_current!$D$3:$AY$3, 0))/1000</f>
        <v>0</v>
      </c>
      <c r="CS55" s="384">
        <f t="array" ref="CS55">INDEX(Demand_current!$D$4:$AY$138, MATCH($A55, Demand_current!$B$4:$B$138, 0), MATCH(CS$4&amp;CS$5,Demand_current!$D$2:$AY$2&amp;Demand_current!$D$3:$AY$3, 0))/1000</f>
        <v>0</v>
      </c>
      <c r="CT55" s="384">
        <f t="array" ref="CT55">INDEX(Demand_current!$D$4:$AY$138, MATCH($A55, Demand_current!$B$4:$B$138, 0), MATCH(CT$4&amp;CT$5,Demand_current!$D$2:$AY$2&amp;Demand_current!$D$3:$AY$3, 0))/1000</f>
        <v>0</v>
      </c>
      <c r="CU55" s="384">
        <f t="array" ref="CU55">INDEX(Demand_current!$D$4:$AY$138, MATCH($A55, Demand_current!$B$4:$B$138, 0), MATCH(CU$4&amp;CU$5,Demand_current!$D$2:$AY$2&amp;Demand_current!$D$3:$AY$3, 0))/1000</f>
        <v>0</v>
      </c>
      <c r="CV55" s="384">
        <f t="array" ref="CV55">INDEX(Demand_current!$D$4:$AY$138, MATCH($A55, Demand_current!$B$4:$B$138, 0), MATCH(CV$4&amp;CV$5,Demand_current!$D$2:$AY$2&amp;Demand_current!$D$3:$AY$3, 0))/1000</f>
        <v>0</v>
      </c>
      <c r="CW55" s="384">
        <f t="array" ref="CW55">INDEX(Demand_current!$D$4:$AY$138, MATCH($A55, Demand_current!$B$4:$B$138, 0), MATCH(CW$4&amp;CW$5,Demand_current!$D$2:$AY$2&amp;Demand_current!$D$3:$AY$3, 0))/1000</f>
        <v>0</v>
      </c>
      <c r="CX55" s="384">
        <f>IF(D55=0,IF(C55=0,MAX(0,DA55 - (VLOOKUP($A55,TOCA_current!$A$2:$AI$137,MATCH("RHWM 2018",TOCA_current!$A$2:$AI$2,0),FALSE)*$BH$2)), 0),0)</f>
        <v>0</v>
      </c>
      <c r="CY55" s="427">
        <f>VLOOKUP($A55,REP_current!$A$1:$D$135,MATCH("FY "&amp;$BH$1&amp; " Total Refund",REP_current!$A$1:$D$1,0),0)</f>
        <v>208802.48375921027</v>
      </c>
      <c r="CZ55" s="432">
        <f>MIN(VLOOKUP($A55,TOCA_current!$A$2:$AI$137,MATCH("TRL - NLSL - Existing Resource "&amp;$BH$1,TOCA_current!$A$2:$AI$2,0),FALSE)*$BH$2, VLOOKUP($A55,TOCA_current!$A$2:$AI$137,MATCH("RHWM 2018",TOCA_current!$A$2:$AI$2,0),FALSE)*$BH$2)</f>
        <v>158678.64000000001</v>
      </c>
      <c r="DA55" s="397">
        <f>SUM(BN55:CK55)+(BH55*RT1SC!$C$4*$BH$2)</f>
        <v>158680.75835896801</v>
      </c>
      <c r="DB55" s="432">
        <f>VLOOKUP($A55,TOCA_current!$A$2:$AI$137,MATCH("Above RHWM Not Served with LS "&amp;$BH$1,TOCA_current!$A$2:$AI$2,0),FALSE)*$BH$2</f>
        <v>0</v>
      </c>
      <c r="DC55" s="401">
        <f t="shared" si="11"/>
        <v>2.1183589680003934</v>
      </c>
      <c r="DD55" s="397">
        <f>(VLOOKUP($A55,TOCA_current!$A$2:$AI$137,MATCH("RHWM 2018",TOCA_current!$A$2:$AI$2,0),FALSE)*$BH$2) - $CZ55</f>
        <v>1103.7599999999802</v>
      </c>
      <c r="DE55" s="397">
        <f t="shared" si="12"/>
        <v>-2.1183589680003934</v>
      </c>
      <c r="DF55" s="397">
        <f t="shared" si="13"/>
        <v>0</v>
      </c>
      <c r="DG55" s="397">
        <f t="shared" si="14"/>
        <v>0</v>
      </c>
      <c r="DH55" s="397">
        <f t="shared" si="15"/>
        <v>-2.1183589680003934</v>
      </c>
    </row>
    <row r="56" spans="1:112">
      <c r="A56" s="274">
        <v>10142</v>
      </c>
      <c r="B56" s="275" t="s">
        <v>57</v>
      </c>
      <c r="C56" s="397">
        <v>0</v>
      </c>
      <c r="D56" s="397">
        <v>0</v>
      </c>
      <c r="E56" s="205">
        <f>VLOOKUP($A56,TOCA_previous!$A$2:$AI$137,MATCH(E$4,TOCA_previous!$A$2:$AI$2,0),FALSE)</f>
        <v>3.8109999999999999E-4</v>
      </c>
      <c r="F56" s="206">
        <f>VLOOKUP($A56,TOCA_previous!$A$2:$AI$137,MATCH(F$4,TOCA_previous!$A$2:$AI$2,0),FALSE)</f>
        <v>3.8109999999999999E-4</v>
      </c>
      <c r="G56" s="206">
        <f t="shared" si="0"/>
        <v>0</v>
      </c>
      <c r="H56" s="206">
        <f>VLOOKUP($A56,TOCA_previous!$A$2:$AI$137,MATCH(H$4,TOCA_previous!$A$2:$AI$2,0),FALSE)</f>
        <v>3.4439999999999998E-2</v>
      </c>
      <c r="I56" s="206">
        <f t="shared" si="1"/>
        <v>0</v>
      </c>
      <c r="J56" s="206">
        <f t="shared" si="2"/>
        <v>0</v>
      </c>
      <c r="K56" s="381">
        <f>VLOOKUP(A56, IRD!$A$5:$C$139, 3, FALSE)</f>
        <v>5769.4840000000004</v>
      </c>
      <c r="L56" s="382">
        <f t="array" ref="L56">IF($G56=0, INDEX(LS_previous!$D$4:$AY$138, MATCH('Staging Table'!$A56, LS_previous!$B$4:$B$138, 0), MATCH(L$4&amp;L$5, LS_previous!$D$2:$AY$2&amp;LS_previous!$D$3:$AY$3, 0)),SUM(VLOOKUP($A56, LS_previous!$B$4:$AY$138, LS_previous!D$149, FALSE), VLOOKUP('Staging Table'!$A56, LS_previous!$B$4:$AY$138,LS_previous!AB$149, FALSE))/2)</f>
        <v>-269.53849824113661</v>
      </c>
      <c r="M56" s="382">
        <f t="array" ref="M56">IF($G56=0, INDEX(LS_previous!$D$4:$AY$138, MATCH('Staging Table'!$A56, LS_previous!$B$4:$B$138, 0), MATCH(M$4&amp;M$5, LS_previous!$D$2:$AY$2&amp;LS_previous!$D$3:$AY$3, 0)),SUM(VLOOKUP($A56, LS_previous!$B$4:$AY$138, LS_previous!E$149, FALSE), VLOOKUP('Staging Table'!$A56, LS_previous!$B$4:$AY$138,LS_previous!AC$149, FALSE))/2)</f>
        <v>-52.814248815654764</v>
      </c>
      <c r="N56" s="382">
        <f t="array" ref="N56">IF($G56=0, INDEX(LS_previous!$D$4:$AY$138, MATCH('Staging Table'!$A56, LS_previous!$B$4:$B$138, 0), MATCH(N$4&amp;N$5, LS_previous!$D$2:$AY$2&amp;LS_previous!$D$3:$AY$3, 0)),SUM(VLOOKUP($A56, LS_previous!$B$4:$AY$138, LS_previous!F$149, FALSE), VLOOKUP('Staging Table'!$A56, LS_previous!$B$4:$AY$138,LS_previous!AD$149, FALSE))/2)</f>
        <v>-408.54245215650997</v>
      </c>
      <c r="O56" s="382">
        <f t="array" ref="O56">IF($G56=0, INDEX(LS_previous!$D$4:$AY$138, MATCH('Staging Table'!$A56, LS_previous!$B$4:$B$138, 0), MATCH(O$4&amp;O$5, LS_previous!$D$2:$AY$2&amp;LS_previous!$D$3:$AY$3, 0)),SUM(VLOOKUP($A56, LS_previous!$B$4:$AY$138, LS_previous!G$149, FALSE), VLOOKUP('Staging Table'!$A56, LS_previous!$B$4:$AY$138,LS_previous!AE$149, FALSE))/2)</f>
        <v>-107.56385909826145</v>
      </c>
      <c r="P56" s="382">
        <f t="array" ref="P56">IF($G56=0, INDEX(LS_previous!$D$4:$AY$138, MATCH('Staging Table'!$A56, LS_previous!$B$4:$B$138, 0), MATCH(P$4&amp;P$5, LS_previous!$D$2:$AY$2&amp;LS_previous!$D$3:$AY$3, 0)),SUM(VLOOKUP($A56, LS_previous!$B$4:$AY$138, LS_previous!H$149, FALSE), VLOOKUP('Staging Table'!$A56, LS_previous!$B$4:$AY$138,LS_previous!AF$149, FALSE))/2)</f>
        <v>-140.82142118650268</v>
      </c>
      <c r="Q56" s="382">
        <f t="array" ref="Q56">IF($G56=0, INDEX(LS_previous!$D$4:$AY$138, MATCH('Staging Table'!$A56, LS_previous!$B$4:$B$138, 0), MATCH(Q$4&amp;Q$5, LS_previous!$D$2:$AY$2&amp;LS_previous!$D$3:$AY$3, 0)),SUM(VLOOKUP($A56, LS_previous!$B$4:$AY$138, LS_previous!I$149, FALSE), VLOOKUP('Staging Table'!$A56, LS_previous!$B$4:$AY$138,LS_previous!AG$149, FALSE))/2)</f>
        <v>101.44421186270074</v>
      </c>
      <c r="R56" s="382">
        <f t="array" ref="R56">IF($G56=0, INDEX(LS_previous!$D$4:$AY$138, MATCH('Staging Table'!$A56, LS_previous!$B$4:$B$138, 0), MATCH(R$4&amp;R$5, LS_previous!$D$2:$AY$2&amp;LS_previous!$D$3:$AY$3, 0)),SUM(VLOOKUP($A56, LS_previous!$B$4:$AY$138, LS_previous!J$149, FALSE), VLOOKUP('Staging Table'!$A56, LS_previous!$B$4:$AY$138,LS_previous!AH$149, FALSE))/2)</f>
        <v>65.480823210729568</v>
      </c>
      <c r="S56" s="382">
        <f t="array" ref="S56">IF($G56=0, INDEX(LS_previous!$D$4:$AY$138, MATCH('Staging Table'!$A56, LS_previous!$B$4:$B$138, 0), MATCH(S$4&amp;S$5, LS_previous!$D$2:$AY$2&amp;LS_previous!$D$3:$AY$3, 0)),SUM(VLOOKUP($A56, LS_previous!$B$4:$AY$138, LS_previous!K$149, FALSE), VLOOKUP('Staging Table'!$A56, LS_previous!$B$4:$AY$138,LS_previous!AI$149, FALSE))/2)</f>
        <v>173.59205712086646</v>
      </c>
      <c r="T56" s="382">
        <f t="array" ref="T56">IF($G56=0, INDEX(LS_previous!$D$4:$AY$138, MATCH('Staging Table'!$A56, LS_previous!$B$4:$B$138, 0), MATCH(T$4&amp;T$5, LS_previous!$D$2:$AY$2&amp;LS_previous!$D$3:$AY$3, 0)),SUM(VLOOKUP($A56, LS_previous!$B$4:$AY$138, LS_previous!L$149, FALSE), VLOOKUP('Staging Table'!$A56, LS_previous!$B$4:$AY$138,LS_previous!AJ$149, FALSE))/2)</f>
        <v>-51.953877320577476</v>
      </c>
      <c r="U56" s="382">
        <f t="array" ref="U56">IF($G56=0, INDEX(LS_previous!$D$4:$AY$138, MATCH('Staging Table'!$A56, LS_previous!$B$4:$B$138, 0), MATCH(U$4&amp;U$5, LS_previous!$D$2:$AY$2&amp;LS_previous!$D$3:$AY$3, 0)),SUM(VLOOKUP($A56, LS_previous!$B$4:$AY$138, LS_previous!M$149, FALSE), VLOOKUP('Staging Table'!$A56, LS_previous!$B$4:$AY$138,LS_previous!AK$149, FALSE))/2)</f>
        <v>62.783160986510893</v>
      </c>
      <c r="V56" s="382">
        <f t="array" ref="V56">IF($G56=0, INDEX(LS_previous!$D$4:$AY$138, MATCH('Staging Table'!$A56, LS_previous!$B$4:$B$138, 0), MATCH(V$4&amp;V$5, LS_previous!$D$2:$AY$2&amp;LS_previous!$D$3:$AY$3, 0)),SUM(VLOOKUP($A56, LS_previous!$B$4:$AY$138, LS_previous!N$149, FALSE), VLOOKUP('Staging Table'!$A56, LS_previous!$B$4:$AY$138,LS_previous!AL$149, FALSE))/2)</f>
        <v>-331.73282027146718</v>
      </c>
      <c r="W56" s="382">
        <f t="array" ref="W56">IF($G56=0, INDEX(LS_previous!$D$4:$AY$138, MATCH('Staging Table'!$A56, LS_previous!$B$4:$B$138, 0), MATCH(W$4&amp;W$5, LS_previous!$D$2:$AY$2&amp;LS_previous!$D$3:$AY$3, 0)),SUM(VLOOKUP($A56, LS_previous!$B$4:$AY$138, LS_previous!O$149, FALSE), VLOOKUP('Staging Table'!$A56, LS_previous!$B$4:$AY$138,LS_previous!AM$149, FALSE))/2)</f>
        <v>-158.11948604229576</v>
      </c>
      <c r="X56" s="382">
        <f t="array" ref="X56">IF($G56=0, INDEX(LS_previous!$D$4:$AY$138, MATCH('Staging Table'!$A56, LS_previous!$B$4:$B$138, 0), MATCH(X$4&amp;X$5, LS_previous!$D$2:$AY$2&amp;LS_previous!$D$3:$AY$3, 0)),SUM(VLOOKUP($A56, LS_previous!$B$4:$AY$138, LS_previous!P$149, FALSE), VLOOKUP('Staging Table'!$A56, LS_previous!$B$4:$AY$138,LS_previous!AN$149, FALSE))/2)</f>
        <v>-110.54220675321483</v>
      </c>
      <c r="Y56" s="382">
        <f t="array" ref="Y56">IF($G56=0, INDEX(LS_previous!$D$4:$AY$138, MATCH('Staging Table'!$A56, LS_previous!$B$4:$B$138, 0), MATCH(Y$4&amp;Y$5, LS_previous!$D$2:$AY$2&amp;LS_previous!$D$3:$AY$3, 0)),SUM(VLOOKUP($A56, LS_previous!$B$4:$AY$138, LS_previous!Q$149, FALSE), VLOOKUP('Staging Table'!$A56, LS_previous!$B$4:$AY$138,LS_previous!AO$149, FALSE))/2)</f>
        <v>-7.0624493267108619</v>
      </c>
      <c r="Z56" s="382">
        <f t="array" ref="Z56">IF($G56=0, INDEX(LS_previous!$D$4:$AY$138, MATCH('Staging Table'!$A56, LS_previous!$B$4:$B$138, 0), MATCH(Z$4&amp;Z$5, LS_previous!$D$2:$AY$2&amp;LS_previous!$D$3:$AY$3, 0)),SUM(VLOOKUP($A56, LS_previous!$B$4:$AY$138, LS_previous!R$149, FALSE), VLOOKUP('Staging Table'!$A56, LS_previous!$B$4:$AY$138,LS_previous!AP$149, FALSE))/2)</f>
        <v>-251.13562900516172</v>
      </c>
      <c r="AA56" s="382">
        <f t="array" ref="AA56">IF($G56=0, INDEX(LS_previous!$D$4:$AY$138, MATCH('Staging Table'!$A56, LS_previous!$B$4:$B$138, 0), MATCH(AA$4&amp;AA$5, LS_previous!$D$2:$AY$2&amp;LS_previous!$D$3:$AY$3, 0)),SUM(VLOOKUP($A56, LS_previous!$B$4:$AY$138, LS_previous!S$149, FALSE), VLOOKUP('Staging Table'!$A56, LS_previous!$B$4:$AY$138,LS_previous!AQ$149, FALSE))/2)</f>
        <v>-34.279946308416356</v>
      </c>
      <c r="AB56" s="382">
        <f t="array" ref="AB56">IF($G56=0, INDEX(LS_previous!$D$4:$AY$138, MATCH('Staging Table'!$A56, LS_previous!$B$4:$B$138, 0), MATCH(AB$4&amp;AB$5, LS_previous!$D$2:$AY$2&amp;LS_previous!$D$3:$AY$3, 0)),SUM(VLOOKUP($A56, LS_previous!$B$4:$AY$138, LS_previous!T$149, FALSE), VLOOKUP('Staging Table'!$A56, LS_previous!$B$4:$AY$138,LS_previous!AR$149, FALSE))/2)</f>
        <v>465.83234615305855</v>
      </c>
      <c r="AC56" s="382">
        <f t="array" ref="AC56">IF($G56=0, INDEX(LS_previous!$D$4:$AY$138, MATCH('Staging Table'!$A56, LS_previous!$B$4:$B$138, 0), MATCH(AC$4&amp;AC$5, LS_previous!$D$2:$AY$2&amp;LS_previous!$D$3:$AY$3, 0)),SUM(VLOOKUP($A56, LS_previous!$B$4:$AY$138, LS_previous!U$149, FALSE), VLOOKUP('Staging Table'!$A56, LS_previous!$B$4:$AY$138,LS_previous!AS$149, FALSE))/2)</f>
        <v>279.61700877580654</v>
      </c>
      <c r="AD56" s="382">
        <f t="array" ref="AD56">IF($G56=0, INDEX(LS_previous!$D$4:$AY$138, MATCH('Staging Table'!$A56, LS_previous!$B$4:$B$138, 0), MATCH(AD$4&amp;AD$5, LS_previous!$D$2:$AY$2&amp;LS_previous!$D$3:$AY$3, 0)),SUM(VLOOKUP($A56, LS_previous!$B$4:$AY$138, LS_previous!V$149, FALSE), VLOOKUP('Staging Table'!$A56, LS_previous!$B$4:$AY$138,LS_previous!AT$149, FALSE))/2)</f>
        <v>708.64923771255758</v>
      </c>
      <c r="AE56" s="382">
        <f t="array" ref="AE56">IF($G56=0, INDEX(LS_previous!$D$4:$AY$138, MATCH('Staging Table'!$A56, LS_previous!$B$4:$B$138, 0), MATCH(AE$4&amp;AE$5, LS_previous!$D$2:$AY$2&amp;LS_previous!$D$3:$AY$3, 0)),SUM(VLOOKUP($A56, LS_previous!$B$4:$AY$138, LS_previous!W$149, FALSE), VLOOKUP('Staging Table'!$A56, LS_previous!$B$4:$AY$138,LS_previous!AU$149, FALSE))/2)</f>
        <v>680.94463527004757</v>
      </c>
      <c r="AF56" s="382">
        <f t="array" ref="AF56">IF($G56=0, INDEX(LS_previous!$D$4:$AY$138, MATCH('Staging Table'!$A56, LS_previous!$B$4:$B$138, 0), MATCH(AF$4&amp;AF$5, LS_previous!$D$2:$AY$2&amp;LS_previous!$D$3:$AY$3, 0)),SUM(VLOOKUP($A56, LS_previous!$B$4:$AY$138, LS_previous!X$149, FALSE), VLOOKUP('Staging Table'!$A56, LS_previous!$B$4:$AY$138,LS_previous!AV$149, FALSE))/2)</f>
        <v>483.80146756429781</v>
      </c>
      <c r="AG56" s="382">
        <f t="array" ref="AG56">IF($G56=0, INDEX(LS_previous!$D$4:$AY$138, MATCH('Staging Table'!$A56, LS_previous!$B$4:$B$138, 0), MATCH(AG$4&amp;AG$5, LS_previous!$D$2:$AY$2&amp;LS_previous!$D$3:$AY$3, 0)),SUM(VLOOKUP($A56, LS_previous!$B$4:$AY$138, LS_previous!Y$149, FALSE), VLOOKUP('Staging Table'!$A56, LS_previous!$B$4:$AY$138,LS_previous!AW$149, FALSE))/2)</f>
        <v>313.16659068954561</v>
      </c>
      <c r="AH56" s="382">
        <f t="array" ref="AH56">IF($G56=0, INDEX(LS_previous!$D$4:$AY$138, MATCH('Staging Table'!$A56, LS_previous!$B$4:$B$138, 0), MATCH(AH$4&amp;AH$5, LS_previous!$D$2:$AY$2&amp;LS_previous!$D$3:$AY$3, 0)),SUM(VLOOKUP($A56, LS_previous!$B$4:$AY$138, LS_previous!Z$149, FALSE), VLOOKUP('Staging Table'!$A56, LS_previous!$B$4:$AY$138,LS_previous!AX$149, FALSE))/2)</f>
        <v>149.52567283971348</v>
      </c>
      <c r="AI56" s="382">
        <f t="array" ref="AI56">IF($G56=0, INDEX(LS_previous!$D$4:$AY$138, MATCH('Staging Table'!$A56, LS_previous!$B$4:$B$138, 0), MATCH(AI$4&amp;AI$5, LS_previous!$D$2:$AY$2&amp;LS_previous!$D$3:$AY$3, 0)),SUM(VLOOKUP($A56, LS_previous!$B$4:$AY$138, LS_previous!AA$149, FALSE), VLOOKUP('Staging Table'!$A56, LS_previous!$B$4:$AY$138,LS_previous!AY$149, FALSE))/2)</f>
        <v>158.37929365990897</v>
      </c>
      <c r="AJ56" s="384">
        <f t="array" ref="AJ56">INDEX(Demand_previous!$D$4:$AY$138, MATCH('Staging Table'!$A56, Demand_previous!$B$4:$B$138, 0), MATCH(AJ$4&amp;AJ$5,Demand_previous!$D$2:$AY$2&amp;Demand_previous!$D$3:$AY$3, 0))/1000</f>
        <v>0.91597685185185185</v>
      </c>
      <c r="AK56" s="384">
        <f t="array" ref="AK56">INDEX(Demand_previous!$D$4:$AY$138, MATCH('Staging Table'!$A56, Demand_previous!$B$4:$B$138, 0), MATCH(AK$4&amp;AK$5,Demand_previous!$D$2:$AY$2&amp;Demand_previous!$D$3:$AY$3, 0))/1000</f>
        <v>0.58208593749999993</v>
      </c>
      <c r="AL56" s="384">
        <f t="array" ref="AL56">INDEX(Demand_previous!$D$4:$AY$138, MATCH('Staging Table'!$A56, Demand_previous!$B$4:$B$138, 0), MATCH(AL$4&amp;AL$5,Demand_previous!$D$2:$AY$2&amp;Demand_previous!$D$3:$AY$3, 0))/1000</f>
        <v>0.93035817307692281</v>
      </c>
      <c r="AM56" s="384">
        <f t="array" ref="AM56">INDEX(Demand_previous!$D$4:$AY$138, MATCH('Staging Table'!$A56, Demand_previous!$B$4:$B$138, 0), MATCH(AM$4&amp;AM$5,Demand_previous!$D$2:$AY$2&amp;Demand_previous!$D$3:$AY$3, 0))/1000</f>
        <v>0.54003250000000036</v>
      </c>
      <c r="AN56" s="384">
        <f t="array" ref="AN56">INDEX(Demand_previous!$D$4:$AY$138, MATCH('Staging Table'!$A56, Demand_previous!$B$4:$B$138, 0), MATCH(AN$4&amp;AN$5,Demand_previous!$D$2:$AY$2&amp;Demand_previous!$D$3:$AY$3, 0))/1000</f>
        <v>0.59246250000000011</v>
      </c>
      <c r="AO56" s="384">
        <f t="array" ref="AO56">INDEX(Demand_previous!$D$4:$AY$138, MATCH('Staging Table'!$A56, Demand_previous!$B$4:$B$138, 0), MATCH(AO$4&amp;AO$5,Demand_previous!$D$2:$AY$2&amp;Demand_previous!$D$3:$AY$3, 0))/1000</f>
        <v>0.63257407407407418</v>
      </c>
      <c r="AP56" s="384">
        <f t="array" ref="AP56">INDEX(Demand_previous!$D$4:$AY$138, MATCH('Staging Table'!$A56, Demand_previous!$B$4:$B$138, 0), MATCH(AP$4&amp;AP$5,Demand_previous!$D$2:$AY$2&amp;Demand_previous!$D$3:$AY$3, 0))/1000</f>
        <v>0.75961057692307721</v>
      </c>
      <c r="AQ56" s="384">
        <f t="array" ref="AQ56">INDEX(Demand_previous!$D$4:$AY$138, MATCH('Staging Table'!$A56, Demand_previous!$B$4:$B$138, 0), MATCH(AQ$4&amp;AQ$5,Demand_previous!$D$2:$AY$2&amp;Demand_previous!$D$3:$AY$3, 0))/1000</f>
        <v>0.23433000000000015</v>
      </c>
      <c r="AR56" s="384">
        <f t="array" ref="AR56">INDEX(Demand_previous!$D$4:$AY$138, MATCH('Staging Table'!$A56, Demand_previous!$B$4:$B$138, 0), MATCH(AR$4&amp;AR$5,Demand_previous!$D$2:$AY$2&amp;Demand_previous!$D$3:$AY$3, 0))/1000</f>
        <v>0.98779567307692351</v>
      </c>
      <c r="AS56" s="384">
        <f t="array" ref="AS56">INDEX(Demand_previous!$D$4:$AY$138, MATCH('Staging Table'!$A56, Demand_previous!$B$4:$B$138, 0), MATCH(AS$4&amp;AS$5,Demand_previous!$D$2:$AY$2&amp;Demand_previous!$D$3:$AY$3, 0))/1000</f>
        <v>0.97688500000000011</v>
      </c>
      <c r="AT56" s="384">
        <f t="array" ref="AT56">INDEX(Demand_previous!$D$4:$AY$138, MATCH('Staging Table'!$A56, Demand_previous!$B$4:$B$138, 0), MATCH(AT$4&amp;AT$5,Demand_previous!$D$2:$AY$2&amp;Demand_previous!$D$3:$AY$3, 0))/1000</f>
        <v>0.77511574074074052</v>
      </c>
      <c r="AU56" s="384">
        <f t="array" ref="AU56">INDEX(Demand_previous!$D$4:$AY$138, MATCH('Staging Table'!$A56, Demand_previous!$B$4:$B$138, 0), MATCH(AU$4&amp;AU$5,Demand_previous!$D$2:$AY$2&amp;Demand_previous!$D$3:$AY$3, 0))/1000</f>
        <v>0.45693499999999987</v>
      </c>
      <c r="AV56" s="384">
        <f>IF($D56=0,IF(C56=0, MAX(AY56 - (VLOOKUP($A56,TOCA_previous!$A$2:$AI$137,MATCH("RHWM 2016",TOCA_previous!$A$2:$AI$2,0),FALSE)*$F$2*TOCA_previous!C53),0),0), 0)</f>
        <v>1721.3380550238289</v>
      </c>
      <c r="AW56" s="427">
        <f>VLOOKUP($A56,REP_previous!$A$1:$D$135,MATCH("FY "&amp;$F$1&amp; " Total Refund",REP_previous!$A$1:$D$1,0),0)</f>
        <v>14885.735590303277</v>
      </c>
      <c r="AX56" s="398">
        <f>MIN(VLOOKUP($A56,TOCA_previous!$A$2:$AI$137,MATCH("TRL - NLSL - Exisiting Resource "&amp;$F$1,TOCA_previous!$A$2:$AI$2,0),FALSE)*$F$2,(VLOOKUP($A56,TOCA_previous!$A$2:$AI$137,MATCH("RHWM 2016",TOCA_previous!$A$2:$AI$2,0),FALSE)*$F$2))</f>
        <v>23374.224000000002</v>
      </c>
      <c r="AY56" s="384">
        <f>SUM(L56:AI56)+(F56*RT1SC!$C$3*$F$2)</f>
        <v>25095.562055023831</v>
      </c>
      <c r="AZ56" s="398">
        <f>VLOOKUP($A56,TOCA_previous!$A$2:$AI$137,MATCH("Above RHWM Not Served with LS "&amp;$F$1,TOCA_previous!$A$2:$AI$2,0),FALSE)*$F$2</f>
        <v>0</v>
      </c>
      <c r="BA56" s="206">
        <f t="shared" si="3"/>
        <v>1721.3380550238289</v>
      </c>
      <c r="BB56" s="399">
        <f>(VLOOKUP($A56,TOCA_previous!$A$2:$AI$137,MATCH("RHWM 2016",TOCA_previous!$A$2:$AI$2,0),FALSE)*$F$2) - $AX56</f>
        <v>0</v>
      </c>
      <c r="BC56" s="206">
        <f t="shared" si="4"/>
        <v>0</v>
      </c>
      <c r="BD56" s="400">
        <f t="shared" si="5"/>
        <v>0</v>
      </c>
      <c r="BE56" s="392">
        <f t="shared" si="6"/>
        <v>0</v>
      </c>
      <c r="BF56" s="399">
        <f t="shared" si="7"/>
        <v>0</v>
      </c>
      <c r="BG56" s="206">
        <f>VLOOKUP($A56,TOCA_current!$A$2:$AI$137,MATCH(BG$4,TOCA_current!$A$2:$AI$2,0),FALSE)</f>
        <v>3.8069999999999998E-4</v>
      </c>
      <c r="BH56" s="206">
        <f>VLOOKUP($A56,TOCA_current!$A$2:$AI$137,MATCH(BH$4,TOCA_current!$A$2:$AI$2,0),FALSE)</f>
        <v>3.8069999999999998E-4</v>
      </c>
      <c r="BI56" s="391">
        <f t="shared" si="8"/>
        <v>0</v>
      </c>
      <c r="BJ56" s="206">
        <f>VLOOKUP($A56,TOCA_current!A52:BG187,MATCH(BJ$4,TOCA_current!$A$2:$BG$2,0),FALSE)</f>
        <v>3.2496217851739791E-2</v>
      </c>
      <c r="BK56" s="206">
        <f t="shared" si="9"/>
        <v>0</v>
      </c>
      <c r="BL56" s="206">
        <f t="shared" si="10"/>
        <v>0</v>
      </c>
      <c r="BM56" s="381">
        <f>VLOOKUP($A56,IRD!$A$4:$G$139, 7, FALSE)</f>
        <v>5769.4840000000004</v>
      </c>
      <c r="BN56" s="382">
        <f t="array" ref="BN56">IF($BI56=0, INDEX(LS_current!$D$4:$AY$139, MATCH('Staging Table'!$A56, LS_current!$B$4:$B$139, 0), MATCH(BN$4&amp;BN$5, LS_current!$D$2:$AY$2&amp;LS_current!$D$3:$AY$3, 0)),SUM(VLOOKUP($A56, LS_current!$B$4:$AY$139, LS_current!D$149, FALSE), VLOOKUP($A56, LS_current!$B$4:$AY$139,LS_current!D$149, FALSE))/2)</f>
        <v>-274.54055457047241</v>
      </c>
      <c r="BO56" s="382">
        <f t="array" ref="BO56">IF($BI56=0, INDEX(LS_current!$D$4:$AY$139, MATCH('Staging Table'!$A56, LS_current!$B$4:$B$139, 0), MATCH(BO$4&amp;BO$5, LS_current!$D$2:$AY$2&amp;LS_current!$D$3:$AY$3, 0)),SUM(VLOOKUP($A56, LS_current!$B$4:$AY$139, LS_current!E$149, FALSE), VLOOKUP($A56, LS_current!$B$4:$AY$139,LS_current!E$149, FALSE))/2)</f>
        <v>-18.248981571210038</v>
      </c>
      <c r="BP56" s="382">
        <f t="array" ref="BP56">IF($BI56=0, INDEX(LS_current!$D$4:$AY$139, MATCH('Staging Table'!$A56, LS_current!$B$4:$B$139, 0), MATCH(BP$4&amp;BP$5, LS_current!$D$2:$AY$2&amp;LS_current!$D$3:$AY$3, 0)),SUM(VLOOKUP($A56, LS_current!$B$4:$AY$139, LS_current!F$149, FALSE), VLOOKUP($A56, LS_current!$B$4:$AY$139,LS_current!F$149, FALSE))/2)</f>
        <v>-435.54510976108497</v>
      </c>
      <c r="BQ56" s="382">
        <f t="array" ref="BQ56">IF($BI56=0, INDEX(LS_current!$D$4:$AY$139, MATCH('Staging Table'!$A56, LS_current!$B$4:$B$139, 0), MATCH(BQ$4&amp;BQ$5, LS_current!$D$2:$AY$2&amp;LS_current!$D$3:$AY$3, 0)),SUM(VLOOKUP($A56, LS_current!$B$4:$AY$139, LS_current!G$149, FALSE), VLOOKUP($A56, LS_current!$B$4:$AY$139,LS_current!G$149, FALSE))/2)</f>
        <v>-99.28132263939483</v>
      </c>
      <c r="BR56" s="382">
        <f t="array" ref="BR56">IF($BI56=0, INDEX(LS_current!$D$4:$AY$139, MATCH('Staging Table'!$A56, LS_current!$B$4:$B$139, 0), MATCH(BR$4&amp;BR$5, LS_current!$D$2:$AY$2&amp;LS_current!$D$3:$AY$3, 0)),SUM(VLOOKUP($A56, LS_current!$B$4:$AY$139, LS_current!H$149, FALSE), VLOOKUP($A56, LS_current!$B$4:$AY$139,LS_current!H$149, FALSE))/2)</f>
        <v>-183.19813835768196</v>
      </c>
      <c r="BS56" s="382">
        <f t="array" ref="BS56">IF($BI56=0, INDEX(LS_current!$D$4:$AY$139, MATCH('Staging Table'!$A56, LS_current!$B$4:$B$139, 0), MATCH(BS$4&amp;BS$5, LS_current!$D$2:$AY$2&amp;LS_current!$D$3:$AY$3, 0)),SUM(VLOOKUP($A56, LS_current!$B$4:$AY$139, LS_current!I$149, FALSE), VLOOKUP($A56, LS_current!$B$4:$AY$139,LS_current!I$149, FALSE))/2)</f>
        <v>94.552222178255306</v>
      </c>
      <c r="BT56" s="382">
        <f t="array" ref="BT56">IF($BI56=0, INDEX(LS_current!$D$4:$AY$139, MATCH('Staging Table'!$A56, LS_current!$B$4:$B$139, 0), MATCH(BT$4&amp;BT$5, LS_current!$D$2:$AY$2&amp;LS_current!$D$3:$AY$3, 0)),SUM(VLOOKUP($A56, LS_current!$B$4:$AY$139, LS_current!J$149, FALSE), VLOOKUP($A56, LS_current!$B$4:$AY$139,LS_current!J$149, FALSE))/2)</f>
        <v>53.808776033466302</v>
      </c>
      <c r="BU56" s="382">
        <f t="array" ref="BU56">IF($BI56=0, INDEX(LS_current!$D$4:$AY$139, MATCH('Staging Table'!$A56, LS_current!$B$4:$B$139, 0), MATCH(BU$4&amp;BU$5, LS_current!$D$2:$AY$2&amp;LS_current!$D$3:$AY$3, 0)),SUM(VLOOKUP($A56, LS_current!$B$4:$AY$139, LS_current!K$149, FALSE), VLOOKUP($A56, LS_current!$B$4:$AY$139,LS_current!K$149, FALSE))/2)</f>
        <v>171.58463899512162</v>
      </c>
      <c r="BV56" s="382">
        <f t="array" ref="BV56">IF($BI56=0, INDEX(LS_current!$D$4:$AY$139, MATCH('Staging Table'!$A56, LS_current!$B$4:$B$139, 0), MATCH(BV$4&amp;BV$5, LS_current!$D$2:$AY$2&amp;LS_current!$D$3:$AY$3, 0)),SUM(VLOOKUP($A56, LS_current!$B$4:$AY$139, LS_current!L$149, FALSE), VLOOKUP($A56, LS_current!$B$4:$AY$139,LS_current!L$149, FALSE))/2)</f>
        <v>28.199020172784344</v>
      </c>
      <c r="BW56" s="382">
        <f t="array" ref="BW56">IF($BI56=0, INDEX(LS_current!$D$4:$AY$139, MATCH('Staging Table'!$A56, LS_current!$B$4:$B$139, 0), MATCH(BW$4&amp;BW$5, LS_current!$D$2:$AY$2&amp;LS_current!$D$3:$AY$3, 0)),SUM(VLOOKUP($A56, LS_current!$B$4:$AY$139, LS_current!M$149, FALSE), VLOOKUP($A56, LS_current!$B$4:$AY$139,LS_current!M$149, FALSE))/2)</f>
        <v>125.64095835805256</v>
      </c>
      <c r="BX56" s="382">
        <f t="array" ref="BX56">IF($BI56=0, INDEX(LS_current!$D$4:$AY$139, MATCH('Staging Table'!$A56, LS_current!$B$4:$B$139, 0), MATCH(BX$4&amp;BX$5, LS_current!$D$2:$AY$2&amp;LS_current!$D$3:$AY$3, 0)),SUM(VLOOKUP($A56, LS_current!$B$4:$AY$139, LS_current!N$149, FALSE), VLOOKUP($A56, LS_current!$B$4:$AY$139,LS_current!N$149, FALSE))/2)</f>
        <v>-268.9621817450319</v>
      </c>
      <c r="BY56" s="382">
        <f t="array" ref="BY56">IF($BI56=0, INDEX(LS_current!$D$4:$AY$139, MATCH('Staging Table'!$A56, LS_current!$B$4:$B$139, 0), MATCH(BY$4&amp;BY$5, LS_current!$D$2:$AY$2&amp;LS_current!$D$3:$AY$3, 0)),SUM(VLOOKUP($A56, LS_current!$B$4:$AY$139, LS_current!O$149, FALSE), VLOOKUP($A56, LS_current!$B$4:$AY$139,LS_current!O$149, FALSE))/2)</f>
        <v>-88.586203003304718</v>
      </c>
      <c r="BZ56" s="382">
        <f t="array" ref="BZ56">IF($BI56=0, INDEX(LS_current!$D$4:$AY$139, MATCH('Staging Table'!$A56, LS_current!$B$4:$B$139, 0), MATCH(BZ$4&amp;BZ$5, LS_current!$D$2:$AY$2&amp;LS_current!$D$3:$AY$3, 0)),SUM(VLOOKUP($A56, LS_current!$B$4:$AY$139, LS_current!P$149, FALSE), VLOOKUP($A56, LS_current!$B$4:$AY$139,LS_current!P$149, FALSE))/2)</f>
        <v>-225.25305738848692</v>
      </c>
      <c r="CA56" s="382">
        <f t="array" ref="CA56">IF($BI56=0, INDEX(LS_current!$D$4:$AY$139, MATCH('Staging Table'!$A56, LS_current!$B$4:$B$139, 0), MATCH(CA$4&amp;CA$5, LS_current!$D$2:$AY$2&amp;LS_current!$D$3:$AY$3, 0)),SUM(VLOOKUP($A56, LS_current!$B$4:$AY$139, LS_current!Q$149, FALSE), VLOOKUP($A56, LS_current!$B$4:$AY$139,LS_current!Q$149, FALSE))/2)</f>
        <v>-14.781261053669937</v>
      </c>
      <c r="CB56" s="382">
        <f t="array" ref="CB56">IF($BI56=0, INDEX(LS_current!$D$4:$AY$139, MATCH('Staging Table'!$A56, LS_current!$B$4:$B$139, 0), MATCH(CB$4&amp;CB$5, LS_current!$D$2:$AY$2&amp;LS_current!$D$3:$AY$3, 0)),SUM(VLOOKUP($A56, LS_current!$B$4:$AY$139, LS_current!R$149, FALSE), VLOOKUP($A56, LS_current!$B$4:$AY$139,LS_current!R$149, FALSE))/2)</f>
        <v>-235.05642107408653</v>
      </c>
      <c r="CC56" s="382">
        <f t="array" ref="CC56">IF($BI56=0, INDEX(LS_current!$D$4:$AY$139, MATCH('Staging Table'!$A56, LS_current!$B$4:$B$139, 0), MATCH(CC$4&amp;CC$5, LS_current!$D$2:$AY$2&amp;LS_current!$D$3:$AY$3, 0)),SUM(VLOOKUP($A56, LS_current!$B$4:$AY$139, LS_current!S$149, FALSE), VLOOKUP($A56, LS_current!$B$4:$AY$139,LS_current!S$149, FALSE))/2)</f>
        <v>-47.497721864206937</v>
      </c>
      <c r="CD56" s="382">
        <f t="array" ref="CD56">IF($BI56=0, INDEX(LS_current!$D$4:$AY$139, MATCH('Staging Table'!$A56, LS_current!$B$4:$B$139, 0), MATCH(CD$4&amp;CD$5, LS_current!$D$2:$AY$2&amp;LS_current!$D$3:$AY$3, 0)),SUM(VLOOKUP($A56, LS_current!$B$4:$AY$139, LS_current!T$149, FALSE), VLOOKUP($A56, LS_current!$B$4:$AY$139,LS_current!T$149, FALSE))/2)</f>
        <v>473.40613729990196</v>
      </c>
      <c r="CE56" s="382">
        <f t="array" ref="CE56">IF($BI56=0, INDEX(LS_current!$D$4:$AY$139, MATCH('Staging Table'!$A56, LS_current!$B$4:$B$139, 0), MATCH(CE$4&amp;CE$5, LS_current!$D$2:$AY$2&amp;LS_current!$D$3:$AY$3, 0)),SUM(VLOOKUP($A56, LS_current!$B$4:$AY$139, LS_current!U$149, FALSE), VLOOKUP($A56, LS_current!$B$4:$AY$139,LS_current!U$149, FALSE))/2)</f>
        <v>333.14325760905626</v>
      </c>
      <c r="CF56" s="382">
        <f t="array" ref="CF56">IF($BI56=0, INDEX(LS_current!$D$4:$AY$139, MATCH('Staging Table'!$A56, LS_current!$B$4:$B$139, 0), MATCH(CF$4&amp;CF$5, LS_current!$D$2:$AY$2&amp;LS_current!$D$3:$AY$3, 0)),SUM(VLOOKUP($A56, LS_current!$B$4:$AY$139, LS_current!V$149, FALSE), VLOOKUP($A56, LS_current!$B$4:$AY$139,LS_current!V$149, FALSE))/2)</f>
        <v>784.91131164253761</v>
      </c>
      <c r="CG56" s="382">
        <f t="array" ref="CG56">IF($BI56=0, INDEX(LS_current!$D$4:$AY$139, MATCH('Staging Table'!$A56, LS_current!$B$4:$B$139, 0), MATCH(CG$4&amp;CG$5, LS_current!$D$2:$AY$2&amp;LS_current!$D$3:$AY$3, 0)),SUM(VLOOKUP($A56, LS_current!$B$4:$AY$139, LS_current!W$149, FALSE), VLOOKUP($A56, LS_current!$B$4:$AY$139,LS_current!W$149, FALSE))/2)</f>
        <v>728.14127281601145</v>
      </c>
      <c r="CH56" s="382">
        <f t="array" ref="CH56">IF($BI56=0, INDEX(LS_current!$D$4:$AY$139, MATCH('Staging Table'!$A56, LS_current!$B$4:$B$139, 0), MATCH(CH$4&amp;CH$5, LS_current!$D$2:$AY$2&amp;LS_current!$D$3:$AY$3, 0)),SUM(VLOOKUP($A56, LS_current!$B$4:$AY$139, LS_current!X$149, FALSE), VLOOKUP($A56, LS_current!$B$4:$AY$139,LS_current!X$149, FALSE))/2)</f>
        <v>491.82556762889226</v>
      </c>
      <c r="CI56" s="382">
        <f t="array" ref="CI56">IF($BI56=0, INDEX(LS_current!$D$4:$AY$139, MATCH('Staging Table'!$A56, LS_current!$B$4:$B$139, 0), MATCH(CI$4&amp;CI$5, LS_current!$D$2:$AY$2&amp;LS_current!$D$3:$AY$3, 0)),SUM(VLOOKUP($A56, LS_current!$B$4:$AY$139, LS_current!Y$149, FALSE), VLOOKUP($A56, LS_current!$B$4:$AY$139,LS_current!Y$149, FALSE))/2)</f>
        <v>335.03904343473164</v>
      </c>
      <c r="CJ56" s="382">
        <f t="array" ref="CJ56">IF($BI56=0, INDEX(LS_current!$D$4:$AY$139, MATCH('Staging Table'!$A56, LS_current!$B$4:$B$139, 0), MATCH(CJ$4&amp;CJ$5, LS_current!$D$2:$AY$2&amp;LS_current!$D$3:$AY$3, 0)),SUM(VLOOKUP($A56, LS_current!$B$4:$AY$139, LS_current!Z$149, FALSE), VLOOKUP($A56, LS_current!$B$4:$AY$139,LS_current!Z$149, FALSE))/2)</f>
        <v>44.749817370108076</v>
      </c>
      <c r="CK56" s="382">
        <f t="array" ref="CK56">IF($BI56=0, INDEX(LS_current!$D$4:$AY$139, MATCH('Staging Table'!$A56, LS_current!$B$4:$B$139, 0), MATCH(CK$4&amp;CK$5, LS_current!$D$2:$AY$2&amp;LS_current!$D$3:$AY$3, 0)),SUM(VLOOKUP($A56, LS_current!$B$4:$AY$139, LS_current!AA$149, FALSE), VLOOKUP($A56, LS_current!$B$4:$AY$139,LS_current!AA$149, FALSE))/2)</f>
        <v>160.92210691066259</v>
      </c>
      <c r="CL56" s="384">
        <f t="array" ref="CL56">INDEX(Demand_current!$D$4:$AY$138, MATCH($A56, Demand_current!$B$4:$B$138, 0), MATCH(CL$4&amp;CL$5,Demand_current!$D$2:$AY$2&amp;Demand_current!$D$3:$AY$3, 0))/1000</f>
        <v>0.83705288461538441</v>
      </c>
      <c r="CM56" s="384">
        <f t="array" ref="CM56">INDEX(Demand_current!$D$4:$AY$138, MATCH($A56, Demand_current!$B$4:$B$138, 0), MATCH(CM$4&amp;CM$5,Demand_current!$D$2:$AY$2&amp;Demand_current!$D$3:$AY$3, 0))/1000</f>
        <v>0.68152250000000014</v>
      </c>
      <c r="CN56" s="384">
        <f t="array" ref="CN56">INDEX(Demand_current!$D$4:$AY$138, MATCH($A56, Demand_current!$B$4:$B$138, 0), MATCH(CN$4&amp;CN$5,Demand_current!$D$2:$AY$2&amp;Demand_current!$D$3:$AY$3, 0))/1000</f>
        <v>0.81741249999999988</v>
      </c>
      <c r="CO56" s="384">
        <f t="array" ref="CO56">INDEX(Demand_current!$D$4:$AY$138, MATCH($A56, Demand_current!$B$4:$B$138, 0), MATCH(CO$4&amp;CO$5,Demand_current!$D$2:$AY$2&amp;Demand_current!$D$3:$AY$3, 0))/1000</f>
        <v>0.65583894230769268</v>
      </c>
      <c r="CP56" s="384">
        <f t="array" ref="CP56">INDEX(Demand_current!$D$4:$AY$138, MATCH($A56, Demand_current!$B$4:$B$138, 0), MATCH(CP$4&amp;CP$5,Demand_current!$D$2:$AY$2&amp;Demand_current!$D$3:$AY$3, 0))/1000</f>
        <v>0.48906510416666671</v>
      </c>
      <c r="CQ56" s="384">
        <f t="array" ref="CQ56">INDEX(Demand_current!$D$4:$AY$138, MATCH($A56, Demand_current!$B$4:$B$138, 0), MATCH(CQ$4&amp;CQ$5,Demand_current!$D$2:$AY$2&amp;Demand_current!$D$3:$AY$3, 0))/1000</f>
        <v>0.63257407407407418</v>
      </c>
      <c r="CR56" s="384">
        <f t="array" ref="CR56">INDEX(Demand_current!$D$4:$AY$138, MATCH($A56, Demand_current!$B$4:$B$138, 0), MATCH(CR$4&amp;CR$5,Demand_current!$D$2:$AY$2&amp;Demand_current!$D$3:$AY$3, 0))/1000</f>
        <v>0.67383500000000041</v>
      </c>
      <c r="CS56" s="384">
        <f t="array" ref="CS56">INDEX(Demand_current!$D$4:$AY$138, MATCH($A56, Demand_current!$B$4:$B$138, 0), MATCH(CS$4&amp;CS$5,Demand_current!$D$2:$AY$2&amp;Demand_current!$D$3:$AY$3, 0))/1000</f>
        <v>0.36797115384615364</v>
      </c>
      <c r="CT56" s="384">
        <f t="array" ref="CT56">INDEX(Demand_current!$D$4:$AY$138, MATCH($A56, Demand_current!$B$4:$B$138, 0), MATCH(CT$4&amp;CT$5,Demand_current!$D$2:$AY$2&amp;Demand_current!$D$3:$AY$3, 0))/1000</f>
        <v>0.98779567307692351</v>
      </c>
      <c r="CU56" s="384">
        <f t="array" ref="CU56">INDEX(Demand_current!$D$4:$AY$138, MATCH($A56, Demand_current!$B$4:$B$138, 0), MATCH(CU$4&amp;CU$5,Demand_current!$D$2:$AY$2&amp;Demand_current!$D$3:$AY$3, 0))/1000</f>
        <v>0.97688500000000011</v>
      </c>
      <c r="CV56" s="384">
        <f t="array" ref="CV56">INDEX(Demand_current!$D$4:$AY$138, MATCH($A56, Demand_current!$B$4:$B$138, 0), MATCH(CV$4&amp;CV$5,Demand_current!$D$2:$AY$2&amp;Demand_current!$D$3:$AY$3, 0))/1000</f>
        <v>0.77511574074074052</v>
      </c>
      <c r="CW56" s="384">
        <f t="array" ref="CW56">INDEX(Demand_current!$D$4:$AY$138, MATCH($A56, Demand_current!$B$4:$B$138, 0), MATCH(CW$4&amp;CW$5,Demand_current!$D$2:$AY$2&amp;Demand_current!$D$3:$AY$3, 0))/1000</f>
        <v>0.33426562500000023</v>
      </c>
      <c r="CX56" s="384">
        <f>IF(D56=0,IF(C56=0,MAX(0,DA56 - (VLOOKUP($A56,TOCA_current!$A$2:$AI$137,MATCH("RHWM 2018",TOCA_current!$A$2:$AI$2,0),FALSE)*$BH$2)), 0),0)</f>
        <v>1934.1223378929426</v>
      </c>
      <c r="CY56" s="427">
        <f>VLOOKUP($A56,REP_current!$A$1:$D$135,MATCH("FY "&amp;$BH$1&amp; " Total Refund",REP_current!$A$1:$D$1,0),0)</f>
        <v>15101.354368560689</v>
      </c>
      <c r="CZ56" s="432">
        <f>MIN(VLOOKUP($A56,TOCA_current!$A$2:$AI$137,MATCH("TRL - NLSL - Existing Resource "&amp;$BH$1,TOCA_current!$A$2:$AI$2,0),FALSE)*$BH$2, VLOOKUP($A56,TOCA_current!$A$2:$AI$137,MATCH("RHWM 2018",TOCA_current!$A$2:$AI$2,0),FALSE)*$BH$2)</f>
        <v>23161.440000000002</v>
      </c>
      <c r="DA56" s="397">
        <f>SUM(BN56:CK56)+(BH56*RT1SC!$C$4*$BH$2)</f>
        <v>25095.562337892945</v>
      </c>
      <c r="DB56" s="432">
        <f>VLOOKUP($A56,TOCA_current!$A$2:$AI$137,MATCH("Above RHWM Not Served with LS "&amp;$BH$1,TOCA_current!$A$2:$AI$2,0),FALSE)*$BH$2</f>
        <v>0</v>
      </c>
      <c r="DC56" s="401">
        <f t="shared" si="11"/>
        <v>1934.1223378929426</v>
      </c>
      <c r="DD56" s="397">
        <f>(VLOOKUP($A56,TOCA_current!$A$2:$AI$137,MATCH("RHWM 2018",TOCA_current!$A$2:$AI$2,0),FALSE)*$BH$2) - $CZ56</f>
        <v>0</v>
      </c>
      <c r="DE56" s="397">
        <f t="shared" si="12"/>
        <v>0</v>
      </c>
      <c r="DF56" s="397">
        <f t="shared" si="13"/>
        <v>0</v>
      </c>
      <c r="DG56" s="397">
        <f t="shared" si="14"/>
        <v>0</v>
      </c>
      <c r="DH56" s="397">
        <f t="shared" si="15"/>
        <v>0</v>
      </c>
    </row>
    <row r="57" spans="1:112">
      <c r="A57" s="274">
        <v>10144</v>
      </c>
      <c r="B57" s="275" t="s">
        <v>58</v>
      </c>
      <c r="C57" s="397">
        <v>0</v>
      </c>
      <c r="D57" s="397">
        <v>0</v>
      </c>
      <c r="E57" s="205">
        <f>VLOOKUP($A57,TOCA_previous!$A$2:$AI$137,MATCH(E$4,TOCA_previous!$A$2:$AI$2,0),FALSE)</f>
        <v>4.75E-4</v>
      </c>
      <c r="F57" s="206">
        <f>VLOOKUP($A57,TOCA_previous!$A$2:$AI$137,MATCH(F$4,TOCA_previous!$A$2:$AI$2,0),FALSE)</f>
        <v>4.75E-4</v>
      </c>
      <c r="G57" s="206">
        <f t="shared" si="0"/>
        <v>0</v>
      </c>
      <c r="H57" s="206">
        <f>VLOOKUP($A57,TOCA_previous!$A$2:$AI$137,MATCH(H$4,TOCA_previous!$A$2:$AI$2,0),FALSE)</f>
        <v>0</v>
      </c>
      <c r="I57" s="206">
        <f t="shared" si="1"/>
        <v>0</v>
      </c>
      <c r="J57" s="206">
        <f t="shared" si="2"/>
        <v>0</v>
      </c>
      <c r="K57" s="381">
        <f>VLOOKUP(A57, IRD!$A$5:$C$139, 3, FALSE)</f>
        <v>0</v>
      </c>
      <c r="L57" s="382">
        <f t="array" ref="L57">IF($G57=0, INDEX(LS_previous!$D$4:$AY$138, MATCH('Staging Table'!$A57, LS_previous!$B$4:$B$138, 0), MATCH(L$4&amp;L$5, LS_previous!$D$2:$AY$2&amp;LS_previous!$D$3:$AY$3, 0)),SUM(VLOOKUP($A57, LS_previous!$B$4:$AY$138, LS_previous!D$149, FALSE), VLOOKUP('Staging Table'!$A57, LS_previous!$B$4:$AY$138,LS_previous!AB$149, FALSE))/2)</f>
        <v>-103.5977564013117</v>
      </c>
      <c r="M57" s="382">
        <f t="array" ref="M57">IF($G57=0, INDEX(LS_previous!$D$4:$AY$138, MATCH('Staging Table'!$A57, LS_previous!$B$4:$B$138, 0), MATCH(M$4&amp;M$5, LS_previous!$D$2:$AY$2&amp;LS_previous!$D$3:$AY$3, 0)),SUM(VLOOKUP($A57, LS_previous!$B$4:$AY$138, LS_previous!E$149, FALSE), VLOOKUP('Staging Table'!$A57, LS_previous!$B$4:$AY$138,LS_previous!AC$149, FALSE))/2)</f>
        <v>2.4011209985934556</v>
      </c>
      <c r="N57" s="382">
        <f t="array" ref="N57">IF($G57=0, INDEX(LS_previous!$D$4:$AY$138, MATCH('Staging Table'!$A57, LS_previous!$B$4:$B$138, 0), MATCH(N$4&amp;N$5, LS_previous!$D$2:$AY$2&amp;LS_previous!$D$3:$AY$3, 0)),SUM(VLOOKUP($A57, LS_previous!$B$4:$AY$138, LS_previous!F$149, FALSE), VLOOKUP('Staging Table'!$A57, LS_previous!$B$4:$AY$138,LS_previous!AD$149, FALSE))/2)</f>
        <v>124.23133882355751</v>
      </c>
      <c r="O57" s="382">
        <f t="array" ref="O57">IF($G57=0, INDEX(LS_previous!$D$4:$AY$138, MATCH('Staging Table'!$A57, LS_previous!$B$4:$B$138, 0), MATCH(O$4&amp;O$5, LS_previous!$D$2:$AY$2&amp;LS_previous!$D$3:$AY$3, 0)),SUM(VLOOKUP($A57, LS_previous!$B$4:$AY$138, LS_previous!G$149, FALSE), VLOOKUP('Staging Table'!$A57, LS_previous!$B$4:$AY$138,LS_previous!AE$149, FALSE))/2)</f>
        <v>185.61205675236374</v>
      </c>
      <c r="P57" s="382">
        <f t="array" ref="P57">IF($G57=0, INDEX(LS_previous!$D$4:$AY$138, MATCH('Staging Table'!$A57, LS_previous!$B$4:$B$138, 0), MATCH(P$4&amp;P$5, LS_previous!$D$2:$AY$2&amp;LS_previous!$D$3:$AY$3, 0)),SUM(VLOOKUP($A57, LS_previous!$B$4:$AY$138, LS_previous!H$149, FALSE), VLOOKUP('Staging Table'!$A57, LS_previous!$B$4:$AY$138,LS_previous!AF$149, FALSE))/2)</f>
        <v>245.23960990923979</v>
      </c>
      <c r="Q57" s="382">
        <f t="array" ref="Q57">IF($G57=0, INDEX(LS_previous!$D$4:$AY$138, MATCH('Staging Table'!$A57, LS_previous!$B$4:$B$138, 0), MATCH(Q$4&amp;Q$5, LS_previous!$D$2:$AY$2&amp;LS_previous!$D$3:$AY$3, 0)),SUM(VLOOKUP($A57, LS_previous!$B$4:$AY$138, LS_previous!I$149, FALSE), VLOOKUP('Staging Table'!$A57, LS_previous!$B$4:$AY$138,LS_previous!AG$149, FALSE))/2)</f>
        <v>343.10560649378863</v>
      </c>
      <c r="R57" s="382">
        <f t="array" ref="R57">IF($G57=0, INDEX(LS_previous!$D$4:$AY$138, MATCH('Staging Table'!$A57, LS_previous!$B$4:$B$138, 0), MATCH(R$4&amp;R$5, LS_previous!$D$2:$AY$2&amp;LS_previous!$D$3:$AY$3, 0)),SUM(VLOOKUP($A57, LS_previous!$B$4:$AY$138, LS_previous!J$149, FALSE), VLOOKUP('Staging Table'!$A57, LS_previous!$B$4:$AY$138,LS_previous!AH$149, FALSE))/2)</f>
        <v>627.02442620072588</v>
      </c>
      <c r="S57" s="382">
        <f t="array" ref="S57">IF($G57=0, INDEX(LS_previous!$D$4:$AY$138, MATCH('Staging Table'!$A57, LS_previous!$B$4:$B$138, 0), MATCH(S$4&amp;S$5, LS_previous!$D$2:$AY$2&amp;LS_previous!$D$3:$AY$3, 0)),SUM(VLOOKUP($A57, LS_previous!$B$4:$AY$138, LS_previous!K$149, FALSE), VLOOKUP('Staging Table'!$A57, LS_previous!$B$4:$AY$138,LS_previous!AI$149, FALSE))/2)</f>
        <v>483.22981115825655</v>
      </c>
      <c r="T57" s="382">
        <f t="array" ref="T57">IF($G57=0, INDEX(LS_previous!$D$4:$AY$138, MATCH('Staging Table'!$A57, LS_previous!$B$4:$B$138, 0), MATCH(T$4&amp;T$5, LS_previous!$D$2:$AY$2&amp;LS_previous!$D$3:$AY$3, 0)),SUM(VLOOKUP($A57, LS_previous!$B$4:$AY$138, LS_previous!L$149, FALSE), VLOOKUP('Staging Table'!$A57, LS_previous!$B$4:$AY$138,LS_previous!AJ$149, FALSE))/2)</f>
        <v>504.77368373845616</v>
      </c>
      <c r="U57" s="382">
        <f t="array" ref="U57">IF($G57=0, INDEX(LS_previous!$D$4:$AY$138, MATCH('Staging Table'!$A57, LS_previous!$B$4:$B$138, 0), MATCH(U$4&amp;U$5, LS_previous!$D$2:$AY$2&amp;LS_previous!$D$3:$AY$3, 0)),SUM(VLOOKUP($A57, LS_previous!$B$4:$AY$138, LS_previous!M$149, FALSE), VLOOKUP('Staging Table'!$A57, LS_previous!$B$4:$AY$138,LS_previous!AK$149, FALSE))/2)</f>
        <v>362.63712534398474</v>
      </c>
      <c r="V57" s="382">
        <f t="array" ref="V57">IF($G57=0, INDEX(LS_previous!$D$4:$AY$138, MATCH('Staging Table'!$A57, LS_previous!$B$4:$B$138, 0), MATCH(V$4&amp;V$5, LS_previous!$D$2:$AY$2&amp;LS_previous!$D$3:$AY$3, 0)),SUM(VLOOKUP($A57, LS_previous!$B$4:$AY$138, LS_previous!N$149, FALSE), VLOOKUP('Staging Table'!$A57, LS_previous!$B$4:$AY$138,LS_previous!AL$149, FALSE))/2)</f>
        <v>151.220663791795</v>
      </c>
      <c r="W57" s="382">
        <f t="array" ref="W57">IF($G57=0, INDEX(LS_previous!$D$4:$AY$138, MATCH('Staging Table'!$A57, LS_previous!$B$4:$B$138, 0), MATCH(W$4&amp;W$5, LS_previous!$D$2:$AY$2&amp;LS_previous!$D$3:$AY$3, 0)),SUM(VLOOKUP($A57, LS_previous!$B$4:$AY$138, LS_previous!O$149, FALSE), VLOOKUP('Staging Table'!$A57, LS_previous!$B$4:$AY$138,LS_previous!AM$149, FALSE))/2)</f>
        <v>84.219387378403212</v>
      </c>
      <c r="X57" s="382">
        <f t="array" ref="X57">IF($G57=0, INDEX(LS_previous!$D$4:$AY$138, MATCH('Staging Table'!$A57, LS_previous!$B$4:$B$138, 0), MATCH(X$4&amp;X$5, LS_previous!$D$2:$AY$2&amp;LS_previous!$D$3:$AY$3, 0)),SUM(VLOOKUP($A57, LS_previous!$B$4:$AY$138, LS_previous!P$149, FALSE), VLOOKUP('Staging Table'!$A57, LS_previous!$B$4:$AY$138,LS_previous!AN$149, FALSE))/2)</f>
        <v>149.50912881716863</v>
      </c>
      <c r="Y57" s="382">
        <f t="array" ref="Y57">IF($G57=0, INDEX(LS_previous!$D$4:$AY$138, MATCH('Staging Table'!$A57, LS_previous!$B$4:$B$138, 0), MATCH(Y$4&amp;Y$5, LS_previous!$D$2:$AY$2&amp;LS_previous!$D$3:$AY$3, 0)),SUM(VLOOKUP($A57, LS_previous!$B$4:$AY$138, LS_previous!Q$149, FALSE), VLOOKUP('Staging Table'!$A57, LS_previous!$B$4:$AY$138,LS_previous!AO$149, FALSE))/2)</f>
        <v>155.18100936712767</v>
      </c>
      <c r="Z57" s="382">
        <f t="array" ref="Z57">IF($G57=0, INDEX(LS_previous!$D$4:$AY$138, MATCH('Staging Table'!$A57, LS_previous!$B$4:$B$138, 0), MATCH(Z$4&amp;Z$5, LS_previous!$D$2:$AY$2&amp;LS_previous!$D$3:$AY$3, 0)),SUM(VLOOKUP($A57, LS_previous!$B$4:$AY$138, LS_previous!R$149, FALSE), VLOOKUP('Staging Table'!$A57, LS_previous!$B$4:$AY$138,LS_previous!AP$149, FALSE))/2)</f>
        <v>-874.67983305550206</v>
      </c>
      <c r="AA57" s="382">
        <f t="array" ref="AA57">IF($G57=0, INDEX(LS_previous!$D$4:$AY$138, MATCH('Staging Table'!$A57, LS_previous!$B$4:$B$138, 0), MATCH(AA$4&amp;AA$5, LS_previous!$D$2:$AY$2&amp;LS_previous!$D$3:$AY$3, 0)),SUM(VLOOKUP($A57, LS_previous!$B$4:$AY$138, LS_previous!S$149, FALSE), VLOOKUP('Staging Table'!$A57, LS_previous!$B$4:$AY$138,LS_previous!AQ$149, FALSE))/2)</f>
        <v>-407.62233218708411</v>
      </c>
      <c r="AB57" s="382">
        <f t="array" ref="AB57">IF($G57=0, INDEX(LS_previous!$D$4:$AY$138, MATCH('Staging Table'!$A57, LS_previous!$B$4:$B$138, 0), MATCH(AB$4&amp;AB$5, LS_previous!$D$2:$AY$2&amp;LS_previous!$D$3:$AY$3, 0)),SUM(VLOOKUP($A57, LS_previous!$B$4:$AY$138, LS_previous!T$149, FALSE), VLOOKUP('Staging Table'!$A57, LS_previous!$B$4:$AY$138,LS_previous!AR$149, FALSE))/2)</f>
        <v>-542.19777296588063</v>
      </c>
      <c r="AC57" s="382">
        <f t="array" ref="AC57">IF($G57=0, INDEX(LS_previous!$D$4:$AY$138, MATCH('Staging Table'!$A57, LS_previous!$B$4:$B$138, 0), MATCH(AC$4&amp;AC$5, LS_previous!$D$2:$AY$2&amp;LS_previous!$D$3:$AY$3, 0)),SUM(VLOOKUP($A57, LS_previous!$B$4:$AY$138, LS_previous!U$149, FALSE), VLOOKUP('Staging Table'!$A57, LS_previous!$B$4:$AY$138,LS_previous!AS$149, FALSE))/2)</f>
        <v>-315.96897830357352</v>
      </c>
      <c r="AD57" s="382">
        <f t="array" ref="AD57">IF($G57=0, INDEX(LS_previous!$D$4:$AY$138, MATCH('Staging Table'!$A57, LS_previous!$B$4:$B$138, 0), MATCH(AD$4&amp;AD$5, LS_previous!$D$2:$AY$2&amp;LS_previous!$D$3:$AY$3, 0)),SUM(VLOOKUP($A57, LS_previous!$B$4:$AY$138, LS_previous!V$149, FALSE), VLOOKUP('Staging Table'!$A57, LS_previous!$B$4:$AY$138,LS_previous!AT$149, FALSE))/2)</f>
        <v>-511.01454496598035</v>
      </c>
      <c r="AE57" s="382">
        <f t="array" ref="AE57">IF($G57=0, INDEX(LS_previous!$D$4:$AY$138, MATCH('Staging Table'!$A57, LS_previous!$B$4:$B$138, 0), MATCH(AE$4&amp;AE$5, LS_previous!$D$2:$AY$2&amp;LS_previous!$D$3:$AY$3, 0)),SUM(VLOOKUP($A57, LS_previous!$B$4:$AY$138, LS_previous!W$149, FALSE), VLOOKUP('Staging Table'!$A57, LS_previous!$B$4:$AY$138,LS_previous!AU$149, FALSE))/2)</f>
        <v>-130.76135855871792</v>
      </c>
      <c r="AF57" s="382">
        <f t="array" ref="AF57">IF($G57=0, INDEX(LS_previous!$D$4:$AY$138, MATCH('Staging Table'!$A57, LS_previous!$B$4:$B$138, 0), MATCH(AF$4&amp;AF$5, LS_previous!$D$2:$AY$2&amp;LS_previous!$D$3:$AY$3, 0)),SUM(VLOOKUP($A57, LS_previous!$B$4:$AY$138, LS_previous!X$149, FALSE), VLOOKUP('Staging Table'!$A57, LS_previous!$B$4:$AY$138,LS_previous!AV$149, FALSE))/2)</f>
        <v>-553.17295383615487</v>
      </c>
      <c r="AG57" s="382">
        <f t="array" ref="AG57">IF($G57=0, INDEX(LS_previous!$D$4:$AY$138, MATCH('Staging Table'!$A57, LS_previous!$B$4:$B$138, 0), MATCH(AG$4&amp;AG$5, LS_previous!$D$2:$AY$2&amp;LS_previous!$D$3:$AY$3, 0)),SUM(VLOOKUP($A57, LS_previous!$B$4:$AY$138, LS_previous!Y$149, FALSE), VLOOKUP('Staging Table'!$A57, LS_previous!$B$4:$AY$138,LS_previous!AW$149, FALSE))/2)</f>
        <v>-233.69598195346578</v>
      </c>
      <c r="AH57" s="382">
        <f t="array" ref="AH57">IF($G57=0, INDEX(LS_previous!$D$4:$AY$138, MATCH('Staging Table'!$A57, LS_previous!$B$4:$B$138, 0), MATCH(AH$4&amp;AH$5, LS_previous!$D$2:$AY$2&amp;LS_previous!$D$3:$AY$3, 0)),SUM(VLOOKUP($A57, LS_previous!$B$4:$AY$138, LS_previous!Z$149, FALSE), VLOOKUP('Staging Table'!$A57, LS_previous!$B$4:$AY$138,LS_previous!AX$149, FALSE))/2)</f>
        <v>-202.27404670988199</v>
      </c>
      <c r="AI57" s="382">
        <f t="array" ref="AI57">IF($G57=0, INDEX(LS_previous!$D$4:$AY$138, MATCH('Staging Table'!$A57, LS_previous!$B$4:$B$138, 0), MATCH(AI$4&amp;AI$5, LS_previous!$D$2:$AY$2&amp;LS_previous!$D$3:$AY$3, 0)),SUM(VLOOKUP($A57, LS_previous!$B$4:$AY$138, LS_previous!AA$149, FALSE), VLOOKUP('Staging Table'!$A57, LS_previous!$B$4:$AY$138,LS_previous!AY$149, FALSE))/2)</f>
        <v>-96.357195254639919</v>
      </c>
      <c r="AJ57" s="384">
        <f t="array" ref="AJ57">INDEX(Demand_previous!$D$4:$AY$138, MATCH('Staging Table'!$A57, Demand_previous!$B$4:$B$138, 0), MATCH(AJ$4&amp;AJ$5,Demand_previous!$D$2:$AY$2&amp;Demand_previous!$D$3:$AY$3, 0))/1000</f>
        <v>0.57752083333333326</v>
      </c>
      <c r="AK57" s="384">
        <f t="array" ref="AK57">INDEX(Demand_previous!$D$4:$AY$138, MATCH('Staging Table'!$A57, Demand_previous!$B$4:$B$138, 0), MATCH(AK$4&amp;AK$5,Demand_previous!$D$2:$AY$2&amp;Demand_previous!$D$3:$AY$3, 0))/1000</f>
        <v>0.14800520833333319</v>
      </c>
      <c r="AL57" s="384">
        <f t="array" ref="AL57">INDEX(Demand_previous!$D$4:$AY$138, MATCH('Staging Table'!$A57, Demand_previous!$B$4:$B$138, 0), MATCH(AL$4&amp;AL$5,Demand_previous!$D$2:$AY$2&amp;Demand_previous!$D$3:$AY$3, 0))/1000</f>
        <v>1.8321971153846146</v>
      </c>
      <c r="AM57" s="384">
        <f t="array" ref="AM57">INDEX(Demand_previous!$D$4:$AY$138, MATCH('Staging Table'!$A57, Demand_previous!$B$4:$B$138, 0), MATCH(AM$4&amp;AM$5,Demand_previous!$D$2:$AY$2&amp;Demand_previous!$D$3:$AY$3, 0))/1000</f>
        <v>1.3416300000000001</v>
      </c>
      <c r="AN57" s="384">
        <f t="array" ref="AN57">INDEX(Demand_previous!$D$4:$AY$138, MATCH('Staging Table'!$A57, Demand_previous!$B$4:$B$138, 0), MATCH(AN$4&amp;AN$5,Demand_previous!$D$2:$AY$2&amp;Demand_previous!$D$3:$AY$3, 0))/1000</f>
        <v>0.71121000000000012</v>
      </c>
      <c r="AO57" s="384">
        <f t="array" ref="AO57">INDEX(Demand_previous!$D$4:$AY$138, MATCH('Staging Table'!$A57, Demand_previous!$B$4:$B$138, 0), MATCH(AO$4&amp;AO$5,Demand_previous!$D$2:$AY$2&amp;Demand_previous!$D$3:$AY$3, 0))/1000</f>
        <v>0.95286574074074037</v>
      </c>
      <c r="AP57" s="384">
        <f t="array" ref="AP57">INDEX(Demand_previous!$D$4:$AY$138, MATCH('Staging Table'!$A57, Demand_previous!$B$4:$B$138, 0), MATCH(AP$4&amp;AP$5,Demand_previous!$D$2:$AY$2&amp;Demand_previous!$D$3:$AY$3, 0))/1000</f>
        <v>5.9653846153846064E-2</v>
      </c>
      <c r="AQ57" s="384">
        <f t="array" ref="AQ57">INDEX(Demand_previous!$D$4:$AY$138, MATCH('Staging Table'!$A57, Demand_previous!$B$4:$B$138, 0), MATCH(AQ$4&amp;AQ$5,Demand_previous!$D$2:$AY$2&amp;Demand_previous!$D$3:$AY$3, 0))/1000</f>
        <v>8.3364999999999703E-2</v>
      </c>
      <c r="AR57" s="384">
        <f t="array" ref="AR57">INDEX(Demand_previous!$D$4:$AY$138, MATCH('Staging Table'!$A57, Demand_previous!$B$4:$B$138, 0), MATCH(AR$4&amp;AR$5,Demand_previous!$D$2:$AY$2&amp;Demand_previous!$D$3:$AY$3, 0))/1000</f>
        <v>0.27106971153846132</v>
      </c>
      <c r="AS57" s="384">
        <f t="array" ref="AS57">INDEX(Demand_previous!$D$4:$AY$138, MATCH('Staging Table'!$A57, Demand_previous!$B$4:$B$138, 0), MATCH(AS$4&amp;AS$5,Demand_previous!$D$2:$AY$2&amp;Demand_previous!$D$3:$AY$3, 0))/1000</f>
        <v>0.19677500000000048</v>
      </c>
      <c r="AT57" s="384">
        <f t="array" ref="AT57">INDEX(Demand_previous!$D$4:$AY$138, MATCH('Staging Table'!$A57, Demand_previous!$B$4:$B$138, 0), MATCH(AT$4&amp;AT$5,Demand_previous!$D$2:$AY$2&amp;Demand_previous!$D$3:$AY$3, 0))/1000</f>
        <v>0.44052314814814825</v>
      </c>
      <c r="AU57" s="384">
        <f t="array" ref="AU57">INDEX(Demand_previous!$D$4:$AY$138, MATCH('Staging Table'!$A57, Demand_previous!$B$4:$B$138, 0), MATCH(AU$4&amp;AU$5,Demand_previous!$D$2:$AY$2&amp;Demand_previous!$D$3:$AY$3, 0))/1000</f>
        <v>0</v>
      </c>
      <c r="AV57" s="384">
        <f>IF($D57=0,IF(C57=0, MAX(AY57 - (VLOOKUP($A57,TOCA_previous!$A$2:$AI$137,MATCH("RHWM 2016",TOCA_previous!$A$2:$AI$2,0),FALSE)*$F$2*TOCA_previous!C54),0),0), 0)</f>
        <v>0</v>
      </c>
      <c r="AW57" s="427">
        <f>VLOOKUP($A57,REP_previous!$A$1:$D$135,MATCH("FY "&amp;$F$1&amp; " Total Refund",REP_previous!$A$1:$D$1,0),0)</f>
        <v>41791.640662198377</v>
      </c>
      <c r="AX57" s="398">
        <f>MIN(VLOOKUP($A57,TOCA_previous!$A$2:$AI$137,MATCH("TRL - NLSL - Exisiting Resource "&amp;$F$1,TOCA_previous!$A$2:$AI$2,0),FALSE)*$F$2,(VLOOKUP($A57,TOCA_previous!$A$2:$AI$137,MATCH("RHWM 2016",TOCA_previous!$A$2:$AI$2,0),FALSE)*$F$2))</f>
        <v>29136.528000000002</v>
      </c>
      <c r="AY57" s="384">
        <f>SUM(L57:AI57)+(F57*RT1SC!$C$3*$F$2)</f>
        <v>28583.266068581266</v>
      </c>
      <c r="AZ57" s="398">
        <f>VLOOKUP($A57,TOCA_previous!$A$2:$AI$137,MATCH("Above RHWM Not Served with LS "&amp;$F$1,TOCA_previous!$A$2:$AI$2,0),FALSE)*$F$2</f>
        <v>0</v>
      </c>
      <c r="BA57" s="206">
        <f t="shared" si="3"/>
        <v>-553.26193141873591</v>
      </c>
      <c r="BB57" s="399">
        <f>(VLOOKUP($A57,TOCA_previous!$A$2:$AI$137,MATCH("RHWM 2016",TOCA_previous!$A$2:$AI$2,0),FALSE)*$F$2) - $AX57</f>
        <v>158.11199999999735</v>
      </c>
      <c r="BC57" s="206">
        <f t="shared" si="4"/>
        <v>0</v>
      </c>
      <c r="BD57" s="400">
        <f t="shared" si="5"/>
        <v>553.26193141873591</v>
      </c>
      <c r="BE57" s="392">
        <f t="shared" si="6"/>
        <v>0</v>
      </c>
      <c r="BF57" s="399">
        <f t="shared" si="7"/>
        <v>553.26193141873591</v>
      </c>
      <c r="BG57" s="206">
        <f>VLOOKUP($A57,TOCA_current!$A$2:$AI$137,MATCH(BG$4,TOCA_current!$A$2:$AI$2,0),FALSE)</f>
        <v>4.6979999999999998E-4</v>
      </c>
      <c r="BH57" s="206">
        <f>VLOOKUP($A57,TOCA_current!$A$2:$AI$137,MATCH(BH$4,TOCA_current!$A$2:$AI$2,0),FALSE)</f>
        <v>4.6979999999999998E-4</v>
      </c>
      <c r="BI57" s="391">
        <f t="shared" si="8"/>
        <v>0</v>
      </c>
      <c r="BJ57" s="206">
        <f>VLOOKUP($A57,TOCA_current!A53:BG188,MATCH(BJ$4,TOCA_current!$A$2:$BG$2,0),FALSE)</f>
        <v>0</v>
      </c>
      <c r="BK57" s="206">
        <f t="shared" si="9"/>
        <v>0</v>
      </c>
      <c r="BL57" s="206">
        <f t="shared" si="10"/>
        <v>0</v>
      </c>
      <c r="BM57" s="381">
        <f>VLOOKUP($A57,IRD!$A$4:$G$139, 7, FALSE)</f>
        <v>0</v>
      </c>
      <c r="BN57" s="382">
        <f t="array" ref="BN57">IF($BI57=0, INDEX(LS_current!$D$4:$AY$139, MATCH('Staging Table'!$A57, LS_current!$B$4:$B$139, 0), MATCH(BN$4&amp;BN$5, LS_current!$D$2:$AY$2&amp;LS_current!$D$3:$AY$3, 0)),SUM(VLOOKUP($A57, LS_current!$B$4:$AY$139, LS_current!D$149, FALSE), VLOOKUP($A57, LS_current!$B$4:$AY$139,LS_current!D$149, FALSE))/2)</f>
        <v>-95.494365214625532</v>
      </c>
      <c r="BO57" s="382">
        <f t="array" ref="BO57">IF($BI57=0, INDEX(LS_current!$D$4:$AY$139, MATCH('Staging Table'!$A57, LS_current!$B$4:$B$139, 0), MATCH(BO$4&amp;BO$5, LS_current!$D$2:$AY$2&amp;LS_current!$D$3:$AY$3, 0)),SUM(VLOOKUP($A57, LS_current!$B$4:$AY$139, LS_current!E$149, FALSE), VLOOKUP($A57, LS_current!$B$4:$AY$139,LS_current!E$149, FALSE))/2)</f>
        <v>53.189384444038637</v>
      </c>
      <c r="BP57" s="382">
        <f t="array" ref="BP57">IF($BI57=0, INDEX(LS_current!$D$4:$AY$139, MATCH('Staging Table'!$A57, LS_current!$B$4:$B$139, 0), MATCH(BP$4&amp;BP$5, LS_current!$D$2:$AY$2&amp;LS_current!$D$3:$AY$3, 0)),SUM(VLOOKUP($A57, LS_current!$B$4:$AY$139, LS_current!F$149, FALSE), VLOOKUP($A57, LS_current!$B$4:$AY$139,LS_current!F$149, FALSE))/2)</f>
        <v>107.74288582674603</v>
      </c>
      <c r="BQ57" s="382">
        <f t="array" ref="BQ57">IF($BI57=0, INDEX(LS_current!$D$4:$AY$139, MATCH('Staging Table'!$A57, LS_current!$B$4:$B$139, 0), MATCH(BQ$4&amp;BQ$5, LS_current!$D$2:$AY$2&amp;LS_current!$D$3:$AY$3, 0)),SUM(VLOOKUP($A57, LS_current!$B$4:$AY$139, LS_current!G$149, FALSE), VLOOKUP($A57, LS_current!$B$4:$AY$139,LS_current!G$149, FALSE))/2)</f>
        <v>206.01298482798086</v>
      </c>
      <c r="BR57" s="382">
        <f t="array" ref="BR57">IF($BI57=0, INDEX(LS_current!$D$4:$AY$139, MATCH('Staging Table'!$A57, LS_current!$B$4:$B$139, 0), MATCH(BR$4&amp;BR$5, LS_current!$D$2:$AY$2&amp;LS_current!$D$3:$AY$3, 0)),SUM(VLOOKUP($A57, LS_current!$B$4:$AY$139, LS_current!H$149, FALSE), VLOOKUP($A57, LS_current!$B$4:$AY$139,LS_current!H$149, FALSE))/2)</f>
        <v>209.19012713307347</v>
      </c>
      <c r="BS57" s="382">
        <f t="array" ref="BS57">IF($BI57=0, INDEX(LS_current!$D$4:$AY$139, MATCH('Staging Table'!$A57, LS_current!$B$4:$B$139, 0), MATCH(BS$4&amp;BS$5, LS_current!$D$2:$AY$2&amp;LS_current!$D$3:$AY$3, 0)),SUM(VLOOKUP($A57, LS_current!$B$4:$AY$139, LS_current!I$149, FALSE), VLOOKUP($A57, LS_current!$B$4:$AY$139,LS_current!I$149, FALSE))/2)</f>
        <v>344.6648699221023</v>
      </c>
      <c r="BT57" s="382">
        <f t="array" ref="BT57">IF($BI57=0, INDEX(LS_current!$D$4:$AY$139, MATCH('Staging Table'!$A57, LS_current!$B$4:$B$139, 0), MATCH(BT$4&amp;BT$5, LS_current!$D$2:$AY$2&amp;LS_current!$D$3:$AY$3, 0)),SUM(VLOOKUP($A57, LS_current!$B$4:$AY$139, LS_current!J$149, FALSE), VLOOKUP($A57, LS_current!$B$4:$AY$139,LS_current!J$149, FALSE))/2)</f>
        <v>626.68551084980959</v>
      </c>
      <c r="BU57" s="382">
        <f t="array" ref="BU57">IF($BI57=0, INDEX(LS_current!$D$4:$AY$139, MATCH('Staging Table'!$A57, LS_current!$B$4:$B$139, 0), MATCH(BU$4&amp;BU$5, LS_current!$D$2:$AY$2&amp;LS_current!$D$3:$AY$3, 0)),SUM(VLOOKUP($A57, LS_current!$B$4:$AY$139, LS_current!K$149, FALSE), VLOOKUP($A57, LS_current!$B$4:$AY$139,LS_current!K$149, FALSE))/2)</f>
        <v>489.51753322802233</v>
      </c>
      <c r="BV57" s="382">
        <f t="array" ref="BV57">IF($BI57=0, INDEX(LS_current!$D$4:$AY$139, MATCH('Staging Table'!$A57, LS_current!$B$4:$B$139, 0), MATCH(BV$4&amp;BV$5, LS_current!$D$2:$AY$2&amp;LS_current!$D$3:$AY$3, 0)),SUM(VLOOKUP($A57, LS_current!$B$4:$AY$139, LS_current!L$149, FALSE), VLOOKUP($A57, LS_current!$B$4:$AY$139,LS_current!L$149, FALSE))/2)</f>
        <v>616.58564191535083</v>
      </c>
      <c r="BW57" s="382">
        <f t="array" ref="BW57">IF($BI57=0, INDEX(LS_current!$D$4:$AY$139, MATCH('Staging Table'!$A57, LS_current!$B$4:$B$139, 0), MATCH(BW$4&amp;BW$5, LS_current!$D$2:$AY$2&amp;LS_current!$D$3:$AY$3, 0)),SUM(VLOOKUP($A57, LS_current!$B$4:$AY$139, LS_current!M$149, FALSE), VLOOKUP($A57, LS_current!$B$4:$AY$139,LS_current!M$149, FALSE))/2)</f>
        <v>447.92709754823488</v>
      </c>
      <c r="BX57" s="382">
        <f t="array" ref="BX57">IF($BI57=0, INDEX(LS_current!$D$4:$AY$139, MATCH('Staging Table'!$A57, LS_current!$B$4:$B$139, 0), MATCH(BX$4&amp;BX$5, LS_current!$D$2:$AY$2&amp;LS_current!$D$3:$AY$3, 0)),SUM(VLOOKUP($A57, LS_current!$B$4:$AY$139, LS_current!N$149, FALSE), VLOOKUP($A57, LS_current!$B$4:$AY$139,LS_current!N$149, FALSE))/2)</f>
        <v>243.57394593166259</v>
      </c>
      <c r="BY57" s="382">
        <f t="array" ref="BY57">IF($BI57=0, INDEX(LS_current!$D$4:$AY$139, MATCH('Staging Table'!$A57, LS_current!$B$4:$B$139, 0), MATCH(BY$4&amp;BY$5, LS_current!$D$2:$AY$2&amp;LS_current!$D$3:$AY$3, 0)),SUM(VLOOKUP($A57, LS_current!$B$4:$AY$139, LS_current!O$149, FALSE), VLOOKUP($A57, LS_current!$B$4:$AY$139,LS_current!O$149, FALSE))/2)</f>
        <v>179.09174948528346</v>
      </c>
      <c r="BZ57" s="382">
        <f t="array" ref="BZ57">IF($BI57=0, INDEX(LS_current!$D$4:$AY$139, MATCH('Staging Table'!$A57, LS_current!$B$4:$B$139, 0), MATCH(BZ$4&amp;BZ$5, LS_current!$D$2:$AY$2&amp;LS_current!$D$3:$AY$3, 0)),SUM(VLOOKUP($A57, LS_current!$B$4:$AY$139, LS_current!P$149, FALSE), VLOOKUP($A57, LS_current!$B$4:$AY$139,LS_current!P$149, FALSE))/2)</f>
        <v>20.332737690803469</v>
      </c>
      <c r="CA57" s="382">
        <f t="array" ref="CA57">IF($BI57=0, INDEX(LS_current!$D$4:$AY$139, MATCH('Staging Table'!$A57, LS_current!$B$4:$B$139, 0), MATCH(CA$4&amp;CA$5, LS_current!$D$2:$AY$2&amp;LS_current!$D$3:$AY$3, 0)),SUM(VLOOKUP($A57, LS_current!$B$4:$AY$139, LS_current!Q$149, FALSE), VLOOKUP($A57, LS_current!$B$4:$AY$139,LS_current!Q$149, FALSE))/2)</f>
        <v>153.21778423164142</v>
      </c>
      <c r="CB57" s="382">
        <f t="array" ref="CB57">IF($BI57=0, INDEX(LS_current!$D$4:$AY$139, MATCH('Staging Table'!$A57, LS_current!$B$4:$B$139, 0), MATCH(CB$4&amp;CB$5, LS_current!$D$2:$AY$2&amp;LS_current!$D$3:$AY$3, 0)),SUM(VLOOKUP($A57, LS_current!$B$4:$AY$139, LS_current!R$149, FALSE), VLOOKUP($A57, LS_current!$B$4:$AY$139,LS_current!R$149, FALSE))/2)</f>
        <v>-834.57188132546844</v>
      </c>
      <c r="CC57" s="382">
        <f t="array" ref="CC57">IF($BI57=0, INDEX(LS_current!$D$4:$AY$139, MATCH('Staging Table'!$A57, LS_current!$B$4:$B$139, 0), MATCH(CC$4&amp;CC$5, LS_current!$D$2:$AY$2&amp;LS_current!$D$3:$AY$3, 0)),SUM(VLOOKUP($A57, LS_current!$B$4:$AY$139, LS_current!S$149, FALSE), VLOOKUP($A57, LS_current!$B$4:$AY$139,LS_current!S$149, FALSE))/2)</f>
        <v>-412.67903974731917</v>
      </c>
      <c r="CD57" s="382">
        <f t="array" ref="CD57">IF($BI57=0, INDEX(LS_current!$D$4:$AY$139, MATCH('Staging Table'!$A57, LS_current!$B$4:$B$139, 0), MATCH(CD$4&amp;CD$5, LS_current!$D$2:$AY$2&amp;LS_current!$D$3:$AY$3, 0)),SUM(VLOOKUP($A57, LS_current!$B$4:$AY$139, LS_current!T$149, FALSE), VLOOKUP($A57, LS_current!$B$4:$AY$139,LS_current!T$149, FALSE))/2)</f>
        <v>-516.50725609799338</v>
      </c>
      <c r="CE57" s="382">
        <f t="array" ref="CE57">IF($BI57=0, INDEX(LS_current!$D$4:$AY$139, MATCH('Staging Table'!$A57, LS_current!$B$4:$B$139, 0), MATCH(CE$4&amp;CE$5, LS_current!$D$2:$AY$2&amp;LS_current!$D$3:$AY$3, 0)),SUM(VLOOKUP($A57, LS_current!$B$4:$AY$139, LS_current!U$149, FALSE), VLOOKUP($A57, LS_current!$B$4:$AY$139,LS_current!U$149, FALSE))/2)</f>
        <v>-240.66423529095175</v>
      </c>
      <c r="CF57" s="382">
        <f t="array" ref="CF57">IF($BI57=0, INDEX(LS_current!$D$4:$AY$139, MATCH('Staging Table'!$A57, LS_current!$B$4:$B$139, 0), MATCH(CF$4&amp;CF$5, LS_current!$D$2:$AY$2&amp;LS_current!$D$3:$AY$3, 0)),SUM(VLOOKUP($A57, LS_current!$B$4:$AY$139, LS_current!V$149, FALSE), VLOOKUP($A57, LS_current!$B$4:$AY$139,LS_current!V$149, FALSE))/2)</f>
        <v>-401.7017430794217</v>
      </c>
      <c r="CG57" s="382">
        <f t="array" ref="CG57">IF($BI57=0, INDEX(LS_current!$D$4:$AY$139, MATCH('Staging Table'!$A57, LS_current!$B$4:$B$139, 0), MATCH(CG$4&amp;CG$5, LS_current!$D$2:$AY$2&amp;LS_current!$D$3:$AY$3, 0)),SUM(VLOOKUP($A57, LS_current!$B$4:$AY$139, LS_current!W$149, FALSE), VLOOKUP($A57, LS_current!$B$4:$AY$139,LS_current!W$149, FALSE))/2)</f>
        <v>-64.384025035560398</v>
      </c>
      <c r="CH57" s="382">
        <f t="array" ref="CH57">IF($BI57=0, INDEX(LS_current!$D$4:$AY$139, MATCH('Staging Table'!$A57, LS_current!$B$4:$B$139, 0), MATCH(CH$4&amp;CH$5, LS_current!$D$2:$AY$2&amp;LS_current!$D$3:$AY$3, 0)),SUM(VLOOKUP($A57, LS_current!$B$4:$AY$139, LS_current!X$149, FALSE), VLOOKUP($A57, LS_current!$B$4:$AY$139,LS_current!X$149, FALSE))/2)</f>
        <v>-527.0100229260479</v>
      </c>
      <c r="CI57" s="382">
        <f t="array" ref="CI57">IF($BI57=0, INDEX(LS_current!$D$4:$AY$139, MATCH('Staging Table'!$A57, LS_current!$B$4:$B$139, 0), MATCH(CI$4&amp;CI$5, LS_current!$D$2:$AY$2&amp;LS_current!$D$3:$AY$3, 0)),SUM(VLOOKUP($A57, LS_current!$B$4:$AY$139, LS_current!Y$149, FALSE), VLOOKUP($A57, LS_current!$B$4:$AY$139,LS_current!Y$149, FALSE))/2)</f>
        <v>-198.43822299543751</v>
      </c>
      <c r="CJ57" s="382">
        <f t="array" ref="CJ57">IF($BI57=0, INDEX(LS_current!$D$4:$AY$139, MATCH('Staging Table'!$A57, LS_current!$B$4:$B$139, 0), MATCH(CJ$4&amp;CJ$5, LS_current!$D$2:$AY$2&amp;LS_current!$D$3:$AY$3, 0)),SUM(VLOOKUP($A57, LS_current!$B$4:$AY$139, LS_current!Z$149, FALSE), VLOOKUP($A57, LS_current!$B$4:$AY$139,LS_current!Z$149, FALSE))/2)</f>
        <v>-318.8754168624198</v>
      </c>
      <c r="CK57" s="382">
        <f t="array" ref="CK57">IF($BI57=0, INDEX(LS_current!$D$4:$AY$139, MATCH('Staging Table'!$A57, LS_current!$B$4:$B$139, 0), MATCH(CK$4&amp;CK$5, LS_current!$D$2:$AY$2&amp;LS_current!$D$3:$AY$3, 0)),SUM(VLOOKUP($A57, LS_current!$B$4:$AY$139, LS_current!AA$149, FALSE), VLOOKUP($A57, LS_current!$B$4:$AY$139,LS_current!AA$149, FALSE))/2)</f>
        <v>-85.292208493224962</v>
      </c>
      <c r="CL57" s="384">
        <f t="array" ref="CL57">INDEX(Demand_current!$D$4:$AY$138, MATCH($A57, Demand_current!$B$4:$B$138, 0), MATCH(CL$4&amp;CL$5,Demand_current!$D$2:$AY$2&amp;Demand_current!$D$3:$AY$3, 0))/1000</f>
        <v>0.45846394230769238</v>
      </c>
      <c r="CM57" s="384">
        <f t="array" ref="CM57">INDEX(Demand_current!$D$4:$AY$138, MATCH($A57, Demand_current!$B$4:$B$138, 0), MATCH(CM$4&amp;CM$5,Demand_current!$D$2:$AY$2&amp;Demand_current!$D$3:$AY$3, 0))/1000</f>
        <v>0.33792500000000025</v>
      </c>
      <c r="CN57" s="384">
        <f t="array" ref="CN57">INDEX(Demand_current!$D$4:$AY$138, MATCH($A57, Demand_current!$B$4:$B$138, 0), MATCH(CN$4&amp;CN$5,Demand_current!$D$2:$AY$2&amp;Demand_current!$D$3:$AY$3, 0))/1000</f>
        <v>1.6509649999999991</v>
      </c>
      <c r="CO57" s="384">
        <f t="array" ref="CO57">INDEX(Demand_current!$D$4:$AY$138, MATCH($A57, Demand_current!$B$4:$B$138, 0), MATCH(CO$4&amp;CO$5,Demand_current!$D$2:$AY$2&amp;Demand_current!$D$3:$AY$3, 0))/1000</f>
        <v>1.5384134615384617</v>
      </c>
      <c r="CP57" s="384">
        <f t="array" ref="CP57">INDEX(Demand_current!$D$4:$AY$138, MATCH($A57, Demand_current!$B$4:$B$138, 0), MATCH(CP$4&amp;CP$5,Demand_current!$D$2:$AY$2&amp;Demand_current!$D$3:$AY$3, 0))/1000</f>
        <v>0.52301041666666648</v>
      </c>
      <c r="CQ57" s="384">
        <f t="array" ref="CQ57">INDEX(Demand_current!$D$4:$AY$138, MATCH($A57, Demand_current!$B$4:$B$138, 0), MATCH(CQ$4&amp;CQ$5,Demand_current!$D$2:$AY$2&amp;Demand_current!$D$3:$AY$3, 0))/1000</f>
        <v>0.95286574074074037</v>
      </c>
      <c r="CR57" s="384">
        <f t="array" ref="CR57">INDEX(Demand_current!$D$4:$AY$138, MATCH($A57, Demand_current!$B$4:$B$138, 0), MATCH(CR$4&amp;CR$5,Demand_current!$D$2:$AY$2&amp;Demand_current!$D$3:$AY$3, 0))/1000</f>
        <v>0</v>
      </c>
      <c r="CS57" s="384">
        <f t="array" ref="CS57">INDEX(Demand_current!$D$4:$AY$138, MATCH($A57, Demand_current!$B$4:$B$138, 0), MATCH(CS$4&amp;CS$5,Demand_current!$D$2:$AY$2&amp;Demand_current!$D$3:$AY$3, 0))/1000</f>
        <v>0.19592788461538424</v>
      </c>
      <c r="CT57" s="384">
        <f t="array" ref="CT57">INDEX(Demand_current!$D$4:$AY$138, MATCH($A57, Demand_current!$B$4:$B$138, 0), MATCH(CT$4&amp;CT$5,Demand_current!$D$2:$AY$2&amp;Demand_current!$D$3:$AY$3, 0))/1000</f>
        <v>0.27106971153846132</v>
      </c>
      <c r="CU57" s="384">
        <f t="array" ref="CU57">INDEX(Demand_current!$D$4:$AY$138, MATCH($A57, Demand_current!$B$4:$B$138, 0), MATCH(CU$4&amp;CU$5,Demand_current!$D$2:$AY$2&amp;Demand_current!$D$3:$AY$3, 0))/1000</f>
        <v>0.19677500000000048</v>
      </c>
      <c r="CV57" s="384">
        <f t="array" ref="CV57">INDEX(Demand_current!$D$4:$AY$138, MATCH($A57, Demand_current!$B$4:$B$138, 0), MATCH(CV$4&amp;CV$5,Demand_current!$D$2:$AY$2&amp;Demand_current!$D$3:$AY$3, 0))/1000</f>
        <v>0.44052314814814825</v>
      </c>
      <c r="CW57" s="384">
        <f t="array" ref="CW57">INDEX(Demand_current!$D$4:$AY$138, MATCH($A57, Demand_current!$B$4:$B$138, 0), MATCH(CW$4&amp;CW$5,Demand_current!$D$2:$AY$2&amp;Demand_current!$D$3:$AY$3, 0))/1000</f>
        <v>0</v>
      </c>
      <c r="CX57" s="384">
        <f>IF(D57=0,IF(C57=0,MAX(0,DA57 - (VLOOKUP($A57,TOCA_current!$A$2:$AI$137,MATCH("RHWM 2018",TOCA_current!$A$2:$AI$2,0),FALSE)*$BH$2)), 0),0)</f>
        <v>0</v>
      </c>
      <c r="CY57" s="427">
        <f>VLOOKUP($A57,REP_current!$A$1:$D$135,MATCH("FY "&amp;$BH$1&amp; " Total Refund",REP_current!$A$1:$D$1,0),0)</f>
        <v>41873.892466229881</v>
      </c>
      <c r="CZ57" s="432">
        <f>MIN(VLOOKUP($A57,TOCA_current!$A$2:$AI$137,MATCH("TRL - NLSL - Existing Resource "&amp;$BH$1,TOCA_current!$A$2:$AI$2,0),FALSE)*$BH$2, VLOOKUP($A57,TOCA_current!$A$2:$AI$137,MATCH("RHWM 2018",TOCA_current!$A$2:$AI$2,0),FALSE)*$BH$2)</f>
        <v>28583.879999999997</v>
      </c>
      <c r="DA57" s="397">
        <f>SUM(BN57:CK57)+(BH57*RT1SC!$C$4*$BH$2)</f>
        <v>28583.266416974275</v>
      </c>
      <c r="DB57" s="432">
        <f>VLOOKUP($A57,TOCA_current!$A$2:$AI$137,MATCH("Above RHWM Not Served with LS "&amp;$BH$1,TOCA_current!$A$2:$AI$2,0),FALSE)*$BH$2</f>
        <v>0</v>
      </c>
      <c r="DC57" s="401">
        <f t="shared" si="11"/>
        <v>-0.61358302572261891</v>
      </c>
      <c r="DD57" s="397">
        <f>(VLOOKUP($A57,TOCA_current!$A$2:$AI$137,MATCH("RHWM 2018",TOCA_current!$A$2:$AI$2,0),FALSE)*$BH$2) - $CZ57</f>
        <v>446.76000000000204</v>
      </c>
      <c r="DE57" s="397">
        <f t="shared" si="12"/>
        <v>0</v>
      </c>
      <c r="DF57" s="397">
        <f t="shared" si="13"/>
        <v>0.61358302572261891</v>
      </c>
      <c r="DG57" s="397">
        <f t="shared" si="14"/>
        <v>0</v>
      </c>
      <c r="DH57" s="397">
        <f t="shared" si="15"/>
        <v>0.61358302572261891</v>
      </c>
    </row>
    <row r="58" spans="1:112">
      <c r="A58" s="274">
        <v>10156</v>
      </c>
      <c r="B58" s="275" t="s">
        <v>59</v>
      </c>
      <c r="C58" s="397">
        <v>0</v>
      </c>
      <c r="D58" s="397">
        <v>0</v>
      </c>
      <c r="E58" s="205">
        <f>VLOOKUP($A58,TOCA_previous!$A$2:$AI$137,MATCH(E$4,TOCA_previous!$A$2:$AI$2,0),FALSE)</f>
        <v>4.5564000000000004E-3</v>
      </c>
      <c r="F58" s="206">
        <f>VLOOKUP($A58,TOCA_previous!$A$2:$AI$137,MATCH(F$4,TOCA_previous!$A$2:$AI$2,0),FALSE)</f>
        <v>4.5564000000000004E-3</v>
      </c>
      <c r="G58" s="206">
        <f t="shared" si="0"/>
        <v>0</v>
      </c>
      <c r="H58" s="206">
        <f>VLOOKUP($A58,TOCA_previous!$A$2:$AI$137,MATCH(H$4,TOCA_previous!$A$2:$AI$2,0),FALSE)</f>
        <v>0</v>
      </c>
      <c r="I58" s="206">
        <f t="shared" si="1"/>
        <v>0</v>
      </c>
      <c r="J58" s="206">
        <f t="shared" si="2"/>
        <v>0</v>
      </c>
      <c r="K58" s="381">
        <f>VLOOKUP(A58, IRD!$A$5:$C$139, 3, FALSE)</f>
        <v>0</v>
      </c>
      <c r="L58" s="382">
        <f t="array" ref="L58">IF($G58=0, INDEX(LS_previous!$D$4:$AY$138, MATCH('Staging Table'!$A58, LS_previous!$B$4:$B$138, 0), MATCH(L$4&amp;L$5, LS_previous!$D$2:$AY$2&amp;LS_previous!$D$3:$AY$3, 0)),SUM(VLOOKUP($A58, LS_previous!$B$4:$AY$138, LS_previous!D$149, FALSE), VLOOKUP('Staging Table'!$A58, LS_previous!$B$4:$AY$138,LS_previous!AB$149, FALSE))/2)</f>
        <v>-686.37057487776292</v>
      </c>
      <c r="M58" s="382">
        <f t="array" ref="M58">IF($G58=0, INDEX(LS_previous!$D$4:$AY$138, MATCH('Staging Table'!$A58, LS_previous!$B$4:$B$138, 0), MATCH(M$4&amp;M$5, LS_previous!$D$2:$AY$2&amp;LS_previous!$D$3:$AY$3, 0)),SUM(VLOOKUP($A58, LS_previous!$B$4:$AY$138, LS_previous!E$149, FALSE), VLOOKUP('Staging Table'!$A58, LS_previous!$B$4:$AY$138,LS_previous!AC$149, FALSE))/2)</f>
        <v>346.58463814313927</v>
      </c>
      <c r="N58" s="382">
        <f t="array" ref="N58">IF($G58=0, INDEX(LS_previous!$D$4:$AY$138, MATCH('Staging Table'!$A58, LS_previous!$B$4:$B$138, 0), MATCH(N$4&amp;N$5, LS_previous!$D$2:$AY$2&amp;LS_previous!$D$3:$AY$3, 0)),SUM(VLOOKUP($A58, LS_previous!$B$4:$AY$138, LS_previous!F$149, FALSE), VLOOKUP('Staging Table'!$A58, LS_previous!$B$4:$AY$138,LS_previous!AD$149, FALSE))/2)</f>
        <v>452.88947413822643</v>
      </c>
      <c r="O58" s="382">
        <f t="array" ref="O58">IF($G58=0, INDEX(LS_previous!$D$4:$AY$138, MATCH('Staging Table'!$A58, LS_previous!$B$4:$B$138, 0), MATCH(O$4&amp;O$5, LS_previous!$D$2:$AY$2&amp;LS_previous!$D$3:$AY$3, 0)),SUM(VLOOKUP($A58, LS_previous!$B$4:$AY$138, LS_previous!G$149, FALSE), VLOOKUP('Staging Table'!$A58, LS_previous!$B$4:$AY$138,LS_previous!AE$149, FALSE))/2)</f>
        <v>2311.2261595504624</v>
      </c>
      <c r="P58" s="382">
        <f t="array" ref="P58">IF($G58=0, INDEX(LS_previous!$D$4:$AY$138, MATCH('Staging Table'!$A58, LS_previous!$B$4:$B$138, 0), MATCH(P$4&amp;P$5, LS_previous!$D$2:$AY$2&amp;LS_previous!$D$3:$AY$3, 0)),SUM(VLOOKUP($A58, LS_previous!$B$4:$AY$138, LS_previous!H$149, FALSE), VLOOKUP('Staging Table'!$A58, LS_previous!$B$4:$AY$138,LS_previous!AF$149, FALSE))/2)</f>
        <v>2920.787103137809</v>
      </c>
      <c r="Q58" s="382">
        <f t="array" ref="Q58">IF($G58=0, INDEX(LS_previous!$D$4:$AY$138, MATCH('Staging Table'!$A58, LS_previous!$B$4:$B$138, 0), MATCH(Q$4&amp;Q$5, LS_previous!$D$2:$AY$2&amp;LS_previous!$D$3:$AY$3, 0)),SUM(VLOOKUP($A58, LS_previous!$B$4:$AY$138, LS_previous!I$149, FALSE), VLOOKUP('Staging Table'!$A58, LS_previous!$B$4:$AY$138,LS_previous!AG$149, FALSE))/2)</f>
        <v>3555.8041714279971</v>
      </c>
      <c r="R58" s="382">
        <f t="array" ref="R58">IF($G58=0, INDEX(LS_previous!$D$4:$AY$138, MATCH('Staging Table'!$A58, LS_previous!$B$4:$B$138, 0), MATCH(R$4&amp;R$5, LS_previous!$D$2:$AY$2&amp;LS_previous!$D$3:$AY$3, 0)),SUM(VLOOKUP($A58, LS_previous!$B$4:$AY$138, LS_previous!J$149, FALSE), VLOOKUP('Staging Table'!$A58, LS_previous!$B$4:$AY$138,LS_previous!AH$149, FALSE))/2)</f>
        <v>5601.2771859810236</v>
      </c>
      <c r="S58" s="382">
        <f t="array" ref="S58">IF($G58=0, INDEX(LS_previous!$D$4:$AY$138, MATCH('Staging Table'!$A58, LS_previous!$B$4:$B$138, 0), MATCH(S$4&amp;S$5, LS_previous!$D$2:$AY$2&amp;LS_previous!$D$3:$AY$3, 0)),SUM(VLOOKUP($A58, LS_previous!$B$4:$AY$138, LS_previous!K$149, FALSE), VLOOKUP('Staging Table'!$A58, LS_previous!$B$4:$AY$138,LS_previous!AI$149, FALSE))/2)</f>
        <v>4987.7572693925904</v>
      </c>
      <c r="T58" s="382">
        <f t="array" ref="T58">IF($G58=0, INDEX(LS_previous!$D$4:$AY$138, MATCH('Staging Table'!$A58, LS_previous!$B$4:$B$138, 0), MATCH(T$4&amp;T$5, LS_previous!$D$2:$AY$2&amp;LS_previous!$D$3:$AY$3, 0)),SUM(VLOOKUP($A58, LS_previous!$B$4:$AY$138, LS_previous!L$149, FALSE), VLOOKUP('Staging Table'!$A58, LS_previous!$B$4:$AY$138,LS_previous!AJ$149, FALSE))/2)</f>
        <v>4333.8011161808463</v>
      </c>
      <c r="U58" s="382">
        <f t="array" ref="U58">IF($G58=0, INDEX(LS_previous!$D$4:$AY$138, MATCH('Staging Table'!$A58, LS_previous!$B$4:$B$138, 0), MATCH(U$4&amp;U$5, LS_previous!$D$2:$AY$2&amp;LS_previous!$D$3:$AY$3, 0)),SUM(VLOOKUP($A58, LS_previous!$B$4:$AY$138, LS_previous!M$149, FALSE), VLOOKUP('Staging Table'!$A58, LS_previous!$B$4:$AY$138,LS_previous!AK$149, FALSE))/2)</f>
        <v>3817.4101682470146</v>
      </c>
      <c r="V58" s="382">
        <f t="array" ref="V58">IF($G58=0, INDEX(LS_previous!$D$4:$AY$138, MATCH('Staging Table'!$A58, LS_previous!$B$4:$B$138, 0), MATCH(V$4&amp;V$5, LS_previous!$D$2:$AY$2&amp;LS_previous!$D$3:$AY$3, 0)),SUM(VLOOKUP($A58, LS_previous!$B$4:$AY$138, LS_previous!N$149, FALSE), VLOOKUP('Staging Table'!$A58, LS_previous!$B$4:$AY$138,LS_previous!AL$149, FALSE))/2)</f>
        <v>771.21866758091528</v>
      </c>
      <c r="W58" s="382">
        <f t="array" ref="W58">IF($G58=0, INDEX(LS_previous!$D$4:$AY$138, MATCH('Staging Table'!$A58, LS_previous!$B$4:$B$138, 0), MATCH(W$4&amp;W$5, LS_previous!$D$2:$AY$2&amp;LS_previous!$D$3:$AY$3, 0)),SUM(VLOOKUP($A58, LS_previous!$B$4:$AY$138, LS_previous!O$149, FALSE), VLOOKUP('Staging Table'!$A58, LS_previous!$B$4:$AY$138,LS_previous!AM$149, FALSE))/2)</f>
        <v>1277.8799601072751</v>
      </c>
      <c r="X58" s="382">
        <f t="array" ref="X58">IF($G58=0, INDEX(LS_previous!$D$4:$AY$138, MATCH('Staging Table'!$A58, LS_previous!$B$4:$B$138, 0), MATCH(X$4&amp;X$5, LS_previous!$D$2:$AY$2&amp;LS_previous!$D$3:$AY$3, 0)),SUM(VLOOKUP($A58, LS_previous!$B$4:$AY$138, LS_previous!P$149, FALSE), VLOOKUP('Staging Table'!$A58, LS_previous!$B$4:$AY$138,LS_previous!AN$149, FALSE))/2)</f>
        <v>1542.0954141948332</v>
      </c>
      <c r="Y58" s="382">
        <f t="array" ref="Y58">IF($G58=0, INDEX(LS_previous!$D$4:$AY$138, MATCH('Staging Table'!$A58, LS_previous!$B$4:$B$138, 0), MATCH(Y$4&amp;Y$5, LS_previous!$D$2:$AY$2&amp;LS_previous!$D$3:$AY$3, 0)),SUM(VLOOKUP($A58, LS_previous!$B$4:$AY$138, LS_previous!Q$149, FALSE), VLOOKUP('Staging Table'!$A58, LS_previous!$B$4:$AY$138,LS_previous!AO$149, FALSE))/2)</f>
        <v>1612.4664940639577</v>
      </c>
      <c r="Z58" s="382">
        <f t="array" ref="Z58">IF($G58=0, INDEX(LS_previous!$D$4:$AY$138, MATCH('Staging Table'!$A58, LS_previous!$B$4:$B$138, 0), MATCH(Z$4&amp;Z$5, LS_previous!$D$2:$AY$2&amp;LS_previous!$D$3:$AY$3, 0)),SUM(VLOOKUP($A58, LS_previous!$B$4:$AY$138, LS_previous!R$149, FALSE), VLOOKUP('Staging Table'!$A58, LS_previous!$B$4:$AY$138,LS_previous!AP$149, FALSE))/2)</f>
        <v>-8412.9443198612407</v>
      </c>
      <c r="AA58" s="382">
        <f t="array" ref="AA58">IF($G58=0, INDEX(LS_previous!$D$4:$AY$138, MATCH('Staging Table'!$A58, LS_previous!$B$4:$B$138, 0), MATCH(AA$4&amp;AA$5, LS_previous!$D$2:$AY$2&amp;LS_previous!$D$3:$AY$3, 0)),SUM(VLOOKUP($A58, LS_previous!$B$4:$AY$138, LS_previous!S$149, FALSE), VLOOKUP('Staging Table'!$A58, LS_previous!$B$4:$AY$138,LS_previous!AQ$149, FALSE))/2)</f>
        <v>-2957.0727435310127</v>
      </c>
      <c r="AB58" s="382">
        <f t="array" ref="AB58">IF($G58=0, INDEX(LS_previous!$D$4:$AY$138, MATCH('Staging Table'!$A58, LS_previous!$B$4:$B$138, 0), MATCH(AB$4&amp;AB$5, LS_previous!$D$2:$AY$2&amp;LS_previous!$D$3:$AY$3, 0)),SUM(VLOOKUP($A58, LS_previous!$B$4:$AY$138, LS_previous!T$149, FALSE), VLOOKUP('Staging Table'!$A58, LS_previous!$B$4:$AY$138,LS_previous!AR$149, FALSE))/2)</f>
        <v>-5569.1484861931349</v>
      </c>
      <c r="AC58" s="382">
        <f t="array" ref="AC58">IF($G58=0, INDEX(LS_previous!$D$4:$AY$138, MATCH('Staging Table'!$A58, LS_previous!$B$4:$B$138, 0), MATCH(AC$4&amp;AC$5, LS_previous!$D$2:$AY$2&amp;LS_previous!$D$3:$AY$3, 0)),SUM(VLOOKUP($A58, LS_previous!$B$4:$AY$138, LS_previous!U$149, FALSE), VLOOKUP('Staging Table'!$A58, LS_previous!$B$4:$AY$138,LS_previous!AS$149, FALSE))/2)</f>
        <v>-2532.6870727208488</v>
      </c>
      <c r="AD58" s="382">
        <f t="array" ref="AD58">IF($G58=0, INDEX(LS_previous!$D$4:$AY$138, MATCH('Staging Table'!$A58, LS_previous!$B$4:$B$138, 0), MATCH(AD$4&amp;AD$5, LS_previous!$D$2:$AY$2&amp;LS_previous!$D$3:$AY$3, 0)),SUM(VLOOKUP($A58, LS_previous!$B$4:$AY$138, LS_previous!V$149, FALSE), VLOOKUP('Staging Table'!$A58, LS_previous!$B$4:$AY$138,LS_previous!AT$149, FALSE))/2)</f>
        <v>-4781.3532182799863</v>
      </c>
      <c r="AE58" s="382">
        <f t="array" ref="AE58">IF($G58=0, INDEX(LS_previous!$D$4:$AY$138, MATCH('Staging Table'!$A58, LS_previous!$B$4:$B$138, 0), MATCH(AE$4&amp;AE$5, LS_previous!$D$2:$AY$2&amp;LS_previous!$D$3:$AY$3, 0)),SUM(VLOOKUP($A58, LS_previous!$B$4:$AY$138, LS_previous!W$149, FALSE), VLOOKUP('Staging Table'!$A58, LS_previous!$B$4:$AY$138,LS_previous!AU$149, FALSE))/2)</f>
        <v>-1167.1266781830373</v>
      </c>
      <c r="AF58" s="382">
        <f t="array" ref="AF58">IF($G58=0, INDEX(LS_previous!$D$4:$AY$138, MATCH('Staging Table'!$A58, LS_previous!$B$4:$B$138, 0), MATCH(AF$4&amp;AF$5, LS_previous!$D$2:$AY$2&amp;LS_previous!$D$3:$AY$3, 0)),SUM(VLOOKUP($A58, LS_previous!$B$4:$AY$138, LS_previous!X$149, FALSE), VLOOKUP('Staging Table'!$A58, LS_previous!$B$4:$AY$138,LS_previous!AV$149, FALSE))/2)</f>
        <v>-5437.0103298085414</v>
      </c>
      <c r="AG58" s="382">
        <f t="array" ref="AG58">IF($G58=0, INDEX(LS_previous!$D$4:$AY$138, MATCH('Staging Table'!$A58, LS_previous!$B$4:$B$138, 0), MATCH(AG$4&amp;AG$5, LS_previous!$D$2:$AY$2&amp;LS_previous!$D$3:$AY$3, 0)),SUM(VLOOKUP($A58, LS_previous!$B$4:$AY$138, LS_previous!Y$149, FALSE), VLOOKUP('Staging Table'!$A58, LS_previous!$B$4:$AY$138,LS_previous!AW$149, FALSE))/2)</f>
        <v>-1543.4746399426767</v>
      </c>
      <c r="AH58" s="382">
        <f t="array" ref="AH58">IF($G58=0, INDEX(LS_previous!$D$4:$AY$138, MATCH('Staging Table'!$A58, LS_previous!$B$4:$B$138, 0), MATCH(AH$4&amp;AH$5, LS_previous!$D$2:$AY$2&amp;LS_previous!$D$3:$AY$3, 0)),SUM(VLOOKUP($A58, LS_previous!$B$4:$AY$138, LS_previous!Z$149, FALSE), VLOOKUP('Staging Table'!$A58, LS_previous!$B$4:$AY$138,LS_previous!AX$149, FALSE))/2)</f>
        <v>-2072.6372636398046</v>
      </c>
      <c r="AI58" s="382">
        <f t="array" ref="AI58">IF($G58=0, INDEX(LS_previous!$D$4:$AY$138, MATCH('Staging Table'!$A58, LS_previous!$B$4:$B$138, 0), MATCH(AI$4&amp;AI$5, LS_previous!$D$2:$AY$2&amp;LS_previous!$D$3:$AY$3, 0)),SUM(VLOOKUP($A58, LS_previous!$B$4:$AY$138, LS_previous!AA$149, FALSE), VLOOKUP('Staging Table'!$A58, LS_previous!$B$4:$AY$138,LS_previous!AY$149, FALSE))/2)</f>
        <v>-838.36192854366618</v>
      </c>
      <c r="AJ58" s="384">
        <f t="array" ref="AJ58">INDEX(Demand_previous!$D$4:$AY$138, MATCH('Staging Table'!$A58, Demand_previous!$B$4:$B$138, 0), MATCH(AJ$4&amp;AJ$5,Demand_previous!$D$2:$AY$2&amp;Demand_previous!$D$3:$AY$3, 0))/1000</f>
        <v>0</v>
      </c>
      <c r="AK58" s="384">
        <f t="array" ref="AK58">INDEX(Demand_previous!$D$4:$AY$138, MATCH('Staging Table'!$A58, Demand_previous!$B$4:$B$138, 0), MATCH(AK$4&amp;AK$5,Demand_previous!$D$2:$AY$2&amp;Demand_previous!$D$3:$AY$3, 0))/1000</f>
        <v>2.1631666666666582</v>
      </c>
      <c r="AL58" s="384">
        <f t="array" ref="AL58">INDEX(Demand_previous!$D$4:$AY$138, MATCH('Staging Table'!$A58, Demand_previous!$B$4:$B$138, 0), MATCH(AL$4&amp;AL$5,Demand_previous!$D$2:$AY$2&amp;Demand_previous!$D$3:$AY$3, 0))/1000</f>
        <v>16.174415865384617</v>
      </c>
      <c r="AM58" s="384">
        <f t="array" ref="AM58">INDEX(Demand_previous!$D$4:$AY$138, MATCH('Staging Table'!$A58, Demand_previous!$B$4:$B$138, 0), MATCH(AM$4&amp;AM$5,Demand_previous!$D$2:$AY$2&amp;Demand_previous!$D$3:$AY$3, 0))/1000</f>
        <v>13.626137500000004</v>
      </c>
      <c r="AN58" s="384">
        <f t="array" ref="AN58">INDEX(Demand_previous!$D$4:$AY$138, MATCH('Staging Table'!$A58, Demand_previous!$B$4:$B$138, 0), MATCH(AN$4&amp;AN$5,Demand_previous!$D$2:$AY$2&amp;Demand_previous!$D$3:$AY$3, 0))/1000</f>
        <v>9.6925500000000024</v>
      </c>
      <c r="AO58" s="384">
        <f t="array" ref="AO58">INDEX(Demand_previous!$D$4:$AY$138, MATCH('Staging Table'!$A58, Demand_previous!$B$4:$B$138, 0), MATCH(AO$4&amp;AO$5,Demand_previous!$D$2:$AY$2&amp;Demand_previous!$D$3:$AY$3, 0))/1000</f>
        <v>8.8949097222222164</v>
      </c>
      <c r="AP58" s="384">
        <f t="array" ref="AP58">INDEX(Demand_previous!$D$4:$AY$138, MATCH('Staging Table'!$A58, Demand_previous!$B$4:$B$138, 0), MATCH(AP$4&amp;AP$5,Demand_previous!$D$2:$AY$2&amp;Demand_previous!$D$3:$AY$3, 0))/1000</f>
        <v>0</v>
      </c>
      <c r="AQ58" s="384">
        <f t="array" ref="AQ58">INDEX(Demand_previous!$D$4:$AY$138, MATCH('Staging Table'!$A58, Demand_previous!$B$4:$B$138, 0), MATCH(AQ$4&amp;AQ$5,Demand_previous!$D$2:$AY$2&amp;Demand_previous!$D$3:$AY$3, 0))/1000</f>
        <v>0</v>
      </c>
      <c r="AR58" s="384">
        <f t="array" ref="AR58">INDEX(Demand_previous!$D$4:$AY$138, MATCH('Staging Table'!$A58, Demand_previous!$B$4:$B$138, 0), MATCH(AR$4&amp;AR$5,Demand_previous!$D$2:$AY$2&amp;Demand_previous!$D$3:$AY$3, 0))/1000</f>
        <v>3.6646418269230785</v>
      </c>
      <c r="AS58" s="384">
        <f t="array" ref="AS58">INDEX(Demand_previous!$D$4:$AY$138, MATCH('Staging Table'!$A58, Demand_previous!$B$4:$B$138, 0), MATCH(AS$4&amp;AS$5,Demand_previous!$D$2:$AY$2&amp;Demand_previous!$D$3:$AY$3, 0))/1000</f>
        <v>3.7471450000000024</v>
      </c>
      <c r="AT58" s="384">
        <f t="array" ref="AT58">INDEX(Demand_previous!$D$4:$AY$138, MATCH('Staging Table'!$A58, Demand_previous!$B$4:$B$138, 0), MATCH(AT$4&amp;AT$5,Demand_previous!$D$2:$AY$2&amp;Demand_previous!$D$3:$AY$3, 0))/1000</f>
        <v>6.783354166666669</v>
      </c>
      <c r="AU58" s="384">
        <f t="array" ref="AU58">INDEX(Demand_previous!$D$4:$AY$138, MATCH('Staging Table'!$A58, Demand_previous!$B$4:$B$138, 0), MATCH(AU$4&amp;AU$5,Demand_previous!$D$2:$AY$2&amp;Demand_previous!$D$3:$AY$3, 0))/1000</f>
        <v>2.2138875000000002</v>
      </c>
      <c r="AV58" s="384">
        <f>IF($D58=0,IF(C58=0, MAX(AY58 - (VLOOKUP($A58,TOCA_previous!$A$2:$AI$137,MATCH("RHWM 2016",TOCA_previous!$A$2:$AI$2,0),FALSE)*$F$2*TOCA_previous!C55),0),0), 0)</f>
        <v>0</v>
      </c>
      <c r="AW58" s="427">
        <f>VLOOKUP($A58,REP_previous!$A$1:$D$135,MATCH("FY "&amp;$F$1&amp; " Total Refund",REP_previous!$A$1:$D$1,0),0)</f>
        <v>177972.62042418751</v>
      </c>
      <c r="AX58" s="398">
        <f>MIN(VLOOKUP($A58,TOCA_previous!$A$2:$AI$137,MATCH("TRL - NLSL - Exisiting Resource "&amp;$F$1,TOCA_previous!$A$2:$AI$2,0),FALSE)*$F$2,(VLOOKUP($A58,TOCA_previous!$A$2:$AI$137,MATCH("RHWM 2016",TOCA_previous!$A$2:$AI$2,0),FALSE)*$F$2))</f>
        <v>279489.31200000003</v>
      </c>
      <c r="AY58" s="384">
        <f>SUM(L58:AI58)+(F58*RT1SC!$C$3*$F$2)</f>
        <v>277019.93765786046</v>
      </c>
      <c r="AZ58" s="398">
        <f>VLOOKUP($A58,TOCA_previous!$A$2:$AI$137,MATCH("Above RHWM Not Served with LS "&amp;$F$1,TOCA_previous!$A$2:$AI$2,0),FALSE)*$F$2</f>
        <v>0</v>
      </c>
      <c r="BA58" s="206">
        <f t="shared" si="3"/>
        <v>-2469.3743421395775</v>
      </c>
      <c r="BB58" s="399">
        <f>(VLOOKUP($A58,TOCA_previous!$A$2:$AI$137,MATCH("RHWM 2016",TOCA_previous!$A$2:$AI$2,0),FALSE)*$F$2) - $AX58</f>
        <v>931.10399999993388</v>
      </c>
      <c r="BC58" s="206">
        <f t="shared" si="4"/>
        <v>0</v>
      </c>
      <c r="BD58" s="400">
        <f t="shared" si="5"/>
        <v>2469.3743421395775</v>
      </c>
      <c r="BE58" s="392">
        <f t="shared" si="6"/>
        <v>0</v>
      </c>
      <c r="BF58" s="399">
        <f t="shared" si="7"/>
        <v>2469.3743421395775</v>
      </c>
      <c r="BG58" s="206">
        <f>VLOOKUP($A58,TOCA_current!$A$2:$AI$137,MATCH(BG$4,TOCA_current!$A$2:$AI$2,0),FALSE)</f>
        <v>4.5534E-3</v>
      </c>
      <c r="BH58" s="206">
        <f>VLOOKUP($A58,TOCA_current!$A$2:$AI$137,MATCH(BH$4,TOCA_current!$A$2:$AI$2,0),FALSE)</f>
        <v>4.5534E-3</v>
      </c>
      <c r="BI58" s="391">
        <f t="shared" si="8"/>
        <v>0</v>
      </c>
      <c r="BJ58" s="206">
        <f>VLOOKUP($A58,TOCA_current!A54:BG189,MATCH(BJ$4,TOCA_current!$A$2:$BG$2,0),FALSE)</f>
        <v>0</v>
      </c>
      <c r="BK58" s="206">
        <f t="shared" si="9"/>
        <v>0</v>
      </c>
      <c r="BL58" s="206">
        <f t="shared" si="10"/>
        <v>0</v>
      </c>
      <c r="BM58" s="381">
        <f>VLOOKUP($A58,IRD!$A$4:$G$139, 7, FALSE)</f>
        <v>0</v>
      </c>
      <c r="BN58" s="382">
        <f t="array" ref="BN58">IF($BI58=0, INDEX(LS_current!$D$4:$AY$139, MATCH('Staging Table'!$A58, LS_current!$B$4:$B$139, 0), MATCH(BN$4&amp;BN$5, LS_current!$D$2:$AY$2&amp;LS_current!$D$3:$AY$3, 0)),SUM(VLOOKUP($A58, LS_current!$B$4:$AY$139, LS_current!D$149, FALSE), VLOOKUP($A58, LS_current!$B$4:$AY$139,LS_current!D$149, FALSE))/2)</f>
        <v>-751.6104005284742</v>
      </c>
      <c r="BO58" s="382">
        <f t="array" ref="BO58">IF($BI58=0, INDEX(LS_current!$D$4:$AY$139, MATCH('Staging Table'!$A58, LS_current!$B$4:$B$139, 0), MATCH(BO$4&amp;BO$5, LS_current!$D$2:$AY$2&amp;LS_current!$D$3:$AY$3, 0)),SUM(VLOOKUP($A58, LS_current!$B$4:$AY$139, LS_current!E$149, FALSE), VLOOKUP($A58, LS_current!$B$4:$AY$139,LS_current!E$149, FALSE))/2)</f>
        <v>756.92253326412447</v>
      </c>
      <c r="BP58" s="382">
        <f t="array" ref="BP58">IF($BI58=0, INDEX(LS_current!$D$4:$AY$139, MATCH('Staging Table'!$A58, LS_current!$B$4:$B$139, 0), MATCH(BP$4&amp;BP$5, LS_current!$D$2:$AY$2&amp;LS_current!$D$3:$AY$3, 0)),SUM(VLOOKUP($A58, LS_current!$B$4:$AY$139, LS_current!F$149, FALSE), VLOOKUP($A58, LS_current!$B$4:$AY$139,LS_current!F$149, FALSE))/2)</f>
        <v>123.53957923266353</v>
      </c>
      <c r="BQ58" s="382">
        <f t="array" ref="BQ58">IF($BI58=0, INDEX(LS_current!$D$4:$AY$139, MATCH('Staging Table'!$A58, LS_current!$B$4:$B$139, 0), MATCH(BQ$4&amp;BQ$5, LS_current!$D$2:$AY$2&amp;LS_current!$D$3:$AY$3, 0)),SUM(VLOOKUP($A58, LS_current!$B$4:$AY$139, LS_current!G$149, FALSE), VLOOKUP($A58, LS_current!$B$4:$AY$139,LS_current!G$149, FALSE))/2)</f>
        <v>2406.4309385179386</v>
      </c>
      <c r="BR58" s="382">
        <f t="array" ref="BR58">IF($BI58=0, INDEX(LS_current!$D$4:$AY$139, MATCH('Staging Table'!$A58, LS_current!$B$4:$B$139, 0), MATCH(BR$4&amp;BR$5, LS_current!$D$2:$AY$2&amp;LS_current!$D$3:$AY$3, 0)),SUM(VLOOKUP($A58, LS_current!$B$4:$AY$139, LS_current!H$149, FALSE), VLOOKUP($A58, LS_current!$B$4:$AY$139,LS_current!H$149, FALSE))/2)</f>
        <v>2407.7774633625741</v>
      </c>
      <c r="BS58" s="382">
        <f t="array" ref="BS58">IF($BI58=0, INDEX(LS_current!$D$4:$AY$139, MATCH('Staging Table'!$A58, LS_current!$B$4:$B$139, 0), MATCH(BS$4&amp;BS$5, LS_current!$D$2:$AY$2&amp;LS_current!$D$3:$AY$3, 0)),SUM(VLOOKUP($A58, LS_current!$B$4:$AY$139, LS_current!I$149, FALSE), VLOOKUP($A58, LS_current!$B$4:$AY$139,LS_current!I$149, FALSE))/2)</f>
        <v>3469.5563752730959</v>
      </c>
      <c r="BT58" s="382">
        <f t="array" ref="BT58">IF($BI58=0, INDEX(LS_current!$D$4:$AY$139, MATCH('Staging Table'!$A58, LS_current!$B$4:$B$139, 0), MATCH(BT$4&amp;BT$5, LS_current!$D$2:$AY$2&amp;LS_current!$D$3:$AY$3, 0)),SUM(VLOOKUP($A58, LS_current!$B$4:$AY$139, LS_current!J$149, FALSE), VLOOKUP($A58, LS_current!$B$4:$AY$139,LS_current!J$149, FALSE))/2)</f>
        <v>5456.3403637793162</v>
      </c>
      <c r="BU58" s="382">
        <f t="array" ref="BU58">IF($BI58=0, INDEX(LS_current!$D$4:$AY$139, MATCH('Staging Table'!$A58, LS_current!$B$4:$B$139, 0), MATCH(BU$4&amp;BU$5, LS_current!$D$2:$AY$2&amp;LS_current!$D$3:$AY$3, 0)),SUM(VLOOKUP($A58, LS_current!$B$4:$AY$139, LS_current!K$149, FALSE), VLOOKUP($A58, LS_current!$B$4:$AY$139,LS_current!K$149, FALSE))/2)</f>
        <v>4960.424456791141</v>
      </c>
      <c r="BV58" s="382">
        <f t="array" ref="BV58">IF($BI58=0, INDEX(LS_current!$D$4:$AY$139, MATCH('Staging Table'!$A58, LS_current!$B$4:$B$139, 0), MATCH(BV$4&amp;BV$5, LS_current!$D$2:$AY$2&amp;LS_current!$D$3:$AY$3, 0)),SUM(VLOOKUP($A58, LS_current!$B$4:$AY$139, LS_current!L$149, FALSE), VLOOKUP($A58, LS_current!$B$4:$AY$139,LS_current!L$149, FALSE))/2)</f>
        <v>5287.5872956521071</v>
      </c>
      <c r="BW58" s="382">
        <f t="array" ref="BW58">IF($BI58=0, INDEX(LS_current!$D$4:$AY$139, MATCH('Staging Table'!$A58, LS_current!$B$4:$B$139, 0), MATCH(BW$4&amp;BW$5, LS_current!$D$2:$AY$2&amp;LS_current!$D$3:$AY$3, 0)),SUM(VLOOKUP($A58, LS_current!$B$4:$AY$139, LS_current!M$149, FALSE), VLOOKUP($A58, LS_current!$B$4:$AY$139,LS_current!M$149, FALSE))/2)</f>
        <v>4566.3000425205037</v>
      </c>
      <c r="BX58" s="382">
        <f t="array" ref="BX58">IF($BI58=0, INDEX(LS_current!$D$4:$AY$139, MATCH('Staging Table'!$A58, LS_current!$B$4:$B$139, 0), MATCH(BX$4&amp;BX$5, LS_current!$D$2:$AY$2&amp;LS_current!$D$3:$AY$3, 0)),SUM(VLOOKUP($A58, LS_current!$B$4:$AY$139, LS_current!N$149, FALSE), VLOOKUP($A58, LS_current!$B$4:$AY$139,LS_current!N$149, FALSE))/2)</f>
        <v>1516.347518103943</v>
      </c>
      <c r="BY58" s="382">
        <f t="array" ref="BY58">IF($BI58=0, INDEX(LS_current!$D$4:$AY$139, MATCH('Staging Table'!$A58, LS_current!$B$4:$B$139, 0), MATCH(BY$4&amp;BY$5, LS_current!$D$2:$AY$2&amp;LS_current!$D$3:$AY$3, 0)),SUM(VLOOKUP($A58, LS_current!$B$4:$AY$139, LS_current!O$149, FALSE), VLOOKUP($A58, LS_current!$B$4:$AY$139,LS_current!O$149, FALSE))/2)</f>
        <v>2106.1029052922295</v>
      </c>
      <c r="BZ58" s="382">
        <f t="array" ref="BZ58">IF($BI58=0, INDEX(LS_current!$D$4:$AY$139, MATCH('Staging Table'!$A58, LS_current!$B$4:$B$139, 0), MATCH(BZ$4&amp;BZ$5, LS_current!$D$2:$AY$2&amp;LS_current!$D$3:$AY$3, 0)),SUM(VLOOKUP($A58, LS_current!$B$4:$AY$139, LS_current!P$149, FALSE), VLOOKUP($A58, LS_current!$B$4:$AY$139,LS_current!P$149, FALSE))/2)</f>
        <v>165.3909148601615</v>
      </c>
      <c r="CA58" s="382">
        <f t="array" ref="CA58">IF($BI58=0, INDEX(LS_current!$D$4:$AY$139, MATCH('Staging Table'!$A58, LS_current!$B$4:$B$139, 0), MATCH(CA$4&amp;CA$5, LS_current!$D$2:$AY$2&amp;LS_current!$D$3:$AY$3, 0)),SUM(VLOOKUP($A58, LS_current!$B$4:$AY$139, LS_current!Q$149, FALSE), VLOOKUP($A58, LS_current!$B$4:$AY$139,LS_current!Q$149, FALSE))/2)</f>
        <v>1517.2780045133159</v>
      </c>
      <c r="CB58" s="382">
        <f t="array" ref="CB58">IF($BI58=0, INDEX(LS_current!$D$4:$AY$139, MATCH('Staging Table'!$A58, LS_current!$B$4:$B$139, 0), MATCH(CB$4&amp;CB$5, LS_current!$D$2:$AY$2&amp;LS_current!$D$3:$AY$3, 0)),SUM(VLOOKUP($A58, LS_current!$B$4:$AY$139, LS_current!R$149, FALSE), VLOOKUP($A58, LS_current!$B$4:$AY$139,LS_current!R$149, FALSE))/2)</f>
        <v>-8228.3102380319051</v>
      </c>
      <c r="CC58" s="382">
        <f t="array" ref="CC58">IF($BI58=0, INDEX(LS_current!$D$4:$AY$139, MATCH('Staging Table'!$A58, LS_current!$B$4:$B$139, 0), MATCH(CC$4&amp;CC$5, LS_current!$D$2:$AY$2&amp;LS_current!$D$3:$AY$3, 0)),SUM(VLOOKUP($A58, LS_current!$B$4:$AY$139, LS_current!S$149, FALSE), VLOOKUP($A58, LS_current!$B$4:$AY$139,LS_current!S$149, FALSE))/2)</f>
        <v>-3119.4319893261891</v>
      </c>
      <c r="CD58" s="382">
        <f t="array" ref="CD58">IF($BI58=0, INDEX(LS_current!$D$4:$AY$139, MATCH('Staging Table'!$A58, LS_current!$B$4:$B$139, 0), MATCH(CD$4&amp;CD$5, LS_current!$D$2:$AY$2&amp;LS_current!$D$3:$AY$3, 0)),SUM(VLOOKUP($A58, LS_current!$B$4:$AY$139, LS_current!T$149, FALSE), VLOOKUP($A58, LS_current!$B$4:$AY$139,LS_current!T$149, FALSE))/2)</f>
        <v>-5484.7576430749323</v>
      </c>
      <c r="CE58" s="382">
        <f t="array" ref="CE58">IF($BI58=0, INDEX(LS_current!$D$4:$AY$139, MATCH('Staging Table'!$A58, LS_current!$B$4:$B$139, 0), MATCH(CE$4&amp;CE$5, LS_current!$D$2:$AY$2&amp;LS_current!$D$3:$AY$3, 0)),SUM(VLOOKUP($A58, LS_current!$B$4:$AY$139, LS_current!U$149, FALSE), VLOOKUP($A58, LS_current!$B$4:$AY$139,LS_current!U$149, FALSE))/2)</f>
        <v>-1895.9882600549599</v>
      </c>
      <c r="CF58" s="382">
        <f t="array" ref="CF58">IF($BI58=0, INDEX(LS_current!$D$4:$AY$139, MATCH('Staging Table'!$A58, LS_current!$B$4:$B$139, 0), MATCH(CF$4&amp;CF$5, LS_current!$D$2:$AY$2&amp;LS_current!$D$3:$AY$3, 0)),SUM(VLOOKUP($A58, LS_current!$B$4:$AY$139, LS_current!V$149, FALSE), VLOOKUP($A58, LS_current!$B$4:$AY$139,LS_current!V$149, FALSE))/2)</f>
        <v>-3874.9764396292849</v>
      </c>
      <c r="CG58" s="382">
        <f t="array" ref="CG58">IF($BI58=0, INDEX(LS_current!$D$4:$AY$139, MATCH('Staging Table'!$A58, LS_current!$B$4:$B$139, 0), MATCH(CG$4&amp;CG$5, LS_current!$D$2:$AY$2&amp;LS_current!$D$3:$AY$3, 0)),SUM(VLOOKUP($A58, LS_current!$B$4:$AY$139, LS_current!W$149, FALSE), VLOOKUP($A58, LS_current!$B$4:$AY$139,LS_current!W$149, FALSE))/2)</f>
        <v>-605.71056832039358</v>
      </c>
      <c r="CH58" s="382">
        <f t="array" ref="CH58">IF($BI58=0, INDEX(LS_current!$D$4:$AY$139, MATCH('Staging Table'!$A58, LS_current!$B$4:$B$139, 0), MATCH(CH$4&amp;CH$5, LS_current!$D$2:$AY$2&amp;LS_current!$D$3:$AY$3, 0)),SUM(VLOOKUP($A58, LS_current!$B$4:$AY$139, LS_current!X$149, FALSE), VLOOKUP($A58, LS_current!$B$4:$AY$139,LS_current!X$149, FALSE))/2)</f>
        <v>-5347.2019476191308</v>
      </c>
      <c r="CI58" s="382">
        <f t="array" ref="CI58">IF($BI58=0, INDEX(LS_current!$D$4:$AY$139, MATCH('Staging Table'!$A58, LS_current!$B$4:$B$139, 0), MATCH(CI$4&amp;CI$5, LS_current!$D$2:$AY$2&amp;LS_current!$D$3:$AY$3, 0)),SUM(VLOOKUP($A58, LS_current!$B$4:$AY$139, LS_current!Y$149, FALSE), VLOOKUP($A58, LS_current!$B$4:$AY$139,LS_current!Y$149, FALSE))/2)</f>
        <v>-1285.0008177680402</v>
      </c>
      <c r="CJ58" s="382">
        <f t="array" ref="CJ58">IF($BI58=0, INDEX(LS_current!$D$4:$AY$139, MATCH('Staging Table'!$A58, LS_current!$B$4:$B$139, 0), MATCH(CJ$4&amp;CJ$5, LS_current!$D$2:$AY$2&amp;LS_current!$D$3:$AY$3, 0)),SUM(VLOOKUP($A58, LS_current!$B$4:$AY$139, LS_current!Z$149, FALSE), VLOOKUP($A58, LS_current!$B$4:$AY$139,LS_current!Z$149, FALSE))/2)</f>
        <v>-3330.6326201390857</v>
      </c>
      <c r="CK58" s="382">
        <f t="array" ref="CK58">IF($BI58=0, INDEX(LS_current!$D$4:$AY$139, MATCH('Staging Table'!$A58, LS_current!$B$4:$B$139, 0), MATCH(CK$4&amp;CK$5, LS_current!$D$2:$AY$2&amp;LS_current!$D$3:$AY$3, 0)),SUM(VLOOKUP($A58, LS_current!$B$4:$AY$139, LS_current!AA$149, FALSE), VLOOKUP($A58, LS_current!$B$4:$AY$139,LS_current!AA$149, FALSE))/2)</f>
        <v>-810.95358653267522</v>
      </c>
      <c r="CL58" s="384">
        <f t="array" ref="CL58">INDEX(Demand_current!$D$4:$AY$138, MATCH($A58, Demand_current!$B$4:$B$138, 0), MATCH(CL$4&amp;CL$5,Demand_current!$D$2:$AY$2&amp;Demand_current!$D$3:$AY$3, 0))/1000</f>
        <v>0</v>
      </c>
      <c r="CM58" s="384">
        <f t="array" ref="CM58">INDEX(Demand_current!$D$4:$AY$138, MATCH($A58, Demand_current!$B$4:$B$138, 0), MATCH(CM$4&amp;CM$5,Demand_current!$D$2:$AY$2&amp;Demand_current!$D$3:$AY$3, 0))/1000</f>
        <v>3.9079999999999906</v>
      </c>
      <c r="CN58" s="384">
        <f t="array" ref="CN58">INDEX(Demand_current!$D$4:$AY$138, MATCH($A58, Demand_current!$B$4:$B$138, 0), MATCH(CN$4&amp;CN$5,Demand_current!$D$2:$AY$2&amp;Demand_current!$D$3:$AY$3, 0))/1000</f>
        <v>14.381312500000002</v>
      </c>
      <c r="CO58" s="384">
        <f t="array" ref="CO58">INDEX(Demand_current!$D$4:$AY$138, MATCH($A58, Demand_current!$B$4:$B$138, 0), MATCH(CO$4&amp;CO$5,Demand_current!$D$2:$AY$2&amp;Demand_current!$D$3:$AY$3, 0))/1000</f>
        <v>15.474016826923082</v>
      </c>
      <c r="CP58" s="384">
        <f t="array" ref="CP58">INDEX(Demand_current!$D$4:$AY$138, MATCH($A58, Demand_current!$B$4:$B$138, 0), MATCH(CP$4&amp;CP$5,Demand_current!$D$2:$AY$2&amp;Demand_current!$D$3:$AY$3, 0))/1000</f>
        <v>7.9401979166666674</v>
      </c>
      <c r="CQ58" s="384">
        <f t="array" ref="CQ58">INDEX(Demand_current!$D$4:$AY$138, MATCH($A58, Demand_current!$B$4:$B$138, 0), MATCH(CQ$4&amp;CQ$5,Demand_current!$D$2:$AY$2&amp;Demand_current!$D$3:$AY$3, 0))/1000</f>
        <v>8.8949097222222164</v>
      </c>
      <c r="CR58" s="384">
        <f t="array" ref="CR58">INDEX(Demand_current!$D$4:$AY$138, MATCH($A58, Demand_current!$B$4:$B$138, 0), MATCH(CR$4&amp;CR$5,Demand_current!$D$2:$AY$2&amp;Demand_current!$D$3:$AY$3, 0))/1000</f>
        <v>0</v>
      </c>
      <c r="CS58" s="384">
        <f t="array" ref="CS58">INDEX(Demand_current!$D$4:$AY$138, MATCH($A58, Demand_current!$B$4:$B$138, 0), MATCH(CS$4&amp;CS$5,Demand_current!$D$2:$AY$2&amp;Demand_current!$D$3:$AY$3, 0))/1000</f>
        <v>5.6675480769227349E-2</v>
      </c>
      <c r="CT58" s="384">
        <f t="array" ref="CT58">INDEX(Demand_current!$D$4:$AY$138, MATCH($A58, Demand_current!$B$4:$B$138, 0), MATCH(CT$4&amp;CT$5,Demand_current!$D$2:$AY$2&amp;Demand_current!$D$3:$AY$3, 0))/1000</f>
        <v>3.6646418269230785</v>
      </c>
      <c r="CU58" s="384">
        <f t="array" ref="CU58">INDEX(Demand_current!$D$4:$AY$138, MATCH($A58, Demand_current!$B$4:$B$138, 0), MATCH(CU$4&amp;CU$5,Demand_current!$D$2:$AY$2&amp;Demand_current!$D$3:$AY$3, 0))/1000</f>
        <v>3.7471450000000024</v>
      </c>
      <c r="CV58" s="384">
        <f t="array" ref="CV58">INDEX(Demand_current!$D$4:$AY$138, MATCH($A58, Demand_current!$B$4:$B$138, 0), MATCH(CV$4&amp;CV$5,Demand_current!$D$2:$AY$2&amp;Demand_current!$D$3:$AY$3, 0))/1000</f>
        <v>6.783354166666669</v>
      </c>
      <c r="CW58" s="384">
        <f t="array" ref="CW58">INDEX(Demand_current!$D$4:$AY$138, MATCH($A58, Demand_current!$B$4:$B$138, 0), MATCH(CW$4&amp;CW$5,Demand_current!$D$2:$AY$2&amp;Demand_current!$D$3:$AY$3, 0))/1000</f>
        <v>1.149382812499999</v>
      </c>
      <c r="CX58" s="384">
        <f>IF(D58=0,IF(C58=0,MAX(0,DA58 - (VLOOKUP($A58,TOCA_current!$A$2:$AI$137,MATCH("RHWM 2018",TOCA_current!$A$2:$AI$2,0),FALSE)*$BH$2)), 0),0)</f>
        <v>0</v>
      </c>
      <c r="CY58" s="427">
        <f>VLOOKUP($A58,REP_current!$A$1:$D$135,MATCH("FY "&amp;$BH$1&amp; " Total Refund",REP_current!$A$1:$D$1,0),0)</f>
        <v>180621.24240032636</v>
      </c>
      <c r="CZ58" s="432">
        <f>MIN(VLOOKUP($A58,TOCA_current!$A$2:$AI$137,MATCH("TRL - NLSL - Existing Resource "&amp;$BH$1,TOCA_current!$A$2:$AI$2,0),FALSE)*$BH$2, VLOOKUP($A58,TOCA_current!$A$2:$AI$137,MATCH("RHWM 2018",TOCA_current!$A$2:$AI$2,0),FALSE)*$BH$2)</f>
        <v>277017.48</v>
      </c>
      <c r="DA58" s="397">
        <f>SUM(BN58:CK58)+(BH58*RT1SC!$C$4*$BH$2)</f>
        <v>277019.94104140199</v>
      </c>
      <c r="DB58" s="432">
        <f>VLOOKUP($A58,TOCA_current!$A$2:$AI$137,MATCH("Above RHWM Not Served with LS "&amp;$BH$1,TOCA_current!$A$2:$AI$2,0),FALSE)*$BH$2</f>
        <v>0</v>
      </c>
      <c r="DC58" s="401">
        <f t="shared" si="11"/>
        <v>2.4610414020135067</v>
      </c>
      <c r="DD58" s="397">
        <f>(VLOOKUP($A58,TOCA_current!$A$2:$AI$137,MATCH("RHWM 2018",TOCA_current!$A$2:$AI$2,0),FALSE)*$BH$2) - $CZ58</f>
        <v>858.48000000003958</v>
      </c>
      <c r="DE58" s="397">
        <f t="shared" si="12"/>
        <v>-2.4610414020135067</v>
      </c>
      <c r="DF58" s="397">
        <f t="shared" si="13"/>
        <v>0</v>
      </c>
      <c r="DG58" s="397">
        <f t="shared" si="14"/>
        <v>0</v>
      </c>
      <c r="DH58" s="397">
        <f t="shared" si="15"/>
        <v>-2.4610414020135067</v>
      </c>
    </row>
    <row r="59" spans="1:112">
      <c r="A59" s="274">
        <v>10157</v>
      </c>
      <c r="B59" s="275" t="s">
        <v>60</v>
      </c>
      <c r="C59" s="397">
        <v>0</v>
      </c>
      <c r="D59" s="397">
        <v>1</v>
      </c>
      <c r="E59" s="205">
        <f>VLOOKUP($A59,TOCA_previous!$A$2:$AI$137,MATCH(E$4,TOCA_previous!$A$2:$AI$2,0),FALSE)</f>
        <v>6.8433000000000001E-3</v>
      </c>
      <c r="F59" s="206">
        <f>VLOOKUP($A59,TOCA_previous!$A$2:$AI$137,MATCH(F$4,TOCA_previous!$A$2:$AI$2,0),FALSE)</f>
        <v>3.1402000000000001E-3</v>
      </c>
      <c r="G59" s="206">
        <f t="shared" si="0"/>
        <v>3.7031E-3</v>
      </c>
      <c r="H59" s="206">
        <f>VLOOKUP($A59,TOCA_previous!$A$2:$AI$137,MATCH(H$4,TOCA_previous!$A$2:$AI$2,0),FALSE)</f>
        <v>817847</v>
      </c>
      <c r="I59" s="206">
        <f t="shared" si="1"/>
        <v>0</v>
      </c>
      <c r="J59" s="206">
        <f t="shared" si="2"/>
        <v>0</v>
      </c>
      <c r="K59" s="381">
        <f>VLOOKUP(A59, IRD!$A$5:$C$139, 3, FALSE)</f>
        <v>0</v>
      </c>
      <c r="L59" s="382">
        <f t="array" ref="L59">IF($G59=0, INDEX(LS_previous!$D$4:$AY$138, MATCH('Staging Table'!$A59, LS_previous!$B$4:$B$138, 0), MATCH(L$4&amp;L$5, LS_previous!$D$2:$AY$2&amp;LS_previous!$D$3:$AY$3, 0)),SUM(VLOOKUP($A59, LS_previous!$B$4:$AY$138, LS_previous!D$149, FALSE), VLOOKUP('Staging Table'!$A59, LS_previous!$B$4:$AY$138,LS_previous!AB$149, FALSE))/2)</f>
        <v>-1247.6463041965553</v>
      </c>
      <c r="M59" s="382">
        <f t="array" ref="M59">IF($G59=0, INDEX(LS_previous!$D$4:$AY$138, MATCH('Staging Table'!$A59, LS_previous!$B$4:$B$138, 0), MATCH(M$4&amp;M$5, LS_previous!$D$2:$AY$2&amp;LS_previous!$D$3:$AY$3, 0)),SUM(VLOOKUP($A59, LS_previous!$B$4:$AY$138, LS_previous!E$149, FALSE), VLOOKUP('Staging Table'!$A59, LS_previous!$B$4:$AY$138,LS_previous!AC$149, FALSE))/2)</f>
        <v>900.83596850112644</v>
      </c>
      <c r="N59" s="382">
        <f t="array" ref="N59">IF($G59=0, INDEX(LS_previous!$D$4:$AY$138, MATCH('Staging Table'!$A59, LS_previous!$B$4:$B$138, 0), MATCH(N$4&amp;N$5, LS_previous!$D$2:$AY$2&amp;LS_previous!$D$3:$AY$3, 0)),SUM(VLOOKUP($A59, LS_previous!$B$4:$AY$138, LS_previous!F$149, FALSE), VLOOKUP('Staging Table'!$A59, LS_previous!$B$4:$AY$138,LS_previous!AD$149, FALSE))/2)</f>
        <v>-1555.3175790302848</v>
      </c>
      <c r="O59" s="382">
        <f t="array" ref="O59">IF($G59=0, INDEX(LS_previous!$D$4:$AY$138, MATCH('Staging Table'!$A59, LS_previous!$B$4:$B$138, 0), MATCH(O$4&amp;O$5, LS_previous!$D$2:$AY$2&amp;LS_previous!$D$3:$AY$3, 0)),SUM(VLOOKUP($A59, LS_previous!$B$4:$AY$138, LS_previous!G$149, FALSE), VLOOKUP('Staging Table'!$A59, LS_previous!$B$4:$AY$138,LS_previous!AE$149, FALSE))/2)</f>
        <v>1413.6876038183777</v>
      </c>
      <c r="P59" s="382">
        <f t="array" ref="P59">IF($G59=0, INDEX(LS_previous!$D$4:$AY$138, MATCH('Staging Table'!$A59, LS_previous!$B$4:$B$138, 0), MATCH(P$4&amp;P$5, LS_previous!$D$2:$AY$2&amp;LS_previous!$D$3:$AY$3, 0)),SUM(VLOOKUP($A59, LS_previous!$B$4:$AY$138, LS_previous!H$149, FALSE), VLOOKUP('Staging Table'!$A59, LS_previous!$B$4:$AY$138,LS_previous!AF$149, FALSE))/2)</f>
        <v>1475.6827153156519</v>
      </c>
      <c r="Q59" s="382">
        <f t="array" ref="Q59">IF($G59=0, INDEX(LS_previous!$D$4:$AY$138, MATCH('Staging Table'!$A59, LS_previous!$B$4:$B$138, 0), MATCH(Q$4&amp;Q$5, LS_previous!$D$2:$AY$2&amp;LS_previous!$D$3:$AY$3, 0)),SUM(VLOOKUP($A59, LS_previous!$B$4:$AY$138, LS_previous!I$149, FALSE), VLOOKUP('Staging Table'!$A59, LS_previous!$B$4:$AY$138,LS_previous!AG$149, FALSE))/2)</f>
        <v>3064.9324452713527</v>
      </c>
      <c r="R59" s="382">
        <f t="array" ref="R59">IF($G59=0, INDEX(LS_previous!$D$4:$AY$138, MATCH('Staging Table'!$A59, LS_previous!$B$4:$B$138, 0), MATCH(R$4&amp;R$5, LS_previous!$D$2:$AY$2&amp;LS_previous!$D$3:$AY$3, 0)),SUM(VLOOKUP($A59, LS_previous!$B$4:$AY$138, LS_previous!J$149, FALSE), VLOOKUP('Staging Table'!$A59, LS_previous!$B$4:$AY$138,LS_previous!AH$149, FALSE))/2)</f>
        <v>1530.2023965877815</v>
      </c>
      <c r="S59" s="382">
        <f t="array" ref="S59">IF($G59=0, INDEX(LS_previous!$D$4:$AY$138, MATCH('Staging Table'!$A59, LS_previous!$B$4:$B$138, 0), MATCH(S$4&amp;S$5, LS_previous!$D$2:$AY$2&amp;LS_previous!$D$3:$AY$3, 0)),SUM(VLOOKUP($A59, LS_previous!$B$4:$AY$138, LS_previous!K$149, FALSE), VLOOKUP('Staging Table'!$A59, LS_previous!$B$4:$AY$138,LS_previous!AI$149, FALSE))/2)</f>
        <v>3623.6647045155964</v>
      </c>
      <c r="T59" s="382">
        <f t="array" ref="T59">IF($G59=0, INDEX(LS_previous!$D$4:$AY$138, MATCH('Staging Table'!$A59, LS_previous!$B$4:$B$138, 0), MATCH(T$4&amp;T$5, LS_previous!$D$2:$AY$2&amp;LS_previous!$D$3:$AY$3, 0)),SUM(VLOOKUP($A59, LS_previous!$B$4:$AY$138, LS_previous!L$149, FALSE), VLOOKUP('Staging Table'!$A59, LS_previous!$B$4:$AY$138,LS_previous!AJ$149, FALSE))/2)</f>
        <v>1665.6865516497137</v>
      </c>
      <c r="U59" s="382">
        <f t="array" ref="U59">IF($G59=0, INDEX(LS_previous!$D$4:$AY$138, MATCH('Staging Table'!$A59, LS_previous!$B$4:$B$138, 0), MATCH(U$4&amp;U$5, LS_previous!$D$2:$AY$2&amp;LS_previous!$D$3:$AY$3, 0)),SUM(VLOOKUP($A59, LS_previous!$B$4:$AY$138, LS_previous!M$149, FALSE), VLOOKUP('Staging Table'!$A59, LS_previous!$B$4:$AY$138,LS_previous!AK$149, FALSE))/2)</f>
        <v>2505.977497820807</v>
      </c>
      <c r="V59" s="382">
        <f t="array" ref="V59">IF($G59=0, INDEX(LS_previous!$D$4:$AY$138, MATCH('Staging Table'!$A59, LS_previous!$B$4:$B$138, 0), MATCH(V$4&amp;V$5, LS_previous!$D$2:$AY$2&amp;LS_previous!$D$3:$AY$3, 0)),SUM(VLOOKUP($A59, LS_previous!$B$4:$AY$138, LS_previous!N$149, FALSE), VLOOKUP('Staging Table'!$A59, LS_previous!$B$4:$AY$138,LS_previous!AL$149, FALSE))/2)</f>
        <v>-214.47057564822353</v>
      </c>
      <c r="W59" s="382">
        <f t="array" ref="W59">IF($G59=0, INDEX(LS_previous!$D$4:$AY$138, MATCH('Staging Table'!$A59, LS_previous!$B$4:$B$138, 0), MATCH(W$4&amp;W$5, LS_previous!$D$2:$AY$2&amp;LS_previous!$D$3:$AY$3, 0)),SUM(VLOOKUP($A59, LS_previous!$B$4:$AY$138, LS_previous!O$149, FALSE), VLOOKUP('Staging Table'!$A59, LS_previous!$B$4:$AY$138,LS_previous!AM$149, FALSE))/2)</f>
        <v>992.4150860624045</v>
      </c>
      <c r="X59" s="382">
        <f t="array" ref="X59">IF($G59=0, INDEX(LS_previous!$D$4:$AY$138, MATCH('Staging Table'!$A59, LS_previous!$B$4:$B$138, 0), MATCH(X$4&amp;X$5, LS_previous!$D$2:$AY$2&amp;LS_previous!$D$3:$AY$3, 0)),SUM(VLOOKUP($A59, LS_previous!$B$4:$AY$138, LS_previous!P$149, FALSE), VLOOKUP('Staging Table'!$A59, LS_previous!$B$4:$AY$138,LS_previous!AN$149, FALSE))/2)</f>
        <v>354.918533858091</v>
      </c>
      <c r="Y59" s="382">
        <f t="array" ref="Y59">IF($G59=0, INDEX(LS_previous!$D$4:$AY$138, MATCH('Staging Table'!$A59, LS_previous!$B$4:$B$138, 0), MATCH(Y$4&amp;Y$5, LS_previous!$D$2:$AY$2&amp;LS_previous!$D$3:$AY$3, 0)),SUM(VLOOKUP($A59, LS_previous!$B$4:$AY$138, LS_previous!Q$149, FALSE), VLOOKUP('Staging Table'!$A59, LS_previous!$B$4:$AY$138,LS_previous!AO$149, FALSE))/2)</f>
        <v>1605.6690578088196</v>
      </c>
      <c r="Z59" s="382">
        <f t="array" ref="Z59">IF($G59=0, INDEX(LS_previous!$D$4:$AY$138, MATCH('Staging Table'!$A59, LS_previous!$B$4:$B$138, 0), MATCH(Z$4&amp;Z$5, LS_previous!$D$2:$AY$2&amp;LS_previous!$D$3:$AY$3, 0)),SUM(VLOOKUP($A59, LS_previous!$B$4:$AY$138, LS_previous!R$149, FALSE), VLOOKUP('Staging Table'!$A59, LS_previous!$B$4:$AY$138,LS_previous!AP$149, FALSE))/2)</f>
        <v>-6257.4428881147178</v>
      </c>
      <c r="AA59" s="382">
        <f t="array" ref="AA59">IF($G59=0, INDEX(LS_previous!$D$4:$AY$138, MATCH('Staging Table'!$A59, LS_previous!$B$4:$B$138, 0), MATCH(AA$4&amp;AA$5, LS_previous!$D$2:$AY$2&amp;LS_previous!$D$3:$AY$3, 0)),SUM(VLOOKUP($A59, LS_previous!$B$4:$AY$138, LS_previous!S$149, FALSE), VLOOKUP('Staging Table'!$A59, LS_previous!$B$4:$AY$138,LS_previous!AQ$149, FALSE))/2)</f>
        <v>-1400.119851620178</v>
      </c>
      <c r="AB59" s="382">
        <f t="array" ref="AB59">IF($G59=0, INDEX(LS_previous!$D$4:$AY$138, MATCH('Staging Table'!$A59, LS_previous!$B$4:$B$138, 0), MATCH(AB$4&amp;AB$5, LS_previous!$D$2:$AY$2&amp;LS_previous!$D$3:$AY$3, 0)),SUM(VLOOKUP($A59, LS_previous!$B$4:$AY$138, LS_previous!T$149, FALSE), VLOOKUP('Staging Table'!$A59, LS_previous!$B$4:$AY$138,LS_previous!AR$149, FALSE))/2)</f>
        <v>-3707.5075248943713</v>
      </c>
      <c r="AC59" s="382">
        <f t="array" ref="AC59">IF($G59=0, INDEX(LS_previous!$D$4:$AY$138, MATCH('Staging Table'!$A59, LS_previous!$B$4:$B$138, 0), MATCH(AC$4&amp;AC$5, LS_previous!$D$2:$AY$2&amp;LS_previous!$D$3:$AY$3, 0)),SUM(VLOOKUP($A59, LS_previous!$B$4:$AY$138, LS_previous!U$149, FALSE), VLOOKUP('Staging Table'!$A59, LS_previous!$B$4:$AY$138,LS_previous!AS$149, FALSE))/2)</f>
        <v>-843.75017742515047</v>
      </c>
      <c r="AD59" s="382">
        <f t="array" ref="AD59">IF($G59=0, INDEX(LS_previous!$D$4:$AY$138, MATCH('Staging Table'!$A59, LS_previous!$B$4:$B$138, 0), MATCH(AD$4&amp;AD$5, LS_previous!$D$2:$AY$2&amp;LS_previous!$D$3:$AY$3, 0)),SUM(VLOOKUP($A59, LS_previous!$B$4:$AY$138, LS_previous!V$149, FALSE), VLOOKUP('Staging Table'!$A59, LS_previous!$B$4:$AY$138,LS_previous!AT$149, FALSE))/2)</f>
        <v>-2371.69386086129</v>
      </c>
      <c r="AE59" s="382">
        <f t="array" ref="AE59">IF($G59=0, INDEX(LS_previous!$D$4:$AY$138, MATCH('Staging Table'!$A59, LS_previous!$B$4:$B$138, 0), MATCH(AE$4&amp;AE$5, LS_previous!$D$2:$AY$2&amp;LS_previous!$D$3:$AY$3, 0)),SUM(VLOOKUP($A59, LS_previous!$B$4:$AY$138, LS_previous!W$149, FALSE), VLOOKUP('Staging Table'!$A59, LS_previous!$B$4:$AY$138,LS_previous!AU$149, FALSE))/2)</f>
        <v>1382.3315749230383</v>
      </c>
      <c r="AF59" s="382">
        <f t="array" ref="AF59">IF($G59=0, INDEX(LS_previous!$D$4:$AY$138, MATCH('Staging Table'!$A59, LS_previous!$B$4:$B$138, 0), MATCH(AF$4&amp;AF$5, LS_previous!$D$2:$AY$2&amp;LS_previous!$D$3:$AY$3, 0)),SUM(VLOOKUP($A59, LS_previous!$B$4:$AY$138, LS_previous!X$149, FALSE), VLOOKUP('Staging Table'!$A59, LS_previous!$B$4:$AY$138,LS_previous!AV$149, FALSE))/2)</f>
        <v>-2568.291659036332</v>
      </c>
      <c r="AG59" s="382">
        <f t="array" ref="AG59">IF($G59=0, INDEX(LS_previous!$D$4:$AY$138, MATCH('Staging Table'!$A59, LS_previous!$B$4:$B$138, 0), MATCH(AG$4&amp;AG$5, LS_previous!$D$2:$AY$2&amp;LS_previous!$D$3:$AY$3, 0)),SUM(VLOOKUP($A59, LS_previous!$B$4:$AY$138, LS_previous!Y$149, FALSE), VLOOKUP('Staging Table'!$A59, LS_previous!$B$4:$AY$138,LS_previous!AW$149, FALSE))/2)</f>
        <v>554.57814181342837</v>
      </c>
      <c r="AH59" s="382">
        <f t="array" ref="AH59">IF($G59=0, INDEX(LS_previous!$D$4:$AY$138, MATCH('Staging Table'!$A59, LS_previous!$B$4:$B$138, 0), MATCH(AH$4&amp;AH$5, LS_previous!$D$2:$AY$2&amp;LS_previous!$D$3:$AY$3, 0)),SUM(VLOOKUP($A59, LS_previous!$B$4:$AY$138, LS_previous!Z$149, FALSE), VLOOKUP('Staging Table'!$A59, LS_previous!$B$4:$AY$138,LS_previous!AX$149, FALSE))/2)</f>
        <v>-1362.2998313402654</v>
      </c>
      <c r="AI59" s="382">
        <f t="array" ref="AI59">IF($G59=0, INDEX(LS_previous!$D$4:$AY$138, MATCH('Staging Table'!$A59, LS_previous!$B$4:$B$138, 0), MATCH(AI$4&amp;AI$5, LS_previous!$D$2:$AY$2&amp;LS_previous!$D$3:$AY$3, 0)),SUM(VLOOKUP($A59, LS_previous!$B$4:$AY$138, LS_previous!AA$149, FALSE), VLOOKUP('Staging Table'!$A59, LS_previous!$B$4:$AY$138,LS_previous!AY$149, FALSE))/2)</f>
        <v>455.26268321984026</v>
      </c>
      <c r="AJ59" s="384">
        <f t="array" ref="AJ59">INDEX(Demand_previous!$D$4:$AY$138, MATCH('Staging Table'!$A59, Demand_previous!$B$4:$B$138, 0), MATCH(AJ$4&amp;AJ$5,Demand_previous!$D$2:$AY$2&amp;Demand_previous!$D$3:$AY$3, 0))/1000</f>
        <v>0</v>
      </c>
      <c r="AK59" s="384">
        <f t="array" ref="AK59">INDEX(Demand_previous!$D$4:$AY$138, MATCH('Staging Table'!$A59, Demand_previous!$B$4:$B$138, 0), MATCH(AK$4&amp;AK$5,Demand_previous!$D$2:$AY$2&amp;Demand_previous!$D$3:$AY$3, 0))/1000</f>
        <v>0</v>
      </c>
      <c r="AL59" s="384">
        <f t="array" ref="AL59">INDEX(Demand_previous!$D$4:$AY$138, MATCH('Staging Table'!$A59, Demand_previous!$B$4:$B$138, 0), MATCH(AL$4&amp;AL$5,Demand_previous!$D$2:$AY$2&amp;Demand_previous!$D$3:$AY$3, 0))/1000</f>
        <v>0</v>
      </c>
      <c r="AM59" s="384">
        <f t="array" ref="AM59">INDEX(Demand_previous!$D$4:$AY$138, MATCH('Staging Table'!$A59, Demand_previous!$B$4:$B$138, 0), MATCH(AM$4&amp;AM$5,Demand_previous!$D$2:$AY$2&amp;Demand_previous!$D$3:$AY$3, 0))/1000</f>
        <v>0</v>
      </c>
      <c r="AN59" s="384">
        <f t="array" ref="AN59">INDEX(Demand_previous!$D$4:$AY$138, MATCH('Staging Table'!$A59, Demand_previous!$B$4:$B$138, 0), MATCH(AN$4&amp;AN$5,Demand_previous!$D$2:$AY$2&amp;Demand_previous!$D$3:$AY$3, 0))/1000</f>
        <v>0</v>
      </c>
      <c r="AO59" s="384">
        <f t="array" ref="AO59">INDEX(Demand_previous!$D$4:$AY$138, MATCH('Staging Table'!$A59, Demand_previous!$B$4:$B$138, 0), MATCH(AO$4&amp;AO$5,Demand_previous!$D$2:$AY$2&amp;Demand_previous!$D$3:$AY$3, 0))/1000</f>
        <v>0</v>
      </c>
      <c r="AP59" s="384">
        <f t="array" ref="AP59">INDEX(Demand_previous!$D$4:$AY$138, MATCH('Staging Table'!$A59, Demand_previous!$B$4:$B$138, 0), MATCH(AP$4&amp;AP$5,Demand_previous!$D$2:$AY$2&amp;Demand_previous!$D$3:$AY$3, 0))/1000</f>
        <v>0</v>
      </c>
      <c r="AQ59" s="384">
        <f t="array" ref="AQ59">INDEX(Demand_previous!$D$4:$AY$138, MATCH('Staging Table'!$A59, Demand_previous!$B$4:$B$138, 0), MATCH(AQ$4&amp;AQ$5,Demand_previous!$D$2:$AY$2&amp;Demand_previous!$D$3:$AY$3, 0))/1000</f>
        <v>0</v>
      </c>
      <c r="AR59" s="384">
        <f t="array" ref="AR59">INDEX(Demand_previous!$D$4:$AY$138, MATCH('Staging Table'!$A59, Demand_previous!$B$4:$B$138, 0), MATCH(AR$4&amp;AR$5,Demand_previous!$D$2:$AY$2&amp;Demand_previous!$D$3:$AY$3, 0))/1000</f>
        <v>0</v>
      </c>
      <c r="AS59" s="384">
        <f t="array" ref="AS59">INDEX(Demand_previous!$D$4:$AY$138, MATCH('Staging Table'!$A59, Demand_previous!$B$4:$B$138, 0), MATCH(AS$4&amp;AS$5,Demand_previous!$D$2:$AY$2&amp;Demand_previous!$D$3:$AY$3, 0))/1000</f>
        <v>0</v>
      </c>
      <c r="AT59" s="384">
        <f t="array" ref="AT59">INDEX(Demand_previous!$D$4:$AY$138, MATCH('Staging Table'!$A59, Demand_previous!$B$4:$B$138, 0), MATCH(AT$4&amp;AT$5,Demand_previous!$D$2:$AY$2&amp;Demand_previous!$D$3:$AY$3, 0))/1000</f>
        <v>0</v>
      </c>
      <c r="AU59" s="384">
        <f t="array" ref="AU59">INDEX(Demand_previous!$D$4:$AY$138, MATCH('Staging Table'!$A59, Demand_previous!$B$4:$B$138, 0), MATCH(AU$4&amp;AU$5,Demand_previous!$D$2:$AY$2&amp;Demand_previous!$D$3:$AY$3, 0))/1000</f>
        <v>0</v>
      </c>
      <c r="AV59" s="384">
        <f>IF($D59=0,IF(C59=0, MAX(AY59 - (VLOOKUP($A59,TOCA_previous!$A$2:$AI$137,MATCH("RHWM 2016",TOCA_previous!$A$2:$AI$2,0),FALSE)*$F$2*TOCA_previous!C56),0),0), 0)</f>
        <v>0</v>
      </c>
      <c r="AW59" s="427">
        <f>VLOOKUP($A59,REP_previous!$A$1:$D$135,MATCH("FY "&amp;$F$1&amp; " Total Refund",REP_previous!$A$1:$D$1,0),0)</f>
        <v>637792.24861950113</v>
      </c>
      <c r="AX59" s="398">
        <f>MIN(VLOOKUP($A59,TOCA_previous!$A$2:$AI$137,MATCH("TRL - NLSL - Exisiting Resource "&amp;$F$1,TOCA_previous!$A$2:$AI$2,0),FALSE)*$F$2,(VLOOKUP($A59,TOCA_previous!$A$2:$AI$137,MATCH("RHWM 2016",TOCA_previous!$A$2:$AI$2,0),FALSE)*$F$2))</f>
        <v>419761.00799999997</v>
      </c>
      <c r="AY59" s="384">
        <f>SUM(L59:AI59)+(F59*RT1SC!$C$3*$F$2)</f>
        <v>192615.34712232667</v>
      </c>
      <c r="AZ59" s="398">
        <f>VLOOKUP($A59,TOCA_previous!$A$2:$AI$137,MATCH("Above RHWM Not Served with LS "&amp;$F$1,TOCA_previous!$A$2:$AI$2,0),FALSE)*$F$2</f>
        <v>15046.992</v>
      </c>
      <c r="BA59" s="206">
        <f t="shared" si="3"/>
        <v>-227145.6608776733</v>
      </c>
      <c r="BB59" s="399">
        <f>(VLOOKUP($A59,TOCA_previous!$A$2:$AI$137,MATCH("RHWM 2016",TOCA_previous!$A$2:$AI$2,0),FALSE)*$F$2) - $AX59</f>
        <v>14783.472000000009</v>
      </c>
      <c r="BC59" s="206">
        <f t="shared" si="4"/>
        <v>0</v>
      </c>
      <c r="BD59" s="400">
        <f t="shared" si="5"/>
        <v>212098.66887767331</v>
      </c>
      <c r="BE59" s="392">
        <f t="shared" si="6"/>
        <v>0</v>
      </c>
      <c r="BF59" s="399">
        <f t="shared" si="7"/>
        <v>0</v>
      </c>
      <c r="BG59" s="206">
        <f>VLOOKUP($A59,TOCA_current!$A$2:$AI$137,MATCH(BG$4,TOCA_current!$A$2:$AI$2,0),FALSE)</f>
        <v>7.0781000000000004E-3</v>
      </c>
      <c r="BH59" s="206">
        <f>VLOOKUP($A59,TOCA_current!$A$2:$AI$137,MATCH(BH$4,TOCA_current!$A$2:$AI$2,0),FALSE)</f>
        <v>3.3781000000000002E-3</v>
      </c>
      <c r="BI59" s="391">
        <f t="shared" si="8"/>
        <v>3.7000000000000002E-3</v>
      </c>
      <c r="BJ59" s="206">
        <f>VLOOKUP($A59,TOCA_current!A55:BG190,MATCH(BJ$4,TOCA_current!$A$2:$BG$2,0),FALSE)</f>
        <v>817847</v>
      </c>
      <c r="BK59" s="206">
        <f t="shared" si="9"/>
        <v>0</v>
      </c>
      <c r="BL59" s="206">
        <f t="shared" si="10"/>
        <v>0</v>
      </c>
      <c r="BM59" s="381">
        <f>VLOOKUP($A59,IRD!$A$4:$G$139, 7, FALSE)</f>
        <v>0</v>
      </c>
      <c r="BN59" s="382">
        <f t="array" ref="BN59">IF($BI59=0, INDEX(LS_current!$D$4:$AY$139, MATCH('Staging Table'!$A59, LS_current!$B$4:$B$139, 0), MATCH(BN$4&amp;BN$5, LS_current!$D$2:$AY$2&amp;LS_current!$D$3:$AY$3, 0)),SUM(VLOOKUP($A59, LS_current!$B$4:$AY$139, LS_current!D$149, FALSE), VLOOKUP($A59, LS_current!$B$4:$AY$139,LS_current!D$149, FALSE))/2)</f>
        <v>-1566.1362405949931</v>
      </c>
      <c r="BO59" s="382">
        <f t="array" ref="BO59">IF($BI59=0, INDEX(LS_current!$D$4:$AY$139, MATCH('Staging Table'!$A59, LS_current!$B$4:$B$139, 0), MATCH(BO$4&amp;BO$5, LS_current!$D$2:$AY$2&amp;LS_current!$D$3:$AY$3, 0)),SUM(VLOOKUP($A59, LS_current!$B$4:$AY$139, LS_current!E$149, FALSE), VLOOKUP($A59, LS_current!$B$4:$AY$139,LS_current!E$149, FALSE))/2)</f>
        <v>1350.7733954670211</v>
      </c>
      <c r="BP59" s="382">
        <f t="array" ref="BP59">IF($BI59=0, INDEX(LS_current!$D$4:$AY$139, MATCH('Staging Table'!$A59, LS_current!$B$4:$B$139, 0), MATCH(BP$4&amp;BP$5, LS_current!$D$2:$AY$2&amp;LS_current!$D$3:$AY$3, 0)),SUM(VLOOKUP($A59, LS_current!$B$4:$AY$139, LS_current!F$149, FALSE), VLOOKUP($A59, LS_current!$B$4:$AY$139,LS_current!F$149, FALSE))/2)</f>
        <v>-1935.2214141946988</v>
      </c>
      <c r="BQ59" s="382">
        <f t="array" ref="BQ59">IF($BI59=0, INDEX(LS_current!$D$4:$AY$139, MATCH('Staging Table'!$A59, LS_current!$B$4:$B$139, 0), MATCH(BQ$4&amp;BQ$5, LS_current!$D$2:$AY$2&amp;LS_current!$D$3:$AY$3, 0)),SUM(VLOOKUP($A59, LS_current!$B$4:$AY$139, LS_current!G$149, FALSE), VLOOKUP($A59, LS_current!$B$4:$AY$139,LS_current!G$149, FALSE))/2)</f>
        <v>1104.9727929914898</v>
      </c>
      <c r="BR59" s="382">
        <f t="array" ref="BR59">IF($BI59=0, INDEX(LS_current!$D$4:$AY$139, MATCH('Staging Table'!$A59, LS_current!$B$4:$B$139, 0), MATCH(BR$4&amp;BR$5, LS_current!$D$2:$AY$2&amp;LS_current!$D$3:$AY$3, 0)),SUM(VLOOKUP($A59, LS_current!$B$4:$AY$139, LS_current!H$149, FALSE), VLOOKUP($A59, LS_current!$B$4:$AY$139,LS_current!H$149, FALSE))/2)</f>
        <v>351.41548545814112</v>
      </c>
      <c r="BS59" s="382">
        <f t="array" ref="BS59">IF($BI59=0, INDEX(LS_current!$D$4:$AY$139, MATCH('Staging Table'!$A59, LS_current!$B$4:$B$139, 0), MATCH(BS$4&amp;BS$5, LS_current!$D$2:$AY$2&amp;LS_current!$D$3:$AY$3, 0)),SUM(VLOOKUP($A59, LS_current!$B$4:$AY$139, LS_current!I$149, FALSE), VLOOKUP($A59, LS_current!$B$4:$AY$139,LS_current!I$149, FALSE))/2)</f>
        <v>3371.4232249549887</v>
      </c>
      <c r="BT59" s="382">
        <f t="array" ref="BT59">IF($BI59=0, INDEX(LS_current!$D$4:$AY$139, MATCH('Staging Table'!$A59, LS_current!$B$4:$B$139, 0), MATCH(BT$4&amp;BT$5, LS_current!$D$2:$AY$2&amp;LS_current!$D$3:$AY$3, 0)),SUM(VLOOKUP($A59, LS_current!$B$4:$AY$139, LS_current!J$149, FALSE), VLOOKUP($A59, LS_current!$B$4:$AY$139,LS_current!J$149, FALSE))/2)</f>
        <v>1854.4694027282712</v>
      </c>
      <c r="BU59" s="382">
        <f t="array" ref="BU59">IF($BI59=0, INDEX(LS_current!$D$4:$AY$139, MATCH('Staging Table'!$A59, LS_current!$B$4:$B$139, 0), MATCH(BU$4&amp;BU$5, LS_current!$D$2:$AY$2&amp;LS_current!$D$3:$AY$3, 0)),SUM(VLOOKUP($A59, LS_current!$B$4:$AY$139, LS_current!K$149, FALSE), VLOOKUP($A59, LS_current!$B$4:$AY$139,LS_current!K$149, FALSE))/2)</f>
        <v>3196.3517924597327</v>
      </c>
      <c r="BV59" s="382">
        <f t="array" ref="BV59">IF($BI59=0, INDEX(LS_current!$D$4:$AY$139, MATCH('Staging Table'!$A59, LS_current!$B$4:$B$139, 0), MATCH(BV$4&amp;BV$5, LS_current!$D$2:$AY$2&amp;LS_current!$D$3:$AY$3, 0)),SUM(VLOOKUP($A59, LS_current!$B$4:$AY$139, LS_current!L$149, FALSE), VLOOKUP($A59, LS_current!$B$4:$AY$139,LS_current!L$149, FALSE))/2)</f>
        <v>1810.3598070545904</v>
      </c>
      <c r="BW59" s="382">
        <f t="array" ref="BW59">IF($BI59=0, INDEX(LS_current!$D$4:$AY$139, MATCH('Staging Table'!$A59, LS_current!$B$4:$B$139, 0), MATCH(BW$4&amp;BW$5, LS_current!$D$2:$AY$2&amp;LS_current!$D$3:$AY$3, 0)),SUM(VLOOKUP($A59, LS_current!$B$4:$AY$139, LS_current!M$149, FALSE), VLOOKUP($A59, LS_current!$B$4:$AY$139,LS_current!M$149, FALSE))/2)</f>
        <v>2786.1989809018569</v>
      </c>
      <c r="BX59" s="382">
        <f t="array" ref="BX59">IF($BI59=0, INDEX(LS_current!$D$4:$AY$139, MATCH('Staging Table'!$A59, LS_current!$B$4:$B$139, 0), MATCH(BX$4&amp;BX$5, LS_current!$D$2:$AY$2&amp;LS_current!$D$3:$AY$3, 0)),SUM(VLOOKUP($A59, LS_current!$B$4:$AY$139, LS_current!N$149, FALSE), VLOOKUP($A59, LS_current!$B$4:$AY$139,LS_current!N$149, FALSE))/2)</f>
        <v>224.98471722381692</v>
      </c>
      <c r="BY59" s="382">
        <f t="array" ref="BY59">IF($BI59=0, INDEX(LS_current!$D$4:$AY$139, MATCH('Staging Table'!$A59, LS_current!$B$4:$B$139, 0), MATCH(BY$4&amp;BY$5, LS_current!$D$2:$AY$2&amp;LS_current!$D$3:$AY$3, 0)),SUM(VLOOKUP($A59, LS_current!$B$4:$AY$139, LS_current!O$149, FALSE), VLOOKUP($A59, LS_current!$B$4:$AY$139,LS_current!O$149, FALSE))/2)</f>
        <v>1567.3369764500549</v>
      </c>
      <c r="BZ59" s="382">
        <f t="array" ref="BZ59">IF($BI59=0, INDEX(LS_current!$D$4:$AY$139, MATCH('Staging Table'!$A59, LS_current!$B$4:$B$139, 0), MATCH(BZ$4&amp;BZ$5, LS_current!$D$2:$AY$2&amp;LS_current!$D$3:$AY$3, 0)),SUM(VLOOKUP($A59, LS_current!$B$4:$AY$139, LS_current!P$149, FALSE), VLOOKUP($A59, LS_current!$B$4:$AY$139,LS_current!P$149, FALSE))/2)</f>
        <v>-1114.4090038456743</v>
      </c>
      <c r="CA59" s="382">
        <f t="array" ref="CA59">IF($BI59=0, INDEX(LS_current!$D$4:$AY$139, MATCH('Staging Table'!$A59, LS_current!$B$4:$B$139, 0), MATCH(CA$4&amp;CA$5, LS_current!$D$2:$AY$2&amp;LS_current!$D$3:$AY$3, 0)),SUM(VLOOKUP($A59, LS_current!$B$4:$AY$139, LS_current!Q$149, FALSE), VLOOKUP($A59, LS_current!$B$4:$AY$139,LS_current!Q$149, FALSE))/2)</f>
        <v>1537.945037915938</v>
      </c>
      <c r="CB59" s="382">
        <f t="array" ref="CB59">IF($BI59=0, INDEX(LS_current!$D$4:$AY$139, MATCH('Staging Table'!$A59, LS_current!$B$4:$B$139, 0), MATCH(CB$4&amp;CB$5, LS_current!$D$2:$AY$2&amp;LS_current!$D$3:$AY$3, 0)),SUM(VLOOKUP($A59, LS_current!$B$4:$AY$139, LS_current!R$149, FALSE), VLOOKUP($A59, LS_current!$B$4:$AY$139,LS_current!R$149, FALSE))/2)</f>
        <v>-6514.5899312591864</v>
      </c>
      <c r="CC59" s="382">
        <f t="array" ref="CC59">IF($BI59=0, INDEX(LS_current!$D$4:$AY$139, MATCH('Staging Table'!$A59, LS_current!$B$4:$B$139, 0), MATCH(CC$4&amp;CC$5, LS_current!$D$2:$AY$2&amp;LS_current!$D$3:$AY$3, 0)),SUM(VLOOKUP($A59, LS_current!$B$4:$AY$139, LS_current!S$149, FALSE), VLOOKUP($A59, LS_current!$B$4:$AY$139,LS_current!S$149, FALSE))/2)</f>
        <v>-1971.9800273955279</v>
      </c>
      <c r="CD59" s="382">
        <f t="array" ref="CD59">IF($BI59=0, INDEX(LS_current!$D$4:$AY$139, MATCH('Staging Table'!$A59, LS_current!$B$4:$B$139, 0), MATCH(CD$4&amp;CD$5, LS_current!$D$2:$AY$2&amp;LS_current!$D$3:$AY$3, 0)),SUM(VLOOKUP($A59, LS_current!$B$4:$AY$139, LS_current!T$149, FALSE), VLOOKUP($A59, LS_current!$B$4:$AY$139,LS_current!T$149, FALSE))/2)</f>
        <v>-3772.4497916658838</v>
      </c>
      <c r="CE59" s="382">
        <f t="array" ref="CE59">IF($BI59=0, INDEX(LS_current!$D$4:$AY$139, MATCH('Staging Table'!$A59, LS_current!$B$4:$B$139, 0), MATCH(CE$4&amp;CE$5, LS_current!$D$2:$AY$2&amp;LS_current!$D$3:$AY$3, 0)),SUM(VLOOKUP($A59, LS_current!$B$4:$AY$139, LS_current!U$149, FALSE), VLOOKUP($A59, LS_current!$B$4:$AY$139,LS_current!U$149, FALSE))/2)</f>
        <v>-396.15998390030745</v>
      </c>
      <c r="CF59" s="382">
        <f t="array" ref="CF59">IF($BI59=0, INDEX(LS_current!$D$4:$AY$139, MATCH('Staging Table'!$A59, LS_current!$B$4:$B$139, 0), MATCH(CF$4&amp;CF$5, LS_current!$D$2:$AY$2&amp;LS_current!$D$3:$AY$3, 0)),SUM(VLOOKUP($A59, LS_current!$B$4:$AY$139, LS_current!V$149, FALSE), VLOOKUP($A59, LS_current!$B$4:$AY$139,LS_current!V$149, FALSE))/2)</f>
        <v>-1846.4125314955181</v>
      </c>
      <c r="CG59" s="382">
        <f t="array" ref="CG59">IF($BI59=0, INDEX(LS_current!$D$4:$AY$139, MATCH('Staging Table'!$A59, LS_current!$B$4:$B$139, 0), MATCH(CG$4&amp;CG$5, LS_current!$D$2:$AY$2&amp;LS_current!$D$3:$AY$3, 0)),SUM(VLOOKUP($A59, LS_current!$B$4:$AY$139, LS_current!W$149, FALSE), VLOOKUP($A59, LS_current!$B$4:$AY$139,LS_current!W$149, FALSE))/2)</f>
        <v>1797.8350160225054</v>
      </c>
      <c r="CH59" s="382">
        <f t="array" ref="CH59">IF($BI59=0, INDEX(LS_current!$D$4:$AY$139, MATCH('Staging Table'!$A59, LS_current!$B$4:$B$139, 0), MATCH(CH$4&amp;CH$5, LS_current!$D$2:$AY$2&amp;LS_current!$D$3:$AY$3, 0)),SUM(VLOOKUP($A59, LS_current!$B$4:$AY$139, LS_current!X$149, FALSE), VLOOKUP($A59, LS_current!$B$4:$AY$139,LS_current!X$149, FALSE))/2)</f>
        <v>-2972.6107974595216</v>
      </c>
      <c r="CI59" s="382">
        <f t="array" ref="CI59">IF($BI59=0, INDEX(LS_current!$D$4:$AY$139, MATCH('Staging Table'!$A59, LS_current!$B$4:$B$139, 0), MATCH(CI$4&amp;CI$5, LS_current!$D$2:$AY$2&amp;LS_current!$D$3:$AY$3, 0)),SUM(VLOOKUP($A59, LS_current!$B$4:$AY$139, LS_current!Y$149, FALSE), VLOOKUP($A59, LS_current!$B$4:$AY$139,LS_current!Y$149, FALSE))/2)</f>
        <v>494.60386164136253</v>
      </c>
      <c r="CJ59" s="382">
        <f t="array" ref="CJ59">IF($BI59=0, INDEX(LS_current!$D$4:$AY$139, MATCH('Staging Table'!$A59, LS_current!$B$4:$B$139, 0), MATCH(CJ$4&amp;CJ$5, LS_current!$D$2:$AY$2&amp;LS_current!$D$3:$AY$3, 0)),SUM(VLOOKUP($A59, LS_current!$B$4:$AY$139, LS_current!Z$149, FALSE), VLOOKUP($A59, LS_current!$B$4:$AY$139,LS_current!Z$149, FALSE))/2)</f>
        <v>-2756.4534608406575</v>
      </c>
      <c r="CK59" s="382">
        <f t="array" ref="CK59">IF($BI59=0, INDEX(LS_current!$D$4:$AY$139, MATCH('Staging Table'!$A59, LS_current!$B$4:$B$139, 0), MATCH(CK$4&amp;CK$5, LS_current!$D$2:$AY$2&amp;LS_current!$D$3:$AY$3, 0)),SUM(VLOOKUP($A59, LS_current!$B$4:$AY$139, LS_current!AA$149, FALSE), VLOOKUP($A59, LS_current!$B$4:$AY$139,LS_current!AA$149, FALSE))/2)</f>
        <v>710.78946166248716</v>
      </c>
      <c r="CL59" s="384">
        <f t="array" ref="CL59">INDEX(Demand_current!$D$4:$AY$138, MATCH($A59, Demand_current!$B$4:$B$138, 0), MATCH(CL$4&amp;CL$5,Demand_current!$D$2:$AY$2&amp;Demand_current!$D$3:$AY$3, 0))/1000</f>
        <v>0</v>
      </c>
      <c r="CM59" s="384">
        <f t="array" ref="CM59">INDEX(Demand_current!$D$4:$AY$138, MATCH($A59, Demand_current!$B$4:$B$138, 0), MATCH(CM$4&amp;CM$5,Demand_current!$D$2:$AY$2&amp;Demand_current!$D$3:$AY$3, 0))/1000</f>
        <v>0</v>
      </c>
      <c r="CN59" s="384">
        <f t="array" ref="CN59">INDEX(Demand_current!$D$4:$AY$138, MATCH($A59, Demand_current!$B$4:$B$138, 0), MATCH(CN$4&amp;CN$5,Demand_current!$D$2:$AY$2&amp;Demand_current!$D$3:$AY$3, 0))/1000</f>
        <v>0</v>
      </c>
      <c r="CO59" s="384">
        <f t="array" ref="CO59">INDEX(Demand_current!$D$4:$AY$138, MATCH($A59, Demand_current!$B$4:$B$138, 0), MATCH(CO$4&amp;CO$5,Demand_current!$D$2:$AY$2&amp;Demand_current!$D$3:$AY$3, 0))/1000</f>
        <v>0</v>
      </c>
      <c r="CP59" s="384">
        <f t="array" ref="CP59">INDEX(Demand_current!$D$4:$AY$138, MATCH($A59, Demand_current!$B$4:$B$138, 0), MATCH(CP$4&amp;CP$5,Demand_current!$D$2:$AY$2&amp;Demand_current!$D$3:$AY$3, 0))/1000</f>
        <v>0</v>
      </c>
      <c r="CQ59" s="384">
        <f t="array" ref="CQ59">INDEX(Demand_current!$D$4:$AY$138, MATCH($A59, Demand_current!$B$4:$B$138, 0), MATCH(CQ$4&amp;CQ$5,Demand_current!$D$2:$AY$2&amp;Demand_current!$D$3:$AY$3, 0))/1000</f>
        <v>0</v>
      </c>
      <c r="CR59" s="384">
        <f t="array" ref="CR59">INDEX(Demand_current!$D$4:$AY$138, MATCH($A59, Demand_current!$B$4:$B$138, 0), MATCH(CR$4&amp;CR$5,Demand_current!$D$2:$AY$2&amp;Demand_current!$D$3:$AY$3, 0))/1000</f>
        <v>0</v>
      </c>
      <c r="CS59" s="384">
        <f t="array" ref="CS59">INDEX(Demand_current!$D$4:$AY$138, MATCH($A59, Demand_current!$B$4:$B$138, 0), MATCH(CS$4&amp;CS$5,Demand_current!$D$2:$AY$2&amp;Demand_current!$D$3:$AY$3, 0))/1000</f>
        <v>0</v>
      </c>
      <c r="CT59" s="384">
        <f t="array" ref="CT59">INDEX(Demand_current!$D$4:$AY$138, MATCH($A59, Demand_current!$B$4:$B$138, 0), MATCH(CT$4&amp;CT$5,Demand_current!$D$2:$AY$2&amp;Demand_current!$D$3:$AY$3, 0))/1000</f>
        <v>0</v>
      </c>
      <c r="CU59" s="384">
        <f t="array" ref="CU59">INDEX(Demand_current!$D$4:$AY$138, MATCH($A59, Demand_current!$B$4:$B$138, 0), MATCH(CU$4&amp;CU$5,Demand_current!$D$2:$AY$2&amp;Demand_current!$D$3:$AY$3, 0))/1000</f>
        <v>0</v>
      </c>
      <c r="CV59" s="384">
        <f t="array" ref="CV59">INDEX(Demand_current!$D$4:$AY$138, MATCH($A59, Demand_current!$B$4:$B$138, 0), MATCH(CV$4&amp;CV$5,Demand_current!$D$2:$AY$2&amp;Demand_current!$D$3:$AY$3, 0))/1000</f>
        <v>0</v>
      </c>
      <c r="CW59" s="384">
        <f t="array" ref="CW59">INDEX(Demand_current!$D$4:$AY$138, MATCH($A59, Demand_current!$B$4:$B$138, 0), MATCH(CW$4&amp;CW$5,Demand_current!$D$2:$AY$2&amp;Demand_current!$D$3:$AY$3, 0))/1000</f>
        <v>0</v>
      </c>
      <c r="CX59" s="384">
        <f>IF(D59=0,IF(C59=0,MAX(0,DA59 - (VLOOKUP($A59,TOCA_current!$A$2:$AI$137,MATCH("RHWM 2018",TOCA_current!$A$2:$AI$2,0),FALSE)*$BH$2)), 0),0)</f>
        <v>0</v>
      </c>
      <c r="CY59" s="427">
        <f>VLOOKUP($A59,REP_current!$A$1:$D$135,MATCH("FY "&amp;$BH$1&amp; " Total Refund",REP_current!$A$1:$D$1,0),0)</f>
        <v>657317.14694681426</v>
      </c>
      <c r="CZ59" s="432">
        <f>MIN(VLOOKUP($A59,TOCA_current!$A$2:$AI$137,MATCH("TRL - NLSL - Existing Resource "&amp;$BH$1,TOCA_current!$A$2:$AI$2,0),FALSE)*$BH$2, VLOOKUP($A59,TOCA_current!$A$2:$AI$137,MATCH("RHWM 2018",TOCA_current!$A$2:$AI$2,0),FALSE)*$BH$2)</f>
        <v>430606.56</v>
      </c>
      <c r="DA59" s="397">
        <f>SUM(BN59:CK59)+(BH59*RT1SC!$C$4*$BH$2)</f>
        <v>202826.00299825627</v>
      </c>
      <c r="DB59" s="432">
        <f>VLOOKUP($A59,TOCA_current!$A$2:$AI$137,MATCH("Above RHWM Not Served with LS "&amp;$BH$1,TOCA_current!$A$2:$AI$2,0),FALSE)*$BH$2</f>
        <v>10555.800000000001</v>
      </c>
      <c r="DC59" s="401">
        <f t="shared" si="11"/>
        <v>-227780.55700174373</v>
      </c>
      <c r="DD59" s="397">
        <f>(VLOOKUP($A59,TOCA_current!$A$2:$AI$137,MATCH("RHWM 2018",TOCA_current!$A$2:$AI$2,0),FALSE)*$BH$2) - $CZ59</f>
        <v>0</v>
      </c>
      <c r="DE59" s="397">
        <f t="shared" si="12"/>
        <v>0</v>
      </c>
      <c r="DF59" s="397">
        <f t="shared" si="13"/>
        <v>217224.75700174374</v>
      </c>
      <c r="DG59" s="397">
        <f t="shared" si="14"/>
        <v>0</v>
      </c>
      <c r="DH59" s="397">
        <f t="shared" si="15"/>
        <v>0</v>
      </c>
    </row>
    <row r="60" spans="1:112">
      <c r="A60" s="274">
        <v>10158</v>
      </c>
      <c r="B60" s="275" t="s">
        <v>61</v>
      </c>
      <c r="C60" s="397">
        <v>0</v>
      </c>
      <c r="D60" s="397">
        <v>0</v>
      </c>
      <c r="E60" s="205">
        <f>VLOOKUP($A60,TOCA_previous!$A$2:$AI$137,MATCH(E$4,TOCA_previous!$A$2:$AI$2,0),FALSE)</f>
        <v>3.924E-4</v>
      </c>
      <c r="F60" s="206">
        <f>VLOOKUP($A60,TOCA_previous!$A$2:$AI$137,MATCH(F$4,TOCA_previous!$A$2:$AI$2,0),FALSE)</f>
        <v>3.924E-4</v>
      </c>
      <c r="G60" s="206">
        <f t="shared" si="0"/>
        <v>0</v>
      </c>
      <c r="H60" s="206">
        <f>VLOOKUP($A60,TOCA_previous!$A$2:$AI$137,MATCH(H$4,TOCA_previous!$A$2:$AI$2,0),FALSE)</f>
        <v>0</v>
      </c>
      <c r="I60" s="206">
        <f t="shared" si="1"/>
        <v>0</v>
      </c>
      <c r="J60" s="206">
        <f t="shared" si="2"/>
        <v>0</v>
      </c>
      <c r="K60" s="381">
        <f>VLOOKUP(A60, IRD!$A$5:$C$139, 3, FALSE)</f>
        <v>0</v>
      </c>
      <c r="L60" s="382">
        <f t="array" ref="L60">IF($G60=0, INDEX(LS_previous!$D$4:$AY$138, MATCH('Staging Table'!$A60, LS_previous!$B$4:$B$138, 0), MATCH(L$4&amp;L$5, LS_previous!$D$2:$AY$2&amp;LS_previous!$D$3:$AY$3, 0)),SUM(VLOOKUP($A60, LS_previous!$B$4:$AY$138, LS_previous!D$149, FALSE), VLOOKUP('Staging Table'!$A60, LS_previous!$B$4:$AY$138,LS_previous!AB$149, FALSE))/2)</f>
        <v>-377.66943665657834</v>
      </c>
      <c r="M60" s="382">
        <f t="array" ref="M60">IF($G60=0, INDEX(LS_previous!$D$4:$AY$138, MATCH('Staging Table'!$A60, LS_previous!$B$4:$B$138, 0), MATCH(M$4&amp;M$5, LS_previous!$D$2:$AY$2&amp;LS_previous!$D$3:$AY$3, 0)),SUM(VLOOKUP($A60, LS_previous!$B$4:$AY$138, LS_previous!E$149, FALSE), VLOOKUP('Staging Table'!$A60, LS_previous!$B$4:$AY$138,LS_previous!AC$149, FALSE))/2)</f>
        <v>-64.791144674004045</v>
      </c>
      <c r="N60" s="382">
        <f t="array" ref="N60">IF($G60=0, INDEX(LS_previous!$D$4:$AY$138, MATCH('Staging Table'!$A60, LS_previous!$B$4:$B$138, 0), MATCH(N$4&amp;N$5, LS_previous!$D$2:$AY$2&amp;LS_previous!$D$3:$AY$3, 0)),SUM(VLOOKUP($A60, LS_previous!$B$4:$AY$138, LS_previous!F$149, FALSE), VLOOKUP('Staging Table'!$A60, LS_previous!$B$4:$AY$138,LS_previous!AD$149, FALSE))/2)</f>
        <v>-354.549736096076</v>
      </c>
      <c r="O60" s="382">
        <f t="array" ref="O60">IF($G60=0, INDEX(LS_previous!$D$4:$AY$138, MATCH('Staging Table'!$A60, LS_previous!$B$4:$B$138, 0), MATCH(O$4&amp;O$5, LS_previous!$D$2:$AY$2&amp;LS_previous!$D$3:$AY$3, 0)),SUM(VLOOKUP($A60, LS_previous!$B$4:$AY$138, LS_previous!G$149, FALSE), VLOOKUP('Staging Table'!$A60, LS_previous!$B$4:$AY$138,LS_previous!AE$149, FALSE))/2)</f>
        <v>5.6881946729000674</v>
      </c>
      <c r="P60" s="382">
        <f t="array" ref="P60">IF($G60=0, INDEX(LS_previous!$D$4:$AY$138, MATCH('Staging Table'!$A60, LS_previous!$B$4:$B$138, 0), MATCH(P$4&amp;P$5, LS_previous!$D$2:$AY$2&amp;LS_previous!$D$3:$AY$3, 0)),SUM(VLOOKUP($A60, LS_previous!$B$4:$AY$138, LS_previous!H$149, FALSE), VLOOKUP('Staging Table'!$A60, LS_previous!$B$4:$AY$138,LS_previous!AF$149, FALSE))/2)</f>
        <v>10.886967007127623</v>
      </c>
      <c r="Q60" s="382">
        <f t="array" ref="Q60">IF($G60=0, INDEX(LS_previous!$D$4:$AY$138, MATCH('Staging Table'!$A60, LS_previous!$B$4:$B$138, 0), MATCH(Q$4&amp;Q$5, LS_previous!$D$2:$AY$2&amp;LS_previous!$D$3:$AY$3, 0)),SUM(VLOOKUP($A60, LS_previous!$B$4:$AY$138, LS_previous!I$149, FALSE), VLOOKUP('Staging Table'!$A60, LS_previous!$B$4:$AY$138,LS_previous!AG$149, FALSE))/2)</f>
        <v>341.6479494487636</v>
      </c>
      <c r="R60" s="382">
        <f t="array" ref="R60">IF($G60=0, INDEX(LS_previous!$D$4:$AY$138, MATCH('Staging Table'!$A60, LS_previous!$B$4:$B$138, 0), MATCH(R$4&amp;R$5, LS_previous!$D$2:$AY$2&amp;LS_previous!$D$3:$AY$3, 0)),SUM(VLOOKUP($A60, LS_previous!$B$4:$AY$138, LS_previous!J$149, FALSE), VLOOKUP('Staging Table'!$A60, LS_previous!$B$4:$AY$138,LS_previous!AH$149, FALSE))/2)</f>
        <v>235.47510450771551</v>
      </c>
      <c r="S60" s="382">
        <f t="array" ref="S60">IF($G60=0, INDEX(LS_previous!$D$4:$AY$138, MATCH('Staging Table'!$A60, LS_previous!$B$4:$B$138, 0), MATCH(S$4&amp;S$5, LS_previous!$D$2:$AY$2&amp;LS_previous!$D$3:$AY$3, 0)),SUM(VLOOKUP($A60, LS_previous!$B$4:$AY$138, LS_previous!K$149, FALSE), VLOOKUP('Staging Table'!$A60, LS_previous!$B$4:$AY$138,LS_previous!AI$149, FALSE))/2)</f>
        <v>378.64343220736816</v>
      </c>
      <c r="T60" s="382">
        <f t="array" ref="T60">IF($G60=0, INDEX(LS_previous!$D$4:$AY$138, MATCH('Staging Table'!$A60, LS_previous!$B$4:$B$138, 0), MATCH(T$4&amp;T$5, LS_previous!$D$2:$AY$2&amp;LS_previous!$D$3:$AY$3, 0)),SUM(VLOOKUP($A60, LS_previous!$B$4:$AY$138, LS_previous!L$149, FALSE), VLOOKUP('Staging Table'!$A60, LS_previous!$B$4:$AY$138,LS_previous!AJ$149, FALSE))/2)</f>
        <v>68.998600208358312</v>
      </c>
      <c r="U60" s="382">
        <f t="array" ref="U60">IF($G60=0, INDEX(LS_previous!$D$4:$AY$138, MATCH('Staging Table'!$A60, LS_previous!$B$4:$B$138, 0), MATCH(U$4&amp;U$5, LS_previous!$D$2:$AY$2&amp;LS_previous!$D$3:$AY$3, 0)),SUM(VLOOKUP($A60, LS_previous!$B$4:$AY$138, LS_previous!M$149, FALSE), VLOOKUP('Staging Table'!$A60, LS_previous!$B$4:$AY$138,LS_previous!AK$149, FALSE))/2)</f>
        <v>253.96762102100979</v>
      </c>
      <c r="V60" s="382">
        <f t="array" ref="V60">IF($G60=0, INDEX(LS_previous!$D$4:$AY$138, MATCH('Staging Table'!$A60, LS_previous!$B$4:$B$138, 0), MATCH(V$4&amp;V$5, LS_previous!$D$2:$AY$2&amp;LS_previous!$D$3:$AY$3, 0)),SUM(VLOOKUP($A60, LS_previous!$B$4:$AY$138, LS_previous!N$149, FALSE), VLOOKUP('Staging Table'!$A60, LS_previous!$B$4:$AY$138,LS_previous!AL$149, FALSE))/2)</f>
        <v>-238.56257458547282</v>
      </c>
      <c r="W60" s="382">
        <f t="array" ref="W60">IF($G60=0, INDEX(LS_previous!$D$4:$AY$138, MATCH('Staging Table'!$A60, LS_previous!$B$4:$B$138, 0), MATCH(W$4&amp;W$5, LS_previous!$D$2:$AY$2&amp;LS_previous!$D$3:$AY$3, 0)),SUM(VLOOKUP($A60, LS_previous!$B$4:$AY$138, LS_previous!O$149, FALSE), VLOOKUP('Staging Table'!$A60, LS_previous!$B$4:$AY$138,LS_previous!AM$149, FALSE))/2)</f>
        <v>3.0877010679693058</v>
      </c>
      <c r="X60" s="382">
        <f t="array" ref="X60">IF($G60=0, INDEX(LS_previous!$D$4:$AY$138, MATCH('Staging Table'!$A60, LS_previous!$B$4:$B$138, 0), MATCH(X$4&amp;X$5, LS_previous!$D$2:$AY$2&amp;LS_previous!$D$3:$AY$3, 0)),SUM(VLOOKUP($A60, LS_previous!$B$4:$AY$138, LS_previous!P$149, FALSE), VLOOKUP('Staging Table'!$A60, LS_previous!$B$4:$AY$138,LS_previous!AN$149, FALSE))/2)</f>
        <v>-176.51655295188004</v>
      </c>
      <c r="Y60" s="382">
        <f t="array" ref="Y60">IF($G60=0, INDEX(LS_previous!$D$4:$AY$138, MATCH('Staging Table'!$A60, LS_previous!$B$4:$B$138, 0), MATCH(Y$4&amp;Y$5, LS_previous!$D$2:$AY$2&amp;LS_previous!$D$3:$AY$3, 0)),SUM(VLOOKUP($A60, LS_previous!$B$4:$AY$138, LS_previous!Q$149, FALSE), VLOOKUP('Staging Table'!$A60, LS_previous!$B$4:$AY$138,LS_previous!AO$149, FALSE))/2)</f>
        <v>56.923948790865097</v>
      </c>
      <c r="Z60" s="382">
        <f t="array" ref="Z60">IF($G60=0, INDEX(LS_previous!$D$4:$AY$138, MATCH('Staging Table'!$A60, LS_previous!$B$4:$B$138, 0), MATCH(Z$4&amp;Z$5, LS_previous!$D$2:$AY$2&amp;LS_previous!$D$3:$AY$3, 0)),SUM(VLOOKUP($A60, LS_previous!$B$4:$AY$138, LS_previous!R$149, FALSE), VLOOKUP('Staging Table'!$A60, LS_previous!$B$4:$AY$138,LS_previous!AP$149, FALSE))/2)</f>
        <v>-826.08504440206093</v>
      </c>
      <c r="AA60" s="382">
        <f t="array" ref="AA60">IF($G60=0, INDEX(LS_previous!$D$4:$AY$138, MATCH('Staging Table'!$A60, LS_previous!$B$4:$B$138, 0), MATCH(AA$4&amp;AA$5, LS_previous!$D$2:$AY$2&amp;LS_previous!$D$3:$AY$3, 0)),SUM(VLOOKUP($A60, LS_previous!$B$4:$AY$138, LS_previous!S$149, FALSE), VLOOKUP('Staging Table'!$A60, LS_previous!$B$4:$AY$138,LS_previous!AQ$149, FALSE))/2)</f>
        <v>-300.69215568465643</v>
      </c>
      <c r="AB60" s="382">
        <f t="array" ref="AB60">IF($G60=0, INDEX(LS_previous!$D$4:$AY$138, MATCH('Staging Table'!$A60, LS_previous!$B$4:$B$138, 0), MATCH(AB$4&amp;AB$5, LS_previous!$D$2:$AY$2&amp;LS_previous!$D$3:$AY$3, 0)),SUM(VLOOKUP($A60, LS_previous!$B$4:$AY$138, LS_previous!T$149, FALSE), VLOOKUP('Staging Table'!$A60, LS_previous!$B$4:$AY$138,LS_previous!AR$149, FALSE))/2)</f>
        <v>-490.68183644591909</v>
      </c>
      <c r="AC60" s="382">
        <f t="array" ref="AC60">IF($G60=0, INDEX(LS_previous!$D$4:$AY$138, MATCH('Staging Table'!$A60, LS_previous!$B$4:$B$138, 0), MATCH(AC$4&amp;AC$5, LS_previous!$D$2:$AY$2&amp;LS_previous!$D$3:$AY$3, 0)),SUM(VLOOKUP($A60, LS_previous!$B$4:$AY$138, LS_previous!U$149, FALSE), VLOOKUP('Staging Table'!$A60, LS_previous!$B$4:$AY$138,LS_previous!AS$149, FALSE))/2)</f>
        <v>-207.88377028699426</v>
      </c>
      <c r="AD60" s="382">
        <f t="array" ref="AD60">IF($G60=0, INDEX(LS_previous!$D$4:$AY$138, MATCH('Staging Table'!$A60, LS_previous!$B$4:$B$138, 0), MATCH(AD$4&amp;AD$5, LS_previous!$D$2:$AY$2&amp;LS_previous!$D$3:$AY$3, 0)),SUM(VLOOKUP($A60, LS_previous!$B$4:$AY$138, LS_previous!V$149, FALSE), VLOOKUP('Staging Table'!$A60, LS_previous!$B$4:$AY$138,LS_previous!AT$149, FALSE))/2)</f>
        <v>-375.98505988347529</v>
      </c>
      <c r="AE60" s="382">
        <f t="array" ref="AE60">IF($G60=0, INDEX(LS_previous!$D$4:$AY$138, MATCH('Staging Table'!$A60, LS_previous!$B$4:$B$138, 0), MATCH(AE$4&amp;AE$5, LS_previous!$D$2:$AY$2&amp;LS_previous!$D$3:$AY$3, 0)),SUM(VLOOKUP($A60, LS_previous!$B$4:$AY$138, LS_previous!W$149, FALSE), VLOOKUP('Staging Table'!$A60, LS_previous!$B$4:$AY$138,LS_previous!AU$149, FALSE))/2)</f>
        <v>-23.696673891454566</v>
      </c>
      <c r="AF60" s="382">
        <f t="array" ref="AF60">IF($G60=0, INDEX(LS_previous!$D$4:$AY$138, MATCH('Staging Table'!$A60, LS_previous!$B$4:$B$138, 0), MATCH(AF$4&amp;AF$5, LS_previous!$D$2:$AY$2&amp;LS_previous!$D$3:$AY$3, 0)),SUM(VLOOKUP($A60, LS_previous!$B$4:$AY$138, LS_previous!X$149, FALSE), VLOOKUP('Staging Table'!$A60, LS_previous!$B$4:$AY$138,LS_previous!AV$149, FALSE))/2)</f>
        <v>-393.81574502169929</v>
      </c>
      <c r="AG60" s="382">
        <f t="array" ref="AG60">IF($G60=0, INDEX(LS_previous!$D$4:$AY$138, MATCH('Staging Table'!$A60, LS_previous!$B$4:$B$138, 0), MATCH(AG$4&amp;AG$5, LS_previous!$D$2:$AY$2&amp;LS_previous!$D$3:$AY$3, 0)),SUM(VLOOKUP($A60, LS_previous!$B$4:$AY$138, LS_previous!Y$149, FALSE), VLOOKUP('Staging Table'!$A60, LS_previous!$B$4:$AY$138,LS_previous!AW$149, FALSE))/2)</f>
        <v>-100.15156235482107</v>
      </c>
      <c r="AH60" s="382">
        <f t="array" ref="AH60">IF($G60=0, INDEX(LS_previous!$D$4:$AY$138, MATCH('Staging Table'!$A60, LS_previous!$B$4:$B$138, 0), MATCH(AH$4&amp;AH$5, LS_previous!$D$2:$AY$2&amp;LS_previous!$D$3:$AY$3, 0)),SUM(VLOOKUP($A60, LS_previous!$B$4:$AY$138, LS_previous!Z$149, FALSE), VLOOKUP('Staging Table'!$A60, LS_previous!$B$4:$AY$138,LS_previous!AX$149, FALSE))/2)</f>
        <v>-285.42654048201632</v>
      </c>
      <c r="AI60" s="382">
        <f t="array" ref="AI60">IF($G60=0, INDEX(LS_previous!$D$4:$AY$138, MATCH('Staging Table'!$A60, LS_previous!$B$4:$B$138, 0), MATCH(AI$4&amp;AI$5, LS_previous!$D$2:$AY$2&amp;LS_previous!$D$3:$AY$3, 0)),SUM(VLOOKUP($A60, LS_previous!$B$4:$AY$138, LS_previous!AA$149, FALSE), VLOOKUP('Staging Table'!$A60, LS_previous!$B$4:$AY$138,LS_previous!AY$149, FALSE))/2)</f>
        <v>-63.060503195622573</v>
      </c>
      <c r="AJ60" s="384">
        <f t="array" ref="AJ60">INDEX(Demand_previous!$D$4:$AY$138, MATCH('Staging Table'!$A60, Demand_previous!$B$4:$B$138, 0), MATCH(AJ$4&amp;AJ$5,Demand_previous!$D$2:$AY$2&amp;Demand_previous!$D$3:$AY$3, 0))/1000</f>
        <v>0</v>
      </c>
      <c r="AK60" s="384">
        <f t="array" ref="AK60">INDEX(Demand_previous!$D$4:$AY$138, MATCH('Staging Table'!$A60, Demand_previous!$B$4:$B$138, 0), MATCH(AK$4&amp;AK$5,Demand_previous!$D$2:$AY$2&amp;Demand_previous!$D$3:$AY$3, 0))/1000</f>
        <v>0</v>
      </c>
      <c r="AL60" s="384">
        <f t="array" ref="AL60">INDEX(Demand_previous!$D$4:$AY$138, MATCH('Staging Table'!$A60, Demand_previous!$B$4:$B$138, 0), MATCH(AL$4&amp;AL$5,Demand_previous!$D$2:$AY$2&amp;Demand_previous!$D$3:$AY$3, 0))/1000</f>
        <v>0.70891346153846135</v>
      </c>
      <c r="AM60" s="384">
        <f t="array" ref="AM60">INDEX(Demand_previous!$D$4:$AY$138, MATCH('Staging Table'!$A60, Demand_previous!$B$4:$B$138, 0), MATCH(AM$4&amp;AM$5,Demand_previous!$D$2:$AY$2&amp;Demand_previous!$D$3:$AY$3, 0))/1000</f>
        <v>0.51662249999999943</v>
      </c>
      <c r="AN60" s="384">
        <f t="array" ref="AN60">INDEX(Demand_previous!$D$4:$AY$138, MATCH('Staging Table'!$A60, Demand_previous!$B$4:$B$138, 0), MATCH(AN$4&amp;AN$5,Demand_previous!$D$2:$AY$2&amp;Demand_previous!$D$3:$AY$3, 0))/1000</f>
        <v>0.53965000000000052</v>
      </c>
      <c r="AO60" s="384">
        <f t="array" ref="AO60">INDEX(Demand_previous!$D$4:$AY$138, MATCH('Staging Table'!$A60, Demand_previous!$B$4:$B$138, 0), MATCH(AO$4&amp;AO$5,Demand_previous!$D$2:$AY$2&amp;Demand_previous!$D$3:$AY$3, 0))/1000</f>
        <v>0.36313657407407451</v>
      </c>
      <c r="AP60" s="384">
        <f t="array" ref="AP60">INDEX(Demand_previous!$D$4:$AY$138, MATCH('Staging Table'!$A60, Demand_previous!$B$4:$B$138, 0), MATCH(AP$4&amp;AP$5,Demand_previous!$D$2:$AY$2&amp;Demand_previous!$D$3:$AY$3, 0))/1000</f>
        <v>0.23674038461538471</v>
      </c>
      <c r="AQ60" s="384">
        <f t="array" ref="AQ60">INDEX(Demand_previous!$D$4:$AY$138, MATCH('Staging Table'!$A60, Demand_previous!$B$4:$B$138, 0), MATCH(AQ$4&amp;AQ$5,Demand_previous!$D$2:$AY$2&amp;Demand_previous!$D$3:$AY$3, 0))/1000</f>
        <v>6.8060000000000065E-2</v>
      </c>
      <c r="AR60" s="384">
        <f t="array" ref="AR60">INDEX(Demand_previous!$D$4:$AY$138, MATCH('Staging Table'!$A60, Demand_previous!$B$4:$B$138, 0), MATCH(AR$4&amp;AR$5,Demand_previous!$D$2:$AY$2&amp;Demand_previous!$D$3:$AY$3, 0))/1000</f>
        <v>0.12077644230769241</v>
      </c>
      <c r="AS60" s="384">
        <f t="array" ref="AS60">INDEX(Demand_previous!$D$4:$AY$138, MATCH('Staging Table'!$A60, Demand_previous!$B$4:$B$138, 0), MATCH(AS$4&amp;AS$5,Demand_previous!$D$2:$AY$2&amp;Demand_previous!$D$3:$AY$3, 0))/1000</f>
        <v>0.1452199999999999</v>
      </c>
      <c r="AT60" s="384">
        <f t="array" ref="AT60">INDEX(Demand_previous!$D$4:$AY$138, MATCH('Staging Table'!$A60, Demand_previous!$B$4:$B$138, 0), MATCH(AT$4&amp;AT$5,Demand_previous!$D$2:$AY$2&amp;Demand_previous!$D$3:$AY$3, 0))/1000</f>
        <v>0.12726157407407401</v>
      </c>
      <c r="AU60" s="384">
        <f t="array" ref="AU60">INDEX(Demand_previous!$D$4:$AY$138, MATCH('Staging Table'!$A60, Demand_previous!$B$4:$B$138, 0), MATCH(AU$4&amp;AU$5,Demand_previous!$D$2:$AY$2&amp;Demand_previous!$D$3:$AY$3, 0))/1000</f>
        <v>0</v>
      </c>
      <c r="AV60" s="384">
        <f>IF($D60=0,IF(C60=0, MAX(AY60 - (VLOOKUP($A60,TOCA_previous!$A$2:$AI$137,MATCH("RHWM 2016",TOCA_previous!$A$2:$AI$2,0),FALSE)*$F$2*TOCA_previous!C57),0),0), 0)</f>
        <v>0</v>
      </c>
      <c r="AW60" s="427">
        <f>VLOOKUP($A60,REP_previous!$A$1:$D$135,MATCH("FY "&amp;$F$1&amp; " Total Refund",REP_previous!$A$1:$D$1,0),0)</f>
        <v>35741.883458885539</v>
      </c>
      <c r="AX60" s="398">
        <f>MIN(VLOOKUP($A60,TOCA_previous!$A$2:$AI$137,MATCH("TRL - NLSL - Exisiting Resource "&amp;$F$1,TOCA_previous!$A$2:$AI$2,0),FALSE)*$F$2,(VLOOKUP($A60,TOCA_previous!$A$2:$AI$137,MATCH("RHWM 2016",TOCA_previous!$A$2:$AI$2,0),FALSE)*$F$2))</f>
        <v>24068.160000000003</v>
      </c>
      <c r="AY60" s="384">
        <f>SUM(L60:AI60)+(F60*RT1SC!$C$3*$F$2)</f>
        <v>21145.339056655343</v>
      </c>
      <c r="AZ60" s="398">
        <f>VLOOKUP($A60,TOCA_previous!$A$2:$AI$137,MATCH("Above RHWM Not Served with LS "&amp;$F$1,TOCA_previous!$A$2:$AI$2,0),FALSE)*$F$2</f>
        <v>0</v>
      </c>
      <c r="BA60" s="206">
        <f t="shared" si="3"/>
        <v>-2922.8209433446609</v>
      </c>
      <c r="BB60" s="399">
        <f>(VLOOKUP($A60,TOCA_previous!$A$2:$AI$137,MATCH("RHWM 2016",TOCA_previous!$A$2:$AI$2,0),FALSE)*$F$2) - $AX60</f>
        <v>210.81599999999526</v>
      </c>
      <c r="BC60" s="206">
        <f t="shared" si="4"/>
        <v>0</v>
      </c>
      <c r="BD60" s="400">
        <f t="shared" si="5"/>
        <v>2922.8209433446609</v>
      </c>
      <c r="BE60" s="392">
        <f t="shared" si="6"/>
        <v>0</v>
      </c>
      <c r="BF60" s="399">
        <f t="shared" si="7"/>
        <v>2922.8209433446609</v>
      </c>
      <c r="BG60" s="206">
        <f>VLOOKUP($A60,TOCA_current!$A$2:$AI$137,MATCH(BG$4,TOCA_current!$A$2:$AI$2,0),FALSE)</f>
        <v>3.7970000000000001E-4</v>
      </c>
      <c r="BH60" s="206">
        <f>VLOOKUP($A60,TOCA_current!$A$2:$AI$137,MATCH(BH$4,TOCA_current!$A$2:$AI$2,0),FALSE)</f>
        <v>3.7970000000000001E-4</v>
      </c>
      <c r="BI60" s="391">
        <f t="shared" si="8"/>
        <v>0</v>
      </c>
      <c r="BJ60" s="206">
        <f>VLOOKUP($A60,TOCA_current!A56:BG191,MATCH(BJ$4,TOCA_current!$A$2:$BG$2,0),FALSE)</f>
        <v>0</v>
      </c>
      <c r="BK60" s="206">
        <f t="shared" si="9"/>
        <v>0</v>
      </c>
      <c r="BL60" s="206">
        <f t="shared" si="10"/>
        <v>0</v>
      </c>
      <c r="BM60" s="381">
        <f>VLOOKUP($A60,IRD!$A$4:$G$139, 7, FALSE)</f>
        <v>0</v>
      </c>
      <c r="BN60" s="382">
        <f t="array" ref="BN60">IF($BI60=0, INDEX(LS_current!$D$4:$AY$139, MATCH('Staging Table'!$A60, LS_current!$B$4:$B$139, 0), MATCH(BN$4&amp;BN$5, LS_current!$D$2:$AY$2&amp;LS_current!$D$3:$AY$3, 0)),SUM(VLOOKUP($A60, LS_current!$B$4:$AY$139, LS_current!D$149, FALSE), VLOOKUP($A60, LS_current!$B$4:$AY$139,LS_current!D$149, FALSE))/2)</f>
        <v>-345.34487094932604</v>
      </c>
      <c r="BO60" s="382">
        <f t="array" ref="BO60">IF($BI60=0, INDEX(LS_current!$D$4:$AY$139, MATCH('Staging Table'!$A60, LS_current!$B$4:$B$139, 0), MATCH(BO$4&amp;BO$5, LS_current!$D$2:$AY$2&amp;LS_current!$D$3:$AY$3, 0)),SUM(VLOOKUP($A60, LS_current!$B$4:$AY$139, LS_current!E$149, FALSE), VLOOKUP($A60, LS_current!$B$4:$AY$139,LS_current!E$149, FALSE))/2)</f>
        <v>-9.0588274299672094</v>
      </c>
      <c r="BP60" s="382">
        <f t="array" ref="BP60">IF($BI60=0, INDEX(LS_current!$D$4:$AY$139, MATCH('Staging Table'!$A60, LS_current!$B$4:$B$139, 0), MATCH(BP$4&amp;BP$5, LS_current!$D$2:$AY$2&amp;LS_current!$D$3:$AY$3, 0)),SUM(VLOOKUP($A60, LS_current!$B$4:$AY$139, LS_current!F$149, FALSE), VLOOKUP($A60, LS_current!$B$4:$AY$139,LS_current!F$149, FALSE))/2)</f>
        <v>-337.48258333670628</v>
      </c>
      <c r="BQ60" s="382">
        <f t="array" ref="BQ60">IF($BI60=0, INDEX(LS_current!$D$4:$AY$139, MATCH('Staging Table'!$A60, LS_current!$B$4:$B$139, 0), MATCH(BQ$4&amp;BQ$5, LS_current!$D$2:$AY$2&amp;LS_current!$D$3:$AY$3, 0)),SUM(VLOOKUP($A60, LS_current!$B$4:$AY$139, LS_current!G$149, FALSE), VLOOKUP($A60, LS_current!$B$4:$AY$139,LS_current!G$149, FALSE))/2)</f>
        <v>40.556198039983656</v>
      </c>
      <c r="BR60" s="382">
        <f t="array" ref="BR60">IF($BI60=0, INDEX(LS_current!$D$4:$AY$139, MATCH('Staging Table'!$A60, LS_current!$B$4:$B$139, 0), MATCH(BR$4&amp;BR$5, LS_current!$D$2:$AY$2&amp;LS_current!$D$3:$AY$3, 0)),SUM(VLOOKUP($A60, LS_current!$B$4:$AY$139, LS_current!H$149, FALSE), VLOOKUP($A60, LS_current!$B$4:$AY$139,LS_current!H$149, FALSE))/2)</f>
        <v>11.081536552635043</v>
      </c>
      <c r="BS60" s="382">
        <f t="array" ref="BS60">IF($BI60=0, INDEX(LS_current!$D$4:$AY$139, MATCH('Staging Table'!$A60, LS_current!$B$4:$B$139, 0), MATCH(BS$4&amp;BS$5, LS_current!$D$2:$AY$2&amp;LS_current!$D$3:$AY$3, 0)),SUM(VLOOKUP($A60, LS_current!$B$4:$AY$139, LS_current!I$149, FALSE), VLOOKUP($A60, LS_current!$B$4:$AY$139,LS_current!I$149, FALSE))/2)</f>
        <v>361.0790027871908</v>
      </c>
      <c r="BT60" s="382">
        <f t="array" ref="BT60">IF($BI60=0, INDEX(LS_current!$D$4:$AY$139, MATCH('Staging Table'!$A60, LS_current!$B$4:$B$139, 0), MATCH(BT$4&amp;BT$5, LS_current!$D$2:$AY$2&amp;LS_current!$D$3:$AY$3, 0)),SUM(VLOOKUP($A60, LS_current!$B$4:$AY$139, LS_current!J$149, FALSE), VLOOKUP($A60, LS_current!$B$4:$AY$139,LS_current!J$149, FALSE))/2)</f>
        <v>260.59504612531441</v>
      </c>
      <c r="BU60" s="382">
        <f t="array" ref="BU60">IF($BI60=0, INDEX(LS_current!$D$4:$AY$139, MATCH('Staging Table'!$A60, LS_current!$B$4:$B$139, 0), MATCH(BU$4&amp;BU$5, LS_current!$D$2:$AY$2&amp;LS_current!$D$3:$AY$3, 0)),SUM(VLOOKUP($A60, LS_current!$B$4:$AY$139, LS_current!K$149, FALSE), VLOOKUP($A60, LS_current!$B$4:$AY$139,LS_current!K$149, FALSE))/2)</f>
        <v>399.55022491843363</v>
      </c>
      <c r="BV60" s="382">
        <f t="array" ref="BV60">IF($BI60=0, INDEX(LS_current!$D$4:$AY$139, MATCH('Staging Table'!$A60, LS_current!$B$4:$B$139, 0), MATCH(BV$4&amp;BV$5, LS_current!$D$2:$AY$2&amp;LS_current!$D$3:$AY$3, 0)),SUM(VLOOKUP($A60, LS_current!$B$4:$AY$139, LS_current!L$149, FALSE), VLOOKUP($A60, LS_current!$B$4:$AY$139,LS_current!L$149, FALSE))/2)</f>
        <v>182.65729041136376</v>
      </c>
      <c r="BW60" s="382">
        <f t="array" ref="BW60">IF($BI60=0, INDEX(LS_current!$D$4:$AY$139, MATCH('Staging Table'!$A60, LS_current!$B$4:$B$139, 0), MATCH(BW$4&amp;BW$5, LS_current!$D$2:$AY$2&amp;LS_current!$D$3:$AY$3, 0)),SUM(VLOOKUP($A60, LS_current!$B$4:$AY$139, LS_current!M$149, FALSE), VLOOKUP($A60, LS_current!$B$4:$AY$139,LS_current!M$149, FALSE))/2)</f>
        <v>336.84006117297747</v>
      </c>
      <c r="BX60" s="382">
        <f t="array" ref="BX60">IF($BI60=0, INDEX(LS_current!$D$4:$AY$139, MATCH('Staging Table'!$A60, LS_current!$B$4:$B$139, 0), MATCH(BX$4&amp;BX$5, LS_current!$D$2:$AY$2&amp;LS_current!$D$3:$AY$3, 0)),SUM(VLOOKUP($A60, LS_current!$B$4:$AY$139, LS_current!N$149, FALSE), VLOOKUP($A60, LS_current!$B$4:$AY$139,LS_current!N$149, FALSE))/2)</f>
        <v>-137.03460180874356</v>
      </c>
      <c r="BY60" s="382">
        <f t="array" ref="BY60">IF($BI60=0, INDEX(LS_current!$D$4:$AY$139, MATCH('Staging Table'!$A60, LS_current!$B$4:$B$139, 0), MATCH(BY$4&amp;BY$5, LS_current!$D$2:$AY$2&amp;LS_current!$D$3:$AY$3, 0)),SUM(VLOOKUP($A60, LS_current!$B$4:$AY$139, LS_current!O$149, FALSE), VLOOKUP($A60, LS_current!$B$4:$AY$139,LS_current!O$149, FALSE))/2)</f>
        <v>96.132353085487694</v>
      </c>
      <c r="BZ60" s="382">
        <f t="array" ref="BZ60">IF($BI60=0, INDEX(LS_current!$D$4:$AY$139, MATCH('Staging Table'!$A60, LS_current!$B$4:$B$139, 0), MATCH(BZ$4&amp;BZ$5, LS_current!$D$2:$AY$2&amp;LS_current!$D$3:$AY$3, 0)),SUM(VLOOKUP($A60, LS_current!$B$4:$AY$139, LS_current!P$149, FALSE), VLOOKUP($A60, LS_current!$B$4:$AY$139,LS_current!P$149, FALSE))/2)</f>
        <v>-258.5641504870199</v>
      </c>
      <c r="CA60" s="382">
        <f t="array" ref="CA60">IF($BI60=0, INDEX(LS_current!$D$4:$AY$139, MATCH('Staging Table'!$A60, LS_current!$B$4:$B$139, 0), MATCH(CA$4&amp;CA$5, LS_current!$D$2:$AY$2&amp;LS_current!$D$3:$AY$3, 0)),SUM(VLOOKUP($A60, LS_current!$B$4:$AY$139, LS_current!Q$149, FALSE), VLOOKUP($A60, LS_current!$B$4:$AY$139,LS_current!Q$149, FALSE))/2)</f>
        <v>68.99048142348704</v>
      </c>
      <c r="CB60" s="382">
        <f t="array" ref="CB60">IF($BI60=0, INDEX(LS_current!$D$4:$AY$139, MATCH('Staging Table'!$A60, LS_current!$B$4:$B$139, 0), MATCH(CB$4&amp;CB$5, LS_current!$D$2:$AY$2&amp;LS_current!$D$3:$AY$3, 0)),SUM(VLOOKUP($A60, LS_current!$B$4:$AY$139, LS_current!R$149, FALSE), VLOOKUP($A60, LS_current!$B$4:$AY$139,LS_current!R$149, FALSE))/2)</f>
        <v>-757.08016675027761</v>
      </c>
      <c r="CC60" s="382">
        <f t="array" ref="CC60">IF($BI60=0, INDEX(LS_current!$D$4:$AY$139, MATCH('Staging Table'!$A60, LS_current!$B$4:$B$139, 0), MATCH(CC$4&amp;CC$5, LS_current!$D$2:$AY$2&amp;LS_current!$D$3:$AY$3, 0)),SUM(VLOOKUP($A60, LS_current!$B$4:$AY$139, LS_current!S$149, FALSE), VLOOKUP($A60, LS_current!$B$4:$AY$139,LS_current!S$149, FALSE))/2)</f>
        <v>-284.45914366125396</v>
      </c>
      <c r="CD60" s="382">
        <f t="array" ref="CD60">IF($BI60=0, INDEX(LS_current!$D$4:$AY$139, MATCH('Staging Table'!$A60, LS_current!$B$4:$B$139, 0), MATCH(CD$4&amp;CD$5, LS_current!$D$2:$AY$2&amp;LS_current!$D$3:$AY$3, 0)),SUM(VLOOKUP($A60, LS_current!$B$4:$AY$139, LS_current!T$149, FALSE), VLOOKUP($A60, LS_current!$B$4:$AY$139,LS_current!T$149, FALSE))/2)</f>
        <v>-440.40934874501522</v>
      </c>
      <c r="CE60" s="382">
        <f t="array" ref="CE60">IF($BI60=0, INDEX(LS_current!$D$4:$AY$139, MATCH('Staging Table'!$A60, LS_current!$B$4:$B$139, 0), MATCH(CE$4&amp;CE$5, LS_current!$D$2:$AY$2&amp;LS_current!$D$3:$AY$3, 0)),SUM(VLOOKUP($A60, LS_current!$B$4:$AY$139, LS_current!U$149, FALSE), VLOOKUP($A60, LS_current!$B$4:$AY$139,LS_current!U$149, FALSE))/2)</f>
        <v>-130.31863248185277</v>
      </c>
      <c r="CF60" s="382">
        <f t="array" ref="CF60">IF($BI60=0, INDEX(LS_current!$D$4:$AY$139, MATCH('Staging Table'!$A60, LS_current!$B$4:$B$139, 0), MATCH(CF$4&amp;CF$5, LS_current!$D$2:$AY$2&amp;LS_current!$D$3:$AY$3, 0)),SUM(VLOOKUP($A60, LS_current!$B$4:$AY$139, LS_current!V$149, FALSE), VLOOKUP($A60, LS_current!$B$4:$AY$139,LS_current!V$149, FALSE))/2)</f>
        <v>-260.18950031344502</v>
      </c>
      <c r="CG60" s="382">
        <f t="array" ref="CG60">IF($BI60=0, INDEX(LS_current!$D$4:$AY$139, MATCH('Staging Table'!$A60, LS_current!$B$4:$B$139, 0), MATCH(CG$4&amp;CG$5, LS_current!$D$2:$AY$2&amp;LS_current!$D$3:$AY$3, 0)),SUM(VLOOKUP($A60, LS_current!$B$4:$AY$139, LS_current!W$149, FALSE), VLOOKUP($A60, LS_current!$B$4:$AY$139,LS_current!W$149, FALSE))/2)</f>
        <v>44.637550008509379</v>
      </c>
      <c r="CH60" s="382">
        <f t="array" ref="CH60">IF($BI60=0, INDEX(LS_current!$D$4:$AY$139, MATCH('Staging Table'!$A60, LS_current!$B$4:$B$139, 0), MATCH(CH$4&amp;CH$5, LS_current!$D$2:$AY$2&amp;LS_current!$D$3:$AY$3, 0)),SUM(VLOOKUP($A60, LS_current!$B$4:$AY$139, LS_current!X$149, FALSE), VLOOKUP($A60, LS_current!$B$4:$AY$139,LS_current!X$149, FALSE))/2)</f>
        <v>-343.3118163154968</v>
      </c>
      <c r="CI60" s="382">
        <f t="array" ref="CI60">IF($BI60=0, INDEX(LS_current!$D$4:$AY$139, MATCH('Staging Table'!$A60, LS_current!$B$4:$B$139, 0), MATCH(CI$4&amp;CI$5, LS_current!$D$2:$AY$2&amp;LS_current!$D$3:$AY$3, 0)),SUM(VLOOKUP($A60, LS_current!$B$4:$AY$139, LS_current!Y$149, FALSE), VLOOKUP($A60, LS_current!$B$4:$AY$139,LS_current!Y$149, FALSE))/2)</f>
        <v>-56.731179164256446</v>
      </c>
      <c r="CJ60" s="382">
        <f t="array" ref="CJ60">IF($BI60=0, INDEX(LS_current!$D$4:$AY$139, MATCH('Staging Table'!$A60, LS_current!$B$4:$B$139, 0), MATCH(CJ$4&amp;CJ$5, LS_current!$D$2:$AY$2&amp;LS_current!$D$3:$AY$3, 0)),SUM(VLOOKUP($A60, LS_current!$B$4:$AY$139, LS_current!Z$149, FALSE), VLOOKUP($A60, LS_current!$B$4:$AY$139,LS_current!Z$149, FALSE))/2)</f>
        <v>-356.74241120191766</v>
      </c>
      <c r="CK60" s="382">
        <f t="array" ref="CK60">IF($BI60=0, INDEX(LS_current!$D$4:$AY$139, MATCH('Staging Table'!$A60, LS_current!$B$4:$B$139, 0), MATCH(CK$4&amp;CK$5, LS_current!$D$2:$AY$2&amp;LS_current!$D$3:$AY$3, 0)),SUM(VLOOKUP($A60, LS_current!$B$4:$AY$139, LS_current!AA$149, FALSE), VLOOKUP($A60, LS_current!$B$4:$AY$139,LS_current!AA$149, FALSE))/2)</f>
        <v>-39.805484386712465</v>
      </c>
      <c r="CL60" s="384">
        <f t="array" ref="CL60">INDEX(Demand_current!$D$4:$AY$138, MATCH($A60, Demand_current!$B$4:$B$138, 0), MATCH(CL$4&amp;CL$5,Demand_current!$D$2:$AY$2&amp;Demand_current!$D$3:$AY$3, 0))/1000</f>
        <v>0</v>
      </c>
      <c r="CM60" s="384">
        <f t="array" ref="CM60">INDEX(Demand_current!$D$4:$AY$138, MATCH($A60, Demand_current!$B$4:$B$138, 0), MATCH(CM$4&amp;CM$5,Demand_current!$D$2:$AY$2&amp;Demand_current!$D$3:$AY$3, 0))/1000</f>
        <v>4.3495000000000061E-2</v>
      </c>
      <c r="CN60" s="384">
        <f t="array" ref="CN60">INDEX(Demand_current!$D$4:$AY$138, MATCH($A60, Demand_current!$B$4:$B$138, 0), MATCH(CN$4&amp;CN$5,Demand_current!$D$2:$AY$2&amp;Demand_current!$D$3:$AY$3, 0))/1000</f>
        <v>0.57762999999999987</v>
      </c>
      <c r="CO60" s="384">
        <f t="array" ref="CO60">INDEX(Demand_current!$D$4:$AY$138, MATCH($A60, Demand_current!$B$4:$B$138, 0), MATCH(CO$4&amp;CO$5,Demand_current!$D$2:$AY$2&amp;Demand_current!$D$3:$AY$3, 0))/1000</f>
        <v>0.65202163461538409</v>
      </c>
      <c r="CP60" s="384">
        <f t="array" ref="CP60">INDEX(Demand_current!$D$4:$AY$138, MATCH($A60, Demand_current!$B$4:$B$138, 0), MATCH(CP$4&amp;CP$5,Demand_current!$D$2:$AY$2&amp;Demand_current!$D$3:$AY$3, 0))/1000</f>
        <v>0.42042708333333378</v>
      </c>
      <c r="CQ60" s="384">
        <f t="array" ref="CQ60">INDEX(Demand_current!$D$4:$AY$138, MATCH($A60, Demand_current!$B$4:$B$138, 0), MATCH(CQ$4&amp;CQ$5,Demand_current!$D$2:$AY$2&amp;Demand_current!$D$3:$AY$3, 0))/1000</f>
        <v>0.36313657407407451</v>
      </c>
      <c r="CR60" s="384">
        <f t="array" ref="CR60">INDEX(Demand_current!$D$4:$AY$138, MATCH($A60, Demand_current!$B$4:$B$138, 0), MATCH(CR$4&amp;CR$5,Demand_current!$D$2:$AY$2&amp;Demand_current!$D$3:$AY$3, 0))/1000</f>
        <v>0.15444999999999987</v>
      </c>
      <c r="CS60" s="384">
        <f t="array" ref="CS60">INDEX(Demand_current!$D$4:$AY$138, MATCH($A60, Demand_current!$B$4:$B$138, 0), MATCH(CS$4&amp;CS$5,Demand_current!$D$2:$AY$2&amp;Demand_current!$D$3:$AY$3, 0))/1000</f>
        <v>0.15109615384615355</v>
      </c>
      <c r="CT60" s="384">
        <f t="array" ref="CT60">INDEX(Demand_current!$D$4:$AY$138, MATCH($A60, Demand_current!$B$4:$B$138, 0), MATCH(CT$4&amp;CT$5,Demand_current!$D$2:$AY$2&amp;Demand_current!$D$3:$AY$3, 0))/1000</f>
        <v>0.12077644230769241</v>
      </c>
      <c r="CU60" s="384">
        <f t="array" ref="CU60">INDEX(Demand_current!$D$4:$AY$138, MATCH($A60, Demand_current!$B$4:$B$138, 0), MATCH(CU$4&amp;CU$5,Demand_current!$D$2:$AY$2&amp;Demand_current!$D$3:$AY$3, 0))/1000</f>
        <v>0.1452199999999999</v>
      </c>
      <c r="CV60" s="384">
        <f t="array" ref="CV60">INDEX(Demand_current!$D$4:$AY$138, MATCH($A60, Demand_current!$B$4:$B$138, 0), MATCH(CV$4&amp;CV$5,Demand_current!$D$2:$AY$2&amp;Demand_current!$D$3:$AY$3, 0))/1000</f>
        <v>0.12726157407407401</v>
      </c>
      <c r="CW60" s="384">
        <f t="array" ref="CW60">INDEX(Demand_current!$D$4:$AY$138, MATCH($A60, Demand_current!$B$4:$B$138, 0), MATCH(CW$4&amp;CW$5,Demand_current!$D$2:$AY$2&amp;Demand_current!$D$3:$AY$3, 0))/1000</f>
        <v>0</v>
      </c>
      <c r="CX60" s="384">
        <f>IF(D60=0,IF(C60=0,MAX(0,DA60 - (VLOOKUP($A60,TOCA_current!$A$2:$AI$137,MATCH("RHWM 2018",TOCA_current!$A$2:$AI$2,0),FALSE)*$BH$2)), 0),0)</f>
        <v>0</v>
      </c>
      <c r="CY60" s="427">
        <f>VLOOKUP($A60,REP_current!$A$1:$D$135,MATCH("FY "&amp;$BH$1&amp; " Total Refund",REP_current!$A$1:$D$1,0),0)</f>
        <v>35476.457803994388</v>
      </c>
      <c r="CZ60" s="432">
        <f>MIN(VLOOKUP($A60,TOCA_current!$A$2:$AI$137,MATCH("TRL - NLSL - Existing Resource "&amp;$BH$1,TOCA_current!$A$2:$AI$2,0),FALSE)*$BH$2, VLOOKUP($A60,TOCA_current!$A$2:$AI$137,MATCH("RHWM 2018",TOCA_current!$A$2:$AI$2,0),FALSE)*$BH$2)</f>
        <v>23100.12</v>
      </c>
      <c r="DA60" s="397">
        <f>SUM(BN60:CK60)+(BH60*RT1SC!$C$4*$BH$2)</f>
        <v>21145.339337005389</v>
      </c>
      <c r="DB60" s="432">
        <f>VLOOKUP($A60,TOCA_current!$A$2:$AI$137,MATCH("Above RHWM Not Served with LS "&amp;$BH$1,TOCA_current!$A$2:$AI$2,0),FALSE)*$BH$2</f>
        <v>0</v>
      </c>
      <c r="DC60" s="401">
        <f t="shared" si="11"/>
        <v>-1954.7806629946099</v>
      </c>
      <c r="DD60" s="397">
        <f>(VLOOKUP($A60,TOCA_current!$A$2:$AI$137,MATCH("RHWM 2018",TOCA_current!$A$2:$AI$2,0),FALSE)*$BH$2) - $CZ60</f>
        <v>963.59999999999854</v>
      </c>
      <c r="DE60" s="397">
        <f t="shared" si="12"/>
        <v>0</v>
      </c>
      <c r="DF60" s="397">
        <f t="shared" si="13"/>
        <v>1954.7806629946099</v>
      </c>
      <c r="DG60" s="397">
        <f t="shared" si="14"/>
        <v>0</v>
      </c>
      <c r="DH60" s="397">
        <f t="shared" si="15"/>
        <v>1954.7806629946099</v>
      </c>
    </row>
    <row r="61" spans="1:112">
      <c r="A61" s="274">
        <v>10170</v>
      </c>
      <c r="B61" s="275" t="s">
        <v>62</v>
      </c>
      <c r="C61" s="397">
        <v>0</v>
      </c>
      <c r="D61" s="397">
        <v>1</v>
      </c>
      <c r="E61" s="205">
        <f>VLOOKUP($A61,TOCA_previous!$A$2:$AI$137,MATCH(E$4,TOCA_previous!$A$2:$AI$2,0),FALSE)</f>
        <v>3.3343900000000003E-2</v>
      </c>
      <c r="F61" s="206">
        <f>VLOOKUP($A61,TOCA_previous!$A$2:$AI$137,MATCH(F$4,TOCA_previous!$A$2:$AI$2,0),FALSE)</f>
        <v>1.5385500000000003E-2</v>
      </c>
      <c r="G61" s="206">
        <f t="shared" si="0"/>
        <v>1.7958399999999999E-2</v>
      </c>
      <c r="H61" s="206">
        <f>VLOOKUP($A61,TOCA_previous!$A$2:$AI$137,MATCH(H$4,TOCA_previous!$A$2:$AI$2,0),FALSE)</f>
        <v>0</v>
      </c>
      <c r="I61" s="206">
        <f t="shared" si="1"/>
        <v>0</v>
      </c>
      <c r="J61" s="206">
        <f t="shared" si="2"/>
        <v>0</v>
      </c>
      <c r="K61" s="381">
        <f>VLOOKUP(A61, IRD!$A$5:$C$139, 3, FALSE)</f>
        <v>0</v>
      </c>
      <c r="L61" s="382">
        <f t="array" ref="L61">IF($G61=0, INDEX(LS_previous!$D$4:$AY$138, MATCH('Staging Table'!$A61, LS_previous!$B$4:$B$138, 0), MATCH(L$4&amp;L$5, LS_previous!$D$2:$AY$2&amp;LS_previous!$D$3:$AY$3, 0)),SUM(VLOOKUP($A61, LS_previous!$B$4:$AY$138, LS_previous!D$149, FALSE), VLOOKUP('Staging Table'!$A61, LS_previous!$B$4:$AY$138,LS_previous!AB$149, FALSE))/2)</f>
        <v>-3259.9745277144684</v>
      </c>
      <c r="M61" s="382">
        <f t="array" ref="M61">IF($G61=0, INDEX(LS_previous!$D$4:$AY$138, MATCH('Staging Table'!$A61, LS_previous!$B$4:$B$138, 0), MATCH(M$4&amp;M$5, LS_previous!$D$2:$AY$2&amp;LS_previous!$D$3:$AY$3, 0)),SUM(VLOOKUP($A61, LS_previous!$B$4:$AY$138, LS_previous!E$149, FALSE), VLOOKUP('Staging Table'!$A61, LS_previous!$B$4:$AY$138,LS_previous!AC$149, FALSE))/2)</f>
        <v>6405.8227079190219</v>
      </c>
      <c r="N61" s="382">
        <f t="array" ref="N61">IF($G61=0, INDEX(LS_previous!$D$4:$AY$138, MATCH('Staging Table'!$A61, LS_previous!$B$4:$B$138, 0), MATCH(N$4&amp;N$5, LS_previous!$D$2:$AY$2&amp;LS_previous!$D$3:$AY$3, 0)),SUM(VLOOKUP($A61, LS_previous!$B$4:$AY$138, LS_previous!F$149, FALSE), VLOOKUP('Staging Table'!$A61, LS_previous!$B$4:$AY$138,LS_previous!AD$149, FALSE))/2)</f>
        <v>-15897.185867198252</v>
      </c>
      <c r="O61" s="382">
        <f t="array" ref="O61">IF($G61=0, INDEX(LS_previous!$D$4:$AY$138, MATCH('Staging Table'!$A61, LS_previous!$B$4:$B$138, 0), MATCH(O$4&amp;O$5, LS_previous!$D$2:$AY$2&amp;LS_previous!$D$3:$AY$3, 0)),SUM(VLOOKUP($A61, LS_previous!$B$4:$AY$138, LS_previous!G$149, FALSE), VLOOKUP('Staging Table'!$A61, LS_previous!$B$4:$AY$138,LS_previous!AE$149, FALSE))/2)</f>
        <v>-193.21619080175151</v>
      </c>
      <c r="P61" s="382">
        <f t="array" ref="P61">IF($G61=0, INDEX(LS_previous!$D$4:$AY$138, MATCH('Staging Table'!$A61, LS_previous!$B$4:$B$138, 0), MATCH(P$4&amp;P$5, LS_previous!$D$2:$AY$2&amp;LS_previous!$D$3:$AY$3, 0)),SUM(VLOOKUP($A61, LS_previous!$B$4:$AY$138, LS_previous!H$149, FALSE), VLOOKUP('Staging Table'!$A61, LS_previous!$B$4:$AY$138,LS_previous!AF$149, FALSE))/2)</f>
        <v>-959.82884019583798</v>
      </c>
      <c r="Q61" s="382">
        <f t="array" ref="Q61">IF($G61=0, INDEX(LS_previous!$D$4:$AY$138, MATCH('Staging Table'!$A61, LS_previous!$B$4:$B$138, 0), MATCH(Q$4&amp;Q$5, LS_previous!$D$2:$AY$2&amp;LS_previous!$D$3:$AY$3, 0)),SUM(VLOOKUP($A61, LS_previous!$B$4:$AY$138, LS_previous!I$149, FALSE), VLOOKUP('Staging Table'!$A61, LS_previous!$B$4:$AY$138,LS_previous!AG$149, FALSE))/2)</f>
        <v>8412.3547002789965</v>
      </c>
      <c r="R61" s="382">
        <f t="array" ref="R61">IF($G61=0, INDEX(LS_previous!$D$4:$AY$138, MATCH('Staging Table'!$A61, LS_previous!$B$4:$B$138, 0), MATCH(R$4&amp;R$5, LS_previous!$D$2:$AY$2&amp;LS_previous!$D$3:$AY$3, 0)),SUM(VLOOKUP($A61, LS_previous!$B$4:$AY$138, LS_previous!J$149, FALSE), VLOOKUP('Staging Table'!$A61, LS_previous!$B$4:$AY$138,LS_previous!AH$149, FALSE))/2)</f>
        <v>7380.9110580423294</v>
      </c>
      <c r="S61" s="382">
        <f t="array" ref="S61">IF($G61=0, INDEX(LS_previous!$D$4:$AY$138, MATCH('Staging Table'!$A61, LS_previous!$B$4:$B$138, 0), MATCH(S$4&amp;S$5, LS_previous!$D$2:$AY$2&amp;LS_previous!$D$3:$AY$3, 0)),SUM(VLOOKUP($A61, LS_previous!$B$4:$AY$138, LS_previous!K$149, FALSE), VLOOKUP('Staging Table'!$A61, LS_previous!$B$4:$AY$138,LS_previous!AI$149, FALSE))/2)</f>
        <v>17475.908003923658</v>
      </c>
      <c r="T61" s="382">
        <f t="array" ref="T61">IF($G61=0, INDEX(LS_previous!$D$4:$AY$138, MATCH('Staging Table'!$A61, LS_previous!$B$4:$B$138, 0), MATCH(T$4&amp;T$5, LS_previous!$D$2:$AY$2&amp;LS_previous!$D$3:$AY$3, 0)),SUM(VLOOKUP($A61, LS_previous!$B$4:$AY$138, LS_previous!L$149, FALSE), VLOOKUP('Staging Table'!$A61, LS_previous!$B$4:$AY$138,LS_previous!AJ$149, FALSE))/2)</f>
        <v>9126.5947732547502</v>
      </c>
      <c r="U61" s="382">
        <f t="array" ref="U61">IF($G61=0, INDEX(LS_previous!$D$4:$AY$138, MATCH('Staging Table'!$A61, LS_previous!$B$4:$B$138, 0), MATCH(U$4&amp;U$5, LS_previous!$D$2:$AY$2&amp;LS_previous!$D$3:$AY$3, 0)),SUM(VLOOKUP($A61, LS_previous!$B$4:$AY$138, LS_previous!M$149, FALSE), VLOOKUP('Staging Table'!$A61, LS_previous!$B$4:$AY$138,LS_previous!AK$149, FALSE))/2)</f>
        <v>12899.290855121892</v>
      </c>
      <c r="V61" s="382">
        <f t="array" ref="V61">IF($G61=0, INDEX(LS_previous!$D$4:$AY$138, MATCH('Staging Table'!$A61, LS_previous!$B$4:$B$138, 0), MATCH(V$4&amp;V$5, LS_previous!$D$2:$AY$2&amp;LS_previous!$D$3:$AY$3, 0)),SUM(VLOOKUP($A61, LS_previous!$B$4:$AY$138, LS_previous!N$149, FALSE), VLOOKUP('Staging Table'!$A61, LS_previous!$B$4:$AY$138,LS_previous!AL$149, FALSE))/2)</f>
        <v>1767.4400399713923</v>
      </c>
      <c r="W61" s="382">
        <f t="array" ref="W61">IF($G61=0, INDEX(LS_previous!$D$4:$AY$138, MATCH('Staging Table'!$A61, LS_previous!$B$4:$B$138, 0), MATCH(W$4&amp;W$5, LS_previous!$D$2:$AY$2&amp;LS_previous!$D$3:$AY$3, 0)),SUM(VLOOKUP($A61, LS_previous!$B$4:$AY$138, LS_previous!O$149, FALSE), VLOOKUP('Staging Table'!$A61, LS_previous!$B$4:$AY$138,LS_previous!AM$149, FALSE))/2)</f>
        <v>6802.6486431269859</v>
      </c>
      <c r="X61" s="382">
        <f t="array" ref="X61">IF($G61=0, INDEX(LS_previous!$D$4:$AY$138, MATCH('Staging Table'!$A61, LS_previous!$B$4:$B$138, 0), MATCH(X$4&amp;X$5, LS_previous!$D$2:$AY$2&amp;LS_previous!$D$3:$AY$3, 0)),SUM(VLOOKUP($A61, LS_previous!$B$4:$AY$138, LS_previous!P$149, FALSE), VLOOKUP('Staging Table'!$A61, LS_previous!$B$4:$AY$138,LS_previous!AN$149, FALSE))/2)</f>
        <v>2816.9514966928946</v>
      </c>
      <c r="Y61" s="382">
        <f t="array" ref="Y61">IF($G61=0, INDEX(LS_previous!$D$4:$AY$138, MATCH('Staging Table'!$A61, LS_previous!$B$4:$B$138, 0), MATCH(Y$4&amp;Y$5, LS_previous!$D$2:$AY$2&amp;LS_previous!$D$3:$AY$3, 0)),SUM(VLOOKUP($A61, LS_previous!$B$4:$AY$138, LS_previous!Q$149, FALSE), VLOOKUP('Staging Table'!$A61, LS_previous!$B$4:$AY$138,LS_previous!AO$149, FALSE))/2)</f>
        <v>8566.4445148426312</v>
      </c>
      <c r="Z61" s="382">
        <f t="array" ref="Z61">IF($G61=0, INDEX(LS_previous!$D$4:$AY$138, MATCH('Staging Table'!$A61, LS_previous!$B$4:$B$138, 0), MATCH(Z$4&amp;Z$5, LS_previous!$D$2:$AY$2&amp;LS_previous!$D$3:$AY$3, 0)),SUM(VLOOKUP($A61, LS_previous!$B$4:$AY$138, LS_previous!R$149, FALSE), VLOOKUP('Staging Table'!$A61, LS_previous!$B$4:$AY$138,LS_previous!AP$149, FALSE))/2)</f>
        <v>-32827.542678271871</v>
      </c>
      <c r="AA61" s="382">
        <f t="array" ref="AA61">IF($G61=0, INDEX(LS_previous!$D$4:$AY$138, MATCH('Staging Table'!$A61, LS_previous!$B$4:$B$138, 0), MATCH(AA$4&amp;AA$5, LS_previous!$D$2:$AY$2&amp;LS_previous!$D$3:$AY$3, 0)),SUM(VLOOKUP($A61, LS_previous!$B$4:$AY$138, LS_previous!S$149, FALSE), VLOOKUP('Staging Table'!$A61, LS_previous!$B$4:$AY$138,LS_previous!AQ$149, FALSE))/2)</f>
        <v>-8912.7941618591594</v>
      </c>
      <c r="AB61" s="382">
        <f t="array" ref="AB61">IF($G61=0, INDEX(LS_previous!$D$4:$AY$138, MATCH('Staging Table'!$A61, LS_previous!$B$4:$B$138, 0), MATCH(AB$4&amp;AB$5, LS_previous!$D$2:$AY$2&amp;LS_previous!$D$3:$AY$3, 0)),SUM(VLOOKUP($A61, LS_previous!$B$4:$AY$138, LS_previous!T$149, FALSE), VLOOKUP('Staging Table'!$A61, LS_previous!$B$4:$AY$138,LS_previous!AR$149, FALSE))/2)</f>
        <v>-17877.379761575721</v>
      </c>
      <c r="AC61" s="382">
        <f t="array" ref="AC61">IF($G61=0, INDEX(LS_previous!$D$4:$AY$138, MATCH('Staging Table'!$A61, LS_previous!$B$4:$B$138, 0), MATCH(AC$4&amp;AC$5, LS_previous!$D$2:$AY$2&amp;LS_previous!$D$3:$AY$3, 0)),SUM(VLOOKUP($A61, LS_previous!$B$4:$AY$138, LS_previous!U$149, FALSE), VLOOKUP('Staging Table'!$A61, LS_previous!$B$4:$AY$138,LS_previous!AS$149, FALSE))/2)</f>
        <v>-4067.8839136847218</v>
      </c>
      <c r="AD61" s="382">
        <f t="array" ref="AD61">IF($G61=0, INDEX(LS_previous!$D$4:$AY$138, MATCH('Staging Table'!$A61, LS_previous!$B$4:$B$138, 0), MATCH(AD$4&amp;AD$5, LS_previous!$D$2:$AY$2&amp;LS_previous!$D$3:$AY$3, 0)),SUM(VLOOKUP($A61, LS_previous!$B$4:$AY$138, LS_previous!V$149, FALSE), VLOOKUP('Staging Table'!$A61, LS_previous!$B$4:$AY$138,LS_previous!AT$149, FALSE))/2)</f>
        <v>-8846.5013382165707</v>
      </c>
      <c r="AE61" s="382">
        <f t="array" ref="AE61">IF($G61=0, INDEX(LS_previous!$D$4:$AY$138, MATCH('Staging Table'!$A61, LS_previous!$B$4:$B$138, 0), MATCH(AE$4&amp;AE$5, LS_previous!$D$2:$AY$2&amp;LS_previous!$D$3:$AY$3, 0)),SUM(VLOOKUP($A61, LS_previous!$B$4:$AY$138, LS_previous!W$149, FALSE), VLOOKUP('Staging Table'!$A61, LS_previous!$B$4:$AY$138,LS_previous!AU$149, FALSE))/2)</f>
        <v>8893.7857543158243</v>
      </c>
      <c r="AF61" s="382">
        <f t="array" ref="AF61">IF($G61=0, INDEX(LS_previous!$D$4:$AY$138, MATCH('Staging Table'!$A61, LS_previous!$B$4:$B$138, 0), MATCH(AF$4&amp;AF$5, LS_previous!$D$2:$AY$2&amp;LS_previous!$D$3:$AY$3, 0)),SUM(VLOOKUP($A61, LS_previous!$B$4:$AY$138, LS_previous!X$149, FALSE), VLOOKUP('Staging Table'!$A61, LS_previous!$B$4:$AY$138,LS_previous!AV$149, FALSE))/2)</f>
        <v>-7909.5793717733068</v>
      </c>
      <c r="AG61" s="382">
        <f t="array" ref="AG61">IF($G61=0, INDEX(LS_previous!$D$4:$AY$138, MATCH('Staging Table'!$A61, LS_previous!$B$4:$B$138, 0), MATCH(AG$4&amp;AG$5, LS_previous!$D$2:$AY$2&amp;LS_previous!$D$3:$AY$3, 0)),SUM(VLOOKUP($A61, LS_previous!$B$4:$AY$138, LS_previous!Y$149, FALSE), VLOOKUP('Staging Table'!$A61, LS_previous!$B$4:$AY$138,LS_previous!AW$149, FALSE))/2)</f>
        <v>5906.5886379652129</v>
      </c>
      <c r="AH61" s="382">
        <f t="array" ref="AH61">IF($G61=0, INDEX(LS_previous!$D$4:$AY$138, MATCH('Staging Table'!$A61, LS_previous!$B$4:$B$138, 0), MATCH(AH$4&amp;AH$5, LS_previous!$D$2:$AY$2&amp;LS_previous!$D$3:$AY$3, 0)),SUM(VLOOKUP($A61, LS_previous!$B$4:$AY$138, LS_previous!Z$149, FALSE), VLOOKUP('Staging Table'!$A61, LS_previous!$B$4:$AY$138,LS_previous!AX$149, FALSE))/2)</f>
        <v>-1752.3950951915031</v>
      </c>
      <c r="AI61" s="382">
        <f t="array" ref="AI61">IF($G61=0, INDEX(LS_previous!$D$4:$AY$138, MATCH('Staging Table'!$A61, LS_previous!$B$4:$B$138, 0), MATCH(AI$4&amp;AI$5, LS_previous!$D$2:$AY$2&amp;LS_previous!$D$3:$AY$3, 0)),SUM(VLOOKUP($A61, LS_previous!$B$4:$AY$138, LS_previous!AA$149, FALSE), VLOOKUP('Staging Table'!$A61, LS_previous!$B$4:$AY$138,LS_previous!AY$149, FALSE))/2)</f>
        <v>6048.9970619288761</v>
      </c>
      <c r="AJ61" s="384">
        <f t="array" ref="AJ61">INDEX(Demand_previous!$D$4:$AY$138, MATCH('Staging Table'!$A61, Demand_previous!$B$4:$B$138, 0), MATCH(AJ$4&amp;AJ$5,Demand_previous!$D$2:$AY$2&amp;Demand_previous!$D$3:$AY$3, 0))/1000</f>
        <v>0</v>
      </c>
      <c r="AK61" s="384">
        <f t="array" ref="AK61">INDEX(Demand_previous!$D$4:$AY$138, MATCH('Staging Table'!$A61, Demand_previous!$B$4:$B$138, 0), MATCH(AK$4&amp;AK$5,Demand_previous!$D$2:$AY$2&amp;Demand_previous!$D$3:$AY$3, 0))/1000</f>
        <v>0</v>
      </c>
      <c r="AL61" s="384">
        <f t="array" ref="AL61">INDEX(Demand_previous!$D$4:$AY$138, MATCH('Staging Table'!$A61, Demand_previous!$B$4:$B$138, 0), MATCH(AL$4&amp;AL$5,Demand_previous!$D$2:$AY$2&amp;Demand_previous!$D$3:$AY$3, 0))/1000</f>
        <v>0</v>
      </c>
      <c r="AM61" s="384">
        <f t="array" ref="AM61">INDEX(Demand_previous!$D$4:$AY$138, MATCH('Staging Table'!$A61, Demand_previous!$B$4:$B$138, 0), MATCH(AM$4&amp;AM$5,Demand_previous!$D$2:$AY$2&amp;Demand_previous!$D$3:$AY$3, 0))/1000</f>
        <v>0</v>
      </c>
      <c r="AN61" s="384">
        <f t="array" ref="AN61">INDEX(Demand_previous!$D$4:$AY$138, MATCH('Staging Table'!$A61, Demand_previous!$B$4:$B$138, 0), MATCH(AN$4&amp;AN$5,Demand_previous!$D$2:$AY$2&amp;Demand_previous!$D$3:$AY$3, 0))/1000</f>
        <v>0</v>
      </c>
      <c r="AO61" s="384">
        <f t="array" ref="AO61">INDEX(Demand_previous!$D$4:$AY$138, MATCH('Staging Table'!$A61, Demand_previous!$B$4:$B$138, 0), MATCH(AO$4&amp;AO$5,Demand_previous!$D$2:$AY$2&amp;Demand_previous!$D$3:$AY$3, 0))/1000</f>
        <v>0</v>
      </c>
      <c r="AP61" s="384">
        <f t="array" ref="AP61">INDEX(Demand_previous!$D$4:$AY$138, MATCH('Staging Table'!$A61, Demand_previous!$B$4:$B$138, 0), MATCH(AP$4&amp;AP$5,Demand_previous!$D$2:$AY$2&amp;Demand_previous!$D$3:$AY$3, 0))/1000</f>
        <v>0</v>
      </c>
      <c r="AQ61" s="384">
        <f t="array" ref="AQ61">INDEX(Demand_previous!$D$4:$AY$138, MATCH('Staging Table'!$A61, Demand_previous!$B$4:$B$138, 0), MATCH(AQ$4&amp;AQ$5,Demand_previous!$D$2:$AY$2&amp;Demand_previous!$D$3:$AY$3, 0))/1000</f>
        <v>0</v>
      </c>
      <c r="AR61" s="384">
        <f t="array" ref="AR61">INDEX(Demand_previous!$D$4:$AY$138, MATCH('Staging Table'!$A61, Demand_previous!$B$4:$B$138, 0), MATCH(AR$4&amp;AR$5,Demand_previous!$D$2:$AY$2&amp;Demand_previous!$D$3:$AY$3, 0))/1000</f>
        <v>0</v>
      </c>
      <c r="AS61" s="384">
        <f t="array" ref="AS61">INDEX(Demand_previous!$D$4:$AY$138, MATCH('Staging Table'!$A61, Demand_previous!$B$4:$B$138, 0), MATCH(AS$4&amp;AS$5,Demand_previous!$D$2:$AY$2&amp;Demand_previous!$D$3:$AY$3, 0))/1000</f>
        <v>0</v>
      </c>
      <c r="AT61" s="384">
        <f t="array" ref="AT61">INDEX(Demand_previous!$D$4:$AY$138, MATCH('Staging Table'!$A61, Demand_previous!$B$4:$B$138, 0), MATCH(AT$4&amp;AT$5,Demand_previous!$D$2:$AY$2&amp;Demand_previous!$D$3:$AY$3, 0))/1000</f>
        <v>0</v>
      </c>
      <c r="AU61" s="384">
        <f t="array" ref="AU61">INDEX(Demand_previous!$D$4:$AY$138, MATCH('Staging Table'!$A61, Demand_previous!$B$4:$B$138, 0), MATCH(AU$4&amp;AU$5,Demand_previous!$D$2:$AY$2&amp;Demand_previous!$D$3:$AY$3, 0))/1000</f>
        <v>0</v>
      </c>
      <c r="AV61" s="384">
        <f>IF($D61=0,IF(C61=0, MAX(AY61 - (VLOOKUP($A61,TOCA_previous!$A$2:$AI$137,MATCH("RHWM 2016",TOCA_previous!$A$2:$AI$2,0),FALSE)*$F$2*TOCA_previous!C58),0),0), 0)</f>
        <v>0</v>
      </c>
      <c r="AW61" s="427">
        <f>VLOOKUP($A61,REP_previous!$A$1:$D$135,MATCH("FY "&amp;$F$1&amp; " Total Refund",REP_previous!$A$1:$D$1,0),0)</f>
        <v>2823302.0199414417</v>
      </c>
      <c r="AX61" s="398">
        <f>MIN(VLOOKUP($A61,TOCA_previous!$A$2:$AI$137,MATCH("TRL - NLSL - Exisiting Resource "&amp;$F$1,TOCA_previous!$A$2:$AI$2,0),FALSE)*$F$2,(VLOOKUP($A61,TOCA_previous!$A$2:$AI$137,MATCH("RHWM 2016",TOCA_previous!$A$2:$AI$2,0),FALSE)*$F$2))</f>
        <v>2045292.912</v>
      </c>
      <c r="AY61" s="384">
        <f>SUM(L61:AI61)+(F61*RT1SC!$C$3*$F$2)</f>
        <v>943737.08198662149</v>
      </c>
      <c r="AZ61" s="398">
        <f>VLOOKUP($A61,TOCA_previous!$A$2:$AI$137,MATCH("Above RHWM Not Served with LS "&amp;$F$1,TOCA_previous!$A$2:$AI$2,0),FALSE)*$F$2</f>
        <v>0</v>
      </c>
      <c r="BA61" s="206">
        <f t="shared" si="3"/>
        <v>-1101555.8300133785</v>
      </c>
      <c r="BB61" s="399">
        <f>(VLOOKUP($A61,TOCA_previous!$A$2:$AI$137,MATCH("RHWM 2016",TOCA_previous!$A$2:$AI$2,0),FALSE)*$F$2) - $AX61</f>
        <v>138822.33600000013</v>
      </c>
      <c r="BC61" s="206">
        <f t="shared" si="4"/>
        <v>0</v>
      </c>
      <c r="BD61" s="400">
        <f t="shared" si="5"/>
        <v>1101555.8300133785</v>
      </c>
      <c r="BE61" s="392">
        <f t="shared" si="6"/>
        <v>0</v>
      </c>
      <c r="BF61" s="399">
        <f t="shared" si="7"/>
        <v>0</v>
      </c>
      <c r="BG61" s="206">
        <f>VLOOKUP($A61,TOCA_current!$A$2:$AI$137,MATCH(BG$4,TOCA_current!$A$2:$AI$2,0),FALSE)</f>
        <v>3.4138099999999998E-2</v>
      </c>
      <c r="BH61" s="206">
        <f>VLOOKUP($A61,TOCA_current!$A$2:$AI$137,MATCH(BH$4,TOCA_current!$A$2:$AI$2,0),FALSE)</f>
        <v>1.6194899999999998E-2</v>
      </c>
      <c r="BI61" s="391">
        <f t="shared" si="8"/>
        <v>1.7943199999999999E-2</v>
      </c>
      <c r="BJ61" s="206">
        <f>VLOOKUP($A61,TOCA_current!A57:BG192,MATCH(BJ$4,TOCA_current!$A$2:$BG$2,0),FALSE)</f>
        <v>0</v>
      </c>
      <c r="BK61" s="206">
        <f t="shared" si="9"/>
        <v>0</v>
      </c>
      <c r="BL61" s="206">
        <f t="shared" si="10"/>
        <v>0</v>
      </c>
      <c r="BM61" s="381">
        <f>VLOOKUP($A61,IRD!$A$4:$G$139, 7, FALSE)</f>
        <v>0</v>
      </c>
      <c r="BN61" s="382">
        <f t="array" ref="BN61">IF($BI61=0, INDEX(LS_current!$D$4:$AY$139, MATCH('Staging Table'!$A61, LS_current!$B$4:$B$139, 0), MATCH(BN$4&amp;BN$5, LS_current!$D$2:$AY$2&amp;LS_current!$D$3:$AY$3, 0)),SUM(VLOOKUP($A61, LS_current!$B$4:$AY$139, LS_current!D$149, FALSE), VLOOKUP($A61, LS_current!$B$4:$AY$139,LS_current!D$149, FALSE))/2)</f>
        <v>-5293.3212761054456</v>
      </c>
      <c r="BO61" s="382">
        <f t="array" ref="BO61">IF($BI61=0, INDEX(LS_current!$D$4:$AY$139, MATCH('Staging Table'!$A61, LS_current!$B$4:$B$139, 0), MATCH(BO$4&amp;BO$5, LS_current!$D$2:$AY$2&amp;LS_current!$D$3:$AY$3, 0)),SUM(VLOOKUP($A61, LS_current!$B$4:$AY$139, LS_current!E$149, FALSE), VLOOKUP($A61, LS_current!$B$4:$AY$139,LS_current!E$149, FALSE))/2)</f>
        <v>8222.0625979837423</v>
      </c>
      <c r="BP61" s="382">
        <f t="array" ref="BP61">IF($BI61=0, INDEX(LS_current!$D$4:$AY$139, MATCH('Staging Table'!$A61, LS_current!$B$4:$B$139, 0), MATCH(BP$4&amp;BP$5, LS_current!$D$2:$AY$2&amp;LS_current!$D$3:$AY$3, 0)),SUM(VLOOKUP($A61, LS_current!$B$4:$AY$139, LS_current!F$149, FALSE), VLOOKUP($A61, LS_current!$B$4:$AY$139,LS_current!F$149, FALSE))/2)</f>
        <v>-17536.105290175452</v>
      </c>
      <c r="BQ61" s="382">
        <f t="array" ref="BQ61">IF($BI61=0, INDEX(LS_current!$D$4:$AY$139, MATCH('Staging Table'!$A61, LS_current!$B$4:$B$139, 0), MATCH(BQ$4&amp;BQ$5, LS_current!$D$2:$AY$2&amp;LS_current!$D$3:$AY$3, 0)),SUM(VLOOKUP($A61, LS_current!$B$4:$AY$139, LS_current!G$149, FALSE), VLOOKUP($A61, LS_current!$B$4:$AY$139,LS_current!G$149, FALSE))/2)</f>
        <v>-1330.1030504668597</v>
      </c>
      <c r="BR61" s="382">
        <f t="array" ref="BR61">IF($BI61=0, INDEX(LS_current!$D$4:$AY$139, MATCH('Staging Table'!$A61, LS_current!$B$4:$B$139, 0), MATCH(BR$4&amp;BR$5, LS_current!$D$2:$AY$2&amp;LS_current!$D$3:$AY$3, 0)),SUM(VLOOKUP($A61, LS_current!$B$4:$AY$139, LS_current!H$149, FALSE), VLOOKUP($A61, LS_current!$B$4:$AY$139,LS_current!H$149, FALSE))/2)</f>
        <v>-6161.9435050927787</v>
      </c>
      <c r="BS61" s="382">
        <f t="array" ref="BS61">IF($BI61=0, INDEX(LS_current!$D$4:$AY$139, MATCH('Staging Table'!$A61, LS_current!$B$4:$B$139, 0), MATCH(BS$4&amp;BS$5, LS_current!$D$2:$AY$2&amp;LS_current!$D$3:$AY$3, 0)),SUM(VLOOKUP($A61, LS_current!$B$4:$AY$139, LS_current!I$149, FALSE), VLOOKUP($A61, LS_current!$B$4:$AY$139,LS_current!I$149, FALSE))/2)</f>
        <v>9414.7639163504791</v>
      </c>
      <c r="BT61" s="382">
        <f t="array" ref="BT61">IF($BI61=0, INDEX(LS_current!$D$4:$AY$139, MATCH('Staging Table'!$A61, LS_current!$B$4:$B$139, 0), MATCH(BT$4&amp;BT$5, LS_current!$D$2:$AY$2&amp;LS_current!$D$3:$AY$3, 0)),SUM(VLOOKUP($A61, LS_current!$B$4:$AY$139, LS_current!J$149, FALSE), VLOOKUP($A61, LS_current!$B$4:$AY$139,LS_current!J$149, FALSE))/2)</f>
        <v>8046.6380895308321</v>
      </c>
      <c r="BU61" s="382">
        <f t="array" ref="BU61">IF($BI61=0, INDEX(LS_current!$D$4:$AY$139, MATCH('Staging Table'!$A61, LS_current!$B$4:$B$139, 0), MATCH(BU$4&amp;BU$5, LS_current!$D$2:$AY$2&amp;LS_current!$D$3:$AY$3, 0)),SUM(VLOOKUP($A61, LS_current!$B$4:$AY$139, LS_current!K$149, FALSE), VLOOKUP($A61, LS_current!$B$4:$AY$139,LS_current!K$149, FALSE))/2)</f>
        <v>14658.242930554494</v>
      </c>
      <c r="BV61" s="382">
        <f t="array" ref="BV61">IF($BI61=0, INDEX(LS_current!$D$4:$AY$139, MATCH('Staging Table'!$A61, LS_current!$B$4:$B$139, 0), MATCH(BV$4&amp;BV$5, LS_current!$D$2:$AY$2&amp;LS_current!$D$3:$AY$3, 0)),SUM(VLOOKUP($A61, LS_current!$B$4:$AY$139, LS_current!L$149, FALSE), VLOOKUP($A61, LS_current!$B$4:$AY$139,LS_current!L$149, FALSE))/2)</f>
        <v>10813.941813228863</v>
      </c>
      <c r="BW61" s="382">
        <f t="array" ref="BW61">IF($BI61=0, INDEX(LS_current!$D$4:$AY$139, MATCH('Staging Table'!$A61, LS_current!$B$4:$B$139, 0), MATCH(BW$4&amp;BW$5, LS_current!$D$2:$AY$2&amp;LS_current!$D$3:$AY$3, 0)),SUM(VLOOKUP($A61, LS_current!$B$4:$AY$139, LS_current!M$149, FALSE), VLOOKUP($A61, LS_current!$B$4:$AY$139,LS_current!M$149, FALSE))/2)</f>
        <v>14958.467622571119</v>
      </c>
      <c r="BX61" s="382">
        <f t="array" ref="BX61">IF($BI61=0, INDEX(LS_current!$D$4:$AY$139, MATCH('Staging Table'!$A61, LS_current!$B$4:$B$139, 0), MATCH(BX$4&amp;BX$5, LS_current!$D$2:$AY$2&amp;LS_current!$D$3:$AY$3, 0)),SUM(VLOOKUP($A61, LS_current!$B$4:$AY$139, LS_current!N$149, FALSE), VLOOKUP($A61, LS_current!$B$4:$AY$139,LS_current!N$149, FALSE))/2)</f>
        <v>3213.5181898013761</v>
      </c>
      <c r="BY61" s="382">
        <f t="array" ref="BY61">IF($BI61=0, INDEX(LS_current!$D$4:$AY$139, MATCH('Staging Table'!$A61, LS_current!$B$4:$B$139, 0), MATCH(BY$4&amp;BY$5, LS_current!$D$2:$AY$2&amp;LS_current!$D$3:$AY$3, 0)),SUM(VLOOKUP($A61, LS_current!$B$4:$AY$139, LS_current!O$149, FALSE), VLOOKUP($A61, LS_current!$B$4:$AY$139,LS_current!O$149, FALSE))/2)</f>
        <v>9050.893697614345</v>
      </c>
      <c r="BZ61" s="382">
        <f t="array" ref="BZ61">IF($BI61=0, INDEX(LS_current!$D$4:$AY$139, MATCH('Staging Table'!$A61, LS_current!$B$4:$B$139, 0), MATCH(BZ$4&amp;BZ$5, LS_current!$D$2:$AY$2&amp;LS_current!$D$3:$AY$3, 0)),SUM(VLOOKUP($A61, LS_current!$B$4:$AY$139, LS_current!P$149, FALSE), VLOOKUP($A61, LS_current!$B$4:$AY$139,LS_current!P$149, FALSE))/2)</f>
        <v>-3930.5237785679128</v>
      </c>
      <c r="CA61" s="382">
        <f t="array" ref="CA61">IF($BI61=0, INDEX(LS_current!$D$4:$AY$139, MATCH('Staging Table'!$A61, LS_current!$B$4:$B$139, 0), MATCH(CA$4&amp;CA$5, LS_current!$D$2:$AY$2&amp;LS_current!$D$3:$AY$3, 0)),SUM(VLOOKUP($A61, LS_current!$B$4:$AY$139, LS_current!Q$149, FALSE), VLOOKUP($A61, LS_current!$B$4:$AY$139,LS_current!Q$149, FALSE))/2)</f>
        <v>8502.6784566901042</v>
      </c>
      <c r="CB61" s="382">
        <f t="array" ref="CB61">IF($BI61=0, INDEX(LS_current!$D$4:$AY$139, MATCH('Staging Table'!$A61, LS_current!$B$4:$B$139, 0), MATCH(CB$4&amp;CB$5, LS_current!$D$2:$AY$2&amp;LS_current!$D$3:$AY$3, 0)),SUM(VLOOKUP($A61, LS_current!$B$4:$AY$139, LS_current!R$149, FALSE), VLOOKUP($A61, LS_current!$B$4:$AY$139,LS_current!R$149, FALSE))/2)</f>
        <v>-33347.951948654372</v>
      </c>
      <c r="CC61" s="382">
        <f t="array" ref="CC61">IF($BI61=0, INDEX(LS_current!$D$4:$AY$139, MATCH('Staging Table'!$A61, LS_current!$B$4:$B$139, 0), MATCH(CC$4&amp;CC$5, LS_current!$D$2:$AY$2&amp;LS_current!$D$3:$AY$3, 0)),SUM(VLOOKUP($A61, LS_current!$B$4:$AY$139, LS_current!S$149, FALSE), VLOOKUP($A61, LS_current!$B$4:$AY$139,LS_current!S$149, FALSE))/2)</f>
        <v>-11122.581139003531</v>
      </c>
      <c r="CD61" s="382">
        <f t="array" ref="CD61">IF($BI61=0, INDEX(LS_current!$D$4:$AY$139, MATCH('Staging Table'!$A61, LS_current!$B$4:$B$139, 0), MATCH(CD$4&amp;CD$5, LS_current!$D$2:$AY$2&amp;LS_current!$D$3:$AY$3, 0)),SUM(VLOOKUP($A61, LS_current!$B$4:$AY$139, LS_current!T$149, FALSE), VLOOKUP($A61, LS_current!$B$4:$AY$139,LS_current!T$149, FALSE))/2)</f>
        <v>-18953.897851173671</v>
      </c>
      <c r="CE61" s="382">
        <f t="array" ref="CE61">IF($BI61=0, INDEX(LS_current!$D$4:$AY$139, MATCH('Staging Table'!$A61, LS_current!$B$4:$B$139, 0), MATCH(CE$4&amp;CE$5, LS_current!$D$2:$AY$2&amp;LS_current!$D$3:$AY$3, 0)),SUM(VLOOKUP($A61, LS_current!$B$4:$AY$139, LS_current!U$149, FALSE), VLOOKUP($A61, LS_current!$B$4:$AY$139,LS_current!U$149, FALSE))/2)</f>
        <v>-2533.8622667378331</v>
      </c>
      <c r="CF61" s="382">
        <f t="array" ref="CF61">IF($BI61=0, INDEX(LS_current!$D$4:$AY$139, MATCH('Staging Table'!$A61, LS_current!$B$4:$B$139, 0), MATCH(CF$4&amp;CF$5, LS_current!$D$2:$AY$2&amp;LS_current!$D$3:$AY$3, 0)),SUM(VLOOKUP($A61, LS_current!$B$4:$AY$139, LS_current!V$149, FALSE), VLOOKUP($A61, LS_current!$B$4:$AY$139,LS_current!V$149, FALSE))/2)</f>
        <v>-6722.1770540590078</v>
      </c>
      <c r="CG61" s="382">
        <f t="array" ref="CG61">IF($BI61=0, INDEX(LS_current!$D$4:$AY$139, MATCH('Staging Table'!$A61, LS_current!$B$4:$B$139, 0), MATCH(CG$4&amp;CG$5, LS_current!$D$2:$AY$2&amp;LS_current!$D$3:$AY$3, 0)),SUM(VLOOKUP($A61, LS_current!$B$4:$AY$139, LS_current!W$149, FALSE), VLOOKUP($A61, LS_current!$B$4:$AY$139,LS_current!W$149, FALSE))/2)</f>
        <v>10450.501495214143</v>
      </c>
      <c r="CH61" s="382">
        <f t="array" ref="CH61">IF($BI61=0, INDEX(LS_current!$D$4:$AY$139, MATCH('Staging Table'!$A61, LS_current!$B$4:$B$139, 0), MATCH(CH$4&amp;CH$5, LS_current!$D$2:$AY$2&amp;LS_current!$D$3:$AY$3, 0)),SUM(VLOOKUP($A61, LS_current!$B$4:$AY$139, LS_current!X$149, FALSE), VLOOKUP($A61, LS_current!$B$4:$AY$139,LS_current!X$149, FALSE))/2)</f>
        <v>-8583.8482590145868</v>
      </c>
      <c r="CI61" s="382">
        <f t="array" ref="CI61">IF($BI61=0, INDEX(LS_current!$D$4:$AY$139, MATCH('Staging Table'!$A61, LS_current!$B$4:$B$139, 0), MATCH(CI$4&amp;CI$5, LS_current!$D$2:$AY$2&amp;LS_current!$D$3:$AY$3, 0)),SUM(VLOOKUP($A61, LS_current!$B$4:$AY$139, LS_current!Y$149, FALSE), VLOOKUP($A61, LS_current!$B$4:$AY$139,LS_current!Y$149, FALSE))/2)</f>
        <v>6464.0800683507659</v>
      </c>
      <c r="CJ61" s="382">
        <f t="array" ref="CJ61">IF($BI61=0, INDEX(LS_current!$D$4:$AY$139, MATCH('Staging Table'!$A61, LS_current!$B$4:$B$139, 0), MATCH(CJ$4&amp;CJ$5, LS_current!$D$2:$AY$2&amp;LS_current!$D$3:$AY$3, 0)),SUM(VLOOKUP($A61, LS_current!$B$4:$AY$139, LS_current!Z$149, FALSE), VLOOKUP($A61, LS_current!$B$4:$AY$139,LS_current!Z$149, FALSE))/2)</f>
        <v>-8640.3206989042228</v>
      </c>
      <c r="CK61" s="382">
        <f t="array" ref="CK61">IF($BI61=0, INDEX(LS_current!$D$4:$AY$139, MATCH('Staging Table'!$A61, LS_current!$B$4:$B$139, 0), MATCH(CK$4&amp;CK$5, LS_current!$D$2:$AY$2&amp;LS_current!$D$3:$AY$3, 0)),SUM(VLOOKUP($A61, LS_current!$B$4:$AY$139, LS_current!AA$149, FALSE), VLOOKUP($A61, LS_current!$B$4:$AY$139,LS_current!AA$149, FALSE))/2)</f>
        <v>7410.1440018583926</v>
      </c>
      <c r="CL61" s="384">
        <f t="array" ref="CL61">INDEX(Demand_current!$D$4:$AY$138, MATCH($A61, Demand_current!$B$4:$B$138, 0), MATCH(CL$4&amp;CL$5,Demand_current!$D$2:$AY$2&amp;Demand_current!$D$3:$AY$3, 0))/1000</f>
        <v>0</v>
      </c>
      <c r="CM61" s="384">
        <f t="array" ref="CM61">INDEX(Demand_current!$D$4:$AY$138, MATCH($A61, Demand_current!$B$4:$B$138, 0), MATCH(CM$4&amp;CM$5,Demand_current!$D$2:$AY$2&amp;Demand_current!$D$3:$AY$3, 0))/1000</f>
        <v>0</v>
      </c>
      <c r="CN61" s="384">
        <f t="array" ref="CN61">INDEX(Demand_current!$D$4:$AY$138, MATCH($A61, Demand_current!$B$4:$B$138, 0), MATCH(CN$4&amp;CN$5,Demand_current!$D$2:$AY$2&amp;Demand_current!$D$3:$AY$3, 0))/1000</f>
        <v>0</v>
      </c>
      <c r="CO61" s="384">
        <f t="array" ref="CO61">INDEX(Demand_current!$D$4:$AY$138, MATCH($A61, Demand_current!$B$4:$B$138, 0), MATCH(CO$4&amp;CO$5,Demand_current!$D$2:$AY$2&amp;Demand_current!$D$3:$AY$3, 0))/1000</f>
        <v>0</v>
      </c>
      <c r="CP61" s="384">
        <f t="array" ref="CP61">INDEX(Demand_current!$D$4:$AY$138, MATCH($A61, Demand_current!$B$4:$B$138, 0), MATCH(CP$4&amp;CP$5,Demand_current!$D$2:$AY$2&amp;Demand_current!$D$3:$AY$3, 0))/1000</f>
        <v>0</v>
      </c>
      <c r="CQ61" s="384">
        <f t="array" ref="CQ61">INDEX(Demand_current!$D$4:$AY$138, MATCH($A61, Demand_current!$B$4:$B$138, 0), MATCH(CQ$4&amp;CQ$5,Demand_current!$D$2:$AY$2&amp;Demand_current!$D$3:$AY$3, 0))/1000</f>
        <v>0</v>
      </c>
      <c r="CR61" s="384">
        <f t="array" ref="CR61">INDEX(Demand_current!$D$4:$AY$138, MATCH($A61, Demand_current!$B$4:$B$138, 0), MATCH(CR$4&amp;CR$5,Demand_current!$D$2:$AY$2&amp;Demand_current!$D$3:$AY$3, 0))/1000</f>
        <v>0</v>
      </c>
      <c r="CS61" s="384">
        <f t="array" ref="CS61">INDEX(Demand_current!$D$4:$AY$138, MATCH($A61, Demand_current!$B$4:$B$138, 0), MATCH(CS$4&amp;CS$5,Demand_current!$D$2:$AY$2&amp;Demand_current!$D$3:$AY$3, 0))/1000</f>
        <v>0</v>
      </c>
      <c r="CT61" s="384">
        <f t="array" ref="CT61">INDEX(Demand_current!$D$4:$AY$138, MATCH($A61, Demand_current!$B$4:$B$138, 0), MATCH(CT$4&amp;CT$5,Demand_current!$D$2:$AY$2&amp;Demand_current!$D$3:$AY$3, 0))/1000</f>
        <v>0</v>
      </c>
      <c r="CU61" s="384">
        <f t="array" ref="CU61">INDEX(Demand_current!$D$4:$AY$138, MATCH($A61, Demand_current!$B$4:$B$138, 0), MATCH(CU$4&amp;CU$5,Demand_current!$D$2:$AY$2&amp;Demand_current!$D$3:$AY$3, 0))/1000</f>
        <v>0</v>
      </c>
      <c r="CV61" s="384">
        <f t="array" ref="CV61">INDEX(Demand_current!$D$4:$AY$138, MATCH($A61, Demand_current!$B$4:$B$138, 0), MATCH(CV$4&amp;CV$5,Demand_current!$D$2:$AY$2&amp;Demand_current!$D$3:$AY$3, 0))/1000</f>
        <v>0</v>
      </c>
      <c r="CW61" s="384">
        <f t="array" ref="CW61">INDEX(Demand_current!$D$4:$AY$138, MATCH($A61, Demand_current!$B$4:$B$138, 0), MATCH(CW$4&amp;CW$5,Demand_current!$D$2:$AY$2&amp;Demand_current!$D$3:$AY$3, 0))/1000</f>
        <v>0</v>
      </c>
      <c r="CX61" s="384">
        <f>IF(D61=0,IF(C61=0,MAX(0,DA61 - (VLOOKUP($A61,TOCA_current!$A$2:$AI$137,MATCH("RHWM 2018",TOCA_current!$A$2:$AI$2,0),FALSE)*$BH$2)), 0),0)</f>
        <v>0</v>
      </c>
      <c r="CY61" s="427">
        <f>VLOOKUP($A61,REP_current!$A$1:$D$135,MATCH("FY "&amp;$BH$1&amp; " Total Refund",REP_current!$A$1:$D$1,0),0)</f>
        <v>2844268.4545550141</v>
      </c>
      <c r="CZ61" s="432">
        <f>MIN(VLOOKUP($A61,TOCA_current!$A$2:$AI$137,MATCH("TRL - NLSL - Existing Resource "&amp;$BH$1,TOCA_current!$A$2:$AI$2,0),FALSE)*$BH$2, VLOOKUP($A61,TOCA_current!$A$2:$AI$137,MATCH("RHWM 2018",TOCA_current!$A$2:$AI$2,0),FALSE)*$BH$2)</f>
        <v>2076855.84</v>
      </c>
      <c r="DA61" s="397">
        <f>SUM(BN61:CK61)+(BH61*RT1SC!$C$4*$BH$2)</f>
        <v>972296.01437389676</v>
      </c>
      <c r="DB61" s="432">
        <f>VLOOKUP($A61,TOCA_current!$A$2:$AI$137,MATCH("Above RHWM Not Served with LS "&amp;$BH$1,TOCA_current!$A$2:$AI$2,0),FALSE)*$BH$2</f>
        <v>0</v>
      </c>
      <c r="DC61" s="401">
        <f t="shared" si="11"/>
        <v>-1104559.8256261032</v>
      </c>
      <c r="DD61" s="397">
        <f>(VLOOKUP($A61,TOCA_current!$A$2:$AI$137,MATCH("RHWM 2018",TOCA_current!$A$2:$AI$2,0),FALSE)*$BH$2) - $CZ61</f>
        <v>87451.079999999842</v>
      </c>
      <c r="DE61" s="397">
        <f t="shared" si="12"/>
        <v>0</v>
      </c>
      <c r="DF61" s="397">
        <f t="shared" si="13"/>
        <v>1104559.8256261032</v>
      </c>
      <c r="DG61" s="397">
        <f t="shared" si="14"/>
        <v>0</v>
      </c>
      <c r="DH61" s="397">
        <f t="shared" si="15"/>
        <v>0</v>
      </c>
    </row>
    <row r="62" spans="1:112">
      <c r="A62" s="274">
        <v>10172</v>
      </c>
      <c r="B62" s="275" t="s">
        <v>63</v>
      </c>
      <c r="C62" s="397">
        <v>0</v>
      </c>
      <c r="D62" s="397">
        <v>0</v>
      </c>
      <c r="E62" s="205">
        <f>VLOOKUP($A62,TOCA_previous!$A$2:$AI$137,MATCH(E$4,TOCA_previous!$A$2:$AI$2,0),FALSE)</f>
        <v>8.1209999999999995E-4</v>
      </c>
      <c r="F62" s="206">
        <f>VLOOKUP($A62,TOCA_previous!$A$2:$AI$137,MATCH(F$4,TOCA_previous!$A$2:$AI$2,0),FALSE)</f>
        <v>8.1209999999999995E-4</v>
      </c>
      <c r="G62" s="206">
        <f t="shared" si="0"/>
        <v>0</v>
      </c>
      <c r="H62" s="206">
        <f>VLOOKUP($A62,TOCA_previous!$A$2:$AI$137,MATCH(H$4,TOCA_previous!$A$2:$AI$2,0),FALSE)</f>
        <v>0</v>
      </c>
      <c r="I62" s="206">
        <f t="shared" si="1"/>
        <v>0</v>
      </c>
      <c r="J62" s="206">
        <f t="shared" si="2"/>
        <v>0</v>
      </c>
      <c r="K62" s="381">
        <f>VLOOKUP(A62, IRD!$A$5:$C$139, 3, FALSE)</f>
        <v>0</v>
      </c>
      <c r="L62" s="382">
        <f t="array" ref="L62">IF($G62=0, INDEX(LS_previous!$D$4:$AY$138, MATCH('Staging Table'!$A62, LS_previous!$B$4:$B$138, 0), MATCH(L$4&amp;L$5, LS_previous!$D$2:$AY$2&amp;LS_previous!$D$3:$AY$3, 0)),SUM(VLOOKUP($A62, LS_previous!$B$4:$AY$138, LS_previous!D$149, FALSE), VLOOKUP('Staging Table'!$A62, LS_previous!$B$4:$AY$138,LS_previous!AB$149, FALSE))/2)</f>
        <v>-68.842529838958399</v>
      </c>
      <c r="M62" s="382">
        <f t="array" ref="M62">IF($G62=0, INDEX(LS_previous!$D$4:$AY$138, MATCH('Staging Table'!$A62, LS_previous!$B$4:$B$138, 0), MATCH(M$4&amp;M$5, LS_previous!$D$2:$AY$2&amp;LS_previous!$D$3:$AY$3, 0)),SUM(VLOOKUP($A62, LS_previous!$B$4:$AY$138, LS_previous!E$149, FALSE), VLOOKUP('Staging Table'!$A62, LS_previous!$B$4:$AY$138,LS_previous!AC$149, FALSE))/2)</f>
        <v>-6.104303235878433</v>
      </c>
      <c r="N62" s="382">
        <f t="array" ref="N62">IF($G62=0, INDEX(LS_previous!$D$4:$AY$138, MATCH('Staging Table'!$A62, LS_previous!$B$4:$B$138, 0), MATCH(N$4&amp;N$5, LS_previous!$D$2:$AY$2&amp;LS_previous!$D$3:$AY$3, 0)),SUM(VLOOKUP($A62, LS_previous!$B$4:$AY$138, LS_previous!F$149, FALSE), VLOOKUP('Staging Table'!$A62, LS_previous!$B$4:$AY$138,LS_previous!AD$149, FALSE))/2)</f>
        <v>-635.41418471871339</v>
      </c>
      <c r="O62" s="382">
        <f t="array" ref="O62">IF($G62=0, INDEX(LS_previous!$D$4:$AY$138, MATCH('Staging Table'!$A62, LS_previous!$B$4:$B$138, 0), MATCH(O$4&amp;O$5, LS_previous!$D$2:$AY$2&amp;LS_previous!$D$3:$AY$3, 0)),SUM(VLOOKUP($A62, LS_previous!$B$4:$AY$138, LS_previous!G$149, FALSE), VLOOKUP('Staging Table'!$A62, LS_previous!$B$4:$AY$138,LS_previous!AE$149, FALSE))/2)</f>
        <v>-167.87862233980081</v>
      </c>
      <c r="P62" s="382">
        <f t="array" ref="P62">IF($G62=0, INDEX(LS_previous!$D$4:$AY$138, MATCH('Staging Table'!$A62, LS_previous!$B$4:$B$138, 0), MATCH(P$4&amp;P$5, LS_previous!$D$2:$AY$2&amp;LS_previous!$D$3:$AY$3, 0)),SUM(VLOOKUP($A62, LS_previous!$B$4:$AY$138, LS_previous!H$149, FALSE), VLOOKUP('Staging Table'!$A62, LS_previous!$B$4:$AY$138,LS_previous!AF$149, FALSE))/2)</f>
        <v>-137.79844672148693</v>
      </c>
      <c r="Q62" s="382">
        <f t="array" ref="Q62">IF($G62=0, INDEX(LS_previous!$D$4:$AY$138, MATCH('Staging Table'!$A62, LS_previous!$B$4:$B$138, 0), MATCH(Q$4&amp;Q$5, LS_previous!$D$2:$AY$2&amp;LS_previous!$D$3:$AY$3, 0)),SUM(VLOOKUP($A62, LS_previous!$B$4:$AY$138, LS_previous!I$149, FALSE), VLOOKUP('Staging Table'!$A62, LS_previous!$B$4:$AY$138,LS_previous!AG$149, FALSE))/2)</f>
        <v>95.904751649696436</v>
      </c>
      <c r="R62" s="382">
        <f t="array" ref="R62">IF($G62=0, INDEX(LS_previous!$D$4:$AY$138, MATCH('Staging Table'!$A62, LS_previous!$B$4:$B$138, 0), MATCH(R$4&amp;R$5, LS_previous!$D$2:$AY$2&amp;LS_previous!$D$3:$AY$3, 0)),SUM(VLOOKUP($A62, LS_previous!$B$4:$AY$138, LS_previous!J$149, FALSE), VLOOKUP('Staging Table'!$A62, LS_previous!$B$4:$AY$138,LS_previous!AH$149, FALSE))/2)</f>
        <v>285.15095940549372</v>
      </c>
      <c r="S62" s="382">
        <f t="array" ref="S62">IF($G62=0, INDEX(LS_previous!$D$4:$AY$138, MATCH('Staging Table'!$A62, LS_previous!$B$4:$B$138, 0), MATCH(S$4&amp;S$5, LS_previous!$D$2:$AY$2&amp;LS_previous!$D$3:$AY$3, 0)),SUM(VLOOKUP($A62, LS_previous!$B$4:$AY$138, LS_previous!K$149, FALSE), VLOOKUP('Staging Table'!$A62, LS_previous!$B$4:$AY$138,LS_previous!AI$149, FALSE))/2)</f>
        <v>300.09654050867425</v>
      </c>
      <c r="T62" s="382">
        <f t="array" ref="T62">IF($G62=0, INDEX(LS_previous!$D$4:$AY$138, MATCH('Staging Table'!$A62, LS_previous!$B$4:$B$138, 0), MATCH(T$4&amp;T$5, LS_previous!$D$2:$AY$2&amp;LS_previous!$D$3:$AY$3, 0)),SUM(VLOOKUP($A62, LS_previous!$B$4:$AY$138, LS_previous!L$149, FALSE), VLOOKUP('Staging Table'!$A62, LS_previous!$B$4:$AY$138,LS_previous!AJ$149, FALSE))/2)</f>
        <v>166.6467788715795</v>
      </c>
      <c r="U62" s="382">
        <f t="array" ref="U62">IF($G62=0, INDEX(LS_previous!$D$4:$AY$138, MATCH('Staging Table'!$A62, LS_previous!$B$4:$B$138, 0), MATCH(U$4&amp;U$5, LS_previous!$D$2:$AY$2&amp;LS_previous!$D$3:$AY$3, 0)),SUM(VLOOKUP($A62, LS_previous!$B$4:$AY$138, LS_previous!M$149, FALSE), VLOOKUP('Staging Table'!$A62, LS_previous!$B$4:$AY$138,LS_previous!AK$149, FALSE))/2)</f>
        <v>204.98885787757922</v>
      </c>
      <c r="V62" s="382">
        <f t="array" ref="V62">IF($G62=0, INDEX(LS_previous!$D$4:$AY$138, MATCH('Staging Table'!$A62, LS_previous!$B$4:$B$138, 0), MATCH(V$4&amp;V$5, LS_previous!$D$2:$AY$2&amp;LS_previous!$D$3:$AY$3, 0)),SUM(VLOOKUP($A62, LS_previous!$B$4:$AY$138, LS_previous!N$149, FALSE), VLOOKUP('Staging Table'!$A62, LS_previous!$B$4:$AY$138,LS_previous!AL$149, FALSE))/2)</f>
        <v>-174.24010428354313</v>
      </c>
      <c r="W62" s="382">
        <f t="array" ref="W62">IF($G62=0, INDEX(LS_previous!$D$4:$AY$138, MATCH('Staging Table'!$A62, LS_previous!$B$4:$B$138, 0), MATCH(W$4&amp;W$5, LS_previous!$D$2:$AY$2&amp;LS_previous!$D$3:$AY$3, 0)),SUM(VLOOKUP($A62, LS_previous!$B$4:$AY$138, LS_previous!O$149, FALSE), VLOOKUP('Staging Table'!$A62, LS_previous!$B$4:$AY$138,LS_previous!AM$149, FALSE))/2)</f>
        <v>-26.562260863155188</v>
      </c>
      <c r="X62" s="382">
        <f t="array" ref="X62">IF($G62=0, INDEX(LS_previous!$D$4:$AY$138, MATCH('Staging Table'!$A62, LS_previous!$B$4:$B$138, 0), MATCH(X$4&amp;X$5, LS_previous!$D$2:$AY$2&amp;LS_previous!$D$3:$AY$3, 0)),SUM(VLOOKUP($A62, LS_previous!$B$4:$AY$138, LS_previous!P$149, FALSE), VLOOKUP('Staging Table'!$A62, LS_previous!$B$4:$AY$138,LS_previous!AN$149, FALSE))/2)</f>
        <v>199.75631434194247</v>
      </c>
      <c r="Y62" s="382">
        <f t="array" ref="Y62">IF($G62=0, INDEX(LS_previous!$D$4:$AY$138, MATCH('Staging Table'!$A62, LS_previous!$B$4:$B$138, 0), MATCH(Y$4&amp;Y$5, LS_previous!$D$2:$AY$2&amp;LS_previous!$D$3:$AY$3, 0)),SUM(VLOOKUP($A62, LS_previous!$B$4:$AY$138, LS_previous!Q$149, FALSE), VLOOKUP('Staging Table'!$A62, LS_previous!$B$4:$AY$138,LS_previous!AO$149, FALSE))/2)</f>
        <v>138.50083285693563</v>
      </c>
      <c r="Z62" s="382">
        <f t="array" ref="Z62">IF($G62=0, INDEX(LS_previous!$D$4:$AY$138, MATCH('Staging Table'!$A62, LS_previous!$B$4:$B$138, 0), MATCH(Z$4&amp;Z$5, LS_previous!$D$2:$AY$2&amp;LS_previous!$D$3:$AY$3, 0)),SUM(VLOOKUP($A62, LS_previous!$B$4:$AY$138, LS_previous!R$149, FALSE), VLOOKUP('Staging Table'!$A62, LS_previous!$B$4:$AY$138,LS_previous!AP$149, FALSE))/2)</f>
        <v>-1213.7569596302592</v>
      </c>
      <c r="AA62" s="382">
        <f t="array" ref="AA62">IF($G62=0, INDEX(LS_previous!$D$4:$AY$138, MATCH('Staging Table'!$A62, LS_previous!$B$4:$B$138, 0), MATCH(AA$4&amp;AA$5, LS_previous!$D$2:$AY$2&amp;LS_previous!$D$3:$AY$3, 0)),SUM(VLOOKUP($A62, LS_previous!$B$4:$AY$138, LS_previous!S$149, FALSE), VLOOKUP('Staging Table'!$A62, LS_previous!$B$4:$AY$138,LS_previous!AQ$149, FALSE))/2)</f>
        <v>-463.88905614553892</v>
      </c>
      <c r="AB62" s="382">
        <f t="array" ref="AB62">IF($G62=0, INDEX(LS_previous!$D$4:$AY$138, MATCH('Staging Table'!$A62, LS_previous!$B$4:$B$138, 0), MATCH(AB$4&amp;AB$5, LS_previous!$D$2:$AY$2&amp;LS_previous!$D$3:$AY$3, 0)),SUM(VLOOKUP($A62, LS_previous!$B$4:$AY$138, LS_previous!T$149, FALSE), VLOOKUP('Staging Table'!$A62, LS_previous!$B$4:$AY$138,LS_previous!AR$149, FALSE))/2)</f>
        <v>-533.35700784335086</v>
      </c>
      <c r="AC62" s="382">
        <f t="array" ref="AC62">IF($G62=0, INDEX(LS_previous!$D$4:$AY$138, MATCH('Staging Table'!$A62, LS_previous!$B$4:$B$138, 0), MATCH(AC$4&amp;AC$5, LS_previous!$D$2:$AY$2&amp;LS_previous!$D$3:$AY$3, 0)),SUM(VLOOKUP($A62, LS_previous!$B$4:$AY$138, LS_previous!U$149, FALSE), VLOOKUP('Staging Table'!$A62, LS_previous!$B$4:$AY$138,LS_previous!AS$149, FALSE))/2)</f>
        <v>-210.56362627438307</v>
      </c>
      <c r="AD62" s="382">
        <f t="array" ref="AD62">IF($G62=0, INDEX(LS_previous!$D$4:$AY$138, MATCH('Staging Table'!$A62, LS_previous!$B$4:$B$138, 0), MATCH(AD$4&amp;AD$5, LS_previous!$D$2:$AY$2&amp;LS_previous!$D$3:$AY$3, 0)),SUM(VLOOKUP($A62, LS_previous!$B$4:$AY$138, LS_previous!V$149, FALSE), VLOOKUP('Staging Table'!$A62, LS_previous!$B$4:$AY$138,LS_previous!AT$149, FALSE))/2)</f>
        <v>-23.240254667100089</v>
      </c>
      <c r="AE62" s="382">
        <f t="array" ref="AE62">IF($G62=0, INDEX(LS_previous!$D$4:$AY$138, MATCH('Staging Table'!$A62, LS_previous!$B$4:$B$138, 0), MATCH(AE$4&amp;AE$5, LS_previous!$D$2:$AY$2&amp;LS_previous!$D$3:$AY$3, 0)),SUM(VLOOKUP($A62, LS_previous!$B$4:$AY$138, LS_previous!W$149, FALSE), VLOOKUP('Staging Table'!$A62, LS_previous!$B$4:$AY$138,LS_previous!AU$149, FALSE))/2)</f>
        <v>206.19239203045299</v>
      </c>
      <c r="AF62" s="382">
        <f t="array" ref="AF62">IF($G62=0, INDEX(LS_previous!$D$4:$AY$138, MATCH('Staging Table'!$A62, LS_previous!$B$4:$B$138, 0), MATCH(AF$4&amp;AF$5, LS_previous!$D$2:$AY$2&amp;LS_previous!$D$3:$AY$3, 0)),SUM(VLOOKUP($A62, LS_previous!$B$4:$AY$138, LS_previous!X$149, FALSE), VLOOKUP('Staging Table'!$A62, LS_previous!$B$4:$AY$138,LS_previous!AV$149, FALSE))/2)</f>
        <v>-192.07171160071857</v>
      </c>
      <c r="AG62" s="382">
        <f t="array" ref="AG62">IF($G62=0, INDEX(LS_previous!$D$4:$AY$138, MATCH('Staging Table'!$A62, LS_previous!$B$4:$B$138, 0), MATCH(AG$4&amp;AG$5, LS_previous!$D$2:$AY$2&amp;LS_previous!$D$3:$AY$3, 0)),SUM(VLOOKUP($A62, LS_previous!$B$4:$AY$138, LS_previous!Y$149, FALSE), VLOOKUP('Staging Table'!$A62, LS_previous!$B$4:$AY$138,LS_previous!AW$149, FALSE))/2)</f>
        <v>93.450558643348359</v>
      </c>
      <c r="AH62" s="382">
        <f t="array" ref="AH62">IF($G62=0, INDEX(LS_previous!$D$4:$AY$138, MATCH('Staging Table'!$A62, LS_previous!$B$4:$B$138, 0), MATCH(AH$4&amp;AH$5, LS_previous!$D$2:$AY$2&amp;LS_previous!$D$3:$AY$3, 0)),SUM(VLOOKUP($A62, LS_previous!$B$4:$AY$138, LS_previous!Z$149, FALSE), VLOOKUP('Staging Table'!$A62, LS_previous!$B$4:$AY$138,LS_previous!AX$149, FALSE))/2)</f>
        <v>13.341217825062813</v>
      </c>
      <c r="AI62" s="382">
        <f t="array" ref="AI62">IF($G62=0, INDEX(LS_previous!$D$4:$AY$138, MATCH('Staging Table'!$A62, LS_previous!$B$4:$B$138, 0), MATCH(AI$4&amp;AI$5, LS_previous!$D$2:$AY$2&amp;LS_previous!$D$3:$AY$3, 0)),SUM(VLOOKUP($A62, LS_previous!$B$4:$AY$138, LS_previous!AA$149, FALSE), VLOOKUP('Staging Table'!$A62, LS_previous!$B$4:$AY$138,LS_previous!AY$149, FALSE))/2)</f>
        <v>79.665103860435693</v>
      </c>
      <c r="AJ62" s="384">
        <f t="array" ref="AJ62">INDEX(Demand_previous!$D$4:$AY$138, MATCH('Staging Table'!$A62, Demand_previous!$B$4:$B$138, 0), MATCH(AJ$4&amp;AJ$5,Demand_previous!$D$2:$AY$2&amp;Demand_previous!$D$3:$AY$3, 0))/1000</f>
        <v>0.87706712962962952</v>
      </c>
      <c r="AK62" s="384">
        <f t="array" ref="AK62">INDEX(Demand_previous!$D$4:$AY$138, MATCH('Staging Table'!$A62, Demand_previous!$B$4:$B$138, 0), MATCH(AK$4&amp;AK$5,Demand_previous!$D$2:$AY$2&amp;Demand_previous!$D$3:$AY$3, 0))/1000</f>
        <v>0.849268229166667</v>
      </c>
      <c r="AL62" s="384">
        <f t="array" ref="AL62">INDEX(Demand_previous!$D$4:$AY$138, MATCH('Staging Table'!$A62, Demand_previous!$B$4:$B$138, 0), MATCH(AL$4&amp;AL$5,Demand_previous!$D$2:$AY$2&amp;Demand_previous!$D$3:$AY$3, 0))/1000</f>
        <v>1.111894230769231</v>
      </c>
      <c r="AM62" s="384">
        <f t="array" ref="AM62">INDEX(Demand_previous!$D$4:$AY$138, MATCH('Staging Table'!$A62, Demand_previous!$B$4:$B$138, 0), MATCH(AM$4&amp;AM$5,Demand_previous!$D$2:$AY$2&amp;Demand_previous!$D$3:$AY$3, 0))/1000</f>
        <v>0.90077999999999947</v>
      </c>
      <c r="AN62" s="384">
        <f t="array" ref="AN62">INDEX(Demand_previous!$D$4:$AY$138, MATCH('Staging Table'!$A62, Demand_previous!$B$4:$B$138, 0), MATCH(AN$4&amp;AN$5,Demand_previous!$D$2:$AY$2&amp;Demand_previous!$D$3:$AY$3, 0))/1000</f>
        <v>1.361607500000001</v>
      </c>
      <c r="AO62" s="384">
        <f t="array" ref="AO62">INDEX(Demand_previous!$D$4:$AY$138, MATCH('Staging Table'!$A62, Demand_previous!$B$4:$B$138, 0), MATCH(AO$4&amp;AO$5,Demand_previous!$D$2:$AY$2&amp;Demand_previous!$D$3:$AY$3, 0))/1000</f>
        <v>1.0881944444444438</v>
      </c>
      <c r="AP62" s="384">
        <f t="array" ref="AP62">INDEX(Demand_previous!$D$4:$AY$138, MATCH('Staging Table'!$A62, Demand_previous!$B$4:$B$138, 0), MATCH(AP$4&amp;AP$5,Demand_previous!$D$2:$AY$2&amp;Demand_previous!$D$3:$AY$3, 0))/1000</f>
        <v>0.91601201923076825</v>
      </c>
      <c r="AQ62" s="384">
        <f t="array" ref="AQ62">INDEX(Demand_previous!$D$4:$AY$138, MATCH('Staging Table'!$A62, Demand_previous!$B$4:$B$138, 0), MATCH(AQ$4&amp;AQ$5,Demand_previous!$D$2:$AY$2&amp;Demand_previous!$D$3:$AY$3, 0))/1000</f>
        <v>1.0402049999999996</v>
      </c>
      <c r="AR62" s="384">
        <f t="array" ref="AR62">INDEX(Demand_previous!$D$4:$AY$138, MATCH('Staging Table'!$A62, Demand_previous!$B$4:$B$138, 0), MATCH(AR$4&amp;AR$5,Demand_previous!$D$2:$AY$2&amp;Demand_previous!$D$3:$AY$3, 0))/1000</f>
        <v>1.025713942307692</v>
      </c>
      <c r="AS62" s="384">
        <f t="array" ref="AS62">INDEX(Demand_previous!$D$4:$AY$138, MATCH('Staging Table'!$A62, Demand_previous!$B$4:$B$138, 0), MATCH(AS$4&amp;AS$5,Demand_previous!$D$2:$AY$2&amp;Demand_previous!$D$3:$AY$3, 0))/1000</f>
        <v>0.62715999999999861</v>
      </c>
      <c r="AT62" s="384">
        <f t="array" ref="AT62">INDEX(Demand_previous!$D$4:$AY$138, MATCH('Staging Table'!$A62, Demand_previous!$B$4:$B$138, 0), MATCH(AT$4&amp;AT$5,Demand_previous!$D$2:$AY$2&amp;Demand_previous!$D$3:$AY$3, 0))/1000</f>
        <v>0.97357175925926032</v>
      </c>
      <c r="AU62" s="384">
        <f t="array" ref="AU62">INDEX(Demand_previous!$D$4:$AY$138, MATCH('Staging Table'!$A62, Demand_previous!$B$4:$B$138, 0), MATCH(AU$4&amp;AU$5,Demand_previous!$D$2:$AY$2&amp;Demand_previous!$D$3:$AY$3, 0))/1000</f>
        <v>0.90360500000000044</v>
      </c>
      <c r="AV62" s="384">
        <f>IF($D62=0,IF(C62=0, MAX(AY62 - (VLOOKUP($A62,TOCA_previous!$A$2:$AI$137,MATCH("RHWM 2016",TOCA_previous!$A$2:$AI$2,0),FALSE)*$F$2*TOCA_previous!C59),0),0), 0)</f>
        <v>0</v>
      </c>
      <c r="AW62" s="427">
        <f>VLOOKUP($A62,REP_previous!$A$1:$D$135,MATCH("FY "&amp;$F$1&amp; " Total Refund",REP_previous!$A$1:$D$1,0),0)</f>
        <v>92185.970451309142</v>
      </c>
      <c r="AX62" s="398">
        <f>MIN(VLOOKUP($A62,TOCA_previous!$A$2:$AI$137,MATCH("TRL - NLSL - Exisiting Resource "&amp;$F$1,TOCA_previous!$A$2:$AI$2,0),FALSE)*$F$2,(VLOOKUP($A62,TOCA_previous!$A$2:$AI$137,MATCH("RHWM 2016",TOCA_previous!$A$2:$AI$2,0),FALSE)*$F$2))</f>
        <v>49814.064000000006</v>
      </c>
      <c r="AY62" s="384">
        <f>SUM(L62:AI62)+(F62*RT1SC!$C$3*$F$2)</f>
        <v>47743.717117252316</v>
      </c>
      <c r="AZ62" s="398">
        <f>VLOOKUP($A62,TOCA_previous!$A$2:$AI$137,MATCH("Above RHWM Not Served with LS "&amp;$F$1,TOCA_previous!$A$2:$AI$2,0),FALSE)*$F$2</f>
        <v>0</v>
      </c>
      <c r="BA62" s="206">
        <f t="shared" si="3"/>
        <v>-2070.34688274769</v>
      </c>
      <c r="BB62" s="399">
        <f>(VLOOKUP($A62,TOCA_previous!$A$2:$AI$137,MATCH("RHWM 2016",TOCA_previous!$A$2:$AI$2,0),FALSE)*$F$2) - $AX62</f>
        <v>3258.8639999999941</v>
      </c>
      <c r="BC62" s="206">
        <f t="shared" si="4"/>
        <v>0</v>
      </c>
      <c r="BD62" s="400">
        <f t="shared" si="5"/>
        <v>2070.34688274769</v>
      </c>
      <c r="BE62" s="392">
        <f t="shared" si="6"/>
        <v>0</v>
      </c>
      <c r="BF62" s="399">
        <f t="shared" si="7"/>
        <v>2070.34688274769</v>
      </c>
      <c r="BG62" s="206">
        <f>VLOOKUP($A62,TOCA_current!$A$2:$AI$137,MATCH(BG$4,TOCA_current!$A$2:$AI$2,0),FALSE)</f>
        <v>7.9529999999999998E-4</v>
      </c>
      <c r="BH62" s="206">
        <f>VLOOKUP($A62,TOCA_current!$A$2:$AI$137,MATCH(BH$4,TOCA_current!$A$2:$AI$2,0),FALSE)</f>
        <v>7.9529999999999998E-4</v>
      </c>
      <c r="BI62" s="391">
        <f t="shared" si="8"/>
        <v>0</v>
      </c>
      <c r="BJ62" s="206">
        <f>VLOOKUP($A62,TOCA_current!A58:BG193,MATCH(BJ$4,TOCA_current!$A$2:$BG$2,0),FALSE)</f>
        <v>0</v>
      </c>
      <c r="BK62" s="206">
        <f t="shared" si="9"/>
        <v>0</v>
      </c>
      <c r="BL62" s="206">
        <f t="shared" si="10"/>
        <v>0</v>
      </c>
      <c r="BM62" s="381">
        <f>VLOOKUP($A62,IRD!$A$4:$G$139, 7, FALSE)</f>
        <v>0</v>
      </c>
      <c r="BN62" s="382">
        <f t="array" ref="BN62">IF($BI62=0, INDEX(LS_current!$D$4:$AY$139, MATCH('Staging Table'!$A62, LS_current!$B$4:$B$139, 0), MATCH(BN$4&amp;BN$5, LS_current!$D$2:$AY$2&amp;LS_current!$D$3:$AY$3, 0)),SUM(VLOOKUP($A62, LS_current!$B$4:$AY$139, LS_current!D$149, FALSE), VLOOKUP($A62, LS_current!$B$4:$AY$139,LS_current!D$149, FALSE))/2)</f>
        <v>-30.866383897811374</v>
      </c>
      <c r="BO62" s="382">
        <f t="array" ref="BO62">IF($BI62=0, INDEX(LS_current!$D$4:$AY$139, MATCH('Staging Table'!$A62, LS_current!$B$4:$B$139, 0), MATCH(BO$4&amp;BO$5, LS_current!$D$2:$AY$2&amp;LS_current!$D$3:$AY$3, 0)),SUM(VLOOKUP($A62, LS_current!$B$4:$AY$139, LS_current!E$149, FALSE), VLOOKUP($A62, LS_current!$B$4:$AY$139,LS_current!E$149, FALSE))/2)</f>
        <v>93.692711469441974</v>
      </c>
      <c r="BP62" s="382">
        <f t="array" ref="BP62">IF($BI62=0, INDEX(LS_current!$D$4:$AY$139, MATCH('Staging Table'!$A62, LS_current!$B$4:$B$139, 0), MATCH(BP$4&amp;BP$5, LS_current!$D$2:$AY$2&amp;LS_current!$D$3:$AY$3, 0)),SUM(VLOOKUP($A62, LS_current!$B$4:$AY$139, LS_current!F$149, FALSE), VLOOKUP($A62, LS_current!$B$4:$AY$139,LS_current!F$149, FALSE))/2)</f>
        <v>-634.72196530861811</v>
      </c>
      <c r="BQ62" s="382">
        <f t="array" ref="BQ62">IF($BI62=0, INDEX(LS_current!$D$4:$AY$139, MATCH('Staging Table'!$A62, LS_current!$B$4:$B$139, 0), MATCH(BQ$4&amp;BQ$5, LS_current!$D$2:$AY$2&amp;LS_current!$D$3:$AY$3, 0)),SUM(VLOOKUP($A62, LS_current!$B$4:$AY$139, LS_current!G$149, FALSE), VLOOKUP($A62, LS_current!$B$4:$AY$139,LS_current!G$149, FALSE))/2)</f>
        <v>-116.044996309721</v>
      </c>
      <c r="BR62" s="382">
        <f t="array" ref="BR62">IF($BI62=0, INDEX(LS_current!$D$4:$AY$139, MATCH('Staging Table'!$A62, LS_current!$B$4:$B$139, 0), MATCH(BR$4&amp;BR$5, LS_current!$D$2:$AY$2&amp;LS_current!$D$3:$AY$3, 0)),SUM(VLOOKUP($A62, LS_current!$B$4:$AY$139, LS_current!H$149, FALSE), VLOOKUP($A62, LS_current!$B$4:$AY$139,LS_current!H$149, FALSE))/2)</f>
        <v>-171.22055617510978</v>
      </c>
      <c r="BS62" s="382">
        <f t="array" ref="BS62">IF($BI62=0, INDEX(LS_current!$D$4:$AY$139, MATCH('Staging Table'!$A62, LS_current!$B$4:$B$139, 0), MATCH(BS$4&amp;BS$5, LS_current!$D$2:$AY$2&amp;LS_current!$D$3:$AY$3, 0)),SUM(VLOOKUP($A62, LS_current!$B$4:$AY$139, LS_current!I$149, FALSE), VLOOKUP($A62, LS_current!$B$4:$AY$139,LS_current!I$149, FALSE))/2)</f>
        <v>115.64578171359722</v>
      </c>
      <c r="BT62" s="382">
        <f t="array" ref="BT62">IF($BI62=0, INDEX(LS_current!$D$4:$AY$139, MATCH('Staging Table'!$A62, LS_current!$B$4:$B$139, 0), MATCH(BT$4&amp;BT$5, LS_current!$D$2:$AY$2&amp;LS_current!$D$3:$AY$3, 0)),SUM(VLOOKUP($A62, LS_current!$B$4:$AY$139, LS_current!J$149, FALSE), VLOOKUP($A62, LS_current!$B$4:$AY$139,LS_current!J$149, FALSE))/2)</f>
        <v>308.47659595328605</v>
      </c>
      <c r="BU62" s="382">
        <f t="array" ref="BU62">IF($BI62=0, INDEX(LS_current!$D$4:$AY$139, MATCH('Staging Table'!$A62, LS_current!$B$4:$B$139, 0), MATCH(BU$4&amp;BU$5, LS_current!$D$2:$AY$2&amp;LS_current!$D$3:$AY$3, 0)),SUM(VLOOKUP($A62, LS_current!$B$4:$AY$139, LS_current!K$149, FALSE), VLOOKUP($A62, LS_current!$B$4:$AY$139,LS_current!K$149, FALSE))/2)</f>
        <v>325.63431518996663</v>
      </c>
      <c r="BV62" s="382">
        <f t="array" ref="BV62">IF($BI62=0, INDEX(LS_current!$D$4:$AY$139, MATCH('Staging Table'!$A62, LS_current!$B$4:$B$139, 0), MATCH(BV$4&amp;BV$5, LS_current!$D$2:$AY$2&amp;LS_current!$D$3:$AY$3, 0)),SUM(VLOOKUP($A62, LS_current!$B$4:$AY$139, LS_current!L$149, FALSE), VLOOKUP($A62, LS_current!$B$4:$AY$139,LS_current!L$149, FALSE))/2)</f>
        <v>377.84717925772338</v>
      </c>
      <c r="BW62" s="382">
        <f t="array" ref="BW62">IF($BI62=0, INDEX(LS_current!$D$4:$AY$139, MATCH('Staging Table'!$A62, LS_current!$B$4:$B$139, 0), MATCH(BW$4&amp;BW$5, LS_current!$D$2:$AY$2&amp;LS_current!$D$3:$AY$3, 0)),SUM(VLOOKUP($A62, LS_current!$B$4:$AY$139, LS_current!M$149, FALSE), VLOOKUP($A62, LS_current!$B$4:$AY$139,LS_current!M$149, FALSE))/2)</f>
        <v>362.49113129014745</v>
      </c>
      <c r="BX62" s="382">
        <f t="array" ref="BX62">IF($BI62=0, INDEX(LS_current!$D$4:$AY$139, MATCH('Staging Table'!$A62, LS_current!$B$4:$B$139, 0), MATCH(BX$4&amp;BX$5, LS_current!$D$2:$AY$2&amp;LS_current!$D$3:$AY$3, 0)),SUM(VLOOKUP($A62, LS_current!$B$4:$AY$139, LS_current!N$149, FALSE), VLOOKUP($A62, LS_current!$B$4:$AY$139,LS_current!N$149, FALSE))/2)</f>
        <v>7.4041766697559979</v>
      </c>
      <c r="BY62" s="382">
        <f t="array" ref="BY62">IF($BI62=0, INDEX(LS_current!$D$4:$AY$139, MATCH('Staging Table'!$A62, LS_current!$B$4:$B$139, 0), MATCH(BY$4&amp;BY$5, LS_current!$D$2:$AY$2&amp;LS_current!$D$3:$AY$3, 0)),SUM(VLOOKUP($A62, LS_current!$B$4:$AY$139, LS_current!O$149, FALSE), VLOOKUP($A62, LS_current!$B$4:$AY$139,LS_current!O$149, FALSE))/2)</f>
        <v>149.44624258332465</v>
      </c>
      <c r="BZ62" s="382">
        <f t="array" ref="BZ62">IF($BI62=0, INDEX(LS_current!$D$4:$AY$139, MATCH('Staging Table'!$A62, LS_current!$B$4:$B$139, 0), MATCH(BZ$4&amp;BZ$5, LS_current!$D$2:$AY$2&amp;LS_current!$D$3:$AY$3, 0)),SUM(VLOOKUP($A62, LS_current!$B$4:$AY$139, LS_current!P$149, FALSE), VLOOKUP($A62, LS_current!$B$4:$AY$139,LS_current!P$149, FALSE))/2)</f>
        <v>2.1195412632951047</v>
      </c>
      <c r="CA62" s="382">
        <f t="array" ref="CA62">IF($BI62=0, INDEX(LS_current!$D$4:$AY$139, MATCH('Staging Table'!$A62, LS_current!$B$4:$B$139, 0), MATCH(CA$4&amp;CA$5, LS_current!$D$2:$AY$2&amp;LS_current!$D$3:$AY$3, 0)),SUM(VLOOKUP($A62, LS_current!$B$4:$AY$139, LS_current!Q$149, FALSE), VLOOKUP($A62, LS_current!$B$4:$AY$139,LS_current!Q$149, FALSE))/2)</f>
        <v>148.02710791703794</v>
      </c>
      <c r="CB62" s="382">
        <f t="array" ref="CB62">IF($BI62=0, INDEX(LS_current!$D$4:$AY$139, MATCH('Staging Table'!$A62, LS_current!$B$4:$B$139, 0), MATCH(CB$4&amp;CB$5, LS_current!$D$2:$AY$2&amp;LS_current!$D$3:$AY$3, 0)),SUM(VLOOKUP($A62, LS_current!$B$4:$AY$139, LS_current!R$149, FALSE), VLOOKUP($A62, LS_current!$B$4:$AY$139,LS_current!R$149, FALSE))/2)</f>
        <v>-1111.4246637252982</v>
      </c>
      <c r="CC62" s="382">
        <f t="array" ref="CC62">IF($BI62=0, INDEX(LS_current!$D$4:$AY$139, MATCH('Staging Table'!$A62, LS_current!$B$4:$B$139, 0), MATCH(CC$4&amp;CC$5, LS_current!$D$2:$AY$2&amp;LS_current!$D$3:$AY$3, 0)),SUM(VLOOKUP($A62, LS_current!$B$4:$AY$139, LS_current!S$149, FALSE), VLOOKUP($A62, LS_current!$B$4:$AY$139,LS_current!S$149, FALSE))/2)</f>
        <v>-453.32524480852044</v>
      </c>
      <c r="CD62" s="382">
        <f t="array" ref="CD62">IF($BI62=0, INDEX(LS_current!$D$4:$AY$139, MATCH('Staging Table'!$A62, LS_current!$B$4:$B$139, 0), MATCH(CD$4&amp;CD$5, LS_current!$D$2:$AY$2&amp;LS_current!$D$3:$AY$3, 0)),SUM(VLOOKUP($A62, LS_current!$B$4:$AY$139, LS_current!T$149, FALSE), VLOOKUP($A62, LS_current!$B$4:$AY$139,LS_current!T$149, FALSE))/2)</f>
        <v>-462.09454847750976</v>
      </c>
      <c r="CE62" s="382">
        <f t="array" ref="CE62">IF($BI62=0, INDEX(LS_current!$D$4:$AY$139, MATCH('Staging Table'!$A62, LS_current!$B$4:$B$139, 0), MATCH(CE$4&amp;CE$5, LS_current!$D$2:$AY$2&amp;LS_current!$D$3:$AY$3, 0)),SUM(VLOOKUP($A62, LS_current!$B$4:$AY$139, LS_current!U$149, FALSE), VLOOKUP($A62, LS_current!$B$4:$AY$139,LS_current!U$149, FALSE))/2)</f>
        <v>-67.36451070007206</v>
      </c>
      <c r="CF62" s="382">
        <f t="array" ref="CF62">IF($BI62=0, INDEX(LS_current!$D$4:$AY$139, MATCH('Staging Table'!$A62, LS_current!$B$4:$B$139, 0), MATCH(CF$4&amp;CF$5, LS_current!$D$2:$AY$2&amp;LS_current!$D$3:$AY$3, 0)),SUM(VLOOKUP($A62, LS_current!$B$4:$AY$139, LS_current!V$149, FALSE), VLOOKUP($A62, LS_current!$B$4:$AY$139,LS_current!V$149, FALSE))/2)</f>
        <v>187.64154859288237</v>
      </c>
      <c r="CG62" s="382">
        <f t="array" ref="CG62">IF($BI62=0, INDEX(LS_current!$D$4:$AY$139, MATCH('Staging Table'!$A62, LS_current!$B$4:$B$139, 0), MATCH(CG$4&amp;CG$5, LS_current!$D$2:$AY$2&amp;LS_current!$D$3:$AY$3, 0)),SUM(VLOOKUP($A62, LS_current!$B$4:$AY$139, LS_current!W$149, FALSE), VLOOKUP($A62, LS_current!$B$4:$AY$139,LS_current!W$149, FALSE))/2)</f>
        <v>332.38174880634051</v>
      </c>
      <c r="CH62" s="382">
        <f t="array" ref="CH62">IF($BI62=0, INDEX(LS_current!$D$4:$AY$139, MATCH('Staging Table'!$A62, LS_current!$B$4:$B$139, 0), MATCH(CH$4&amp;CH$5, LS_current!$D$2:$AY$2&amp;LS_current!$D$3:$AY$3, 0)),SUM(VLOOKUP($A62, LS_current!$B$4:$AY$139, LS_current!X$149, FALSE), VLOOKUP($A62, LS_current!$B$4:$AY$139,LS_current!X$149, FALSE))/2)</f>
        <v>-120.1510490274286</v>
      </c>
      <c r="CI62" s="382">
        <f t="array" ref="CI62">IF($BI62=0, INDEX(LS_current!$D$4:$AY$139, MATCH('Staging Table'!$A62, LS_current!$B$4:$B$139, 0), MATCH(CI$4&amp;CI$5, LS_current!$D$2:$AY$2&amp;LS_current!$D$3:$AY$3, 0)),SUM(VLOOKUP($A62, LS_current!$B$4:$AY$139, LS_current!Y$149, FALSE), VLOOKUP($A62, LS_current!$B$4:$AY$139,LS_current!Y$149, FALSE))/2)</f>
        <v>167.18273297515634</v>
      </c>
      <c r="CJ62" s="382">
        <f t="array" ref="CJ62">IF($BI62=0, INDEX(LS_current!$D$4:$AY$139, MATCH('Staging Table'!$A62, LS_current!$B$4:$B$139, 0), MATCH(CJ$4&amp;CJ$5, LS_current!$D$2:$AY$2&amp;LS_current!$D$3:$AY$3, 0)),SUM(VLOOKUP($A62, LS_current!$B$4:$AY$139, LS_current!Z$149, FALSE), VLOOKUP($A62, LS_current!$B$4:$AY$139,LS_current!Z$149, FALSE))/2)</f>
        <v>-162.47301666811973</v>
      </c>
      <c r="CK62" s="382">
        <f t="array" ref="CK62">IF($BI62=0, INDEX(LS_current!$D$4:$AY$139, MATCH('Staging Table'!$A62, LS_current!$B$4:$B$139, 0), MATCH(CK$4&amp;CK$5, LS_current!$D$2:$AY$2&amp;LS_current!$D$3:$AY$3, 0)),SUM(VLOOKUP($A62, LS_current!$B$4:$AY$139, LS_current!AA$149, FALSE), VLOOKUP($A62, LS_current!$B$4:$AY$139,LS_current!AA$149, FALSE))/2)</f>
        <v>111.8662588023376</v>
      </c>
      <c r="CL62" s="384">
        <f t="array" ref="CL62">INDEX(Demand_current!$D$4:$AY$138, MATCH($A62, Demand_current!$B$4:$B$138, 0), MATCH(CL$4&amp;CL$5,Demand_current!$D$2:$AY$2&amp;Demand_current!$D$3:$AY$3, 0))/1000</f>
        <v>0.66387740384615457</v>
      </c>
      <c r="CM62" s="384">
        <f t="array" ref="CM62">INDEX(Demand_current!$D$4:$AY$138, MATCH($A62, Demand_current!$B$4:$B$138, 0), MATCH(CM$4&amp;CM$5,Demand_current!$D$2:$AY$2&amp;Demand_current!$D$3:$AY$3, 0))/1000</f>
        <v>1.0856574999999995</v>
      </c>
      <c r="CN62" s="384">
        <f t="array" ref="CN62">INDEX(Demand_current!$D$4:$AY$138, MATCH($A62, Demand_current!$B$4:$B$138, 0), MATCH(CN$4&amp;CN$5,Demand_current!$D$2:$AY$2&amp;Demand_current!$D$3:$AY$3, 0))/1000</f>
        <v>0.85560999999999976</v>
      </c>
      <c r="CO62" s="384">
        <f t="array" ref="CO62">INDEX(Demand_current!$D$4:$AY$138, MATCH($A62, Demand_current!$B$4:$B$138, 0), MATCH(CO$4&amp;CO$5,Demand_current!$D$2:$AY$2&amp;Demand_current!$D$3:$AY$3, 0))/1000</f>
        <v>1.1615576923076925</v>
      </c>
      <c r="CP62" s="384">
        <f t="array" ref="CP62">INDEX(Demand_current!$D$4:$AY$138, MATCH($A62, Demand_current!$B$4:$B$138, 0), MATCH(CP$4&amp;CP$5,Demand_current!$D$2:$AY$2&amp;Demand_current!$D$3:$AY$3, 0))/1000</f>
        <v>1.112382812500001</v>
      </c>
      <c r="CQ62" s="384">
        <f t="array" ref="CQ62">INDEX(Demand_current!$D$4:$AY$138, MATCH($A62, Demand_current!$B$4:$B$138, 0), MATCH(CQ$4&amp;CQ$5,Demand_current!$D$2:$AY$2&amp;Demand_current!$D$3:$AY$3, 0))/1000</f>
        <v>1.0881944444444438</v>
      </c>
      <c r="CR62" s="384">
        <f t="array" ref="CR62">INDEX(Demand_current!$D$4:$AY$138, MATCH($A62, Demand_current!$B$4:$B$138, 0), MATCH(CR$4&amp;CR$5,Demand_current!$D$2:$AY$2&amp;Demand_current!$D$3:$AY$3, 0))/1000</f>
        <v>0.69137249999999983</v>
      </c>
      <c r="CS62" s="384">
        <f t="array" ref="CS62">INDEX(Demand_current!$D$4:$AY$138, MATCH($A62, Demand_current!$B$4:$B$138, 0), MATCH(CS$4&amp;CS$5,Demand_current!$D$2:$AY$2&amp;Demand_current!$D$3:$AY$3, 0))/1000</f>
        <v>1.2597355769230767</v>
      </c>
      <c r="CT62" s="384">
        <f t="array" ref="CT62">INDEX(Demand_current!$D$4:$AY$138, MATCH($A62, Demand_current!$B$4:$B$138, 0), MATCH(CT$4&amp;CT$5,Demand_current!$D$2:$AY$2&amp;Demand_current!$D$3:$AY$3, 0))/1000</f>
        <v>1.025713942307692</v>
      </c>
      <c r="CU62" s="384">
        <f t="array" ref="CU62">INDEX(Demand_current!$D$4:$AY$138, MATCH($A62, Demand_current!$B$4:$B$138, 0), MATCH(CU$4&amp;CU$5,Demand_current!$D$2:$AY$2&amp;Demand_current!$D$3:$AY$3, 0))/1000</f>
        <v>0.62715999999999861</v>
      </c>
      <c r="CV62" s="384">
        <f t="array" ref="CV62">INDEX(Demand_current!$D$4:$AY$138, MATCH($A62, Demand_current!$B$4:$B$138, 0), MATCH(CV$4&amp;CV$5,Demand_current!$D$2:$AY$2&amp;Demand_current!$D$3:$AY$3, 0))/1000</f>
        <v>0.97357175925926032</v>
      </c>
      <c r="CW62" s="384">
        <f t="array" ref="CW62">INDEX(Demand_current!$D$4:$AY$138, MATCH($A62, Demand_current!$B$4:$B$138, 0), MATCH(CW$4&amp;CW$5,Demand_current!$D$2:$AY$2&amp;Demand_current!$D$3:$AY$3, 0))/1000</f>
        <v>0.67400520833333366</v>
      </c>
      <c r="CX62" s="384">
        <f>IF(D62=0,IF(C62=0,MAX(0,DA62 - (VLOOKUP($A62,TOCA_current!$A$2:$AI$137,MATCH("RHWM 2018",TOCA_current!$A$2:$AI$2,0),FALSE)*$BH$2)), 0),0)</f>
        <v>0</v>
      </c>
      <c r="CY62" s="427">
        <f>VLOOKUP($A62,REP_current!$A$1:$D$135,MATCH("FY "&amp;$BH$1&amp; " Total Refund",REP_current!$A$1:$D$1,0),0)</f>
        <v>92012.840640199531</v>
      </c>
      <c r="CZ62" s="432">
        <f>MIN(VLOOKUP($A62,TOCA_current!$A$2:$AI$137,MATCH("TRL - NLSL - Existing Resource "&amp;$BH$1,TOCA_current!$A$2:$AI$2,0),FALSE)*$BH$2, VLOOKUP($A62,TOCA_current!$A$2:$AI$137,MATCH("RHWM 2018",TOCA_current!$A$2:$AI$2,0),FALSE)*$BH$2)</f>
        <v>48381.479999999996</v>
      </c>
      <c r="DA62" s="397">
        <f>SUM(BN62:CK62)+(BH62*RT1SC!$C$4*$BH$2)</f>
        <v>47743.717705874078</v>
      </c>
      <c r="DB62" s="432">
        <f>VLOOKUP($A62,TOCA_current!$A$2:$AI$137,MATCH("Above RHWM Not Served with LS "&amp;$BH$1,TOCA_current!$A$2:$AI$2,0),FALSE)*$BH$2</f>
        <v>0</v>
      </c>
      <c r="DC62" s="401">
        <f t="shared" si="11"/>
        <v>-637.76229412591783</v>
      </c>
      <c r="DD62" s="397">
        <f>(VLOOKUP($A62,TOCA_current!$A$2:$AI$137,MATCH("RHWM 2018",TOCA_current!$A$2:$AI$2,0),FALSE)*$BH$2) - $CZ62</f>
        <v>4213.5599999999977</v>
      </c>
      <c r="DE62" s="397">
        <f t="shared" si="12"/>
        <v>0</v>
      </c>
      <c r="DF62" s="397">
        <f t="shared" si="13"/>
        <v>637.76229412591783</v>
      </c>
      <c r="DG62" s="397">
        <f t="shared" si="14"/>
        <v>0</v>
      </c>
      <c r="DH62" s="397">
        <f t="shared" si="15"/>
        <v>637.76229412591783</v>
      </c>
    </row>
    <row r="63" spans="1:112">
      <c r="A63" s="274">
        <v>10173</v>
      </c>
      <c r="B63" s="275" t="s">
        <v>64</v>
      </c>
      <c r="C63" s="397">
        <v>1</v>
      </c>
      <c r="D63" s="397">
        <v>0</v>
      </c>
      <c r="E63" s="205">
        <f>VLOOKUP($A63,TOCA_previous!$A$2:$AI$137,MATCH(E$4,TOCA_previous!$A$2:$AI$2,0),FALSE)</f>
        <v>4.6981000000000002E-3</v>
      </c>
      <c r="F63" s="206">
        <f>VLOOKUP($A63,TOCA_previous!$A$2:$AI$137,MATCH(F$4,TOCA_previous!$A$2:$AI$2,0),FALSE)</f>
        <v>4.6981000000000002E-3</v>
      </c>
      <c r="G63" s="206">
        <f t="shared" si="0"/>
        <v>0</v>
      </c>
      <c r="H63" s="206">
        <f>VLOOKUP($A63,TOCA_previous!$A$2:$AI$137,MATCH(H$4,TOCA_previous!$A$2:$AI$2,0),FALSE)</f>
        <v>7.3550000000000004E-2</v>
      </c>
      <c r="I63" s="206">
        <f t="shared" si="1"/>
        <v>7.3550000000000004E-2</v>
      </c>
      <c r="J63" s="206">
        <f t="shared" si="2"/>
        <v>4.6981000000000002E-3</v>
      </c>
      <c r="K63" s="381">
        <f>VLOOKUP(A63, IRD!$A$5:$C$139, 3, FALSE)</f>
        <v>44309.995999999999</v>
      </c>
      <c r="L63" s="382">
        <f t="array" ref="L63">IF($G63=0, INDEX(LS_previous!$D$4:$AY$138, MATCH('Staging Table'!$A63, LS_previous!$B$4:$B$138, 0), MATCH(L$4&amp;L$5, LS_previous!$D$2:$AY$2&amp;LS_previous!$D$3:$AY$3, 0)),SUM(VLOOKUP($A63, LS_previous!$B$4:$AY$138, LS_previous!D$149, FALSE), VLOOKUP('Staging Table'!$A63, LS_previous!$B$4:$AY$138,LS_previous!AB$149, FALSE))/2)</f>
        <v>0</v>
      </c>
      <c r="M63" s="382">
        <f t="array" ref="M63">IF($G63=0, INDEX(LS_previous!$D$4:$AY$138, MATCH('Staging Table'!$A63, LS_previous!$B$4:$B$138, 0), MATCH(M$4&amp;M$5, LS_previous!$D$2:$AY$2&amp;LS_previous!$D$3:$AY$3, 0)),SUM(VLOOKUP($A63, LS_previous!$B$4:$AY$138, LS_previous!E$149, FALSE), VLOOKUP('Staging Table'!$A63, LS_previous!$B$4:$AY$138,LS_previous!AC$149, FALSE))/2)</f>
        <v>0</v>
      </c>
      <c r="N63" s="382">
        <f t="array" ref="N63">IF($G63=0, INDEX(LS_previous!$D$4:$AY$138, MATCH('Staging Table'!$A63, LS_previous!$B$4:$B$138, 0), MATCH(N$4&amp;N$5, LS_previous!$D$2:$AY$2&amp;LS_previous!$D$3:$AY$3, 0)),SUM(VLOOKUP($A63, LS_previous!$B$4:$AY$138, LS_previous!F$149, FALSE), VLOOKUP('Staging Table'!$A63, LS_previous!$B$4:$AY$138,LS_previous!AD$149, FALSE))/2)</f>
        <v>0</v>
      </c>
      <c r="O63" s="382">
        <f t="array" ref="O63">IF($G63=0, INDEX(LS_previous!$D$4:$AY$138, MATCH('Staging Table'!$A63, LS_previous!$B$4:$B$138, 0), MATCH(O$4&amp;O$5, LS_previous!$D$2:$AY$2&amp;LS_previous!$D$3:$AY$3, 0)),SUM(VLOOKUP($A63, LS_previous!$B$4:$AY$138, LS_previous!G$149, FALSE), VLOOKUP('Staging Table'!$A63, LS_previous!$B$4:$AY$138,LS_previous!AE$149, FALSE))/2)</f>
        <v>0</v>
      </c>
      <c r="P63" s="382">
        <f t="array" ref="P63">IF($G63=0, INDEX(LS_previous!$D$4:$AY$138, MATCH('Staging Table'!$A63, LS_previous!$B$4:$B$138, 0), MATCH(P$4&amp;P$5, LS_previous!$D$2:$AY$2&amp;LS_previous!$D$3:$AY$3, 0)),SUM(VLOOKUP($A63, LS_previous!$B$4:$AY$138, LS_previous!H$149, FALSE), VLOOKUP('Staging Table'!$A63, LS_previous!$B$4:$AY$138,LS_previous!AF$149, FALSE))/2)</f>
        <v>0</v>
      </c>
      <c r="Q63" s="382">
        <f t="array" ref="Q63">IF($G63=0, INDEX(LS_previous!$D$4:$AY$138, MATCH('Staging Table'!$A63, LS_previous!$B$4:$B$138, 0), MATCH(Q$4&amp;Q$5, LS_previous!$D$2:$AY$2&amp;LS_previous!$D$3:$AY$3, 0)),SUM(VLOOKUP($A63, LS_previous!$B$4:$AY$138, LS_previous!I$149, FALSE), VLOOKUP('Staging Table'!$A63, LS_previous!$B$4:$AY$138,LS_previous!AG$149, FALSE))/2)</f>
        <v>0</v>
      </c>
      <c r="R63" s="382">
        <f t="array" ref="R63">IF($G63=0, INDEX(LS_previous!$D$4:$AY$138, MATCH('Staging Table'!$A63, LS_previous!$B$4:$B$138, 0), MATCH(R$4&amp;R$5, LS_previous!$D$2:$AY$2&amp;LS_previous!$D$3:$AY$3, 0)),SUM(VLOOKUP($A63, LS_previous!$B$4:$AY$138, LS_previous!J$149, FALSE), VLOOKUP('Staging Table'!$A63, LS_previous!$B$4:$AY$138,LS_previous!AH$149, FALSE))/2)</f>
        <v>0</v>
      </c>
      <c r="S63" s="382">
        <f t="array" ref="S63">IF($G63=0, INDEX(LS_previous!$D$4:$AY$138, MATCH('Staging Table'!$A63, LS_previous!$B$4:$B$138, 0), MATCH(S$4&amp;S$5, LS_previous!$D$2:$AY$2&amp;LS_previous!$D$3:$AY$3, 0)),SUM(VLOOKUP($A63, LS_previous!$B$4:$AY$138, LS_previous!K$149, FALSE), VLOOKUP('Staging Table'!$A63, LS_previous!$B$4:$AY$138,LS_previous!AI$149, FALSE))/2)</f>
        <v>0</v>
      </c>
      <c r="T63" s="382">
        <f t="array" ref="T63">IF($G63=0, INDEX(LS_previous!$D$4:$AY$138, MATCH('Staging Table'!$A63, LS_previous!$B$4:$B$138, 0), MATCH(T$4&amp;T$5, LS_previous!$D$2:$AY$2&amp;LS_previous!$D$3:$AY$3, 0)),SUM(VLOOKUP($A63, LS_previous!$B$4:$AY$138, LS_previous!L$149, FALSE), VLOOKUP('Staging Table'!$A63, LS_previous!$B$4:$AY$138,LS_previous!AJ$149, FALSE))/2)</f>
        <v>0</v>
      </c>
      <c r="U63" s="382">
        <f t="array" ref="U63">IF($G63=0, INDEX(LS_previous!$D$4:$AY$138, MATCH('Staging Table'!$A63, LS_previous!$B$4:$B$138, 0), MATCH(U$4&amp;U$5, LS_previous!$D$2:$AY$2&amp;LS_previous!$D$3:$AY$3, 0)),SUM(VLOOKUP($A63, LS_previous!$B$4:$AY$138, LS_previous!M$149, FALSE), VLOOKUP('Staging Table'!$A63, LS_previous!$B$4:$AY$138,LS_previous!AK$149, FALSE))/2)</f>
        <v>0</v>
      </c>
      <c r="V63" s="382">
        <f t="array" ref="V63">IF($G63=0, INDEX(LS_previous!$D$4:$AY$138, MATCH('Staging Table'!$A63, LS_previous!$B$4:$B$138, 0), MATCH(V$4&amp;V$5, LS_previous!$D$2:$AY$2&amp;LS_previous!$D$3:$AY$3, 0)),SUM(VLOOKUP($A63, LS_previous!$B$4:$AY$138, LS_previous!N$149, FALSE), VLOOKUP('Staging Table'!$A63, LS_previous!$B$4:$AY$138,LS_previous!AL$149, FALSE))/2)</f>
        <v>0</v>
      </c>
      <c r="W63" s="382">
        <f t="array" ref="W63">IF($G63=0, INDEX(LS_previous!$D$4:$AY$138, MATCH('Staging Table'!$A63, LS_previous!$B$4:$B$138, 0), MATCH(W$4&amp;W$5, LS_previous!$D$2:$AY$2&amp;LS_previous!$D$3:$AY$3, 0)),SUM(VLOOKUP($A63, LS_previous!$B$4:$AY$138, LS_previous!O$149, FALSE), VLOOKUP('Staging Table'!$A63, LS_previous!$B$4:$AY$138,LS_previous!AM$149, FALSE))/2)</f>
        <v>0</v>
      </c>
      <c r="X63" s="382">
        <f t="array" ref="X63">IF($G63=0, INDEX(LS_previous!$D$4:$AY$138, MATCH('Staging Table'!$A63, LS_previous!$B$4:$B$138, 0), MATCH(X$4&amp;X$5, LS_previous!$D$2:$AY$2&amp;LS_previous!$D$3:$AY$3, 0)),SUM(VLOOKUP($A63, LS_previous!$B$4:$AY$138, LS_previous!P$149, FALSE), VLOOKUP('Staging Table'!$A63, LS_previous!$B$4:$AY$138,LS_previous!AN$149, FALSE))/2)</f>
        <v>0</v>
      </c>
      <c r="Y63" s="382">
        <f t="array" ref="Y63">IF($G63=0, INDEX(LS_previous!$D$4:$AY$138, MATCH('Staging Table'!$A63, LS_previous!$B$4:$B$138, 0), MATCH(Y$4&amp;Y$5, LS_previous!$D$2:$AY$2&amp;LS_previous!$D$3:$AY$3, 0)),SUM(VLOOKUP($A63, LS_previous!$B$4:$AY$138, LS_previous!Q$149, FALSE), VLOOKUP('Staging Table'!$A63, LS_previous!$B$4:$AY$138,LS_previous!AO$149, FALSE))/2)</f>
        <v>0</v>
      </c>
      <c r="Z63" s="382">
        <f t="array" ref="Z63">IF($G63=0, INDEX(LS_previous!$D$4:$AY$138, MATCH('Staging Table'!$A63, LS_previous!$B$4:$B$138, 0), MATCH(Z$4&amp;Z$5, LS_previous!$D$2:$AY$2&amp;LS_previous!$D$3:$AY$3, 0)),SUM(VLOOKUP($A63, LS_previous!$B$4:$AY$138, LS_previous!R$149, FALSE), VLOOKUP('Staging Table'!$A63, LS_previous!$B$4:$AY$138,LS_previous!AP$149, FALSE))/2)</f>
        <v>0</v>
      </c>
      <c r="AA63" s="382">
        <f t="array" ref="AA63">IF($G63=0, INDEX(LS_previous!$D$4:$AY$138, MATCH('Staging Table'!$A63, LS_previous!$B$4:$B$138, 0), MATCH(AA$4&amp;AA$5, LS_previous!$D$2:$AY$2&amp;LS_previous!$D$3:$AY$3, 0)),SUM(VLOOKUP($A63, LS_previous!$B$4:$AY$138, LS_previous!S$149, FALSE), VLOOKUP('Staging Table'!$A63, LS_previous!$B$4:$AY$138,LS_previous!AQ$149, FALSE))/2)</f>
        <v>0</v>
      </c>
      <c r="AB63" s="382">
        <f t="array" ref="AB63">IF($G63=0, INDEX(LS_previous!$D$4:$AY$138, MATCH('Staging Table'!$A63, LS_previous!$B$4:$B$138, 0), MATCH(AB$4&amp;AB$5, LS_previous!$D$2:$AY$2&amp;LS_previous!$D$3:$AY$3, 0)),SUM(VLOOKUP($A63, LS_previous!$B$4:$AY$138, LS_previous!T$149, FALSE), VLOOKUP('Staging Table'!$A63, LS_previous!$B$4:$AY$138,LS_previous!AR$149, FALSE))/2)</f>
        <v>0</v>
      </c>
      <c r="AC63" s="382">
        <f t="array" ref="AC63">IF($G63=0, INDEX(LS_previous!$D$4:$AY$138, MATCH('Staging Table'!$A63, LS_previous!$B$4:$B$138, 0), MATCH(AC$4&amp;AC$5, LS_previous!$D$2:$AY$2&amp;LS_previous!$D$3:$AY$3, 0)),SUM(VLOOKUP($A63, LS_previous!$B$4:$AY$138, LS_previous!U$149, FALSE), VLOOKUP('Staging Table'!$A63, LS_previous!$B$4:$AY$138,LS_previous!AS$149, FALSE))/2)</f>
        <v>0</v>
      </c>
      <c r="AD63" s="382">
        <f t="array" ref="AD63">IF($G63=0, INDEX(LS_previous!$D$4:$AY$138, MATCH('Staging Table'!$A63, LS_previous!$B$4:$B$138, 0), MATCH(AD$4&amp;AD$5, LS_previous!$D$2:$AY$2&amp;LS_previous!$D$3:$AY$3, 0)),SUM(VLOOKUP($A63, LS_previous!$B$4:$AY$138, LS_previous!V$149, FALSE), VLOOKUP('Staging Table'!$A63, LS_previous!$B$4:$AY$138,LS_previous!AT$149, FALSE))/2)</f>
        <v>0</v>
      </c>
      <c r="AE63" s="382">
        <f t="array" ref="AE63">IF($G63=0, INDEX(LS_previous!$D$4:$AY$138, MATCH('Staging Table'!$A63, LS_previous!$B$4:$B$138, 0), MATCH(AE$4&amp;AE$5, LS_previous!$D$2:$AY$2&amp;LS_previous!$D$3:$AY$3, 0)),SUM(VLOOKUP($A63, LS_previous!$B$4:$AY$138, LS_previous!W$149, FALSE), VLOOKUP('Staging Table'!$A63, LS_previous!$B$4:$AY$138,LS_previous!AU$149, FALSE))/2)</f>
        <v>0</v>
      </c>
      <c r="AF63" s="382">
        <f t="array" ref="AF63">IF($G63=0, INDEX(LS_previous!$D$4:$AY$138, MATCH('Staging Table'!$A63, LS_previous!$B$4:$B$138, 0), MATCH(AF$4&amp;AF$5, LS_previous!$D$2:$AY$2&amp;LS_previous!$D$3:$AY$3, 0)),SUM(VLOOKUP($A63, LS_previous!$B$4:$AY$138, LS_previous!X$149, FALSE), VLOOKUP('Staging Table'!$A63, LS_previous!$B$4:$AY$138,LS_previous!AV$149, FALSE))/2)</f>
        <v>0</v>
      </c>
      <c r="AG63" s="382">
        <f t="array" ref="AG63">IF($G63=0, INDEX(LS_previous!$D$4:$AY$138, MATCH('Staging Table'!$A63, LS_previous!$B$4:$B$138, 0), MATCH(AG$4&amp;AG$5, LS_previous!$D$2:$AY$2&amp;LS_previous!$D$3:$AY$3, 0)),SUM(VLOOKUP($A63, LS_previous!$B$4:$AY$138, LS_previous!Y$149, FALSE), VLOOKUP('Staging Table'!$A63, LS_previous!$B$4:$AY$138,LS_previous!AW$149, FALSE))/2)</f>
        <v>0</v>
      </c>
      <c r="AH63" s="382">
        <f t="array" ref="AH63">IF($G63=0, INDEX(LS_previous!$D$4:$AY$138, MATCH('Staging Table'!$A63, LS_previous!$B$4:$B$138, 0), MATCH(AH$4&amp;AH$5, LS_previous!$D$2:$AY$2&amp;LS_previous!$D$3:$AY$3, 0)),SUM(VLOOKUP($A63, LS_previous!$B$4:$AY$138, LS_previous!Z$149, FALSE), VLOOKUP('Staging Table'!$A63, LS_previous!$B$4:$AY$138,LS_previous!AX$149, FALSE))/2)</f>
        <v>0</v>
      </c>
      <c r="AI63" s="382">
        <f t="array" ref="AI63">IF($G63=0, INDEX(LS_previous!$D$4:$AY$138, MATCH('Staging Table'!$A63, LS_previous!$B$4:$B$138, 0), MATCH(AI$4&amp;AI$5, LS_previous!$D$2:$AY$2&amp;LS_previous!$D$3:$AY$3, 0)),SUM(VLOOKUP($A63, LS_previous!$B$4:$AY$138, LS_previous!AA$149, FALSE), VLOOKUP('Staging Table'!$A63, LS_previous!$B$4:$AY$138,LS_previous!AY$149, FALSE))/2)</f>
        <v>0</v>
      </c>
      <c r="AJ63" s="384">
        <f t="array" ref="AJ63">INDEX(Demand_previous!$D$4:$AY$138, MATCH('Staging Table'!$A63, Demand_previous!$B$4:$B$138, 0), MATCH(AJ$4&amp;AJ$5,Demand_previous!$D$2:$AY$2&amp;Demand_previous!$D$3:$AY$3, 0))/1000</f>
        <v>0</v>
      </c>
      <c r="AK63" s="384">
        <f t="array" ref="AK63">INDEX(Demand_previous!$D$4:$AY$138, MATCH('Staging Table'!$A63, Demand_previous!$B$4:$B$138, 0), MATCH(AK$4&amp;AK$5,Demand_previous!$D$2:$AY$2&amp;Demand_previous!$D$3:$AY$3, 0))/1000</f>
        <v>0</v>
      </c>
      <c r="AL63" s="384">
        <f t="array" ref="AL63">INDEX(Demand_previous!$D$4:$AY$138, MATCH('Staging Table'!$A63, Demand_previous!$B$4:$B$138, 0), MATCH(AL$4&amp;AL$5,Demand_previous!$D$2:$AY$2&amp;Demand_previous!$D$3:$AY$3, 0))/1000</f>
        <v>0</v>
      </c>
      <c r="AM63" s="384">
        <f t="array" ref="AM63">INDEX(Demand_previous!$D$4:$AY$138, MATCH('Staging Table'!$A63, Demand_previous!$B$4:$B$138, 0), MATCH(AM$4&amp;AM$5,Demand_previous!$D$2:$AY$2&amp;Demand_previous!$D$3:$AY$3, 0))/1000</f>
        <v>0</v>
      </c>
      <c r="AN63" s="384">
        <f t="array" ref="AN63">INDEX(Demand_previous!$D$4:$AY$138, MATCH('Staging Table'!$A63, Demand_previous!$B$4:$B$138, 0), MATCH(AN$4&amp;AN$5,Demand_previous!$D$2:$AY$2&amp;Demand_previous!$D$3:$AY$3, 0))/1000</f>
        <v>0</v>
      </c>
      <c r="AO63" s="384">
        <f t="array" ref="AO63">INDEX(Demand_previous!$D$4:$AY$138, MATCH('Staging Table'!$A63, Demand_previous!$B$4:$B$138, 0), MATCH(AO$4&amp;AO$5,Demand_previous!$D$2:$AY$2&amp;Demand_previous!$D$3:$AY$3, 0))/1000</f>
        <v>0</v>
      </c>
      <c r="AP63" s="384">
        <f t="array" ref="AP63">INDEX(Demand_previous!$D$4:$AY$138, MATCH('Staging Table'!$A63, Demand_previous!$B$4:$B$138, 0), MATCH(AP$4&amp;AP$5,Demand_previous!$D$2:$AY$2&amp;Demand_previous!$D$3:$AY$3, 0))/1000</f>
        <v>0</v>
      </c>
      <c r="AQ63" s="384">
        <f t="array" ref="AQ63">INDEX(Demand_previous!$D$4:$AY$138, MATCH('Staging Table'!$A63, Demand_previous!$B$4:$B$138, 0), MATCH(AQ$4&amp;AQ$5,Demand_previous!$D$2:$AY$2&amp;Demand_previous!$D$3:$AY$3, 0))/1000</f>
        <v>0</v>
      </c>
      <c r="AR63" s="384">
        <f t="array" ref="AR63">INDEX(Demand_previous!$D$4:$AY$138, MATCH('Staging Table'!$A63, Demand_previous!$B$4:$B$138, 0), MATCH(AR$4&amp;AR$5,Demand_previous!$D$2:$AY$2&amp;Demand_previous!$D$3:$AY$3, 0))/1000</f>
        <v>0</v>
      </c>
      <c r="AS63" s="384">
        <f t="array" ref="AS63">INDEX(Demand_previous!$D$4:$AY$138, MATCH('Staging Table'!$A63, Demand_previous!$B$4:$B$138, 0), MATCH(AS$4&amp;AS$5,Demand_previous!$D$2:$AY$2&amp;Demand_previous!$D$3:$AY$3, 0))/1000</f>
        <v>0</v>
      </c>
      <c r="AT63" s="384">
        <f t="array" ref="AT63">INDEX(Demand_previous!$D$4:$AY$138, MATCH('Staging Table'!$A63, Demand_previous!$B$4:$B$138, 0), MATCH(AT$4&amp;AT$5,Demand_previous!$D$2:$AY$2&amp;Demand_previous!$D$3:$AY$3, 0))/1000</f>
        <v>0</v>
      </c>
      <c r="AU63" s="384">
        <f t="array" ref="AU63">INDEX(Demand_previous!$D$4:$AY$138, MATCH('Staging Table'!$A63, Demand_previous!$B$4:$B$138, 0), MATCH(AU$4&amp;AU$5,Demand_previous!$D$2:$AY$2&amp;Demand_previous!$D$3:$AY$3, 0))/1000</f>
        <v>0</v>
      </c>
      <c r="AV63" s="384">
        <f>IF($D63=0,IF(C63=0, MAX(AY63 - (VLOOKUP($A63,TOCA_previous!$A$2:$AI$137,MATCH("RHWM 2016",TOCA_previous!$A$2:$AI$2,0),FALSE)*$F$2*TOCA_previous!C60),0),0), 0)</f>
        <v>0</v>
      </c>
      <c r="AW63" s="427">
        <f>VLOOKUP($A63,REP_previous!$A$1:$D$135,MATCH("FY "&amp;$F$1&amp; " Total Refund",REP_previous!$A$1:$D$1,0),0)</f>
        <v>335913.96093309112</v>
      </c>
      <c r="AX63" s="398">
        <f>MIN(VLOOKUP($A63,TOCA_previous!$A$2:$AI$137,MATCH("TRL - NLSL - Exisiting Resource "&amp;$F$1,TOCA_previous!$A$2:$AI$2,0),FALSE)*$F$2,(VLOOKUP($A63,TOCA_previous!$A$2:$AI$137,MATCH("RHWM 2016",TOCA_previous!$A$2:$AI$2,0),FALSE)*$F$2))</f>
        <v>288176.68800000002</v>
      </c>
      <c r="AY63" s="384">
        <f>SUM(L63:AI63)+(F63*RT1SC!$C$3*$F$2)</f>
        <v>288178.72271258401</v>
      </c>
      <c r="AZ63" s="398">
        <f>VLOOKUP($A63,TOCA_previous!$A$2:$AI$137,MATCH("Above RHWM Not Served with LS "&amp;$F$1,TOCA_previous!$A$2:$AI$2,0),FALSE)*$F$2</f>
        <v>14616.575999999999</v>
      </c>
      <c r="BA63" s="206">
        <f t="shared" si="3"/>
        <v>2.0347125839907676</v>
      </c>
      <c r="BB63" s="399">
        <f>(VLOOKUP($A63,TOCA_previous!$A$2:$AI$137,MATCH("RHWM 2016",TOCA_previous!$A$2:$AI$2,0),FALSE)*$F$2) - $AX63</f>
        <v>0</v>
      </c>
      <c r="BC63" s="206">
        <f t="shared" si="4"/>
        <v>0</v>
      </c>
      <c r="BD63" s="400">
        <f t="shared" si="5"/>
        <v>0</v>
      </c>
      <c r="BE63" s="392">
        <f t="shared" si="6"/>
        <v>0</v>
      </c>
      <c r="BF63" s="399">
        <f t="shared" si="7"/>
        <v>0</v>
      </c>
      <c r="BG63" s="206">
        <f>VLOOKUP($A63,TOCA_current!$A$2:$AI$137,MATCH(BG$4,TOCA_current!$A$2:$AI$2,0),FALSE)</f>
        <v>4.6937999999999997E-3</v>
      </c>
      <c r="BH63" s="206">
        <f>VLOOKUP($A63,TOCA_current!$A$2:$AI$137,MATCH(BH$4,TOCA_current!$A$2:$AI$2,0),FALSE)</f>
        <v>4.6937999999999997E-3</v>
      </c>
      <c r="BI63" s="391">
        <f t="shared" si="8"/>
        <v>0</v>
      </c>
      <c r="BJ63" s="206">
        <f>VLOOKUP($A63,TOCA_current!A59:BG194,MATCH(BJ$4,TOCA_current!$A$2:$BG$2,0),FALSE)</f>
        <v>7.5224553653598383E-2</v>
      </c>
      <c r="BK63" s="206">
        <f t="shared" si="9"/>
        <v>7.5224553653598383E-2</v>
      </c>
      <c r="BL63" s="206">
        <f t="shared" si="10"/>
        <v>4.6937999999999997E-3</v>
      </c>
      <c r="BM63" s="381">
        <f>VLOOKUP($A63,IRD!$A$4:$G$139, 7, FALSE)</f>
        <v>44309.995999999999</v>
      </c>
      <c r="BN63" s="382">
        <f t="array" ref="BN63">IF($BI63=0, INDEX(LS_current!$D$4:$AY$139, MATCH('Staging Table'!$A63, LS_current!$B$4:$B$139, 0), MATCH(BN$4&amp;BN$5, LS_current!$D$2:$AY$2&amp;LS_current!$D$3:$AY$3, 0)),SUM(VLOOKUP($A63, LS_current!$B$4:$AY$139, LS_current!D$149, FALSE), VLOOKUP($A63, LS_current!$B$4:$AY$139,LS_current!D$149, FALSE))/2)</f>
        <v>0</v>
      </c>
      <c r="BO63" s="382">
        <f t="array" ref="BO63">IF($BI63=0, INDEX(LS_current!$D$4:$AY$139, MATCH('Staging Table'!$A63, LS_current!$B$4:$B$139, 0), MATCH(BO$4&amp;BO$5, LS_current!$D$2:$AY$2&amp;LS_current!$D$3:$AY$3, 0)),SUM(VLOOKUP($A63, LS_current!$B$4:$AY$139, LS_current!E$149, FALSE), VLOOKUP($A63, LS_current!$B$4:$AY$139,LS_current!E$149, FALSE))/2)</f>
        <v>0</v>
      </c>
      <c r="BP63" s="382">
        <f t="array" ref="BP63">IF($BI63=0, INDEX(LS_current!$D$4:$AY$139, MATCH('Staging Table'!$A63, LS_current!$B$4:$B$139, 0), MATCH(BP$4&amp;BP$5, LS_current!$D$2:$AY$2&amp;LS_current!$D$3:$AY$3, 0)),SUM(VLOOKUP($A63, LS_current!$B$4:$AY$139, LS_current!F$149, FALSE), VLOOKUP($A63, LS_current!$B$4:$AY$139,LS_current!F$149, FALSE))/2)</f>
        <v>0</v>
      </c>
      <c r="BQ63" s="382">
        <f t="array" ref="BQ63">IF($BI63=0, INDEX(LS_current!$D$4:$AY$139, MATCH('Staging Table'!$A63, LS_current!$B$4:$B$139, 0), MATCH(BQ$4&amp;BQ$5, LS_current!$D$2:$AY$2&amp;LS_current!$D$3:$AY$3, 0)),SUM(VLOOKUP($A63, LS_current!$B$4:$AY$139, LS_current!G$149, FALSE), VLOOKUP($A63, LS_current!$B$4:$AY$139,LS_current!G$149, FALSE))/2)</f>
        <v>0</v>
      </c>
      <c r="BR63" s="382">
        <f t="array" ref="BR63">IF($BI63=0, INDEX(LS_current!$D$4:$AY$139, MATCH('Staging Table'!$A63, LS_current!$B$4:$B$139, 0), MATCH(BR$4&amp;BR$5, LS_current!$D$2:$AY$2&amp;LS_current!$D$3:$AY$3, 0)),SUM(VLOOKUP($A63, LS_current!$B$4:$AY$139, LS_current!H$149, FALSE), VLOOKUP($A63, LS_current!$B$4:$AY$139,LS_current!H$149, FALSE))/2)</f>
        <v>0</v>
      </c>
      <c r="BS63" s="382">
        <f t="array" ref="BS63">IF($BI63=0, INDEX(LS_current!$D$4:$AY$139, MATCH('Staging Table'!$A63, LS_current!$B$4:$B$139, 0), MATCH(BS$4&amp;BS$5, LS_current!$D$2:$AY$2&amp;LS_current!$D$3:$AY$3, 0)),SUM(VLOOKUP($A63, LS_current!$B$4:$AY$139, LS_current!I$149, FALSE), VLOOKUP($A63, LS_current!$B$4:$AY$139,LS_current!I$149, FALSE))/2)</f>
        <v>0</v>
      </c>
      <c r="BT63" s="382">
        <f t="array" ref="BT63">IF($BI63=0, INDEX(LS_current!$D$4:$AY$139, MATCH('Staging Table'!$A63, LS_current!$B$4:$B$139, 0), MATCH(BT$4&amp;BT$5, LS_current!$D$2:$AY$2&amp;LS_current!$D$3:$AY$3, 0)),SUM(VLOOKUP($A63, LS_current!$B$4:$AY$139, LS_current!J$149, FALSE), VLOOKUP($A63, LS_current!$B$4:$AY$139,LS_current!J$149, FALSE))/2)</f>
        <v>0</v>
      </c>
      <c r="BU63" s="382">
        <f t="array" ref="BU63">IF($BI63=0, INDEX(LS_current!$D$4:$AY$139, MATCH('Staging Table'!$A63, LS_current!$B$4:$B$139, 0), MATCH(BU$4&amp;BU$5, LS_current!$D$2:$AY$2&amp;LS_current!$D$3:$AY$3, 0)),SUM(VLOOKUP($A63, LS_current!$B$4:$AY$139, LS_current!K$149, FALSE), VLOOKUP($A63, LS_current!$B$4:$AY$139,LS_current!K$149, FALSE))/2)</f>
        <v>0</v>
      </c>
      <c r="BV63" s="382">
        <f t="array" ref="BV63">IF($BI63=0, INDEX(LS_current!$D$4:$AY$139, MATCH('Staging Table'!$A63, LS_current!$B$4:$B$139, 0), MATCH(BV$4&amp;BV$5, LS_current!$D$2:$AY$2&amp;LS_current!$D$3:$AY$3, 0)),SUM(VLOOKUP($A63, LS_current!$B$4:$AY$139, LS_current!L$149, FALSE), VLOOKUP($A63, LS_current!$B$4:$AY$139,LS_current!L$149, FALSE))/2)</f>
        <v>0</v>
      </c>
      <c r="BW63" s="382">
        <f t="array" ref="BW63">IF($BI63=0, INDEX(LS_current!$D$4:$AY$139, MATCH('Staging Table'!$A63, LS_current!$B$4:$B$139, 0), MATCH(BW$4&amp;BW$5, LS_current!$D$2:$AY$2&amp;LS_current!$D$3:$AY$3, 0)),SUM(VLOOKUP($A63, LS_current!$B$4:$AY$139, LS_current!M$149, FALSE), VLOOKUP($A63, LS_current!$B$4:$AY$139,LS_current!M$149, FALSE))/2)</f>
        <v>0</v>
      </c>
      <c r="BX63" s="382">
        <f t="array" ref="BX63">IF($BI63=0, INDEX(LS_current!$D$4:$AY$139, MATCH('Staging Table'!$A63, LS_current!$B$4:$B$139, 0), MATCH(BX$4&amp;BX$5, LS_current!$D$2:$AY$2&amp;LS_current!$D$3:$AY$3, 0)),SUM(VLOOKUP($A63, LS_current!$B$4:$AY$139, LS_current!N$149, FALSE), VLOOKUP($A63, LS_current!$B$4:$AY$139,LS_current!N$149, FALSE))/2)</f>
        <v>0</v>
      </c>
      <c r="BY63" s="382">
        <f t="array" ref="BY63">IF($BI63=0, INDEX(LS_current!$D$4:$AY$139, MATCH('Staging Table'!$A63, LS_current!$B$4:$B$139, 0), MATCH(BY$4&amp;BY$5, LS_current!$D$2:$AY$2&amp;LS_current!$D$3:$AY$3, 0)),SUM(VLOOKUP($A63, LS_current!$B$4:$AY$139, LS_current!O$149, FALSE), VLOOKUP($A63, LS_current!$B$4:$AY$139,LS_current!O$149, FALSE))/2)</f>
        <v>0</v>
      </c>
      <c r="BZ63" s="382">
        <f t="array" ref="BZ63">IF($BI63=0, INDEX(LS_current!$D$4:$AY$139, MATCH('Staging Table'!$A63, LS_current!$B$4:$B$139, 0), MATCH(BZ$4&amp;BZ$5, LS_current!$D$2:$AY$2&amp;LS_current!$D$3:$AY$3, 0)),SUM(VLOOKUP($A63, LS_current!$B$4:$AY$139, LS_current!P$149, FALSE), VLOOKUP($A63, LS_current!$B$4:$AY$139,LS_current!P$149, FALSE))/2)</f>
        <v>0</v>
      </c>
      <c r="CA63" s="382">
        <f t="array" ref="CA63">IF($BI63=0, INDEX(LS_current!$D$4:$AY$139, MATCH('Staging Table'!$A63, LS_current!$B$4:$B$139, 0), MATCH(CA$4&amp;CA$5, LS_current!$D$2:$AY$2&amp;LS_current!$D$3:$AY$3, 0)),SUM(VLOOKUP($A63, LS_current!$B$4:$AY$139, LS_current!Q$149, FALSE), VLOOKUP($A63, LS_current!$B$4:$AY$139,LS_current!Q$149, FALSE))/2)</f>
        <v>0</v>
      </c>
      <c r="CB63" s="382">
        <f t="array" ref="CB63">IF($BI63=0, INDEX(LS_current!$D$4:$AY$139, MATCH('Staging Table'!$A63, LS_current!$B$4:$B$139, 0), MATCH(CB$4&amp;CB$5, LS_current!$D$2:$AY$2&amp;LS_current!$D$3:$AY$3, 0)),SUM(VLOOKUP($A63, LS_current!$B$4:$AY$139, LS_current!R$149, FALSE), VLOOKUP($A63, LS_current!$B$4:$AY$139,LS_current!R$149, FALSE))/2)</f>
        <v>0</v>
      </c>
      <c r="CC63" s="382">
        <f t="array" ref="CC63">IF($BI63=0, INDEX(LS_current!$D$4:$AY$139, MATCH('Staging Table'!$A63, LS_current!$B$4:$B$139, 0), MATCH(CC$4&amp;CC$5, LS_current!$D$2:$AY$2&amp;LS_current!$D$3:$AY$3, 0)),SUM(VLOOKUP($A63, LS_current!$B$4:$AY$139, LS_current!S$149, FALSE), VLOOKUP($A63, LS_current!$B$4:$AY$139,LS_current!S$149, FALSE))/2)</f>
        <v>0</v>
      </c>
      <c r="CD63" s="382">
        <f t="array" ref="CD63">IF($BI63=0, INDEX(LS_current!$D$4:$AY$139, MATCH('Staging Table'!$A63, LS_current!$B$4:$B$139, 0), MATCH(CD$4&amp;CD$5, LS_current!$D$2:$AY$2&amp;LS_current!$D$3:$AY$3, 0)),SUM(VLOOKUP($A63, LS_current!$B$4:$AY$139, LS_current!T$149, FALSE), VLOOKUP($A63, LS_current!$B$4:$AY$139,LS_current!T$149, FALSE))/2)</f>
        <v>0</v>
      </c>
      <c r="CE63" s="382">
        <f t="array" ref="CE63">IF($BI63=0, INDEX(LS_current!$D$4:$AY$139, MATCH('Staging Table'!$A63, LS_current!$B$4:$B$139, 0), MATCH(CE$4&amp;CE$5, LS_current!$D$2:$AY$2&amp;LS_current!$D$3:$AY$3, 0)),SUM(VLOOKUP($A63, LS_current!$B$4:$AY$139, LS_current!U$149, FALSE), VLOOKUP($A63, LS_current!$B$4:$AY$139,LS_current!U$149, FALSE))/2)</f>
        <v>0</v>
      </c>
      <c r="CF63" s="382">
        <f t="array" ref="CF63">IF($BI63=0, INDEX(LS_current!$D$4:$AY$139, MATCH('Staging Table'!$A63, LS_current!$B$4:$B$139, 0), MATCH(CF$4&amp;CF$5, LS_current!$D$2:$AY$2&amp;LS_current!$D$3:$AY$3, 0)),SUM(VLOOKUP($A63, LS_current!$B$4:$AY$139, LS_current!V$149, FALSE), VLOOKUP($A63, LS_current!$B$4:$AY$139,LS_current!V$149, FALSE))/2)</f>
        <v>0</v>
      </c>
      <c r="CG63" s="382">
        <f t="array" ref="CG63">IF($BI63=0, INDEX(LS_current!$D$4:$AY$139, MATCH('Staging Table'!$A63, LS_current!$B$4:$B$139, 0), MATCH(CG$4&amp;CG$5, LS_current!$D$2:$AY$2&amp;LS_current!$D$3:$AY$3, 0)),SUM(VLOOKUP($A63, LS_current!$B$4:$AY$139, LS_current!W$149, FALSE), VLOOKUP($A63, LS_current!$B$4:$AY$139,LS_current!W$149, FALSE))/2)</f>
        <v>0</v>
      </c>
      <c r="CH63" s="382">
        <f t="array" ref="CH63">IF($BI63=0, INDEX(LS_current!$D$4:$AY$139, MATCH('Staging Table'!$A63, LS_current!$B$4:$B$139, 0), MATCH(CH$4&amp;CH$5, LS_current!$D$2:$AY$2&amp;LS_current!$D$3:$AY$3, 0)),SUM(VLOOKUP($A63, LS_current!$B$4:$AY$139, LS_current!X$149, FALSE), VLOOKUP($A63, LS_current!$B$4:$AY$139,LS_current!X$149, FALSE))/2)</f>
        <v>0</v>
      </c>
      <c r="CI63" s="382">
        <f t="array" ref="CI63">IF($BI63=0, INDEX(LS_current!$D$4:$AY$139, MATCH('Staging Table'!$A63, LS_current!$B$4:$B$139, 0), MATCH(CI$4&amp;CI$5, LS_current!$D$2:$AY$2&amp;LS_current!$D$3:$AY$3, 0)),SUM(VLOOKUP($A63, LS_current!$B$4:$AY$139, LS_current!Y$149, FALSE), VLOOKUP($A63, LS_current!$B$4:$AY$139,LS_current!Y$149, FALSE))/2)</f>
        <v>0</v>
      </c>
      <c r="CJ63" s="382">
        <f t="array" ref="CJ63">IF($BI63=0, INDEX(LS_current!$D$4:$AY$139, MATCH('Staging Table'!$A63, LS_current!$B$4:$B$139, 0), MATCH(CJ$4&amp;CJ$5, LS_current!$D$2:$AY$2&amp;LS_current!$D$3:$AY$3, 0)),SUM(VLOOKUP($A63, LS_current!$B$4:$AY$139, LS_current!Z$149, FALSE), VLOOKUP($A63, LS_current!$B$4:$AY$139,LS_current!Z$149, FALSE))/2)</f>
        <v>0</v>
      </c>
      <c r="CK63" s="382">
        <f t="array" ref="CK63">IF($BI63=0, INDEX(LS_current!$D$4:$AY$139, MATCH('Staging Table'!$A63, LS_current!$B$4:$B$139, 0), MATCH(CK$4&amp;CK$5, LS_current!$D$2:$AY$2&amp;LS_current!$D$3:$AY$3, 0)),SUM(VLOOKUP($A63, LS_current!$B$4:$AY$139, LS_current!AA$149, FALSE), VLOOKUP($A63, LS_current!$B$4:$AY$139,LS_current!AA$149, FALSE))/2)</f>
        <v>0</v>
      </c>
      <c r="CL63" s="384">
        <f t="array" ref="CL63">INDEX(Demand_current!$D$4:$AY$138, MATCH($A63, Demand_current!$B$4:$B$138, 0), MATCH(CL$4&amp;CL$5,Demand_current!$D$2:$AY$2&amp;Demand_current!$D$3:$AY$3, 0))/1000</f>
        <v>0</v>
      </c>
      <c r="CM63" s="384">
        <f t="array" ref="CM63">INDEX(Demand_current!$D$4:$AY$138, MATCH($A63, Demand_current!$B$4:$B$138, 0), MATCH(CM$4&amp;CM$5,Demand_current!$D$2:$AY$2&amp;Demand_current!$D$3:$AY$3, 0))/1000</f>
        <v>0</v>
      </c>
      <c r="CN63" s="384">
        <f t="array" ref="CN63">INDEX(Demand_current!$D$4:$AY$138, MATCH($A63, Demand_current!$B$4:$B$138, 0), MATCH(CN$4&amp;CN$5,Demand_current!$D$2:$AY$2&amp;Demand_current!$D$3:$AY$3, 0))/1000</f>
        <v>0</v>
      </c>
      <c r="CO63" s="384">
        <f t="array" ref="CO63">INDEX(Demand_current!$D$4:$AY$138, MATCH($A63, Demand_current!$B$4:$B$138, 0), MATCH(CO$4&amp;CO$5,Demand_current!$D$2:$AY$2&amp;Demand_current!$D$3:$AY$3, 0))/1000</f>
        <v>0</v>
      </c>
      <c r="CP63" s="384">
        <f t="array" ref="CP63">INDEX(Demand_current!$D$4:$AY$138, MATCH($A63, Demand_current!$B$4:$B$138, 0), MATCH(CP$4&amp;CP$5,Demand_current!$D$2:$AY$2&amp;Demand_current!$D$3:$AY$3, 0))/1000</f>
        <v>0</v>
      </c>
      <c r="CQ63" s="384">
        <f t="array" ref="CQ63">INDEX(Demand_current!$D$4:$AY$138, MATCH($A63, Demand_current!$B$4:$B$138, 0), MATCH(CQ$4&amp;CQ$5,Demand_current!$D$2:$AY$2&amp;Demand_current!$D$3:$AY$3, 0))/1000</f>
        <v>0</v>
      </c>
      <c r="CR63" s="384">
        <f t="array" ref="CR63">INDEX(Demand_current!$D$4:$AY$138, MATCH($A63, Demand_current!$B$4:$B$138, 0), MATCH(CR$4&amp;CR$5,Demand_current!$D$2:$AY$2&amp;Demand_current!$D$3:$AY$3, 0))/1000</f>
        <v>0</v>
      </c>
      <c r="CS63" s="384">
        <f t="array" ref="CS63">INDEX(Demand_current!$D$4:$AY$138, MATCH($A63, Demand_current!$B$4:$B$138, 0), MATCH(CS$4&amp;CS$5,Demand_current!$D$2:$AY$2&amp;Demand_current!$D$3:$AY$3, 0))/1000</f>
        <v>0</v>
      </c>
      <c r="CT63" s="384">
        <f t="array" ref="CT63">INDEX(Demand_current!$D$4:$AY$138, MATCH($A63, Demand_current!$B$4:$B$138, 0), MATCH(CT$4&amp;CT$5,Demand_current!$D$2:$AY$2&amp;Demand_current!$D$3:$AY$3, 0))/1000</f>
        <v>0</v>
      </c>
      <c r="CU63" s="384">
        <f t="array" ref="CU63">INDEX(Demand_current!$D$4:$AY$138, MATCH($A63, Demand_current!$B$4:$B$138, 0), MATCH(CU$4&amp;CU$5,Demand_current!$D$2:$AY$2&amp;Demand_current!$D$3:$AY$3, 0))/1000</f>
        <v>0</v>
      </c>
      <c r="CV63" s="384">
        <f t="array" ref="CV63">INDEX(Demand_current!$D$4:$AY$138, MATCH($A63, Demand_current!$B$4:$B$138, 0), MATCH(CV$4&amp;CV$5,Demand_current!$D$2:$AY$2&amp;Demand_current!$D$3:$AY$3, 0))/1000</f>
        <v>0</v>
      </c>
      <c r="CW63" s="384">
        <f t="array" ref="CW63">INDEX(Demand_current!$D$4:$AY$138, MATCH($A63, Demand_current!$B$4:$B$138, 0), MATCH(CW$4&amp;CW$5,Demand_current!$D$2:$AY$2&amp;Demand_current!$D$3:$AY$3, 0))/1000</f>
        <v>0</v>
      </c>
      <c r="CX63" s="384">
        <f>IF(D63=0,IF(C63=0,MAX(0,DA63 - (VLOOKUP($A63,TOCA_current!$A$2:$AI$137,MATCH("RHWM 2018",TOCA_current!$A$2:$AI$2,0),FALSE)*$BH$2)), 0),0)</f>
        <v>0</v>
      </c>
      <c r="CY63" s="427">
        <f>VLOOKUP($A63,REP_current!$A$1:$D$135,MATCH("FY "&amp;$BH$1&amp; " Total Refund",REP_current!$A$1:$D$1,0),0)</f>
        <v>338597.0860257973</v>
      </c>
      <c r="CZ63" s="432">
        <f>MIN(VLOOKUP($A63,TOCA_current!$A$2:$AI$137,MATCH("TRL - NLSL - Existing Resource "&amp;$BH$1,TOCA_current!$A$2:$AI$2,0),FALSE)*$BH$2, VLOOKUP($A63,TOCA_current!$A$2:$AI$137,MATCH("RHWM 2018",TOCA_current!$A$2:$AI$2,0),FALSE)*$BH$2)</f>
        <v>285558.48</v>
      </c>
      <c r="DA63" s="397">
        <f>SUM(BN63:CK63)+(BH63*RT1SC!$C$4*$BH$2)</f>
        <v>285556.011036048</v>
      </c>
      <c r="DB63" s="432">
        <f>VLOOKUP($A63,TOCA_current!$A$2:$AI$137,MATCH("Above RHWM Not Served with LS "&amp;$BH$1,TOCA_current!$A$2:$AI$2,0),FALSE)*$BH$2</f>
        <v>21313.079999999998</v>
      </c>
      <c r="DC63" s="401">
        <f t="shared" si="11"/>
        <v>-2.4689639519783668</v>
      </c>
      <c r="DD63" s="397">
        <f>(VLOOKUP($A63,TOCA_current!$A$2:$AI$137,MATCH("RHWM 2018",TOCA_current!$A$2:$AI$2,0),FALSE)*$BH$2) - $CZ63</f>
        <v>0</v>
      </c>
      <c r="DE63" s="397">
        <f t="shared" si="12"/>
        <v>0</v>
      </c>
      <c r="DF63" s="397">
        <f t="shared" si="13"/>
        <v>0</v>
      </c>
      <c r="DG63" s="397">
        <f t="shared" si="14"/>
        <v>0</v>
      </c>
      <c r="DH63" s="397">
        <f t="shared" si="15"/>
        <v>0</v>
      </c>
    </row>
    <row r="64" spans="1:112">
      <c r="A64" s="274">
        <v>10174</v>
      </c>
      <c r="B64" s="275" t="s">
        <v>65</v>
      </c>
      <c r="C64" s="397">
        <v>0</v>
      </c>
      <c r="D64" s="397">
        <v>0</v>
      </c>
      <c r="E64" s="205">
        <f>VLOOKUP($A64,TOCA_previous!$A$2:$AI$137,MATCH(E$4,TOCA_previous!$A$2:$AI$2,0),FALSE)</f>
        <v>7.1899999999999999E-5</v>
      </c>
      <c r="F64" s="206">
        <f>VLOOKUP($A64,TOCA_previous!$A$2:$AI$137,MATCH(F$4,TOCA_previous!$A$2:$AI$2,0),FALSE)</f>
        <v>7.1899999999999999E-5</v>
      </c>
      <c r="G64" s="206">
        <f t="shared" si="0"/>
        <v>0</v>
      </c>
      <c r="H64" s="206">
        <f>VLOOKUP($A64,TOCA_previous!$A$2:$AI$137,MATCH(H$4,TOCA_previous!$A$2:$AI$2,0),FALSE)</f>
        <v>0</v>
      </c>
      <c r="I64" s="206">
        <f t="shared" si="1"/>
        <v>0</v>
      </c>
      <c r="J64" s="206">
        <f t="shared" si="2"/>
        <v>0</v>
      </c>
      <c r="K64" s="381">
        <f>VLOOKUP(A64, IRD!$A$5:$C$139, 3, FALSE)</f>
        <v>0</v>
      </c>
      <c r="L64" s="382">
        <f t="array" ref="L64">IF($G64=0, INDEX(LS_previous!$D$4:$AY$138, MATCH('Staging Table'!$A64, LS_previous!$B$4:$B$138, 0), MATCH(L$4&amp;L$5, LS_previous!$D$2:$AY$2&amp;LS_previous!$D$3:$AY$3, 0)),SUM(VLOOKUP($A64, LS_previous!$B$4:$AY$138, LS_previous!D$149, FALSE), VLOOKUP('Staging Table'!$A64, LS_previous!$B$4:$AY$138,LS_previous!AB$149, FALSE))/2)</f>
        <v>-53.545395758430146</v>
      </c>
      <c r="M64" s="382">
        <f t="array" ref="M64">IF($G64=0, INDEX(LS_previous!$D$4:$AY$138, MATCH('Staging Table'!$A64, LS_previous!$B$4:$B$138, 0), MATCH(M$4&amp;M$5, LS_previous!$D$2:$AY$2&amp;LS_previous!$D$3:$AY$3, 0)),SUM(VLOOKUP($A64, LS_previous!$B$4:$AY$138, LS_previous!E$149, FALSE), VLOOKUP('Staging Table'!$A64, LS_previous!$B$4:$AY$138,LS_previous!AC$149, FALSE))/2)</f>
        <v>-2.3237178951602715</v>
      </c>
      <c r="N64" s="382">
        <f t="array" ref="N64">IF($G64=0, INDEX(LS_previous!$D$4:$AY$138, MATCH('Staging Table'!$A64, LS_previous!$B$4:$B$138, 0), MATCH(N$4&amp;N$5, LS_previous!$D$2:$AY$2&amp;LS_previous!$D$3:$AY$3, 0)),SUM(VLOOKUP($A64, LS_previous!$B$4:$AY$138, LS_previous!F$149, FALSE), VLOOKUP('Staging Table'!$A64, LS_previous!$B$4:$AY$138,LS_previous!AD$149, FALSE))/2)</f>
        <v>-40.92974471281309</v>
      </c>
      <c r="O64" s="382">
        <f t="array" ref="O64">IF($G64=0, INDEX(LS_previous!$D$4:$AY$138, MATCH('Staging Table'!$A64, LS_previous!$B$4:$B$138, 0), MATCH(O$4&amp;O$5, LS_previous!$D$2:$AY$2&amp;LS_previous!$D$3:$AY$3, 0)),SUM(VLOOKUP($A64, LS_previous!$B$4:$AY$138, LS_previous!G$149, FALSE), VLOOKUP('Staging Table'!$A64, LS_previous!$B$4:$AY$138,LS_previous!AE$149, FALSE))/2)</f>
        <v>13.669005853673582</v>
      </c>
      <c r="P64" s="382">
        <f t="array" ref="P64">IF($G64=0, INDEX(LS_previous!$D$4:$AY$138, MATCH('Staging Table'!$A64, LS_previous!$B$4:$B$138, 0), MATCH(P$4&amp;P$5, LS_previous!$D$2:$AY$2&amp;LS_previous!$D$3:$AY$3, 0)),SUM(VLOOKUP($A64, LS_previous!$B$4:$AY$138, LS_previous!H$149, FALSE), VLOOKUP('Staging Table'!$A64, LS_previous!$B$4:$AY$138,LS_previous!AF$149, FALSE))/2)</f>
        <v>33.271213373630189</v>
      </c>
      <c r="Q64" s="382">
        <f t="array" ref="Q64">IF($G64=0, INDEX(LS_previous!$D$4:$AY$138, MATCH('Staging Table'!$A64, LS_previous!$B$4:$B$138, 0), MATCH(Q$4&amp;Q$5, LS_previous!$D$2:$AY$2&amp;LS_previous!$D$3:$AY$3, 0)),SUM(VLOOKUP($A64, LS_previous!$B$4:$AY$138, LS_previous!I$149, FALSE), VLOOKUP('Staging Table'!$A64, LS_previous!$B$4:$AY$138,LS_previous!AG$149, FALSE))/2)</f>
        <v>82.62186127769138</v>
      </c>
      <c r="R64" s="382">
        <f t="array" ref="R64">IF($G64=0, INDEX(LS_previous!$D$4:$AY$138, MATCH('Staging Table'!$A64, LS_previous!$B$4:$B$138, 0), MATCH(R$4&amp;R$5, LS_previous!$D$2:$AY$2&amp;LS_previous!$D$3:$AY$3, 0)),SUM(VLOOKUP($A64, LS_previous!$B$4:$AY$138, LS_previous!J$149, FALSE), VLOOKUP('Staging Table'!$A64, LS_previous!$B$4:$AY$138,LS_previous!AH$149, FALSE))/2)</f>
        <v>80.24095798701515</v>
      </c>
      <c r="S64" s="382">
        <f t="array" ref="S64">IF($G64=0, INDEX(LS_previous!$D$4:$AY$138, MATCH('Staging Table'!$A64, LS_previous!$B$4:$B$138, 0), MATCH(S$4&amp;S$5, LS_previous!$D$2:$AY$2&amp;LS_previous!$D$3:$AY$3, 0)),SUM(VLOOKUP($A64, LS_previous!$B$4:$AY$138, LS_previous!K$149, FALSE), VLOOKUP('Staging Table'!$A64, LS_previous!$B$4:$AY$138,LS_previous!AI$149, FALSE))/2)</f>
        <v>97.242590152165576</v>
      </c>
      <c r="T64" s="382">
        <f t="array" ref="T64">IF($G64=0, INDEX(LS_previous!$D$4:$AY$138, MATCH('Staging Table'!$A64, LS_previous!$B$4:$B$138, 0), MATCH(T$4&amp;T$5, LS_previous!$D$2:$AY$2&amp;LS_previous!$D$3:$AY$3, 0)),SUM(VLOOKUP($A64, LS_previous!$B$4:$AY$138, LS_previous!L$149, FALSE), VLOOKUP('Staging Table'!$A64, LS_previous!$B$4:$AY$138,LS_previous!AJ$149, FALSE))/2)</f>
        <v>44.107047285884221</v>
      </c>
      <c r="U64" s="382">
        <f t="array" ref="U64">IF($G64=0, INDEX(LS_previous!$D$4:$AY$138, MATCH('Staging Table'!$A64, LS_previous!$B$4:$B$138, 0), MATCH(U$4&amp;U$5, LS_previous!$D$2:$AY$2&amp;LS_previous!$D$3:$AY$3, 0)),SUM(VLOOKUP($A64, LS_previous!$B$4:$AY$138, LS_previous!M$149, FALSE), VLOOKUP('Staging Table'!$A64, LS_previous!$B$4:$AY$138,LS_previous!AK$149, FALSE))/2)</f>
        <v>64.09675013101581</v>
      </c>
      <c r="V64" s="382">
        <f t="array" ref="V64">IF($G64=0, INDEX(LS_previous!$D$4:$AY$138, MATCH('Staging Table'!$A64, LS_previous!$B$4:$B$138, 0), MATCH(V$4&amp;V$5, LS_previous!$D$2:$AY$2&amp;LS_previous!$D$3:$AY$3, 0)),SUM(VLOOKUP($A64, LS_previous!$B$4:$AY$138, LS_previous!N$149, FALSE), VLOOKUP('Staging Table'!$A64, LS_previous!$B$4:$AY$138,LS_previous!AL$149, FALSE))/2)</f>
        <v>-17.61348983867353</v>
      </c>
      <c r="W64" s="382">
        <f t="array" ref="W64">IF($G64=0, INDEX(LS_previous!$D$4:$AY$138, MATCH('Staging Table'!$A64, LS_previous!$B$4:$B$138, 0), MATCH(W$4&amp;W$5, LS_previous!$D$2:$AY$2&amp;LS_previous!$D$3:$AY$3, 0)),SUM(VLOOKUP($A64, LS_previous!$B$4:$AY$138, LS_previous!O$149, FALSE), VLOOKUP('Staging Table'!$A64, LS_previous!$B$4:$AY$138,LS_previous!AM$149, FALSE))/2)</f>
        <v>12.330792321067776</v>
      </c>
      <c r="X64" s="382">
        <f t="array" ref="X64">IF($G64=0, INDEX(LS_previous!$D$4:$AY$138, MATCH('Staging Table'!$A64, LS_previous!$B$4:$B$138, 0), MATCH(X$4&amp;X$5, LS_previous!$D$2:$AY$2&amp;LS_previous!$D$3:$AY$3, 0)),SUM(VLOOKUP($A64, LS_previous!$B$4:$AY$138, LS_previous!P$149, FALSE), VLOOKUP('Staging Table'!$A64, LS_previous!$B$4:$AY$138,LS_previous!AN$149, FALSE))/2)</f>
        <v>-15.14546829062229</v>
      </c>
      <c r="Y64" s="382">
        <f t="array" ref="Y64">IF($G64=0, INDEX(LS_previous!$D$4:$AY$138, MATCH('Staging Table'!$A64, LS_previous!$B$4:$B$138, 0), MATCH(Y$4&amp;Y$5, LS_previous!$D$2:$AY$2&amp;LS_previous!$D$3:$AY$3, 0)),SUM(VLOOKUP($A64, LS_previous!$B$4:$AY$138, LS_previous!Q$149, FALSE), VLOOKUP('Staging Table'!$A64, LS_previous!$B$4:$AY$138,LS_previous!AO$149, FALSE))/2)</f>
        <v>21.693595102097859</v>
      </c>
      <c r="Z64" s="382">
        <f t="array" ref="Z64">IF($G64=0, INDEX(LS_previous!$D$4:$AY$138, MATCH('Staging Table'!$A64, LS_previous!$B$4:$B$138, 0), MATCH(Z$4&amp;Z$5, LS_previous!$D$2:$AY$2&amp;LS_previous!$D$3:$AY$3, 0)),SUM(VLOOKUP($A64, LS_previous!$B$4:$AY$138, LS_previous!R$149, FALSE), VLOOKUP('Staging Table'!$A64, LS_previous!$B$4:$AY$138,LS_previous!AP$149, FALSE))/2)</f>
        <v>-133.9969528351381</v>
      </c>
      <c r="AA64" s="382">
        <f t="array" ref="AA64">IF($G64=0, INDEX(LS_previous!$D$4:$AY$138, MATCH('Staging Table'!$A64, LS_previous!$B$4:$B$138, 0), MATCH(AA$4&amp;AA$5, LS_previous!$D$2:$AY$2&amp;LS_previous!$D$3:$AY$3, 0)),SUM(VLOOKUP($A64, LS_previous!$B$4:$AY$138, LS_previous!S$149, FALSE), VLOOKUP('Staging Table'!$A64, LS_previous!$B$4:$AY$138,LS_previous!AQ$149, FALSE))/2)</f>
        <v>-45.179774703687045</v>
      </c>
      <c r="AB64" s="382">
        <f t="array" ref="AB64">IF($G64=0, INDEX(LS_previous!$D$4:$AY$138, MATCH('Staging Table'!$A64, LS_previous!$B$4:$B$138, 0), MATCH(AB$4&amp;AB$5, LS_previous!$D$2:$AY$2&amp;LS_previous!$D$3:$AY$3, 0)),SUM(VLOOKUP($A64, LS_previous!$B$4:$AY$138, LS_previous!T$149, FALSE), VLOOKUP('Staging Table'!$A64, LS_previous!$B$4:$AY$138,LS_previous!AR$149, FALSE))/2)</f>
        <v>-56.189409634203827</v>
      </c>
      <c r="AC64" s="382">
        <f t="array" ref="AC64">IF($G64=0, INDEX(LS_previous!$D$4:$AY$138, MATCH('Staging Table'!$A64, LS_previous!$B$4:$B$138, 0), MATCH(AC$4&amp;AC$5, LS_previous!$D$2:$AY$2&amp;LS_previous!$D$3:$AY$3, 0)),SUM(VLOOKUP($A64, LS_previous!$B$4:$AY$138, LS_previous!U$149, FALSE), VLOOKUP('Staging Table'!$A64, LS_previous!$B$4:$AY$138,LS_previous!AS$149, FALSE))/2)</f>
        <v>-20.059815452688284</v>
      </c>
      <c r="AD64" s="382">
        <f t="array" ref="AD64">IF($G64=0, INDEX(LS_previous!$D$4:$AY$138, MATCH('Staging Table'!$A64, LS_previous!$B$4:$B$138, 0), MATCH(AD$4&amp;AD$5, LS_previous!$D$2:$AY$2&amp;LS_previous!$D$3:$AY$3, 0)),SUM(VLOOKUP($A64, LS_previous!$B$4:$AY$138, LS_previous!V$149, FALSE), VLOOKUP('Staging Table'!$A64, LS_previous!$B$4:$AY$138,LS_previous!AT$149, FALSE))/2)</f>
        <v>-36.005256385376811</v>
      </c>
      <c r="AE64" s="382">
        <f t="array" ref="AE64">IF($G64=0, INDEX(LS_previous!$D$4:$AY$138, MATCH('Staging Table'!$A64, LS_previous!$B$4:$B$138, 0), MATCH(AE$4&amp;AE$5, LS_previous!$D$2:$AY$2&amp;LS_previous!$D$3:$AY$3, 0)),SUM(VLOOKUP($A64, LS_previous!$B$4:$AY$138, LS_previous!W$149, FALSE), VLOOKUP('Staging Table'!$A64, LS_previous!$B$4:$AY$138,LS_previous!AU$149, FALSE))/2)</f>
        <v>16.29656383079616</v>
      </c>
      <c r="AF64" s="382">
        <f t="array" ref="AF64">IF($G64=0, INDEX(LS_previous!$D$4:$AY$138, MATCH('Staging Table'!$A64, LS_previous!$B$4:$B$138, 0), MATCH(AF$4&amp;AF$5, LS_previous!$D$2:$AY$2&amp;LS_previous!$D$3:$AY$3, 0)),SUM(VLOOKUP($A64, LS_previous!$B$4:$AY$138, LS_previous!X$149, FALSE), VLOOKUP('Staging Table'!$A64, LS_previous!$B$4:$AY$138,LS_previous!AV$149, FALSE))/2)</f>
        <v>-54.392034064883234</v>
      </c>
      <c r="AG64" s="382">
        <f t="array" ref="AG64">IF($G64=0, INDEX(LS_previous!$D$4:$AY$138, MATCH('Staging Table'!$A64, LS_previous!$B$4:$B$138, 0), MATCH(AG$4&amp;AG$5, LS_previous!$D$2:$AY$2&amp;LS_previous!$D$3:$AY$3, 0)),SUM(VLOOKUP($A64, LS_previous!$B$4:$AY$138, LS_previous!Y$149, FALSE), VLOOKUP('Staging Table'!$A64, LS_previous!$B$4:$AY$138,LS_previous!AW$149, FALSE))/2)</f>
        <v>-12.230097689377232</v>
      </c>
      <c r="AH64" s="382">
        <f t="array" ref="AH64">IF($G64=0, INDEX(LS_previous!$D$4:$AY$138, MATCH('Staging Table'!$A64, LS_previous!$B$4:$B$138, 0), MATCH(AH$4&amp;AH$5, LS_previous!$D$2:$AY$2&amp;LS_previous!$D$3:$AY$3, 0)),SUM(VLOOKUP($A64, LS_previous!$B$4:$AY$138, LS_previous!Z$149, FALSE), VLOOKUP('Staging Table'!$A64, LS_previous!$B$4:$AY$138,LS_previous!AX$149, FALSE))/2)</f>
        <v>-42.467923701980055</v>
      </c>
      <c r="AI64" s="382">
        <f t="array" ref="AI64">IF($G64=0, INDEX(LS_previous!$D$4:$AY$138, MATCH('Staging Table'!$A64, LS_previous!$B$4:$B$138, 0), MATCH(AI$4&amp;AI$5, LS_previous!$D$2:$AY$2&amp;LS_previous!$D$3:$AY$3, 0)),SUM(VLOOKUP($A64, LS_previous!$B$4:$AY$138, LS_previous!AA$149, FALSE), VLOOKUP('Staging Table'!$A64, LS_previous!$B$4:$AY$138,LS_previous!AY$149, FALSE))/2)</f>
        <v>-4.760486186965494</v>
      </c>
      <c r="AJ64" s="384">
        <f t="array" ref="AJ64">INDEX(Demand_previous!$D$4:$AY$138, MATCH('Staging Table'!$A64, Demand_previous!$B$4:$B$138, 0), MATCH(AJ$4&amp;AJ$5,Demand_previous!$D$2:$AY$2&amp;Demand_previous!$D$3:$AY$3, 0))/1000</f>
        <v>0.11309027777777778</v>
      </c>
      <c r="AK64" s="384">
        <f t="array" ref="AK64">INDEX(Demand_previous!$D$4:$AY$138, MATCH('Staging Table'!$A64, Demand_previous!$B$4:$B$138, 0), MATCH(AK$4&amp;AK$5,Demand_previous!$D$2:$AY$2&amp;Demand_previous!$D$3:$AY$3, 0))/1000</f>
        <v>3.5861979166666669E-2</v>
      </c>
      <c r="AL64" s="384">
        <f t="array" ref="AL64">INDEX(Demand_previous!$D$4:$AY$138, MATCH('Staging Table'!$A64, Demand_previous!$B$4:$B$138, 0), MATCH(AL$4&amp;AL$5,Demand_previous!$D$2:$AY$2&amp;Demand_previous!$D$3:$AY$3, 0))/1000</f>
        <v>0.22443509615384621</v>
      </c>
      <c r="AM64" s="384">
        <f t="array" ref="AM64">INDEX(Demand_previous!$D$4:$AY$138, MATCH('Staging Table'!$A64, Demand_previous!$B$4:$B$138, 0), MATCH(AM$4&amp;AM$5,Demand_previous!$D$2:$AY$2&amp;Demand_previous!$D$3:$AY$3, 0))/1000</f>
        <v>0.17321999999999987</v>
      </c>
      <c r="AN64" s="384">
        <f t="array" ref="AN64">INDEX(Demand_previous!$D$4:$AY$138, MATCH('Staging Table'!$A64, Demand_previous!$B$4:$B$138, 0), MATCH(AN$4&amp;AN$5,Demand_previous!$D$2:$AY$2&amp;Demand_previous!$D$3:$AY$3, 0))/1000</f>
        <v>0.10304999999999995</v>
      </c>
      <c r="AO64" s="384">
        <f t="array" ref="AO64">INDEX(Demand_previous!$D$4:$AY$138, MATCH('Staging Table'!$A64, Demand_previous!$B$4:$B$138, 0), MATCH(AO$4&amp;AO$5,Demand_previous!$D$2:$AY$2&amp;Demand_previous!$D$3:$AY$3, 0))/1000</f>
        <v>0.14914814814814811</v>
      </c>
      <c r="AP64" s="384">
        <f t="array" ref="AP64">INDEX(Demand_previous!$D$4:$AY$138, MATCH('Staging Table'!$A64, Demand_previous!$B$4:$B$138, 0), MATCH(AP$4&amp;AP$5,Demand_previous!$D$2:$AY$2&amp;Demand_previous!$D$3:$AY$3, 0))/1000</f>
        <v>8.1704326923076942E-2</v>
      </c>
      <c r="AQ64" s="384">
        <f t="array" ref="AQ64">INDEX(Demand_previous!$D$4:$AY$138, MATCH('Staging Table'!$A64, Demand_previous!$B$4:$B$138, 0), MATCH(AQ$4&amp;AQ$5,Demand_previous!$D$2:$AY$2&amp;Demand_previous!$D$3:$AY$3, 0))/1000</f>
        <v>5.0994999999999957E-2</v>
      </c>
      <c r="AR64" s="384">
        <f t="array" ref="AR64">INDEX(Demand_previous!$D$4:$AY$138, MATCH('Staging Table'!$A64, Demand_previous!$B$4:$B$138, 0), MATCH(AR$4&amp;AR$5,Demand_previous!$D$2:$AY$2&amp;Demand_previous!$D$3:$AY$3, 0))/1000</f>
        <v>7.8850961538461536E-2</v>
      </c>
      <c r="AS64" s="384">
        <f t="array" ref="AS64">INDEX(Demand_previous!$D$4:$AY$138, MATCH('Staging Table'!$A64, Demand_previous!$B$4:$B$138, 0), MATCH(AS$4&amp;AS$5,Demand_previous!$D$2:$AY$2&amp;Demand_previous!$D$3:$AY$3, 0))/1000</f>
        <v>6.54E-2</v>
      </c>
      <c r="AT64" s="384">
        <f t="array" ref="AT64">INDEX(Demand_previous!$D$4:$AY$138, MATCH('Staging Table'!$A64, Demand_previous!$B$4:$B$138, 0), MATCH(AT$4&amp;AT$5,Demand_previous!$D$2:$AY$2&amp;Demand_previous!$D$3:$AY$3, 0))/1000</f>
        <v>4.586342592592596E-2</v>
      </c>
      <c r="AU64" s="384">
        <f t="array" ref="AU64">INDEX(Demand_previous!$D$4:$AY$138, MATCH('Staging Table'!$A64, Demand_previous!$B$4:$B$138, 0), MATCH(AU$4&amp;AU$5,Demand_previous!$D$2:$AY$2&amp;Demand_previous!$D$3:$AY$3, 0))/1000</f>
        <v>1.8255000000000049E-2</v>
      </c>
      <c r="AV64" s="384">
        <f>IF($D64=0,IF(C64=0, MAX(AY64 - (VLOOKUP($A64,TOCA_previous!$A$2:$AI$137,MATCH("RHWM 2016",TOCA_previous!$A$2:$AI$2,0),FALSE)*$F$2*TOCA_previous!C61),0),0), 0)</f>
        <v>0</v>
      </c>
      <c r="AW64" s="427">
        <f>VLOOKUP($A64,REP_previous!$A$1:$D$135,MATCH("FY "&amp;$F$1&amp; " Total Refund",REP_previous!$A$1:$D$1,0),0)</f>
        <v>2808.40826277304</v>
      </c>
      <c r="AX64" s="398">
        <f>MIN(VLOOKUP($A64,TOCA_previous!$A$2:$AI$137,MATCH("TRL - NLSL - Exisiting Resource "&amp;$F$1,TOCA_previous!$A$2:$AI$2,0),FALSE)*$F$2,(VLOOKUP($A64,TOCA_previous!$A$2:$AI$137,MATCH("RHWM 2016",TOCA_previous!$A$2:$AI$2,0),FALSE)*$F$2))</f>
        <v>4409.5680000000002</v>
      </c>
      <c r="AY64" s="384">
        <f>SUM(L64:AI64)+(F64*RT1SC!$C$3*$F$2)</f>
        <v>4341.0350103810388</v>
      </c>
      <c r="AZ64" s="398">
        <f>VLOOKUP($A64,TOCA_previous!$A$2:$AI$137,MATCH("Above RHWM Not Served with LS "&amp;$F$1,TOCA_previous!$A$2:$AI$2,0),FALSE)*$F$2</f>
        <v>0</v>
      </c>
      <c r="BA64" s="206">
        <f t="shared" si="3"/>
        <v>-68.532989618961437</v>
      </c>
      <c r="BB64" s="399">
        <f>(VLOOKUP($A64,TOCA_previous!$A$2:$AI$137,MATCH("RHWM 2016",TOCA_previous!$A$2:$AI$2,0),FALSE)*$F$2) - $AX64</f>
        <v>0</v>
      </c>
      <c r="BC64" s="206">
        <f t="shared" si="4"/>
        <v>0</v>
      </c>
      <c r="BD64" s="400">
        <f t="shared" si="5"/>
        <v>68.532989618961437</v>
      </c>
      <c r="BE64" s="392">
        <f t="shared" si="6"/>
        <v>0</v>
      </c>
      <c r="BF64" s="399">
        <f t="shared" si="7"/>
        <v>68.532989618961437</v>
      </c>
      <c r="BG64" s="206">
        <f>VLOOKUP($A64,TOCA_current!$A$2:$AI$137,MATCH(BG$4,TOCA_current!$A$2:$AI$2,0),FALSE)</f>
        <v>7.1899999999999999E-5</v>
      </c>
      <c r="BH64" s="206">
        <f>VLOOKUP($A64,TOCA_current!$A$2:$AI$137,MATCH(BH$4,TOCA_current!$A$2:$AI$2,0),FALSE)</f>
        <v>7.1899999999999999E-5</v>
      </c>
      <c r="BI64" s="391">
        <f t="shared" si="8"/>
        <v>0</v>
      </c>
      <c r="BJ64" s="206">
        <f>VLOOKUP($A64,TOCA_current!A60:BG195,MATCH(BJ$4,TOCA_current!$A$2:$BG$2,0),FALSE)</f>
        <v>0</v>
      </c>
      <c r="BK64" s="206">
        <f t="shared" si="9"/>
        <v>0</v>
      </c>
      <c r="BL64" s="206">
        <f t="shared" si="10"/>
        <v>0</v>
      </c>
      <c r="BM64" s="381">
        <f>VLOOKUP($A64,IRD!$A$4:$G$139, 7, FALSE)</f>
        <v>0</v>
      </c>
      <c r="BN64" s="382">
        <f t="array" ref="BN64">IF($BI64=0, INDEX(LS_current!$D$4:$AY$139, MATCH('Staging Table'!$A64, LS_current!$B$4:$B$139, 0), MATCH(BN$4&amp;BN$5, LS_current!$D$2:$AY$2&amp;LS_current!$D$3:$AY$3, 0)),SUM(VLOOKUP($A64, LS_current!$B$4:$AY$139, LS_current!D$149, FALSE), VLOOKUP($A64, LS_current!$B$4:$AY$139,LS_current!D$149, FALSE))/2)</f>
        <v>-54.719252360433359</v>
      </c>
      <c r="BO64" s="382">
        <f t="array" ref="BO64">IF($BI64=0, INDEX(LS_current!$D$4:$AY$139, MATCH('Staging Table'!$A64, LS_current!$B$4:$B$139, 0), MATCH(BO$4&amp;BO$5, LS_current!$D$2:$AY$2&amp;LS_current!$D$3:$AY$3, 0)),SUM(VLOOKUP($A64, LS_current!$B$4:$AY$139, LS_current!E$149, FALSE), VLOOKUP($A64, LS_current!$B$4:$AY$139,LS_current!E$149, FALSE))/2)</f>
        <v>4.0738172446283016</v>
      </c>
      <c r="BP64" s="382">
        <f t="array" ref="BP64">IF($BI64=0, INDEX(LS_current!$D$4:$AY$139, MATCH('Staging Table'!$A64, LS_current!$B$4:$B$139, 0), MATCH(BP$4&amp;BP$5, LS_current!$D$2:$AY$2&amp;LS_current!$D$3:$AY$3, 0)),SUM(VLOOKUP($A64, LS_current!$B$4:$AY$139, LS_current!F$149, FALSE), VLOOKUP($A64, LS_current!$B$4:$AY$139,LS_current!F$149, FALSE))/2)</f>
        <v>-46.299749912850075</v>
      </c>
      <c r="BQ64" s="382">
        <f t="array" ref="BQ64">IF($BI64=0, INDEX(LS_current!$D$4:$AY$139, MATCH('Staging Table'!$A64, LS_current!$B$4:$B$139, 0), MATCH(BQ$4&amp;BQ$5, LS_current!$D$2:$AY$2&amp;LS_current!$D$3:$AY$3, 0)),SUM(VLOOKUP($A64, LS_current!$B$4:$AY$139, LS_current!G$149, FALSE), VLOOKUP($A64, LS_current!$B$4:$AY$139,LS_current!G$149, FALSE))/2)</f>
        <v>15.069863152685855</v>
      </c>
      <c r="BR64" s="382">
        <f t="array" ref="BR64">IF($BI64=0, INDEX(LS_current!$D$4:$AY$139, MATCH('Staging Table'!$A64, LS_current!$B$4:$B$139, 0), MATCH(BR$4&amp;BR$5, LS_current!$D$2:$AY$2&amp;LS_current!$D$3:$AY$3, 0)),SUM(VLOOKUP($A64, LS_current!$B$4:$AY$139, LS_current!H$149, FALSE), VLOOKUP($A64, LS_current!$B$4:$AY$139,LS_current!H$149, FALSE))/2)</f>
        <v>25.007073948207733</v>
      </c>
      <c r="BS64" s="382">
        <f t="array" ref="BS64">IF($BI64=0, INDEX(LS_current!$D$4:$AY$139, MATCH('Staging Table'!$A64, LS_current!$B$4:$B$139, 0), MATCH(BS$4&amp;BS$5, LS_current!$D$2:$AY$2&amp;LS_current!$D$3:$AY$3, 0)),SUM(VLOOKUP($A64, LS_current!$B$4:$AY$139, LS_current!I$149, FALSE), VLOOKUP($A64, LS_current!$B$4:$AY$139,LS_current!I$149, FALSE))/2)</f>
        <v>81.158674217537595</v>
      </c>
      <c r="BT64" s="382">
        <f t="array" ref="BT64">IF($BI64=0, INDEX(LS_current!$D$4:$AY$139, MATCH('Staging Table'!$A64, LS_current!$B$4:$B$139, 0), MATCH(BT$4&amp;BT$5, LS_current!$D$2:$AY$2&amp;LS_current!$D$3:$AY$3, 0)),SUM(VLOOKUP($A64, LS_current!$B$4:$AY$139, LS_current!J$149, FALSE), VLOOKUP($A64, LS_current!$B$4:$AY$139,LS_current!J$149, FALSE))/2)</f>
        <v>77.81078039612882</v>
      </c>
      <c r="BU64" s="382">
        <f t="array" ref="BU64">IF($BI64=0, INDEX(LS_current!$D$4:$AY$139, MATCH('Staging Table'!$A64, LS_current!$B$4:$B$139, 0), MATCH(BU$4&amp;BU$5, LS_current!$D$2:$AY$2&amp;LS_current!$D$3:$AY$3, 0)),SUM(VLOOKUP($A64, LS_current!$B$4:$AY$139, LS_current!K$149, FALSE), VLOOKUP($A64, LS_current!$B$4:$AY$139,LS_current!K$149, FALSE))/2)</f>
        <v>96.722772113867194</v>
      </c>
      <c r="BV64" s="382">
        <f t="array" ref="BV64">IF($BI64=0, INDEX(LS_current!$D$4:$AY$139, MATCH('Staging Table'!$A64, LS_current!$B$4:$B$139, 0), MATCH(BV$4&amp;BV$5, LS_current!$D$2:$AY$2&amp;LS_current!$D$3:$AY$3, 0)),SUM(VLOOKUP($A64, LS_current!$B$4:$AY$139, LS_current!L$149, FALSE), VLOOKUP($A64, LS_current!$B$4:$AY$139,LS_current!L$149, FALSE))/2)</f>
        <v>59.037869846133958</v>
      </c>
      <c r="BW64" s="382">
        <f t="array" ref="BW64">IF($BI64=0, INDEX(LS_current!$D$4:$AY$139, MATCH('Staging Table'!$A64, LS_current!$B$4:$B$139, 0), MATCH(BW$4&amp;BW$5, LS_current!$D$2:$AY$2&amp;LS_current!$D$3:$AY$3, 0)),SUM(VLOOKUP($A64, LS_current!$B$4:$AY$139, LS_current!M$149, FALSE), VLOOKUP($A64, LS_current!$B$4:$AY$139,LS_current!M$149, FALSE))/2)</f>
        <v>75.8443076068925</v>
      </c>
      <c r="BX64" s="382">
        <f t="array" ref="BX64">IF($BI64=0, INDEX(LS_current!$D$4:$AY$139, MATCH('Staging Table'!$A64, LS_current!$B$4:$B$139, 0), MATCH(BX$4&amp;BX$5, LS_current!$D$2:$AY$2&amp;LS_current!$D$3:$AY$3, 0)),SUM(VLOOKUP($A64, LS_current!$B$4:$AY$139, LS_current!N$149, FALSE), VLOOKUP($A64, LS_current!$B$4:$AY$139,LS_current!N$149, FALSE))/2)</f>
        <v>-5.9974974191431443</v>
      </c>
      <c r="BY64" s="382">
        <f t="array" ref="BY64">IF($BI64=0, INDEX(LS_current!$D$4:$AY$139, MATCH('Staging Table'!$A64, LS_current!$B$4:$B$139, 0), MATCH(BY$4&amp;BY$5, LS_current!$D$2:$AY$2&amp;LS_current!$D$3:$AY$3, 0)),SUM(VLOOKUP($A64, LS_current!$B$4:$AY$139, LS_current!O$149, FALSE), VLOOKUP($A64, LS_current!$B$4:$AY$139,LS_current!O$149, FALSE))/2)</f>
        <v>25.317517215819251</v>
      </c>
      <c r="BZ64" s="382">
        <f t="array" ref="BZ64">IF($BI64=0, INDEX(LS_current!$D$4:$AY$139, MATCH('Staging Table'!$A64, LS_current!$B$4:$B$139, 0), MATCH(BZ$4&amp;BZ$5, LS_current!$D$2:$AY$2&amp;LS_current!$D$3:$AY$3, 0)),SUM(VLOOKUP($A64, LS_current!$B$4:$AY$139, LS_current!P$149, FALSE), VLOOKUP($A64, LS_current!$B$4:$AY$139,LS_current!P$149, FALSE))/2)</f>
        <v>-37.008806215477307</v>
      </c>
      <c r="CA64" s="382">
        <f t="array" ref="CA64">IF($BI64=0, INDEX(LS_current!$D$4:$AY$139, MATCH('Staging Table'!$A64, LS_current!$B$4:$B$139, 0), MATCH(CA$4&amp;CA$5, LS_current!$D$2:$AY$2&amp;LS_current!$D$3:$AY$3, 0)),SUM(VLOOKUP($A64, LS_current!$B$4:$AY$139, LS_current!Q$149, FALSE), VLOOKUP($A64, LS_current!$B$4:$AY$139,LS_current!Q$149, FALSE))/2)</f>
        <v>20.114415892411699</v>
      </c>
      <c r="CB64" s="382">
        <f t="array" ref="CB64">IF($BI64=0, INDEX(LS_current!$D$4:$AY$139, MATCH('Staging Table'!$A64, LS_current!$B$4:$B$139, 0), MATCH(CB$4&amp;CB$5, LS_current!$D$2:$AY$2&amp;LS_current!$D$3:$AY$3, 0)),SUM(VLOOKUP($A64, LS_current!$B$4:$AY$139, LS_current!R$149, FALSE), VLOOKUP($A64, LS_current!$B$4:$AY$139,LS_current!R$149, FALSE))/2)</f>
        <v>-131.28548588186712</v>
      </c>
      <c r="CC64" s="382">
        <f t="array" ref="CC64">IF($BI64=0, INDEX(LS_current!$D$4:$AY$139, MATCH('Staging Table'!$A64, LS_current!$B$4:$B$139, 0), MATCH(CC$4&amp;CC$5, LS_current!$D$2:$AY$2&amp;LS_current!$D$3:$AY$3, 0)),SUM(VLOOKUP($A64, LS_current!$B$4:$AY$139, LS_current!S$149, FALSE), VLOOKUP($A64, LS_current!$B$4:$AY$139,LS_current!S$149, FALSE))/2)</f>
        <v>-47.856772792320683</v>
      </c>
      <c r="CD64" s="382">
        <f t="array" ref="CD64">IF($BI64=0, INDEX(LS_current!$D$4:$AY$139, MATCH('Staging Table'!$A64, LS_current!$B$4:$B$139, 0), MATCH(CD$4&amp;CD$5, LS_current!$D$2:$AY$2&amp;LS_current!$D$3:$AY$3, 0)),SUM(VLOOKUP($A64, LS_current!$B$4:$AY$139, LS_current!T$149, FALSE), VLOOKUP($A64, LS_current!$B$4:$AY$139,LS_current!T$149, FALSE))/2)</f>
        <v>-55.021353370467693</v>
      </c>
      <c r="CE64" s="382">
        <f t="array" ref="CE64">IF($BI64=0, INDEX(LS_current!$D$4:$AY$139, MATCH('Staging Table'!$A64, LS_current!$B$4:$B$139, 0), MATCH(CE$4&amp;CE$5, LS_current!$D$2:$AY$2&amp;LS_current!$D$3:$AY$3, 0)),SUM(VLOOKUP($A64, LS_current!$B$4:$AY$139, LS_current!U$149, FALSE), VLOOKUP($A64, LS_current!$B$4:$AY$139,LS_current!U$149, FALSE))/2)</f>
        <v>-10.099202463642897</v>
      </c>
      <c r="CF64" s="382">
        <f t="array" ref="CF64">IF($BI64=0, INDEX(LS_current!$D$4:$AY$139, MATCH('Staging Table'!$A64, LS_current!$B$4:$B$139, 0), MATCH(CF$4&amp;CF$5, LS_current!$D$2:$AY$2&amp;LS_current!$D$3:$AY$3, 0)),SUM(VLOOKUP($A64, LS_current!$B$4:$AY$139, LS_current!V$149, FALSE), VLOOKUP($A64, LS_current!$B$4:$AY$139,LS_current!V$149, FALSE))/2)</f>
        <v>-21.846220364858254</v>
      </c>
      <c r="CG64" s="382">
        <f t="array" ref="CG64">IF($BI64=0, INDEX(LS_current!$D$4:$AY$139, MATCH('Staging Table'!$A64, LS_current!$B$4:$B$139, 0), MATCH(CG$4&amp;CG$5, LS_current!$D$2:$AY$2&amp;LS_current!$D$3:$AY$3, 0)),SUM(VLOOKUP($A64, LS_current!$B$4:$AY$139, LS_current!W$149, FALSE), VLOOKUP($A64, LS_current!$B$4:$AY$139,LS_current!W$149, FALSE))/2)</f>
        <v>25.079669859393789</v>
      </c>
      <c r="CH64" s="382">
        <f t="array" ref="CH64">IF($BI64=0, INDEX(LS_current!$D$4:$AY$139, MATCH('Staging Table'!$A64, LS_current!$B$4:$B$139, 0), MATCH(CH$4&amp;CH$5, LS_current!$D$2:$AY$2&amp;LS_current!$D$3:$AY$3, 0)),SUM(VLOOKUP($A64, LS_current!$B$4:$AY$139, LS_current!X$149, FALSE), VLOOKUP($A64, LS_current!$B$4:$AY$139,LS_current!X$149, FALSE))/2)</f>
        <v>-53.137594398430934</v>
      </c>
      <c r="CI64" s="382">
        <f t="array" ref="CI64">IF($BI64=0, INDEX(LS_current!$D$4:$AY$139, MATCH('Staging Table'!$A64, LS_current!$B$4:$B$139, 0), MATCH(CI$4&amp;CI$5, LS_current!$D$2:$AY$2&amp;LS_current!$D$3:$AY$3, 0)),SUM(VLOOKUP($A64, LS_current!$B$4:$AY$139, LS_current!Y$149, FALSE), VLOOKUP($A64, LS_current!$B$4:$AY$139,LS_current!Y$149, FALSE))/2)</f>
        <v>-8.2318951327627872</v>
      </c>
      <c r="CJ64" s="382">
        <f t="array" ref="CJ64">IF($BI64=0, INDEX(LS_current!$D$4:$AY$139, MATCH('Staging Table'!$A64, LS_current!$B$4:$B$139, 0), MATCH(CJ$4&amp;CJ$5, LS_current!$D$2:$AY$2&amp;LS_current!$D$3:$AY$3, 0)),SUM(VLOOKUP($A64, LS_current!$B$4:$AY$139, LS_current!Z$149, FALSE), VLOOKUP($A64, LS_current!$B$4:$AY$139,LS_current!Z$149, FALSE))/2)</f>
        <v>-62.459965671366547</v>
      </c>
      <c r="CK64" s="382">
        <f t="array" ref="CK64">IF($BI64=0, INDEX(LS_current!$D$4:$AY$139, MATCH('Staging Table'!$A64, LS_current!$B$4:$B$139, 0), MATCH(CK$4&amp;CK$5, LS_current!$D$2:$AY$2&amp;LS_current!$D$3:$AY$3, 0)),SUM(VLOOKUP($A64, LS_current!$B$4:$AY$139, LS_current!AA$149, FALSE), VLOOKUP($A64, LS_current!$B$4:$AY$139,LS_current!AA$149, FALSE))/2)</f>
        <v>-4.4074857187374903</v>
      </c>
      <c r="CL64" s="384">
        <f t="array" ref="CL64">INDEX(Demand_current!$D$4:$AY$138, MATCH($A64, Demand_current!$B$4:$B$138, 0), MATCH(CL$4&amp;CL$5,Demand_current!$D$2:$AY$2&amp;Demand_current!$D$3:$AY$3, 0))/1000</f>
        <v>9.8439903846153837E-2</v>
      </c>
      <c r="CM64" s="384">
        <f t="array" ref="CM64">INDEX(Demand_current!$D$4:$AY$138, MATCH($A64, Demand_current!$B$4:$B$138, 0), MATCH(CM$4&amp;CM$5,Demand_current!$D$2:$AY$2&amp;Demand_current!$D$3:$AY$3, 0))/1000</f>
        <v>5.8387499999999926E-2</v>
      </c>
      <c r="CN64" s="384">
        <f t="array" ref="CN64">INDEX(Demand_current!$D$4:$AY$138, MATCH($A64, Demand_current!$B$4:$B$138, 0), MATCH(CN$4&amp;CN$5,Demand_current!$D$2:$AY$2&amp;Demand_current!$D$3:$AY$3, 0))/1000</f>
        <v>0.19737250000000001</v>
      </c>
      <c r="CO64" s="384">
        <f t="array" ref="CO64">INDEX(Demand_current!$D$4:$AY$138, MATCH($A64, Demand_current!$B$4:$B$138, 0), MATCH(CO$4&amp;CO$5,Demand_current!$D$2:$AY$2&amp;Demand_current!$D$3:$AY$3, 0))/1000</f>
        <v>0.20159615384615376</v>
      </c>
      <c r="CP64" s="384">
        <f t="array" ref="CP64">INDEX(Demand_current!$D$4:$AY$138, MATCH($A64, Demand_current!$B$4:$B$138, 0), MATCH(CP$4&amp;CP$5,Demand_current!$D$2:$AY$2&amp;Demand_current!$D$3:$AY$3, 0))/1000</f>
        <v>7.7927083333333286E-2</v>
      </c>
      <c r="CQ64" s="384">
        <f t="array" ref="CQ64">INDEX(Demand_current!$D$4:$AY$138, MATCH($A64, Demand_current!$B$4:$B$138, 0), MATCH(CQ$4&amp;CQ$5,Demand_current!$D$2:$AY$2&amp;Demand_current!$D$3:$AY$3, 0))/1000</f>
        <v>0.14914814814814811</v>
      </c>
      <c r="CR64" s="384">
        <f t="array" ref="CR64">INDEX(Demand_current!$D$4:$AY$138, MATCH($A64, Demand_current!$B$4:$B$138, 0), MATCH(CR$4&amp;CR$5,Demand_current!$D$2:$AY$2&amp;Demand_current!$D$3:$AY$3, 0))/1000</f>
        <v>6.4972499999999989E-2</v>
      </c>
      <c r="CS64" s="384">
        <f t="array" ref="CS64">INDEX(Demand_current!$D$4:$AY$138, MATCH($A64, Demand_current!$B$4:$B$138, 0), MATCH(CS$4&amp;CS$5,Demand_current!$D$2:$AY$2&amp;Demand_current!$D$3:$AY$3, 0))/1000</f>
        <v>6.787980769230767E-2</v>
      </c>
      <c r="CT64" s="384">
        <f t="array" ref="CT64">INDEX(Demand_current!$D$4:$AY$138, MATCH($A64, Demand_current!$B$4:$B$138, 0), MATCH(CT$4&amp;CT$5,Demand_current!$D$2:$AY$2&amp;Demand_current!$D$3:$AY$3, 0))/1000</f>
        <v>7.8850961538461536E-2</v>
      </c>
      <c r="CU64" s="384">
        <f t="array" ref="CU64">INDEX(Demand_current!$D$4:$AY$138, MATCH($A64, Demand_current!$B$4:$B$138, 0), MATCH(CU$4&amp;CU$5,Demand_current!$D$2:$AY$2&amp;Demand_current!$D$3:$AY$3, 0))/1000</f>
        <v>6.54E-2</v>
      </c>
      <c r="CV64" s="384">
        <f t="array" ref="CV64">INDEX(Demand_current!$D$4:$AY$138, MATCH($A64, Demand_current!$B$4:$B$138, 0), MATCH(CV$4&amp;CV$5,Demand_current!$D$2:$AY$2&amp;Demand_current!$D$3:$AY$3, 0))/1000</f>
        <v>4.586342592592596E-2</v>
      </c>
      <c r="CW64" s="384">
        <f t="array" ref="CW64">INDEX(Demand_current!$D$4:$AY$138, MATCH($A64, Demand_current!$B$4:$B$138, 0), MATCH(CW$4&amp;CW$5,Demand_current!$D$2:$AY$2&amp;Demand_current!$D$3:$AY$3, 0))/1000</f>
        <v>2.4739583333333874E-3</v>
      </c>
      <c r="CX64" s="384">
        <f>IF(D64=0,IF(C64=0,MAX(0,DA64 - (VLOOKUP($A64,TOCA_current!$A$2:$AI$137,MATCH("RHWM 2018",TOCA_current!$A$2:$AI$2,0),FALSE)*$BH$2)), 0),0)</f>
        <v>0</v>
      </c>
      <c r="CY64" s="427">
        <f>VLOOKUP($A64,REP_current!$A$1:$D$135,MATCH("FY "&amp;$BH$1&amp; " Total Refund",REP_current!$A$1:$D$1,0),0)</f>
        <v>2852.0813740465292</v>
      </c>
      <c r="CZ64" s="432">
        <f>MIN(VLOOKUP($A64,TOCA_current!$A$2:$AI$137,MATCH("TRL - NLSL - Existing Resource "&amp;$BH$1,TOCA_current!$A$2:$AI$2,0),FALSE)*$BH$2, VLOOKUP($A64,TOCA_current!$A$2:$AI$137,MATCH("RHWM 2018",TOCA_current!$A$2:$AI$2,0),FALSE)*$BH$2)</f>
        <v>4371.24</v>
      </c>
      <c r="DA64" s="397">
        <f>SUM(BN64:CK64)+(BH64*RT1SC!$C$4*$BH$2)</f>
        <v>4341.0350638153486</v>
      </c>
      <c r="DB64" s="432">
        <f>VLOOKUP($A64,TOCA_current!$A$2:$AI$137,MATCH("Above RHWM Not Served with LS "&amp;$BH$1,TOCA_current!$A$2:$AI$2,0),FALSE)*$BH$2</f>
        <v>0</v>
      </c>
      <c r="DC64" s="401">
        <f t="shared" si="11"/>
        <v>-30.20493618465116</v>
      </c>
      <c r="DD64" s="397">
        <f>(VLOOKUP($A64,TOCA_current!$A$2:$AI$137,MATCH("RHWM 2018",TOCA_current!$A$2:$AI$2,0),FALSE)*$BH$2) - $CZ64</f>
        <v>0</v>
      </c>
      <c r="DE64" s="397">
        <f t="shared" si="12"/>
        <v>0</v>
      </c>
      <c r="DF64" s="397">
        <f t="shared" si="13"/>
        <v>30.20493618465116</v>
      </c>
      <c r="DG64" s="397">
        <f t="shared" si="14"/>
        <v>0</v>
      </c>
      <c r="DH64" s="397">
        <f t="shared" si="15"/>
        <v>30.20493618465116</v>
      </c>
    </row>
    <row r="65" spans="1:112">
      <c r="A65" s="274">
        <v>10177</v>
      </c>
      <c r="B65" s="275" t="s">
        <v>66</v>
      </c>
      <c r="C65" s="397">
        <v>0</v>
      </c>
      <c r="D65" s="397">
        <v>0</v>
      </c>
      <c r="E65" s="205">
        <f>VLOOKUP($A65,TOCA_previous!$A$2:$AI$137,MATCH(E$4,TOCA_previous!$A$2:$AI$2,0),FALSE)</f>
        <v>1.6540999999999999E-3</v>
      </c>
      <c r="F65" s="206">
        <f>VLOOKUP($A65,TOCA_previous!$A$2:$AI$137,MATCH(F$4,TOCA_previous!$A$2:$AI$2,0),FALSE)</f>
        <v>1.6540999999999999E-3</v>
      </c>
      <c r="G65" s="206">
        <f t="shared" si="0"/>
        <v>0</v>
      </c>
      <c r="H65" s="206">
        <f>VLOOKUP($A65,TOCA_previous!$A$2:$AI$137,MATCH(H$4,TOCA_previous!$A$2:$AI$2,0),FALSE)</f>
        <v>7.4779999999999999E-2</v>
      </c>
      <c r="I65" s="206">
        <f t="shared" si="1"/>
        <v>0</v>
      </c>
      <c r="J65" s="206">
        <f t="shared" si="2"/>
        <v>0</v>
      </c>
      <c r="K65" s="381">
        <f>VLOOKUP(A65, IRD!$A$5:$C$139, 3, FALSE)</f>
        <v>0</v>
      </c>
      <c r="L65" s="382">
        <f t="array" ref="L65">IF($G65=0, INDEX(LS_previous!$D$4:$AY$138, MATCH('Staging Table'!$A65, LS_previous!$B$4:$B$138, 0), MATCH(L$4&amp;L$5, LS_previous!$D$2:$AY$2&amp;LS_previous!$D$3:$AY$3, 0)),SUM(VLOOKUP($A65, LS_previous!$B$4:$AY$138, LS_previous!D$149, FALSE), VLOOKUP('Staging Table'!$A65, LS_previous!$B$4:$AY$138,LS_previous!AB$149, FALSE))/2)</f>
        <v>-569.83344539665177</v>
      </c>
      <c r="M65" s="382">
        <f t="array" ref="M65">IF($G65=0, INDEX(LS_previous!$D$4:$AY$138, MATCH('Staging Table'!$A65, LS_previous!$B$4:$B$138, 0), MATCH(M$4&amp;M$5, LS_previous!$D$2:$AY$2&amp;LS_previous!$D$3:$AY$3, 0)),SUM(VLOOKUP($A65, LS_previous!$B$4:$AY$138, LS_previous!E$149, FALSE), VLOOKUP('Staging Table'!$A65, LS_previous!$B$4:$AY$138,LS_previous!AC$149, FALSE))/2)</f>
        <v>-24.520764539423908</v>
      </c>
      <c r="N65" s="382">
        <f t="array" ref="N65">IF($G65=0, INDEX(LS_previous!$D$4:$AY$138, MATCH('Staging Table'!$A65, LS_previous!$B$4:$B$138, 0), MATCH(N$4&amp;N$5, LS_previous!$D$2:$AY$2&amp;LS_previous!$D$3:$AY$3, 0)),SUM(VLOOKUP($A65, LS_previous!$B$4:$AY$138, LS_previous!F$149, FALSE), VLOOKUP('Staging Table'!$A65, LS_previous!$B$4:$AY$138,LS_previous!AD$149, FALSE))/2)</f>
        <v>-920.59586410937573</v>
      </c>
      <c r="O65" s="382">
        <f t="array" ref="O65">IF($G65=0, INDEX(LS_previous!$D$4:$AY$138, MATCH('Staging Table'!$A65, LS_previous!$B$4:$B$138, 0), MATCH(O$4&amp;O$5, LS_previous!$D$2:$AY$2&amp;LS_previous!$D$3:$AY$3, 0)),SUM(VLOOKUP($A65, LS_previous!$B$4:$AY$138, LS_previous!G$149, FALSE), VLOOKUP('Staging Table'!$A65, LS_previous!$B$4:$AY$138,LS_previous!AE$149, FALSE))/2)</f>
        <v>246.41093299807335</v>
      </c>
      <c r="P65" s="382">
        <f t="array" ref="P65">IF($G65=0, INDEX(LS_previous!$D$4:$AY$138, MATCH('Staging Table'!$A65, LS_previous!$B$4:$B$138, 0), MATCH(P$4&amp;P$5, LS_previous!$D$2:$AY$2&amp;LS_previous!$D$3:$AY$3, 0)),SUM(VLOOKUP($A65, LS_previous!$B$4:$AY$138, LS_previous!H$149, FALSE), VLOOKUP('Staging Table'!$A65, LS_previous!$B$4:$AY$138,LS_previous!AF$149, FALSE))/2)</f>
        <v>239.59021337025933</v>
      </c>
      <c r="Q65" s="382">
        <f t="array" ref="Q65">IF($G65=0, INDEX(LS_previous!$D$4:$AY$138, MATCH('Staging Table'!$A65, LS_previous!$B$4:$B$138, 0), MATCH(Q$4&amp;Q$5, LS_previous!$D$2:$AY$2&amp;LS_previous!$D$3:$AY$3, 0)),SUM(VLOOKUP($A65, LS_previous!$B$4:$AY$138, LS_previous!I$149, FALSE), VLOOKUP('Staging Table'!$A65, LS_previous!$B$4:$AY$138,LS_previous!AG$149, FALSE))/2)</f>
        <v>779.1104372660543</v>
      </c>
      <c r="R65" s="382">
        <f t="array" ref="R65">IF($G65=0, INDEX(LS_previous!$D$4:$AY$138, MATCH('Staging Table'!$A65, LS_previous!$B$4:$B$138, 0), MATCH(R$4&amp;R$5, LS_previous!$D$2:$AY$2&amp;LS_previous!$D$3:$AY$3, 0)),SUM(VLOOKUP($A65, LS_previous!$B$4:$AY$138, LS_previous!J$149, FALSE), VLOOKUP('Staging Table'!$A65, LS_previous!$B$4:$AY$138,LS_previous!AH$149, FALSE))/2)</f>
        <v>433.2216454286754</v>
      </c>
      <c r="S65" s="382">
        <f t="array" ref="S65">IF($G65=0, INDEX(LS_previous!$D$4:$AY$138, MATCH('Staging Table'!$A65, LS_previous!$B$4:$B$138, 0), MATCH(S$4&amp;S$5, LS_previous!$D$2:$AY$2&amp;LS_previous!$D$3:$AY$3, 0)),SUM(VLOOKUP($A65, LS_previous!$B$4:$AY$138, LS_previous!K$149, FALSE), VLOOKUP('Staging Table'!$A65, LS_previous!$B$4:$AY$138,LS_previous!AI$149, FALSE))/2)</f>
        <v>882.68363102499416</v>
      </c>
      <c r="T65" s="382">
        <f t="array" ref="T65">IF($G65=0, INDEX(LS_previous!$D$4:$AY$138, MATCH('Staging Table'!$A65, LS_previous!$B$4:$B$138, 0), MATCH(T$4&amp;T$5, LS_previous!$D$2:$AY$2&amp;LS_previous!$D$3:$AY$3, 0)),SUM(VLOOKUP($A65, LS_previous!$B$4:$AY$138, LS_previous!L$149, FALSE), VLOOKUP('Staging Table'!$A65, LS_previous!$B$4:$AY$138,LS_previous!AJ$149, FALSE))/2)</f>
        <v>87.973715098484718</v>
      </c>
      <c r="U65" s="382">
        <f t="array" ref="U65">IF($G65=0, INDEX(LS_previous!$D$4:$AY$138, MATCH('Staging Table'!$A65, LS_previous!$B$4:$B$138, 0), MATCH(U$4&amp;U$5, LS_previous!$D$2:$AY$2&amp;LS_previous!$D$3:$AY$3, 0)),SUM(VLOOKUP($A65, LS_previous!$B$4:$AY$138, LS_previous!M$149, FALSE), VLOOKUP('Staging Table'!$A65, LS_previous!$B$4:$AY$138,LS_previous!AK$149, FALSE))/2)</f>
        <v>589.03205690839013</v>
      </c>
      <c r="V65" s="382">
        <f t="array" ref="V65">IF($G65=0, INDEX(LS_previous!$D$4:$AY$138, MATCH('Staging Table'!$A65, LS_previous!$B$4:$B$138, 0), MATCH(V$4&amp;V$5, LS_previous!$D$2:$AY$2&amp;LS_previous!$D$3:$AY$3, 0)),SUM(VLOOKUP($A65, LS_previous!$B$4:$AY$138, LS_previous!N$149, FALSE), VLOOKUP('Staging Table'!$A65, LS_previous!$B$4:$AY$138,LS_previous!AL$149, FALSE))/2)</f>
        <v>-901.22292130945607</v>
      </c>
      <c r="W65" s="382">
        <f t="array" ref="W65">IF($G65=0, INDEX(LS_previous!$D$4:$AY$138, MATCH('Staging Table'!$A65, LS_previous!$B$4:$B$138, 0), MATCH(W$4&amp;W$5, LS_previous!$D$2:$AY$2&amp;LS_previous!$D$3:$AY$3, 0)),SUM(VLOOKUP($A65, LS_previous!$B$4:$AY$138, LS_previous!O$149, FALSE), VLOOKUP('Staging Table'!$A65, LS_previous!$B$4:$AY$138,LS_previous!AM$149, FALSE))/2)</f>
        <v>-88.306247868174978</v>
      </c>
      <c r="X65" s="382">
        <f t="array" ref="X65">IF($G65=0, INDEX(LS_previous!$D$4:$AY$138, MATCH('Staging Table'!$A65, LS_previous!$B$4:$B$138, 0), MATCH(X$4&amp;X$5, LS_previous!$D$2:$AY$2&amp;LS_previous!$D$3:$AY$3, 0)),SUM(VLOOKUP($A65, LS_previous!$B$4:$AY$138, LS_previous!P$149, FALSE), VLOOKUP('Staging Table'!$A65, LS_previous!$B$4:$AY$138,LS_previous!AN$149, FALSE))/2)</f>
        <v>-507.29210152320275</v>
      </c>
      <c r="Y65" s="382">
        <f t="array" ref="Y65">IF($G65=0, INDEX(LS_previous!$D$4:$AY$138, MATCH('Staging Table'!$A65, LS_previous!$B$4:$B$138, 0), MATCH(Y$4&amp;Y$5, LS_previous!$D$2:$AY$2&amp;LS_previous!$D$3:$AY$3, 0)),SUM(VLOOKUP($A65, LS_previous!$B$4:$AY$138, LS_previous!Q$149, FALSE), VLOOKUP('Staging Table'!$A65, LS_previous!$B$4:$AY$138,LS_previous!AO$149, FALSE))/2)</f>
        <v>-10.630024222808515</v>
      </c>
      <c r="Z65" s="382">
        <f t="array" ref="Z65">IF($G65=0, INDEX(LS_previous!$D$4:$AY$138, MATCH('Staging Table'!$A65, LS_previous!$B$4:$B$138, 0), MATCH(Z$4&amp;Z$5, LS_previous!$D$2:$AY$2&amp;LS_previous!$D$3:$AY$3, 0)),SUM(VLOOKUP($A65, LS_previous!$B$4:$AY$138, LS_previous!R$149, FALSE), VLOOKUP('Staging Table'!$A65, LS_previous!$B$4:$AY$138,LS_previous!AP$149, FALSE))/2)</f>
        <v>-3765.661301593907</v>
      </c>
      <c r="AA65" s="382">
        <f t="array" ref="AA65">IF($G65=0, INDEX(LS_previous!$D$4:$AY$138, MATCH('Staging Table'!$A65, LS_previous!$B$4:$B$138, 0), MATCH(AA$4&amp;AA$5, LS_previous!$D$2:$AY$2&amp;LS_previous!$D$3:$AY$3, 0)),SUM(VLOOKUP($A65, LS_previous!$B$4:$AY$138, LS_previous!S$149, FALSE), VLOOKUP('Staging Table'!$A65, LS_previous!$B$4:$AY$138,LS_previous!AQ$149, FALSE))/2)</f>
        <v>-1507.3183565698018</v>
      </c>
      <c r="AB65" s="382">
        <f t="array" ref="AB65">IF($G65=0, INDEX(LS_previous!$D$4:$AY$138, MATCH('Staging Table'!$A65, LS_previous!$B$4:$B$138, 0), MATCH(AB$4&amp;AB$5, LS_previous!$D$2:$AY$2&amp;LS_previous!$D$3:$AY$3, 0)),SUM(VLOOKUP($A65, LS_previous!$B$4:$AY$138, LS_previous!T$149, FALSE), VLOOKUP('Staging Table'!$A65, LS_previous!$B$4:$AY$138,LS_previous!AR$149, FALSE))/2)</f>
        <v>-2597.5495253955014</v>
      </c>
      <c r="AC65" s="382">
        <f t="array" ref="AC65">IF($G65=0, INDEX(LS_previous!$D$4:$AY$138, MATCH('Staging Table'!$A65, LS_previous!$B$4:$B$138, 0), MATCH(AC$4&amp;AC$5, LS_previous!$D$2:$AY$2&amp;LS_previous!$D$3:$AY$3, 0)),SUM(VLOOKUP($A65, LS_previous!$B$4:$AY$138, LS_previous!U$149, FALSE), VLOOKUP('Staging Table'!$A65, LS_previous!$B$4:$AY$138,LS_previous!AS$149, FALSE))/2)</f>
        <v>-1121.84901307777</v>
      </c>
      <c r="AD65" s="382">
        <f t="array" ref="AD65">IF($G65=0, INDEX(LS_previous!$D$4:$AY$138, MATCH('Staging Table'!$A65, LS_previous!$B$4:$B$138, 0), MATCH(AD$4&amp;AD$5, LS_previous!$D$2:$AY$2&amp;LS_previous!$D$3:$AY$3, 0)),SUM(VLOOKUP($A65, LS_previous!$B$4:$AY$138, LS_previous!V$149, FALSE), VLOOKUP('Staging Table'!$A65, LS_previous!$B$4:$AY$138,LS_previous!AT$149, FALSE))/2)</f>
        <v>-2006.2969427962694</v>
      </c>
      <c r="AE65" s="382">
        <f t="array" ref="AE65">IF($G65=0, INDEX(LS_previous!$D$4:$AY$138, MATCH('Staging Table'!$A65, LS_previous!$B$4:$B$138, 0), MATCH(AE$4&amp;AE$5, LS_previous!$D$2:$AY$2&amp;LS_previous!$D$3:$AY$3, 0)),SUM(VLOOKUP($A65, LS_previous!$B$4:$AY$138, LS_previous!W$149, FALSE), VLOOKUP('Staging Table'!$A65, LS_previous!$B$4:$AY$138,LS_previous!AU$149, FALSE))/2)</f>
        <v>-596.51540566731683</v>
      </c>
      <c r="AF65" s="382">
        <f t="array" ref="AF65">IF($G65=0, INDEX(LS_previous!$D$4:$AY$138, MATCH('Staging Table'!$A65, LS_previous!$B$4:$B$138, 0), MATCH(AF$4&amp;AF$5, LS_previous!$D$2:$AY$2&amp;LS_previous!$D$3:$AY$3, 0)),SUM(VLOOKUP($A65, LS_previous!$B$4:$AY$138, LS_previous!X$149, FALSE), VLOOKUP('Staging Table'!$A65, LS_previous!$B$4:$AY$138,LS_previous!AV$149, FALSE))/2)</f>
        <v>-2362.0818087165972</v>
      </c>
      <c r="AG65" s="382">
        <f t="array" ref="AG65">IF($G65=0, INDEX(LS_previous!$D$4:$AY$138, MATCH('Staging Table'!$A65, LS_previous!$B$4:$B$138, 0), MATCH(AG$4&amp;AG$5, LS_previous!$D$2:$AY$2&amp;LS_previous!$D$3:$AY$3, 0)),SUM(VLOOKUP($A65, LS_previous!$B$4:$AY$138, LS_previous!Y$149, FALSE), VLOOKUP('Staging Table'!$A65, LS_previous!$B$4:$AY$138,LS_previous!AW$149, FALSE))/2)</f>
        <v>-698.86580094574219</v>
      </c>
      <c r="AH65" s="382">
        <f t="array" ref="AH65">IF($G65=0, INDEX(LS_previous!$D$4:$AY$138, MATCH('Staging Table'!$A65, LS_previous!$B$4:$B$138, 0), MATCH(AH$4&amp;AH$5, LS_previous!$D$2:$AY$2&amp;LS_previous!$D$3:$AY$3, 0)),SUM(VLOOKUP($A65, LS_previous!$B$4:$AY$138, LS_previous!Z$149, FALSE), VLOOKUP('Staging Table'!$A65, LS_previous!$B$4:$AY$138,LS_previous!AX$149, FALSE))/2)</f>
        <v>-1427.9483323427698</v>
      </c>
      <c r="AI65" s="382">
        <f t="array" ref="AI65">IF($G65=0, INDEX(LS_previous!$D$4:$AY$138, MATCH('Staging Table'!$A65, LS_previous!$B$4:$B$138, 0), MATCH(AI$4&amp;AI$5, LS_previous!$D$2:$AY$2&amp;LS_previous!$D$3:$AY$3, 0)),SUM(VLOOKUP($A65, LS_previous!$B$4:$AY$138, LS_previous!AA$149, FALSE), VLOOKUP('Staging Table'!$A65, LS_previous!$B$4:$AY$138,LS_previous!AY$149, FALSE))/2)</f>
        <v>-564.10390962252586</v>
      </c>
      <c r="AJ65" s="384">
        <f t="array" ref="AJ65">INDEX(Demand_previous!$D$4:$AY$138, MATCH('Staging Table'!$A65, Demand_previous!$B$4:$B$138, 0), MATCH(AJ$4&amp;AJ$5,Demand_previous!$D$2:$AY$2&amp;Demand_previous!$D$3:$AY$3, 0))/1000</f>
        <v>0.69353009259259402</v>
      </c>
      <c r="AK65" s="384">
        <f t="array" ref="AK65">INDEX(Demand_previous!$D$4:$AY$138, MATCH('Staging Table'!$A65, Demand_previous!$B$4:$B$138, 0), MATCH(AK$4&amp;AK$5,Demand_previous!$D$2:$AY$2&amp;Demand_previous!$D$3:$AY$3, 0))/1000</f>
        <v>0.16496354166666638</v>
      </c>
      <c r="AL65" s="384">
        <f t="array" ref="AL65">INDEX(Demand_previous!$D$4:$AY$138, MATCH('Staging Table'!$A65, Demand_previous!$B$4:$B$138, 0), MATCH(AL$4&amp;AL$5,Demand_previous!$D$2:$AY$2&amp;Demand_previous!$D$3:$AY$3, 0))/1000</f>
        <v>1.9812644230769236</v>
      </c>
      <c r="AM65" s="384">
        <f t="array" ref="AM65">INDEX(Demand_previous!$D$4:$AY$138, MATCH('Staging Table'!$A65, Demand_previous!$B$4:$B$138, 0), MATCH(AM$4&amp;AM$5,Demand_previous!$D$2:$AY$2&amp;Demand_previous!$D$3:$AY$3, 0))/1000</f>
        <v>1.2368725</v>
      </c>
      <c r="AN65" s="384">
        <f t="array" ref="AN65">INDEX(Demand_previous!$D$4:$AY$138, MATCH('Staging Table'!$A65, Demand_previous!$B$4:$B$138, 0), MATCH(AN$4&amp;AN$5,Demand_previous!$D$2:$AY$2&amp;Demand_previous!$D$3:$AY$3, 0))/1000</f>
        <v>0.74363000000000135</v>
      </c>
      <c r="AO65" s="384">
        <f t="array" ref="AO65">INDEX(Demand_previous!$D$4:$AY$138, MATCH('Staging Table'!$A65, Demand_previous!$B$4:$B$138, 0), MATCH(AO$4&amp;AO$5,Demand_previous!$D$2:$AY$2&amp;Demand_previous!$D$3:$AY$3, 0))/1000</f>
        <v>0.90288657407407369</v>
      </c>
      <c r="AP65" s="384">
        <f t="array" ref="AP65">INDEX(Demand_previous!$D$4:$AY$138, MATCH('Staging Table'!$A65, Demand_previous!$B$4:$B$138, 0), MATCH(AP$4&amp;AP$5,Demand_previous!$D$2:$AY$2&amp;Demand_previous!$D$3:$AY$3, 0))/1000</f>
        <v>0.73575240384615492</v>
      </c>
      <c r="AQ65" s="384">
        <f t="array" ref="AQ65">INDEX(Demand_previous!$D$4:$AY$138, MATCH('Staging Table'!$A65, Demand_previous!$B$4:$B$138, 0), MATCH(AQ$4&amp;AQ$5,Demand_previous!$D$2:$AY$2&amp;Demand_previous!$D$3:$AY$3, 0))/1000</f>
        <v>0.67890750000000022</v>
      </c>
      <c r="AR65" s="384">
        <f t="array" ref="AR65">INDEX(Demand_previous!$D$4:$AY$138, MATCH('Staging Table'!$A65, Demand_previous!$B$4:$B$138, 0), MATCH(AR$4&amp;AR$5,Demand_previous!$D$2:$AY$2&amp;Demand_previous!$D$3:$AY$3, 0))/1000</f>
        <v>0.95871634615384527</v>
      </c>
      <c r="AS65" s="384">
        <f t="array" ref="AS65">INDEX(Demand_previous!$D$4:$AY$138, MATCH('Staging Table'!$A65, Demand_previous!$B$4:$B$138, 0), MATCH(AS$4&amp;AS$5,Demand_previous!$D$2:$AY$2&amp;Demand_previous!$D$3:$AY$3, 0))/1000</f>
        <v>0.17340999999999962</v>
      </c>
      <c r="AT65" s="384">
        <f t="array" ref="AT65">INDEX(Demand_previous!$D$4:$AY$138, MATCH('Staging Table'!$A65, Demand_previous!$B$4:$B$138, 0), MATCH(AT$4&amp;AT$5,Demand_previous!$D$2:$AY$2&amp;Demand_previous!$D$3:$AY$3, 0))/1000</f>
        <v>0.9855694444444445</v>
      </c>
      <c r="AU65" s="384">
        <f t="array" ref="AU65">INDEX(Demand_previous!$D$4:$AY$138, MATCH('Staging Table'!$A65, Demand_previous!$B$4:$B$138, 0), MATCH(AU$4&amp;AU$5,Demand_previous!$D$2:$AY$2&amp;Demand_previous!$D$3:$AY$3, 0))/1000</f>
        <v>0.20813249999999917</v>
      </c>
      <c r="AV65" s="384">
        <f>IF($D65=0,IF(C65=0, MAX(AY65 - (VLOOKUP($A65,TOCA_previous!$A$2:$AI$137,MATCH("RHWM 2016",TOCA_previous!$A$2:$AI$2,0),FALSE)*$F$2*TOCA_previous!C62),0),0), 0)</f>
        <v>0</v>
      </c>
      <c r="AW65" s="427">
        <f>VLOOKUP($A65,REP_previous!$A$1:$D$135,MATCH("FY "&amp;$F$1&amp; " Total Refund",REP_previous!$A$1:$D$1,0),0)</f>
        <v>132483.98481728532</v>
      </c>
      <c r="AX65" s="398">
        <f>MIN(VLOOKUP($A65,TOCA_previous!$A$2:$AI$137,MATCH("TRL - NLSL - Exisiting Resource "&amp;$F$1,TOCA_previous!$A$2:$AI$2,0),FALSE)*$F$2,(VLOOKUP($A65,TOCA_previous!$A$2:$AI$137,MATCH("RHWM 2016",TOCA_previous!$A$2:$AI$2,0),FALSE)*$F$2))</f>
        <v>101463.984</v>
      </c>
      <c r="AY65" s="384">
        <f>SUM(L65:AI65)+(F65*RT1SC!$C$3*$F$2)</f>
        <v>85048.963238821641</v>
      </c>
      <c r="AZ65" s="398">
        <f>VLOOKUP($A65,TOCA_previous!$A$2:$AI$137,MATCH("Above RHWM Not Served with LS "&amp;$F$1,TOCA_previous!$A$2:$AI$2,0),FALSE)*$F$2</f>
        <v>0</v>
      </c>
      <c r="BA65" s="206">
        <f t="shared" si="3"/>
        <v>-16415.020761178355</v>
      </c>
      <c r="BB65" s="399">
        <f>(VLOOKUP($A65,TOCA_previous!$A$2:$AI$137,MATCH("RHWM 2016",TOCA_previous!$A$2:$AI$2,0),FALSE)*$F$2) - $AX65</f>
        <v>0</v>
      </c>
      <c r="BC65" s="206">
        <f t="shared" si="4"/>
        <v>0</v>
      </c>
      <c r="BD65" s="400">
        <f t="shared" si="5"/>
        <v>16415.020761178355</v>
      </c>
      <c r="BE65" s="392">
        <f t="shared" si="6"/>
        <v>0</v>
      </c>
      <c r="BF65" s="399">
        <f t="shared" si="7"/>
        <v>16415.020761178355</v>
      </c>
      <c r="BG65" s="206">
        <f>VLOOKUP($A65,TOCA_current!$A$2:$AI$137,MATCH(BG$4,TOCA_current!$A$2:$AI$2,0),FALSE)</f>
        <v>1.4226E-3</v>
      </c>
      <c r="BH65" s="206">
        <f>VLOOKUP($A65,TOCA_current!$A$2:$AI$137,MATCH(BH$4,TOCA_current!$A$2:$AI$2,0),FALSE)</f>
        <v>1.4226E-3</v>
      </c>
      <c r="BI65" s="391">
        <f t="shared" si="8"/>
        <v>0</v>
      </c>
      <c r="BJ65" s="206">
        <f>VLOOKUP($A65,TOCA_current!A61:BG196,MATCH(BJ$4,TOCA_current!$A$2:$BG$2,0),FALSE)</f>
        <v>7.0000000000000007E-2</v>
      </c>
      <c r="BK65" s="206">
        <f t="shared" si="9"/>
        <v>0</v>
      </c>
      <c r="BL65" s="206">
        <f t="shared" si="10"/>
        <v>0</v>
      </c>
      <c r="BM65" s="381">
        <f>VLOOKUP($A65,IRD!$A$4:$G$139, 7, FALSE)</f>
        <v>0</v>
      </c>
      <c r="BN65" s="382">
        <f t="array" ref="BN65">IF($BI65=0, INDEX(LS_current!$D$4:$AY$139, MATCH('Staging Table'!$A65, LS_current!$B$4:$B$139, 0), MATCH(BN$4&amp;BN$5, LS_current!$D$2:$AY$2&amp;LS_current!$D$3:$AY$3, 0)),SUM(VLOOKUP($A65, LS_current!$B$4:$AY$139, LS_current!D$149, FALSE), VLOOKUP($A65, LS_current!$B$4:$AY$139,LS_current!D$149, FALSE))/2)</f>
        <v>109.16308055698937</v>
      </c>
      <c r="BO65" s="382">
        <f t="array" ref="BO65">IF($BI65=0, INDEX(LS_current!$D$4:$AY$139, MATCH('Staging Table'!$A65, LS_current!$B$4:$B$139, 0), MATCH(BO$4&amp;BO$5, LS_current!$D$2:$AY$2&amp;LS_current!$D$3:$AY$3, 0)),SUM(VLOOKUP($A65, LS_current!$B$4:$AY$139, LS_current!E$149, FALSE), VLOOKUP($A65, LS_current!$B$4:$AY$139,LS_current!E$149, FALSE))/2)</f>
        <v>502.12231866770844</v>
      </c>
      <c r="BP65" s="382">
        <f t="array" ref="BP65">IF($BI65=0, INDEX(LS_current!$D$4:$AY$139, MATCH('Staging Table'!$A65, LS_current!$B$4:$B$139, 0), MATCH(BP$4&amp;BP$5, LS_current!$D$2:$AY$2&amp;LS_current!$D$3:$AY$3, 0)),SUM(VLOOKUP($A65, LS_current!$B$4:$AY$139, LS_current!F$149, FALSE), VLOOKUP($A65, LS_current!$B$4:$AY$139,LS_current!F$149, FALSE))/2)</f>
        <v>-198.80749132156416</v>
      </c>
      <c r="BQ65" s="382">
        <f t="array" ref="BQ65">IF($BI65=0, INDEX(LS_current!$D$4:$AY$139, MATCH('Staging Table'!$A65, LS_current!$B$4:$B$139, 0), MATCH(BQ$4&amp;BQ$5, LS_current!$D$2:$AY$2&amp;LS_current!$D$3:$AY$3, 0)),SUM(VLOOKUP($A65, LS_current!$B$4:$AY$139, LS_current!G$149, FALSE), VLOOKUP($A65, LS_current!$B$4:$AY$139,LS_current!G$149, FALSE))/2)</f>
        <v>774.86348151614629</v>
      </c>
      <c r="BR65" s="382">
        <f t="array" ref="BR65">IF($BI65=0, INDEX(LS_current!$D$4:$AY$139, MATCH('Staging Table'!$A65, LS_current!$B$4:$B$139, 0), MATCH(BR$4&amp;BR$5, LS_current!$D$2:$AY$2&amp;LS_current!$D$3:$AY$3, 0)),SUM(VLOOKUP($A65, LS_current!$B$4:$AY$139, LS_current!H$149, FALSE), VLOOKUP($A65, LS_current!$B$4:$AY$139,LS_current!H$149, FALSE))/2)</f>
        <v>875.15427258303589</v>
      </c>
      <c r="BS65" s="382">
        <f t="array" ref="BS65">IF($BI65=0, INDEX(LS_current!$D$4:$AY$139, MATCH('Staging Table'!$A65, LS_current!$B$4:$B$139, 0), MATCH(BS$4&amp;BS$5, LS_current!$D$2:$AY$2&amp;LS_current!$D$3:$AY$3, 0)),SUM(VLOOKUP($A65, LS_current!$B$4:$AY$139, LS_current!I$149, FALSE), VLOOKUP($A65, LS_current!$B$4:$AY$139,LS_current!I$149, FALSE))/2)</f>
        <v>1245.206705728358</v>
      </c>
      <c r="BT65" s="382">
        <f t="array" ref="BT65">IF($BI65=0, INDEX(LS_current!$D$4:$AY$139, MATCH('Staging Table'!$A65, LS_current!$B$4:$B$139, 0), MATCH(BT$4&amp;BT$5, LS_current!$D$2:$AY$2&amp;LS_current!$D$3:$AY$3, 0)),SUM(VLOOKUP($A65, LS_current!$B$4:$AY$139, LS_current!J$149, FALSE), VLOOKUP($A65, LS_current!$B$4:$AY$139,LS_current!J$149, FALSE))/2)</f>
        <v>1076.9695673370352</v>
      </c>
      <c r="BU65" s="382">
        <f t="array" ref="BU65">IF($BI65=0, INDEX(LS_current!$D$4:$AY$139, MATCH('Staging Table'!$A65, LS_current!$B$4:$B$139, 0), MATCH(BU$4&amp;BU$5, LS_current!$D$2:$AY$2&amp;LS_current!$D$3:$AY$3, 0)),SUM(VLOOKUP($A65, LS_current!$B$4:$AY$139, LS_current!K$149, FALSE), VLOOKUP($A65, LS_current!$B$4:$AY$139,LS_current!K$149, FALSE))/2)</f>
        <v>1303.5340654963488</v>
      </c>
      <c r="BV65" s="382">
        <f t="array" ref="BV65">IF($BI65=0, INDEX(LS_current!$D$4:$AY$139, MATCH('Staging Table'!$A65, LS_current!$B$4:$B$139, 0), MATCH(BV$4&amp;BV$5, LS_current!$D$2:$AY$2&amp;LS_current!$D$3:$AY$3, 0)),SUM(VLOOKUP($A65, LS_current!$B$4:$AY$139, LS_current!L$149, FALSE), VLOOKUP($A65, LS_current!$B$4:$AY$139,LS_current!L$149, FALSE))/2)</f>
        <v>1017.9177585968027</v>
      </c>
      <c r="BW65" s="382">
        <f t="array" ref="BW65">IF($BI65=0, INDEX(LS_current!$D$4:$AY$139, MATCH('Staging Table'!$A65, LS_current!$B$4:$B$139, 0), MATCH(BW$4&amp;BW$5, LS_current!$D$2:$AY$2&amp;LS_current!$D$3:$AY$3, 0)),SUM(VLOOKUP($A65, LS_current!$B$4:$AY$139, LS_current!M$149, FALSE), VLOOKUP($A65, LS_current!$B$4:$AY$139,LS_current!M$149, FALSE))/2)</f>
        <v>1201.2405354876951</v>
      </c>
      <c r="BX65" s="382">
        <f t="array" ref="BX65">IF($BI65=0, INDEX(LS_current!$D$4:$AY$139, MATCH('Staging Table'!$A65, LS_current!$B$4:$B$139, 0), MATCH(BX$4&amp;BX$5, LS_current!$D$2:$AY$2&amp;LS_current!$D$3:$AY$3, 0)),SUM(VLOOKUP($A65, LS_current!$B$4:$AY$139, LS_current!N$149, FALSE), VLOOKUP($A65, LS_current!$B$4:$AY$139,LS_current!N$149, FALSE))/2)</f>
        <v>61.106782635979471</v>
      </c>
      <c r="BY65" s="382">
        <f t="array" ref="BY65">IF($BI65=0, INDEX(LS_current!$D$4:$AY$139, MATCH('Staging Table'!$A65, LS_current!$B$4:$B$139, 0), MATCH(BY$4&amp;BY$5, LS_current!$D$2:$AY$2&amp;LS_current!$D$3:$AY$3, 0)),SUM(VLOOKUP($A65, LS_current!$B$4:$AY$139, LS_current!O$149, FALSE), VLOOKUP($A65, LS_current!$B$4:$AY$139,LS_current!O$149, FALSE))/2)</f>
        <v>614.55690808378904</v>
      </c>
      <c r="BZ65" s="382">
        <f t="array" ref="BZ65">IF($BI65=0, INDEX(LS_current!$D$4:$AY$139, MATCH('Staging Table'!$A65, LS_current!$B$4:$B$139, 0), MATCH(BZ$4&amp;BZ$5, LS_current!$D$2:$AY$2&amp;LS_current!$D$3:$AY$3, 0)),SUM(VLOOKUP($A65, LS_current!$B$4:$AY$139, LS_current!P$149, FALSE), VLOOKUP($A65, LS_current!$B$4:$AY$139,LS_current!P$149, FALSE))/2)</f>
        <v>-330.83955802695482</v>
      </c>
      <c r="CA65" s="382">
        <f t="array" ref="CA65">IF($BI65=0, INDEX(LS_current!$D$4:$AY$139, MATCH('Staging Table'!$A65, LS_current!$B$4:$B$139, 0), MATCH(CA$4&amp;CA$5, LS_current!$D$2:$AY$2&amp;LS_current!$D$3:$AY$3, 0)),SUM(VLOOKUP($A65, LS_current!$B$4:$AY$139, LS_current!Q$149, FALSE), VLOOKUP($A65, LS_current!$B$4:$AY$139,LS_current!Q$149, FALSE))/2)</f>
        <v>330.09395199645178</v>
      </c>
      <c r="CB65" s="382">
        <f t="array" ref="CB65">IF($BI65=0, INDEX(LS_current!$D$4:$AY$139, MATCH('Staging Table'!$A65, LS_current!$B$4:$B$139, 0), MATCH(CB$4&amp;CB$5, LS_current!$D$2:$AY$2&amp;LS_current!$D$3:$AY$3, 0)),SUM(VLOOKUP($A65, LS_current!$B$4:$AY$139, LS_current!R$149, FALSE), VLOOKUP($A65, LS_current!$B$4:$AY$139,LS_current!R$149, FALSE))/2)</f>
        <v>-2715.1816010506841</v>
      </c>
      <c r="CC65" s="382">
        <f t="array" ref="CC65">IF($BI65=0, INDEX(LS_current!$D$4:$AY$139, MATCH('Staging Table'!$A65, LS_current!$B$4:$B$139, 0), MATCH(CC$4&amp;CC$5, LS_current!$D$2:$AY$2&amp;LS_current!$D$3:$AY$3, 0)),SUM(VLOOKUP($A65, LS_current!$B$4:$AY$139, LS_current!S$149, FALSE), VLOOKUP($A65, LS_current!$B$4:$AY$139,LS_current!S$149, FALSE))/2)</f>
        <v>-1006.6883515209374</v>
      </c>
      <c r="CD65" s="382">
        <f t="array" ref="CD65">IF($BI65=0, INDEX(LS_current!$D$4:$AY$139, MATCH('Staging Table'!$A65, LS_current!$B$4:$B$139, 0), MATCH(CD$4&amp;CD$5, LS_current!$D$2:$AY$2&amp;LS_current!$D$3:$AY$3, 0)),SUM(VLOOKUP($A65, LS_current!$B$4:$AY$139, LS_current!T$149, FALSE), VLOOKUP($A65, LS_current!$B$4:$AY$139,LS_current!T$149, FALSE))/2)</f>
        <v>-1770.4947525010757</v>
      </c>
      <c r="CE65" s="382">
        <f t="array" ref="CE65">IF($BI65=0, INDEX(LS_current!$D$4:$AY$139, MATCH('Staging Table'!$A65, LS_current!$B$4:$B$139, 0), MATCH(CE$4&amp;CE$5, LS_current!$D$2:$AY$2&amp;LS_current!$D$3:$AY$3, 0)),SUM(VLOOKUP($A65, LS_current!$B$4:$AY$139, LS_current!U$149, FALSE), VLOOKUP($A65, LS_current!$B$4:$AY$139,LS_current!U$149, FALSE))/2)</f>
        <v>-469.72355667285638</v>
      </c>
      <c r="CF65" s="382">
        <f t="array" ref="CF65">IF($BI65=0, INDEX(LS_current!$D$4:$AY$139, MATCH('Staging Table'!$A65, LS_current!$B$4:$B$139, 0), MATCH(CF$4&amp;CF$5, LS_current!$D$2:$AY$2&amp;LS_current!$D$3:$AY$3, 0)),SUM(VLOOKUP($A65, LS_current!$B$4:$AY$139, LS_current!V$149, FALSE), VLOOKUP($A65, LS_current!$B$4:$AY$139,LS_current!V$149, FALSE))/2)</f>
        <v>-978.37731141929589</v>
      </c>
      <c r="CG65" s="382">
        <f t="array" ref="CG65">IF($BI65=0, INDEX(LS_current!$D$4:$AY$139, MATCH('Staging Table'!$A65, LS_current!$B$4:$B$139, 0), MATCH(CG$4&amp;CG$5, LS_current!$D$2:$AY$2&amp;LS_current!$D$3:$AY$3, 0)),SUM(VLOOKUP($A65, LS_current!$B$4:$AY$139, LS_current!W$149, FALSE), VLOOKUP($A65, LS_current!$B$4:$AY$139,LS_current!W$149, FALSE))/2)</f>
        <v>-22.60193404765505</v>
      </c>
      <c r="CH65" s="382">
        <f t="array" ref="CH65">IF($BI65=0, INDEX(LS_current!$D$4:$AY$139, MATCH('Staging Table'!$A65, LS_current!$B$4:$B$139, 0), MATCH(CH$4&amp;CH$5, LS_current!$D$2:$AY$2&amp;LS_current!$D$3:$AY$3, 0)),SUM(VLOOKUP($A65, LS_current!$B$4:$AY$139, LS_current!X$149, FALSE), VLOOKUP($A65, LS_current!$B$4:$AY$139,LS_current!X$149, FALSE))/2)</f>
        <v>-1537.414600712209</v>
      </c>
      <c r="CI65" s="382">
        <f t="array" ref="CI65">IF($BI65=0, INDEX(LS_current!$D$4:$AY$139, MATCH('Staging Table'!$A65, LS_current!$B$4:$B$139, 0), MATCH(CI$4&amp;CI$5, LS_current!$D$2:$AY$2&amp;LS_current!$D$3:$AY$3, 0)),SUM(VLOOKUP($A65, LS_current!$B$4:$AY$139, LS_current!Y$149, FALSE), VLOOKUP($A65, LS_current!$B$4:$AY$139,LS_current!Y$149, FALSE))/2)</f>
        <v>-213.154930679671</v>
      </c>
      <c r="CJ65" s="382">
        <f t="array" ref="CJ65">IF($BI65=0, INDEX(LS_current!$D$4:$AY$139, MATCH('Staging Table'!$A65, LS_current!$B$4:$B$139, 0), MATCH(CJ$4&amp;CJ$5, LS_current!$D$2:$AY$2&amp;LS_current!$D$3:$AY$3, 0)),SUM(VLOOKUP($A65, LS_current!$B$4:$AY$139, LS_current!Z$149, FALSE), VLOOKUP($A65, LS_current!$B$4:$AY$139,LS_current!Z$149, FALSE))/2)</f>
        <v>-1198.9854334365232</v>
      </c>
      <c r="CK65" s="382">
        <f t="array" ref="CK65">IF($BI65=0, INDEX(LS_current!$D$4:$AY$139, MATCH('Staging Table'!$A65, LS_current!$B$4:$B$139, 0), MATCH(CK$4&amp;CK$5, LS_current!$D$2:$AY$2&amp;LS_current!$D$3:$AY$3, 0)),SUM(VLOOKUP($A65, LS_current!$B$4:$AY$139, LS_current!AA$149, FALSE), VLOOKUP($A65, LS_current!$B$4:$AY$139,LS_current!AA$149, FALSE))/2)</f>
        <v>-167.19982035432486</v>
      </c>
      <c r="CL65" s="384">
        <f t="array" ref="CL65">INDEX(Demand_current!$D$4:$AY$138, MATCH($A65, Demand_current!$B$4:$B$138, 0), MATCH(CL$4&amp;CL$5,Demand_current!$D$2:$AY$2&amp;Demand_current!$D$3:$AY$3, 0))/1000</f>
        <v>0.29755048076923174</v>
      </c>
      <c r="CM65" s="384">
        <f t="array" ref="CM65">INDEX(Demand_current!$D$4:$AY$138, MATCH($A65, Demand_current!$B$4:$B$138, 0), MATCH(CM$4&amp;CM$5,Demand_current!$D$2:$AY$2&amp;Demand_current!$D$3:$AY$3, 0))/1000</f>
        <v>0.685365</v>
      </c>
      <c r="CN65" s="384">
        <f t="array" ref="CN65">INDEX(Demand_current!$D$4:$AY$138, MATCH($A65, Demand_current!$B$4:$B$138, 0), MATCH(CN$4&amp;CN$5,Demand_current!$D$2:$AY$2&amp;Demand_current!$D$3:$AY$3, 0))/1000</f>
        <v>1.4092350000000002</v>
      </c>
      <c r="CO65" s="384">
        <f t="array" ref="CO65">INDEX(Demand_current!$D$4:$AY$138, MATCH($A65, Demand_current!$B$4:$B$138, 0), MATCH(CO$4&amp;CO$5,Demand_current!$D$2:$AY$2&amp;Demand_current!$D$3:$AY$3, 0))/1000</f>
        <v>1.7538389423076928</v>
      </c>
      <c r="CP65" s="384">
        <f t="array" ref="CP65">INDEX(Demand_current!$D$4:$AY$138, MATCH($A65, Demand_current!$B$4:$B$138, 0), MATCH(CP$4&amp;CP$5,Demand_current!$D$2:$AY$2&amp;Demand_current!$D$3:$AY$3, 0))/1000</f>
        <v>0.26219791666666831</v>
      </c>
      <c r="CQ65" s="384">
        <f t="array" ref="CQ65">INDEX(Demand_current!$D$4:$AY$138, MATCH($A65, Demand_current!$B$4:$B$138, 0), MATCH(CQ$4&amp;CQ$5,Demand_current!$D$2:$AY$2&amp;Demand_current!$D$3:$AY$3, 0))/1000</f>
        <v>0.90288657407407369</v>
      </c>
      <c r="CR65" s="384">
        <f t="array" ref="CR65">INDEX(Demand_current!$D$4:$AY$138, MATCH($A65, Demand_current!$B$4:$B$138, 0), MATCH(CR$4&amp;CR$5,Demand_current!$D$2:$AY$2&amp;Demand_current!$D$3:$AY$3, 0))/1000</f>
        <v>0.36610250000000066</v>
      </c>
      <c r="CS65" s="384">
        <f t="array" ref="CS65">INDEX(Demand_current!$D$4:$AY$138, MATCH($A65, Demand_current!$B$4:$B$138, 0), MATCH(CS$4&amp;CS$5,Demand_current!$D$2:$AY$2&amp;Demand_current!$D$3:$AY$3, 0))/1000</f>
        <v>1.0016802884615386</v>
      </c>
      <c r="CT65" s="384">
        <f t="array" ref="CT65">INDEX(Demand_current!$D$4:$AY$138, MATCH($A65, Demand_current!$B$4:$B$138, 0), MATCH(CT$4&amp;CT$5,Demand_current!$D$2:$AY$2&amp;Demand_current!$D$3:$AY$3, 0))/1000</f>
        <v>0.95871634615384527</v>
      </c>
      <c r="CU65" s="384">
        <f t="array" ref="CU65">INDEX(Demand_current!$D$4:$AY$138, MATCH($A65, Demand_current!$B$4:$B$138, 0), MATCH(CU$4&amp;CU$5,Demand_current!$D$2:$AY$2&amp;Demand_current!$D$3:$AY$3, 0))/1000</f>
        <v>0.17340999999999962</v>
      </c>
      <c r="CV65" s="384">
        <f t="array" ref="CV65">INDEX(Demand_current!$D$4:$AY$138, MATCH($A65, Demand_current!$B$4:$B$138, 0), MATCH(CV$4&amp;CV$5,Demand_current!$D$2:$AY$2&amp;Demand_current!$D$3:$AY$3, 0))/1000</f>
        <v>0.9855694444444445</v>
      </c>
      <c r="CW65" s="384">
        <f t="array" ref="CW65">INDEX(Demand_current!$D$4:$AY$138, MATCH($A65, Demand_current!$B$4:$B$138, 0), MATCH(CW$4&amp;CW$5,Demand_current!$D$2:$AY$2&amp;Demand_current!$D$3:$AY$3, 0))/1000</f>
        <v>0</v>
      </c>
      <c r="CX65" s="384">
        <f>IF(D65=0,IF(C65=0,MAX(0,DA65 - (VLOOKUP($A65,TOCA_current!$A$2:$AI$137,MATCH("RHWM 2018",TOCA_current!$A$2:$AI$2,0),FALSE)*$BH$2)), 0),0)</f>
        <v>0</v>
      </c>
      <c r="CY65" s="427">
        <f>VLOOKUP($A65,REP_current!$A$1:$D$135,MATCH("FY "&amp;$BH$1&amp; " Total Refund",REP_current!$A$1:$D$1,0),0)</f>
        <v>124305.72133002119</v>
      </c>
      <c r="CZ65" s="432">
        <f>MIN(VLOOKUP($A65,TOCA_current!$A$2:$AI$137,MATCH("TRL - NLSL - Existing Resource "&amp;$BH$1,TOCA_current!$A$2:$AI$2,0),FALSE)*$BH$2, VLOOKUP($A65,TOCA_current!$A$2:$AI$137,MATCH("RHWM 2018",TOCA_current!$A$2:$AI$2,0),FALSE)*$BH$2)</f>
        <v>86548.800000000003</v>
      </c>
      <c r="DA65" s="397">
        <f>SUM(BN65:CK65)+(BH65*RT1SC!$C$4*$BH$2)</f>
        <v>85048.96426263859</v>
      </c>
      <c r="DB65" s="432">
        <f>VLOOKUP($A65,TOCA_current!$A$2:$AI$137,MATCH("Above RHWM Not Served with LS "&amp;$BH$1,TOCA_current!$A$2:$AI$2,0),FALSE)*$BH$2</f>
        <v>0</v>
      </c>
      <c r="DC65" s="401">
        <f t="shared" si="11"/>
        <v>-1499.8357373614126</v>
      </c>
      <c r="DD65" s="397">
        <f>(VLOOKUP($A65,TOCA_current!$A$2:$AI$137,MATCH("RHWM 2018",TOCA_current!$A$2:$AI$2,0),FALSE)*$BH$2) - $CZ65</f>
        <v>13998.479999999996</v>
      </c>
      <c r="DE65" s="397">
        <f t="shared" si="12"/>
        <v>0</v>
      </c>
      <c r="DF65" s="397">
        <f t="shared" si="13"/>
        <v>1499.8357373614126</v>
      </c>
      <c r="DG65" s="397">
        <f t="shared" si="14"/>
        <v>0</v>
      </c>
      <c r="DH65" s="397">
        <f t="shared" si="15"/>
        <v>1499.8357373614126</v>
      </c>
    </row>
    <row r="66" spans="1:112">
      <c r="A66" s="274">
        <v>10179</v>
      </c>
      <c r="B66" s="275" t="s">
        <v>67</v>
      </c>
      <c r="C66" s="397">
        <v>0</v>
      </c>
      <c r="D66" s="397">
        <v>0</v>
      </c>
      <c r="E66" s="205">
        <f>VLOOKUP($A66,TOCA_previous!$A$2:$AI$137,MATCH(E$4,TOCA_previous!$A$2:$AI$2,0),FALSE)</f>
        <v>2.36565E-2</v>
      </c>
      <c r="F66" s="206">
        <f>VLOOKUP($A66,TOCA_previous!$A$2:$AI$137,MATCH(F$4,TOCA_previous!$A$2:$AI$2,0),FALSE)</f>
        <v>2.36565E-2</v>
      </c>
      <c r="G66" s="206">
        <f t="shared" si="0"/>
        <v>0</v>
      </c>
      <c r="H66" s="206">
        <f>VLOOKUP($A66,TOCA_previous!$A$2:$AI$137,MATCH(H$4,TOCA_previous!$A$2:$AI$2,0),FALSE)</f>
        <v>0</v>
      </c>
      <c r="I66" s="206">
        <f t="shared" si="1"/>
        <v>0</v>
      </c>
      <c r="J66" s="206">
        <f t="shared" si="2"/>
        <v>0</v>
      </c>
      <c r="K66" s="381">
        <f>VLOOKUP(A66, IRD!$A$5:$C$139, 3, FALSE)</f>
        <v>0</v>
      </c>
      <c r="L66" s="382">
        <f t="array" ref="L66">IF($G66=0, INDEX(LS_previous!$D$4:$AY$138, MATCH('Staging Table'!$A66, LS_previous!$B$4:$B$138, 0), MATCH(L$4&amp;L$5, LS_previous!$D$2:$AY$2&amp;LS_previous!$D$3:$AY$3, 0)),SUM(VLOOKUP($A66, LS_previous!$B$4:$AY$138, LS_previous!D$149, FALSE), VLOOKUP('Staging Table'!$A66, LS_previous!$B$4:$AY$138,LS_previous!AB$149, FALSE))/2)</f>
        <v>-1249.6599048581702</v>
      </c>
      <c r="M66" s="382">
        <f t="array" ref="M66">IF($G66=0, INDEX(LS_previous!$D$4:$AY$138, MATCH('Staging Table'!$A66, LS_previous!$B$4:$B$138, 0), MATCH(M$4&amp;M$5, LS_previous!$D$2:$AY$2&amp;LS_previous!$D$3:$AY$3, 0)),SUM(VLOOKUP($A66, LS_previous!$B$4:$AY$138, LS_previous!E$149, FALSE), VLOOKUP('Staging Table'!$A66, LS_previous!$B$4:$AY$138,LS_previous!AC$149, FALSE))/2)</f>
        <v>162.04242716468434</v>
      </c>
      <c r="N66" s="382">
        <f t="array" ref="N66">IF($G66=0, INDEX(LS_previous!$D$4:$AY$138, MATCH('Staging Table'!$A66, LS_previous!$B$4:$B$138, 0), MATCH(N$4&amp;N$5, LS_previous!$D$2:$AY$2&amp;LS_previous!$D$3:$AY$3, 0)),SUM(VLOOKUP($A66, LS_previous!$B$4:$AY$138, LS_previous!F$149, FALSE), VLOOKUP('Staging Table'!$A66, LS_previous!$B$4:$AY$138,LS_previous!AD$149, FALSE))/2)</f>
        <v>-6189.6945855168888</v>
      </c>
      <c r="O66" s="382">
        <f t="array" ref="O66">IF($G66=0, INDEX(LS_previous!$D$4:$AY$138, MATCH('Staging Table'!$A66, LS_previous!$B$4:$B$138, 0), MATCH(O$4&amp;O$5, LS_previous!$D$2:$AY$2&amp;LS_previous!$D$3:$AY$3, 0)),SUM(VLOOKUP($A66, LS_previous!$B$4:$AY$138, LS_previous!G$149, FALSE), VLOOKUP('Staging Table'!$A66, LS_previous!$B$4:$AY$138,LS_previous!AE$149, FALSE))/2)</f>
        <v>4516.6427201311453</v>
      </c>
      <c r="P66" s="382">
        <f t="array" ref="P66">IF($G66=0, INDEX(LS_previous!$D$4:$AY$138, MATCH('Staging Table'!$A66, LS_previous!$B$4:$B$138, 0), MATCH(P$4&amp;P$5, LS_previous!$D$2:$AY$2&amp;LS_previous!$D$3:$AY$3, 0)),SUM(VLOOKUP($A66, LS_previous!$B$4:$AY$138, LS_previous!H$149, FALSE), VLOOKUP('Staging Table'!$A66, LS_previous!$B$4:$AY$138,LS_previous!AF$149, FALSE))/2)</f>
        <v>10791.359770143012</v>
      </c>
      <c r="Q66" s="382">
        <f t="array" ref="Q66">IF($G66=0, INDEX(LS_previous!$D$4:$AY$138, MATCH('Staging Table'!$A66, LS_previous!$B$4:$B$138, 0), MATCH(Q$4&amp;Q$5, LS_previous!$D$2:$AY$2&amp;LS_previous!$D$3:$AY$3, 0)),SUM(VLOOKUP($A66, LS_previous!$B$4:$AY$138, LS_previous!I$149, FALSE), VLOOKUP('Staging Table'!$A66, LS_previous!$B$4:$AY$138,LS_previous!AG$149, FALSE))/2)</f>
        <v>12624.0045579375</v>
      </c>
      <c r="R66" s="382">
        <f t="array" ref="R66">IF($G66=0, INDEX(LS_previous!$D$4:$AY$138, MATCH('Staging Table'!$A66, LS_previous!$B$4:$B$138, 0), MATCH(R$4&amp;R$5, LS_previous!$D$2:$AY$2&amp;LS_previous!$D$3:$AY$3, 0)),SUM(VLOOKUP($A66, LS_previous!$B$4:$AY$138, LS_previous!J$149, FALSE), VLOOKUP('Staging Table'!$A66, LS_previous!$B$4:$AY$138,LS_previous!AH$149, FALSE))/2)</f>
        <v>23594.015318773629</v>
      </c>
      <c r="S66" s="382">
        <f t="array" ref="S66">IF($G66=0, INDEX(LS_previous!$D$4:$AY$138, MATCH('Staging Table'!$A66, LS_previous!$B$4:$B$138, 0), MATCH(S$4&amp;S$5, LS_previous!$D$2:$AY$2&amp;LS_previous!$D$3:$AY$3, 0)),SUM(VLOOKUP($A66, LS_previous!$B$4:$AY$138, LS_previous!K$149, FALSE), VLOOKUP('Staging Table'!$A66, LS_previous!$B$4:$AY$138,LS_previous!AI$149, FALSE))/2)</f>
        <v>19986.553861400622</v>
      </c>
      <c r="T66" s="382">
        <f t="array" ref="T66">IF($G66=0, INDEX(LS_previous!$D$4:$AY$138, MATCH('Staging Table'!$A66, LS_previous!$B$4:$B$138, 0), MATCH(T$4&amp;T$5, LS_previous!$D$2:$AY$2&amp;LS_previous!$D$3:$AY$3, 0)),SUM(VLOOKUP($A66, LS_previous!$B$4:$AY$138, LS_previous!L$149, FALSE), VLOOKUP('Staging Table'!$A66, LS_previous!$B$4:$AY$138,LS_previous!AJ$149, FALSE))/2)</f>
        <v>19888.769253386934</v>
      </c>
      <c r="U66" s="382">
        <f t="array" ref="U66">IF($G66=0, INDEX(LS_previous!$D$4:$AY$138, MATCH('Staging Table'!$A66, LS_previous!$B$4:$B$138, 0), MATCH(U$4&amp;U$5, LS_previous!$D$2:$AY$2&amp;LS_previous!$D$3:$AY$3, 0)),SUM(VLOOKUP($A66, LS_previous!$B$4:$AY$138, LS_previous!M$149, FALSE), VLOOKUP('Staging Table'!$A66, LS_previous!$B$4:$AY$138,LS_previous!AK$149, FALSE))/2)</f>
        <v>16873.497106736795</v>
      </c>
      <c r="V66" s="382">
        <f t="array" ref="V66">IF($G66=0, INDEX(LS_previous!$D$4:$AY$138, MATCH('Staging Table'!$A66, LS_previous!$B$4:$B$138, 0), MATCH(V$4&amp;V$5, LS_previous!$D$2:$AY$2&amp;LS_previous!$D$3:$AY$3, 0)),SUM(VLOOKUP($A66, LS_previous!$B$4:$AY$138, LS_previous!N$149, FALSE), VLOOKUP('Staging Table'!$A66, LS_previous!$B$4:$AY$138,LS_previous!AL$149, FALSE))/2)</f>
        <v>5352.7340505065222</v>
      </c>
      <c r="W66" s="382">
        <f t="array" ref="W66">IF($G66=0, INDEX(LS_previous!$D$4:$AY$138, MATCH('Staging Table'!$A66, LS_previous!$B$4:$B$138, 0), MATCH(W$4&amp;W$5, LS_previous!$D$2:$AY$2&amp;LS_previous!$D$3:$AY$3, 0)),SUM(VLOOKUP($A66, LS_previous!$B$4:$AY$138, LS_previous!O$149, FALSE), VLOOKUP('Staging Table'!$A66, LS_previous!$B$4:$AY$138,LS_previous!AM$149, FALSE))/2)</f>
        <v>7045.8100242467262</v>
      </c>
      <c r="X66" s="382">
        <f t="array" ref="X66">IF($G66=0, INDEX(LS_previous!$D$4:$AY$138, MATCH('Staging Table'!$A66, LS_previous!$B$4:$B$138, 0), MATCH(X$4&amp;X$5, LS_previous!$D$2:$AY$2&amp;LS_previous!$D$3:$AY$3, 0)),SUM(VLOOKUP($A66, LS_previous!$B$4:$AY$138, LS_previous!P$149, FALSE), VLOOKUP('Staging Table'!$A66, LS_previous!$B$4:$AY$138,LS_previous!AN$149, FALSE))/2)</f>
        <v>9271.1887744491542</v>
      </c>
      <c r="Y66" s="382">
        <f t="array" ref="Y66">IF($G66=0, INDEX(LS_previous!$D$4:$AY$138, MATCH('Staging Table'!$A66, LS_previous!$B$4:$B$138, 0), MATCH(Y$4&amp;Y$5, LS_previous!$D$2:$AY$2&amp;LS_previous!$D$3:$AY$3, 0)),SUM(VLOOKUP($A66, LS_previous!$B$4:$AY$138, LS_previous!Q$149, FALSE), VLOOKUP('Staging Table'!$A66, LS_previous!$B$4:$AY$138,LS_previous!AO$149, FALSE))/2)</f>
        <v>7096.098298091485</v>
      </c>
      <c r="Z66" s="382">
        <f t="array" ref="Z66">IF($G66=0, INDEX(LS_previous!$D$4:$AY$138, MATCH('Staging Table'!$A66, LS_previous!$B$4:$B$138, 0), MATCH(Z$4&amp;Z$5, LS_previous!$D$2:$AY$2&amp;LS_previous!$D$3:$AY$3, 0)),SUM(VLOOKUP($A66, LS_previous!$B$4:$AY$138, LS_previous!R$149, FALSE), VLOOKUP('Staging Table'!$A66, LS_previous!$B$4:$AY$138,LS_previous!AP$149, FALSE))/2)</f>
        <v>-38722.514835110487</v>
      </c>
      <c r="AA66" s="382">
        <f t="array" ref="AA66">IF($G66=0, INDEX(LS_previous!$D$4:$AY$138, MATCH('Staging Table'!$A66, LS_previous!$B$4:$B$138, 0), MATCH(AA$4&amp;AA$5, LS_previous!$D$2:$AY$2&amp;LS_previous!$D$3:$AY$3, 0)),SUM(VLOOKUP($A66, LS_previous!$B$4:$AY$138, LS_previous!S$149, FALSE), VLOOKUP('Staging Table'!$A66, LS_previous!$B$4:$AY$138,LS_previous!AQ$149, FALSE))/2)</f>
        <v>-15031.735761860538</v>
      </c>
      <c r="AB66" s="382">
        <f t="array" ref="AB66">IF($G66=0, INDEX(LS_previous!$D$4:$AY$138, MATCH('Staging Table'!$A66, LS_previous!$B$4:$B$138, 0), MATCH(AB$4&amp;AB$5, LS_previous!$D$2:$AY$2&amp;LS_previous!$D$3:$AY$3, 0)),SUM(VLOOKUP($A66, LS_previous!$B$4:$AY$138, LS_previous!T$149, FALSE), VLOOKUP('Staging Table'!$A66, LS_previous!$B$4:$AY$138,LS_previous!AR$149, FALSE))/2)</f>
        <v>-22128.126632983913</v>
      </c>
      <c r="AC66" s="382">
        <f t="array" ref="AC66">IF($G66=0, INDEX(LS_previous!$D$4:$AY$138, MATCH('Staging Table'!$A66, LS_previous!$B$4:$B$138, 0), MATCH(AC$4&amp;AC$5, LS_previous!$D$2:$AY$2&amp;LS_previous!$D$3:$AY$3, 0)),SUM(VLOOKUP($A66, LS_previous!$B$4:$AY$138, LS_previous!U$149, FALSE), VLOOKUP('Staging Table'!$A66, LS_previous!$B$4:$AY$138,LS_previous!AS$149, FALSE))/2)</f>
        <v>-10583.850185765237</v>
      </c>
      <c r="AD66" s="382">
        <f t="array" ref="AD66">IF($G66=0, INDEX(LS_previous!$D$4:$AY$138, MATCH('Staging Table'!$A66, LS_previous!$B$4:$B$138, 0), MATCH(AD$4&amp;AD$5, LS_previous!$D$2:$AY$2&amp;LS_previous!$D$3:$AY$3, 0)),SUM(VLOOKUP($A66, LS_previous!$B$4:$AY$138, LS_previous!V$149, FALSE), VLOOKUP('Staging Table'!$A66, LS_previous!$B$4:$AY$138,LS_previous!AT$149, FALSE))/2)</f>
        <v>-4466.2915115530777</v>
      </c>
      <c r="AE66" s="382">
        <f t="array" ref="AE66">IF($G66=0, INDEX(LS_previous!$D$4:$AY$138, MATCH('Staging Table'!$A66, LS_previous!$B$4:$B$138, 0), MATCH(AE$4&amp;AE$5, LS_previous!$D$2:$AY$2&amp;LS_previous!$D$3:$AY$3, 0)),SUM(VLOOKUP($A66, LS_previous!$B$4:$AY$138, LS_previous!W$149, FALSE), VLOOKUP('Staging Table'!$A66, LS_previous!$B$4:$AY$138,LS_previous!AU$149, FALSE))/2)</f>
        <v>2439.6106921172395</v>
      </c>
      <c r="AF66" s="382">
        <f t="array" ref="AF66">IF($G66=0, INDEX(LS_previous!$D$4:$AY$138, MATCH('Staging Table'!$A66, LS_previous!$B$4:$B$138, 0), MATCH(AF$4&amp;AF$5, LS_previous!$D$2:$AY$2&amp;LS_previous!$D$3:$AY$3, 0)),SUM(VLOOKUP($A66, LS_previous!$B$4:$AY$138, LS_previous!X$149, FALSE), VLOOKUP('Staging Table'!$A66, LS_previous!$B$4:$AY$138,LS_previous!AV$149, FALSE))/2)</f>
        <v>-10175.279295631582</v>
      </c>
      <c r="AG66" s="382">
        <f t="array" ref="AG66">IF($G66=0, INDEX(LS_previous!$D$4:$AY$138, MATCH('Staging Table'!$A66, LS_previous!$B$4:$B$138, 0), MATCH(AG$4&amp;AG$5, LS_previous!$D$2:$AY$2&amp;LS_previous!$D$3:$AY$3, 0)),SUM(VLOOKUP($A66, LS_previous!$B$4:$AY$138, LS_previous!Y$149, FALSE), VLOOKUP('Staging Table'!$A66, LS_previous!$B$4:$AY$138,LS_previous!AW$149, FALSE))/2)</f>
        <v>-673.74707912034501</v>
      </c>
      <c r="AH66" s="382">
        <f t="array" ref="AH66">IF($G66=0, INDEX(LS_previous!$D$4:$AY$138, MATCH('Staging Table'!$A66, LS_previous!$B$4:$B$138, 0), MATCH(AH$4&amp;AH$5, LS_previous!$D$2:$AY$2&amp;LS_previous!$D$3:$AY$3, 0)),SUM(VLOOKUP($A66, LS_previous!$B$4:$AY$138, LS_previous!Z$149, FALSE), VLOOKUP('Staging Table'!$A66, LS_previous!$B$4:$AY$138,LS_previous!AX$149, FALSE))/2)</f>
        <v>-2937.2667031417368</v>
      </c>
      <c r="AI66" s="382">
        <f t="array" ref="AI66">IF($G66=0, INDEX(LS_previous!$D$4:$AY$138, MATCH('Staging Table'!$A66, LS_previous!$B$4:$B$138, 0), MATCH(AI$4&amp;AI$5, LS_previous!$D$2:$AY$2&amp;LS_previous!$D$3:$AY$3, 0)),SUM(VLOOKUP($A66, LS_previous!$B$4:$AY$138, LS_previous!AA$149, FALSE), VLOOKUP('Staging Table'!$A66, LS_previous!$B$4:$AY$138,LS_previous!AY$149, FALSE))/2)</f>
        <v>4.4998860234045424E-2</v>
      </c>
      <c r="AJ66" s="384">
        <f t="array" ref="AJ66">INDEX(Demand_previous!$D$4:$AY$138, MATCH('Staging Table'!$A66, Demand_previous!$B$4:$B$138, 0), MATCH(AJ$4&amp;AJ$5,Demand_previous!$D$2:$AY$2&amp;Demand_previous!$D$3:$AY$3, 0))/1000</f>
        <v>45.171187500000016</v>
      </c>
      <c r="AK66" s="384">
        <f t="array" ref="AK66">INDEX(Demand_previous!$D$4:$AY$138, MATCH('Staging Table'!$A66, Demand_previous!$B$4:$B$138, 0), MATCH(AK$4&amp;AK$5,Demand_previous!$D$2:$AY$2&amp;Demand_previous!$D$3:$AY$3, 0))/1000</f>
        <v>36.269260416666683</v>
      </c>
      <c r="AL66" s="384">
        <f t="array" ref="AL66">INDEX(Demand_previous!$D$4:$AY$138, MATCH('Staging Table'!$A66, Demand_previous!$B$4:$B$138, 0), MATCH(AL$4&amp;AL$5,Demand_previous!$D$2:$AY$2&amp;Demand_previous!$D$3:$AY$3, 0))/1000</f>
        <v>45.337620192307675</v>
      </c>
      <c r="AM66" s="384">
        <f t="array" ref="AM66">INDEX(Demand_previous!$D$4:$AY$138, MATCH('Staging Table'!$A66, Demand_previous!$B$4:$B$138, 0), MATCH(AM$4&amp;AM$5,Demand_previous!$D$2:$AY$2&amp;Demand_previous!$D$3:$AY$3, 0))/1000</f>
        <v>44.663070000000019</v>
      </c>
      <c r="AN66" s="384">
        <f t="array" ref="AN66">INDEX(Demand_previous!$D$4:$AY$138, MATCH('Staging Table'!$A66, Demand_previous!$B$4:$B$138, 0), MATCH(AN$4&amp;AN$5,Demand_previous!$D$2:$AY$2&amp;Demand_previous!$D$3:$AY$3, 0))/1000</f>
        <v>43.480479999999986</v>
      </c>
      <c r="AO66" s="384">
        <f t="array" ref="AO66">INDEX(Demand_previous!$D$4:$AY$138, MATCH('Staging Table'!$A66, Demand_previous!$B$4:$B$138, 0), MATCH(AO$4&amp;AO$5,Demand_previous!$D$2:$AY$2&amp;Demand_previous!$D$3:$AY$3, 0))/1000</f>
        <v>40.174662037037038</v>
      </c>
      <c r="AP66" s="384">
        <f t="array" ref="AP66">INDEX(Demand_previous!$D$4:$AY$138, MATCH('Staging Table'!$A66, Demand_previous!$B$4:$B$138, 0), MATCH(AP$4&amp;AP$5,Demand_previous!$D$2:$AY$2&amp;Demand_previous!$D$3:$AY$3, 0))/1000</f>
        <v>47.766139423076901</v>
      </c>
      <c r="AQ66" s="384">
        <f t="array" ref="AQ66">INDEX(Demand_previous!$D$4:$AY$138, MATCH('Staging Table'!$A66, Demand_previous!$B$4:$B$138, 0), MATCH(AQ$4&amp;AQ$5,Demand_previous!$D$2:$AY$2&amp;Demand_previous!$D$3:$AY$3, 0))/1000</f>
        <v>31.145077499999974</v>
      </c>
      <c r="AR66" s="384">
        <f t="array" ref="AR66">INDEX(Demand_previous!$D$4:$AY$138, MATCH('Staging Table'!$A66, Demand_previous!$B$4:$B$138, 0), MATCH(AR$4&amp;AR$5,Demand_previous!$D$2:$AY$2&amp;Demand_previous!$D$3:$AY$3, 0))/1000</f>
        <v>36.643016826923073</v>
      </c>
      <c r="AS66" s="384">
        <f t="array" ref="AS66">INDEX(Demand_previous!$D$4:$AY$138, MATCH('Staging Table'!$A66, Demand_previous!$B$4:$B$138, 0), MATCH(AS$4&amp;AS$5,Demand_previous!$D$2:$AY$2&amp;Demand_previous!$D$3:$AY$3, 0))/1000</f>
        <v>30.050699999999974</v>
      </c>
      <c r="AT66" s="384">
        <f t="array" ref="AT66">INDEX(Demand_previous!$D$4:$AY$138, MATCH('Staging Table'!$A66, Demand_previous!$B$4:$B$138, 0), MATCH(AT$4&amp;AT$5,Demand_previous!$D$2:$AY$2&amp;Demand_previous!$D$3:$AY$3, 0))/1000</f>
        <v>35.841935185185164</v>
      </c>
      <c r="AU66" s="384">
        <f t="array" ref="AU66">INDEX(Demand_previous!$D$4:$AY$138, MATCH('Staging Table'!$A66, Demand_previous!$B$4:$B$138, 0), MATCH(AU$4&amp;AU$5,Demand_previous!$D$2:$AY$2&amp;Demand_previous!$D$3:$AY$3, 0))/1000</f>
        <v>36.617252499999999</v>
      </c>
      <c r="AV66" s="384">
        <f>IF($D66=0,IF(C66=0, MAX(AY66 - (VLOOKUP($A66,TOCA_previous!$A$2:$AI$137,MATCH("RHWM 2016",TOCA_previous!$A$2:$AI$2,0),FALSE)*$F$2*TOCA_previous!C63),0),0), 0)</f>
        <v>27487.282415563939</v>
      </c>
      <c r="AW66" s="427">
        <f>VLOOKUP($A66,REP_previous!$A$1:$D$135,MATCH("FY "&amp;$F$1&amp; " Total Refund",REP_previous!$A$1:$D$1,0),0)</f>
        <v>1532100.6825792883</v>
      </c>
      <c r="AX66" s="398">
        <f>MIN(VLOOKUP($A66,TOCA_previous!$A$2:$AI$137,MATCH("TRL - NLSL - Exisiting Resource "&amp;$F$1,TOCA_previous!$A$2:$AI$2,0),FALSE)*$F$2,(VLOOKUP($A66,TOCA_previous!$A$2:$AI$137,MATCH("RHWM 2016",TOCA_previous!$A$2:$AI$2,0),FALSE)*$F$2))</f>
        <v>1451072.88</v>
      </c>
      <c r="AY66" s="384">
        <f>SUM(L66:AI66)+(F66*RT1SC!$C$3*$F$2)</f>
        <v>1478560.1624155638</v>
      </c>
      <c r="AZ66" s="398">
        <f>VLOOKUP($A66,TOCA_previous!$A$2:$AI$137,MATCH("Above RHWM Not Served with LS "&amp;$F$1,TOCA_previous!$A$2:$AI$2,0),FALSE)*$F$2</f>
        <v>16478.784</v>
      </c>
      <c r="BA66" s="206">
        <f t="shared" si="3"/>
        <v>27487.282415563939</v>
      </c>
      <c r="BB66" s="399">
        <f>(VLOOKUP($A66,TOCA_previous!$A$2:$AI$137,MATCH("RHWM 2016",TOCA_previous!$A$2:$AI$2,0),FALSE)*$F$2) - $AX66</f>
        <v>0</v>
      </c>
      <c r="BC66" s="206">
        <f t="shared" si="4"/>
        <v>0</v>
      </c>
      <c r="BD66" s="400">
        <f t="shared" si="5"/>
        <v>0</v>
      </c>
      <c r="BE66" s="392">
        <f t="shared" si="6"/>
        <v>0</v>
      </c>
      <c r="BF66" s="399">
        <f t="shared" si="7"/>
        <v>0</v>
      </c>
      <c r="BG66" s="206">
        <f>VLOOKUP($A66,TOCA_current!$A$2:$AI$137,MATCH(BG$4,TOCA_current!$A$2:$AI$2,0),FALSE)</f>
        <v>2.36355E-2</v>
      </c>
      <c r="BH66" s="206">
        <f>VLOOKUP($A66,TOCA_current!$A$2:$AI$137,MATCH(BH$4,TOCA_current!$A$2:$AI$2,0),FALSE)</f>
        <v>2.36355E-2</v>
      </c>
      <c r="BI66" s="391">
        <f t="shared" si="8"/>
        <v>0</v>
      </c>
      <c r="BJ66" s="206">
        <f>VLOOKUP($A66,TOCA_current!A62:BG197,MATCH(BJ$4,TOCA_current!$A$2:$BG$2,0),FALSE)</f>
        <v>0</v>
      </c>
      <c r="BK66" s="206">
        <f t="shared" si="9"/>
        <v>0</v>
      </c>
      <c r="BL66" s="206">
        <f t="shared" si="10"/>
        <v>0</v>
      </c>
      <c r="BM66" s="381">
        <f>VLOOKUP($A66,IRD!$A$4:$G$139, 7, FALSE)</f>
        <v>0</v>
      </c>
      <c r="BN66" s="382">
        <f t="array" ref="BN66">IF($BI66=0, INDEX(LS_current!$D$4:$AY$139, MATCH('Staging Table'!$A66, LS_current!$B$4:$B$139, 0), MATCH(BN$4&amp;BN$5, LS_current!$D$2:$AY$2&amp;LS_current!$D$3:$AY$3, 0)),SUM(VLOOKUP($A66, LS_current!$B$4:$AY$139, LS_current!D$149, FALSE), VLOOKUP($A66, LS_current!$B$4:$AY$139,LS_current!D$149, FALSE))/2)</f>
        <v>-4755.0062276081007</v>
      </c>
      <c r="BO66" s="382">
        <f t="array" ref="BO66">IF($BI66=0, INDEX(LS_current!$D$4:$AY$139, MATCH('Staging Table'!$A66, LS_current!$B$4:$B$139, 0), MATCH(BO$4&amp;BO$5, LS_current!$D$2:$AY$2&amp;LS_current!$D$3:$AY$3, 0)),SUM(VLOOKUP($A66, LS_current!$B$4:$AY$139, LS_current!E$149, FALSE), VLOOKUP($A66, LS_current!$B$4:$AY$139,LS_current!E$149, FALSE))/2)</f>
        <v>-262.10970534893568</v>
      </c>
      <c r="BP66" s="382">
        <f t="array" ref="BP66">IF($BI66=0, INDEX(LS_current!$D$4:$AY$139, MATCH('Staging Table'!$A66, LS_current!$B$4:$B$139, 0), MATCH(BP$4&amp;BP$5, LS_current!$D$2:$AY$2&amp;LS_current!$D$3:$AY$3, 0)),SUM(VLOOKUP($A66, LS_current!$B$4:$AY$139, LS_current!F$149, FALSE), VLOOKUP($A66, LS_current!$B$4:$AY$139,LS_current!F$149, FALSE))/2)</f>
        <v>-10999.46480340985</v>
      </c>
      <c r="BQ66" s="382">
        <f t="array" ref="BQ66">IF($BI66=0, INDEX(LS_current!$D$4:$AY$139, MATCH('Staging Table'!$A66, LS_current!$B$4:$B$139, 0), MATCH(BQ$4&amp;BQ$5, LS_current!$D$2:$AY$2&amp;LS_current!$D$3:$AY$3, 0)),SUM(VLOOKUP($A66, LS_current!$B$4:$AY$139, LS_current!G$149, FALSE), VLOOKUP($A66, LS_current!$B$4:$AY$139,LS_current!G$149, FALSE))/2)</f>
        <v>2573.1779825494741</v>
      </c>
      <c r="BR66" s="382">
        <f t="array" ref="BR66">IF($BI66=0, INDEX(LS_current!$D$4:$AY$139, MATCH('Staging Table'!$A66, LS_current!$B$4:$B$139, 0), MATCH(BR$4&amp;BR$5, LS_current!$D$2:$AY$2&amp;LS_current!$D$3:$AY$3, 0)),SUM(VLOOKUP($A66, LS_current!$B$4:$AY$139, LS_current!H$149, FALSE), VLOOKUP($A66, LS_current!$B$4:$AY$139,LS_current!H$149, FALSE))/2)</f>
        <v>5087.6131572025479</v>
      </c>
      <c r="BS66" s="382">
        <f t="array" ref="BS66">IF($BI66=0, INDEX(LS_current!$D$4:$AY$139, MATCH('Staging Table'!$A66, LS_current!$B$4:$B$139, 0), MATCH(BS$4&amp;BS$5, LS_current!$D$2:$AY$2&amp;LS_current!$D$3:$AY$3, 0)),SUM(VLOOKUP($A66, LS_current!$B$4:$AY$139, LS_current!I$149, FALSE), VLOOKUP($A66, LS_current!$B$4:$AY$139,LS_current!I$149, FALSE))/2)</f>
        <v>9500.8499175049947</v>
      </c>
      <c r="BT66" s="382">
        <f t="array" ref="BT66">IF($BI66=0, INDEX(LS_current!$D$4:$AY$139, MATCH('Staging Table'!$A66, LS_current!$B$4:$B$139, 0), MATCH(BT$4&amp;BT$5, LS_current!$D$2:$AY$2&amp;LS_current!$D$3:$AY$3, 0)),SUM(VLOOKUP($A66, LS_current!$B$4:$AY$139, LS_current!J$149, FALSE), VLOOKUP($A66, LS_current!$B$4:$AY$139,LS_current!J$149, FALSE))/2)</f>
        <v>19614.707244126592</v>
      </c>
      <c r="BU66" s="382">
        <f t="array" ref="BU66">IF($BI66=0, INDEX(LS_current!$D$4:$AY$139, MATCH('Staging Table'!$A66, LS_current!$B$4:$B$139, 0), MATCH(BU$4&amp;BU$5, LS_current!$D$2:$AY$2&amp;LS_current!$D$3:$AY$3, 0)),SUM(VLOOKUP($A66, LS_current!$B$4:$AY$139, LS_current!K$149, FALSE), VLOOKUP($A66, LS_current!$B$4:$AY$139,LS_current!K$149, FALSE))/2)</f>
        <v>17351.328909559219</v>
      </c>
      <c r="BV66" s="382">
        <f t="array" ref="BV66">IF($BI66=0, INDEX(LS_current!$D$4:$AY$139, MATCH('Staging Table'!$A66, LS_current!$B$4:$B$139, 0), MATCH(BV$4&amp;BV$5, LS_current!$D$2:$AY$2&amp;LS_current!$D$3:$AY$3, 0)),SUM(VLOOKUP($A66, LS_current!$B$4:$AY$139, LS_current!L$149, FALSE), VLOOKUP($A66, LS_current!$B$4:$AY$139,LS_current!L$149, FALSE))/2)</f>
        <v>21918.499276054237</v>
      </c>
      <c r="BW66" s="382">
        <f t="array" ref="BW66">IF($BI66=0, INDEX(LS_current!$D$4:$AY$139, MATCH('Staging Table'!$A66, LS_current!$B$4:$B$139, 0), MATCH(BW$4&amp;BW$5, LS_current!$D$2:$AY$2&amp;LS_current!$D$3:$AY$3, 0)),SUM(VLOOKUP($A66, LS_current!$B$4:$AY$139, LS_current!M$149, FALSE), VLOOKUP($A66, LS_current!$B$4:$AY$139,LS_current!M$149, FALSE))/2)</f>
        <v>18560.187417840156</v>
      </c>
      <c r="BX66" s="382">
        <f t="array" ref="BX66">IF($BI66=0, INDEX(LS_current!$D$4:$AY$139, MATCH('Staging Table'!$A66, LS_current!$B$4:$B$139, 0), MATCH(BX$4&amp;BX$5, LS_current!$D$2:$AY$2&amp;LS_current!$D$3:$AY$3, 0)),SUM(VLOOKUP($A66, LS_current!$B$4:$AY$139, LS_current!N$149, FALSE), VLOOKUP($A66, LS_current!$B$4:$AY$139,LS_current!N$149, FALSE))/2)</f>
        <v>5900.9079158531531</v>
      </c>
      <c r="BY66" s="382">
        <f t="array" ref="BY66">IF($BI66=0, INDEX(LS_current!$D$4:$AY$139, MATCH('Staging Table'!$A66, LS_current!$B$4:$B$139, 0), MATCH(BY$4&amp;BY$5, LS_current!$D$2:$AY$2&amp;LS_current!$D$3:$AY$3, 0)),SUM(VLOOKUP($A66, LS_current!$B$4:$AY$139, LS_current!O$149, FALSE), VLOOKUP($A66, LS_current!$B$4:$AY$139,LS_current!O$149, FALSE))/2)</f>
        <v>8953.1880633448673</v>
      </c>
      <c r="BZ66" s="382">
        <f t="array" ref="BZ66">IF($BI66=0, INDEX(LS_current!$D$4:$AY$139, MATCH('Staging Table'!$A66, LS_current!$B$4:$B$139, 0), MATCH(BZ$4&amp;BZ$5, LS_current!$D$2:$AY$2&amp;LS_current!$D$3:$AY$3, 0)),SUM(VLOOKUP($A66, LS_current!$B$4:$AY$139, LS_current!P$149, FALSE), VLOOKUP($A66, LS_current!$B$4:$AY$139,LS_current!P$149, FALSE))/2)</f>
        <v>-920.22606962328427</v>
      </c>
      <c r="CA66" s="382">
        <f t="array" ref="CA66">IF($BI66=0, INDEX(LS_current!$D$4:$AY$139, MATCH('Staging Table'!$A66, LS_current!$B$4:$B$139, 0), MATCH(CA$4&amp;CA$5, LS_current!$D$2:$AY$2&amp;LS_current!$D$3:$AY$3, 0)),SUM(VLOOKUP($A66, LS_current!$B$4:$AY$139, LS_current!Q$149, FALSE), VLOOKUP($A66, LS_current!$B$4:$AY$139,LS_current!Q$149, FALSE))/2)</f>
        <v>4109.0251811557246</v>
      </c>
      <c r="CB66" s="382">
        <f t="array" ref="CB66">IF($BI66=0, INDEX(LS_current!$D$4:$AY$139, MATCH('Staging Table'!$A66, LS_current!$B$4:$B$139, 0), MATCH(CB$4&amp;CB$5, LS_current!$D$2:$AY$2&amp;LS_current!$D$3:$AY$3, 0)),SUM(VLOOKUP($A66, LS_current!$B$4:$AY$139, LS_current!R$149, FALSE), VLOOKUP($A66, LS_current!$B$4:$AY$139,LS_current!R$149, FALSE))/2)</f>
        <v>-40983.956070387641</v>
      </c>
      <c r="CC66" s="382">
        <f t="array" ref="CC66">IF($BI66=0, INDEX(LS_current!$D$4:$AY$139, MATCH('Staging Table'!$A66, LS_current!$B$4:$B$139, 0), MATCH(CC$4&amp;CC$5, LS_current!$D$2:$AY$2&amp;LS_current!$D$3:$AY$3, 0)),SUM(VLOOKUP($A66, LS_current!$B$4:$AY$139, LS_current!S$149, FALSE), VLOOKUP($A66, LS_current!$B$4:$AY$139,LS_current!S$149, FALSE))/2)</f>
        <v>-18364.976115895632</v>
      </c>
      <c r="CD66" s="382">
        <f t="array" ref="CD66">IF($BI66=0, INDEX(LS_current!$D$4:$AY$139, MATCH('Staging Table'!$A66, LS_current!$B$4:$B$139, 0), MATCH(CD$4&amp;CD$5, LS_current!$D$2:$AY$2&amp;LS_current!$D$3:$AY$3, 0)),SUM(VLOOKUP($A66, LS_current!$B$4:$AY$139, LS_current!T$149, FALSE), VLOOKUP($A66, LS_current!$B$4:$AY$139,LS_current!T$149, FALSE))/2)</f>
        <v>-24884.410585364247</v>
      </c>
      <c r="CE66" s="382">
        <f t="array" ref="CE66">IF($BI66=0, INDEX(LS_current!$D$4:$AY$139, MATCH('Staging Table'!$A66, LS_current!$B$4:$B$139, 0), MATCH(CE$4&amp;CE$5, LS_current!$D$2:$AY$2&amp;LS_current!$D$3:$AY$3, 0)),SUM(VLOOKUP($A66, LS_current!$B$4:$AY$139, LS_current!U$149, FALSE), VLOOKUP($A66, LS_current!$B$4:$AY$139,LS_current!U$149, FALSE))/2)</f>
        <v>-9616.3412563203383</v>
      </c>
      <c r="CF66" s="382">
        <f t="array" ref="CF66">IF($BI66=0, INDEX(LS_current!$D$4:$AY$139, MATCH('Staging Table'!$A66, LS_current!$B$4:$B$139, 0), MATCH(CF$4&amp;CF$5, LS_current!$D$2:$AY$2&amp;LS_current!$D$3:$AY$3, 0)),SUM(VLOOKUP($A66, LS_current!$B$4:$AY$139, LS_current!V$149, FALSE), VLOOKUP($A66, LS_current!$B$4:$AY$139,LS_current!V$149, FALSE))/2)</f>
        <v>-2833.5960143756238</v>
      </c>
      <c r="CG66" s="382">
        <f t="array" ref="CG66">IF($BI66=0, INDEX(LS_current!$D$4:$AY$139, MATCH('Staging Table'!$A66, LS_current!$B$4:$B$139, 0), MATCH(CG$4&amp;CG$5, LS_current!$D$2:$AY$2&amp;LS_current!$D$3:$AY$3, 0)),SUM(VLOOKUP($A66, LS_current!$B$4:$AY$139, LS_current!W$149, FALSE), VLOOKUP($A66, LS_current!$B$4:$AY$139,LS_current!W$149, FALSE))/2)</f>
        <v>2706.0994167135141</v>
      </c>
      <c r="CH66" s="382">
        <f t="array" ref="CH66">IF($BI66=0, INDEX(LS_current!$D$4:$AY$139, MATCH('Staging Table'!$A66, LS_current!$B$4:$B$139, 0), MATCH(CH$4&amp;CH$5, LS_current!$D$2:$AY$2&amp;LS_current!$D$3:$AY$3, 0)),SUM(VLOOKUP($A66, LS_current!$B$4:$AY$139, LS_current!X$149, FALSE), VLOOKUP($A66, LS_current!$B$4:$AY$139,LS_current!X$149, FALSE))/2)</f>
        <v>-13027.122282393801</v>
      </c>
      <c r="CI66" s="382">
        <f t="array" ref="CI66">IF($BI66=0, INDEX(LS_current!$D$4:$AY$139, MATCH('Staging Table'!$A66, LS_current!$B$4:$B$139, 0), MATCH(CI$4&amp;CI$5, LS_current!$D$2:$AY$2&amp;LS_current!$D$3:$AY$3, 0)),SUM(VLOOKUP($A66, LS_current!$B$4:$AY$139, LS_current!Y$149, FALSE), VLOOKUP($A66, LS_current!$B$4:$AY$139,LS_current!Y$149, FALSE))/2)</f>
        <v>-1732.4322616191203</v>
      </c>
      <c r="CJ66" s="382">
        <f t="array" ref="CJ66">IF($BI66=0, INDEX(LS_current!$D$4:$AY$139, MATCH('Staging Table'!$A66, LS_current!$B$4:$B$139, 0), MATCH(CJ$4&amp;CJ$5, LS_current!$D$2:$AY$2&amp;LS_current!$D$3:$AY$3, 0)),SUM(VLOOKUP($A66, LS_current!$B$4:$AY$139, LS_current!Z$149, FALSE), VLOOKUP($A66, LS_current!$B$4:$AY$139,LS_current!Z$149, FALSE))/2)</f>
        <v>-12388.546585891294</v>
      </c>
      <c r="CK66" s="382">
        <f t="array" ref="CK66">IF($BI66=0, INDEX(LS_current!$D$4:$AY$139, MATCH('Staging Table'!$A66, LS_current!$B$4:$B$139, 0), MATCH(CK$4&amp;CK$5, LS_current!$D$2:$AY$2&amp;LS_current!$D$3:$AY$3, 0)),SUM(VLOOKUP($A66, LS_current!$B$4:$AY$139, LS_current!AA$149, FALSE), VLOOKUP($A66, LS_current!$B$4:$AY$139,LS_current!AA$149, FALSE))/2)</f>
        <v>-2473.823390893187</v>
      </c>
      <c r="CL66" s="384">
        <f t="array" ref="CL66">INDEX(Demand_current!$D$4:$AY$138, MATCH($A66, Demand_current!$B$4:$B$138, 0), MATCH(CL$4&amp;CL$5,Demand_current!$D$2:$AY$2&amp;Demand_current!$D$3:$AY$3, 0))/1000</f>
        <v>38.566540865384624</v>
      </c>
      <c r="CM66" s="384">
        <f t="array" ref="CM66">INDEX(Demand_current!$D$4:$AY$138, MATCH($A66, Demand_current!$B$4:$B$138, 0), MATCH(CM$4&amp;CM$5,Demand_current!$D$2:$AY$2&amp;Demand_current!$D$3:$AY$3, 0))/1000</f>
        <v>44.800530000000023</v>
      </c>
      <c r="CN66" s="384">
        <f t="array" ref="CN66">INDEX(Demand_current!$D$4:$AY$138, MATCH($A66, Demand_current!$B$4:$B$138, 0), MATCH(CN$4&amp;CN$5,Demand_current!$D$2:$AY$2&amp;Demand_current!$D$3:$AY$3, 0))/1000</f>
        <v>36.10860499999999</v>
      </c>
      <c r="CO66" s="384">
        <f t="array" ref="CO66">INDEX(Demand_current!$D$4:$AY$138, MATCH($A66, Demand_current!$B$4:$B$138, 0), MATCH(CO$4&amp;CO$5,Demand_current!$D$2:$AY$2&amp;Demand_current!$D$3:$AY$3, 0))/1000</f>
        <v>54.077028846153851</v>
      </c>
      <c r="CP66" s="384">
        <f t="array" ref="CP66">INDEX(Demand_current!$D$4:$AY$138, MATCH($A66, Demand_current!$B$4:$B$138, 0), MATCH(CP$4&amp;CP$5,Demand_current!$D$2:$AY$2&amp;Demand_current!$D$3:$AY$3, 0))/1000</f>
        <v>34.301000000000002</v>
      </c>
      <c r="CQ66" s="384">
        <f t="array" ref="CQ66">INDEX(Demand_current!$D$4:$AY$138, MATCH($A66, Demand_current!$B$4:$B$138, 0), MATCH(CQ$4&amp;CQ$5,Demand_current!$D$2:$AY$2&amp;Demand_current!$D$3:$AY$3, 0))/1000</f>
        <v>40.174662037037038</v>
      </c>
      <c r="CR66" s="384">
        <f t="array" ref="CR66">INDEX(Demand_current!$D$4:$AY$138, MATCH($A66, Demand_current!$B$4:$B$138, 0), MATCH(CR$4&amp;CR$5,Demand_current!$D$2:$AY$2&amp;Demand_current!$D$3:$AY$3, 0))/1000</f>
        <v>40.550584999999977</v>
      </c>
      <c r="CS66" s="384">
        <f t="array" ref="CS66">INDEX(Demand_current!$D$4:$AY$138, MATCH($A66, Demand_current!$B$4:$B$138, 0), MATCH(CS$4&amp;CS$5,Demand_current!$D$2:$AY$2&amp;Demand_current!$D$3:$AY$3, 0))/1000</f>
        <v>37.563920673076936</v>
      </c>
      <c r="CT66" s="384">
        <f t="array" ref="CT66">INDEX(Demand_current!$D$4:$AY$138, MATCH($A66, Demand_current!$B$4:$B$138, 0), MATCH(CT$4&amp;CT$5,Demand_current!$D$2:$AY$2&amp;Demand_current!$D$3:$AY$3, 0))/1000</f>
        <v>36.643016826923073</v>
      </c>
      <c r="CU66" s="384">
        <f t="array" ref="CU66">INDEX(Demand_current!$D$4:$AY$138, MATCH($A66, Demand_current!$B$4:$B$138, 0), MATCH(CU$4&amp;CU$5,Demand_current!$D$2:$AY$2&amp;Demand_current!$D$3:$AY$3, 0))/1000</f>
        <v>30.050699999999974</v>
      </c>
      <c r="CV66" s="384">
        <f t="array" ref="CV66">INDEX(Demand_current!$D$4:$AY$138, MATCH($A66, Demand_current!$B$4:$B$138, 0), MATCH(CV$4&amp;CV$5,Demand_current!$D$2:$AY$2&amp;Demand_current!$D$3:$AY$3, 0))/1000</f>
        <v>35.841935185185164</v>
      </c>
      <c r="CW66" s="384">
        <f t="array" ref="CW66">INDEX(Demand_current!$D$4:$AY$138, MATCH($A66, Demand_current!$B$4:$B$138, 0), MATCH(CW$4&amp;CW$5,Demand_current!$D$2:$AY$2&amp;Demand_current!$D$3:$AY$3, 0))/1000</f>
        <v>29.921971354166651</v>
      </c>
      <c r="CX66" s="384">
        <f>IF(D66=0,IF(C66=0,MAX(0,DA66 - (VLOOKUP($A66,TOCA_current!$A$2:$AI$137,MATCH("RHWM 2018",TOCA_current!$A$2:$AI$2,0),FALSE)*$BH$2)), 0),0)</f>
        <v>0</v>
      </c>
      <c r="CY66" s="427">
        <f>VLOOKUP($A66,REP_current!$A$1:$D$135,MATCH("FY "&amp;$BH$1&amp; " Total Refund",REP_current!$A$1:$D$1,0),0)</f>
        <v>1545636.9725373732</v>
      </c>
      <c r="CZ66" s="432">
        <f>MIN(VLOOKUP($A66,TOCA_current!$A$2:$AI$137,MATCH("TRL - NLSL - Existing Resource "&amp;$BH$1,TOCA_current!$A$2:$AI$2,0),FALSE)*$BH$2, VLOOKUP($A66,TOCA_current!$A$2:$AI$137,MATCH("RHWM 2018",TOCA_current!$A$2:$AI$2,0),FALSE)*$BH$2)</f>
        <v>1437910.2000000002</v>
      </c>
      <c r="DA66" s="397">
        <f>SUM(BN66:CK66)+(BH66*RT1SC!$C$4*$BH$2)</f>
        <v>1410942.9639778535</v>
      </c>
      <c r="DB66" s="432">
        <f>VLOOKUP($A66,TOCA_current!$A$2:$AI$137,MATCH("Above RHWM Not Served with LS "&amp;$BH$1,TOCA_current!$A$2:$AI$2,0),FALSE)*$BH$2</f>
        <v>84096</v>
      </c>
      <c r="DC66" s="401">
        <f t="shared" si="11"/>
        <v>-26967.236022146652</v>
      </c>
      <c r="DD66" s="397">
        <f>(VLOOKUP($A66,TOCA_current!$A$2:$AI$137,MATCH("RHWM 2018",TOCA_current!$A$2:$AI$2,0),FALSE)*$BH$2) - $CZ66</f>
        <v>0</v>
      </c>
      <c r="DE66" s="397">
        <f t="shared" si="12"/>
        <v>0</v>
      </c>
      <c r="DF66" s="397">
        <f t="shared" si="13"/>
        <v>0</v>
      </c>
      <c r="DG66" s="397">
        <f t="shared" si="14"/>
        <v>0</v>
      </c>
      <c r="DH66" s="397">
        <f t="shared" si="15"/>
        <v>0</v>
      </c>
    </row>
    <row r="67" spans="1:112">
      <c r="A67" s="274">
        <v>10183</v>
      </c>
      <c r="B67" s="275" t="s">
        <v>68</v>
      </c>
      <c r="C67" s="397">
        <v>0</v>
      </c>
      <c r="D67" s="397">
        <v>1</v>
      </c>
      <c r="E67" s="205">
        <f>VLOOKUP($A67,TOCA_previous!$A$2:$AI$137,MATCH(E$4,TOCA_previous!$A$2:$AI$2,0),FALSE)</f>
        <v>1.6641099999999999E-2</v>
      </c>
      <c r="F67" s="206">
        <f>VLOOKUP($A67,TOCA_previous!$A$2:$AI$137,MATCH(F$4,TOCA_previous!$A$2:$AI$2,0),FALSE)</f>
        <v>8.8407999999999994E-3</v>
      </c>
      <c r="G67" s="206">
        <f t="shared" si="0"/>
        <v>7.8002999999999996E-3</v>
      </c>
      <c r="H67" s="206">
        <f>VLOOKUP($A67,TOCA_previous!$A$2:$AI$137,MATCH(H$4,TOCA_previous!$A$2:$AI$2,0),FALSE)</f>
        <v>0</v>
      </c>
      <c r="I67" s="206">
        <f t="shared" si="1"/>
        <v>0</v>
      </c>
      <c r="J67" s="206">
        <f t="shared" si="2"/>
        <v>0</v>
      </c>
      <c r="K67" s="381">
        <f>VLOOKUP(A67, IRD!$A$5:$C$139, 3, FALSE)</f>
        <v>94407.247000000003</v>
      </c>
      <c r="L67" s="382">
        <f t="array" ref="L67">IF($G67=0, INDEX(LS_previous!$D$4:$AY$138, MATCH('Staging Table'!$A67, LS_previous!$B$4:$B$138, 0), MATCH(L$4&amp;L$5, LS_previous!$D$2:$AY$2&amp;LS_previous!$D$3:$AY$3, 0)),SUM(VLOOKUP($A67, LS_previous!$B$4:$AY$138, LS_previous!D$149, FALSE), VLOOKUP('Staging Table'!$A67, LS_previous!$B$4:$AY$138,LS_previous!AB$149, FALSE))/2)</f>
        <v>-3672.7662912357719</v>
      </c>
      <c r="M67" s="382">
        <f t="array" ref="M67">IF($G67=0, INDEX(LS_previous!$D$4:$AY$138, MATCH('Staging Table'!$A67, LS_previous!$B$4:$B$138, 0), MATCH(M$4&amp;M$5, LS_previous!$D$2:$AY$2&amp;LS_previous!$D$3:$AY$3, 0)),SUM(VLOOKUP($A67, LS_previous!$B$4:$AY$138, LS_previous!E$149, FALSE), VLOOKUP('Staging Table'!$A67, LS_previous!$B$4:$AY$138,LS_previous!AC$149, FALSE))/2)</f>
        <v>2193.3982174245557</v>
      </c>
      <c r="N67" s="382">
        <f t="array" ref="N67">IF($G67=0, INDEX(LS_previous!$D$4:$AY$138, MATCH('Staging Table'!$A67, LS_previous!$B$4:$B$138, 0), MATCH(N$4&amp;N$5, LS_previous!$D$2:$AY$2&amp;LS_previous!$D$3:$AY$3, 0)),SUM(VLOOKUP($A67, LS_previous!$B$4:$AY$138, LS_previous!F$149, FALSE), VLOOKUP('Staging Table'!$A67, LS_previous!$B$4:$AY$138,LS_previous!AD$149, FALSE))/2)</f>
        <v>-10715.194704474421</v>
      </c>
      <c r="O67" s="382">
        <f t="array" ref="O67">IF($G67=0, INDEX(LS_previous!$D$4:$AY$138, MATCH('Staging Table'!$A67, LS_previous!$B$4:$B$138, 0), MATCH(O$4&amp;O$5, LS_previous!$D$2:$AY$2&amp;LS_previous!$D$3:$AY$3, 0)),SUM(VLOOKUP($A67, LS_previous!$B$4:$AY$138, LS_previous!G$149, FALSE), VLOOKUP('Staging Table'!$A67, LS_previous!$B$4:$AY$138,LS_previous!AE$149, FALSE))/2)</f>
        <v>-1579.7892753391934</v>
      </c>
      <c r="P67" s="382">
        <f t="array" ref="P67">IF($G67=0, INDEX(LS_previous!$D$4:$AY$138, MATCH('Staging Table'!$A67, LS_previous!$B$4:$B$138, 0), MATCH(P$4&amp;P$5, LS_previous!$D$2:$AY$2&amp;LS_previous!$D$3:$AY$3, 0)),SUM(VLOOKUP($A67, LS_previous!$B$4:$AY$138, LS_previous!H$149, FALSE), VLOOKUP('Staging Table'!$A67, LS_previous!$B$4:$AY$138,LS_previous!AF$149, FALSE))/2)</f>
        <v>-5383.6733726678813</v>
      </c>
      <c r="Q67" s="382">
        <f t="array" ref="Q67">IF($G67=0, INDEX(LS_previous!$D$4:$AY$138, MATCH('Staging Table'!$A67, LS_previous!$B$4:$B$138, 0), MATCH(Q$4&amp;Q$5, LS_previous!$D$2:$AY$2&amp;LS_previous!$D$3:$AY$3, 0)),SUM(VLOOKUP($A67, LS_previous!$B$4:$AY$138, LS_previous!I$149, FALSE), VLOOKUP('Staging Table'!$A67, LS_previous!$B$4:$AY$138,LS_previous!AG$149, FALSE))/2)</f>
        <v>910.52008348494564</v>
      </c>
      <c r="R67" s="382">
        <f t="array" ref="R67">IF($G67=0, INDEX(LS_previous!$D$4:$AY$138, MATCH('Staging Table'!$A67, LS_previous!$B$4:$B$138, 0), MATCH(R$4&amp;R$5, LS_previous!$D$2:$AY$2&amp;LS_previous!$D$3:$AY$3, 0)),SUM(VLOOKUP($A67, LS_previous!$B$4:$AY$138, LS_previous!J$149, FALSE), VLOOKUP('Staging Table'!$A67, LS_previous!$B$4:$AY$138,LS_previous!AH$149, FALSE))/2)</f>
        <v>-507.74800340933689</v>
      </c>
      <c r="S67" s="382">
        <f t="array" ref="S67">IF($G67=0, INDEX(LS_previous!$D$4:$AY$138, MATCH('Staging Table'!$A67, LS_previous!$B$4:$B$138, 0), MATCH(S$4&amp;S$5, LS_previous!$D$2:$AY$2&amp;LS_previous!$D$3:$AY$3, 0)),SUM(VLOOKUP($A67, LS_previous!$B$4:$AY$138, LS_previous!K$149, FALSE), VLOOKUP('Staging Table'!$A67, LS_previous!$B$4:$AY$138,LS_previous!AI$149, FALSE))/2)</f>
        <v>5820.2237169801647</v>
      </c>
      <c r="T67" s="382">
        <f t="array" ref="T67">IF($G67=0, INDEX(LS_previous!$D$4:$AY$138, MATCH('Staging Table'!$A67, LS_previous!$B$4:$B$138, 0), MATCH(T$4&amp;T$5, LS_previous!$D$2:$AY$2&amp;LS_previous!$D$3:$AY$3, 0)),SUM(VLOOKUP($A67, LS_previous!$B$4:$AY$138, LS_previous!L$149, FALSE), VLOOKUP('Staging Table'!$A67, LS_previous!$B$4:$AY$138,LS_previous!AJ$149, FALSE))/2)</f>
        <v>-2014.3332300093898</v>
      </c>
      <c r="U67" s="382">
        <f t="array" ref="U67">IF($G67=0, INDEX(LS_previous!$D$4:$AY$138, MATCH('Staging Table'!$A67, LS_previous!$B$4:$B$138, 0), MATCH(U$4&amp;U$5, LS_previous!$D$2:$AY$2&amp;LS_previous!$D$3:$AY$3, 0)),SUM(VLOOKUP($A67, LS_previous!$B$4:$AY$138, LS_previous!M$149, FALSE), VLOOKUP('Staging Table'!$A67, LS_previous!$B$4:$AY$138,LS_previous!AK$149, FALSE))/2)</f>
        <v>1928.1716751837102</v>
      </c>
      <c r="V67" s="382">
        <f t="array" ref="V67">IF($G67=0, INDEX(LS_previous!$D$4:$AY$138, MATCH('Staging Table'!$A67, LS_previous!$B$4:$B$138, 0), MATCH(V$4&amp;V$5, LS_previous!$D$2:$AY$2&amp;LS_previous!$D$3:$AY$3, 0)),SUM(VLOOKUP($A67, LS_previous!$B$4:$AY$138, LS_previous!N$149, FALSE), VLOOKUP('Staging Table'!$A67, LS_previous!$B$4:$AY$138,LS_previous!AL$149, FALSE))/2)</f>
        <v>-6247.4948057524034</v>
      </c>
      <c r="W67" s="382">
        <f t="array" ref="W67">IF($G67=0, INDEX(LS_previous!$D$4:$AY$138, MATCH('Staging Table'!$A67, LS_previous!$B$4:$B$138, 0), MATCH(W$4&amp;W$5, LS_previous!$D$2:$AY$2&amp;LS_previous!$D$3:$AY$3, 0)),SUM(VLOOKUP($A67, LS_previous!$B$4:$AY$138, LS_previous!O$149, FALSE), VLOOKUP('Staging Table'!$A67, LS_previous!$B$4:$AY$138,LS_previous!AM$149, FALSE))/2)</f>
        <v>-1388.2383349783877</v>
      </c>
      <c r="X67" s="382">
        <f t="array" ref="X67">IF($G67=0, INDEX(LS_previous!$D$4:$AY$138, MATCH('Staging Table'!$A67, LS_previous!$B$4:$B$138, 0), MATCH(X$4&amp;X$5, LS_previous!$D$2:$AY$2&amp;LS_previous!$D$3:$AY$3, 0)),SUM(VLOOKUP($A67, LS_previous!$B$4:$AY$138, LS_previous!P$149, FALSE), VLOOKUP('Staging Table'!$A67, LS_previous!$B$4:$AY$138,LS_previous!AN$149, FALSE))/2)</f>
        <v>-2086.2456119184262</v>
      </c>
      <c r="Y67" s="382">
        <f t="array" ref="Y67">IF($G67=0, INDEX(LS_previous!$D$4:$AY$138, MATCH('Staging Table'!$A67, LS_previous!$B$4:$B$138, 0), MATCH(Y$4&amp;Y$5, LS_previous!$D$2:$AY$2&amp;LS_previous!$D$3:$AY$3, 0)),SUM(VLOOKUP($A67, LS_previous!$B$4:$AY$138, LS_previous!Q$149, FALSE), VLOOKUP('Staging Table'!$A67, LS_previous!$B$4:$AY$138,LS_previous!AO$149, FALSE))/2)</f>
        <v>1989.1480056597093</v>
      </c>
      <c r="Z67" s="382">
        <f t="array" ref="Z67">IF($G67=0, INDEX(LS_previous!$D$4:$AY$138, MATCH('Staging Table'!$A67, LS_previous!$B$4:$B$138, 0), MATCH(Z$4&amp;Z$5, LS_previous!$D$2:$AY$2&amp;LS_previous!$D$3:$AY$3, 0)),SUM(VLOOKUP($A67, LS_previous!$B$4:$AY$138, LS_previous!R$149, FALSE), VLOOKUP('Staging Table'!$A67, LS_previous!$B$4:$AY$138,LS_previous!AP$149, FALSE))/2)</f>
        <v>-14604.641222818682</v>
      </c>
      <c r="AA67" s="382">
        <f t="array" ref="AA67">IF($G67=0, INDEX(LS_previous!$D$4:$AY$138, MATCH('Staging Table'!$A67, LS_previous!$B$4:$B$138, 0), MATCH(AA$4&amp;AA$5, LS_previous!$D$2:$AY$2&amp;LS_previous!$D$3:$AY$3, 0)),SUM(VLOOKUP($A67, LS_previous!$B$4:$AY$138, LS_previous!S$149, FALSE), VLOOKUP('Staging Table'!$A67, LS_previous!$B$4:$AY$138,LS_previous!AQ$149, FALSE))/2)</f>
        <v>-1822.7562433740295</v>
      </c>
      <c r="AB67" s="382">
        <f t="array" ref="AB67">IF($G67=0, INDEX(LS_previous!$D$4:$AY$138, MATCH('Staging Table'!$A67, LS_previous!$B$4:$B$138, 0), MATCH(AB$4&amp;AB$5, LS_previous!$D$2:$AY$2&amp;LS_previous!$D$3:$AY$3, 0)),SUM(VLOOKUP($A67, LS_previous!$B$4:$AY$138, LS_previous!T$149, FALSE), VLOOKUP('Staging Table'!$A67, LS_previous!$B$4:$AY$138,LS_previous!AR$149, FALSE))/2)</f>
        <v>-2228.6446654235187</v>
      </c>
      <c r="AC67" s="382">
        <f t="array" ref="AC67">IF($G67=0, INDEX(LS_previous!$D$4:$AY$138, MATCH('Staging Table'!$A67, LS_previous!$B$4:$B$138, 0), MATCH(AC$4&amp;AC$5, LS_previous!$D$2:$AY$2&amp;LS_previous!$D$3:$AY$3, 0)),SUM(VLOOKUP($A67, LS_previous!$B$4:$AY$138, LS_previous!U$149, FALSE), VLOOKUP('Staging Table'!$A67, LS_previous!$B$4:$AY$138,LS_previous!AS$149, FALSE))/2)</f>
        <v>3429.5648605675378</v>
      </c>
      <c r="AD67" s="382">
        <f t="array" ref="AD67">IF($G67=0, INDEX(LS_previous!$D$4:$AY$138, MATCH('Staging Table'!$A67, LS_previous!$B$4:$B$138, 0), MATCH(AD$4&amp;AD$5, LS_previous!$D$2:$AY$2&amp;LS_previous!$D$3:$AY$3, 0)),SUM(VLOOKUP($A67, LS_previous!$B$4:$AY$138, LS_previous!V$149, FALSE), VLOOKUP('Staging Table'!$A67, LS_previous!$B$4:$AY$138,LS_previous!AT$149, FALSE))/2)</f>
        <v>4052.470944931636</v>
      </c>
      <c r="AE67" s="382">
        <f t="array" ref="AE67">IF($G67=0, INDEX(LS_previous!$D$4:$AY$138, MATCH('Staging Table'!$A67, LS_previous!$B$4:$B$138, 0), MATCH(AE$4&amp;AE$5, LS_previous!$D$2:$AY$2&amp;LS_previous!$D$3:$AY$3, 0)),SUM(VLOOKUP($A67, LS_previous!$B$4:$AY$138, LS_previous!W$149, FALSE), VLOOKUP('Staging Table'!$A67, LS_previous!$B$4:$AY$138,LS_previous!AU$149, FALSE))/2)</f>
        <v>12763.229137757824</v>
      </c>
      <c r="AF67" s="382">
        <f t="array" ref="AF67">IF($G67=0, INDEX(LS_previous!$D$4:$AY$138, MATCH('Staging Table'!$A67, LS_previous!$B$4:$B$138, 0), MATCH(AF$4&amp;AF$5, LS_previous!$D$2:$AY$2&amp;LS_previous!$D$3:$AY$3, 0)),SUM(VLOOKUP($A67, LS_previous!$B$4:$AY$138, LS_previous!X$149, FALSE), VLOOKUP('Staging Table'!$A67, LS_previous!$B$4:$AY$138,LS_previous!AV$149, FALSE))/2)</f>
        <v>3100.2575841854705</v>
      </c>
      <c r="AG67" s="382">
        <f t="array" ref="AG67">IF($G67=0, INDEX(LS_previous!$D$4:$AY$138, MATCH('Staging Table'!$A67, LS_previous!$B$4:$B$138, 0), MATCH(AG$4&amp;AG$5, LS_previous!$D$2:$AY$2&amp;LS_previous!$D$3:$AY$3, 0)),SUM(VLOOKUP($A67, LS_previous!$B$4:$AY$138, LS_previous!Y$149, FALSE), VLOOKUP('Staging Table'!$A67, LS_previous!$B$4:$AY$138,LS_previous!AW$149, FALSE))/2)</f>
        <v>8771.8788450690627</v>
      </c>
      <c r="AH67" s="382">
        <f t="array" ref="AH67">IF($G67=0, INDEX(LS_previous!$D$4:$AY$138, MATCH('Staging Table'!$A67, LS_previous!$B$4:$B$138, 0), MATCH(AH$4&amp;AH$5, LS_previous!$D$2:$AY$2&amp;LS_previous!$D$3:$AY$3, 0)),SUM(VLOOKUP($A67, LS_previous!$B$4:$AY$138, LS_previous!Z$149, FALSE), VLOOKUP('Staging Table'!$A67, LS_previous!$B$4:$AY$138,LS_previous!AX$149, FALSE))/2)</f>
        <v>1723.0584686793627</v>
      </c>
      <c r="AI67" s="382">
        <f t="array" ref="AI67">IF($G67=0, INDEX(LS_previous!$D$4:$AY$138, MATCH('Staging Table'!$A67, LS_previous!$B$4:$B$138, 0), MATCH(AI$4&amp;AI$5, LS_previous!$D$2:$AY$2&amp;LS_previous!$D$3:$AY$3, 0)),SUM(VLOOKUP($A67, LS_previous!$B$4:$AY$138, LS_previous!AA$149, FALSE), VLOOKUP('Staging Table'!$A67, LS_previous!$B$4:$AY$138,LS_previous!AY$149, FALSE))/2)</f>
        <v>5567.7136835644578</v>
      </c>
      <c r="AJ67" s="384">
        <f t="array" ref="AJ67">INDEX(Demand_previous!$D$4:$AY$138, MATCH('Staging Table'!$A67, Demand_previous!$B$4:$B$138, 0), MATCH(AJ$4&amp;AJ$5,Demand_previous!$D$2:$AY$2&amp;Demand_previous!$D$3:$AY$3, 0))/1000</f>
        <v>0</v>
      </c>
      <c r="AK67" s="384">
        <f t="array" ref="AK67">INDEX(Demand_previous!$D$4:$AY$138, MATCH('Staging Table'!$A67, Demand_previous!$B$4:$B$138, 0), MATCH(AK$4&amp;AK$5,Demand_previous!$D$2:$AY$2&amp;Demand_previous!$D$3:$AY$3, 0))/1000</f>
        <v>0</v>
      </c>
      <c r="AL67" s="384">
        <f t="array" ref="AL67">INDEX(Demand_previous!$D$4:$AY$138, MATCH('Staging Table'!$A67, Demand_previous!$B$4:$B$138, 0), MATCH(AL$4&amp;AL$5,Demand_previous!$D$2:$AY$2&amp;Demand_previous!$D$3:$AY$3, 0))/1000</f>
        <v>0</v>
      </c>
      <c r="AM67" s="384">
        <f t="array" ref="AM67">INDEX(Demand_previous!$D$4:$AY$138, MATCH('Staging Table'!$A67, Demand_previous!$B$4:$B$138, 0), MATCH(AM$4&amp;AM$5,Demand_previous!$D$2:$AY$2&amp;Demand_previous!$D$3:$AY$3, 0))/1000</f>
        <v>0</v>
      </c>
      <c r="AN67" s="384">
        <f t="array" ref="AN67">INDEX(Demand_previous!$D$4:$AY$138, MATCH('Staging Table'!$A67, Demand_previous!$B$4:$B$138, 0), MATCH(AN$4&amp;AN$5,Demand_previous!$D$2:$AY$2&amp;Demand_previous!$D$3:$AY$3, 0))/1000</f>
        <v>0</v>
      </c>
      <c r="AO67" s="384">
        <f t="array" ref="AO67">INDEX(Demand_previous!$D$4:$AY$138, MATCH('Staging Table'!$A67, Demand_previous!$B$4:$B$138, 0), MATCH(AO$4&amp;AO$5,Demand_previous!$D$2:$AY$2&amp;Demand_previous!$D$3:$AY$3, 0))/1000</f>
        <v>0</v>
      </c>
      <c r="AP67" s="384">
        <f t="array" ref="AP67">INDEX(Demand_previous!$D$4:$AY$138, MATCH('Staging Table'!$A67, Demand_previous!$B$4:$B$138, 0), MATCH(AP$4&amp;AP$5,Demand_previous!$D$2:$AY$2&amp;Demand_previous!$D$3:$AY$3, 0))/1000</f>
        <v>0</v>
      </c>
      <c r="AQ67" s="384">
        <f t="array" ref="AQ67">INDEX(Demand_previous!$D$4:$AY$138, MATCH('Staging Table'!$A67, Demand_previous!$B$4:$B$138, 0), MATCH(AQ$4&amp;AQ$5,Demand_previous!$D$2:$AY$2&amp;Demand_previous!$D$3:$AY$3, 0))/1000</f>
        <v>0</v>
      </c>
      <c r="AR67" s="384">
        <f t="array" ref="AR67">INDEX(Demand_previous!$D$4:$AY$138, MATCH('Staging Table'!$A67, Demand_previous!$B$4:$B$138, 0), MATCH(AR$4&amp;AR$5,Demand_previous!$D$2:$AY$2&amp;Demand_previous!$D$3:$AY$3, 0))/1000</f>
        <v>0</v>
      </c>
      <c r="AS67" s="384">
        <f t="array" ref="AS67">INDEX(Demand_previous!$D$4:$AY$138, MATCH('Staging Table'!$A67, Demand_previous!$B$4:$B$138, 0), MATCH(AS$4&amp;AS$5,Demand_previous!$D$2:$AY$2&amp;Demand_previous!$D$3:$AY$3, 0))/1000</f>
        <v>0</v>
      </c>
      <c r="AT67" s="384">
        <f t="array" ref="AT67">INDEX(Demand_previous!$D$4:$AY$138, MATCH('Staging Table'!$A67, Demand_previous!$B$4:$B$138, 0), MATCH(AT$4&amp;AT$5,Demand_previous!$D$2:$AY$2&amp;Demand_previous!$D$3:$AY$3, 0))/1000</f>
        <v>0</v>
      </c>
      <c r="AU67" s="384">
        <f t="array" ref="AU67">INDEX(Demand_previous!$D$4:$AY$138, MATCH('Staging Table'!$A67, Demand_previous!$B$4:$B$138, 0), MATCH(AU$4&amp;AU$5,Demand_previous!$D$2:$AY$2&amp;Demand_previous!$D$3:$AY$3, 0))/1000</f>
        <v>0</v>
      </c>
      <c r="AV67" s="384">
        <f>IF($D67=0,IF(C67=0, MAX(AY67 - (VLOOKUP($A67,TOCA_previous!$A$2:$AI$137,MATCH("RHWM 2016",TOCA_previous!$A$2:$AI$2,0),FALSE)*$F$2*TOCA_previous!C64),0),0), 0)</f>
        <v>0</v>
      </c>
      <c r="AW67" s="427">
        <f>VLOOKUP($A67,REP_previous!$A$1:$D$135,MATCH("FY "&amp;$F$1&amp; " Total Refund",REP_previous!$A$1:$D$1,0),0)</f>
        <v>1121953.7052904489</v>
      </c>
      <c r="AX67" s="398">
        <f>MIN(VLOOKUP($A67,TOCA_previous!$A$2:$AI$137,MATCH("TRL - NLSL - Exisiting Resource "&amp;$F$1,TOCA_previous!$A$2:$AI$2,0),FALSE)*$F$2,(VLOOKUP($A67,TOCA_previous!$A$2:$AI$137,MATCH("RHWM 2016",TOCA_previous!$A$2:$AI$2,0),FALSE)*$F$2))</f>
        <v>1020753.5040000001</v>
      </c>
      <c r="AY67" s="384">
        <f>SUM(L67:AI67)+(F67*RT1SC!$C$3*$F$2)</f>
        <v>542287.64177459897</v>
      </c>
      <c r="AZ67" s="398">
        <f>VLOOKUP($A67,TOCA_previous!$A$2:$AI$137,MATCH("Above RHWM Not Served with LS "&amp;$F$1,TOCA_previous!$A$2:$AI$2,0),FALSE)*$F$2</f>
        <v>26975.664000000001</v>
      </c>
      <c r="BA67" s="206">
        <f t="shared" si="3"/>
        <v>-478465.8622254011</v>
      </c>
      <c r="BB67" s="399">
        <f>(VLOOKUP($A67,TOCA_previous!$A$2:$AI$137,MATCH("RHWM 2016",TOCA_previous!$A$2:$AI$2,0),FALSE)*$F$2) - $AX67</f>
        <v>0</v>
      </c>
      <c r="BC67" s="206">
        <f t="shared" si="4"/>
        <v>0</v>
      </c>
      <c r="BD67" s="400">
        <f t="shared" si="5"/>
        <v>451490.19822540111</v>
      </c>
      <c r="BE67" s="392">
        <f t="shared" si="6"/>
        <v>0</v>
      </c>
      <c r="BF67" s="399">
        <f t="shared" si="7"/>
        <v>0</v>
      </c>
      <c r="BG67" s="206">
        <f>VLOOKUP($A67,TOCA_current!$A$2:$AI$137,MATCH(BG$4,TOCA_current!$A$2:$AI$2,0),FALSE)</f>
        <v>1.66264E-2</v>
      </c>
      <c r="BH67" s="206">
        <f>VLOOKUP($A67,TOCA_current!$A$2:$AI$137,MATCH(BH$4,TOCA_current!$A$2:$AI$2,0),FALSE)</f>
        <v>8.8326999999999989E-3</v>
      </c>
      <c r="BI67" s="391">
        <f t="shared" si="8"/>
        <v>7.7937000000000006E-3</v>
      </c>
      <c r="BJ67" s="206">
        <f>VLOOKUP($A67,TOCA_current!A63:BG198,MATCH(BJ$4,TOCA_current!$A$2:$BG$2,0),FALSE)</f>
        <v>0</v>
      </c>
      <c r="BK67" s="206">
        <f t="shared" si="9"/>
        <v>0</v>
      </c>
      <c r="BL67" s="206">
        <f t="shared" si="10"/>
        <v>0</v>
      </c>
      <c r="BM67" s="381">
        <f>VLOOKUP($A67,IRD!$A$4:$G$139, 7, FALSE)</f>
        <v>94407.247000000003</v>
      </c>
      <c r="BN67" s="382">
        <f t="array" ref="BN67">IF($BI67=0, INDEX(LS_current!$D$4:$AY$139, MATCH('Staging Table'!$A67, LS_current!$B$4:$B$139, 0), MATCH(BN$4&amp;BN$5, LS_current!$D$2:$AY$2&amp;LS_current!$D$3:$AY$3, 0)),SUM(VLOOKUP($A67, LS_current!$B$4:$AY$139, LS_current!D$149, FALSE), VLOOKUP($A67, LS_current!$B$4:$AY$139,LS_current!D$149, FALSE))/2)</f>
        <v>-4472.9405205006879</v>
      </c>
      <c r="BO67" s="382">
        <f t="array" ref="BO67">IF($BI67=0, INDEX(LS_current!$D$4:$AY$139, MATCH('Staging Table'!$A67, LS_current!$B$4:$B$139, 0), MATCH(BO$4&amp;BO$5, LS_current!$D$2:$AY$2&amp;LS_current!$D$3:$AY$3, 0)),SUM(VLOOKUP($A67, LS_current!$B$4:$AY$139, LS_current!E$149, FALSE), VLOOKUP($A67, LS_current!$B$4:$AY$139,LS_current!E$149, FALSE))/2)</f>
        <v>3233.8432166429557</v>
      </c>
      <c r="BP67" s="382">
        <f t="array" ref="BP67">IF($BI67=0, INDEX(LS_current!$D$4:$AY$139, MATCH('Staging Table'!$A67, LS_current!$B$4:$B$139, 0), MATCH(BP$4&amp;BP$5, LS_current!$D$2:$AY$2&amp;LS_current!$D$3:$AY$3, 0)),SUM(VLOOKUP($A67, LS_current!$B$4:$AY$139, LS_current!F$149, FALSE), VLOOKUP($A67, LS_current!$B$4:$AY$139,LS_current!F$149, FALSE))/2)</f>
        <v>-11452.837448612387</v>
      </c>
      <c r="BQ67" s="382">
        <f t="array" ref="BQ67">IF($BI67=0, INDEX(LS_current!$D$4:$AY$139, MATCH('Staging Table'!$A67, LS_current!$B$4:$B$139, 0), MATCH(BQ$4&amp;BQ$5, LS_current!$D$2:$AY$2&amp;LS_current!$D$3:$AY$3, 0)),SUM(VLOOKUP($A67, LS_current!$B$4:$AY$139, LS_current!G$149, FALSE), VLOOKUP($A67, LS_current!$B$4:$AY$139,LS_current!G$149, FALSE))/2)</f>
        <v>-2241.0751047464728</v>
      </c>
      <c r="BR67" s="382">
        <f t="array" ref="BR67">IF($BI67=0, INDEX(LS_current!$D$4:$AY$139, MATCH('Staging Table'!$A67, LS_current!$B$4:$B$139, 0), MATCH(BR$4&amp;BR$5, LS_current!$D$2:$AY$2&amp;LS_current!$D$3:$AY$3, 0)),SUM(VLOOKUP($A67, LS_current!$B$4:$AY$139, LS_current!H$149, FALSE), VLOOKUP($A67, LS_current!$B$4:$AY$139,LS_current!H$149, FALSE))/2)</f>
        <v>-7903.3694803569633</v>
      </c>
      <c r="BS67" s="382">
        <f t="array" ref="BS67">IF($BI67=0, INDEX(LS_current!$D$4:$AY$139, MATCH('Staging Table'!$A67, LS_current!$B$4:$B$139, 0), MATCH(BS$4&amp;BS$5, LS_current!$D$2:$AY$2&amp;LS_current!$D$3:$AY$3, 0)),SUM(VLOOKUP($A67, LS_current!$B$4:$AY$139, LS_current!I$149, FALSE), VLOOKUP($A67, LS_current!$B$4:$AY$139,LS_current!I$149, FALSE))/2)</f>
        <v>1228.1385154554155</v>
      </c>
      <c r="BT67" s="382">
        <f t="array" ref="BT67">IF($BI67=0, INDEX(LS_current!$D$4:$AY$139, MATCH('Staging Table'!$A67, LS_current!$B$4:$B$139, 0), MATCH(BT$4&amp;BT$5, LS_current!$D$2:$AY$2&amp;LS_current!$D$3:$AY$3, 0)),SUM(VLOOKUP($A67, LS_current!$B$4:$AY$139, LS_current!J$149, FALSE), VLOOKUP($A67, LS_current!$B$4:$AY$139,LS_current!J$149, FALSE))/2)</f>
        <v>-70.805040265826392</v>
      </c>
      <c r="BU67" s="382">
        <f t="array" ref="BU67">IF($BI67=0, INDEX(LS_current!$D$4:$AY$139, MATCH('Staging Table'!$A67, LS_current!$B$4:$B$139, 0), MATCH(BU$4&amp;BU$5, LS_current!$D$2:$AY$2&amp;LS_current!$D$3:$AY$3, 0)),SUM(VLOOKUP($A67, LS_current!$B$4:$AY$139, LS_current!K$149, FALSE), VLOOKUP($A67, LS_current!$B$4:$AY$139,LS_current!K$149, FALSE))/2)</f>
        <v>4478.5084151621013</v>
      </c>
      <c r="BV67" s="382">
        <f t="array" ref="BV67">IF($BI67=0, INDEX(LS_current!$D$4:$AY$139, MATCH('Staging Table'!$A67, LS_current!$B$4:$B$139, 0), MATCH(BV$4&amp;BV$5, LS_current!$D$2:$AY$2&amp;LS_current!$D$3:$AY$3, 0)),SUM(VLOOKUP($A67, LS_current!$B$4:$AY$139, LS_current!L$149, FALSE), VLOOKUP($A67, LS_current!$B$4:$AY$139,LS_current!L$149, FALSE))/2)</f>
        <v>-1255.6160363011477</v>
      </c>
      <c r="BW67" s="382">
        <f t="array" ref="BW67">IF($BI67=0, INDEX(LS_current!$D$4:$AY$139, MATCH('Staging Table'!$A67, LS_current!$B$4:$B$139, 0), MATCH(BW$4&amp;BW$5, LS_current!$D$2:$AY$2&amp;LS_current!$D$3:$AY$3, 0)),SUM(VLOOKUP($A67, LS_current!$B$4:$AY$139, LS_current!M$149, FALSE), VLOOKUP($A67, LS_current!$B$4:$AY$139,LS_current!M$149, FALSE))/2)</f>
        <v>2793.1939666119542</v>
      </c>
      <c r="BX67" s="382">
        <f t="array" ref="BX67">IF($BI67=0, INDEX(LS_current!$D$4:$AY$139, MATCH('Staging Table'!$A67, LS_current!$B$4:$B$139, 0), MATCH(BX$4&amp;BX$5, LS_current!$D$2:$AY$2&amp;LS_current!$D$3:$AY$3, 0)),SUM(VLOOKUP($A67, LS_current!$B$4:$AY$139, LS_current!N$149, FALSE), VLOOKUP($A67, LS_current!$B$4:$AY$139,LS_current!N$149, FALSE))/2)</f>
        <v>-5352.8878032554312</v>
      </c>
      <c r="BY67" s="382">
        <f t="array" ref="BY67">IF($BI67=0, INDEX(LS_current!$D$4:$AY$139, MATCH('Staging Table'!$A67, LS_current!$B$4:$B$139, 0), MATCH(BY$4&amp;BY$5, LS_current!$D$2:$AY$2&amp;LS_current!$D$3:$AY$3, 0)),SUM(VLOOKUP($A67, LS_current!$B$4:$AY$139, LS_current!O$149, FALSE), VLOOKUP($A67, LS_current!$B$4:$AY$139,LS_current!O$149, FALSE))/2)</f>
        <v>-178.97326547751436</v>
      </c>
      <c r="BZ67" s="382">
        <f t="array" ref="BZ67">IF($BI67=0, INDEX(LS_current!$D$4:$AY$139, MATCH('Staging Table'!$A67, LS_current!$B$4:$B$139, 0), MATCH(BZ$4&amp;BZ$5, LS_current!$D$2:$AY$2&amp;LS_current!$D$3:$AY$3, 0)),SUM(VLOOKUP($A67, LS_current!$B$4:$AY$139, LS_current!P$149, FALSE), VLOOKUP($A67, LS_current!$B$4:$AY$139,LS_current!P$149, FALSE))/2)</f>
        <v>-5523.15218858757</v>
      </c>
      <c r="CA67" s="382">
        <f t="array" ref="CA67">IF($BI67=0, INDEX(LS_current!$D$4:$AY$139, MATCH('Staging Table'!$A67, LS_current!$B$4:$B$139, 0), MATCH(CA$4&amp;CA$5, LS_current!$D$2:$AY$2&amp;LS_current!$D$3:$AY$3, 0)),SUM(VLOOKUP($A67, LS_current!$B$4:$AY$139, LS_current!Q$149, FALSE), VLOOKUP($A67, LS_current!$B$4:$AY$139,LS_current!Q$149, FALSE))/2)</f>
        <v>1933.8063220153672</v>
      </c>
      <c r="CB67" s="382">
        <f t="array" ref="CB67">IF($BI67=0, INDEX(LS_current!$D$4:$AY$139, MATCH('Staging Table'!$A67, LS_current!$B$4:$B$139, 0), MATCH(CB$4&amp;CB$5, LS_current!$D$2:$AY$2&amp;LS_current!$D$3:$AY$3, 0)),SUM(VLOOKUP($A67, LS_current!$B$4:$AY$139, LS_current!R$149, FALSE), VLOOKUP($A67, LS_current!$B$4:$AY$139,LS_current!R$149, FALSE))/2)</f>
        <v>-14404.209965907758</v>
      </c>
      <c r="CC67" s="382">
        <f t="array" ref="CC67">IF($BI67=0, INDEX(LS_current!$D$4:$AY$139, MATCH('Staging Table'!$A67, LS_current!$B$4:$B$139, 0), MATCH(CC$4&amp;CC$5, LS_current!$D$2:$AY$2&amp;LS_current!$D$3:$AY$3, 0)),SUM(VLOOKUP($A67, LS_current!$B$4:$AY$139, LS_current!S$149, FALSE), VLOOKUP($A67, LS_current!$B$4:$AY$139,LS_current!S$149, FALSE))/2)</f>
        <v>-3082.9026932229572</v>
      </c>
      <c r="CD67" s="382">
        <f t="array" ref="CD67">IF($BI67=0, INDEX(LS_current!$D$4:$AY$139, MATCH('Staging Table'!$A67, LS_current!$B$4:$B$139, 0), MATCH(CD$4&amp;CD$5, LS_current!$D$2:$AY$2&amp;LS_current!$D$3:$AY$3, 0)),SUM(VLOOKUP($A67, LS_current!$B$4:$AY$139, LS_current!T$149, FALSE), VLOOKUP($A67, LS_current!$B$4:$AY$139,LS_current!T$149, FALSE))/2)</f>
        <v>-2658.3508110616094</v>
      </c>
      <c r="CE67" s="382">
        <f t="array" ref="CE67">IF($BI67=0, INDEX(LS_current!$D$4:$AY$139, MATCH('Staging Table'!$A67, LS_current!$B$4:$B$139, 0), MATCH(CE$4&amp;CE$5, LS_current!$D$2:$AY$2&amp;LS_current!$D$3:$AY$3, 0)),SUM(VLOOKUP($A67, LS_current!$B$4:$AY$139, LS_current!U$149, FALSE), VLOOKUP($A67, LS_current!$B$4:$AY$139,LS_current!U$149, FALSE))/2)</f>
        <v>4229.6863059719271</v>
      </c>
      <c r="CF67" s="382">
        <f t="array" ref="CF67">IF($BI67=0, INDEX(LS_current!$D$4:$AY$139, MATCH('Staging Table'!$A67, LS_current!$B$4:$B$139, 0), MATCH(CF$4&amp;CF$5, LS_current!$D$2:$AY$2&amp;LS_current!$D$3:$AY$3, 0)),SUM(VLOOKUP($A67, LS_current!$B$4:$AY$139, LS_current!V$149, FALSE), VLOOKUP($A67, LS_current!$B$4:$AY$139,LS_current!V$149, FALSE))/2)</f>
        <v>5208.7599636066298</v>
      </c>
      <c r="CG67" s="382">
        <f t="array" ref="CG67">IF($BI67=0, INDEX(LS_current!$D$4:$AY$139, MATCH('Staging Table'!$A67, LS_current!$B$4:$B$139, 0), MATCH(CG$4&amp;CG$5, LS_current!$D$2:$AY$2&amp;LS_current!$D$3:$AY$3, 0)),SUM(VLOOKUP($A67, LS_current!$B$4:$AY$139, LS_current!W$149, FALSE), VLOOKUP($A67, LS_current!$B$4:$AY$139,LS_current!W$149, FALSE))/2)</f>
        <v>13332.235441822917</v>
      </c>
      <c r="CH67" s="382">
        <f t="array" ref="CH67">IF($BI67=0, INDEX(LS_current!$D$4:$AY$139, MATCH('Staging Table'!$A67, LS_current!$B$4:$B$139, 0), MATCH(CH$4&amp;CH$5, LS_current!$D$2:$AY$2&amp;LS_current!$D$3:$AY$3, 0)),SUM(VLOOKUP($A67, LS_current!$B$4:$AY$139, LS_current!X$149, FALSE), VLOOKUP($A67, LS_current!$B$4:$AY$139,LS_current!X$149, FALSE))/2)</f>
        <v>2900.5686656047219</v>
      </c>
      <c r="CI67" s="382">
        <f t="array" ref="CI67">IF($BI67=0, INDEX(LS_current!$D$4:$AY$139, MATCH('Staging Table'!$A67, LS_current!$B$4:$B$139, 0), MATCH(CI$4&amp;CI$5, LS_current!$D$2:$AY$2&amp;LS_current!$D$3:$AY$3, 0)),SUM(VLOOKUP($A67, LS_current!$B$4:$AY$139, LS_current!Y$149, FALSE), VLOOKUP($A67, LS_current!$B$4:$AY$139,LS_current!Y$149, FALSE))/2)</f>
        <v>9001.5434500813099</v>
      </c>
      <c r="CJ67" s="382">
        <f t="array" ref="CJ67">IF($BI67=0, INDEX(LS_current!$D$4:$AY$139, MATCH('Staging Table'!$A67, LS_current!$B$4:$B$139, 0), MATCH(CJ$4&amp;CJ$5, LS_current!$D$2:$AY$2&amp;LS_current!$D$3:$AY$3, 0)),SUM(VLOOKUP($A67, LS_current!$B$4:$AY$139, LS_current!Z$149, FALSE), VLOOKUP($A67, LS_current!$B$4:$AY$139,LS_current!Z$149, FALSE))/2)</f>
        <v>-2092.096291870359</v>
      </c>
      <c r="CK67" s="382">
        <f t="array" ref="CK67">IF($BI67=0, INDEX(LS_current!$D$4:$AY$139, MATCH('Staging Table'!$A67, LS_current!$B$4:$B$139, 0), MATCH(CK$4&amp;CK$5, LS_current!$D$2:$AY$2&amp;LS_current!$D$3:$AY$3, 0)),SUM(VLOOKUP($A67, LS_current!$B$4:$AY$139, LS_current!AA$149, FALSE), VLOOKUP($A67, LS_current!$B$4:$AY$139,LS_current!AA$149, FALSE))/2)</f>
        <v>6334.2867523241657</v>
      </c>
      <c r="CL67" s="384">
        <f t="array" ref="CL67">INDEX(Demand_current!$D$4:$AY$138, MATCH($A67, Demand_current!$B$4:$B$138, 0), MATCH(CL$4&amp;CL$5,Demand_current!$D$2:$AY$2&amp;Demand_current!$D$3:$AY$3, 0))/1000</f>
        <v>0</v>
      </c>
      <c r="CM67" s="384">
        <f t="array" ref="CM67">INDEX(Demand_current!$D$4:$AY$138, MATCH($A67, Demand_current!$B$4:$B$138, 0), MATCH(CM$4&amp;CM$5,Demand_current!$D$2:$AY$2&amp;Demand_current!$D$3:$AY$3, 0))/1000</f>
        <v>0</v>
      </c>
      <c r="CN67" s="384">
        <f t="array" ref="CN67">INDEX(Demand_current!$D$4:$AY$138, MATCH($A67, Demand_current!$B$4:$B$138, 0), MATCH(CN$4&amp;CN$5,Demand_current!$D$2:$AY$2&amp;Demand_current!$D$3:$AY$3, 0))/1000</f>
        <v>0</v>
      </c>
      <c r="CO67" s="384">
        <f t="array" ref="CO67">INDEX(Demand_current!$D$4:$AY$138, MATCH($A67, Demand_current!$B$4:$B$138, 0), MATCH(CO$4&amp;CO$5,Demand_current!$D$2:$AY$2&amp;Demand_current!$D$3:$AY$3, 0))/1000</f>
        <v>0</v>
      </c>
      <c r="CP67" s="384">
        <f t="array" ref="CP67">INDEX(Demand_current!$D$4:$AY$138, MATCH($A67, Demand_current!$B$4:$B$138, 0), MATCH(CP$4&amp;CP$5,Demand_current!$D$2:$AY$2&amp;Demand_current!$D$3:$AY$3, 0))/1000</f>
        <v>0</v>
      </c>
      <c r="CQ67" s="384">
        <f t="array" ref="CQ67">INDEX(Demand_current!$D$4:$AY$138, MATCH($A67, Demand_current!$B$4:$B$138, 0), MATCH(CQ$4&amp;CQ$5,Demand_current!$D$2:$AY$2&amp;Demand_current!$D$3:$AY$3, 0))/1000</f>
        <v>0</v>
      </c>
      <c r="CR67" s="384">
        <f t="array" ref="CR67">INDEX(Demand_current!$D$4:$AY$138, MATCH($A67, Demand_current!$B$4:$B$138, 0), MATCH(CR$4&amp;CR$5,Demand_current!$D$2:$AY$2&amp;Demand_current!$D$3:$AY$3, 0))/1000</f>
        <v>0</v>
      </c>
      <c r="CS67" s="384">
        <f t="array" ref="CS67">INDEX(Demand_current!$D$4:$AY$138, MATCH($A67, Demand_current!$B$4:$B$138, 0), MATCH(CS$4&amp;CS$5,Demand_current!$D$2:$AY$2&amp;Demand_current!$D$3:$AY$3, 0))/1000</f>
        <v>0</v>
      </c>
      <c r="CT67" s="384">
        <f t="array" ref="CT67">INDEX(Demand_current!$D$4:$AY$138, MATCH($A67, Demand_current!$B$4:$B$138, 0), MATCH(CT$4&amp;CT$5,Demand_current!$D$2:$AY$2&amp;Demand_current!$D$3:$AY$3, 0))/1000</f>
        <v>0</v>
      </c>
      <c r="CU67" s="384">
        <f t="array" ref="CU67">INDEX(Demand_current!$D$4:$AY$138, MATCH($A67, Demand_current!$B$4:$B$138, 0), MATCH(CU$4&amp;CU$5,Demand_current!$D$2:$AY$2&amp;Demand_current!$D$3:$AY$3, 0))/1000</f>
        <v>0</v>
      </c>
      <c r="CV67" s="384">
        <f t="array" ref="CV67">INDEX(Demand_current!$D$4:$AY$138, MATCH($A67, Demand_current!$B$4:$B$138, 0), MATCH(CV$4&amp;CV$5,Demand_current!$D$2:$AY$2&amp;Demand_current!$D$3:$AY$3, 0))/1000</f>
        <v>0</v>
      </c>
      <c r="CW67" s="384">
        <f t="array" ref="CW67">INDEX(Demand_current!$D$4:$AY$138, MATCH($A67, Demand_current!$B$4:$B$138, 0), MATCH(CW$4&amp;CW$5,Demand_current!$D$2:$AY$2&amp;Demand_current!$D$3:$AY$3, 0))/1000</f>
        <v>0</v>
      </c>
      <c r="CX67" s="384">
        <f>IF(D67=0,IF(C67=0,MAX(0,DA67 - (VLOOKUP($A67,TOCA_current!$A$2:$AI$137,MATCH("RHWM 2018",TOCA_current!$A$2:$AI$2,0),FALSE)*$BH$2)), 0),0)</f>
        <v>0</v>
      </c>
      <c r="CY67" s="427">
        <f>VLOOKUP($A67,REP_current!$A$1:$D$135,MATCH("FY "&amp;$BH$1&amp; " Total Refund",REP_current!$A$1:$D$1,0),0)</f>
        <v>1131478.6429234776</v>
      </c>
      <c r="CZ67" s="432">
        <f>MIN(VLOOKUP($A67,TOCA_current!$A$2:$AI$137,MATCH("TRL - NLSL - Existing Resource "&amp;$BH$1,TOCA_current!$A$2:$AI$2,0),FALSE)*$BH$2, VLOOKUP($A67,TOCA_current!$A$2:$AI$137,MATCH("RHWM 2018",TOCA_current!$A$2:$AI$2,0),FALSE)*$BH$2)</f>
        <v>1011499.68</v>
      </c>
      <c r="DA67" s="397">
        <f>SUM(BN67:CK67)+(BH67*RT1SC!$C$4*$BH$2)</f>
        <v>531339.00783952465</v>
      </c>
      <c r="DB67" s="432">
        <f>VLOOKUP($A67,TOCA_current!$A$2:$AI$137,MATCH("Above RHWM Not Served with LS "&amp;$BH$1,TOCA_current!$A$2:$AI$2,0),FALSE)*$BH$2</f>
        <v>93933.48000000001</v>
      </c>
      <c r="DC67" s="401">
        <f t="shared" si="11"/>
        <v>-480160.6721604754</v>
      </c>
      <c r="DD67" s="397">
        <f>(VLOOKUP($A67,TOCA_current!$A$2:$AI$137,MATCH("RHWM 2018",TOCA_current!$A$2:$AI$2,0),FALSE)*$BH$2) - $CZ67</f>
        <v>0</v>
      </c>
      <c r="DE67" s="397">
        <f t="shared" si="12"/>
        <v>0</v>
      </c>
      <c r="DF67" s="397">
        <f t="shared" si="13"/>
        <v>386227.19216047542</v>
      </c>
      <c r="DG67" s="397">
        <f t="shared" si="14"/>
        <v>0</v>
      </c>
      <c r="DH67" s="397">
        <f t="shared" si="15"/>
        <v>0</v>
      </c>
    </row>
    <row r="68" spans="1:112">
      <c r="A68" s="274">
        <v>10186</v>
      </c>
      <c r="B68" s="275" t="s">
        <v>69</v>
      </c>
      <c r="C68" s="397">
        <v>0</v>
      </c>
      <c r="D68" s="397">
        <v>0</v>
      </c>
      <c r="E68" s="205">
        <f>VLOOKUP($A68,TOCA_previous!$A$2:$AI$137,MATCH(E$4,TOCA_previous!$A$2:$AI$2,0),FALSE)</f>
        <v>3.0228999999999998E-3</v>
      </c>
      <c r="F68" s="206">
        <f>VLOOKUP($A68,TOCA_previous!$A$2:$AI$137,MATCH(F$4,TOCA_previous!$A$2:$AI$2,0),FALSE)</f>
        <v>3.0228999999999998E-3</v>
      </c>
      <c r="G68" s="206">
        <f t="shared" si="0"/>
        <v>0</v>
      </c>
      <c r="H68" s="206">
        <f>VLOOKUP($A68,TOCA_previous!$A$2:$AI$137,MATCH(H$4,TOCA_previous!$A$2:$AI$2,0),FALSE)</f>
        <v>7.1730000000000002E-2</v>
      </c>
      <c r="I68" s="206">
        <f t="shared" si="1"/>
        <v>0</v>
      </c>
      <c r="J68" s="206">
        <f t="shared" si="2"/>
        <v>0</v>
      </c>
      <c r="K68" s="381">
        <f>VLOOKUP(A68, IRD!$A$5:$C$139, 3, FALSE)</f>
        <v>0</v>
      </c>
      <c r="L68" s="382">
        <f t="array" ref="L68">IF($G68=0, INDEX(LS_previous!$D$4:$AY$138, MATCH('Staging Table'!$A68, LS_previous!$B$4:$B$138, 0), MATCH(L$4&amp;L$5, LS_previous!$D$2:$AY$2&amp;LS_previous!$D$3:$AY$3, 0)),SUM(VLOOKUP($A68, LS_previous!$B$4:$AY$138, LS_previous!D$149, FALSE), VLOOKUP('Staging Table'!$A68, LS_previous!$B$4:$AY$138,LS_previous!AB$149, FALSE))/2)</f>
        <v>-1700.7140297379465</v>
      </c>
      <c r="M68" s="382">
        <f t="array" ref="M68">IF($G68=0, INDEX(LS_previous!$D$4:$AY$138, MATCH('Staging Table'!$A68, LS_previous!$B$4:$B$138, 0), MATCH(M$4&amp;M$5, LS_previous!$D$2:$AY$2&amp;LS_previous!$D$3:$AY$3, 0)),SUM(VLOOKUP($A68, LS_previous!$B$4:$AY$138, LS_previous!E$149, FALSE), VLOOKUP('Staging Table'!$A68, LS_previous!$B$4:$AY$138,LS_previous!AC$149, FALSE))/2)</f>
        <v>-413.3913619649511</v>
      </c>
      <c r="N68" s="382">
        <f t="array" ref="N68">IF($G68=0, INDEX(LS_previous!$D$4:$AY$138, MATCH('Staging Table'!$A68, LS_previous!$B$4:$B$138, 0), MATCH(N$4&amp;N$5, LS_previous!$D$2:$AY$2&amp;LS_previous!$D$3:$AY$3, 0)),SUM(VLOOKUP($A68, LS_previous!$B$4:$AY$138, LS_previous!F$149, FALSE), VLOOKUP('Staging Table'!$A68, LS_previous!$B$4:$AY$138,LS_previous!AD$149, FALSE))/2)</f>
        <v>-2676.2424797268795</v>
      </c>
      <c r="O68" s="382">
        <f t="array" ref="O68">IF($G68=0, INDEX(LS_previous!$D$4:$AY$138, MATCH('Staging Table'!$A68, LS_previous!$B$4:$B$138, 0), MATCH(O$4&amp;O$5, LS_previous!$D$2:$AY$2&amp;LS_previous!$D$3:$AY$3, 0)),SUM(VLOOKUP($A68, LS_previous!$B$4:$AY$138, LS_previous!G$149, FALSE), VLOOKUP('Staging Table'!$A68, LS_previous!$B$4:$AY$138,LS_previous!AE$149, FALSE))/2)</f>
        <v>-509.65906682795685</v>
      </c>
      <c r="P68" s="382">
        <f t="array" ref="P68">IF($G68=0, INDEX(LS_previous!$D$4:$AY$138, MATCH('Staging Table'!$A68, LS_previous!$B$4:$B$138, 0), MATCH(P$4&amp;P$5, LS_previous!$D$2:$AY$2&amp;LS_previous!$D$3:$AY$3, 0)),SUM(VLOOKUP($A68, LS_previous!$B$4:$AY$138, LS_previous!H$149, FALSE), VLOOKUP('Staging Table'!$A68, LS_previous!$B$4:$AY$138,LS_previous!AF$149, FALSE))/2)</f>
        <v>-1243.8664185375983</v>
      </c>
      <c r="Q68" s="382">
        <f t="array" ref="Q68">IF($G68=0, INDEX(LS_previous!$D$4:$AY$138, MATCH('Staging Table'!$A68, LS_previous!$B$4:$B$138, 0), MATCH(Q$4&amp;Q$5, LS_previous!$D$2:$AY$2&amp;LS_previous!$D$3:$AY$3, 0)),SUM(VLOOKUP($A68, LS_previous!$B$4:$AY$138, LS_previous!I$149, FALSE), VLOOKUP('Staging Table'!$A68, LS_previous!$B$4:$AY$138,LS_previous!AG$149, FALSE))/2)</f>
        <v>225.66503972647206</v>
      </c>
      <c r="R68" s="382">
        <f t="array" ref="R68">IF($G68=0, INDEX(LS_previous!$D$4:$AY$138, MATCH('Staging Table'!$A68, LS_previous!$B$4:$B$138, 0), MATCH(R$4&amp;R$5, LS_previous!$D$2:$AY$2&amp;LS_previous!$D$3:$AY$3, 0)),SUM(VLOOKUP($A68, LS_previous!$B$4:$AY$138, LS_previous!J$149, FALSE), VLOOKUP('Staging Table'!$A68, LS_previous!$B$4:$AY$138,LS_previous!AH$149, FALSE))/2)</f>
        <v>135.24997634141982</v>
      </c>
      <c r="S68" s="382">
        <f t="array" ref="S68">IF($G68=0, INDEX(LS_previous!$D$4:$AY$138, MATCH('Staging Table'!$A68, LS_previous!$B$4:$B$138, 0), MATCH(S$4&amp;S$5, LS_previous!$D$2:$AY$2&amp;LS_previous!$D$3:$AY$3, 0)),SUM(VLOOKUP($A68, LS_previous!$B$4:$AY$138, LS_previous!K$149, FALSE), VLOOKUP('Staging Table'!$A68, LS_previous!$B$4:$AY$138,LS_previous!AI$149, FALSE))/2)</f>
        <v>1290.8944822111453</v>
      </c>
      <c r="T68" s="382">
        <f t="array" ref="T68">IF($G68=0, INDEX(LS_previous!$D$4:$AY$138, MATCH('Staging Table'!$A68, LS_previous!$B$4:$B$138, 0), MATCH(T$4&amp;T$5, LS_previous!$D$2:$AY$2&amp;LS_previous!$D$3:$AY$3, 0)),SUM(VLOOKUP($A68, LS_previous!$B$4:$AY$138, LS_previous!L$149, FALSE), VLOOKUP('Staging Table'!$A68, LS_previous!$B$4:$AY$138,LS_previous!AJ$149, FALSE))/2)</f>
        <v>332.53209931153651</v>
      </c>
      <c r="U68" s="382">
        <f t="array" ref="U68">IF($G68=0, INDEX(LS_previous!$D$4:$AY$138, MATCH('Staging Table'!$A68, LS_previous!$B$4:$B$138, 0), MATCH(U$4&amp;U$5, LS_previous!$D$2:$AY$2&amp;LS_previous!$D$3:$AY$3, 0)),SUM(VLOOKUP($A68, LS_previous!$B$4:$AY$138, LS_previous!M$149, FALSE), VLOOKUP('Staging Table'!$A68, LS_previous!$B$4:$AY$138,LS_previous!AK$149, FALSE))/2)</f>
        <v>1059.8399856891192</v>
      </c>
      <c r="V68" s="382">
        <f t="array" ref="V68">IF($G68=0, INDEX(LS_previous!$D$4:$AY$138, MATCH('Staging Table'!$A68, LS_previous!$B$4:$B$138, 0), MATCH(V$4&amp;V$5, LS_previous!$D$2:$AY$2&amp;LS_previous!$D$3:$AY$3, 0)),SUM(VLOOKUP($A68, LS_previous!$B$4:$AY$138, LS_previous!N$149, FALSE), VLOOKUP('Staging Table'!$A68, LS_previous!$B$4:$AY$138,LS_previous!AL$149, FALSE))/2)</f>
        <v>-582.70139962901521</v>
      </c>
      <c r="W68" s="382">
        <f t="array" ref="W68">IF($G68=0, INDEX(LS_previous!$D$4:$AY$138, MATCH('Staging Table'!$A68, LS_previous!$B$4:$B$138, 0), MATCH(W$4&amp;W$5, LS_previous!$D$2:$AY$2&amp;LS_previous!$D$3:$AY$3, 0)),SUM(VLOOKUP($A68, LS_previous!$B$4:$AY$138, LS_previous!O$149, FALSE), VLOOKUP('Staging Table'!$A68, LS_previous!$B$4:$AY$138,LS_previous!AM$149, FALSE))/2)</f>
        <v>361.46012527615858</v>
      </c>
      <c r="X68" s="382">
        <f t="array" ref="X68">IF($G68=0, INDEX(LS_previous!$D$4:$AY$138, MATCH('Staging Table'!$A68, LS_previous!$B$4:$B$138, 0), MATCH(X$4&amp;X$5, LS_previous!$D$2:$AY$2&amp;LS_previous!$D$3:$AY$3, 0)),SUM(VLOOKUP($A68, LS_previous!$B$4:$AY$138, LS_previous!P$149, FALSE), VLOOKUP('Staging Table'!$A68, LS_previous!$B$4:$AY$138,LS_previous!AN$149, FALSE))/2)</f>
        <v>-452.8552322075393</v>
      </c>
      <c r="Y68" s="382">
        <f t="array" ref="Y68">IF($G68=0, INDEX(LS_previous!$D$4:$AY$138, MATCH('Staging Table'!$A68, LS_previous!$B$4:$B$138, 0), MATCH(Y$4&amp;Y$5, LS_previous!$D$2:$AY$2&amp;LS_previous!$D$3:$AY$3, 0)),SUM(VLOOKUP($A68, LS_previous!$B$4:$AY$138, LS_previous!Q$149, FALSE), VLOOKUP('Staging Table'!$A68, LS_previous!$B$4:$AY$138,LS_previous!AO$149, FALSE))/2)</f>
        <v>159.52797961240049</v>
      </c>
      <c r="Z68" s="382">
        <f t="array" ref="Z68">IF($G68=0, INDEX(LS_previous!$D$4:$AY$138, MATCH('Staging Table'!$A68, LS_previous!$B$4:$B$138, 0), MATCH(Z$4&amp;Z$5, LS_previous!$D$2:$AY$2&amp;LS_previous!$D$3:$AY$3, 0)),SUM(VLOOKUP($A68, LS_previous!$B$4:$AY$138, LS_previous!R$149, FALSE), VLOOKUP('Staging Table'!$A68, LS_previous!$B$4:$AY$138,LS_previous!AP$149, FALSE))/2)</f>
        <v>-5998.359513565214</v>
      </c>
      <c r="AA68" s="382">
        <f t="array" ref="AA68">IF($G68=0, INDEX(LS_previous!$D$4:$AY$138, MATCH('Staging Table'!$A68, LS_previous!$B$4:$B$138, 0), MATCH(AA$4&amp;AA$5, LS_previous!$D$2:$AY$2&amp;LS_previous!$D$3:$AY$3, 0)),SUM(VLOOKUP($A68, LS_previous!$B$4:$AY$138, LS_previous!S$149, FALSE), VLOOKUP('Staging Table'!$A68, LS_previous!$B$4:$AY$138,LS_previous!AQ$149, FALSE))/2)</f>
        <v>-2131.4967100386029</v>
      </c>
      <c r="AB68" s="382">
        <f t="array" ref="AB68">IF($G68=0, INDEX(LS_previous!$D$4:$AY$138, MATCH('Staging Table'!$A68, LS_previous!$B$4:$B$138, 0), MATCH(AB$4&amp;AB$5, LS_previous!$D$2:$AY$2&amp;LS_previous!$D$3:$AY$3, 0)),SUM(VLOOKUP($A68, LS_previous!$B$4:$AY$138, LS_previous!T$149, FALSE), VLOOKUP('Staging Table'!$A68, LS_previous!$B$4:$AY$138,LS_previous!AR$149, FALSE))/2)</f>
        <v>-3544.9627591548633</v>
      </c>
      <c r="AC68" s="382">
        <f t="array" ref="AC68">IF($G68=0, INDEX(LS_previous!$D$4:$AY$138, MATCH('Staging Table'!$A68, LS_previous!$B$4:$B$138, 0), MATCH(AC$4&amp;AC$5, LS_previous!$D$2:$AY$2&amp;LS_previous!$D$3:$AY$3, 0)),SUM(VLOOKUP($A68, LS_previous!$B$4:$AY$138, LS_previous!U$149, FALSE), VLOOKUP('Staging Table'!$A68, LS_previous!$B$4:$AY$138,LS_previous!AS$149, FALSE))/2)</f>
        <v>-1468.0727459239415</v>
      </c>
      <c r="AD68" s="382">
        <f t="array" ref="AD68">IF($G68=0, INDEX(LS_previous!$D$4:$AY$138, MATCH('Staging Table'!$A68, LS_previous!$B$4:$B$138, 0), MATCH(AD$4&amp;AD$5, LS_previous!$D$2:$AY$2&amp;LS_previous!$D$3:$AY$3, 0)),SUM(VLOOKUP($A68, LS_previous!$B$4:$AY$138, LS_previous!V$149, FALSE), VLOOKUP('Staging Table'!$A68, LS_previous!$B$4:$AY$138,LS_previous!AT$149, FALSE))/2)</f>
        <v>-2062.8121241634981</v>
      </c>
      <c r="AE68" s="382">
        <f t="array" ref="AE68">IF($G68=0, INDEX(LS_previous!$D$4:$AY$138, MATCH('Staging Table'!$A68, LS_previous!$B$4:$B$138, 0), MATCH(AE$4&amp;AE$5, LS_previous!$D$2:$AY$2&amp;LS_previous!$D$3:$AY$3, 0)),SUM(VLOOKUP($A68, LS_previous!$B$4:$AY$138, LS_previous!W$149, FALSE), VLOOKUP('Staging Table'!$A68, LS_previous!$B$4:$AY$138,LS_previous!AU$149, FALSE))/2)</f>
        <v>-156.53846586768123</v>
      </c>
      <c r="AF68" s="382">
        <f t="array" ref="AF68">IF($G68=0, INDEX(LS_previous!$D$4:$AY$138, MATCH('Staging Table'!$A68, LS_previous!$B$4:$B$138, 0), MATCH(AF$4&amp;AF$5, LS_previous!$D$2:$AY$2&amp;LS_previous!$D$3:$AY$3, 0)),SUM(VLOOKUP($A68, LS_previous!$B$4:$AY$138, LS_previous!X$149, FALSE), VLOOKUP('Staging Table'!$A68, LS_previous!$B$4:$AY$138,LS_previous!AV$149, FALSE))/2)</f>
        <v>-3034.0261262132899</v>
      </c>
      <c r="AG68" s="382">
        <f t="array" ref="AG68">IF($G68=0, INDEX(LS_previous!$D$4:$AY$138, MATCH('Staging Table'!$A68, LS_previous!$B$4:$B$138, 0), MATCH(AG$4&amp;AG$5, LS_previous!$D$2:$AY$2&amp;LS_previous!$D$3:$AY$3, 0)),SUM(VLOOKUP($A68, LS_previous!$B$4:$AY$138, LS_previous!Y$149, FALSE), VLOOKUP('Staging Table'!$A68, LS_previous!$B$4:$AY$138,LS_previous!AW$149, FALSE))/2)</f>
        <v>-849.64589715185593</v>
      </c>
      <c r="AH68" s="382">
        <f t="array" ref="AH68">IF($G68=0, INDEX(LS_previous!$D$4:$AY$138, MATCH('Staging Table'!$A68, LS_previous!$B$4:$B$138, 0), MATCH(AH$4&amp;AH$5, LS_previous!$D$2:$AY$2&amp;LS_previous!$D$3:$AY$3, 0)),SUM(VLOOKUP($A68, LS_previous!$B$4:$AY$138, LS_previous!Z$149, FALSE), VLOOKUP('Staging Table'!$A68, LS_previous!$B$4:$AY$138,LS_previous!AX$149, FALSE))/2)</f>
        <v>-1276.6527212616884</v>
      </c>
      <c r="AI68" s="382">
        <f t="array" ref="AI68">IF($G68=0, INDEX(LS_previous!$D$4:$AY$138, MATCH('Staging Table'!$A68, LS_previous!$B$4:$B$138, 0), MATCH(AI$4&amp;AI$5, LS_previous!$D$2:$AY$2&amp;LS_previous!$D$3:$AY$3, 0)),SUM(VLOOKUP($A68, LS_previous!$B$4:$AY$138, LS_previous!AA$149, FALSE), VLOOKUP('Staging Table'!$A68, LS_previous!$B$4:$AY$138,LS_previous!AY$149, FALSE))/2)</f>
        <v>-346.10380660052851</v>
      </c>
      <c r="AJ68" s="384">
        <f t="array" ref="AJ68">INDEX(Demand_previous!$D$4:$AY$138, MATCH('Staging Table'!$A68, Demand_previous!$B$4:$B$138, 0), MATCH(AJ$4&amp;AJ$5,Demand_previous!$D$2:$AY$2&amp;Demand_previous!$D$3:$AY$3, 0))/1000</f>
        <v>2.8274861111111114</v>
      </c>
      <c r="AK68" s="384">
        <f t="array" ref="AK68">INDEX(Demand_previous!$D$4:$AY$138, MATCH('Staging Table'!$A68, Demand_previous!$B$4:$B$138, 0), MATCH(AK$4&amp;AK$5,Demand_previous!$D$2:$AY$2&amp;Demand_previous!$D$3:$AY$3, 0))/1000</f>
        <v>1.119872395833335</v>
      </c>
      <c r="AL68" s="384">
        <f t="array" ref="AL68">INDEX(Demand_previous!$D$4:$AY$138, MATCH('Staging Table'!$A68, Demand_previous!$B$4:$B$138, 0), MATCH(AL$4&amp;AL$5,Demand_previous!$D$2:$AY$2&amp;Demand_previous!$D$3:$AY$3, 0))/1000</f>
        <v>3.8246899038461541</v>
      </c>
      <c r="AM68" s="384">
        <f t="array" ref="AM68">INDEX(Demand_previous!$D$4:$AY$138, MATCH('Staging Table'!$A68, Demand_previous!$B$4:$B$138, 0), MATCH(AM$4&amp;AM$5,Demand_previous!$D$2:$AY$2&amp;Demand_previous!$D$3:$AY$3, 0))/1000</f>
        <v>3.0712550000000016</v>
      </c>
      <c r="AN68" s="384">
        <f t="array" ref="AN68">INDEX(Demand_previous!$D$4:$AY$138, MATCH('Staging Table'!$A68, Demand_previous!$B$4:$B$138, 0), MATCH(AN$4&amp;AN$5,Demand_previous!$D$2:$AY$2&amp;Demand_previous!$D$3:$AY$3, 0))/1000</f>
        <v>5.5487675000000003</v>
      </c>
      <c r="AO68" s="384">
        <f t="array" ref="AO68">INDEX(Demand_previous!$D$4:$AY$138, MATCH('Staging Table'!$A68, Demand_previous!$B$4:$B$138, 0), MATCH(AO$4&amp;AO$5,Demand_previous!$D$2:$AY$2&amp;Demand_previous!$D$3:$AY$3, 0))/1000</f>
        <v>4.9379768518518521</v>
      </c>
      <c r="AP68" s="384">
        <f t="array" ref="AP68">INDEX(Demand_previous!$D$4:$AY$138, MATCH('Staging Table'!$A68, Demand_previous!$B$4:$B$138, 0), MATCH(AP$4&amp;AP$5,Demand_previous!$D$2:$AY$2&amp;Demand_previous!$D$3:$AY$3, 0))/1000</f>
        <v>3.7459615384615401</v>
      </c>
      <c r="AQ68" s="384">
        <f t="array" ref="AQ68">INDEX(Demand_previous!$D$4:$AY$138, MATCH('Staging Table'!$A68, Demand_previous!$B$4:$B$138, 0), MATCH(AQ$4&amp;AQ$5,Demand_previous!$D$2:$AY$2&amp;Demand_previous!$D$3:$AY$3, 0))/1000</f>
        <v>2.2011374999999971</v>
      </c>
      <c r="AR68" s="384">
        <f t="array" ref="AR68">INDEX(Demand_previous!$D$4:$AY$138, MATCH('Staging Table'!$A68, Demand_previous!$B$4:$B$138, 0), MATCH(AR$4&amp;AR$5,Demand_previous!$D$2:$AY$2&amp;Demand_previous!$D$3:$AY$3, 0))/1000</f>
        <v>3.1422451923076906</v>
      </c>
      <c r="AS68" s="384">
        <f t="array" ref="AS68">INDEX(Demand_previous!$D$4:$AY$138, MATCH('Staging Table'!$A68, Demand_previous!$B$4:$B$138, 0), MATCH(AS$4&amp;AS$5,Demand_previous!$D$2:$AY$2&amp;Demand_previous!$D$3:$AY$3, 0))/1000</f>
        <v>1.7892449999999982</v>
      </c>
      <c r="AT68" s="384">
        <f t="array" ref="AT68">INDEX(Demand_previous!$D$4:$AY$138, MATCH('Staging Table'!$A68, Demand_previous!$B$4:$B$138, 0), MATCH(AT$4&amp;AT$5,Demand_previous!$D$2:$AY$2&amp;Demand_previous!$D$3:$AY$3, 0))/1000</f>
        <v>2.4981203703703714</v>
      </c>
      <c r="AU68" s="384">
        <f t="array" ref="AU68">INDEX(Demand_previous!$D$4:$AY$138, MATCH('Staging Table'!$A68, Demand_previous!$B$4:$B$138, 0), MATCH(AU$4&amp;AU$5,Demand_previous!$D$2:$AY$2&amp;Demand_previous!$D$3:$AY$3, 0))/1000</f>
        <v>2.9083025000000005</v>
      </c>
      <c r="AV68" s="384">
        <f>IF($D68=0,IF(C68=0, MAX(AY68 - (VLOOKUP($A68,TOCA_previous!$A$2:$AI$137,MATCH("RHWM 2016",TOCA_previous!$A$2:$AI$2,0),FALSE)*$F$2*TOCA_previous!C65),0),0), 0)</f>
        <v>0</v>
      </c>
      <c r="AW68" s="427">
        <f>VLOOKUP($A68,REP_previous!$A$1:$D$135,MATCH("FY "&amp;$F$1&amp; " Total Refund",REP_previous!$A$1:$D$1,0),0)</f>
        <v>118074.23278910463</v>
      </c>
      <c r="AX68" s="398">
        <f>MIN(VLOOKUP($A68,TOCA_previous!$A$2:$AI$137,MATCH("TRL - NLSL - Exisiting Resource "&amp;$F$1,TOCA_previous!$A$2:$AI$2,0),FALSE)*$F$2,(VLOOKUP($A68,TOCA_previous!$A$2:$AI$137,MATCH("RHWM 2016",TOCA_previous!$A$2:$AI$2,0),FALSE)*$F$2))</f>
        <v>185421.45600000001</v>
      </c>
      <c r="AY68" s="384">
        <f>SUM(L68:AI68)+(F68*RT1SC!$C$3*$F$2)</f>
        <v>160539.99743645117</v>
      </c>
      <c r="AZ68" s="398">
        <f>VLOOKUP($A68,TOCA_previous!$A$2:$AI$137,MATCH("Above RHWM Not Served with LS "&amp;$F$1,TOCA_previous!$A$2:$AI$2,0),FALSE)*$F$2</f>
        <v>0</v>
      </c>
      <c r="BA68" s="206">
        <f t="shared" si="3"/>
        <v>-24881.458563548833</v>
      </c>
      <c r="BB68" s="399">
        <f>(VLOOKUP($A68,TOCA_previous!$A$2:$AI$137,MATCH("RHWM 2016",TOCA_previous!$A$2:$AI$2,0),FALSE)*$F$2) - $AX68</f>
        <v>0</v>
      </c>
      <c r="BC68" s="206">
        <f t="shared" si="4"/>
        <v>0</v>
      </c>
      <c r="BD68" s="400">
        <f t="shared" si="5"/>
        <v>24881.458563548833</v>
      </c>
      <c r="BE68" s="392">
        <f t="shared" si="6"/>
        <v>0</v>
      </c>
      <c r="BF68" s="399">
        <f t="shared" si="7"/>
        <v>24881.458563548833</v>
      </c>
      <c r="BG68" s="206">
        <f>VLOOKUP($A68,TOCA_current!$A$2:$AI$137,MATCH(BG$4,TOCA_current!$A$2:$AI$2,0),FALSE)</f>
        <v>2.6389E-3</v>
      </c>
      <c r="BH68" s="206">
        <f>VLOOKUP($A68,TOCA_current!$A$2:$AI$137,MATCH(BH$4,TOCA_current!$A$2:$AI$2,0),FALSE)</f>
        <v>2.6389E-3</v>
      </c>
      <c r="BI68" s="391">
        <f t="shared" si="8"/>
        <v>0</v>
      </c>
      <c r="BJ68" s="206">
        <f>VLOOKUP($A68,TOCA_current!A64:BG199,MATCH(BJ$4,TOCA_current!$A$2:$BG$2,0),FALSE)</f>
        <v>7.0000000000000007E-2</v>
      </c>
      <c r="BK68" s="206">
        <f t="shared" si="9"/>
        <v>0</v>
      </c>
      <c r="BL68" s="206">
        <f t="shared" si="10"/>
        <v>0</v>
      </c>
      <c r="BM68" s="381">
        <f>VLOOKUP($A68,IRD!$A$4:$G$139, 7, FALSE)</f>
        <v>0</v>
      </c>
      <c r="BN68" s="382">
        <f t="array" ref="BN68">IF($BI68=0, INDEX(LS_current!$D$4:$AY$139, MATCH('Staging Table'!$A68, LS_current!$B$4:$B$139, 0), MATCH(BN$4&amp;BN$5, LS_current!$D$2:$AY$2&amp;LS_current!$D$3:$AY$3, 0)),SUM(VLOOKUP($A68, LS_current!$B$4:$AY$139, LS_current!D$149, FALSE), VLOOKUP($A68, LS_current!$B$4:$AY$139,LS_current!D$149, FALSE))/2)</f>
        <v>-578.98810784349917</v>
      </c>
      <c r="BO68" s="382">
        <f t="array" ref="BO68">IF($BI68=0, INDEX(LS_current!$D$4:$AY$139, MATCH('Staging Table'!$A68, LS_current!$B$4:$B$139, 0), MATCH(BO$4&amp;BO$5, LS_current!$D$2:$AY$2&amp;LS_current!$D$3:$AY$3, 0)),SUM(VLOOKUP($A68, LS_current!$B$4:$AY$139, LS_current!E$149, FALSE), VLOOKUP($A68, LS_current!$B$4:$AY$139,LS_current!E$149, FALSE))/2)</f>
        <v>485.01613667384663</v>
      </c>
      <c r="BP68" s="382">
        <f t="array" ref="BP68">IF($BI68=0, INDEX(LS_current!$D$4:$AY$139, MATCH('Staging Table'!$A68, LS_current!$B$4:$B$139, 0), MATCH(BP$4&amp;BP$5, LS_current!$D$2:$AY$2&amp;LS_current!$D$3:$AY$3, 0)),SUM(VLOOKUP($A68, LS_current!$B$4:$AY$139, LS_current!F$149, FALSE), VLOOKUP($A68, LS_current!$B$4:$AY$139,LS_current!F$149, FALSE))/2)</f>
        <v>-1499.8280812937428</v>
      </c>
      <c r="BQ68" s="382">
        <f t="array" ref="BQ68">IF($BI68=0, INDEX(LS_current!$D$4:$AY$139, MATCH('Staging Table'!$A68, LS_current!$B$4:$B$139, 0), MATCH(BQ$4&amp;BQ$5, LS_current!$D$2:$AY$2&amp;LS_current!$D$3:$AY$3, 0)),SUM(VLOOKUP($A68, LS_current!$B$4:$AY$139, LS_current!G$149, FALSE), VLOOKUP($A68, LS_current!$B$4:$AY$139,LS_current!G$149, FALSE))/2)</f>
        <v>372.34927918807716</v>
      </c>
      <c r="BR68" s="382">
        <f t="array" ref="BR68">IF($BI68=0, INDEX(LS_current!$D$4:$AY$139, MATCH('Staging Table'!$A68, LS_current!$B$4:$B$139, 0), MATCH(BR$4&amp;BR$5, LS_current!$D$2:$AY$2&amp;LS_current!$D$3:$AY$3, 0)),SUM(VLOOKUP($A68, LS_current!$B$4:$AY$139, LS_current!H$149, FALSE), VLOOKUP($A68, LS_current!$B$4:$AY$139,LS_current!H$149, FALSE))/2)</f>
        <v>-221.713420835531</v>
      </c>
      <c r="BS68" s="382">
        <f t="array" ref="BS68">IF($BI68=0, INDEX(LS_current!$D$4:$AY$139, MATCH('Staging Table'!$A68, LS_current!$B$4:$B$139, 0), MATCH(BS$4&amp;BS$5, LS_current!$D$2:$AY$2&amp;LS_current!$D$3:$AY$3, 0)),SUM(VLOOKUP($A68, LS_current!$B$4:$AY$139, LS_current!I$149, FALSE), VLOOKUP($A68, LS_current!$B$4:$AY$139,LS_current!I$149, FALSE))/2)</f>
        <v>993.11985108011049</v>
      </c>
      <c r="BT68" s="382">
        <f t="array" ref="BT68">IF($BI68=0, INDEX(LS_current!$D$4:$AY$139, MATCH('Staging Table'!$A68, LS_current!$B$4:$B$139, 0), MATCH(BT$4&amp;BT$5, LS_current!$D$2:$AY$2&amp;LS_current!$D$3:$AY$3, 0)),SUM(VLOOKUP($A68, LS_current!$B$4:$AY$139, LS_current!J$149, FALSE), VLOOKUP($A68, LS_current!$B$4:$AY$139,LS_current!J$149, FALSE))/2)</f>
        <v>1193.6294546223126</v>
      </c>
      <c r="BU68" s="382">
        <f t="array" ref="BU68">IF($BI68=0, INDEX(LS_current!$D$4:$AY$139, MATCH('Staging Table'!$A68, LS_current!$B$4:$B$139, 0), MATCH(BU$4&amp;BU$5, LS_current!$D$2:$AY$2&amp;LS_current!$D$3:$AY$3, 0)),SUM(VLOOKUP($A68, LS_current!$B$4:$AY$139, LS_current!K$149, FALSE), VLOOKUP($A68, LS_current!$B$4:$AY$139,LS_current!K$149, FALSE))/2)</f>
        <v>1986.9607069719632</v>
      </c>
      <c r="BV68" s="382">
        <f t="array" ref="BV68">IF($BI68=0, INDEX(LS_current!$D$4:$AY$139, MATCH('Staging Table'!$A68, LS_current!$B$4:$B$139, 0), MATCH(BV$4&amp;BV$5, LS_current!$D$2:$AY$2&amp;LS_current!$D$3:$AY$3, 0)),SUM(VLOOKUP($A68, LS_current!$B$4:$AY$139, LS_current!L$149, FALSE), VLOOKUP($A68, LS_current!$B$4:$AY$139,LS_current!L$149, FALSE))/2)</f>
        <v>1933.0461674125581</v>
      </c>
      <c r="BW68" s="382">
        <f t="array" ref="BW68">IF($BI68=0, INDEX(LS_current!$D$4:$AY$139, MATCH('Staging Table'!$A68, LS_current!$B$4:$B$139, 0), MATCH(BW$4&amp;BW$5, LS_current!$D$2:$AY$2&amp;LS_current!$D$3:$AY$3, 0)),SUM(VLOOKUP($A68, LS_current!$B$4:$AY$139, LS_current!M$149, FALSE), VLOOKUP($A68, LS_current!$B$4:$AY$139,LS_current!M$149, FALSE))/2)</f>
        <v>2120.9513816944168</v>
      </c>
      <c r="BX68" s="382">
        <f t="array" ref="BX68">IF($BI68=0, INDEX(LS_current!$D$4:$AY$139, MATCH('Staging Table'!$A68, LS_current!$B$4:$B$139, 0), MATCH(BX$4&amp;BX$5, LS_current!$D$2:$AY$2&amp;LS_current!$D$3:$AY$3, 0)),SUM(VLOOKUP($A68, LS_current!$B$4:$AY$139, LS_current!N$149, FALSE), VLOOKUP($A68, LS_current!$B$4:$AY$139,LS_current!N$149, FALSE))/2)</f>
        <v>1058.661806128277</v>
      </c>
      <c r="BY68" s="382">
        <f t="array" ref="BY68">IF($BI68=0, INDEX(LS_current!$D$4:$AY$139, MATCH('Staging Table'!$A68, LS_current!$B$4:$B$139, 0), MATCH(BY$4&amp;BY$5, LS_current!$D$2:$AY$2&amp;LS_current!$D$3:$AY$3, 0)),SUM(VLOOKUP($A68, LS_current!$B$4:$AY$139, LS_current!O$149, FALSE), VLOOKUP($A68, LS_current!$B$4:$AY$139,LS_current!O$149, FALSE))/2)</f>
        <v>1577.7560372854714</v>
      </c>
      <c r="BZ68" s="382">
        <f t="array" ref="BZ68">IF($BI68=0, INDEX(LS_current!$D$4:$AY$139, MATCH('Staging Table'!$A68, LS_current!$B$4:$B$139, 0), MATCH(BZ$4&amp;BZ$5, LS_current!$D$2:$AY$2&amp;LS_current!$D$3:$AY$3, 0)),SUM(VLOOKUP($A68, LS_current!$B$4:$AY$139, LS_current!P$149, FALSE), VLOOKUP($A68, LS_current!$B$4:$AY$139,LS_current!P$149, FALSE))/2)</f>
        <v>-245.05382228126746</v>
      </c>
      <c r="CA68" s="382">
        <f t="array" ref="CA68">IF($BI68=0, INDEX(LS_current!$D$4:$AY$139, MATCH('Staging Table'!$A68, LS_current!$B$4:$B$139, 0), MATCH(CA$4&amp;CA$5, LS_current!$D$2:$AY$2&amp;LS_current!$D$3:$AY$3, 0)),SUM(VLOOKUP($A68, LS_current!$B$4:$AY$139, LS_current!Q$149, FALSE), VLOOKUP($A68, LS_current!$B$4:$AY$139,LS_current!Q$149, FALSE))/2)</f>
        <v>718.571477030393</v>
      </c>
      <c r="CB68" s="382">
        <f t="array" ref="CB68">IF($BI68=0, INDEX(LS_current!$D$4:$AY$139, MATCH('Staging Table'!$A68, LS_current!$B$4:$B$139, 0), MATCH(CB$4&amp;CB$5, LS_current!$D$2:$AY$2&amp;LS_current!$D$3:$AY$3, 0)),SUM(VLOOKUP($A68, LS_current!$B$4:$AY$139, LS_current!R$149, FALSE), VLOOKUP($A68, LS_current!$B$4:$AY$139,LS_current!R$149, FALSE))/2)</f>
        <v>-4245.3513350995709</v>
      </c>
      <c r="CC68" s="382">
        <f t="array" ref="CC68">IF($BI68=0, INDEX(LS_current!$D$4:$AY$139, MATCH('Staging Table'!$A68, LS_current!$B$4:$B$139, 0), MATCH(CC$4&amp;CC$5, LS_current!$D$2:$AY$2&amp;LS_current!$D$3:$AY$3, 0)),SUM(VLOOKUP($A68, LS_current!$B$4:$AY$139, LS_current!S$149, FALSE), VLOOKUP($A68, LS_current!$B$4:$AY$139,LS_current!S$149, FALSE))/2)</f>
        <v>-1311.472019772671</v>
      </c>
      <c r="CD68" s="382">
        <f t="array" ref="CD68">IF($BI68=0, INDEX(LS_current!$D$4:$AY$139, MATCH('Staging Table'!$A68, LS_current!$B$4:$B$139, 0), MATCH(CD$4&amp;CD$5, LS_current!$D$2:$AY$2&amp;LS_current!$D$3:$AY$3, 0)),SUM(VLOOKUP($A68, LS_current!$B$4:$AY$139, LS_current!T$149, FALSE), VLOOKUP($A68, LS_current!$B$4:$AY$139,LS_current!T$149, FALSE))/2)</f>
        <v>-2168.5526760685279</v>
      </c>
      <c r="CE68" s="382">
        <f t="array" ref="CE68">IF($BI68=0, INDEX(LS_current!$D$4:$AY$139, MATCH('Staging Table'!$A68, LS_current!$B$4:$B$139, 0), MATCH(CE$4&amp;CE$5, LS_current!$D$2:$AY$2&amp;LS_current!$D$3:$AY$3, 0)),SUM(VLOOKUP($A68, LS_current!$B$4:$AY$139, LS_current!U$149, FALSE), VLOOKUP($A68, LS_current!$B$4:$AY$139,LS_current!U$149, FALSE))/2)</f>
        <v>-347.68733910024002</v>
      </c>
      <c r="CF68" s="382">
        <f t="array" ref="CF68">IF($BI68=0, INDEX(LS_current!$D$4:$AY$139, MATCH('Staging Table'!$A68, LS_current!$B$4:$B$139, 0), MATCH(CF$4&amp;CF$5, LS_current!$D$2:$AY$2&amp;LS_current!$D$3:$AY$3, 0)),SUM(VLOOKUP($A68, LS_current!$B$4:$AY$139, LS_current!V$149, FALSE), VLOOKUP($A68, LS_current!$B$4:$AY$139,LS_current!V$149, FALSE))/2)</f>
        <v>-302.77792935778143</v>
      </c>
      <c r="CG68" s="382">
        <f t="array" ref="CG68">IF($BI68=0, INDEX(LS_current!$D$4:$AY$139, MATCH('Staging Table'!$A68, LS_current!$B$4:$B$139, 0), MATCH(CG$4&amp;CG$5, LS_current!$D$2:$AY$2&amp;LS_current!$D$3:$AY$3, 0)),SUM(VLOOKUP($A68, LS_current!$B$4:$AY$139, LS_current!W$149, FALSE), VLOOKUP($A68, LS_current!$B$4:$AY$139,LS_current!W$149, FALSE))/2)</f>
        <v>829.54111671702685</v>
      </c>
      <c r="CH68" s="382">
        <f t="array" ref="CH68">IF($BI68=0, INDEX(LS_current!$D$4:$AY$139, MATCH('Staging Table'!$A68, LS_current!$B$4:$B$139, 0), MATCH(CH$4&amp;CH$5, LS_current!$D$2:$AY$2&amp;LS_current!$D$3:$AY$3, 0)),SUM(VLOOKUP($A68, LS_current!$B$4:$AY$139, LS_current!X$149, FALSE), VLOOKUP($A68, LS_current!$B$4:$AY$139,LS_current!X$149, FALSE))/2)</f>
        <v>-1661.2410091518686</v>
      </c>
      <c r="CI68" s="382">
        <f t="array" ref="CI68">IF($BI68=0, INDEX(LS_current!$D$4:$AY$139, MATCH('Staging Table'!$A68, LS_current!$B$4:$B$139, 0), MATCH(CI$4&amp;CI$5, LS_current!$D$2:$AY$2&amp;LS_current!$D$3:$AY$3, 0)),SUM(VLOOKUP($A68, LS_current!$B$4:$AY$139, LS_current!Y$149, FALSE), VLOOKUP($A68, LS_current!$B$4:$AY$139,LS_current!Y$149, FALSE))/2)</f>
        <v>-28.450483530566999</v>
      </c>
      <c r="CJ68" s="382">
        <f t="array" ref="CJ68">IF($BI68=0, INDEX(LS_current!$D$4:$AY$139, MATCH('Staging Table'!$A68, LS_current!$B$4:$B$139, 0), MATCH(CJ$4&amp;CJ$5, LS_current!$D$2:$AY$2&amp;LS_current!$D$3:$AY$3, 0)),SUM(VLOOKUP($A68, LS_current!$B$4:$AY$139, LS_current!Z$149, FALSE), VLOOKUP($A68, LS_current!$B$4:$AY$139,LS_current!Z$149, FALSE))/2)</f>
        <v>-974.48422128190668</v>
      </c>
      <c r="CK68" s="382">
        <f t="array" ref="CK68">IF($BI68=0, INDEX(LS_current!$D$4:$AY$139, MATCH('Staging Table'!$A68, LS_current!$B$4:$B$139, 0), MATCH(CK$4&amp;CK$5, LS_current!$D$2:$AY$2&amp;LS_current!$D$3:$AY$3, 0)),SUM(VLOOKUP($A68, LS_current!$B$4:$AY$139, LS_current!AA$149, FALSE), VLOOKUP($A68, LS_current!$B$4:$AY$139,LS_current!AA$149, FALSE))/2)</f>
        <v>313.63037464288755</v>
      </c>
      <c r="CL68" s="384">
        <f t="array" ref="CL68">INDEX(Demand_current!$D$4:$AY$138, MATCH($A68, Demand_current!$B$4:$B$138, 0), MATCH(CL$4&amp;CL$5,Demand_current!$D$2:$AY$2&amp;Demand_current!$D$3:$AY$3, 0))/1000</f>
        <v>2.056312500000002</v>
      </c>
      <c r="CM68" s="384">
        <f t="array" ref="CM68">INDEX(Demand_current!$D$4:$AY$138, MATCH($A68, Demand_current!$B$4:$B$138, 0), MATCH(CM$4&amp;CM$5,Demand_current!$D$2:$AY$2&amp;Demand_current!$D$3:$AY$3, 0))/1000</f>
        <v>2.1060375000000011</v>
      </c>
      <c r="CN68" s="384">
        <f t="array" ref="CN68">INDEX(Demand_current!$D$4:$AY$138, MATCH($A68, Demand_current!$B$4:$B$138, 0), MATCH(CN$4&amp;CN$5,Demand_current!$D$2:$AY$2&amp;Demand_current!$D$3:$AY$3, 0))/1000</f>
        <v>2.8000374999999997</v>
      </c>
      <c r="CO68" s="384">
        <f t="array" ref="CO68">INDEX(Demand_current!$D$4:$AY$138, MATCH($A68, Demand_current!$B$4:$B$138, 0), MATCH(CO$4&amp;CO$5,Demand_current!$D$2:$AY$2&amp;Demand_current!$D$3:$AY$3, 0))/1000</f>
        <v>4.1028990384615414</v>
      </c>
      <c r="CP68" s="384">
        <f t="array" ref="CP68">INDEX(Demand_current!$D$4:$AY$138, MATCH($A68, Demand_current!$B$4:$B$138, 0), MATCH(CP$4&amp;CP$5,Demand_current!$D$2:$AY$2&amp;Demand_current!$D$3:$AY$3, 0))/1000</f>
        <v>4.4897994791666669</v>
      </c>
      <c r="CQ68" s="384">
        <f t="array" ref="CQ68">INDEX(Demand_current!$D$4:$AY$138, MATCH($A68, Demand_current!$B$4:$B$138, 0), MATCH(CQ$4&amp;CQ$5,Demand_current!$D$2:$AY$2&amp;Demand_current!$D$3:$AY$3, 0))/1000</f>
        <v>4.9379768518518521</v>
      </c>
      <c r="CR68" s="384">
        <f t="array" ref="CR68">INDEX(Demand_current!$D$4:$AY$138, MATCH($A68, Demand_current!$B$4:$B$138, 0), MATCH(CR$4&amp;CR$5,Demand_current!$D$2:$AY$2&amp;Demand_current!$D$3:$AY$3, 0))/1000</f>
        <v>2.897320000000001</v>
      </c>
      <c r="CS68" s="384">
        <f t="array" ref="CS68">INDEX(Demand_current!$D$4:$AY$138, MATCH($A68, Demand_current!$B$4:$B$138, 0), MATCH(CS$4&amp;CS$5,Demand_current!$D$2:$AY$2&amp;Demand_current!$D$3:$AY$3, 0))/1000</f>
        <v>2.9877860576923068</v>
      </c>
      <c r="CT68" s="384">
        <f t="array" ref="CT68">INDEX(Demand_current!$D$4:$AY$138, MATCH($A68, Demand_current!$B$4:$B$138, 0), MATCH(CT$4&amp;CT$5,Demand_current!$D$2:$AY$2&amp;Demand_current!$D$3:$AY$3, 0))/1000</f>
        <v>3.1422451923076906</v>
      </c>
      <c r="CU68" s="384">
        <f t="array" ref="CU68">INDEX(Demand_current!$D$4:$AY$138, MATCH($A68, Demand_current!$B$4:$B$138, 0), MATCH(CU$4&amp;CU$5,Demand_current!$D$2:$AY$2&amp;Demand_current!$D$3:$AY$3, 0))/1000</f>
        <v>1.7892449999999982</v>
      </c>
      <c r="CV68" s="384">
        <f t="array" ref="CV68">INDEX(Demand_current!$D$4:$AY$138, MATCH($A68, Demand_current!$B$4:$B$138, 0), MATCH(CV$4&amp;CV$5,Demand_current!$D$2:$AY$2&amp;Demand_current!$D$3:$AY$3, 0))/1000</f>
        <v>2.4981203703703714</v>
      </c>
      <c r="CW68" s="384">
        <f t="array" ref="CW68">INDEX(Demand_current!$D$4:$AY$138, MATCH($A68, Demand_current!$B$4:$B$138, 0), MATCH(CW$4&amp;CW$5,Demand_current!$D$2:$AY$2&amp;Demand_current!$D$3:$AY$3, 0))/1000</f>
        <v>2.0686901041666657</v>
      </c>
      <c r="CX68" s="384">
        <f>IF(D68=0,IF(C68=0,MAX(0,DA68 - (VLOOKUP($A68,TOCA_current!$A$2:$AI$137,MATCH("RHWM 2018",TOCA_current!$A$2:$AI$2,0),FALSE)*$BH$2)), 0),0)</f>
        <v>0</v>
      </c>
      <c r="CY68" s="427">
        <f>VLOOKUP($A68,REP_current!$A$1:$D$135,MATCH("FY "&amp;$BH$1&amp; " Total Refund",REP_current!$A$1:$D$1,0),0)</f>
        <v>104678.12987442817</v>
      </c>
      <c r="CZ68" s="432">
        <f>MIN(VLOOKUP($A68,TOCA_current!$A$2:$AI$137,MATCH("TRL - NLSL - Existing Resource "&amp;$BH$1,TOCA_current!$A$2:$AI$2,0),FALSE)*$BH$2, VLOOKUP($A68,TOCA_current!$A$2:$AI$137,MATCH("RHWM 2018",TOCA_current!$A$2:$AI$2,0),FALSE)*$BH$2)</f>
        <v>160544.52000000002</v>
      </c>
      <c r="DA68" s="397">
        <f>SUM(BN68:CK68)+(BH68*RT1SC!$C$4*$BH$2)</f>
        <v>160539.99934217415</v>
      </c>
      <c r="DB68" s="432">
        <f>VLOOKUP($A68,TOCA_current!$A$2:$AI$137,MATCH("Above RHWM Not Served with LS "&amp;$BH$1,TOCA_current!$A$2:$AI$2,0),FALSE)*$BH$2</f>
        <v>0</v>
      </c>
      <c r="DC68" s="401">
        <f t="shared" si="11"/>
        <v>-4.5206578258657828</v>
      </c>
      <c r="DD68" s="397">
        <f>(VLOOKUP($A68,TOCA_current!$A$2:$AI$137,MATCH("RHWM 2018",TOCA_current!$A$2:$AI$2,0),FALSE)*$BH$2) - $CZ68</f>
        <v>23196.479999999981</v>
      </c>
      <c r="DE68" s="397">
        <f t="shared" si="12"/>
        <v>0</v>
      </c>
      <c r="DF68" s="397">
        <f t="shared" si="13"/>
        <v>4.5206578258657828</v>
      </c>
      <c r="DG68" s="397">
        <f t="shared" si="14"/>
        <v>0</v>
      </c>
      <c r="DH68" s="397">
        <f t="shared" si="15"/>
        <v>4.5206578258657828</v>
      </c>
    </row>
    <row r="69" spans="1:112">
      <c r="A69" s="274">
        <v>10190</v>
      </c>
      <c r="B69" s="275" t="s">
        <v>70</v>
      </c>
      <c r="C69" s="397">
        <v>0</v>
      </c>
      <c r="D69" s="397">
        <v>0</v>
      </c>
      <c r="E69" s="205">
        <f>VLOOKUP($A69,TOCA_previous!$A$2:$AI$137,MATCH(E$4,TOCA_previous!$A$2:$AI$2,0),FALSE)</f>
        <v>7.3620000000000001E-4</v>
      </c>
      <c r="F69" s="206">
        <f>VLOOKUP($A69,TOCA_previous!$A$2:$AI$137,MATCH(F$4,TOCA_previous!$A$2:$AI$2,0),FALSE)</f>
        <v>7.3620000000000001E-4</v>
      </c>
      <c r="G69" s="206">
        <f t="shared" si="0"/>
        <v>0</v>
      </c>
      <c r="H69" s="206">
        <f>VLOOKUP($A69,TOCA_previous!$A$2:$AI$137,MATCH(H$4,TOCA_previous!$A$2:$AI$2,0),FALSE)</f>
        <v>0</v>
      </c>
      <c r="I69" s="206">
        <f t="shared" si="1"/>
        <v>0</v>
      </c>
      <c r="J69" s="206">
        <f t="shared" si="2"/>
        <v>0</v>
      </c>
      <c r="K69" s="381">
        <f>VLOOKUP(A69, IRD!$A$5:$C$139, 3, FALSE)</f>
        <v>0</v>
      </c>
      <c r="L69" s="382">
        <f t="array" ref="L69">IF($G69=0, INDEX(LS_previous!$D$4:$AY$138, MATCH('Staging Table'!$A69, LS_previous!$B$4:$B$138, 0), MATCH(L$4&amp;L$5, LS_previous!$D$2:$AY$2&amp;LS_previous!$D$3:$AY$3, 0)),SUM(VLOOKUP($A69, LS_previous!$B$4:$AY$138, LS_previous!D$149, FALSE), VLOOKUP('Staging Table'!$A69, LS_previous!$B$4:$AY$138,LS_previous!AB$149, FALSE))/2)</f>
        <v>-428.94770455293838</v>
      </c>
      <c r="M69" s="382">
        <f t="array" ref="M69">IF($G69=0, INDEX(LS_previous!$D$4:$AY$138, MATCH('Staging Table'!$A69, LS_previous!$B$4:$B$138, 0), MATCH(M$4&amp;M$5, LS_previous!$D$2:$AY$2&amp;LS_previous!$D$3:$AY$3, 0)),SUM(VLOOKUP($A69, LS_previous!$B$4:$AY$138, LS_previous!E$149, FALSE), VLOOKUP('Staging Table'!$A69, LS_previous!$B$4:$AY$138,LS_previous!AC$149, FALSE))/2)</f>
        <v>-109.9660558333378</v>
      </c>
      <c r="N69" s="382">
        <f t="array" ref="N69">IF($G69=0, INDEX(LS_previous!$D$4:$AY$138, MATCH('Staging Table'!$A69, LS_previous!$B$4:$B$138, 0), MATCH(N$4&amp;N$5, LS_previous!$D$2:$AY$2&amp;LS_previous!$D$3:$AY$3, 0)),SUM(VLOOKUP($A69, LS_previous!$B$4:$AY$138, LS_previous!F$149, FALSE), VLOOKUP('Staging Table'!$A69, LS_previous!$B$4:$AY$138,LS_previous!AD$149, FALSE))/2)</f>
        <v>272.15791714084844</v>
      </c>
      <c r="O69" s="382">
        <f t="array" ref="O69">IF($G69=0, INDEX(LS_previous!$D$4:$AY$138, MATCH('Staging Table'!$A69, LS_previous!$B$4:$B$138, 0), MATCH(O$4&amp;O$5, LS_previous!$D$2:$AY$2&amp;LS_previous!$D$3:$AY$3, 0)),SUM(VLOOKUP($A69, LS_previous!$B$4:$AY$138, LS_previous!G$149, FALSE), VLOOKUP('Staging Table'!$A69, LS_previous!$B$4:$AY$138,LS_previous!AE$149, FALSE))/2)</f>
        <v>507.38138817071604</v>
      </c>
      <c r="P69" s="382">
        <f t="array" ref="P69">IF($G69=0, INDEX(LS_previous!$D$4:$AY$138, MATCH('Staging Table'!$A69, LS_previous!$B$4:$B$138, 0), MATCH(P$4&amp;P$5, LS_previous!$D$2:$AY$2&amp;LS_previous!$D$3:$AY$3, 0)),SUM(VLOOKUP($A69, LS_previous!$B$4:$AY$138, LS_previous!H$149, FALSE), VLOOKUP('Staging Table'!$A69, LS_previous!$B$4:$AY$138,LS_previous!AF$149, FALSE))/2)</f>
        <v>1376.2122821372259</v>
      </c>
      <c r="Q69" s="382">
        <f t="array" ref="Q69">IF($G69=0, INDEX(LS_previous!$D$4:$AY$138, MATCH('Staging Table'!$A69, LS_previous!$B$4:$B$138, 0), MATCH(Q$4&amp;Q$5, LS_previous!$D$2:$AY$2&amp;LS_previous!$D$3:$AY$3, 0)),SUM(VLOOKUP($A69, LS_previous!$B$4:$AY$138, LS_previous!I$149, FALSE), VLOOKUP('Staging Table'!$A69, LS_previous!$B$4:$AY$138,LS_previous!AG$149, FALSE))/2)</f>
        <v>1234.6816115804786</v>
      </c>
      <c r="R69" s="382">
        <f t="array" ref="R69">IF($G69=0, INDEX(LS_previous!$D$4:$AY$138, MATCH('Staging Table'!$A69, LS_previous!$B$4:$B$138, 0), MATCH(R$4&amp;R$5, LS_previous!$D$2:$AY$2&amp;LS_previous!$D$3:$AY$3, 0)),SUM(VLOOKUP($A69, LS_previous!$B$4:$AY$138, LS_previous!J$149, FALSE), VLOOKUP('Staging Table'!$A69, LS_previous!$B$4:$AY$138,LS_previous!AH$149, FALSE))/2)</f>
        <v>1552.560884145209</v>
      </c>
      <c r="S69" s="382">
        <f t="array" ref="S69">IF($G69=0, INDEX(LS_previous!$D$4:$AY$138, MATCH('Staging Table'!$A69, LS_previous!$B$4:$B$138, 0), MATCH(S$4&amp;S$5, LS_previous!$D$2:$AY$2&amp;LS_previous!$D$3:$AY$3, 0)),SUM(VLOOKUP($A69, LS_previous!$B$4:$AY$138, LS_previous!K$149, FALSE), VLOOKUP('Staging Table'!$A69, LS_previous!$B$4:$AY$138,LS_previous!AI$149, FALSE))/2)</f>
        <v>1333.5363751046496</v>
      </c>
      <c r="T69" s="382">
        <f t="array" ref="T69">IF($G69=0, INDEX(LS_previous!$D$4:$AY$138, MATCH('Staging Table'!$A69, LS_previous!$B$4:$B$138, 0), MATCH(T$4&amp;T$5, LS_previous!$D$2:$AY$2&amp;LS_previous!$D$3:$AY$3, 0)),SUM(VLOOKUP($A69, LS_previous!$B$4:$AY$138, LS_previous!L$149, FALSE), VLOOKUP('Staging Table'!$A69, LS_previous!$B$4:$AY$138,LS_previous!AJ$149, FALSE))/2)</f>
        <v>769.67545635421357</v>
      </c>
      <c r="U69" s="382">
        <f t="array" ref="U69">IF($G69=0, INDEX(LS_previous!$D$4:$AY$138, MATCH('Staging Table'!$A69, LS_previous!$B$4:$B$138, 0), MATCH(U$4&amp;U$5, LS_previous!$D$2:$AY$2&amp;LS_previous!$D$3:$AY$3, 0)),SUM(VLOOKUP($A69, LS_previous!$B$4:$AY$138, LS_previous!M$149, FALSE), VLOOKUP('Staging Table'!$A69, LS_previous!$B$4:$AY$138,LS_previous!AK$149, FALSE))/2)</f>
        <v>731.07006879629807</v>
      </c>
      <c r="V69" s="382">
        <f t="array" ref="V69">IF($G69=0, INDEX(LS_previous!$D$4:$AY$138, MATCH('Staging Table'!$A69, LS_previous!$B$4:$B$138, 0), MATCH(V$4&amp;V$5, LS_previous!$D$2:$AY$2&amp;LS_previous!$D$3:$AY$3, 0)),SUM(VLOOKUP($A69, LS_previous!$B$4:$AY$138, LS_previous!N$149, FALSE), VLOOKUP('Staging Table'!$A69, LS_previous!$B$4:$AY$138,LS_previous!AL$149, FALSE))/2)</f>
        <v>10.531935754777805</v>
      </c>
      <c r="W69" s="382">
        <f t="array" ref="W69">IF($G69=0, INDEX(LS_previous!$D$4:$AY$138, MATCH('Staging Table'!$A69, LS_previous!$B$4:$B$138, 0), MATCH(W$4&amp;W$5, LS_previous!$D$2:$AY$2&amp;LS_previous!$D$3:$AY$3, 0)),SUM(VLOOKUP($A69, LS_previous!$B$4:$AY$138, LS_previous!O$149, FALSE), VLOOKUP('Staging Table'!$A69, LS_previous!$B$4:$AY$138,LS_previous!AM$149, FALSE))/2)</f>
        <v>176.02465934311681</v>
      </c>
      <c r="X69" s="382">
        <f t="array" ref="X69">IF($G69=0, INDEX(LS_previous!$D$4:$AY$138, MATCH('Staging Table'!$A69, LS_previous!$B$4:$B$138, 0), MATCH(X$4&amp;X$5, LS_previous!$D$2:$AY$2&amp;LS_previous!$D$3:$AY$3, 0)),SUM(VLOOKUP($A69, LS_previous!$B$4:$AY$138, LS_previous!P$149, FALSE), VLOOKUP('Staging Table'!$A69, LS_previous!$B$4:$AY$138,LS_previous!AN$149, FALSE))/2)</f>
        <v>-22.814908978527455</v>
      </c>
      <c r="Y69" s="382">
        <f t="array" ref="Y69">IF($G69=0, INDEX(LS_previous!$D$4:$AY$138, MATCH('Staging Table'!$A69, LS_previous!$B$4:$B$138, 0), MATCH(Y$4&amp;Y$5, LS_previous!$D$2:$AY$2&amp;LS_previous!$D$3:$AY$3, 0)),SUM(VLOOKUP($A69, LS_previous!$B$4:$AY$138, LS_previous!Q$149, FALSE), VLOOKUP('Staging Table'!$A69, LS_previous!$B$4:$AY$138,LS_previous!AO$149, FALSE))/2)</f>
        <v>103.59635346543041</v>
      </c>
      <c r="Z69" s="382">
        <f t="array" ref="Z69">IF($G69=0, INDEX(LS_previous!$D$4:$AY$138, MATCH('Staging Table'!$A69, LS_previous!$B$4:$B$138, 0), MATCH(Z$4&amp;Z$5, LS_previous!$D$2:$AY$2&amp;LS_previous!$D$3:$AY$3, 0)),SUM(VLOOKUP($A69, LS_previous!$B$4:$AY$138, LS_previous!R$149, FALSE), VLOOKUP('Staging Table'!$A69, LS_previous!$B$4:$AY$138,LS_previous!AP$149, FALSE))/2)</f>
        <v>-1457.8901429378118</v>
      </c>
      <c r="AA69" s="382">
        <f t="array" ref="AA69">IF($G69=0, INDEX(LS_previous!$D$4:$AY$138, MATCH('Staging Table'!$A69, LS_previous!$B$4:$B$138, 0), MATCH(AA$4&amp;AA$5, LS_previous!$D$2:$AY$2&amp;LS_previous!$D$3:$AY$3, 0)),SUM(VLOOKUP($A69, LS_previous!$B$4:$AY$138, LS_previous!S$149, FALSE), VLOOKUP('Staging Table'!$A69, LS_previous!$B$4:$AY$138,LS_previous!AQ$149, FALSE))/2)</f>
        <v>-599.27889759185541</v>
      </c>
      <c r="AB69" s="382">
        <f t="array" ref="AB69">IF($G69=0, INDEX(LS_previous!$D$4:$AY$138, MATCH('Staging Table'!$A69, LS_previous!$B$4:$B$138, 0), MATCH(AB$4&amp;AB$5, LS_previous!$D$2:$AY$2&amp;LS_previous!$D$3:$AY$3, 0)),SUM(VLOOKUP($A69, LS_previous!$B$4:$AY$138, LS_previous!T$149, FALSE), VLOOKUP('Staging Table'!$A69, LS_previous!$B$4:$AY$138,LS_previous!AR$149, FALSE))/2)</f>
        <v>-780.11856012101316</v>
      </c>
      <c r="AC69" s="382">
        <f t="array" ref="AC69">IF($G69=0, INDEX(LS_previous!$D$4:$AY$138, MATCH('Staging Table'!$A69, LS_previous!$B$4:$B$138, 0), MATCH(AC$4&amp;AC$5, LS_previous!$D$2:$AY$2&amp;LS_previous!$D$3:$AY$3, 0)),SUM(VLOOKUP($A69, LS_previous!$B$4:$AY$138, LS_previous!U$149, FALSE), VLOOKUP('Staging Table'!$A69, LS_previous!$B$4:$AY$138,LS_previous!AS$149, FALSE))/2)</f>
        <v>-438.05623416229639</v>
      </c>
      <c r="AD69" s="382">
        <f t="array" ref="AD69">IF($G69=0, INDEX(LS_previous!$D$4:$AY$138, MATCH('Staging Table'!$A69, LS_previous!$B$4:$B$138, 0), MATCH(AD$4&amp;AD$5, LS_previous!$D$2:$AY$2&amp;LS_previous!$D$3:$AY$3, 0)),SUM(VLOOKUP($A69, LS_previous!$B$4:$AY$138, LS_previous!V$149, FALSE), VLOOKUP('Staging Table'!$A69, LS_previous!$B$4:$AY$138,LS_previous!AT$149, FALSE))/2)</f>
        <v>-222.84053895569423</v>
      </c>
      <c r="AE69" s="382">
        <f t="array" ref="AE69">IF($G69=0, INDEX(LS_previous!$D$4:$AY$138, MATCH('Staging Table'!$A69, LS_previous!$B$4:$B$138, 0), MATCH(AE$4&amp;AE$5, LS_previous!$D$2:$AY$2&amp;LS_previous!$D$3:$AY$3, 0)),SUM(VLOOKUP($A69, LS_previous!$B$4:$AY$138, LS_previous!W$149, FALSE), VLOOKUP('Staging Table'!$A69, LS_previous!$B$4:$AY$138,LS_previous!AU$149, FALSE))/2)</f>
        <v>30.916565955940769</v>
      </c>
      <c r="AF69" s="382">
        <f t="array" ref="AF69">IF($G69=0, INDEX(LS_previous!$D$4:$AY$138, MATCH('Staging Table'!$A69, LS_previous!$B$4:$B$138, 0), MATCH(AF$4&amp;AF$5, LS_previous!$D$2:$AY$2&amp;LS_previous!$D$3:$AY$3, 0)),SUM(VLOOKUP($A69, LS_previous!$B$4:$AY$138, LS_previous!X$149, FALSE), VLOOKUP('Staging Table'!$A69, LS_previous!$B$4:$AY$138,LS_previous!AV$149, FALSE))/2)</f>
        <v>-397.31242529300471</v>
      </c>
      <c r="AG69" s="382">
        <f t="array" ref="AG69">IF($G69=0, INDEX(LS_previous!$D$4:$AY$138, MATCH('Staging Table'!$A69, LS_previous!$B$4:$B$138, 0), MATCH(AG$4&amp;AG$5, LS_previous!$D$2:$AY$2&amp;LS_previous!$D$3:$AY$3, 0)),SUM(VLOOKUP($A69, LS_previous!$B$4:$AY$138, LS_previous!Y$149, FALSE), VLOOKUP('Staging Table'!$A69, LS_previous!$B$4:$AY$138,LS_previous!AW$149, FALSE))/2)</f>
        <v>-116.6968027666137</v>
      </c>
      <c r="AH69" s="382">
        <f t="array" ref="AH69">IF($G69=0, INDEX(LS_previous!$D$4:$AY$138, MATCH('Staging Table'!$A69, LS_previous!$B$4:$B$138, 0), MATCH(AH$4&amp;AH$5, LS_previous!$D$2:$AY$2&amp;LS_previous!$D$3:$AY$3, 0)),SUM(VLOOKUP($A69, LS_previous!$B$4:$AY$138, LS_previous!Z$149, FALSE), VLOOKUP('Staging Table'!$A69, LS_previous!$B$4:$AY$138,LS_previous!AX$149, FALSE))/2)</f>
        <v>-371.19598650066359</v>
      </c>
      <c r="AI69" s="382">
        <f t="array" ref="AI69">IF($G69=0, INDEX(LS_previous!$D$4:$AY$138, MATCH('Staging Table'!$A69, LS_previous!$B$4:$B$138, 0), MATCH(AI$4&amp;AI$5, LS_previous!$D$2:$AY$2&amp;LS_previous!$D$3:$AY$3, 0)),SUM(VLOOKUP($A69, LS_previous!$B$4:$AY$138, LS_previous!AA$149, FALSE), VLOOKUP('Staging Table'!$A69, LS_previous!$B$4:$AY$138,LS_previous!AY$149, FALSE))/2)</f>
        <v>-192.82213672940179</v>
      </c>
      <c r="AJ69" s="384">
        <f t="array" ref="AJ69">INDEX(Demand_previous!$D$4:$AY$138, MATCH('Staging Table'!$A69, Demand_previous!$B$4:$B$138, 0), MATCH(AJ$4&amp;AJ$5,Demand_previous!$D$2:$AY$2&amp;Demand_previous!$D$3:$AY$3, 0))/1000</f>
        <v>5.658796296296309E-2</v>
      </c>
      <c r="AK69" s="384">
        <f t="array" ref="AK69">INDEX(Demand_previous!$D$4:$AY$138, MATCH('Staging Table'!$A69, Demand_previous!$B$4:$B$138, 0), MATCH(AK$4&amp;AK$5,Demand_previous!$D$2:$AY$2&amp;Demand_previous!$D$3:$AY$3, 0))/1000</f>
        <v>1.2277838541666668</v>
      </c>
      <c r="AL69" s="384">
        <f t="array" ref="AL69">INDEX(Demand_previous!$D$4:$AY$138, MATCH('Staging Table'!$A69, Demand_previous!$B$4:$B$138, 0), MATCH(AL$4&amp;AL$5,Demand_previous!$D$2:$AY$2&amp;Demand_previous!$D$3:$AY$3, 0))/1000</f>
        <v>2.8922211538461542</v>
      </c>
      <c r="AM69" s="384">
        <f t="array" ref="AM69">INDEX(Demand_previous!$D$4:$AY$138, MATCH('Staging Table'!$A69, Demand_previous!$B$4:$B$138, 0), MATCH(AM$4&amp;AM$5,Demand_previous!$D$2:$AY$2&amp;Demand_previous!$D$3:$AY$3, 0))/1000</f>
        <v>1.4073175</v>
      </c>
      <c r="AN69" s="384">
        <f t="array" ref="AN69">INDEX(Demand_previous!$D$4:$AY$138, MATCH('Staging Table'!$A69, Demand_previous!$B$4:$B$138, 0), MATCH(AN$4&amp;AN$5,Demand_previous!$D$2:$AY$2&amp;Demand_previous!$D$3:$AY$3, 0))/1000</f>
        <v>0.36012750000000088</v>
      </c>
      <c r="AO69" s="384">
        <f t="array" ref="AO69">INDEX(Demand_previous!$D$4:$AY$138, MATCH('Staging Table'!$A69, Demand_previous!$B$4:$B$138, 0), MATCH(AO$4&amp;AO$5,Demand_previous!$D$2:$AY$2&amp;Demand_previous!$D$3:$AY$3, 0))/1000</f>
        <v>1.0634027777777781</v>
      </c>
      <c r="AP69" s="384">
        <f t="array" ref="AP69">INDEX(Demand_previous!$D$4:$AY$138, MATCH('Staging Table'!$A69, Demand_previous!$B$4:$B$138, 0), MATCH(AP$4&amp;AP$5,Demand_previous!$D$2:$AY$2&amp;Demand_previous!$D$3:$AY$3, 0))/1000</f>
        <v>0.83503846153846206</v>
      </c>
      <c r="AQ69" s="384">
        <f t="array" ref="AQ69">INDEX(Demand_previous!$D$4:$AY$138, MATCH('Staging Table'!$A69, Demand_previous!$B$4:$B$138, 0), MATCH(AQ$4&amp;AQ$5,Demand_previous!$D$2:$AY$2&amp;Demand_previous!$D$3:$AY$3, 0))/1000</f>
        <v>0.88859500000000025</v>
      </c>
      <c r="AR69" s="384">
        <f t="array" ref="AR69">INDEX(Demand_previous!$D$4:$AY$138, MATCH('Staging Table'!$A69, Demand_previous!$B$4:$B$138, 0), MATCH(AR$4&amp;AR$5,Demand_previous!$D$2:$AY$2&amp;Demand_previous!$D$3:$AY$3, 0))/1000</f>
        <v>0.52850240384615388</v>
      </c>
      <c r="AS69" s="384">
        <f t="array" ref="AS69">INDEX(Demand_previous!$D$4:$AY$138, MATCH('Staging Table'!$A69, Demand_previous!$B$4:$B$138, 0), MATCH(AS$4&amp;AS$5,Demand_previous!$D$2:$AY$2&amp;Demand_previous!$D$3:$AY$3, 0))/1000</f>
        <v>0.64007499999999951</v>
      </c>
      <c r="AT69" s="384">
        <f t="array" ref="AT69">INDEX(Demand_previous!$D$4:$AY$138, MATCH('Staging Table'!$A69, Demand_previous!$B$4:$B$138, 0), MATCH(AT$4&amp;AT$5,Demand_previous!$D$2:$AY$2&amp;Demand_previous!$D$3:$AY$3, 0))/1000</f>
        <v>0.95470138888888911</v>
      </c>
      <c r="AU69" s="384">
        <f t="array" ref="AU69">INDEX(Demand_previous!$D$4:$AY$138, MATCH('Staging Table'!$A69, Demand_previous!$B$4:$B$138, 0), MATCH(AU$4&amp;AU$5,Demand_previous!$D$2:$AY$2&amp;Demand_previous!$D$3:$AY$3, 0))/1000</f>
        <v>0.86583999999999961</v>
      </c>
      <c r="AV69" s="384">
        <f>IF($D69=0,IF(C69=0, MAX(AY69 - (VLOOKUP($A69,TOCA_previous!$A$2:$AI$137,MATCH("RHWM 2016",TOCA_previous!$A$2:$AI$2,0),FALSE)*$F$2*TOCA_previous!C66),0),0), 0)</f>
        <v>2959.9411062937434</v>
      </c>
      <c r="AW69" s="427">
        <f>VLOOKUP($A69,REP_previous!$A$1:$D$135,MATCH("FY "&amp;$F$1&amp; " Total Refund",REP_previous!$A$1:$D$1,0),0)</f>
        <v>1372787.9101669313</v>
      </c>
      <c r="AX69" s="398">
        <f>MIN(VLOOKUP($A69,TOCA_previous!$A$2:$AI$137,MATCH("TRL - NLSL - Exisiting Resource "&amp;$F$1,TOCA_previous!$A$2:$AI$2,0),FALSE)*$F$2,(VLOOKUP($A69,TOCA_previous!$A$2:$AI$137,MATCH("RHWM 2016",TOCA_previous!$A$2:$AI$2,0),FALSE)*$F$2))</f>
        <v>45158.544000000002</v>
      </c>
      <c r="AY69" s="384">
        <f>SUM(L69:AI69)+(F69*RT1SC!$C$3*$F$2)</f>
        <v>48118.485106293745</v>
      </c>
      <c r="AZ69" s="398">
        <f>VLOOKUP($A69,TOCA_previous!$A$2:$AI$137,MATCH("Above RHWM Not Served with LS "&amp;$F$1,TOCA_previous!$A$2:$AI$2,0),FALSE)*$F$2</f>
        <v>0</v>
      </c>
      <c r="BA69" s="206">
        <f t="shared" si="3"/>
        <v>2959.9411062937434</v>
      </c>
      <c r="BB69" s="399">
        <f>(VLOOKUP($A69,TOCA_previous!$A$2:$AI$137,MATCH("RHWM 2016",TOCA_previous!$A$2:$AI$2,0),FALSE)*$F$2) - $AX69</f>
        <v>0</v>
      </c>
      <c r="BC69" s="206">
        <f t="shared" si="4"/>
        <v>0</v>
      </c>
      <c r="BD69" s="400">
        <f t="shared" si="5"/>
        <v>0</v>
      </c>
      <c r="BE69" s="392">
        <f t="shared" si="6"/>
        <v>0</v>
      </c>
      <c r="BF69" s="399">
        <f t="shared" si="7"/>
        <v>0</v>
      </c>
      <c r="BG69" s="206">
        <f>VLOOKUP($A69,TOCA_current!$A$2:$AI$137,MATCH(BG$4,TOCA_current!$A$2:$AI$2,0),FALSE)</f>
        <v>7.3550000000000004E-4</v>
      </c>
      <c r="BH69" s="206">
        <f>VLOOKUP($A69,TOCA_current!$A$2:$AI$137,MATCH(BH$4,TOCA_current!$A$2:$AI$2,0),FALSE)</f>
        <v>7.3550000000000004E-4</v>
      </c>
      <c r="BI69" s="391">
        <f t="shared" si="8"/>
        <v>0</v>
      </c>
      <c r="BJ69" s="206">
        <f>VLOOKUP($A69,TOCA_current!A65:BG200,MATCH(BJ$4,TOCA_current!$A$2:$BG$2,0),FALSE)</f>
        <v>0</v>
      </c>
      <c r="BK69" s="206">
        <f t="shared" si="9"/>
        <v>0</v>
      </c>
      <c r="BL69" s="206">
        <f t="shared" si="10"/>
        <v>0</v>
      </c>
      <c r="BM69" s="381">
        <f>VLOOKUP($A69,IRD!$A$4:$G$139, 7, FALSE)</f>
        <v>0</v>
      </c>
      <c r="BN69" s="382">
        <f t="array" ref="BN69">IF($BI69=0, INDEX(LS_current!$D$4:$AY$139, MATCH('Staging Table'!$A69, LS_current!$B$4:$B$139, 0), MATCH(BN$4&amp;BN$5, LS_current!$D$2:$AY$2&amp;LS_current!$D$3:$AY$3, 0)),SUM(VLOOKUP($A69, LS_current!$B$4:$AY$139, LS_current!D$149, FALSE), VLOOKUP($A69, LS_current!$B$4:$AY$139,LS_current!D$149, FALSE))/2)</f>
        <v>-438.83230335325106</v>
      </c>
      <c r="BO69" s="382">
        <f t="array" ref="BO69">IF($BI69=0, INDEX(LS_current!$D$4:$AY$139, MATCH('Staging Table'!$A69, LS_current!$B$4:$B$139, 0), MATCH(BO$4&amp;BO$5, LS_current!$D$2:$AY$2&amp;LS_current!$D$3:$AY$3, 0)),SUM(VLOOKUP($A69, LS_current!$B$4:$AY$139, LS_current!E$149, FALSE), VLOOKUP($A69, LS_current!$B$4:$AY$139,LS_current!E$149, FALSE))/2)</f>
        <v>-43.312870884226413</v>
      </c>
      <c r="BP69" s="382">
        <f t="array" ref="BP69">IF($BI69=0, INDEX(LS_current!$D$4:$AY$139, MATCH('Staging Table'!$A69, LS_current!$B$4:$B$139, 0), MATCH(BP$4&amp;BP$5, LS_current!$D$2:$AY$2&amp;LS_current!$D$3:$AY$3, 0)),SUM(VLOOKUP($A69, LS_current!$B$4:$AY$139, LS_current!F$149, FALSE), VLOOKUP($A69, LS_current!$B$4:$AY$139,LS_current!F$149, FALSE))/2)</f>
        <v>219.72931486924563</v>
      </c>
      <c r="BQ69" s="382">
        <f t="array" ref="BQ69">IF($BI69=0, INDEX(LS_current!$D$4:$AY$139, MATCH('Staging Table'!$A69, LS_current!$B$4:$B$139, 0), MATCH(BQ$4&amp;BQ$5, LS_current!$D$2:$AY$2&amp;LS_current!$D$3:$AY$3, 0)),SUM(VLOOKUP($A69, LS_current!$B$4:$AY$139, LS_current!G$149, FALSE), VLOOKUP($A69, LS_current!$B$4:$AY$139,LS_current!G$149, FALSE))/2)</f>
        <v>523.2255403171132</v>
      </c>
      <c r="BR69" s="382">
        <f t="array" ref="BR69">IF($BI69=0, INDEX(LS_current!$D$4:$AY$139, MATCH('Staging Table'!$A69, LS_current!$B$4:$B$139, 0), MATCH(BR$4&amp;BR$5, LS_current!$D$2:$AY$2&amp;LS_current!$D$3:$AY$3, 0)),SUM(VLOOKUP($A69, LS_current!$B$4:$AY$139, LS_current!H$149, FALSE), VLOOKUP($A69, LS_current!$B$4:$AY$139,LS_current!H$149, FALSE))/2)</f>
        <v>1294.0906034618465</v>
      </c>
      <c r="BS69" s="382">
        <f t="array" ref="BS69">IF($BI69=0, INDEX(LS_current!$D$4:$AY$139, MATCH('Staging Table'!$A69, LS_current!$B$4:$B$139, 0), MATCH(BS$4&amp;BS$5, LS_current!$D$2:$AY$2&amp;LS_current!$D$3:$AY$3, 0)),SUM(VLOOKUP($A69, LS_current!$B$4:$AY$139, LS_current!I$149, FALSE), VLOOKUP($A69, LS_current!$B$4:$AY$139,LS_current!I$149, FALSE))/2)</f>
        <v>1221.2108621279401</v>
      </c>
      <c r="BT69" s="382">
        <f t="array" ref="BT69">IF($BI69=0, INDEX(LS_current!$D$4:$AY$139, MATCH('Staging Table'!$A69, LS_current!$B$4:$B$139, 0), MATCH(BT$4&amp;BT$5, LS_current!$D$2:$AY$2&amp;LS_current!$D$3:$AY$3, 0)),SUM(VLOOKUP($A69, LS_current!$B$4:$AY$139, LS_current!J$149, FALSE), VLOOKUP($A69, LS_current!$B$4:$AY$139,LS_current!J$149, FALSE))/2)</f>
        <v>1529.7933474457955</v>
      </c>
      <c r="BU69" s="382">
        <f t="array" ref="BU69">IF($BI69=0, INDEX(LS_current!$D$4:$AY$139, MATCH('Staging Table'!$A69, LS_current!$B$4:$B$139, 0), MATCH(BU$4&amp;BU$5, LS_current!$D$2:$AY$2&amp;LS_current!$D$3:$AY$3, 0)),SUM(VLOOKUP($A69, LS_current!$B$4:$AY$139, LS_current!K$149, FALSE), VLOOKUP($A69, LS_current!$B$4:$AY$139,LS_current!K$149, FALSE))/2)</f>
        <v>1329.5225534040239</v>
      </c>
      <c r="BV69" s="382">
        <f t="array" ref="BV69">IF($BI69=0, INDEX(LS_current!$D$4:$AY$139, MATCH('Staging Table'!$A69, LS_current!$B$4:$B$139, 0), MATCH(BV$4&amp;BV$5, LS_current!$D$2:$AY$2&amp;LS_current!$D$3:$AY$3, 0)),SUM(VLOOKUP($A69, LS_current!$B$4:$AY$139, LS_current!L$149, FALSE), VLOOKUP($A69, LS_current!$B$4:$AY$139,LS_current!L$149, FALSE))/2)</f>
        <v>924.32873952477757</v>
      </c>
      <c r="BW69" s="382">
        <f t="array" ref="BW69">IF($BI69=0, INDEX(LS_current!$D$4:$AY$139, MATCH('Staging Table'!$A69, LS_current!$B$4:$B$139, 0), MATCH(BW$4&amp;BW$5, LS_current!$D$2:$AY$2&amp;LS_current!$D$3:$AY$3, 0)),SUM(VLOOKUP($A69, LS_current!$B$4:$AY$139, LS_current!M$149, FALSE), VLOOKUP($A69, LS_current!$B$4:$AY$139,LS_current!M$149, FALSE))/2)</f>
        <v>852.38987962266242</v>
      </c>
      <c r="BX69" s="382">
        <f t="array" ref="BX69">IF($BI69=0, INDEX(LS_current!$D$4:$AY$139, MATCH('Staging Table'!$A69, LS_current!$B$4:$B$139, 0), MATCH(BX$4&amp;BX$5, LS_current!$D$2:$AY$2&amp;LS_current!$D$3:$AY$3, 0)),SUM(VLOOKUP($A69, LS_current!$B$4:$AY$139, LS_current!N$149, FALSE), VLOOKUP($A69, LS_current!$B$4:$AY$139,LS_current!N$149, FALSE))/2)</f>
        <v>131.57245685980797</v>
      </c>
      <c r="BY69" s="382">
        <f t="array" ref="BY69">IF($BI69=0, INDEX(LS_current!$D$4:$AY$139, MATCH('Staging Table'!$A69, LS_current!$B$4:$B$139, 0), MATCH(BY$4&amp;BY$5, LS_current!$D$2:$AY$2&amp;LS_current!$D$3:$AY$3, 0)),SUM(VLOOKUP($A69, LS_current!$B$4:$AY$139, LS_current!O$149, FALSE), VLOOKUP($A69, LS_current!$B$4:$AY$139,LS_current!O$149, FALSE))/2)</f>
        <v>310.22049669311605</v>
      </c>
      <c r="BZ69" s="382">
        <f t="array" ref="BZ69">IF($BI69=0, INDEX(LS_current!$D$4:$AY$139, MATCH('Staging Table'!$A69, LS_current!$B$4:$B$139, 0), MATCH(BZ$4&amp;BZ$5, LS_current!$D$2:$AY$2&amp;LS_current!$D$3:$AY$3, 0)),SUM(VLOOKUP($A69, LS_current!$B$4:$AY$139, LS_current!P$149, FALSE), VLOOKUP($A69, LS_current!$B$4:$AY$139,LS_current!P$149, FALSE))/2)</f>
        <v>-244.62402602897873</v>
      </c>
      <c r="CA69" s="382">
        <f t="array" ref="CA69">IF($BI69=0, INDEX(LS_current!$D$4:$AY$139, MATCH('Staging Table'!$A69, LS_current!$B$4:$B$139, 0), MATCH(CA$4&amp;CA$5, LS_current!$D$2:$AY$2&amp;LS_current!$D$3:$AY$3, 0)),SUM(VLOOKUP($A69, LS_current!$B$4:$AY$139, LS_current!Q$149, FALSE), VLOOKUP($A69, LS_current!$B$4:$AY$139,LS_current!Q$149, FALSE))/2)</f>
        <v>88.56690805102653</v>
      </c>
      <c r="CB69" s="382">
        <f t="array" ref="CB69">IF($BI69=0, INDEX(LS_current!$D$4:$AY$139, MATCH('Staging Table'!$A69, LS_current!$B$4:$B$139, 0), MATCH(CB$4&amp;CB$5, LS_current!$D$2:$AY$2&amp;LS_current!$D$3:$AY$3, 0)),SUM(VLOOKUP($A69, LS_current!$B$4:$AY$139, LS_current!R$149, FALSE), VLOOKUP($A69, LS_current!$B$4:$AY$139,LS_current!R$149, FALSE))/2)</f>
        <v>-1427.1390551615202</v>
      </c>
      <c r="CC69" s="382">
        <f t="array" ref="CC69">IF($BI69=0, INDEX(LS_current!$D$4:$AY$139, MATCH('Staging Table'!$A69, LS_current!$B$4:$B$139, 0), MATCH(CC$4&amp;CC$5, LS_current!$D$2:$AY$2&amp;LS_current!$D$3:$AY$3, 0)),SUM(VLOOKUP($A69, LS_current!$B$4:$AY$139, LS_current!S$149, FALSE), VLOOKUP($A69, LS_current!$B$4:$AY$139,LS_current!S$149, FALSE))/2)</f>
        <v>-624.98926827193122</v>
      </c>
      <c r="CD69" s="382">
        <f t="array" ref="CD69">IF($BI69=0, INDEX(LS_current!$D$4:$AY$139, MATCH('Staging Table'!$A69, LS_current!$B$4:$B$139, 0), MATCH(CD$4&amp;CD$5, LS_current!$D$2:$AY$2&amp;LS_current!$D$3:$AY$3, 0)),SUM(VLOOKUP($A69, LS_current!$B$4:$AY$139, LS_current!T$149, FALSE), VLOOKUP($A69, LS_current!$B$4:$AY$139,LS_current!T$149, FALSE))/2)</f>
        <v>-765.73901396354677</v>
      </c>
      <c r="CE69" s="382">
        <f t="array" ref="CE69">IF($BI69=0, INDEX(LS_current!$D$4:$AY$139, MATCH('Staging Table'!$A69, LS_current!$B$4:$B$139, 0), MATCH(CE$4&amp;CE$5, LS_current!$D$2:$AY$2&amp;LS_current!$D$3:$AY$3, 0)),SUM(VLOOKUP($A69, LS_current!$B$4:$AY$139, LS_current!U$149, FALSE), VLOOKUP($A69, LS_current!$B$4:$AY$139,LS_current!U$149, FALSE))/2)</f>
        <v>-334.78833813643053</v>
      </c>
      <c r="CF69" s="382">
        <f t="array" ref="CF69">IF($BI69=0, INDEX(LS_current!$D$4:$AY$139, MATCH('Staging Table'!$A69, LS_current!$B$4:$B$139, 0), MATCH(CF$4&amp;CF$5, LS_current!$D$2:$AY$2&amp;LS_current!$D$3:$AY$3, 0)),SUM(VLOOKUP($A69, LS_current!$B$4:$AY$139, LS_current!V$149, FALSE), VLOOKUP($A69, LS_current!$B$4:$AY$139,LS_current!V$149, FALSE))/2)</f>
        <v>-75.739806374871478</v>
      </c>
      <c r="CG69" s="382">
        <f t="array" ref="CG69">IF($BI69=0, INDEX(LS_current!$D$4:$AY$139, MATCH('Staging Table'!$A69, LS_current!$B$4:$B$139, 0), MATCH(CG$4&amp;CG$5, LS_current!$D$2:$AY$2&amp;LS_current!$D$3:$AY$3, 0)),SUM(VLOOKUP($A69, LS_current!$B$4:$AY$139, LS_current!W$149, FALSE), VLOOKUP($A69, LS_current!$B$4:$AY$139,LS_current!W$149, FALSE))/2)</f>
        <v>121.97312491772095</v>
      </c>
      <c r="CH69" s="382">
        <f t="array" ref="CH69">IF($BI69=0, INDEX(LS_current!$D$4:$AY$139, MATCH('Staging Table'!$A69, LS_current!$B$4:$B$139, 0), MATCH(CH$4&amp;CH$5, LS_current!$D$2:$AY$2&amp;LS_current!$D$3:$AY$3, 0)),SUM(VLOOKUP($A69, LS_current!$B$4:$AY$139, LS_current!X$149, FALSE), VLOOKUP($A69, LS_current!$B$4:$AY$139,LS_current!X$149, FALSE))/2)</f>
        <v>-382.0616089018913</v>
      </c>
      <c r="CI69" s="382">
        <f t="array" ref="CI69">IF($BI69=0, INDEX(LS_current!$D$4:$AY$139, MATCH('Staging Table'!$A69, LS_current!$B$4:$B$139, 0), MATCH(CI$4&amp;CI$5, LS_current!$D$2:$AY$2&amp;LS_current!$D$3:$AY$3, 0)),SUM(VLOOKUP($A69, LS_current!$B$4:$AY$139, LS_current!Y$149, FALSE), VLOOKUP($A69, LS_current!$B$4:$AY$139,LS_current!Y$149, FALSE))/2)</f>
        <v>-74.567778444325995</v>
      </c>
      <c r="CJ69" s="382">
        <f t="array" ref="CJ69">IF($BI69=0, INDEX(LS_current!$D$4:$AY$139, MATCH('Staging Table'!$A69, LS_current!$B$4:$B$139, 0), MATCH(CJ$4&amp;CJ$5, LS_current!$D$2:$AY$2&amp;LS_current!$D$3:$AY$3, 0)),SUM(VLOOKUP($A69, LS_current!$B$4:$AY$139, LS_current!Z$149, FALSE), VLOOKUP($A69, LS_current!$B$4:$AY$139,LS_current!Z$149, FALSE))/2)</f>
        <v>-573.81588527524445</v>
      </c>
      <c r="CK69" s="382">
        <f t="array" ref="CK69">IF($BI69=0, INDEX(LS_current!$D$4:$AY$139, MATCH('Staging Table'!$A69, LS_current!$B$4:$B$139, 0), MATCH(CK$4&amp;CK$5, LS_current!$D$2:$AY$2&amp;LS_current!$D$3:$AY$3, 0)),SUM(VLOOKUP($A69, LS_current!$B$4:$AY$139, LS_current!AA$149, FALSE), VLOOKUP($A69, LS_current!$B$4:$AY$139,LS_current!AA$149, FALSE))/2)</f>
        <v>-188.03210078068741</v>
      </c>
      <c r="CL69" s="384">
        <f t="array" ref="CL69">INDEX(Demand_current!$D$4:$AY$138, MATCH($A69, Demand_current!$B$4:$B$138, 0), MATCH(CL$4&amp;CL$5,Demand_current!$D$2:$AY$2&amp;Demand_current!$D$3:$AY$3, 0))/1000</f>
        <v>0</v>
      </c>
      <c r="CM69" s="384">
        <f t="array" ref="CM69">INDEX(Demand_current!$D$4:$AY$138, MATCH($A69, Demand_current!$B$4:$B$138, 0), MATCH(CM$4&amp;CM$5,Demand_current!$D$2:$AY$2&amp;Demand_current!$D$3:$AY$3, 0))/1000</f>
        <v>1.5304324999999999</v>
      </c>
      <c r="CN69" s="384">
        <f t="array" ref="CN69">INDEX(Demand_current!$D$4:$AY$138, MATCH($A69, Demand_current!$B$4:$B$138, 0), MATCH(CN$4&amp;CN$5,Demand_current!$D$2:$AY$2&amp;Demand_current!$D$3:$AY$3, 0))/1000</f>
        <v>2.5155500000000006</v>
      </c>
      <c r="CO69" s="384">
        <f t="array" ref="CO69">INDEX(Demand_current!$D$4:$AY$138, MATCH($A69, Demand_current!$B$4:$B$138, 0), MATCH(CO$4&amp;CO$5,Demand_current!$D$2:$AY$2&amp;Demand_current!$D$3:$AY$3, 0))/1000</f>
        <v>1.7681514423076927</v>
      </c>
      <c r="CP69" s="384">
        <f t="array" ref="CP69">INDEX(Demand_current!$D$4:$AY$138, MATCH($A69, Demand_current!$B$4:$B$138, 0), MATCH(CP$4&amp;CP$5,Demand_current!$D$2:$AY$2&amp;Demand_current!$D$3:$AY$3, 0))/1000</f>
        <v>6.9757812500000682E-2</v>
      </c>
      <c r="CQ69" s="384">
        <f t="array" ref="CQ69">INDEX(Demand_current!$D$4:$AY$138, MATCH($A69, Demand_current!$B$4:$B$138, 0), MATCH(CQ$4&amp;CQ$5,Demand_current!$D$2:$AY$2&amp;Demand_current!$D$3:$AY$3, 0))/1000</f>
        <v>1.0634027777777781</v>
      </c>
      <c r="CR69" s="384">
        <f t="array" ref="CR69">INDEX(Demand_current!$D$4:$AY$138, MATCH($A69, Demand_current!$B$4:$B$138, 0), MATCH(CR$4&amp;CR$5,Demand_current!$D$2:$AY$2&amp;Demand_current!$D$3:$AY$3, 0))/1000</f>
        <v>0.65100000000000025</v>
      </c>
      <c r="CS69" s="384">
        <f t="array" ref="CS69">INDEX(Demand_current!$D$4:$AY$138, MATCH($A69, Demand_current!$B$4:$B$138, 0), MATCH(CS$4&amp;CS$5,Demand_current!$D$2:$AY$2&amp;Demand_current!$D$3:$AY$3, 0))/1000</f>
        <v>1.0532259615384614</v>
      </c>
      <c r="CT69" s="384">
        <f t="array" ref="CT69">INDEX(Demand_current!$D$4:$AY$138, MATCH($A69, Demand_current!$B$4:$B$138, 0), MATCH(CT$4&amp;CT$5,Demand_current!$D$2:$AY$2&amp;Demand_current!$D$3:$AY$3, 0))/1000</f>
        <v>0.52850240384615388</v>
      </c>
      <c r="CU69" s="384">
        <f t="array" ref="CU69">INDEX(Demand_current!$D$4:$AY$138, MATCH($A69, Demand_current!$B$4:$B$138, 0), MATCH(CU$4&amp;CU$5,Demand_current!$D$2:$AY$2&amp;Demand_current!$D$3:$AY$3, 0))/1000</f>
        <v>0.64007499999999951</v>
      </c>
      <c r="CV69" s="384">
        <f t="array" ref="CV69">INDEX(Demand_current!$D$4:$AY$138, MATCH($A69, Demand_current!$B$4:$B$138, 0), MATCH(CV$4&amp;CV$5,Demand_current!$D$2:$AY$2&amp;Demand_current!$D$3:$AY$3, 0))/1000</f>
        <v>0.95470138888888911</v>
      </c>
      <c r="CW69" s="384">
        <f t="array" ref="CW69">INDEX(Demand_current!$D$4:$AY$138, MATCH($A69, Demand_current!$B$4:$B$138, 0), MATCH(CW$4&amp;CW$5,Demand_current!$D$2:$AY$2&amp;Demand_current!$D$3:$AY$3, 0))/1000</f>
        <v>0.69762499999999961</v>
      </c>
      <c r="CX69" s="384">
        <f>IF(D69=0,IF(C69=0,MAX(0,DA69 - (VLOOKUP($A69,TOCA_current!$A$2:$AI$137,MATCH("RHWM 2018",TOCA_current!$A$2:$AI$2,0),FALSE)*$BH$2)), 0),0)</f>
        <v>3372.4056527981738</v>
      </c>
      <c r="CY69" s="427">
        <f>VLOOKUP($A69,REP_current!$A$1:$D$135,MATCH("FY "&amp;$BH$1&amp; " Total Refund",REP_current!$A$1:$D$1,0),0)</f>
        <v>1376110.9197385786</v>
      </c>
      <c r="CZ69" s="432">
        <f>MIN(VLOOKUP($A69,TOCA_current!$A$2:$AI$137,MATCH("TRL - NLSL - Existing Resource "&amp;$BH$1,TOCA_current!$A$2:$AI$2,0),FALSE)*$BH$2, VLOOKUP($A69,TOCA_current!$A$2:$AI$137,MATCH("RHWM 2018",TOCA_current!$A$2:$AI$2,0),FALSE)*$BH$2)</f>
        <v>44746.079999999994</v>
      </c>
      <c r="DA69" s="397">
        <f>SUM(BN69:CK69)+(BH69*RT1SC!$C$4*$BH$2)</f>
        <v>48118.485652798168</v>
      </c>
      <c r="DB69" s="432">
        <f>VLOOKUP($A69,TOCA_current!$A$2:$AI$137,MATCH("Above RHWM Not Served with LS "&amp;$BH$1,TOCA_current!$A$2:$AI$2,0),FALSE)*$BH$2</f>
        <v>0</v>
      </c>
      <c r="DC69" s="401">
        <f t="shared" si="11"/>
        <v>3372.4056527981738</v>
      </c>
      <c r="DD69" s="397">
        <f>(VLOOKUP($A69,TOCA_current!$A$2:$AI$137,MATCH("RHWM 2018",TOCA_current!$A$2:$AI$2,0),FALSE)*$BH$2) - $CZ69</f>
        <v>0</v>
      </c>
      <c r="DE69" s="397">
        <f t="shared" si="12"/>
        <v>0</v>
      </c>
      <c r="DF69" s="397">
        <f t="shared" si="13"/>
        <v>0</v>
      </c>
      <c r="DG69" s="397">
        <f t="shared" si="14"/>
        <v>0</v>
      </c>
      <c r="DH69" s="397">
        <f t="shared" si="15"/>
        <v>0</v>
      </c>
    </row>
    <row r="70" spans="1:112">
      <c r="A70" s="274">
        <v>10191</v>
      </c>
      <c r="B70" s="275" t="s">
        <v>71</v>
      </c>
      <c r="C70" s="397">
        <v>0</v>
      </c>
      <c r="D70" s="397">
        <v>1</v>
      </c>
      <c r="E70" s="205">
        <f>VLOOKUP($A70,TOCA_previous!$A$2:$AI$137,MATCH(E$4,TOCA_previous!$A$2:$AI$2,0),FALSE)</f>
        <v>1.8268599999999999E-2</v>
      </c>
      <c r="F70" s="206">
        <f>VLOOKUP($A70,TOCA_previous!$A$2:$AI$137,MATCH(F$4,TOCA_previous!$A$2:$AI$2,0),FALSE)</f>
        <v>8.5725999999999997E-3</v>
      </c>
      <c r="G70" s="206">
        <f t="shared" si="0"/>
        <v>9.6959999999999998E-3</v>
      </c>
      <c r="H70" s="206">
        <f>VLOOKUP($A70,TOCA_previous!$A$2:$AI$137,MATCH(H$4,TOCA_previous!$A$2:$AI$2,0),FALSE)</f>
        <v>0</v>
      </c>
      <c r="I70" s="206">
        <f t="shared" si="1"/>
        <v>0</v>
      </c>
      <c r="J70" s="206">
        <f t="shared" si="2"/>
        <v>0</v>
      </c>
      <c r="K70" s="381">
        <f>VLOOKUP(A70, IRD!$A$5:$C$139, 3, FALSE)</f>
        <v>0</v>
      </c>
      <c r="L70" s="382">
        <f t="array" ref="L70">IF($G70=0, INDEX(LS_previous!$D$4:$AY$138, MATCH('Staging Table'!$A70, LS_previous!$B$4:$B$138, 0), MATCH(L$4&amp;L$5, LS_previous!$D$2:$AY$2&amp;LS_previous!$D$3:$AY$3, 0)),SUM(VLOOKUP($A70, LS_previous!$B$4:$AY$138, LS_previous!D$149, FALSE), VLOOKUP('Staging Table'!$A70, LS_previous!$B$4:$AY$138,LS_previous!AB$149, FALSE))/2)</f>
        <v>-2672.7784131415719</v>
      </c>
      <c r="M70" s="382">
        <f t="array" ref="M70">IF($G70=0, INDEX(LS_previous!$D$4:$AY$138, MATCH('Staging Table'!$A70, LS_previous!$B$4:$B$138, 0), MATCH(M$4&amp;M$5, LS_previous!$D$2:$AY$2&amp;LS_previous!$D$3:$AY$3, 0)),SUM(VLOOKUP($A70, LS_previous!$B$4:$AY$138, LS_previous!E$149, FALSE), VLOOKUP('Staging Table'!$A70, LS_previous!$B$4:$AY$138,LS_previous!AC$149, FALSE))/2)</f>
        <v>2813.9458733173715</v>
      </c>
      <c r="N70" s="382">
        <f t="array" ref="N70">IF($G70=0, INDEX(LS_previous!$D$4:$AY$138, MATCH('Staging Table'!$A70, LS_previous!$B$4:$B$138, 0), MATCH(N$4&amp;N$5, LS_previous!$D$2:$AY$2&amp;LS_previous!$D$3:$AY$3, 0)),SUM(VLOOKUP($A70, LS_previous!$B$4:$AY$138, LS_previous!F$149, FALSE), VLOOKUP('Staging Table'!$A70, LS_previous!$B$4:$AY$138,LS_previous!AD$149, FALSE))/2)</f>
        <v>-4117.0550661967955</v>
      </c>
      <c r="O70" s="382">
        <f t="array" ref="O70">IF($G70=0, INDEX(LS_previous!$D$4:$AY$138, MATCH('Staging Table'!$A70, LS_previous!$B$4:$B$138, 0), MATCH(O$4&amp;O$5, LS_previous!$D$2:$AY$2&amp;LS_previous!$D$3:$AY$3, 0)),SUM(VLOOKUP($A70, LS_previous!$B$4:$AY$138, LS_previous!G$149, FALSE), VLOOKUP('Staging Table'!$A70, LS_previous!$B$4:$AY$138,LS_previous!AE$149, FALSE))/2)</f>
        <v>3746.582586910019</v>
      </c>
      <c r="P70" s="382">
        <f t="array" ref="P70">IF($G70=0, INDEX(LS_previous!$D$4:$AY$138, MATCH('Staging Table'!$A70, LS_previous!$B$4:$B$138, 0), MATCH(P$4&amp;P$5, LS_previous!$D$2:$AY$2&amp;LS_previous!$D$3:$AY$3, 0)),SUM(VLOOKUP($A70, LS_previous!$B$4:$AY$138, LS_previous!H$149, FALSE), VLOOKUP('Staging Table'!$A70, LS_previous!$B$4:$AY$138,LS_previous!AF$149, FALSE))/2)</f>
        <v>1831.2173109385258</v>
      </c>
      <c r="Q70" s="382">
        <f t="array" ref="Q70">IF($G70=0, INDEX(LS_previous!$D$4:$AY$138, MATCH('Staging Table'!$A70, LS_previous!$B$4:$B$138, 0), MATCH(Q$4&amp;Q$5, LS_previous!$D$2:$AY$2&amp;LS_previous!$D$3:$AY$3, 0)),SUM(VLOOKUP($A70, LS_previous!$B$4:$AY$138, LS_previous!I$149, FALSE), VLOOKUP('Staging Table'!$A70, LS_previous!$B$4:$AY$138,LS_previous!AG$149, FALSE))/2)</f>
        <v>6456.1419981239287</v>
      </c>
      <c r="R70" s="382">
        <f t="array" ref="R70">IF($G70=0, INDEX(LS_previous!$D$4:$AY$138, MATCH('Staging Table'!$A70, LS_previous!$B$4:$B$138, 0), MATCH(R$4&amp;R$5, LS_previous!$D$2:$AY$2&amp;LS_previous!$D$3:$AY$3, 0)),SUM(VLOOKUP($A70, LS_previous!$B$4:$AY$138, LS_previous!J$149, FALSE), VLOOKUP('Staging Table'!$A70, LS_previous!$B$4:$AY$138,LS_previous!AH$149, FALSE))/2)</f>
        <v>4601.6486214283505</v>
      </c>
      <c r="S70" s="382">
        <f t="array" ref="S70">IF($G70=0, INDEX(LS_previous!$D$4:$AY$138, MATCH('Staging Table'!$A70, LS_previous!$B$4:$B$138, 0), MATCH(S$4&amp;S$5, LS_previous!$D$2:$AY$2&amp;LS_previous!$D$3:$AY$3, 0)),SUM(VLOOKUP($A70, LS_previous!$B$4:$AY$138, LS_previous!K$149, FALSE), VLOOKUP('Staging Table'!$A70, LS_previous!$B$4:$AY$138,LS_previous!AI$149, FALSE))/2)</f>
        <v>10040.698988953902</v>
      </c>
      <c r="T70" s="382">
        <f t="array" ref="T70">IF($G70=0, INDEX(LS_previous!$D$4:$AY$138, MATCH('Staging Table'!$A70, LS_previous!$B$4:$B$138, 0), MATCH(T$4&amp;T$5, LS_previous!$D$2:$AY$2&amp;LS_previous!$D$3:$AY$3, 0)),SUM(VLOOKUP($A70, LS_previous!$B$4:$AY$138, LS_previous!L$149, FALSE), VLOOKUP('Staging Table'!$A70, LS_previous!$B$4:$AY$138,LS_previous!AJ$149, FALSE))/2)</f>
        <v>4378.7498188895079</v>
      </c>
      <c r="U70" s="382">
        <f t="array" ref="U70">IF($G70=0, INDEX(LS_previous!$D$4:$AY$138, MATCH('Staging Table'!$A70, LS_previous!$B$4:$B$138, 0), MATCH(U$4&amp;U$5, LS_previous!$D$2:$AY$2&amp;LS_previous!$D$3:$AY$3, 0)),SUM(VLOOKUP($A70, LS_previous!$B$4:$AY$138, LS_previous!M$149, FALSE), VLOOKUP('Staging Table'!$A70, LS_previous!$B$4:$AY$138,LS_previous!AK$149, FALSE))/2)</f>
        <v>6596.2497672685722</v>
      </c>
      <c r="V70" s="382">
        <f t="array" ref="V70">IF($G70=0, INDEX(LS_previous!$D$4:$AY$138, MATCH('Staging Table'!$A70, LS_previous!$B$4:$B$138, 0), MATCH(V$4&amp;V$5, LS_previous!$D$2:$AY$2&amp;LS_previous!$D$3:$AY$3, 0)),SUM(VLOOKUP($A70, LS_previous!$B$4:$AY$138, LS_previous!N$149, FALSE), VLOOKUP('Staging Table'!$A70, LS_previous!$B$4:$AY$138,LS_previous!AL$149, FALSE))/2)</f>
        <v>354.59909751472151</v>
      </c>
      <c r="W70" s="382">
        <f t="array" ref="W70">IF($G70=0, INDEX(LS_previous!$D$4:$AY$138, MATCH('Staging Table'!$A70, LS_previous!$B$4:$B$138, 0), MATCH(W$4&amp;W$5, LS_previous!$D$2:$AY$2&amp;LS_previous!$D$3:$AY$3, 0)),SUM(VLOOKUP($A70, LS_previous!$B$4:$AY$138, LS_previous!O$149, FALSE), VLOOKUP('Staging Table'!$A70, LS_previous!$B$4:$AY$138,LS_previous!AM$149, FALSE))/2)</f>
        <v>3278.3840155457292</v>
      </c>
      <c r="X70" s="382">
        <f t="array" ref="X70">IF($G70=0, INDEX(LS_previous!$D$4:$AY$138, MATCH('Staging Table'!$A70, LS_previous!$B$4:$B$138, 0), MATCH(X$4&amp;X$5, LS_previous!$D$2:$AY$2&amp;LS_previous!$D$3:$AY$3, 0)),SUM(VLOOKUP($A70, LS_previous!$B$4:$AY$138, LS_previous!P$149, FALSE), VLOOKUP('Staging Table'!$A70, LS_previous!$B$4:$AY$138,LS_previous!AN$149, FALSE))/2)</f>
        <v>1549.4673341571361</v>
      </c>
      <c r="Y70" s="382">
        <f t="array" ref="Y70">IF($G70=0, INDEX(LS_previous!$D$4:$AY$138, MATCH('Staging Table'!$A70, LS_previous!$B$4:$B$138, 0), MATCH(Y$4&amp;Y$5, LS_previous!$D$2:$AY$2&amp;LS_previous!$D$3:$AY$3, 0)),SUM(VLOOKUP($A70, LS_previous!$B$4:$AY$138, LS_previous!Q$149, FALSE), VLOOKUP('Staging Table'!$A70, LS_previous!$B$4:$AY$138,LS_previous!AO$149, FALSE))/2)</f>
        <v>4674.3024789931078</v>
      </c>
      <c r="Z70" s="382">
        <f t="array" ref="Z70">IF($G70=0, INDEX(LS_previous!$D$4:$AY$138, MATCH('Staging Table'!$A70, LS_previous!$B$4:$B$138, 0), MATCH(Z$4&amp;Z$5, LS_previous!$D$2:$AY$2&amp;LS_previous!$D$3:$AY$3, 0)),SUM(VLOOKUP($A70, LS_previous!$B$4:$AY$138, LS_previous!R$149, FALSE), VLOOKUP('Staging Table'!$A70, LS_previous!$B$4:$AY$138,LS_previous!AP$149, FALSE))/2)</f>
        <v>-15352.624229301775</v>
      </c>
      <c r="AA70" s="382">
        <f t="array" ref="AA70">IF($G70=0, INDEX(LS_previous!$D$4:$AY$138, MATCH('Staging Table'!$A70, LS_previous!$B$4:$B$138, 0), MATCH(AA$4&amp;AA$5, LS_previous!$D$2:$AY$2&amp;LS_previous!$D$3:$AY$3, 0)),SUM(VLOOKUP($A70, LS_previous!$B$4:$AY$138, LS_previous!S$149, FALSE), VLOOKUP('Staging Table'!$A70, LS_previous!$B$4:$AY$138,LS_previous!AQ$149, FALSE))/2)</f>
        <v>-2725.1274748050801</v>
      </c>
      <c r="AB70" s="382">
        <f t="array" ref="AB70">IF($G70=0, INDEX(LS_previous!$D$4:$AY$138, MATCH('Staging Table'!$A70, LS_previous!$B$4:$B$138, 0), MATCH(AB$4&amp;AB$5, LS_previous!$D$2:$AY$2&amp;LS_previous!$D$3:$AY$3, 0)),SUM(VLOOKUP($A70, LS_previous!$B$4:$AY$138, LS_previous!T$149, FALSE), VLOOKUP('Staging Table'!$A70, LS_previous!$B$4:$AY$138,LS_previous!AR$149, FALSE))/2)</f>
        <v>-8555.2993775544728</v>
      </c>
      <c r="AC70" s="382">
        <f t="array" ref="AC70">IF($G70=0, INDEX(LS_previous!$D$4:$AY$138, MATCH('Staging Table'!$A70, LS_previous!$B$4:$B$138, 0), MATCH(AC$4&amp;AC$5, LS_previous!$D$2:$AY$2&amp;LS_previous!$D$3:$AY$3, 0)),SUM(VLOOKUP($A70, LS_previous!$B$4:$AY$138, LS_previous!U$149, FALSE), VLOOKUP('Staging Table'!$A70, LS_previous!$B$4:$AY$138,LS_previous!AS$149, FALSE))/2)</f>
        <v>-1334.1060809805931</v>
      </c>
      <c r="AD70" s="382">
        <f t="array" ref="AD70">IF($G70=0, INDEX(LS_previous!$D$4:$AY$138, MATCH('Staging Table'!$A70, LS_previous!$B$4:$B$138, 0), MATCH(AD$4&amp;AD$5, LS_previous!$D$2:$AY$2&amp;LS_previous!$D$3:$AY$3, 0)),SUM(VLOOKUP($A70, LS_previous!$B$4:$AY$138, LS_previous!V$149, FALSE), VLOOKUP('Staging Table'!$A70, LS_previous!$B$4:$AY$138,LS_previous!AT$149, FALSE))/2)</f>
        <v>-7949.1867481630088</v>
      </c>
      <c r="AE70" s="382">
        <f t="array" ref="AE70">IF($G70=0, INDEX(LS_previous!$D$4:$AY$138, MATCH('Staging Table'!$A70, LS_previous!$B$4:$B$138, 0), MATCH(AE$4&amp;AE$5, LS_previous!$D$2:$AY$2&amp;LS_previous!$D$3:$AY$3, 0)),SUM(VLOOKUP($A70, LS_previous!$B$4:$AY$138, LS_previous!W$149, FALSE), VLOOKUP('Staging Table'!$A70, LS_previous!$B$4:$AY$138,LS_previous!AU$149, FALSE))/2)</f>
        <v>2184.3699249754163</v>
      </c>
      <c r="AF70" s="382">
        <f t="array" ref="AF70">IF($G70=0, INDEX(LS_previous!$D$4:$AY$138, MATCH('Staging Table'!$A70, LS_previous!$B$4:$B$138, 0), MATCH(AF$4&amp;AF$5, LS_previous!$D$2:$AY$2&amp;LS_previous!$D$3:$AY$3, 0)),SUM(VLOOKUP($A70, LS_previous!$B$4:$AY$138, LS_previous!X$149, FALSE), VLOOKUP('Staging Table'!$A70, LS_previous!$B$4:$AY$138,LS_previous!AV$149, FALSE))/2)</f>
        <v>-8603.2292652121505</v>
      </c>
      <c r="AG70" s="382">
        <f t="array" ref="AG70">IF($G70=0, INDEX(LS_previous!$D$4:$AY$138, MATCH('Staging Table'!$A70, LS_previous!$B$4:$B$138, 0), MATCH(AG$4&amp;AG$5, LS_previous!$D$2:$AY$2&amp;LS_previous!$D$3:$AY$3, 0)),SUM(VLOOKUP($A70, LS_previous!$B$4:$AY$138, LS_previous!Y$149, FALSE), VLOOKUP('Staging Table'!$A70, LS_previous!$B$4:$AY$138,LS_previous!AW$149, FALSE))/2)</f>
        <v>138.09904988764811</v>
      </c>
      <c r="AH70" s="382">
        <f t="array" ref="AH70">IF($G70=0, INDEX(LS_previous!$D$4:$AY$138, MATCH('Staging Table'!$A70, LS_previous!$B$4:$B$138, 0), MATCH(AH$4&amp;AH$5, LS_previous!$D$2:$AY$2&amp;LS_previous!$D$3:$AY$3, 0)),SUM(VLOOKUP($A70, LS_previous!$B$4:$AY$138, LS_previous!Z$149, FALSE), VLOOKUP('Staging Table'!$A70, LS_previous!$B$4:$AY$138,LS_previous!AX$149, FALSE))/2)</f>
        <v>-3004.971939520563</v>
      </c>
      <c r="AI70" s="382">
        <f t="array" ref="AI70">IF($G70=0, INDEX(LS_previous!$D$4:$AY$138, MATCH('Staging Table'!$A70, LS_previous!$B$4:$B$138, 0), MATCH(AI$4&amp;AI$5, LS_previous!$D$2:$AY$2&amp;LS_previous!$D$3:$AY$3, 0)),SUM(VLOOKUP($A70, LS_previous!$B$4:$AY$138, LS_previous!AA$149, FALSE), VLOOKUP('Staging Table'!$A70, LS_previous!$B$4:$AY$138,LS_previous!AY$149, FALSE))/2)</f>
        <v>1669.0524584563418</v>
      </c>
      <c r="AJ70" s="384">
        <f t="array" ref="AJ70">INDEX(Demand_previous!$D$4:$AY$138, MATCH('Staging Table'!$A70, Demand_previous!$B$4:$B$138, 0), MATCH(AJ$4&amp;AJ$5,Demand_previous!$D$2:$AY$2&amp;Demand_previous!$D$3:$AY$3, 0))/1000</f>
        <v>0</v>
      </c>
      <c r="AK70" s="384">
        <f t="array" ref="AK70">INDEX(Demand_previous!$D$4:$AY$138, MATCH('Staging Table'!$A70, Demand_previous!$B$4:$B$138, 0), MATCH(AK$4&amp;AK$5,Demand_previous!$D$2:$AY$2&amp;Demand_previous!$D$3:$AY$3, 0))/1000</f>
        <v>0</v>
      </c>
      <c r="AL70" s="384">
        <f t="array" ref="AL70">INDEX(Demand_previous!$D$4:$AY$138, MATCH('Staging Table'!$A70, Demand_previous!$B$4:$B$138, 0), MATCH(AL$4&amp;AL$5,Demand_previous!$D$2:$AY$2&amp;Demand_previous!$D$3:$AY$3, 0))/1000</f>
        <v>0</v>
      </c>
      <c r="AM70" s="384">
        <f t="array" ref="AM70">INDEX(Demand_previous!$D$4:$AY$138, MATCH('Staging Table'!$A70, Demand_previous!$B$4:$B$138, 0), MATCH(AM$4&amp;AM$5,Demand_previous!$D$2:$AY$2&amp;Demand_previous!$D$3:$AY$3, 0))/1000</f>
        <v>0</v>
      </c>
      <c r="AN70" s="384">
        <f t="array" ref="AN70">INDEX(Demand_previous!$D$4:$AY$138, MATCH('Staging Table'!$A70, Demand_previous!$B$4:$B$138, 0), MATCH(AN$4&amp;AN$5,Demand_previous!$D$2:$AY$2&amp;Demand_previous!$D$3:$AY$3, 0))/1000</f>
        <v>0</v>
      </c>
      <c r="AO70" s="384">
        <f t="array" ref="AO70">INDEX(Demand_previous!$D$4:$AY$138, MATCH('Staging Table'!$A70, Demand_previous!$B$4:$B$138, 0), MATCH(AO$4&amp;AO$5,Demand_previous!$D$2:$AY$2&amp;Demand_previous!$D$3:$AY$3, 0))/1000</f>
        <v>0</v>
      </c>
      <c r="AP70" s="384">
        <f t="array" ref="AP70">INDEX(Demand_previous!$D$4:$AY$138, MATCH('Staging Table'!$A70, Demand_previous!$B$4:$B$138, 0), MATCH(AP$4&amp;AP$5,Demand_previous!$D$2:$AY$2&amp;Demand_previous!$D$3:$AY$3, 0))/1000</f>
        <v>0</v>
      </c>
      <c r="AQ70" s="384">
        <f t="array" ref="AQ70">INDEX(Demand_previous!$D$4:$AY$138, MATCH('Staging Table'!$A70, Demand_previous!$B$4:$B$138, 0), MATCH(AQ$4&amp;AQ$5,Demand_previous!$D$2:$AY$2&amp;Demand_previous!$D$3:$AY$3, 0))/1000</f>
        <v>0</v>
      </c>
      <c r="AR70" s="384">
        <f t="array" ref="AR70">INDEX(Demand_previous!$D$4:$AY$138, MATCH('Staging Table'!$A70, Demand_previous!$B$4:$B$138, 0), MATCH(AR$4&amp;AR$5,Demand_previous!$D$2:$AY$2&amp;Demand_previous!$D$3:$AY$3, 0))/1000</f>
        <v>0</v>
      </c>
      <c r="AS70" s="384">
        <f t="array" ref="AS70">INDEX(Demand_previous!$D$4:$AY$138, MATCH('Staging Table'!$A70, Demand_previous!$B$4:$B$138, 0), MATCH(AS$4&amp;AS$5,Demand_previous!$D$2:$AY$2&amp;Demand_previous!$D$3:$AY$3, 0))/1000</f>
        <v>0</v>
      </c>
      <c r="AT70" s="384">
        <f t="array" ref="AT70">INDEX(Demand_previous!$D$4:$AY$138, MATCH('Staging Table'!$A70, Demand_previous!$B$4:$B$138, 0), MATCH(AT$4&amp;AT$5,Demand_previous!$D$2:$AY$2&amp;Demand_previous!$D$3:$AY$3, 0))/1000</f>
        <v>0</v>
      </c>
      <c r="AU70" s="384">
        <f t="array" ref="AU70">INDEX(Demand_previous!$D$4:$AY$138, MATCH('Staging Table'!$A70, Demand_previous!$B$4:$B$138, 0), MATCH(AU$4&amp;AU$5,Demand_previous!$D$2:$AY$2&amp;Demand_previous!$D$3:$AY$3, 0))/1000</f>
        <v>0</v>
      </c>
      <c r="AV70" s="384">
        <f>IF($D70=0,IF(C70=0, MAX(AY70 - (VLOOKUP($A70,TOCA_previous!$A$2:$AI$137,MATCH("RHWM 2016",TOCA_previous!$A$2:$AI$2,0),FALSE)*$F$2*TOCA_previous!C67),0),0), 0)</f>
        <v>0</v>
      </c>
      <c r="AW70" s="427">
        <f>VLOOKUP($A70,REP_previous!$A$1:$D$135,MATCH("FY "&amp;$F$1&amp; " Total Refund",REP_previous!$A$1:$D$1,0),0)</f>
        <v>1463627.1712278028</v>
      </c>
      <c r="AX70" s="398">
        <f>MIN(VLOOKUP($A70,TOCA_previous!$A$2:$AI$137,MATCH("TRL - NLSL - Exisiting Resource "&amp;$F$1,TOCA_previous!$A$2:$AI$2,0),FALSE)*$F$2,(VLOOKUP($A70,TOCA_previous!$A$2:$AI$137,MATCH("RHWM 2016",TOCA_previous!$A$2:$AI$2,0),FALSE)*$F$2))</f>
        <v>1120583.6639999999</v>
      </c>
      <c r="AY70" s="384">
        <f>SUM(L70:AI70)+(F70*RT1SC!$C$3*$F$2)</f>
        <v>525837.43096374825</v>
      </c>
      <c r="AZ70" s="398">
        <f>VLOOKUP($A70,TOCA_previous!$A$2:$AI$137,MATCH("Above RHWM Not Served with LS "&amp;$F$1,TOCA_previous!$A$2:$AI$2,0),FALSE)*$F$2</f>
        <v>15951.744000000001</v>
      </c>
      <c r="BA70" s="206">
        <f t="shared" si="3"/>
        <v>-594746.23303625162</v>
      </c>
      <c r="BB70" s="399">
        <f>(VLOOKUP($A70,TOCA_previous!$A$2:$AI$137,MATCH("RHWM 2016",TOCA_previous!$A$2:$AI$2,0),FALSE)*$F$2) - $AX70</f>
        <v>20774.160000000149</v>
      </c>
      <c r="BC70" s="206">
        <f t="shared" si="4"/>
        <v>0</v>
      </c>
      <c r="BD70" s="400">
        <f t="shared" si="5"/>
        <v>578794.48903625167</v>
      </c>
      <c r="BE70" s="392">
        <f t="shared" si="6"/>
        <v>0</v>
      </c>
      <c r="BF70" s="399">
        <f t="shared" si="7"/>
        <v>0</v>
      </c>
      <c r="BG70" s="206">
        <f>VLOOKUP($A70,TOCA_current!$A$2:$AI$137,MATCH(BG$4,TOCA_current!$A$2:$AI$2,0),FALSE)</f>
        <v>1.8419600000000001E-2</v>
      </c>
      <c r="BH70" s="206">
        <f>VLOOKUP($A70,TOCA_current!$A$2:$AI$137,MATCH(BH$4,TOCA_current!$A$2:$AI$2,0),FALSE)</f>
        <v>8.7318000000000014E-3</v>
      </c>
      <c r="BI70" s="391">
        <f t="shared" si="8"/>
        <v>9.6877999999999999E-3</v>
      </c>
      <c r="BJ70" s="206">
        <f>VLOOKUP($A70,TOCA_current!A66:BG201,MATCH(BJ$4,TOCA_current!$A$2:$BG$2,0),FALSE)</f>
        <v>0</v>
      </c>
      <c r="BK70" s="206">
        <f t="shared" si="9"/>
        <v>0</v>
      </c>
      <c r="BL70" s="206">
        <f t="shared" si="10"/>
        <v>0</v>
      </c>
      <c r="BM70" s="381">
        <f>VLOOKUP($A70,IRD!$A$4:$G$139, 7, FALSE)</f>
        <v>0</v>
      </c>
      <c r="BN70" s="382">
        <f t="array" ref="BN70">IF($BI70=0, INDEX(LS_current!$D$4:$AY$139, MATCH('Staging Table'!$A70, LS_current!$B$4:$B$139, 0), MATCH(BN$4&amp;BN$5, LS_current!$D$2:$AY$2&amp;LS_current!$D$3:$AY$3, 0)),SUM(VLOOKUP($A70, LS_current!$B$4:$AY$139, LS_current!D$149, FALSE), VLOOKUP($A70, LS_current!$B$4:$AY$139,LS_current!D$149, FALSE))/2)</f>
        <v>-3749.2274431270125</v>
      </c>
      <c r="BO70" s="382">
        <f t="array" ref="BO70">IF($BI70=0, INDEX(LS_current!$D$4:$AY$139, MATCH('Staging Table'!$A70, LS_current!$B$4:$B$139, 0), MATCH(BO$4&amp;BO$5, LS_current!$D$2:$AY$2&amp;LS_current!$D$3:$AY$3, 0)),SUM(VLOOKUP($A70, LS_current!$B$4:$AY$139, LS_current!E$149, FALSE), VLOOKUP($A70, LS_current!$B$4:$AY$139,LS_current!E$149, FALSE))/2)</f>
        <v>3727.2338694943701</v>
      </c>
      <c r="BP70" s="382">
        <f t="array" ref="BP70">IF($BI70=0, INDEX(LS_current!$D$4:$AY$139, MATCH('Staging Table'!$A70, LS_current!$B$4:$B$139, 0), MATCH(BP$4&amp;BP$5, LS_current!$D$2:$AY$2&amp;LS_current!$D$3:$AY$3, 0)),SUM(VLOOKUP($A70, LS_current!$B$4:$AY$139, LS_current!F$149, FALSE), VLOOKUP($A70, LS_current!$B$4:$AY$139,LS_current!F$149, FALSE))/2)</f>
        <v>-4684.3984323925542</v>
      </c>
      <c r="BQ70" s="382">
        <f t="array" ref="BQ70">IF($BI70=0, INDEX(LS_current!$D$4:$AY$139, MATCH('Staging Table'!$A70, LS_current!$B$4:$B$139, 0), MATCH(BQ$4&amp;BQ$5, LS_current!$D$2:$AY$2&amp;LS_current!$D$3:$AY$3, 0)),SUM(VLOOKUP($A70, LS_current!$B$4:$AY$139, LS_current!G$149, FALSE), VLOOKUP($A70, LS_current!$B$4:$AY$139,LS_current!G$149, FALSE))/2)</f>
        <v>3111.2061318028136</v>
      </c>
      <c r="BR70" s="382">
        <f t="array" ref="BR70">IF($BI70=0, INDEX(LS_current!$D$4:$AY$139, MATCH('Staging Table'!$A70, LS_current!$B$4:$B$139, 0), MATCH(BR$4&amp;BR$5, LS_current!$D$2:$AY$2&amp;LS_current!$D$3:$AY$3, 0)),SUM(VLOOKUP($A70, LS_current!$B$4:$AY$139, LS_current!H$149, FALSE), VLOOKUP($A70, LS_current!$B$4:$AY$139,LS_current!H$149, FALSE))/2)</f>
        <v>-1143.4919819059869</v>
      </c>
      <c r="BS70" s="382">
        <f t="array" ref="BS70">IF($BI70=0, INDEX(LS_current!$D$4:$AY$139, MATCH('Staging Table'!$A70, LS_current!$B$4:$B$139, 0), MATCH(BS$4&amp;BS$5, LS_current!$D$2:$AY$2&amp;LS_current!$D$3:$AY$3, 0)),SUM(VLOOKUP($A70, LS_current!$B$4:$AY$139, LS_current!I$149, FALSE), VLOOKUP($A70, LS_current!$B$4:$AY$139,LS_current!I$149, FALSE))/2)</f>
        <v>6949.9594788970026</v>
      </c>
      <c r="BT70" s="382">
        <f t="array" ref="BT70">IF($BI70=0, INDEX(LS_current!$D$4:$AY$139, MATCH('Staging Table'!$A70, LS_current!$B$4:$B$139, 0), MATCH(BT$4&amp;BT$5, LS_current!$D$2:$AY$2&amp;LS_current!$D$3:$AY$3, 0)),SUM(VLOOKUP($A70, LS_current!$B$4:$AY$139, LS_current!J$149, FALSE), VLOOKUP($A70, LS_current!$B$4:$AY$139,LS_current!J$149, FALSE))/2)</f>
        <v>4810.1420120016301</v>
      </c>
      <c r="BU70" s="382">
        <f t="array" ref="BU70">IF($BI70=0, INDEX(LS_current!$D$4:$AY$139, MATCH('Staging Table'!$A70, LS_current!$B$4:$B$139, 0), MATCH(BU$4&amp;BU$5, LS_current!$D$2:$AY$2&amp;LS_current!$D$3:$AY$3, 0)),SUM(VLOOKUP($A70, LS_current!$B$4:$AY$139, LS_current!K$149, FALSE), VLOOKUP($A70, LS_current!$B$4:$AY$139,LS_current!K$149, FALSE))/2)</f>
        <v>8275.1496348242763</v>
      </c>
      <c r="BV70" s="382">
        <f t="array" ref="BV70">IF($BI70=0, INDEX(LS_current!$D$4:$AY$139, MATCH('Staging Table'!$A70, LS_current!$B$4:$B$139, 0), MATCH(BV$4&amp;BV$5, LS_current!$D$2:$AY$2&amp;LS_current!$D$3:$AY$3, 0)),SUM(VLOOKUP($A70, LS_current!$B$4:$AY$139, LS_current!L$149, FALSE), VLOOKUP($A70, LS_current!$B$4:$AY$139,LS_current!L$149, FALSE))/2)</f>
        <v>5143.990930771517</v>
      </c>
      <c r="BW70" s="382">
        <f t="array" ref="BW70">IF($BI70=0, INDEX(LS_current!$D$4:$AY$139, MATCH('Staging Table'!$A70, LS_current!$B$4:$B$139, 0), MATCH(BW$4&amp;BW$5, LS_current!$D$2:$AY$2&amp;LS_current!$D$3:$AY$3, 0)),SUM(VLOOKUP($A70, LS_current!$B$4:$AY$139, LS_current!M$149, FALSE), VLOOKUP($A70, LS_current!$B$4:$AY$139,LS_current!M$149, FALSE))/2)</f>
        <v>7550.2336406378818</v>
      </c>
      <c r="BX70" s="382">
        <f t="array" ref="BX70">IF($BI70=0, INDEX(LS_current!$D$4:$AY$139, MATCH('Staging Table'!$A70, LS_current!$B$4:$B$139, 0), MATCH(BX$4&amp;BX$5, LS_current!$D$2:$AY$2&amp;LS_current!$D$3:$AY$3, 0)),SUM(VLOOKUP($A70, LS_current!$B$4:$AY$139, LS_current!N$149, FALSE), VLOOKUP($A70, LS_current!$B$4:$AY$139,LS_current!N$149, FALSE))/2)</f>
        <v>1430.0725123160701</v>
      </c>
      <c r="BY70" s="382">
        <f t="array" ref="BY70">IF($BI70=0, INDEX(LS_current!$D$4:$AY$139, MATCH('Staging Table'!$A70, LS_current!$B$4:$B$139, 0), MATCH(BY$4&amp;BY$5, LS_current!$D$2:$AY$2&amp;LS_current!$D$3:$AY$3, 0)),SUM(VLOOKUP($A70, LS_current!$B$4:$AY$139, LS_current!O$149, FALSE), VLOOKUP($A70, LS_current!$B$4:$AY$139,LS_current!O$149, FALSE))/2)</f>
        <v>4662.1533438816459</v>
      </c>
      <c r="BZ70" s="382">
        <f t="array" ref="BZ70">IF($BI70=0, INDEX(LS_current!$D$4:$AY$139, MATCH('Staging Table'!$A70, LS_current!$B$4:$B$139, 0), MATCH(BZ$4&amp;BZ$5, LS_current!$D$2:$AY$2&amp;LS_current!$D$3:$AY$3, 0)),SUM(VLOOKUP($A70, LS_current!$B$4:$AY$139, LS_current!P$149, FALSE), VLOOKUP($A70, LS_current!$B$4:$AY$139,LS_current!P$149, FALSE))/2)</f>
        <v>-2027.0200822295556</v>
      </c>
      <c r="CA70" s="382">
        <f t="array" ref="CA70">IF($BI70=0, INDEX(LS_current!$D$4:$AY$139, MATCH('Staging Table'!$A70, LS_current!$B$4:$B$139, 0), MATCH(CA$4&amp;CA$5, LS_current!$D$2:$AY$2&amp;LS_current!$D$3:$AY$3, 0)),SUM(VLOOKUP($A70, LS_current!$B$4:$AY$139, LS_current!Q$149, FALSE), VLOOKUP($A70, LS_current!$B$4:$AY$139,LS_current!Q$149, FALSE))/2)</f>
        <v>4658.1464379605059</v>
      </c>
      <c r="CB70" s="382">
        <f t="array" ref="CB70">IF($BI70=0, INDEX(LS_current!$D$4:$AY$139, MATCH('Staging Table'!$A70, LS_current!$B$4:$B$139, 0), MATCH(CB$4&amp;CB$5, LS_current!$D$2:$AY$2&amp;LS_current!$D$3:$AY$3, 0)),SUM(VLOOKUP($A70, LS_current!$B$4:$AY$139, LS_current!R$149, FALSE), VLOOKUP($A70, LS_current!$B$4:$AY$139,LS_current!R$149, FALSE))/2)</f>
        <v>-15221.543104635435</v>
      </c>
      <c r="CC70" s="382">
        <f t="array" ref="CC70">IF($BI70=0, INDEX(LS_current!$D$4:$AY$139, MATCH('Staging Table'!$A70, LS_current!$B$4:$B$139, 0), MATCH(CC$4&amp;CC$5, LS_current!$D$2:$AY$2&amp;LS_current!$D$3:$AY$3, 0)),SUM(VLOOKUP($A70, LS_current!$B$4:$AY$139, LS_current!S$149, FALSE), VLOOKUP($A70, LS_current!$B$4:$AY$139,LS_current!S$149, FALSE))/2)</f>
        <v>-3821.8591525450065</v>
      </c>
      <c r="CD70" s="382">
        <f t="array" ref="CD70">IF($BI70=0, INDEX(LS_current!$D$4:$AY$139, MATCH('Staging Table'!$A70, LS_current!$B$4:$B$139, 0), MATCH(CD$4&amp;CD$5, LS_current!$D$2:$AY$2&amp;LS_current!$D$3:$AY$3, 0)),SUM(VLOOKUP($A70, LS_current!$B$4:$AY$139, LS_current!T$149, FALSE), VLOOKUP($A70, LS_current!$B$4:$AY$139,LS_current!T$149, FALSE))/2)</f>
        <v>-8965.5885529937441</v>
      </c>
      <c r="CE70" s="382">
        <f t="array" ref="CE70">IF($BI70=0, INDEX(LS_current!$D$4:$AY$139, MATCH('Staging Table'!$A70, LS_current!$B$4:$B$139, 0), MATCH(CE$4&amp;CE$5, LS_current!$D$2:$AY$2&amp;LS_current!$D$3:$AY$3, 0)),SUM(VLOOKUP($A70, LS_current!$B$4:$AY$139, LS_current!U$149, FALSE), VLOOKUP($A70, LS_current!$B$4:$AY$139,LS_current!U$149, FALSE))/2)</f>
        <v>-449.95830420079619</v>
      </c>
      <c r="CF70" s="382">
        <f t="array" ref="CF70">IF($BI70=0, INDEX(LS_current!$D$4:$AY$139, MATCH('Staging Table'!$A70, LS_current!$B$4:$B$139, 0), MATCH(CF$4&amp;CF$5, LS_current!$D$2:$AY$2&amp;LS_current!$D$3:$AY$3, 0)),SUM(VLOOKUP($A70, LS_current!$B$4:$AY$139, LS_current!V$149, FALSE), VLOOKUP($A70, LS_current!$B$4:$AY$139,LS_current!V$149, FALSE))/2)</f>
        <v>-6885.1913627520116</v>
      </c>
      <c r="CG70" s="382">
        <f t="array" ref="CG70">IF($BI70=0, INDEX(LS_current!$D$4:$AY$139, MATCH('Staging Table'!$A70, LS_current!$B$4:$B$139, 0), MATCH(CG$4&amp;CG$5, LS_current!$D$2:$AY$2&amp;LS_current!$D$3:$AY$3, 0)),SUM(VLOOKUP($A70, LS_current!$B$4:$AY$139, LS_current!W$149, FALSE), VLOOKUP($A70, LS_current!$B$4:$AY$139,LS_current!W$149, FALSE))/2)</f>
        <v>2830.308810545961</v>
      </c>
      <c r="CH70" s="382">
        <f t="array" ref="CH70">IF($BI70=0, INDEX(LS_current!$D$4:$AY$139, MATCH('Staging Table'!$A70, LS_current!$B$4:$B$139, 0), MATCH(CH$4&amp;CH$5, LS_current!$D$2:$AY$2&amp;LS_current!$D$3:$AY$3, 0)),SUM(VLOOKUP($A70, LS_current!$B$4:$AY$139, LS_current!X$149, FALSE), VLOOKUP($A70, LS_current!$B$4:$AY$139,LS_current!X$149, FALSE))/2)</f>
        <v>-8848.5758743841398</v>
      </c>
      <c r="CI70" s="382">
        <f t="array" ref="CI70">IF($BI70=0, INDEX(LS_current!$D$4:$AY$139, MATCH('Staging Table'!$A70, LS_current!$B$4:$B$139, 0), MATCH(CI$4&amp;CI$5, LS_current!$D$2:$AY$2&amp;LS_current!$D$3:$AY$3, 0)),SUM(VLOOKUP($A70, LS_current!$B$4:$AY$139, LS_current!Y$149, FALSE), VLOOKUP($A70, LS_current!$B$4:$AY$139,LS_current!Y$149, FALSE))/2)</f>
        <v>437.15188984341694</v>
      </c>
      <c r="CJ70" s="382">
        <f t="array" ref="CJ70">IF($BI70=0, INDEX(LS_current!$D$4:$AY$139, MATCH('Staging Table'!$A70, LS_current!$B$4:$B$139, 0), MATCH(CJ$4&amp;CJ$5, LS_current!$D$2:$AY$2&amp;LS_current!$D$3:$AY$3, 0)),SUM(VLOOKUP($A70, LS_current!$B$4:$AY$139, LS_current!Z$149, FALSE), VLOOKUP($A70, LS_current!$B$4:$AY$139,LS_current!Z$149, FALSE))/2)</f>
        <v>-6783.8409547877418</v>
      </c>
      <c r="CK70" s="382">
        <f t="array" ref="CK70">IF($BI70=0, INDEX(LS_current!$D$4:$AY$139, MATCH('Staging Table'!$A70, LS_current!$B$4:$B$139, 0), MATCH(CK$4&amp;CK$5, LS_current!$D$2:$AY$2&amp;LS_current!$D$3:$AY$3, 0)),SUM(VLOOKUP($A70, LS_current!$B$4:$AY$139, LS_current!AA$149, FALSE), VLOOKUP($A70, LS_current!$B$4:$AY$139,LS_current!AA$149, FALSE))/2)</f>
        <v>2135.7390904190233</v>
      </c>
      <c r="CL70" s="384">
        <f t="array" ref="CL70">INDEX(Demand_current!$D$4:$AY$138, MATCH($A70, Demand_current!$B$4:$B$138, 0), MATCH(CL$4&amp;CL$5,Demand_current!$D$2:$AY$2&amp;Demand_current!$D$3:$AY$3, 0))/1000</f>
        <v>0</v>
      </c>
      <c r="CM70" s="384">
        <f t="array" ref="CM70">INDEX(Demand_current!$D$4:$AY$138, MATCH($A70, Demand_current!$B$4:$B$138, 0), MATCH(CM$4&amp;CM$5,Demand_current!$D$2:$AY$2&amp;Demand_current!$D$3:$AY$3, 0))/1000</f>
        <v>0</v>
      </c>
      <c r="CN70" s="384">
        <f t="array" ref="CN70">INDEX(Demand_current!$D$4:$AY$138, MATCH($A70, Demand_current!$B$4:$B$138, 0), MATCH(CN$4&amp;CN$5,Demand_current!$D$2:$AY$2&amp;Demand_current!$D$3:$AY$3, 0))/1000</f>
        <v>0</v>
      </c>
      <c r="CO70" s="384">
        <f t="array" ref="CO70">INDEX(Demand_current!$D$4:$AY$138, MATCH($A70, Demand_current!$B$4:$B$138, 0), MATCH(CO$4&amp;CO$5,Demand_current!$D$2:$AY$2&amp;Demand_current!$D$3:$AY$3, 0))/1000</f>
        <v>0</v>
      </c>
      <c r="CP70" s="384">
        <f t="array" ref="CP70">INDEX(Demand_current!$D$4:$AY$138, MATCH($A70, Demand_current!$B$4:$B$138, 0), MATCH(CP$4&amp;CP$5,Demand_current!$D$2:$AY$2&amp;Demand_current!$D$3:$AY$3, 0))/1000</f>
        <v>0</v>
      </c>
      <c r="CQ70" s="384">
        <f t="array" ref="CQ70">INDEX(Demand_current!$D$4:$AY$138, MATCH($A70, Demand_current!$B$4:$B$138, 0), MATCH(CQ$4&amp;CQ$5,Demand_current!$D$2:$AY$2&amp;Demand_current!$D$3:$AY$3, 0))/1000</f>
        <v>0</v>
      </c>
      <c r="CR70" s="384">
        <f t="array" ref="CR70">INDEX(Demand_current!$D$4:$AY$138, MATCH($A70, Demand_current!$B$4:$B$138, 0), MATCH(CR$4&amp;CR$5,Demand_current!$D$2:$AY$2&amp;Demand_current!$D$3:$AY$3, 0))/1000</f>
        <v>0</v>
      </c>
      <c r="CS70" s="384">
        <f t="array" ref="CS70">INDEX(Demand_current!$D$4:$AY$138, MATCH($A70, Demand_current!$B$4:$B$138, 0), MATCH(CS$4&amp;CS$5,Demand_current!$D$2:$AY$2&amp;Demand_current!$D$3:$AY$3, 0))/1000</f>
        <v>0</v>
      </c>
      <c r="CT70" s="384">
        <f t="array" ref="CT70">INDEX(Demand_current!$D$4:$AY$138, MATCH($A70, Demand_current!$B$4:$B$138, 0), MATCH(CT$4&amp;CT$5,Demand_current!$D$2:$AY$2&amp;Demand_current!$D$3:$AY$3, 0))/1000</f>
        <v>0</v>
      </c>
      <c r="CU70" s="384">
        <f t="array" ref="CU70">INDEX(Demand_current!$D$4:$AY$138, MATCH($A70, Demand_current!$B$4:$B$138, 0), MATCH(CU$4&amp;CU$5,Demand_current!$D$2:$AY$2&amp;Demand_current!$D$3:$AY$3, 0))/1000</f>
        <v>0</v>
      </c>
      <c r="CV70" s="384">
        <f t="array" ref="CV70">INDEX(Demand_current!$D$4:$AY$138, MATCH($A70, Demand_current!$B$4:$B$138, 0), MATCH(CV$4&amp;CV$5,Demand_current!$D$2:$AY$2&amp;Demand_current!$D$3:$AY$3, 0))/1000</f>
        <v>0</v>
      </c>
      <c r="CW70" s="384">
        <f t="array" ref="CW70">INDEX(Demand_current!$D$4:$AY$138, MATCH($A70, Demand_current!$B$4:$B$138, 0), MATCH(CW$4&amp;CW$5,Demand_current!$D$2:$AY$2&amp;Demand_current!$D$3:$AY$3, 0))/1000</f>
        <v>0</v>
      </c>
      <c r="CX70" s="384">
        <f>IF(D70=0,IF(C70=0,MAX(0,DA70 - (VLOOKUP($A70,TOCA_current!$A$2:$AI$137,MATCH("RHWM 2018",TOCA_current!$A$2:$AI$2,0),FALSE)*$BH$2)), 0),0)</f>
        <v>0</v>
      </c>
      <c r="CY70" s="427">
        <f>VLOOKUP($A70,REP_current!$A$1:$D$135,MATCH("FY "&amp;$BH$1&amp; " Total Refund",REP_current!$A$1:$D$1,0),0)</f>
        <v>1467483.9585642517</v>
      </c>
      <c r="CZ70" s="432">
        <f>MIN(VLOOKUP($A70,TOCA_current!$A$2:$AI$137,MATCH("TRL - NLSL - Existing Resource "&amp;$BH$1,TOCA_current!$A$2:$AI$2,0),FALSE)*$BH$2, VLOOKUP($A70,TOCA_current!$A$2:$AI$137,MATCH("RHWM 2018",TOCA_current!$A$2:$AI$2,0),FALSE)*$BH$2)</f>
        <v>1120587.96</v>
      </c>
      <c r="DA70" s="397">
        <f>SUM(BN70:CK70)+(BH70*RT1SC!$C$4*$BH$2)</f>
        <v>524356.0077499703</v>
      </c>
      <c r="DB70" s="432">
        <f>VLOOKUP($A70,TOCA_current!$A$2:$AI$137,MATCH("Above RHWM Not Served with LS "&amp;$BH$1,TOCA_current!$A$2:$AI$2,0),FALSE)*$BH$2</f>
        <v>33393.119999999995</v>
      </c>
      <c r="DC70" s="401">
        <f t="shared" si="11"/>
        <v>-596231.95225002966</v>
      </c>
      <c r="DD70" s="397">
        <f>(VLOOKUP($A70,TOCA_current!$A$2:$AI$137,MATCH("RHWM 2018",TOCA_current!$A$2:$AI$2,0),FALSE)*$BH$2) - $CZ70</f>
        <v>10424.399999999907</v>
      </c>
      <c r="DE70" s="397">
        <f t="shared" si="12"/>
        <v>0</v>
      </c>
      <c r="DF70" s="397">
        <f t="shared" si="13"/>
        <v>562838.83225002966</v>
      </c>
      <c r="DG70" s="397">
        <f t="shared" si="14"/>
        <v>0</v>
      </c>
      <c r="DH70" s="397">
        <f t="shared" si="15"/>
        <v>0</v>
      </c>
    </row>
    <row r="71" spans="1:112">
      <c r="A71" s="274">
        <v>10197</v>
      </c>
      <c r="B71" s="275" t="s">
        <v>72</v>
      </c>
      <c r="C71" s="397">
        <v>0</v>
      </c>
      <c r="D71" s="397">
        <v>0</v>
      </c>
      <c r="E71" s="205">
        <f>VLOOKUP($A71,TOCA_previous!$A$2:$AI$137,MATCH(E$4,TOCA_previous!$A$2:$AI$2,0),FALSE)</f>
        <v>3.2265000000000002E-3</v>
      </c>
      <c r="F71" s="206">
        <f>VLOOKUP($A71,TOCA_previous!$A$2:$AI$137,MATCH(F$4,TOCA_previous!$A$2:$AI$2,0),FALSE)</f>
        <v>3.2265000000000002E-3</v>
      </c>
      <c r="G71" s="206">
        <f t="shared" ref="G71:G134" si="16">E71-F71</f>
        <v>0</v>
      </c>
      <c r="H71" s="206">
        <f>VLOOKUP($A71,TOCA_previous!$A$2:$AI$137,MATCH(H$4,TOCA_previous!$A$2:$AI$2,0),FALSE)</f>
        <v>7.1730000000000002E-2</v>
      </c>
      <c r="I71" s="206">
        <f t="shared" ref="I71:I134" si="17">IF(C71=0,0,H71)</f>
        <v>0</v>
      </c>
      <c r="J71" s="206">
        <f t="shared" ref="J71:J134" si="18">IF(C71=0,0,E71)</f>
        <v>0</v>
      </c>
      <c r="K71" s="381">
        <f>VLOOKUP(A71, IRD!$A$5:$C$139, 3, FALSE)</f>
        <v>99899.204999999987</v>
      </c>
      <c r="L71" s="382">
        <f t="array" ref="L71">IF($G71=0, INDEX(LS_previous!$D$4:$AY$138, MATCH('Staging Table'!$A71, LS_previous!$B$4:$B$138, 0), MATCH(L$4&amp;L$5, LS_previous!$D$2:$AY$2&amp;LS_previous!$D$3:$AY$3, 0)),SUM(VLOOKUP($A71, LS_previous!$B$4:$AY$138, LS_previous!D$149, FALSE), VLOOKUP('Staging Table'!$A71, LS_previous!$B$4:$AY$138,LS_previous!AB$149, FALSE))/2)</f>
        <v>-4087.8945926922788</v>
      </c>
      <c r="M71" s="382">
        <f t="array" ref="M71">IF($G71=0, INDEX(LS_previous!$D$4:$AY$138, MATCH('Staging Table'!$A71, LS_previous!$B$4:$B$138, 0), MATCH(M$4&amp;M$5, LS_previous!$D$2:$AY$2&amp;LS_previous!$D$3:$AY$3, 0)),SUM(VLOOKUP($A71, LS_previous!$B$4:$AY$138, LS_previous!E$149, FALSE), VLOOKUP('Staging Table'!$A71, LS_previous!$B$4:$AY$138,LS_previous!AC$149, FALSE))/2)</f>
        <v>-1355.0331138906067</v>
      </c>
      <c r="N71" s="382">
        <f t="array" ref="N71">IF($G71=0, INDEX(LS_previous!$D$4:$AY$138, MATCH('Staging Table'!$A71, LS_previous!$B$4:$B$138, 0), MATCH(N$4&amp;N$5, LS_previous!$D$2:$AY$2&amp;LS_previous!$D$3:$AY$3, 0)),SUM(VLOOKUP($A71, LS_previous!$B$4:$AY$138, LS_previous!F$149, FALSE), VLOOKUP('Staging Table'!$A71, LS_previous!$B$4:$AY$138,LS_previous!AD$149, FALSE))/2)</f>
        <v>-7789.9399584964049</v>
      </c>
      <c r="O71" s="382">
        <f t="array" ref="O71">IF($G71=0, INDEX(LS_previous!$D$4:$AY$138, MATCH('Staging Table'!$A71, LS_previous!$B$4:$B$138, 0), MATCH(O$4&amp;O$5, LS_previous!$D$2:$AY$2&amp;LS_previous!$D$3:$AY$3, 0)),SUM(VLOOKUP($A71, LS_previous!$B$4:$AY$138, LS_previous!G$149, FALSE), VLOOKUP('Staging Table'!$A71, LS_previous!$B$4:$AY$138,LS_previous!AE$149, FALSE))/2)</f>
        <v>-4029.4596997652607</v>
      </c>
      <c r="P71" s="382">
        <f t="array" ref="P71">IF($G71=0, INDEX(LS_previous!$D$4:$AY$138, MATCH('Staging Table'!$A71, LS_previous!$B$4:$B$138, 0), MATCH(P$4&amp;P$5, LS_previous!$D$2:$AY$2&amp;LS_previous!$D$3:$AY$3, 0)),SUM(VLOOKUP($A71, LS_previous!$B$4:$AY$138, LS_previous!H$149, FALSE), VLOOKUP('Staging Table'!$A71, LS_previous!$B$4:$AY$138,LS_previous!AF$149, FALSE))/2)</f>
        <v>-6759.3227781638716</v>
      </c>
      <c r="Q71" s="382">
        <f t="array" ref="Q71">IF($G71=0, INDEX(LS_previous!$D$4:$AY$138, MATCH('Staging Table'!$A71, LS_previous!$B$4:$B$138, 0), MATCH(Q$4&amp;Q$5, LS_previous!$D$2:$AY$2&amp;LS_previous!$D$3:$AY$3, 0)),SUM(VLOOKUP($A71, LS_previous!$B$4:$AY$138, LS_previous!I$149, FALSE), VLOOKUP('Staging Table'!$A71, LS_previous!$B$4:$AY$138,LS_previous!AG$149, FALSE))/2)</f>
        <v>-3195.791369784823</v>
      </c>
      <c r="R71" s="382">
        <f t="array" ref="R71">IF($G71=0, INDEX(LS_previous!$D$4:$AY$138, MATCH('Staging Table'!$A71, LS_previous!$B$4:$B$138, 0), MATCH(R$4&amp;R$5, LS_previous!$D$2:$AY$2&amp;LS_previous!$D$3:$AY$3, 0)),SUM(VLOOKUP($A71, LS_previous!$B$4:$AY$138, LS_previous!J$149, FALSE), VLOOKUP('Staging Table'!$A71, LS_previous!$B$4:$AY$138,LS_previous!AH$149, FALSE))/2)</f>
        <v>-5393.1966544491761</v>
      </c>
      <c r="S71" s="382">
        <f t="array" ref="S71">IF($G71=0, INDEX(LS_previous!$D$4:$AY$138, MATCH('Staging Table'!$A71, LS_previous!$B$4:$B$138, 0), MATCH(S$4&amp;S$5, LS_previous!$D$2:$AY$2&amp;LS_previous!$D$3:$AY$3, 0)),SUM(VLOOKUP($A71, LS_previous!$B$4:$AY$138, LS_previous!K$149, FALSE), VLOOKUP('Staging Table'!$A71, LS_previous!$B$4:$AY$138,LS_previous!AI$149, FALSE))/2)</f>
        <v>-2611.499237469232</v>
      </c>
      <c r="T71" s="382">
        <f t="array" ref="T71">IF($G71=0, INDEX(LS_previous!$D$4:$AY$138, MATCH('Staging Table'!$A71, LS_previous!$B$4:$B$138, 0), MATCH(T$4&amp;T$5, LS_previous!$D$2:$AY$2&amp;LS_previous!$D$3:$AY$3, 0)),SUM(VLOOKUP($A71, LS_previous!$B$4:$AY$138, LS_previous!L$149, FALSE), VLOOKUP('Staging Table'!$A71, LS_previous!$B$4:$AY$138,LS_previous!AJ$149, FALSE))/2)</f>
        <v>-5380.8364914060439</v>
      </c>
      <c r="U71" s="382">
        <f t="array" ref="U71">IF($G71=0, INDEX(LS_previous!$D$4:$AY$138, MATCH('Staging Table'!$A71, LS_previous!$B$4:$B$138, 0), MATCH(U$4&amp;U$5, LS_previous!$D$2:$AY$2&amp;LS_previous!$D$3:$AY$3, 0)),SUM(VLOOKUP($A71, LS_previous!$B$4:$AY$138, LS_previous!M$149, FALSE), VLOOKUP('Staging Table'!$A71, LS_previous!$B$4:$AY$138,LS_previous!AK$149, FALSE))/2)</f>
        <v>-2684.9608317423854</v>
      </c>
      <c r="V71" s="382">
        <f t="array" ref="V71">IF($G71=0, INDEX(LS_previous!$D$4:$AY$138, MATCH('Staging Table'!$A71, LS_previous!$B$4:$B$138, 0), MATCH(V$4&amp;V$5, LS_previous!$D$2:$AY$2&amp;LS_previous!$D$3:$AY$3, 0)),SUM(VLOOKUP($A71, LS_previous!$B$4:$AY$138, LS_previous!N$149, FALSE), VLOOKUP('Staging Table'!$A71, LS_previous!$B$4:$AY$138,LS_previous!AL$149, FALSE))/2)</f>
        <v>-6126.3648047911011</v>
      </c>
      <c r="W71" s="382">
        <f t="array" ref="W71">IF($G71=0, INDEX(LS_previous!$D$4:$AY$138, MATCH('Staging Table'!$A71, LS_previous!$B$4:$B$138, 0), MATCH(W$4&amp;W$5, LS_previous!$D$2:$AY$2&amp;LS_previous!$D$3:$AY$3, 0)),SUM(VLOOKUP($A71, LS_previous!$B$4:$AY$138, LS_previous!O$149, FALSE), VLOOKUP('Staging Table'!$A71, LS_previous!$B$4:$AY$138,LS_previous!AM$149, FALSE))/2)</f>
        <v>-3346.8427423654362</v>
      </c>
      <c r="X71" s="382">
        <f t="array" ref="X71">IF($G71=0, INDEX(LS_previous!$D$4:$AY$138, MATCH('Staging Table'!$A71, LS_previous!$B$4:$B$138, 0), MATCH(X$4&amp;X$5, LS_previous!$D$2:$AY$2&amp;LS_previous!$D$3:$AY$3, 0)),SUM(VLOOKUP($A71, LS_previous!$B$4:$AY$138, LS_previous!P$149, FALSE), VLOOKUP('Staging Table'!$A71, LS_previous!$B$4:$AY$138,LS_previous!AN$149, FALSE))/2)</f>
        <v>2091.4223707970395</v>
      </c>
      <c r="Y71" s="382">
        <f t="array" ref="Y71">IF($G71=0, INDEX(LS_previous!$D$4:$AY$138, MATCH('Staging Table'!$A71, LS_previous!$B$4:$B$138, 0), MATCH(Y$4&amp;Y$5, LS_previous!$D$2:$AY$2&amp;LS_previous!$D$3:$AY$3, 0)),SUM(VLOOKUP($A71, LS_previous!$B$4:$AY$138, LS_previous!Q$149, FALSE), VLOOKUP('Staging Table'!$A71, LS_previous!$B$4:$AY$138,LS_previous!AO$149, FALSE))/2)</f>
        <v>2407.7357899432363</v>
      </c>
      <c r="Z71" s="382">
        <f t="array" ref="Z71">IF($G71=0, INDEX(LS_previous!$D$4:$AY$138, MATCH('Staging Table'!$A71, LS_previous!$B$4:$B$138, 0), MATCH(Z$4&amp;Z$5, LS_previous!$D$2:$AY$2&amp;LS_previous!$D$3:$AY$3, 0)),SUM(VLOOKUP($A71, LS_previous!$B$4:$AY$138, LS_previous!R$149, FALSE), VLOOKUP('Staging Table'!$A71, LS_previous!$B$4:$AY$138,LS_previous!AP$149, FALSE))/2)</f>
        <v>5644.4468160977322</v>
      </c>
      <c r="AA71" s="382">
        <f t="array" ref="AA71">IF($G71=0, INDEX(LS_previous!$D$4:$AY$138, MATCH('Staging Table'!$A71, LS_previous!$B$4:$B$138, 0), MATCH(AA$4&amp;AA$5, LS_previous!$D$2:$AY$2&amp;LS_previous!$D$3:$AY$3, 0)),SUM(VLOOKUP($A71, LS_previous!$B$4:$AY$138, LS_previous!S$149, FALSE), VLOOKUP('Staging Table'!$A71, LS_previous!$B$4:$AY$138,LS_previous!AQ$149, FALSE))/2)</f>
        <v>6334.439251996575</v>
      </c>
      <c r="AB71" s="382">
        <f t="array" ref="AB71">IF($G71=0, INDEX(LS_previous!$D$4:$AY$138, MATCH('Staging Table'!$A71, LS_previous!$B$4:$B$138, 0), MATCH(AB$4&amp;AB$5, LS_previous!$D$2:$AY$2&amp;LS_previous!$D$3:$AY$3, 0)),SUM(VLOOKUP($A71, LS_previous!$B$4:$AY$138, LS_previous!T$149, FALSE), VLOOKUP('Staging Table'!$A71, LS_previous!$B$4:$AY$138,LS_previous!AR$149, FALSE))/2)</f>
        <v>9543.1334021591265</v>
      </c>
      <c r="AC71" s="382">
        <f t="array" ref="AC71">IF($G71=0, INDEX(LS_previous!$D$4:$AY$138, MATCH('Staging Table'!$A71, LS_previous!$B$4:$B$138, 0), MATCH(AC$4&amp;AC$5, LS_previous!$D$2:$AY$2&amp;LS_previous!$D$3:$AY$3, 0)),SUM(VLOOKUP($A71, LS_previous!$B$4:$AY$138, LS_previous!U$149, FALSE), VLOOKUP('Staging Table'!$A71, LS_previous!$B$4:$AY$138,LS_previous!AS$149, FALSE))/2)</f>
        <v>8159.3851021126738</v>
      </c>
      <c r="AD71" s="382">
        <f t="array" ref="AD71">IF($G71=0, INDEX(LS_previous!$D$4:$AY$138, MATCH('Staging Table'!$A71, LS_previous!$B$4:$B$138, 0), MATCH(AD$4&amp;AD$5, LS_previous!$D$2:$AY$2&amp;LS_previous!$D$3:$AY$3, 0)),SUM(VLOOKUP($A71, LS_previous!$B$4:$AY$138, LS_previous!V$149, FALSE), VLOOKUP('Staging Table'!$A71, LS_previous!$B$4:$AY$138,LS_previous!AT$149, FALSE))/2)</f>
        <v>11739.655496141608</v>
      </c>
      <c r="AE71" s="382">
        <f t="array" ref="AE71">IF($G71=0, INDEX(LS_previous!$D$4:$AY$138, MATCH('Staging Table'!$A71, LS_previous!$B$4:$B$138, 0), MATCH(AE$4&amp;AE$5, LS_previous!$D$2:$AY$2&amp;LS_previous!$D$3:$AY$3, 0)),SUM(VLOOKUP($A71, LS_previous!$B$4:$AY$138, LS_previous!W$149, FALSE), VLOOKUP('Staging Table'!$A71, LS_previous!$B$4:$AY$138,LS_previous!AU$149, FALSE))/2)</f>
        <v>13044.302282337467</v>
      </c>
      <c r="AF71" s="382">
        <f t="array" ref="AF71">IF($G71=0, INDEX(LS_previous!$D$4:$AY$138, MATCH('Staging Table'!$A71, LS_previous!$B$4:$B$138, 0), MATCH(AF$4&amp;AF$5, LS_previous!$D$2:$AY$2&amp;LS_previous!$D$3:$AY$3, 0)),SUM(VLOOKUP($A71, LS_previous!$B$4:$AY$138, LS_previous!X$149, FALSE), VLOOKUP('Staging Table'!$A71, LS_previous!$B$4:$AY$138,LS_previous!AV$149, FALSE))/2)</f>
        <v>12170.397034626623</v>
      </c>
      <c r="AG71" s="382">
        <f t="array" ref="AG71">IF($G71=0, INDEX(LS_previous!$D$4:$AY$138, MATCH('Staging Table'!$A71, LS_previous!$B$4:$B$138, 0), MATCH(AG$4&amp;AG$5, LS_previous!$D$2:$AY$2&amp;LS_previous!$D$3:$AY$3, 0)),SUM(VLOOKUP($A71, LS_previous!$B$4:$AY$138, LS_previous!Y$149, FALSE), VLOOKUP('Staging Table'!$A71, LS_previous!$B$4:$AY$138,LS_previous!AW$149, FALSE))/2)</f>
        <v>10573.10107100451</v>
      </c>
      <c r="AH71" s="382">
        <f t="array" ref="AH71">IF($G71=0, INDEX(LS_previous!$D$4:$AY$138, MATCH('Staging Table'!$A71, LS_previous!$B$4:$B$138, 0), MATCH(AH$4&amp;AH$5, LS_previous!$D$2:$AY$2&amp;LS_previous!$D$3:$AY$3, 0)),SUM(VLOOKUP($A71, LS_previous!$B$4:$AY$138, LS_previous!Z$149, FALSE), VLOOKUP('Staging Table'!$A71, LS_previous!$B$4:$AY$138,LS_previous!AX$149, FALSE))/2)</f>
        <v>4916.5658953485581</v>
      </c>
      <c r="AI71" s="382">
        <f t="array" ref="AI71">IF($G71=0, INDEX(LS_previous!$D$4:$AY$138, MATCH('Staging Table'!$A71, LS_previous!$B$4:$B$138, 0), MATCH(AI$4&amp;AI$5, LS_previous!$D$2:$AY$2&amp;LS_previous!$D$3:$AY$3, 0)),SUM(VLOOKUP($A71, LS_previous!$B$4:$AY$138, LS_previous!AA$149, FALSE), VLOOKUP('Staging Table'!$A71, LS_previous!$B$4:$AY$138,LS_previous!AY$149, FALSE))/2)</f>
        <v>6284.8799863387467</v>
      </c>
      <c r="AJ71" s="384">
        <f t="array" ref="AJ71">INDEX(Demand_previous!$D$4:$AY$138, MATCH('Staging Table'!$A71, Demand_previous!$B$4:$B$138, 0), MATCH(AJ$4&amp;AJ$5,Demand_previous!$D$2:$AY$2&amp;Demand_previous!$D$3:$AY$3, 0))/1000</f>
        <v>5.0423310185185173</v>
      </c>
      <c r="AK71" s="384">
        <f t="array" ref="AK71">INDEX(Demand_previous!$D$4:$AY$138, MATCH('Staging Table'!$A71, Demand_previous!$B$4:$B$138, 0), MATCH(AK$4&amp;AK$5,Demand_previous!$D$2:$AY$2&amp;Demand_previous!$D$3:$AY$3, 0))/1000</f>
        <v>0</v>
      </c>
      <c r="AL71" s="384">
        <f t="array" ref="AL71">INDEX(Demand_previous!$D$4:$AY$138, MATCH('Staging Table'!$A71, Demand_previous!$B$4:$B$138, 0), MATCH(AL$4&amp;AL$5,Demand_previous!$D$2:$AY$2&amp;Demand_previous!$D$3:$AY$3, 0))/1000</f>
        <v>2.1786778846153831</v>
      </c>
      <c r="AM71" s="384">
        <f t="array" ref="AM71">INDEX(Demand_previous!$D$4:$AY$138, MATCH('Staging Table'!$A71, Demand_previous!$B$4:$B$138, 0), MATCH(AM$4&amp;AM$5,Demand_previous!$D$2:$AY$2&amp;Demand_previous!$D$3:$AY$3, 0))/1000</f>
        <v>1.5032399999999986</v>
      </c>
      <c r="AN71" s="384">
        <f t="array" ref="AN71">INDEX(Demand_previous!$D$4:$AY$138, MATCH('Staging Table'!$A71, Demand_previous!$B$4:$B$138, 0), MATCH(AN$4&amp;AN$5,Demand_previous!$D$2:$AY$2&amp;Demand_previous!$D$3:$AY$3, 0))/1000</f>
        <v>0.5430549999999994</v>
      </c>
      <c r="AO71" s="384">
        <f t="array" ref="AO71">INDEX(Demand_previous!$D$4:$AY$138, MATCH('Staging Table'!$A71, Demand_previous!$B$4:$B$138, 0), MATCH(AO$4&amp;AO$5,Demand_previous!$D$2:$AY$2&amp;Demand_previous!$D$3:$AY$3, 0))/1000</f>
        <v>1.551247685185186</v>
      </c>
      <c r="AP71" s="384">
        <f t="array" ref="AP71">INDEX(Demand_previous!$D$4:$AY$138, MATCH('Staging Table'!$A71, Demand_previous!$B$4:$B$138, 0), MATCH(AP$4&amp;AP$5,Demand_previous!$D$2:$AY$2&amp;Demand_previous!$D$3:$AY$3, 0))/1000</f>
        <v>10.958822115384619</v>
      </c>
      <c r="AQ71" s="384">
        <f t="array" ref="AQ71">INDEX(Demand_previous!$D$4:$AY$138, MATCH('Staging Table'!$A71, Demand_previous!$B$4:$B$138, 0), MATCH(AQ$4&amp;AQ$5,Demand_previous!$D$2:$AY$2&amp;Demand_previous!$D$3:$AY$3, 0))/1000</f>
        <v>0</v>
      </c>
      <c r="AR71" s="384">
        <f t="array" ref="AR71">INDEX(Demand_previous!$D$4:$AY$138, MATCH('Staging Table'!$A71, Demand_previous!$B$4:$B$138, 0), MATCH(AR$4&amp;AR$5,Demand_previous!$D$2:$AY$2&amp;Demand_previous!$D$3:$AY$3, 0))/1000</f>
        <v>7.9320192307692334</v>
      </c>
      <c r="AS71" s="384">
        <f t="array" ref="AS71">INDEX(Demand_previous!$D$4:$AY$138, MATCH('Staging Table'!$A71, Demand_previous!$B$4:$B$138, 0), MATCH(AS$4&amp;AS$5,Demand_previous!$D$2:$AY$2&amp;Demand_previous!$D$3:$AY$3, 0))/1000</f>
        <v>6.0829475000000004</v>
      </c>
      <c r="AT71" s="384">
        <f t="array" ref="AT71">INDEX(Demand_previous!$D$4:$AY$138, MATCH('Staging Table'!$A71, Demand_previous!$B$4:$B$138, 0), MATCH(AT$4&amp;AT$5,Demand_previous!$D$2:$AY$2&amp;Demand_previous!$D$3:$AY$3, 0))/1000</f>
        <v>3.2627824074074141</v>
      </c>
      <c r="AU71" s="384">
        <f t="array" ref="AU71">INDEX(Demand_previous!$D$4:$AY$138, MATCH('Staging Table'!$A71, Demand_previous!$B$4:$B$138, 0), MATCH(AU$4&amp;AU$5,Demand_previous!$D$2:$AY$2&amp;Demand_previous!$D$3:$AY$3, 0))/1000</f>
        <v>2.0601174999999934</v>
      </c>
      <c r="AV71" s="384">
        <f>IF($D71=0,IF(C71=0, MAX(AY71 - (VLOOKUP($A71,TOCA_previous!$A$2:$AI$137,MATCH("RHWM 2016",TOCA_previous!$A$2:$AI$2,0),FALSE)*$F$2*TOCA_previous!C68),0),0), 0)</f>
        <v>40147.652465847292</v>
      </c>
      <c r="AW71" s="427">
        <f>VLOOKUP($A71,REP_previous!$A$1:$D$135,MATCH("FY "&amp;$F$1&amp; " Total Refund",REP_previous!$A$1:$D$1,0),0)</f>
        <v>217408.79025122698</v>
      </c>
      <c r="AX71" s="398">
        <f>MIN(VLOOKUP($A71,TOCA_previous!$A$2:$AI$137,MATCH("TRL - NLSL - Exisiting Resource "&amp;$F$1,TOCA_previous!$A$2:$AI$2,0),FALSE)*$F$2,(VLOOKUP($A71,TOCA_previous!$A$2:$AI$137,MATCH("RHWM 2016",TOCA_previous!$A$2:$AI$2,0),FALSE)*$F$2))</f>
        <v>197912.304</v>
      </c>
      <c r="AY71" s="384">
        <f>SUM(L71:AI71)+(F71*RT1SC!$C$3*$F$2)</f>
        <v>238059.9564658473</v>
      </c>
      <c r="AZ71" s="398">
        <f>VLOOKUP($A71,TOCA_previous!$A$2:$AI$137,MATCH("Above RHWM Not Served with LS "&amp;$F$1,TOCA_previous!$A$2:$AI$2,0),FALSE)*$F$2</f>
        <v>0</v>
      </c>
      <c r="BA71" s="206">
        <f t="shared" ref="BA71:BA134" si="19">AY71-AX71</f>
        <v>40147.652465847292</v>
      </c>
      <c r="BB71" s="399">
        <f>(VLOOKUP($A71,TOCA_previous!$A$2:$AI$137,MATCH("RHWM 2016",TOCA_previous!$A$2:$AI$2,0),FALSE)*$F$2) - $AX71</f>
        <v>0</v>
      </c>
      <c r="BC71" s="206">
        <f t="shared" ref="BC71:BC134" si="20">IF(BA71&gt;0,IF(BB71&gt;0,(-1)*MIN(BA71,BB71),0),0)</f>
        <v>0</v>
      </c>
      <c r="BD71" s="400">
        <f t="shared" ref="BD71:BD134" si="21">IF(BA71&lt;0,IF(AZ71&lt;ABS(BA71),MAX(0,ABS($BA71)-(AZ71)),0),0)</f>
        <v>0</v>
      </c>
      <c r="BE71" s="392">
        <f t="shared" ref="BE71:BE134" si="22">IF(AND(AZ71&gt;0,BB71&gt;0),IF(AND(BA71&lt;=0,ABS(BA71)&lt;AZ71),(-1)*MIN(AZ71,AZ71-ABS(BA71),BB71),IF(AND(BA71&gt;0,BA71&lt;BB71),(-1)*MIN(AZ71,BB71-BA71),0)),0)</f>
        <v>0</v>
      </c>
      <c r="BF71" s="399">
        <f t="shared" ref="BF71:BF134" si="23">IF($D71=0,SUM($BC71:$BE71),0)</f>
        <v>0</v>
      </c>
      <c r="BG71" s="206">
        <f>VLOOKUP($A71,TOCA_current!$A$2:$AI$137,MATCH(BG$4,TOCA_current!$A$2:$AI$2,0),FALSE)</f>
        <v>3.2234999999999998E-3</v>
      </c>
      <c r="BH71" s="206">
        <f>VLOOKUP($A71,TOCA_current!$A$2:$AI$137,MATCH(BH$4,TOCA_current!$A$2:$AI$2,0),FALSE)</f>
        <v>3.2234999999999998E-3</v>
      </c>
      <c r="BI71" s="391">
        <f t="shared" ref="BI71:BI134" si="24">BG71-BH71</f>
        <v>0</v>
      </c>
      <c r="BJ71" s="206">
        <f>VLOOKUP($A71,TOCA_current!A67:BG202,MATCH(BJ$4,TOCA_current!$A$2:$BG$2,0),FALSE)</f>
        <v>7.188234243087506E-2</v>
      </c>
      <c r="BK71" s="206">
        <f t="shared" ref="BK71:BK134" si="25">IF(C71=0,0,BJ71)</f>
        <v>0</v>
      </c>
      <c r="BL71" s="206">
        <f t="shared" ref="BL71:BL134" si="26">IF(C71=0,0,BG71)</f>
        <v>0</v>
      </c>
      <c r="BM71" s="381">
        <f>VLOOKUP($A71,IRD!$A$4:$G$139, 7, FALSE)</f>
        <v>99899.204999999987</v>
      </c>
      <c r="BN71" s="382">
        <f t="array" ref="BN71">IF($BI71=0, INDEX(LS_current!$D$4:$AY$139, MATCH('Staging Table'!$A71, LS_current!$B$4:$B$139, 0), MATCH(BN$4&amp;BN$5, LS_current!$D$2:$AY$2&amp;LS_current!$D$3:$AY$3, 0)),SUM(VLOOKUP($A71, LS_current!$B$4:$AY$139, LS_current!D$149, FALSE), VLOOKUP($A71, LS_current!$B$4:$AY$139,LS_current!D$149, FALSE))/2)</f>
        <v>-4131.4221527657428</v>
      </c>
      <c r="BO71" s="382">
        <f t="array" ref="BO71">IF($BI71=0, INDEX(LS_current!$D$4:$AY$139, MATCH('Staging Table'!$A71, LS_current!$B$4:$B$139, 0), MATCH(BO$4&amp;BO$5, LS_current!$D$2:$AY$2&amp;LS_current!$D$3:$AY$3, 0)),SUM(VLOOKUP($A71, LS_current!$B$4:$AY$139, LS_current!E$149, FALSE), VLOOKUP($A71, LS_current!$B$4:$AY$139,LS_current!E$149, FALSE))/2)</f>
        <v>-1063.0273742968102</v>
      </c>
      <c r="BP71" s="382">
        <f t="array" ref="BP71">IF($BI71=0, INDEX(LS_current!$D$4:$AY$139, MATCH('Staging Table'!$A71, LS_current!$B$4:$B$139, 0), MATCH(BP$4&amp;BP$5, LS_current!$D$2:$AY$2&amp;LS_current!$D$3:$AY$3, 0)),SUM(VLOOKUP($A71, LS_current!$B$4:$AY$139, LS_current!F$149, FALSE), VLOOKUP($A71, LS_current!$B$4:$AY$139,LS_current!F$149, FALSE))/2)</f>
        <v>-8019.963428985704</v>
      </c>
      <c r="BQ71" s="382">
        <f t="array" ref="BQ71">IF($BI71=0, INDEX(LS_current!$D$4:$AY$139, MATCH('Staging Table'!$A71, LS_current!$B$4:$B$139, 0), MATCH(BQ$4&amp;BQ$5, LS_current!$D$2:$AY$2&amp;LS_current!$D$3:$AY$3, 0)),SUM(VLOOKUP($A71, LS_current!$B$4:$AY$139, LS_current!G$149, FALSE), VLOOKUP($A71, LS_current!$B$4:$AY$139,LS_current!G$149, FALSE))/2)</f>
        <v>-3960.1659099765939</v>
      </c>
      <c r="BR71" s="382">
        <f t="array" ref="BR71">IF($BI71=0, INDEX(LS_current!$D$4:$AY$139, MATCH('Staging Table'!$A71, LS_current!$B$4:$B$139, 0), MATCH(BR$4&amp;BR$5, LS_current!$D$2:$AY$2&amp;LS_current!$D$3:$AY$3, 0)),SUM(VLOOKUP($A71, LS_current!$B$4:$AY$139, LS_current!H$149, FALSE), VLOOKUP($A71, LS_current!$B$4:$AY$139,LS_current!H$149, FALSE))/2)</f>
        <v>-7119.4745734068483</v>
      </c>
      <c r="BS71" s="382">
        <f t="array" ref="BS71">IF($BI71=0, INDEX(LS_current!$D$4:$AY$139, MATCH('Staging Table'!$A71, LS_current!$B$4:$B$139, 0), MATCH(BS$4&amp;BS$5, LS_current!$D$2:$AY$2&amp;LS_current!$D$3:$AY$3, 0)),SUM(VLOOKUP($A71, LS_current!$B$4:$AY$139, LS_current!I$149, FALSE), VLOOKUP($A71, LS_current!$B$4:$AY$139,LS_current!I$149, FALSE))/2)</f>
        <v>-3254.9752929035826</v>
      </c>
      <c r="BT71" s="382">
        <f t="array" ref="BT71">IF($BI71=0, INDEX(LS_current!$D$4:$AY$139, MATCH('Staging Table'!$A71, LS_current!$B$4:$B$139, 0), MATCH(BT$4&amp;BT$5, LS_current!$D$2:$AY$2&amp;LS_current!$D$3:$AY$3, 0)),SUM(VLOOKUP($A71, LS_current!$B$4:$AY$139, LS_current!J$149, FALSE), VLOOKUP($A71, LS_current!$B$4:$AY$139,LS_current!J$149, FALSE))/2)</f>
        <v>-5493.1836410720271</v>
      </c>
      <c r="BU71" s="382">
        <f t="array" ref="BU71">IF($BI71=0, INDEX(LS_current!$D$4:$AY$139, MATCH('Staging Table'!$A71, LS_current!$B$4:$B$139, 0), MATCH(BU$4&amp;BU$5, LS_current!$D$2:$AY$2&amp;LS_current!$D$3:$AY$3, 0)),SUM(VLOOKUP($A71, LS_current!$B$4:$AY$139, LS_current!K$149, FALSE), VLOOKUP($A71, LS_current!$B$4:$AY$139,LS_current!K$149, FALSE))/2)</f>
        <v>-2629.2172237962313</v>
      </c>
      <c r="BV71" s="382">
        <f t="array" ref="BV71">IF($BI71=0, INDEX(LS_current!$D$4:$AY$139, MATCH('Staging Table'!$A71, LS_current!$B$4:$B$139, 0), MATCH(BV$4&amp;BV$5, LS_current!$D$2:$AY$2&amp;LS_current!$D$3:$AY$3, 0)),SUM(VLOOKUP($A71, LS_current!$B$4:$AY$139, LS_current!L$149, FALSE), VLOOKUP($A71, LS_current!$B$4:$AY$139,LS_current!L$149, FALSE))/2)</f>
        <v>-4703.2186140610174</v>
      </c>
      <c r="BW71" s="382">
        <f t="array" ref="BW71">IF($BI71=0, INDEX(LS_current!$D$4:$AY$139, MATCH('Staging Table'!$A71, LS_current!$B$4:$B$139, 0), MATCH(BW$4&amp;BW$5, LS_current!$D$2:$AY$2&amp;LS_current!$D$3:$AY$3, 0)),SUM(VLOOKUP($A71, LS_current!$B$4:$AY$139, LS_current!M$149, FALSE), VLOOKUP($A71, LS_current!$B$4:$AY$139,LS_current!M$149, FALSE))/2)</f>
        <v>-2153.3599239107371</v>
      </c>
      <c r="BX71" s="382">
        <f t="array" ref="BX71">IF($BI71=0, INDEX(LS_current!$D$4:$AY$139, MATCH('Staging Table'!$A71, LS_current!$B$4:$B$139, 0), MATCH(BX$4&amp;BX$5, LS_current!$D$2:$AY$2&amp;LS_current!$D$3:$AY$3, 0)),SUM(VLOOKUP($A71, LS_current!$B$4:$AY$139, LS_current!N$149, FALSE), VLOOKUP($A71, LS_current!$B$4:$AY$139,LS_current!N$149, FALSE))/2)</f>
        <v>-5596.0914246259799</v>
      </c>
      <c r="BY71" s="382">
        <f t="array" ref="BY71">IF($BI71=0, INDEX(LS_current!$D$4:$AY$139, MATCH('Staging Table'!$A71, LS_current!$B$4:$B$139, 0), MATCH(BY$4&amp;BY$5, LS_current!$D$2:$AY$2&amp;LS_current!$D$3:$AY$3, 0)),SUM(VLOOKUP($A71, LS_current!$B$4:$AY$139, LS_current!O$149, FALSE), VLOOKUP($A71, LS_current!$B$4:$AY$139,LS_current!O$149, FALSE))/2)</f>
        <v>-2758.8290522226239</v>
      </c>
      <c r="BZ71" s="382">
        <f t="array" ref="BZ71">IF($BI71=0, INDEX(LS_current!$D$4:$AY$139, MATCH('Staging Table'!$A71, LS_current!$B$4:$B$139, 0), MATCH(BZ$4&amp;BZ$5, LS_current!$D$2:$AY$2&amp;LS_current!$D$3:$AY$3, 0)),SUM(VLOOKUP($A71, LS_current!$B$4:$AY$139, LS_current!P$149, FALSE), VLOOKUP($A71, LS_current!$B$4:$AY$139,LS_current!P$149, FALSE))/2)</f>
        <v>1119.1136031211263</v>
      </c>
      <c r="CA71" s="382">
        <f t="array" ref="CA71">IF($BI71=0, INDEX(LS_current!$D$4:$AY$139, MATCH('Staging Table'!$A71, LS_current!$B$4:$B$139, 0), MATCH(CA$4&amp;CA$5, LS_current!$D$2:$AY$2&amp;LS_current!$D$3:$AY$3, 0)),SUM(VLOOKUP($A71, LS_current!$B$4:$AY$139, LS_current!Q$149, FALSE), VLOOKUP($A71, LS_current!$B$4:$AY$139,LS_current!Q$149, FALSE))/2)</f>
        <v>2341.7566248844105</v>
      </c>
      <c r="CB71" s="382">
        <f t="array" ref="CB71">IF($BI71=0, INDEX(LS_current!$D$4:$AY$139, MATCH('Staging Table'!$A71, LS_current!$B$4:$B$139, 0), MATCH(CB$4&amp;CB$5, LS_current!$D$2:$AY$2&amp;LS_current!$D$3:$AY$3, 0)),SUM(VLOOKUP($A71, LS_current!$B$4:$AY$139, LS_current!R$149, FALSE), VLOOKUP($A71, LS_current!$B$4:$AY$139,LS_current!R$149, FALSE))/2)</f>
        <v>5778.9281872016873</v>
      </c>
      <c r="CC71" s="382">
        <f t="array" ref="CC71">IF($BI71=0, INDEX(LS_current!$D$4:$AY$139, MATCH('Staging Table'!$A71, LS_current!$B$4:$B$139, 0), MATCH(CC$4&amp;CC$5, LS_current!$D$2:$AY$2&amp;LS_current!$D$3:$AY$3, 0)),SUM(VLOOKUP($A71, LS_current!$B$4:$AY$139, LS_current!S$149, FALSE), VLOOKUP($A71, LS_current!$B$4:$AY$139,LS_current!S$149, FALSE))/2)</f>
        <v>6221.5951627810064</v>
      </c>
      <c r="CD71" s="382">
        <f t="array" ref="CD71">IF($BI71=0, INDEX(LS_current!$D$4:$AY$139, MATCH('Staging Table'!$A71, LS_current!$B$4:$B$139, 0), MATCH(CD$4&amp;CD$5, LS_current!$D$2:$AY$2&amp;LS_current!$D$3:$AY$3, 0)),SUM(VLOOKUP($A71, LS_current!$B$4:$AY$139, LS_current!T$149, FALSE), VLOOKUP($A71, LS_current!$B$4:$AY$139,LS_current!T$149, FALSE))/2)</f>
        <v>9605.9192657899493</v>
      </c>
      <c r="CE71" s="382">
        <f t="array" ref="CE71">IF($BI71=0, INDEX(LS_current!$D$4:$AY$139, MATCH('Staging Table'!$A71, LS_current!$B$4:$B$139, 0), MATCH(CE$4&amp;CE$5, LS_current!$D$2:$AY$2&amp;LS_current!$D$3:$AY$3, 0)),SUM(VLOOKUP($A71, LS_current!$B$4:$AY$139, LS_current!U$149, FALSE), VLOOKUP($A71, LS_current!$B$4:$AY$139,LS_current!U$149, FALSE))/2)</f>
        <v>8611.8472080451611</v>
      </c>
      <c r="CF71" s="382">
        <f t="array" ref="CF71">IF($BI71=0, INDEX(LS_current!$D$4:$AY$139, MATCH('Staging Table'!$A71, LS_current!$B$4:$B$139, 0), MATCH(CF$4&amp;CF$5, LS_current!$D$2:$AY$2&amp;LS_current!$D$3:$AY$3, 0)),SUM(VLOOKUP($A71, LS_current!$B$4:$AY$139, LS_current!V$149, FALSE), VLOOKUP($A71, LS_current!$B$4:$AY$139,LS_current!V$149, FALSE))/2)</f>
        <v>12384.139340109588</v>
      </c>
      <c r="CG71" s="382">
        <f t="array" ref="CG71">IF($BI71=0, INDEX(LS_current!$D$4:$AY$139, MATCH('Staging Table'!$A71, LS_current!$B$4:$B$139, 0), MATCH(CG$4&amp;CG$5, LS_current!$D$2:$AY$2&amp;LS_current!$D$3:$AY$3, 0)),SUM(VLOOKUP($A71, LS_current!$B$4:$AY$139, LS_current!W$149, FALSE), VLOOKUP($A71, LS_current!$B$4:$AY$139,LS_current!W$149, FALSE))/2)</f>
        <v>13443.261469982699</v>
      </c>
      <c r="CH71" s="382">
        <f t="array" ref="CH71">IF($BI71=0, INDEX(LS_current!$D$4:$AY$139, MATCH('Staging Table'!$A71, LS_current!$B$4:$B$139, 0), MATCH(CH$4&amp;CH$5, LS_current!$D$2:$AY$2&amp;LS_current!$D$3:$AY$3, 0)),SUM(VLOOKUP($A71, LS_current!$B$4:$AY$139, LS_current!X$149, FALSE), VLOOKUP($A71, LS_current!$B$4:$AY$139,LS_current!X$149, FALSE))/2)</f>
        <v>12237.00264473794</v>
      </c>
      <c r="CI71" s="382">
        <f t="array" ref="CI71">IF($BI71=0, INDEX(LS_current!$D$4:$AY$139, MATCH('Staging Table'!$A71, LS_current!$B$4:$B$139, 0), MATCH(CI$4&amp;CI$5, LS_current!$D$2:$AY$2&amp;LS_current!$D$3:$AY$3, 0)),SUM(VLOOKUP($A71, LS_current!$B$4:$AY$139, LS_current!Y$149, FALSE), VLOOKUP($A71, LS_current!$B$4:$AY$139,LS_current!Y$149, FALSE))/2)</f>
        <v>10757.622047837818</v>
      </c>
      <c r="CJ71" s="382">
        <f t="array" ref="CJ71">IF($BI71=0, INDEX(LS_current!$D$4:$AY$139, MATCH('Staging Table'!$A71, LS_current!$B$4:$B$139, 0), MATCH(CJ$4&amp;CJ$5, LS_current!$D$2:$AY$2&amp;LS_current!$D$3:$AY$3, 0)),SUM(VLOOKUP($A71, LS_current!$B$4:$AY$139, LS_current!Z$149, FALSE), VLOOKUP($A71, LS_current!$B$4:$AY$139,LS_current!Z$149, FALSE))/2)</f>
        <v>4028.3538019242005</v>
      </c>
      <c r="CK71" s="382">
        <f t="array" ref="CK71">IF($BI71=0, INDEX(LS_current!$D$4:$AY$139, MATCH('Staging Table'!$A71, LS_current!$B$4:$B$139, 0), MATCH(CK$4&amp;CK$5, LS_current!$D$2:$AY$2&amp;LS_current!$D$3:$AY$3, 0)),SUM(VLOOKUP($A71, LS_current!$B$4:$AY$139, LS_current!AA$149, FALSE), VLOOKUP($A71, LS_current!$B$4:$AY$139,LS_current!AA$149, FALSE))/2)</f>
        <v>6305.7590470883133</v>
      </c>
      <c r="CL71" s="384">
        <f t="array" ref="CL71">INDEX(Demand_current!$D$4:$AY$138, MATCH($A71, Demand_current!$B$4:$B$138, 0), MATCH(CL$4&amp;CL$5,Demand_current!$D$2:$AY$2&amp;Demand_current!$D$3:$AY$3, 0))/1000</f>
        <v>4.5349206730769218</v>
      </c>
      <c r="CM71" s="384">
        <f t="array" ref="CM71">INDEX(Demand_current!$D$4:$AY$138, MATCH($A71, Demand_current!$B$4:$B$138, 0), MATCH(CM$4&amp;CM$5,Demand_current!$D$2:$AY$2&amp;Demand_current!$D$3:$AY$3, 0))/1000</f>
        <v>0.32916999999999996</v>
      </c>
      <c r="CN71" s="384">
        <f t="array" ref="CN71">INDEX(Demand_current!$D$4:$AY$138, MATCH($A71, Demand_current!$B$4:$B$138, 0), MATCH(CN$4&amp;CN$5,Demand_current!$D$2:$AY$2&amp;Demand_current!$D$3:$AY$3, 0))/1000</f>
        <v>1.757744999999999</v>
      </c>
      <c r="CO71" s="384">
        <f t="array" ref="CO71">INDEX(Demand_current!$D$4:$AY$138, MATCH($A71, Demand_current!$B$4:$B$138, 0), MATCH(CO$4&amp;CO$5,Demand_current!$D$2:$AY$2&amp;Demand_current!$D$3:$AY$3, 0))/1000</f>
        <v>1.9118076923076921</v>
      </c>
      <c r="CP71" s="384">
        <f t="array" ref="CP71">INDEX(Demand_current!$D$4:$AY$138, MATCH($A71, Demand_current!$B$4:$B$138, 0), MATCH(CP$4&amp;CP$5,Demand_current!$D$2:$AY$2&amp;Demand_current!$D$3:$AY$3, 0))/1000</f>
        <v>0.1823489583333342</v>
      </c>
      <c r="CQ71" s="384">
        <f t="array" ref="CQ71">INDEX(Demand_current!$D$4:$AY$138, MATCH($A71, Demand_current!$B$4:$B$138, 0), MATCH(CQ$4&amp;CQ$5,Demand_current!$D$2:$AY$2&amp;Demand_current!$D$3:$AY$3, 0))/1000</f>
        <v>1.551247685185186</v>
      </c>
      <c r="CR71" s="384">
        <f t="array" ref="CR71">INDEX(Demand_current!$D$4:$AY$138, MATCH($A71, Demand_current!$B$4:$B$138, 0), MATCH(CR$4&amp;CR$5,Demand_current!$D$2:$AY$2&amp;Demand_current!$D$3:$AY$3, 0))/1000</f>
        <v>9.9415350000000036</v>
      </c>
      <c r="CS71" s="384">
        <f t="array" ref="CS71">INDEX(Demand_current!$D$4:$AY$138, MATCH($A71, Demand_current!$B$4:$B$138, 0), MATCH(CS$4&amp;CS$5,Demand_current!$D$2:$AY$2&amp;Demand_current!$D$3:$AY$3, 0))/1000</f>
        <v>0.40550480769230651</v>
      </c>
      <c r="CT71" s="384">
        <f t="array" ref="CT71">INDEX(Demand_current!$D$4:$AY$138, MATCH($A71, Demand_current!$B$4:$B$138, 0), MATCH(CT$4&amp;CT$5,Demand_current!$D$2:$AY$2&amp;Demand_current!$D$3:$AY$3, 0))/1000</f>
        <v>7.9320192307692334</v>
      </c>
      <c r="CU71" s="384">
        <f t="array" ref="CU71">INDEX(Demand_current!$D$4:$AY$138, MATCH($A71, Demand_current!$B$4:$B$138, 0), MATCH(CU$4&amp;CU$5,Demand_current!$D$2:$AY$2&amp;Demand_current!$D$3:$AY$3, 0))/1000</f>
        <v>6.0829475000000004</v>
      </c>
      <c r="CV71" s="384">
        <f t="array" ref="CV71">INDEX(Demand_current!$D$4:$AY$138, MATCH($A71, Demand_current!$B$4:$B$138, 0), MATCH(CV$4&amp;CV$5,Demand_current!$D$2:$AY$2&amp;Demand_current!$D$3:$AY$3, 0))/1000</f>
        <v>3.2627824074074141</v>
      </c>
      <c r="CW71" s="384">
        <f t="array" ref="CW71">INDEX(Demand_current!$D$4:$AY$138, MATCH($A71, Demand_current!$B$4:$B$138, 0), MATCH(CW$4&amp;CW$5,Demand_current!$D$2:$AY$2&amp;Demand_current!$D$3:$AY$3, 0))/1000</f>
        <v>0.64128906249999673</v>
      </c>
      <c r="CX71" s="384">
        <f>IF(D71=0,IF(C71=0,MAX(0,DA71 - (VLOOKUP($A71,TOCA_current!$A$2:$AI$137,MATCH("RHWM 2018",TOCA_current!$A$2:$AI$2,0),FALSE)*$BH$2)), 0),0)</f>
        <v>41949.838861040014</v>
      </c>
      <c r="CY71" s="427">
        <f>VLOOKUP($A71,REP_current!$A$1:$D$135,MATCH("FY "&amp;$BH$1&amp; " Total Refund",REP_current!$A$1:$D$1,0),0)</f>
        <v>219249.61152246164</v>
      </c>
      <c r="CZ71" s="432">
        <f>MIN(VLOOKUP($A71,TOCA_current!$A$2:$AI$137,MATCH("TRL - NLSL - Existing Resource "&amp;$BH$1,TOCA_current!$A$2:$AI$2,0),FALSE)*$BH$2, VLOOKUP($A71,TOCA_current!$A$2:$AI$137,MATCH("RHWM 2018",TOCA_current!$A$2:$AI$2,0),FALSE)*$BH$2)</f>
        <v>196110.12</v>
      </c>
      <c r="DA71" s="397">
        <f>SUM(BN71:CK71)+(BH71*RT1SC!$C$4*$BH$2)</f>
        <v>238059.95886104001</v>
      </c>
      <c r="DB71" s="432">
        <f>VLOOKUP($A71,TOCA_current!$A$2:$AI$137,MATCH("Above RHWM Not Served with LS "&amp;$BH$1,TOCA_current!$A$2:$AI$2,0),FALSE)*$BH$2</f>
        <v>0</v>
      </c>
      <c r="DC71" s="401">
        <f t="shared" ref="DC71:DC134" si="27">DA71-CZ71</f>
        <v>41949.838861040014</v>
      </c>
      <c r="DD71" s="397">
        <f>(VLOOKUP($A71,TOCA_current!$A$2:$AI$137,MATCH("RHWM 2018",TOCA_current!$A$2:$AI$2,0),FALSE)*$BH$2) - $CZ71</f>
        <v>0</v>
      </c>
      <c r="DE71" s="397">
        <f t="shared" ref="DE71:DE134" si="28">IF(DC71&gt;0,IF(DD71&gt;0,(-1)*MIN(DC71,DD71),0),0)</f>
        <v>0</v>
      </c>
      <c r="DF71" s="397">
        <f t="shared" ref="DF71:DF134" si="29">IF(DC71&lt;0,IF(DB71&lt;ABS(DC71),MAX(0,ABS($DC71)-(DB71)),0),0)</f>
        <v>0</v>
      </c>
      <c r="DG71" s="397">
        <f t="shared" ref="DG71:DG134" si="30">IF(AND(DB71&gt;0,DD71&gt;0),IF(AND(DC71&lt;=0,ABS(DC71)&lt;DB71),(-1)*MIN(DB71,DB71-ABS(DC71),DD71),IF(AND(DC71&gt;0,DC71&lt;DD71),(-1)*MIN(DB71,DD71-DC71),0)),0)</f>
        <v>0</v>
      </c>
      <c r="DH71" s="397">
        <f t="shared" ref="DH71:DH134" si="31">IF($D71=0,SUM(DE71:DG71),0)</f>
        <v>0</v>
      </c>
    </row>
    <row r="72" spans="1:112">
      <c r="A72" s="274">
        <v>10202</v>
      </c>
      <c r="B72" s="275" t="s">
        <v>73</v>
      </c>
      <c r="C72" s="397">
        <v>0</v>
      </c>
      <c r="D72" s="397">
        <v>0</v>
      </c>
      <c r="E72" s="205">
        <f>VLOOKUP($A72,TOCA_previous!$A$2:$AI$137,MATCH(E$4,TOCA_previous!$A$2:$AI$2,0),FALSE)</f>
        <v>1.8575E-3</v>
      </c>
      <c r="F72" s="206">
        <f>VLOOKUP($A72,TOCA_previous!$A$2:$AI$137,MATCH(F$4,TOCA_previous!$A$2:$AI$2,0),FALSE)</f>
        <v>1.8575E-3</v>
      </c>
      <c r="G72" s="206">
        <f t="shared" si="16"/>
        <v>0</v>
      </c>
      <c r="H72" s="206">
        <f>VLOOKUP($A72,TOCA_previous!$A$2:$AI$137,MATCH(H$4,TOCA_previous!$A$2:$AI$2,0),FALSE)</f>
        <v>0</v>
      </c>
      <c r="I72" s="206">
        <f t="shared" si="17"/>
        <v>0</v>
      </c>
      <c r="J72" s="206">
        <f t="shared" si="18"/>
        <v>0</v>
      </c>
      <c r="K72" s="381">
        <f>VLOOKUP(A72, IRD!$A$5:$C$139, 3, FALSE)</f>
        <v>0</v>
      </c>
      <c r="L72" s="382">
        <f t="array" ref="L72">IF($G72=0, INDEX(LS_previous!$D$4:$AY$138, MATCH('Staging Table'!$A72, LS_previous!$B$4:$B$138, 0), MATCH(L$4&amp;L$5, LS_previous!$D$2:$AY$2&amp;LS_previous!$D$3:$AY$3, 0)),SUM(VLOOKUP($A72, LS_previous!$B$4:$AY$138, LS_previous!D$149, FALSE), VLOOKUP('Staging Table'!$A72, LS_previous!$B$4:$AY$138,LS_previous!AB$149, FALSE))/2)</f>
        <v>1640.9206631253965</v>
      </c>
      <c r="M72" s="382">
        <f t="array" ref="M72">IF($G72=0, INDEX(LS_previous!$D$4:$AY$138, MATCH('Staging Table'!$A72, LS_previous!$B$4:$B$138, 0), MATCH(M$4&amp;M$5, LS_previous!$D$2:$AY$2&amp;LS_previous!$D$3:$AY$3, 0)),SUM(VLOOKUP($A72, LS_previous!$B$4:$AY$138, LS_previous!E$149, FALSE), VLOOKUP('Staging Table'!$A72, LS_previous!$B$4:$AY$138,LS_previous!AC$149, FALSE))/2)</f>
        <v>1236.1081100102888</v>
      </c>
      <c r="N72" s="382">
        <f t="array" ref="N72">IF($G72=0, INDEX(LS_previous!$D$4:$AY$138, MATCH('Staging Table'!$A72, LS_previous!$B$4:$B$138, 0), MATCH(N$4&amp;N$5, LS_previous!$D$2:$AY$2&amp;LS_previous!$D$3:$AY$3, 0)),SUM(VLOOKUP($A72, LS_previous!$B$4:$AY$138, LS_previous!F$149, FALSE), VLOOKUP('Staging Table'!$A72, LS_previous!$B$4:$AY$138,LS_previous!AD$149, FALSE))/2)</f>
        <v>831.75302497843768</v>
      </c>
      <c r="O72" s="382">
        <f t="array" ref="O72">IF($G72=0, INDEX(LS_previous!$D$4:$AY$138, MATCH('Staging Table'!$A72, LS_previous!$B$4:$B$138, 0), MATCH(O$4&amp;O$5, LS_previous!$D$2:$AY$2&amp;LS_previous!$D$3:$AY$3, 0)),SUM(VLOOKUP($A72, LS_previous!$B$4:$AY$138, LS_previous!G$149, FALSE), VLOOKUP('Staging Table'!$A72, LS_previous!$B$4:$AY$138,LS_previous!AE$149, FALSE))/2)</f>
        <v>749.97490087898041</v>
      </c>
      <c r="P72" s="382">
        <f t="array" ref="P72">IF($G72=0, INDEX(LS_previous!$D$4:$AY$138, MATCH('Staging Table'!$A72, LS_previous!$B$4:$B$138, 0), MATCH(P$4&amp;P$5, LS_previous!$D$2:$AY$2&amp;LS_previous!$D$3:$AY$3, 0)),SUM(VLOOKUP($A72, LS_previous!$B$4:$AY$138, LS_previous!H$149, FALSE), VLOOKUP('Staging Table'!$A72, LS_previous!$B$4:$AY$138,LS_previous!AF$149, FALSE))/2)</f>
        <v>1655.6242008556055</v>
      </c>
      <c r="Q72" s="382">
        <f t="array" ref="Q72">IF($G72=0, INDEX(LS_previous!$D$4:$AY$138, MATCH('Staging Table'!$A72, LS_previous!$B$4:$B$138, 0), MATCH(Q$4&amp;Q$5, LS_previous!$D$2:$AY$2&amp;LS_previous!$D$3:$AY$3, 0)),SUM(VLOOKUP($A72, LS_previous!$B$4:$AY$138, LS_previous!I$149, FALSE), VLOOKUP('Staging Table'!$A72, LS_previous!$B$4:$AY$138,LS_previous!AG$149, FALSE))/2)</f>
        <v>1714.8667138151845</v>
      </c>
      <c r="R72" s="382">
        <f t="array" ref="R72">IF($G72=0, INDEX(LS_previous!$D$4:$AY$138, MATCH('Staging Table'!$A72, LS_previous!$B$4:$B$138, 0), MATCH(R$4&amp;R$5, LS_previous!$D$2:$AY$2&amp;LS_previous!$D$3:$AY$3, 0)),SUM(VLOOKUP($A72, LS_previous!$B$4:$AY$138, LS_previous!J$149, FALSE), VLOOKUP('Staging Table'!$A72, LS_previous!$B$4:$AY$138,LS_previous!AH$149, FALSE))/2)</f>
        <v>2320.5827087744174</v>
      </c>
      <c r="S72" s="382">
        <f t="array" ref="S72">IF($G72=0, INDEX(LS_previous!$D$4:$AY$138, MATCH('Staging Table'!$A72, LS_previous!$B$4:$B$138, 0), MATCH(S$4&amp;S$5, LS_previous!$D$2:$AY$2&amp;LS_previous!$D$3:$AY$3, 0)),SUM(VLOOKUP($A72, LS_previous!$B$4:$AY$138, LS_previous!K$149, FALSE), VLOOKUP('Staging Table'!$A72, LS_previous!$B$4:$AY$138,LS_previous!AI$149, FALSE))/2)</f>
        <v>1593.1933825820247</v>
      </c>
      <c r="T72" s="382">
        <f t="array" ref="T72">IF($G72=0, INDEX(LS_previous!$D$4:$AY$138, MATCH('Staging Table'!$A72, LS_previous!$B$4:$B$138, 0), MATCH(T$4&amp;T$5, LS_previous!$D$2:$AY$2&amp;LS_previous!$D$3:$AY$3, 0)),SUM(VLOOKUP($A72, LS_previous!$B$4:$AY$138, LS_previous!L$149, FALSE), VLOOKUP('Staging Table'!$A72, LS_previous!$B$4:$AY$138,LS_previous!AJ$149, FALSE))/2)</f>
        <v>1786.3903106193311</v>
      </c>
      <c r="U72" s="382">
        <f t="array" ref="U72">IF($G72=0, INDEX(LS_previous!$D$4:$AY$138, MATCH('Staging Table'!$A72, LS_previous!$B$4:$B$138, 0), MATCH(U$4&amp;U$5, LS_previous!$D$2:$AY$2&amp;LS_previous!$D$3:$AY$3, 0)),SUM(VLOOKUP($A72, LS_previous!$B$4:$AY$138, LS_previous!M$149, FALSE), VLOOKUP('Staging Table'!$A72, LS_previous!$B$4:$AY$138,LS_previous!AK$149, FALSE))/2)</f>
        <v>1118.6103375293724</v>
      </c>
      <c r="V72" s="382">
        <f t="array" ref="V72">IF($G72=0, INDEX(LS_previous!$D$4:$AY$138, MATCH('Staging Table'!$A72, LS_previous!$B$4:$B$138, 0), MATCH(V$4&amp;V$5, LS_previous!$D$2:$AY$2&amp;LS_previous!$D$3:$AY$3, 0)),SUM(VLOOKUP($A72, LS_previous!$B$4:$AY$138, LS_previous!N$149, FALSE), VLOOKUP('Staging Table'!$A72, LS_previous!$B$4:$AY$138,LS_previous!AL$149, FALSE))/2)</f>
        <v>665.96750103844079</v>
      </c>
      <c r="W72" s="382">
        <f t="array" ref="W72">IF($G72=0, INDEX(LS_previous!$D$4:$AY$138, MATCH('Staging Table'!$A72, LS_previous!$B$4:$B$138, 0), MATCH(W$4&amp;W$5, LS_previous!$D$2:$AY$2&amp;LS_previous!$D$3:$AY$3, 0)),SUM(VLOOKUP($A72, LS_previous!$B$4:$AY$138, LS_previous!O$149, FALSE), VLOOKUP('Staging Table'!$A72, LS_previous!$B$4:$AY$138,LS_previous!AM$149, FALSE))/2)</f>
        <v>189.01812011659786</v>
      </c>
      <c r="X72" s="382">
        <f t="array" ref="X72">IF($G72=0, INDEX(LS_previous!$D$4:$AY$138, MATCH('Staging Table'!$A72, LS_previous!$B$4:$B$138, 0), MATCH(X$4&amp;X$5, LS_previous!$D$2:$AY$2&amp;LS_previous!$D$3:$AY$3, 0)),SUM(VLOOKUP($A72, LS_previous!$B$4:$AY$138, LS_previous!P$149, FALSE), VLOOKUP('Staging Table'!$A72, LS_previous!$B$4:$AY$138,LS_previous!AN$149, FALSE))/2)</f>
        <v>683.90066690082222</v>
      </c>
      <c r="Y72" s="382">
        <f t="array" ref="Y72">IF($G72=0, INDEX(LS_previous!$D$4:$AY$138, MATCH('Staging Table'!$A72, LS_previous!$B$4:$B$138, 0), MATCH(Y$4&amp;Y$5, LS_previous!$D$2:$AY$2&amp;LS_previous!$D$3:$AY$3, 0)),SUM(VLOOKUP($A72, LS_previous!$B$4:$AY$138, LS_previous!Q$149, FALSE), VLOOKUP('Staging Table'!$A72, LS_previous!$B$4:$AY$138,LS_previous!AO$149, FALSE))/2)</f>
        <v>543.401141893557</v>
      </c>
      <c r="Z72" s="382">
        <f t="array" ref="Z72">IF($G72=0, INDEX(LS_previous!$D$4:$AY$138, MATCH('Staging Table'!$A72, LS_previous!$B$4:$B$138, 0), MATCH(Z$4&amp;Z$5, LS_previous!$D$2:$AY$2&amp;LS_previous!$D$3:$AY$3, 0)),SUM(VLOOKUP($A72, LS_previous!$B$4:$AY$138, LS_previous!R$149, FALSE), VLOOKUP('Staging Table'!$A72, LS_previous!$B$4:$AY$138,LS_previous!AP$149, FALSE))/2)</f>
        <v>-2894.7167787380949</v>
      </c>
      <c r="AA72" s="382">
        <f t="array" ref="AA72">IF($G72=0, INDEX(LS_previous!$D$4:$AY$138, MATCH('Staging Table'!$A72, LS_previous!$B$4:$B$138, 0), MATCH(AA$4&amp;AA$5, LS_previous!$D$2:$AY$2&amp;LS_previous!$D$3:$AY$3, 0)),SUM(VLOOKUP($A72, LS_previous!$B$4:$AY$138, LS_previous!S$149, FALSE), VLOOKUP('Staging Table'!$A72, LS_previous!$B$4:$AY$138,LS_previous!AQ$149, FALSE))/2)</f>
        <v>-1454.1941253421232</v>
      </c>
      <c r="AB72" s="382">
        <f t="array" ref="AB72">IF($G72=0, INDEX(LS_previous!$D$4:$AY$138, MATCH('Staging Table'!$A72, LS_previous!$B$4:$B$138, 0), MATCH(AB$4&amp;AB$5, LS_previous!$D$2:$AY$2&amp;LS_previous!$D$3:$AY$3, 0)),SUM(VLOOKUP($A72, LS_previous!$B$4:$AY$138, LS_previous!T$149, FALSE), VLOOKUP('Staging Table'!$A72, LS_previous!$B$4:$AY$138,LS_previous!AR$149, FALSE))/2)</f>
        <v>-1457.5658121771021</v>
      </c>
      <c r="AC72" s="382">
        <f t="array" ref="AC72">IF($G72=0, INDEX(LS_previous!$D$4:$AY$138, MATCH('Staging Table'!$A72, LS_previous!$B$4:$B$138, 0), MATCH(AC$4&amp;AC$5, LS_previous!$D$2:$AY$2&amp;LS_previous!$D$3:$AY$3, 0)),SUM(VLOOKUP($A72, LS_previous!$B$4:$AY$138, LS_previous!U$149, FALSE), VLOOKUP('Staging Table'!$A72, LS_previous!$B$4:$AY$138,LS_previous!AS$149, FALSE))/2)</f>
        <v>-1041.9380362081847</v>
      </c>
      <c r="AD72" s="382">
        <f t="array" ref="AD72">IF($G72=0, INDEX(LS_previous!$D$4:$AY$138, MATCH('Staging Table'!$A72, LS_previous!$B$4:$B$138, 0), MATCH(AD$4&amp;AD$5, LS_previous!$D$2:$AY$2&amp;LS_previous!$D$3:$AY$3, 0)),SUM(VLOOKUP($A72, LS_previous!$B$4:$AY$138, LS_previous!V$149, FALSE), VLOOKUP('Staging Table'!$A72, LS_previous!$B$4:$AY$138,LS_previous!AT$149, FALSE))/2)</f>
        <v>-879.54829952485943</v>
      </c>
      <c r="AE72" s="382">
        <f t="array" ref="AE72">IF($G72=0, INDEX(LS_previous!$D$4:$AY$138, MATCH('Staging Table'!$A72, LS_previous!$B$4:$B$138, 0), MATCH(AE$4&amp;AE$5, LS_previous!$D$2:$AY$2&amp;LS_previous!$D$3:$AY$3, 0)),SUM(VLOOKUP($A72, LS_previous!$B$4:$AY$138, LS_previous!W$149, FALSE), VLOOKUP('Staging Table'!$A72, LS_previous!$B$4:$AY$138,LS_previous!AU$149, FALSE))/2)</f>
        <v>-37.667970574354968</v>
      </c>
      <c r="AF72" s="382">
        <f t="array" ref="AF72">IF($G72=0, INDEX(LS_previous!$D$4:$AY$138, MATCH('Staging Table'!$A72, LS_previous!$B$4:$B$138, 0), MATCH(AF$4&amp;AF$5, LS_previous!$D$2:$AY$2&amp;LS_previous!$D$3:$AY$3, 0)),SUM(VLOOKUP($A72, LS_previous!$B$4:$AY$138, LS_previous!X$149, FALSE), VLOOKUP('Staging Table'!$A72, LS_previous!$B$4:$AY$138,LS_previous!AV$149, FALSE))/2)</f>
        <v>-28.671635264541692</v>
      </c>
      <c r="AG72" s="382">
        <f t="array" ref="AG72">IF($G72=0, INDEX(LS_previous!$D$4:$AY$138, MATCH('Staging Table'!$A72, LS_previous!$B$4:$B$138, 0), MATCH(AG$4&amp;AG$5, LS_previous!$D$2:$AY$2&amp;LS_previous!$D$3:$AY$3, 0)),SUM(VLOOKUP($A72, LS_previous!$B$4:$AY$138, LS_previous!Y$149, FALSE), VLOOKUP('Staging Table'!$A72, LS_previous!$B$4:$AY$138,LS_previous!AW$149, FALSE))/2)</f>
        <v>112.79144425565755</v>
      </c>
      <c r="AH72" s="382">
        <f t="array" ref="AH72">IF($G72=0, INDEX(LS_previous!$D$4:$AY$138, MATCH('Staging Table'!$A72, LS_previous!$B$4:$B$138, 0), MATCH(AH$4&amp;AH$5, LS_previous!$D$2:$AY$2&amp;LS_previous!$D$3:$AY$3, 0)),SUM(VLOOKUP($A72, LS_previous!$B$4:$AY$138, LS_previous!Z$149, FALSE), VLOOKUP('Staging Table'!$A72, LS_previous!$B$4:$AY$138,LS_previous!AX$149, FALSE))/2)</f>
        <v>1730.4558278660925</v>
      </c>
      <c r="AI72" s="382">
        <f t="array" ref="AI72">IF($G72=0, INDEX(LS_previous!$D$4:$AY$138, MATCH('Staging Table'!$A72, LS_previous!$B$4:$B$138, 0), MATCH(AI$4&amp;AI$5, LS_previous!$D$2:$AY$2&amp;LS_previous!$D$3:$AY$3, 0)),SUM(VLOOKUP($A72, LS_previous!$B$4:$AY$138, LS_previous!AA$149, FALSE), VLOOKUP('Staging Table'!$A72, LS_previous!$B$4:$AY$138,LS_previous!AY$149, FALSE))/2)</f>
        <v>1363.7297469779078</v>
      </c>
      <c r="AJ72" s="384">
        <f t="array" ref="AJ72">INDEX(Demand_previous!$D$4:$AY$138, MATCH('Staging Table'!$A72, Demand_previous!$B$4:$B$138, 0), MATCH(AJ$4&amp;AJ$5,Demand_previous!$D$2:$AY$2&amp;Demand_previous!$D$3:$AY$3, 0))/1000</f>
        <v>2.8968379629629637</v>
      </c>
      <c r="AK72" s="384">
        <f t="array" ref="AK72">INDEX(Demand_previous!$D$4:$AY$138, MATCH('Staging Table'!$A72, Demand_previous!$B$4:$B$138, 0), MATCH(AK$4&amp;AK$5,Demand_previous!$D$2:$AY$2&amp;Demand_previous!$D$3:$AY$3, 0))/1000</f>
        <v>1.5139479166666656</v>
      </c>
      <c r="AL72" s="384">
        <f t="array" ref="AL72">INDEX(Demand_previous!$D$4:$AY$138, MATCH('Staging Table'!$A72, Demand_previous!$B$4:$B$138, 0), MATCH(AL$4&amp;AL$5,Demand_previous!$D$2:$AY$2&amp;Demand_previous!$D$3:$AY$3, 0))/1000</f>
        <v>3.8876370192307701</v>
      </c>
      <c r="AM72" s="384">
        <f t="array" ref="AM72">INDEX(Demand_previous!$D$4:$AY$138, MATCH('Staging Table'!$A72, Demand_previous!$B$4:$B$138, 0), MATCH(AM$4&amp;AM$5,Demand_previous!$D$2:$AY$2&amp;Demand_previous!$D$3:$AY$3, 0))/1000</f>
        <v>2.1708324999999995</v>
      </c>
      <c r="AN72" s="384">
        <f t="array" ref="AN72">INDEX(Demand_previous!$D$4:$AY$138, MATCH('Staging Table'!$A72, Demand_previous!$B$4:$B$138, 0), MATCH(AN$4&amp;AN$5,Demand_previous!$D$2:$AY$2&amp;Demand_previous!$D$3:$AY$3, 0))/1000</f>
        <v>2.7518249999999993</v>
      </c>
      <c r="AO72" s="384">
        <f t="array" ref="AO72">INDEX(Demand_previous!$D$4:$AY$138, MATCH('Staging Table'!$A72, Demand_previous!$B$4:$B$138, 0), MATCH(AO$4&amp;AO$5,Demand_previous!$D$2:$AY$2&amp;Demand_previous!$D$3:$AY$3, 0))/1000</f>
        <v>3.2743495370370352</v>
      </c>
      <c r="AP72" s="384">
        <f t="array" ref="AP72">INDEX(Demand_previous!$D$4:$AY$138, MATCH('Staging Table'!$A72, Demand_previous!$B$4:$B$138, 0), MATCH(AP$4&amp;AP$5,Demand_previous!$D$2:$AY$2&amp;Demand_previous!$D$3:$AY$3, 0))/1000</f>
        <v>0</v>
      </c>
      <c r="AQ72" s="384">
        <f t="array" ref="AQ72">INDEX(Demand_previous!$D$4:$AY$138, MATCH('Staging Table'!$A72, Demand_previous!$B$4:$B$138, 0), MATCH(AQ$4&amp;AQ$5,Demand_previous!$D$2:$AY$2&amp;Demand_previous!$D$3:$AY$3, 0))/1000</f>
        <v>0.77296250000000022</v>
      </c>
      <c r="AR72" s="384">
        <f t="array" ref="AR72">INDEX(Demand_previous!$D$4:$AY$138, MATCH('Staging Table'!$A72, Demand_previous!$B$4:$B$138, 0), MATCH(AR$4&amp;AR$5,Demand_previous!$D$2:$AY$2&amp;Demand_previous!$D$3:$AY$3, 0))/1000</f>
        <v>0.36739182692307604</v>
      </c>
      <c r="AS72" s="384">
        <f t="array" ref="AS72">INDEX(Demand_previous!$D$4:$AY$138, MATCH('Staging Table'!$A72, Demand_previous!$B$4:$B$138, 0), MATCH(AS$4&amp;AS$5,Demand_previous!$D$2:$AY$2&amp;Demand_previous!$D$3:$AY$3, 0))/1000</f>
        <v>1.0720249999999987</v>
      </c>
      <c r="AT72" s="384">
        <f t="array" ref="AT72">INDEX(Demand_previous!$D$4:$AY$138, MATCH('Staging Table'!$A72, Demand_previous!$B$4:$B$138, 0), MATCH(AT$4&amp;AT$5,Demand_previous!$D$2:$AY$2&amp;Demand_previous!$D$3:$AY$3, 0))/1000</f>
        <v>1.6713981481481461</v>
      </c>
      <c r="AU72" s="384">
        <f t="array" ref="AU72">INDEX(Demand_previous!$D$4:$AY$138, MATCH('Staging Table'!$A72, Demand_previous!$B$4:$B$138, 0), MATCH(AU$4&amp;AU$5,Demand_previous!$D$2:$AY$2&amp;Demand_previous!$D$3:$AY$3, 0))/1000</f>
        <v>1.9503325000000002</v>
      </c>
      <c r="AV72" s="384">
        <f>IF($D72=0,IF(C72=0, MAX(AY72 - (VLOOKUP($A72,TOCA_previous!$A$2:$AI$137,MATCH("RHWM 2016",TOCA_previous!$A$2:$AI$2,0),FALSE)*$F$2*TOCA_previous!C69),0),0), 0)</f>
        <v>12143.692268188868</v>
      </c>
      <c r="AW72" s="427">
        <f>VLOOKUP($A72,REP_previous!$A$1:$D$135,MATCH("FY "&amp;$F$1&amp; " Total Refund",REP_previous!$A$1:$D$1,0),0)</f>
        <v>162336.95077738271</v>
      </c>
      <c r="AX72" s="398">
        <f>MIN(VLOOKUP($A72,TOCA_previous!$A$2:$AI$137,MATCH("TRL - NLSL - Exisiting Resource "&amp;$F$1,TOCA_previous!$A$2:$AI$2,0),FALSE)*$F$2,(VLOOKUP($A72,TOCA_previous!$A$2:$AI$137,MATCH("RHWM 2016",TOCA_previous!$A$2:$AI$2,0),FALSE)*$F$2))</f>
        <v>113937.264</v>
      </c>
      <c r="AY72" s="384">
        <f>SUM(L72:AI72)+(F72*RT1SC!$C$3*$F$2)</f>
        <v>126080.95626818886</v>
      </c>
      <c r="AZ72" s="398">
        <f>VLOOKUP($A72,TOCA_previous!$A$2:$AI$137,MATCH("Above RHWM Not Served with LS "&amp;$F$1,TOCA_previous!$A$2:$AI$2,0),FALSE)*$F$2</f>
        <v>0</v>
      </c>
      <c r="BA72" s="206">
        <f t="shared" si="19"/>
        <v>12143.692268188868</v>
      </c>
      <c r="BB72" s="399">
        <f>(VLOOKUP($A72,TOCA_previous!$A$2:$AI$137,MATCH("RHWM 2016",TOCA_previous!$A$2:$AI$2,0),FALSE)*$F$2) - $AX72</f>
        <v>0</v>
      </c>
      <c r="BC72" s="206">
        <f t="shared" si="20"/>
        <v>0</v>
      </c>
      <c r="BD72" s="400">
        <f t="shared" si="21"/>
        <v>0</v>
      </c>
      <c r="BE72" s="392">
        <f t="shared" si="22"/>
        <v>0</v>
      </c>
      <c r="BF72" s="399">
        <f t="shared" si="23"/>
        <v>0</v>
      </c>
      <c r="BG72" s="206">
        <f>VLOOKUP($A72,TOCA_current!$A$2:$AI$137,MATCH(BG$4,TOCA_current!$A$2:$AI$2,0),FALSE)</f>
        <v>1.8557999999999999E-3</v>
      </c>
      <c r="BH72" s="206">
        <f>VLOOKUP($A72,TOCA_current!$A$2:$AI$137,MATCH(BH$4,TOCA_current!$A$2:$AI$2,0),FALSE)</f>
        <v>1.8557999999999999E-3</v>
      </c>
      <c r="BI72" s="391">
        <f t="shared" si="24"/>
        <v>0</v>
      </c>
      <c r="BJ72" s="206">
        <f>VLOOKUP($A72,TOCA_current!A68:BG203,MATCH(BJ$4,TOCA_current!$A$2:$BG$2,0),FALSE)</f>
        <v>0</v>
      </c>
      <c r="BK72" s="206">
        <f t="shared" si="25"/>
        <v>0</v>
      </c>
      <c r="BL72" s="206">
        <f t="shared" si="26"/>
        <v>0</v>
      </c>
      <c r="BM72" s="381">
        <f>VLOOKUP($A72,IRD!$A$4:$G$139, 7, FALSE)</f>
        <v>0</v>
      </c>
      <c r="BN72" s="382">
        <f t="array" ref="BN72">IF($BI72=0, INDEX(LS_current!$D$4:$AY$139, MATCH('Staging Table'!$A72, LS_current!$B$4:$B$139, 0), MATCH(BN$4&amp;BN$5, LS_current!$D$2:$AY$2&amp;LS_current!$D$3:$AY$3, 0)),SUM(VLOOKUP($A72, LS_current!$B$4:$AY$139, LS_current!D$149, FALSE), VLOOKUP($A72, LS_current!$B$4:$AY$139,LS_current!D$149, FALSE))/2)</f>
        <v>989.69913587632527</v>
      </c>
      <c r="BO72" s="382">
        <f t="array" ref="BO72">IF($BI72=0, INDEX(LS_current!$D$4:$AY$139, MATCH('Staging Table'!$A72, LS_current!$B$4:$B$139, 0), MATCH(BO$4&amp;BO$5, LS_current!$D$2:$AY$2&amp;LS_current!$D$3:$AY$3, 0)),SUM(VLOOKUP($A72, LS_current!$B$4:$AY$139, LS_current!E$149, FALSE), VLOOKUP($A72, LS_current!$B$4:$AY$139,LS_current!E$149, FALSE))/2)</f>
        <v>910.53174468124053</v>
      </c>
      <c r="BP72" s="382">
        <f t="array" ref="BP72">IF($BI72=0, INDEX(LS_current!$D$4:$AY$139, MATCH('Staging Table'!$A72, LS_current!$B$4:$B$139, 0), MATCH(BP$4&amp;BP$5, LS_current!$D$2:$AY$2&amp;LS_current!$D$3:$AY$3, 0)),SUM(VLOOKUP($A72, LS_current!$B$4:$AY$139, LS_current!F$149, FALSE), VLOOKUP($A72, LS_current!$B$4:$AY$139,LS_current!F$149, FALSE))/2)</f>
        <v>97.229261637453419</v>
      </c>
      <c r="BQ72" s="382">
        <f t="array" ref="BQ72">IF($BI72=0, INDEX(LS_current!$D$4:$AY$139, MATCH('Staging Table'!$A72, LS_current!$B$4:$B$139, 0), MATCH(BQ$4&amp;BQ$5, LS_current!$D$2:$AY$2&amp;LS_current!$D$3:$AY$3, 0)),SUM(VLOOKUP($A72, LS_current!$B$4:$AY$139, LS_current!G$149, FALSE), VLOOKUP($A72, LS_current!$B$4:$AY$139,LS_current!G$149, FALSE))/2)</f>
        <v>306.70432320938107</v>
      </c>
      <c r="BR72" s="382">
        <f t="array" ref="BR72">IF($BI72=0, INDEX(LS_current!$D$4:$AY$139, MATCH('Staging Table'!$A72, LS_current!$B$4:$B$139, 0), MATCH(BR$4&amp;BR$5, LS_current!$D$2:$AY$2&amp;LS_current!$D$3:$AY$3, 0)),SUM(VLOOKUP($A72, LS_current!$B$4:$AY$139, LS_current!H$149, FALSE), VLOOKUP($A72, LS_current!$B$4:$AY$139,LS_current!H$149, FALSE))/2)</f>
        <v>846.18770143371148</v>
      </c>
      <c r="BS72" s="382">
        <f t="array" ref="BS72">IF($BI72=0, INDEX(LS_current!$D$4:$AY$139, MATCH('Staging Table'!$A72, LS_current!$B$4:$B$139, 0), MATCH(BS$4&amp;BS$5, LS_current!$D$2:$AY$2&amp;LS_current!$D$3:$AY$3, 0)),SUM(VLOOKUP($A72, LS_current!$B$4:$AY$139, LS_current!I$149, FALSE), VLOOKUP($A72, LS_current!$B$4:$AY$139,LS_current!I$149, FALSE))/2)</f>
        <v>1163.0159459375</v>
      </c>
      <c r="BT72" s="382">
        <f t="array" ref="BT72">IF($BI72=0, INDEX(LS_current!$D$4:$AY$139, MATCH('Staging Table'!$A72, LS_current!$B$4:$B$139, 0), MATCH(BT$4&amp;BT$5, LS_current!$D$2:$AY$2&amp;LS_current!$D$3:$AY$3, 0)),SUM(VLOOKUP($A72, LS_current!$B$4:$AY$139, LS_current!J$149, FALSE), VLOOKUP($A72, LS_current!$B$4:$AY$139,LS_current!J$149, FALSE))/2)</f>
        <v>1636.8581635484825</v>
      </c>
      <c r="BU72" s="382">
        <f t="array" ref="BU72">IF($BI72=0, INDEX(LS_current!$D$4:$AY$139, MATCH('Staging Table'!$A72, LS_current!$B$4:$B$139, 0), MATCH(BU$4&amp;BU$5, LS_current!$D$2:$AY$2&amp;LS_current!$D$3:$AY$3, 0)),SUM(VLOOKUP($A72, LS_current!$B$4:$AY$139, LS_current!K$149, FALSE), VLOOKUP($A72, LS_current!$B$4:$AY$139,LS_current!K$149, FALSE))/2)</f>
        <v>1089.3024435175907</v>
      </c>
      <c r="BV72" s="382">
        <f t="array" ref="BV72">IF($BI72=0, INDEX(LS_current!$D$4:$AY$139, MATCH('Staging Table'!$A72, LS_current!$B$4:$B$139, 0), MATCH(BV$4&amp;BV$5, LS_current!$D$2:$AY$2&amp;LS_current!$D$3:$AY$3, 0)),SUM(VLOOKUP($A72, LS_current!$B$4:$AY$139, LS_current!L$149, FALSE), VLOOKUP($A72, LS_current!$B$4:$AY$139,LS_current!L$149, FALSE))/2)</f>
        <v>1598.5070912441643</v>
      </c>
      <c r="BW72" s="382">
        <f t="array" ref="BW72">IF($BI72=0, INDEX(LS_current!$D$4:$AY$139, MATCH('Staging Table'!$A72, LS_current!$B$4:$B$139, 0), MATCH(BW$4&amp;BW$5, LS_current!$D$2:$AY$2&amp;LS_current!$D$3:$AY$3, 0)),SUM(VLOOKUP($A72, LS_current!$B$4:$AY$139, LS_current!M$149, FALSE), VLOOKUP($A72, LS_current!$B$4:$AY$139,LS_current!M$149, FALSE))/2)</f>
        <v>991.17359606218497</v>
      </c>
      <c r="BX72" s="382">
        <f t="array" ref="BX72">IF($BI72=0, INDEX(LS_current!$D$4:$AY$139, MATCH('Staging Table'!$A72, LS_current!$B$4:$B$139, 0), MATCH(BX$4&amp;BX$5, LS_current!$D$2:$AY$2&amp;LS_current!$D$3:$AY$3, 0)),SUM(VLOOKUP($A72, LS_current!$B$4:$AY$139, LS_current!N$149, FALSE), VLOOKUP($A72, LS_current!$B$4:$AY$139,LS_current!N$149, FALSE))/2)</f>
        <v>321.00515423580146</v>
      </c>
      <c r="BY72" s="382">
        <f t="array" ref="BY72">IF($BI72=0, INDEX(LS_current!$D$4:$AY$139, MATCH('Staging Table'!$A72, LS_current!$B$4:$B$139, 0), MATCH(BY$4&amp;BY$5, LS_current!$D$2:$AY$2&amp;LS_current!$D$3:$AY$3, 0)),SUM(VLOOKUP($A72, LS_current!$B$4:$AY$139, LS_current!O$149, FALSE), VLOOKUP($A72, LS_current!$B$4:$AY$139,LS_current!O$149, FALSE))/2)</f>
        <v>59.436010418878595</v>
      </c>
      <c r="BZ72" s="382">
        <f t="array" ref="BZ72">IF($BI72=0, INDEX(LS_current!$D$4:$AY$139, MATCH('Staging Table'!$A72, LS_current!$B$4:$B$139, 0), MATCH(BZ$4&amp;BZ$5, LS_current!$D$2:$AY$2&amp;LS_current!$D$3:$AY$3, 0)),SUM(VLOOKUP($A72, LS_current!$B$4:$AY$139, LS_current!P$149, FALSE), VLOOKUP($A72, LS_current!$B$4:$AY$139,LS_current!P$149, FALSE))/2)</f>
        <v>-477.93822774245837</v>
      </c>
      <c r="CA72" s="382">
        <f t="array" ref="CA72">IF($BI72=0, INDEX(LS_current!$D$4:$AY$139, MATCH('Staging Table'!$A72, LS_current!$B$4:$B$139, 0), MATCH(CA$4&amp;CA$5, LS_current!$D$2:$AY$2&amp;LS_current!$D$3:$AY$3, 0)),SUM(VLOOKUP($A72, LS_current!$B$4:$AY$139, LS_current!Q$149, FALSE), VLOOKUP($A72, LS_current!$B$4:$AY$139,LS_current!Q$149, FALSE))/2)</f>
        <v>23.772710892039413</v>
      </c>
      <c r="CB72" s="382">
        <f t="array" ref="CB72">IF($BI72=0, INDEX(LS_current!$D$4:$AY$139, MATCH('Staging Table'!$A72, LS_current!$B$4:$B$139, 0), MATCH(CB$4&amp;CB$5, LS_current!$D$2:$AY$2&amp;LS_current!$D$3:$AY$3, 0)),SUM(VLOOKUP($A72, LS_current!$B$4:$AY$139, LS_current!R$149, FALSE), VLOOKUP($A72, LS_current!$B$4:$AY$139,LS_current!R$149, FALSE))/2)</f>
        <v>-3443.4913741247428</v>
      </c>
      <c r="CC72" s="382">
        <f t="array" ref="CC72">IF($BI72=0, INDEX(LS_current!$D$4:$AY$139, MATCH('Staging Table'!$A72, LS_current!$B$4:$B$139, 0), MATCH(CC$4&amp;CC$5, LS_current!$D$2:$AY$2&amp;LS_current!$D$3:$AY$3, 0)),SUM(VLOOKUP($A72, LS_current!$B$4:$AY$139, LS_current!S$149, FALSE), VLOOKUP($A72, LS_current!$B$4:$AY$139,LS_current!S$149, FALSE))/2)</f>
        <v>-2012.8644290401762</v>
      </c>
      <c r="CD72" s="382">
        <f t="array" ref="CD72">IF($BI72=0, INDEX(LS_current!$D$4:$AY$139, MATCH('Staging Table'!$A72, LS_current!$B$4:$B$139, 0), MATCH(CD$4&amp;CD$5, LS_current!$D$2:$AY$2&amp;LS_current!$D$3:$AY$3, 0)),SUM(VLOOKUP($A72, LS_current!$B$4:$AY$139, LS_current!T$149, FALSE), VLOOKUP($A72, LS_current!$B$4:$AY$139,LS_current!T$149, FALSE))/2)</f>
        <v>-2047.5935978430307</v>
      </c>
      <c r="CE72" s="382">
        <f t="array" ref="CE72">IF($BI72=0, INDEX(LS_current!$D$4:$AY$139, MATCH('Staging Table'!$A72, LS_current!$B$4:$B$139, 0), MATCH(CE$4&amp;CE$5, LS_current!$D$2:$AY$2&amp;LS_current!$D$3:$AY$3, 0)),SUM(VLOOKUP($A72, LS_current!$B$4:$AY$139, LS_current!U$149, FALSE), VLOOKUP($A72, LS_current!$B$4:$AY$139,LS_current!U$149, FALSE))/2)</f>
        <v>-1239.0245692910776</v>
      </c>
      <c r="CF72" s="382">
        <f t="array" ref="CF72">IF($BI72=0, INDEX(LS_current!$D$4:$AY$139, MATCH('Staging Table'!$A72, LS_current!$B$4:$B$139, 0), MATCH(CF$4&amp;CF$5, LS_current!$D$2:$AY$2&amp;LS_current!$D$3:$AY$3, 0)),SUM(VLOOKUP($A72, LS_current!$B$4:$AY$139, LS_current!V$149, FALSE), VLOOKUP($A72, LS_current!$B$4:$AY$139,LS_current!V$149, FALSE))/2)</f>
        <v>-1110.6003720876761</v>
      </c>
      <c r="CG72" s="382">
        <f t="array" ref="CG72">IF($BI72=0, INDEX(LS_current!$D$4:$AY$139, MATCH('Staging Table'!$A72, LS_current!$B$4:$B$139, 0), MATCH(CG$4&amp;CG$5, LS_current!$D$2:$AY$2&amp;LS_current!$D$3:$AY$3, 0)),SUM(VLOOKUP($A72, LS_current!$B$4:$AY$139, LS_current!W$149, FALSE), VLOOKUP($A72, LS_current!$B$4:$AY$139,LS_current!W$149, FALSE))/2)</f>
        <v>-325.75021383778812</v>
      </c>
      <c r="CH72" s="382">
        <f t="array" ref="CH72">IF($BI72=0, INDEX(LS_current!$D$4:$AY$139, MATCH('Staging Table'!$A72, LS_current!$B$4:$B$139, 0), MATCH(CH$4&amp;CH$5, LS_current!$D$2:$AY$2&amp;LS_current!$D$3:$AY$3, 0)),SUM(VLOOKUP($A72, LS_current!$B$4:$AY$139, LS_current!X$149, FALSE), VLOOKUP($A72, LS_current!$B$4:$AY$139,LS_current!X$149, FALSE))/2)</f>
        <v>-640.5798760028938</v>
      </c>
      <c r="CI72" s="382">
        <f t="array" ref="CI72">IF($BI72=0, INDEX(LS_current!$D$4:$AY$139, MATCH('Staging Table'!$A72, LS_current!$B$4:$B$139, 0), MATCH(CI$4&amp;CI$5, LS_current!$D$2:$AY$2&amp;LS_current!$D$3:$AY$3, 0)),SUM(VLOOKUP($A72, LS_current!$B$4:$AY$139, LS_current!Y$149, FALSE), VLOOKUP($A72, LS_current!$B$4:$AY$139,LS_current!Y$149, FALSE))/2)</f>
        <v>-250.58570079806941</v>
      </c>
      <c r="CJ72" s="382">
        <f t="array" ref="CJ72">IF($BI72=0, INDEX(LS_current!$D$4:$AY$139, MATCH('Staging Table'!$A72, LS_current!$B$4:$B$139, 0), MATCH(CJ$4&amp;CJ$5, LS_current!$D$2:$AY$2&amp;LS_current!$D$3:$AY$3, 0)),SUM(VLOOKUP($A72, LS_current!$B$4:$AY$139, LS_current!Z$149, FALSE), VLOOKUP($A72, LS_current!$B$4:$AY$139,LS_current!Z$149, FALSE))/2)</f>
        <v>641.11038396492313</v>
      </c>
      <c r="CK72" s="382">
        <f t="array" ref="CK72">IF($BI72=0, INDEX(LS_current!$D$4:$AY$139, MATCH('Staging Table'!$A72, LS_current!$B$4:$B$139, 0), MATCH(CK$4&amp;CK$5, LS_current!$D$2:$AY$2&amp;LS_current!$D$3:$AY$3, 0)),SUM(VLOOKUP($A72, LS_current!$B$4:$AY$139, LS_current!AA$149, FALSE), VLOOKUP($A72, LS_current!$B$4:$AY$139,LS_current!AA$149, FALSE))/2)</f>
        <v>870.0243296685253</v>
      </c>
      <c r="CL72" s="384">
        <f t="array" ref="CL72">INDEX(Demand_current!$D$4:$AY$138, MATCH($A72, Demand_current!$B$4:$B$138, 0), MATCH(CL$4&amp;CL$5,Demand_current!$D$2:$AY$2&amp;Demand_current!$D$3:$AY$3, 0))/1000</f>
        <v>2.2491009615384647</v>
      </c>
      <c r="CM72" s="384">
        <f t="array" ref="CM72">INDEX(Demand_current!$D$4:$AY$138, MATCH($A72, Demand_current!$B$4:$B$138, 0), MATCH(CM$4&amp;CM$5,Demand_current!$D$2:$AY$2&amp;Demand_current!$D$3:$AY$3, 0))/1000</f>
        <v>2.2926700000000007</v>
      </c>
      <c r="CN72" s="384">
        <f t="array" ref="CN72">INDEX(Demand_current!$D$4:$AY$138, MATCH($A72, Demand_current!$B$4:$B$138, 0), MATCH(CN$4&amp;CN$5,Demand_current!$D$2:$AY$2&amp;Demand_current!$D$3:$AY$3, 0))/1000</f>
        <v>3.1119425000000018</v>
      </c>
      <c r="CO72" s="384">
        <f t="array" ref="CO72">INDEX(Demand_current!$D$4:$AY$138, MATCH($A72, Demand_current!$B$4:$B$138, 0), MATCH(CO$4&amp;CO$5,Demand_current!$D$2:$AY$2&amp;Demand_current!$D$3:$AY$3, 0))/1000</f>
        <v>2.9277235576923069</v>
      </c>
      <c r="CP72" s="384">
        <f t="array" ref="CP72">INDEX(Demand_current!$D$4:$AY$138, MATCH($A72, Demand_current!$B$4:$B$138, 0), MATCH(CP$4&amp;CP$5,Demand_current!$D$2:$AY$2&amp;Demand_current!$D$3:$AY$3, 0))/1000</f>
        <v>2.0354010416666659</v>
      </c>
      <c r="CQ72" s="384">
        <f t="array" ref="CQ72">INDEX(Demand_current!$D$4:$AY$138, MATCH($A72, Demand_current!$B$4:$B$138, 0), MATCH(CQ$4&amp;CQ$5,Demand_current!$D$2:$AY$2&amp;Demand_current!$D$3:$AY$3, 0))/1000</f>
        <v>3.2743495370370352</v>
      </c>
      <c r="CR72" s="384">
        <f t="array" ref="CR72">INDEX(Demand_current!$D$4:$AY$138, MATCH($A72, Demand_current!$B$4:$B$138, 0), MATCH(CR$4&amp;CR$5,Demand_current!$D$2:$AY$2&amp;Demand_current!$D$3:$AY$3, 0))/1000</f>
        <v>0</v>
      </c>
      <c r="CS72" s="384">
        <f t="array" ref="CS72">INDEX(Demand_current!$D$4:$AY$138, MATCH($A72, Demand_current!$B$4:$B$138, 0), MATCH(CS$4&amp;CS$5,Demand_current!$D$2:$AY$2&amp;Demand_current!$D$3:$AY$3, 0))/1000</f>
        <v>1.2636947115384627</v>
      </c>
      <c r="CT72" s="384">
        <f t="array" ref="CT72">INDEX(Demand_current!$D$4:$AY$138, MATCH($A72, Demand_current!$B$4:$B$138, 0), MATCH(CT$4&amp;CT$5,Demand_current!$D$2:$AY$2&amp;Demand_current!$D$3:$AY$3, 0))/1000</f>
        <v>0.36739182692307604</v>
      </c>
      <c r="CU72" s="384">
        <f t="array" ref="CU72">INDEX(Demand_current!$D$4:$AY$138, MATCH($A72, Demand_current!$B$4:$B$138, 0), MATCH(CU$4&amp;CU$5,Demand_current!$D$2:$AY$2&amp;Demand_current!$D$3:$AY$3, 0))/1000</f>
        <v>1.0720249999999987</v>
      </c>
      <c r="CV72" s="384">
        <f t="array" ref="CV72">INDEX(Demand_current!$D$4:$AY$138, MATCH($A72, Demand_current!$B$4:$B$138, 0), MATCH(CV$4&amp;CV$5,Demand_current!$D$2:$AY$2&amp;Demand_current!$D$3:$AY$3, 0))/1000</f>
        <v>1.6713981481481461</v>
      </c>
      <c r="CW72" s="384">
        <f t="array" ref="CW72">INDEX(Demand_current!$D$4:$AY$138, MATCH($A72, Demand_current!$B$4:$B$138, 0), MATCH(CW$4&amp;CW$5,Demand_current!$D$2:$AY$2&amp;Demand_current!$D$3:$AY$3, 0))/1000</f>
        <v>1.2480963541666681</v>
      </c>
      <c r="CX72" s="384">
        <f>IF(D72=0,IF(C72=0,MAX(0,DA72 - (VLOOKUP($A72,TOCA_current!$A$2:$AI$137,MATCH("RHWM 2018",TOCA_current!$A$2:$AI$2,0),FALSE)*$BH$2)), 0),0)</f>
        <v>0</v>
      </c>
      <c r="CY72" s="427">
        <f>VLOOKUP($A72,REP_current!$A$1:$D$135,MATCH("FY "&amp;$BH$1&amp; " Total Refund",REP_current!$A$1:$D$1,0),0)</f>
        <v>163397.78896729407</v>
      </c>
      <c r="CZ72" s="432">
        <f>MIN(VLOOKUP($A72,TOCA_current!$A$2:$AI$137,MATCH("TRL - NLSL - Existing Resource "&amp;$BH$1,TOCA_current!$A$2:$AI$2,0),FALSE)*$BH$2, VLOOKUP($A72,TOCA_current!$A$2:$AI$137,MATCH("RHWM 2018",TOCA_current!$A$2:$AI$2,0),FALSE)*$BH$2)</f>
        <v>112898.88</v>
      </c>
      <c r="DA72" s="397">
        <f>SUM(BN72:CK72)+(BH72*RT1SC!$C$4*$BH$2)</f>
        <v>112897.15764712828</v>
      </c>
      <c r="DB72" s="432">
        <f>VLOOKUP($A72,TOCA_current!$A$2:$AI$137,MATCH("Above RHWM Not Served with LS "&amp;$BH$1,TOCA_current!$A$2:$AI$2,0),FALSE)*$BH$2</f>
        <v>13183.8</v>
      </c>
      <c r="DC72" s="401">
        <f t="shared" si="27"/>
        <v>-1.7223528717295267</v>
      </c>
      <c r="DD72" s="397">
        <f>(VLOOKUP($A72,TOCA_current!$A$2:$AI$137,MATCH("RHWM 2018",TOCA_current!$A$2:$AI$2,0),FALSE)*$BH$2) - $CZ72</f>
        <v>0</v>
      </c>
      <c r="DE72" s="397">
        <f t="shared" si="28"/>
        <v>0</v>
      </c>
      <c r="DF72" s="397">
        <f t="shared" si="29"/>
        <v>0</v>
      </c>
      <c r="DG72" s="397">
        <f t="shared" si="30"/>
        <v>0</v>
      </c>
      <c r="DH72" s="397">
        <f t="shared" si="31"/>
        <v>0</v>
      </c>
    </row>
    <row r="73" spans="1:112">
      <c r="A73" s="274">
        <v>10203</v>
      </c>
      <c r="B73" s="275" t="s">
        <v>74</v>
      </c>
      <c r="C73" s="397">
        <v>0</v>
      </c>
      <c r="D73" s="397">
        <v>0</v>
      </c>
      <c r="E73" s="205">
        <f>VLOOKUP($A73,TOCA_previous!$A$2:$AI$137,MATCH(E$4,TOCA_previous!$A$2:$AI$2,0),FALSE)</f>
        <v>8.811E-4</v>
      </c>
      <c r="F73" s="206">
        <f>VLOOKUP($A73,TOCA_previous!$A$2:$AI$137,MATCH(F$4,TOCA_previous!$A$2:$AI$2,0),FALSE)</f>
        <v>8.811E-4</v>
      </c>
      <c r="G73" s="206">
        <f t="shared" si="16"/>
        <v>0</v>
      </c>
      <c r="H73" s="206">
        <f>VLOOKUP($A73,TOCA_previous!$A$2:$AI$137,MATCH(H$4,TOCA_previous!$A$2:$AI$2,0),FALSE)</f>
        <v>7.1110000000000007E-2</v>
      </c>
      <c r="I73" s="206">
        <f t="shared" si="17"/>
        <v>0</v>
      </c>
      <c r="J73" s="206">
        <f t="shared" si="18"/>
        <v>0</v>
      </c>
      <c r="K73" s="381">
        <f>VLOOKUP(A73, IRD!$A$5:$C$139, 3, FALSE)</f>
        <v>0</v>
      </c>
      <c r="L73" s="382">
        <f t="array" ref="L73">IF($G73=0, INDEX(LS_previous!$D$4:$AY$138, MATCH('Staging Table'!$A73, LS_previous!$B$4:$B$138, 0), MATCH(L$4&amp;L$5, LS_previous!$D$2:$AY$2&amp;LS_previous!$D$3:$AY$3, 0)),SUM(VLOOKUP($A73, LS_previous!$B$4:$AY$138, LS_previous!D$149, FALSE), VLOOKUP('Staging Table'!$A73, LS_previous!$B$4:$AY$138,LS_previous!AB$149, FALSE))/2)</f>
        <v>-77.777189189885576</v>
      </c>
      <c r="M73" s="382">
        <f t="array" ref="M73">IF($G73=0, INDEX(LS_previous!$D$4:$AY$138, MATCH('Staging Table'!$A73, LS_previous!$B$4:$B$138, 0), MATCH(M$4&amp;M$5, LS_previous!$D$2:$AY$2&amp;LS_previous!$D$3:$AY$3, 0)),SUM(VLOOKUP($A73, LS_previous!$B$4:$AY$138, LS_previous!E$149, FALSE), VLOOKUP('Staging Table'!$A73, LS_previous!$B$4:$AY$138,LS_previous!AC$149, FALSE))/2)</f>
        <v>-60.540437238188133</v>
      </c>
      <c r="N73" s="382">
        <f t="array" ref="N73">IF($G73=0, INDEX(LS_previous!$D$4:$AY$138, MATCH('Staging Table'!$A73, LS_previous!$B$4:$B$138, 0), MATCH(N$4&amp;N$5, LS_previous!$D$2:$AY$2&amp;LS_previous!$D$3:$AY$3, 0)),SUM(VLOOKUP($A73, LS_previous!$B$4:$AY$138, LS_previous!F$149, FALSE), VLOOKUP('Staging Table'!$A73, LS_previous!$B$4:$AY$138,LS_previous!AD$149, FALSE))/2)</f>
        <v>-2.8890955001334078</v>
      </c>
      <c r="O73" s="382">
        <f t="array" ref="O73">IF($G73=0, INDEX(LS_previous!$D$4:$AY$138, MATCH('Staging Table'!$A73, LS_previous!$B$4:$B$138, 0), MATCH(O$4&amp;O$5, LS_previous!$D$2:$AY$2&amp;LS_previous!$D$3:$AY$3, 0)),SUM(VLOOKUP($A73, LS_previous!$B$4:$AY$138, LS_previous!G$149, FALSE), VLOOKUP('Staging Table'!$A73, LS_previous!$B$4:$AY$138,LS_previous!AE$149, FALSE))/2)</f>
        <v>318.20509537791077</v>
      </c>
      <c r="P73" s="382">
        <f t="array" ref="P73">IF($G73=0, INDEX(LS_previous!$D$4:$AY$138, MATCH('Staging Table'!$A73, LS_previous!$B$4:$B$138, 0), MATCH(P$4&amp;P$5, LS_previous!$D$2:$AY$2&amp;LS_previous!$D$3:$AY$3, 0)),SUM(VLOOKUP($A73, LS_previous!$B$4:$AY$138, LS_previous!H$149, FALSE), VLOOKUP('Staging Table'!$A73, LS_previous!$B$4:$AY$138,LS_previous!AF$149, FALSE))/2)</f>
        <v>835.3857997705918</v>
      </c>
      <c r="Q73" s="382">
        <f t="array" ref="Q73">IF($G73=0, INDEX(LS_previous!$D$4:$AY$138, MATCH('Staging Table'!$A73, LS_previous!$B$4:$B$138, 0), MATCH(Q$4&amp;Q$5, LS_previous!$D$2:$AY$2&amp;LS_previous!$D$3:$AY$3, 0)),SUM(VLOOKUP($A73, LS_previous!$B$4:$AY$138, LS_previous!I$149, FALSE), VLOOKUP('Staging Table'!$A73, LS_previous!$B$4:$AY$138,LS_previous!AG$149, FALSE))/2)</f>
        <v>796.00606080353123</v>
      </c>
      <c r="R73" s="382">
        <f t="array" ref="R73">IF($G73=0, INDEX(LS_previous!$D$4:$AY$138, MATCH('Staging Table'!$A73, LS_previous!$B$4:$B$138, 0), MATCH(R$4&amp;R$5, LS_previous!$D$2:$AY$2&amp;LS_previous!$D$3:$AY$3, 0)),SUM(VLOOKUP($A73, LS_previous!$B$4:$AY$138, LS_previous!J$149, FALSE), VLOOKUP('Staging Table'!$A73, LS_previous!$B$4:$AY$138,LS_previous!AH$149, FALSE))/2)</f>
        <v>1104.9644823693884</v>
      </c>
      <c r="S73" s="382">
        <f t="array" ref="S73">IF($G73=0, INDEX(LS_previous!$D$4:$AY$138, MATCH('Staging Table'!$A73, LS_previous!$B$4:$B$138, 0), MATCH(S$4&amp;S$5, LS_previous!$D$2:$AY$2&amp;LS_previous!$D$3:$AY$3, 0)),SUM(VLOOKUP($A73, LS_previous!$B$4:$AY$138, LS_previous!K$149, FALSE), VLOOKUP('Staging Table'!$A73, LS_previous!$B$4:$AY$138,LS_previous!AI$149, FALSE))/2)</f>
        <v>958.26496360324177</v>
      </c>
      <c r="T73" s="382">
        <f t="array" ref="T73">IF($G73=0, INDEX(LS_previous!$D$4:$AY$138, MATCH('Staging Table'!$A73, LS_previous!$B$4:$B$138, 0), MATCH(T$4&amp;T$5, LS_previous!$D$2:$AY$2&amp;LS_previous!$D$3:$AY$3, 0)),SUM(VLOOKUP($A73, LS_previous!$B$4:$AY$138, LS_previous!L$149, FALSE), VLOOKUP('Staging Table'!$A73, LS_previous!$B$4:$AY$138,LS_previous!AJ$149, FALSE))/2)</f>
        <v>798.28752661463977</v>
      </c>
      <c r="U73" s="382">
        <f t="array" ref="U73">IF($G73=0, INDEX(LS_previous!$D$4:$AY$138, MATCH('Staging Table'!$A73, LS_previous!$B$4:$B$138, 0), MATCH(U$4&amp;U$5, LS_previous!$D$2:$AY$2&amp;LS_previous!$D$3:$AY$3, 0)),SUM(VLOOKUP($A73, LS_previous!$B$4:$AY$138, LS_previous!M$149, FALSE), VLOOKUP('Staging Table'!$A73, LS_previous!$B$4:$AY$138,LS_previous!AK$149, FALSE))/2)</f>
        <v>646.96102976965267</v>
      </c>
      <c r="V73" s="382">
        <f t="array" ref="V73">IF($G73=0, INDEX(LS_previous!$D$4:$AY$138, MATCH('Staging Table'!$A73, LS_previous!$B$4:$B$138, 0), MATCH(V$4&amp;V$5, LS_previous!$D$2:$AY$2&amp;LS_previous!$D$3:$AY$3, 0)),SUM(VLOOKUP($A73, LS_previous!$B$4:$AY$138, LS_previous!N$149, FALSE), VLOOKUP('Staging Table'!$A73, LS_previous!$B$4:$AY$138,LS_previous!AL$149, FALSE))/2)</f>
        <v>229.30440477252796</v>
      </c>
      <c r="W73" s="382">
        <f t="array" ref="W73">IF($G73=0, INDEX(LS_previous!$D$4:$AY$138, MATCH('Staging Table'!$A73, LS_previous!$B$4:$B$138, 0), MATCH(W$4&amp;W$5, LS_previous!$D$2:$AY$2&amp;LS_previous!$D$3:$AY$3, 0)),SUM(VLOOKUP($A73, LS_previous!$B$4:$AY$138, LS_previous!O$149, FALSE), VLOOKUP('Staging Table'!$A73, LS_previous!$B$4:$AY$138,LS_previous!AM$149, FALSE))/2)</f>
        <v>263.27344804023392</v>
      </c>
      <c r="X73" s="382">
        <f t="array" ref="X73">IF($G73=0, INDEX(LS_previous!$D$4:$AY$138, MATCH('Staging Table'!$A73, LS_previous!$B$4:$B$138, 0), MATCH(X$4&amp;X$5, LS_previous!$D$2:$AY$2&amp;LS_previous!$D$3:$AY$3, 0)),SUM(VLOOKUP($A73, LS_previous!$B$4:$AY$138, LS_previous!P$149, FALSE), VLOOKUP('Staging Table'!$A73, LS_previous!$B$4:$AY$138,LS_previous!AN$149, FALSE))/2)</f>
        <v>258.22624463327838</v>
      </c>
      <c r="Y73" s="382">
        <f t="array" ref="Y73">IF($G73=0, INDEX(LS_previous!$D$4:$AY$138, MATCH('Staging Table'!$A73, LS_previous!$B$4:$B$138, 0), MATCH(Y$4&amp;Y$5, LS_previous!$D$2:$AY$2&amp;LS_previous!$D$3:$AY$3, 0)),SUM(VLOOKUP($A73, LS_previous!$B$4:$AY$138, LS_previous!Q$149, FALSE), VLOOKUP('Staging Table'!$A73, LS_previous!$B$4:$AY$138,LS_previous!AO$149, FALSE))/2)</f>
        <v>182.30808684921294</v>
      </c>
      <c r="Z73" s="382">
        <f t="array" ref="Z73">IF($G73=0, INDEX(LS_previous!$D$4:$AY$138, MATCH('Staging Table'!$A73, LS_previous!$B$4:$B$138, 0), MATCH(Z$4&amp;Z$5, LS_previous!$D$2:$AY$2&amp;LS_previous!$D$3:$AY$3, 0)),SUM(VLOOKUP($A73, LS_previous!$B$4:$AY$138, LS_previous!R$149, FALSE), VLOOKUP('Staging Table'!$A73, LS_previous!$B$4:$AY$138,LS_previous!AP$149, FALSE))/2)</f>
        <v>-1544.5056111688477</v>
      </c>
      <c r="AA73" s="382">
        <f t="array" ref="AA73">IF($G73=0, INDEX(LS_previous!$D$4:$AY$138, MATCH('Staging Table'!$A73, LS_previous!$B$4:$B$138, 0), MATCH(AA$4&amp;AA$5, LS_previous!$D$2:$AY$2&amp;LS_previous!$D$3:$AY$3, 0)),SUM(VLOOKUP($A73, LS_previous!$B$4:$AY$138, LS_previous!S$149, FALSE), VLOOKUP('Staging Table'!$A73, LS_previous!$B$4:$AY$138,LS_previous!AQ$149, FALSE))/2)</f>
        <v>-649.42992755797832</v>
      </c>
      <c r="AB73" s="382">
        <f t="array" ref="AB73">IF($G73=0, INDEX(LS_previous!$D$4:$AY$138, MATCH('Staging Table'!$A73, LS_previous!$B$4:$B$138, 0), MATCH(AB$4&amp;AB$5, LS_previous!$D$2:$AY$2&amp;LS_previous!$D$3:$AY$3, 0)),SUM(VLOOKUP($A73, LS_previous!$B$4:$AY$138, LS_previous!T$149, FALSE), VLOOKUP('Staging Table'!$A73, LS_previous!$B$4:$AY$138,LS_previous!AR$149, FALSE))/2)</f>
        <v>-798.0494148636576</v>
      </c>
      <c r="AC73" s="382">
        <f t="array" ref="AC73">IF($G73=0, INDEX(LS_previous!$D$4:$AY$138, MATCH('Staging Table'!$A73, LS_previous!$B$4:$B$138, 0), MATCH(AC$4&amp;AC$5, LS_previous!$D$2:$AY$2&amp;LS_previous!$D$3:$AY$3, 0)),SUM(VLOOKUP($A73, LS_previous!$B$4:$AY$138, LS_previous!U$149, FALSE), VLOOKUP('Staging Table'!$A73, LS_previous!$B$4:$AY$138,LS_previous!AS$149, FALSE))/2)</f>
        <v>-421.95607364900775</v>
      </c>
      <c r="AD73" s="382">
        <f t="array" ref="AD73">IF($G73=0, INDEX(LS_previous!$D$4:$AY$138, MATCH('Staging Table'!$A73, LS_previous!$B$4:$B$138, 0), MATCH(AD$4&amp;AD$5, LS_previous!$D$2:$AY$2&amp;LS_previous!$D$3:$AY$3, 0)),SUM(VLOOKUP($A73, LS_previous!$B$4:$AY$138, LS_previous!V$149, FALSE), VLOOKUP('Staging Table'!$A73, LS_previous!$B$4:$AY$138,LS_previous!AT$149, FALSE))/2)</f>
        <v>-170.58817804110595</v>
      </c>
      <c r="AE73" s="382">
        <f t="array" ref="AE73">IF($G73=0, INDEX(LS_previous!$D$4:$AY$138, MATCH('Staging Table'!$A73, LS_previous!$B$4:$B$138, 0), MATCH(AE$4&amp;AE$5, LS_previous!$D$2:$AY$2&amp;LS_previous!$D$3:$AY$3, 0)),SUM(VLOOKUP($A73, LS_previous!$B$4:$AY$138, LS_previous!W$149, FALSE), VLOOKUP('Staging Table'!$A73, LS_previous!$B$4:$AY$138,LS_previous!AU$149, FALSE))/2)</f>
        <v>22.227415734555052</v>
      </c>
      <c r="AF73" s="382">
        <f t="array" ref="AF73">IF($G73=0, INDEX(LS_previous!$D$4:$AY$138, MATCH('Staging Table'!$A73, LS_previous!$B$4:$B$138, 0), MATCH(AF$4&amp;AF$5, LS_previous!$D$2:$AY$2&amp;LS_previous!$D$3:$AY$3, 0)),SUM(VLOOKUP($A73, LS_previous!$B$4:$AY$138, LS_previous!X$149, FALSE), VLOOKUP('Staging Table'!$A73, LS_previous!$B$4:$AY$138,LS_previous!AV$149, FALSE))/2)</f>
        <v>-416.3780627895494</v>
      </c>
      <c r="AG73" s="382">
        <f t="array" ref="AG73">IF($G73=0, INDEX(LS_previous!$D$4:$AY$138, MATCH('Staging Table'!$A73, LS_previous!$B$4:$B$138, 0), MATCH(AG$4&amp;AG$5, LS_previous!$D$2:$AY$2&amp;LS_previous!$D$3:$AY$3, 0)),SUM(VLOOKUP($A73, LS_previous!$B$4:$AY$138, LS_previous!Y$149, FALSE), VLOOKUP('Staging Table'!$A73, LS_previous!$B$4:$AY$138,LS_previous!AW$149, FALSE))/2)</f>
        <v>-139.50602189304982</v>
      </c>
      <c r="AH73" s="382">
        <f t="array" ref="AH73">IF($G73=0, INDEX(LS_previous!$D$4:$AY$138, MATCH('Staging Table'!$A73, LS_previous!$B$4:$B$138, 0), MATCH(AH$4&amp;AH$5, LS_previous!$D$2:$AY$2&amp;LS_previous!$D$3:$AY$3, 0)),SUM(VLOOKUP($A73, LS_previous!$B$4:$AY$138, LS_previous!Z$149, FALSE), VLOOKUP('Staging Table'!$A73, LS_previous!$B$4:$AY$138,LS_previous!AX$149, FALSE))/2)</f>
        <v>-278.77332369700434</v>
      </c>
      <c r="AI73" s="382">
        <f t="array" ref="AI73">IF($G73=0, INDEX(LS_previous!$D$4:$AY$138, MATCH('Staging Table'!$A73, LS_previous!$B$4:$B$138, 0), MATCH(AI$4&amp;AI$5, LS_previous!$D$2:$AY$2&amp;LS_previous!$D$3:$AY$3, 0)),SUM(VLOOKUP($A73, LS_previous!$B$4:$AY$138, LS_previous!AA$149, FALSE), VLOOKUP('Staging Table'!$A73, LS_previous!$B$4:$AY$138,LS_previous!AY$149, FALSE))/2)</f>
        <v>-136.68685923971202</v>
      </c>
      <c r="AJ73" s="384">
        <f t="array" ref="AJ73">INDEX(Demand_previous!$D$4:$AY$138, MATCH('Staging Table'!$A73, Demand_previous!$B$4:$B$138, 0), MATCH(AJ$4&amp;AJ$5,Demand_previous!$D$2:$AY$2&amp;Demand_previous!$D$3:$AY$3, 0))/1000</f>
        <v>0.74125462962962851</v>
      </c>
      <c r="AK73" s="384">
        <f t="array" ref="AK73">INDEX(Demand_previous!$D$4:$AY$138, MATCH('Staging Table'!$A73, Demand_previous!$B$4:$B$138, 0), MATCH(AK$4&amp;AK$5,Demand_previous!$D$2:$AY$2&amp;Demand_previous!$D$3:$AY$3, 0))/1000</f>
        <v>0.93435416666666615</v>
      </c>
      <c r="AL73" s="384">
        <f t="array" ref="AL73">INDEX(Demand_previous!$D$4:$AY$138, MATCH('Staging Table'!$A73, Demand_previous!$B$4:$B$138, 0), MATCH(AL$4&amp;AL$5,Demand_previous!$D$2:$AY$2&amp;Demand_previous!$D$3:$AY$3, 0))/1000</f>
        <v>1.4649855769230764</v>
      </c>
      <c r="AM73" s="384">
        <f t="array" ref="AM73">INDEX(Demand_previous!$D$4:$AY$138, MATCH('Staging Table'!$A73, Demand_previous!$B$4:$B$138, 0), MATCH(AM$4&amp;AM$5,Demand_previous!$D$2:$AY$2&amp;Demand_previous!$D$3:$AY$3, 0))/1000</f>
        <v>1.3797349999999988</v>
      </c>
      <c r="AN73" s="384">
        <f t="array" ref="AN73">INDEX(Demand_previous!$D$4:$AY$138, MATCH('Staging Table'!$A73, Demand_previous!$B$4:$B$138, 0), MATCH(AN$4&amp;AN$5,Demand_previous!$D$2:$AY$2&amp;Demand_previous!$D$3:$AY$3, 0))/1000</f>
        <v>0.88169499999999923</v>
      </c>
      <c r="AO73" s="384">
        <f t="array" ref="AO73">INDEX(Demand_previous!$D$4:$AY$138, MATCH('Staging Table'!$A73, Demand_previous!$B$4:$B$138, 0), MATCH(AO$4&amp;AO$5,Demand_previous!$D$2:$AY$2&amp;Demand_previous!$D$3:$AY$3, 0))/1000</f>
        <v>1.3926805555555548</v>
      </c>
      <c r="AP73" s="384">
        <f t="array" ref="AP73">INDEX(Demand_previous!$D$4:$AY$138, MATCH('Staging Table'!$A73, Demand_previous!$B$4:$B$138, 0), MATCH(AP$4&amp;AP$5,Demand_previous!$D$2:$AY$2&amp;Demand_previous!$D$3:$AY$3, 0))/1000</f>
        <v>0.99609615384615369</v>
      </c>
      <c r="AQ73" s="384">
        <f t="array" ref="AQ73">INDEX(Demand_previous!$D$4:$AY$138, MATCH('Staging Table'!$A73, Demand_previous!$B$4:$B$138, 0), MATCH(AQ$4&amp;AQ$5,Demand_previous!$D$2:$AY$2&amp;Demand_previous!$D$3:$AY$3, 0))/1000</f>
        <v>1.2602975000000005</v>
      </c>
      <c r="AR73" s="384">
        <f t="array" ref="AR73">INDEX(Demand_previous!$D$4:$AY$138, MATCH('Staging Table'!$A73, Demand_previous!$B$4:$B$138, 0), MATCH(AR$4&amp;AR$5,Demand_previous!$D$2:$AY$2&amp;Demand_previous!$D$3:$AY$3, 0))/1000</f>
        <v>1.1949831730769234</v>
      </c>
      <c r="AS73" s="384">
        <f t="array" ref="AS73">INDEX(Demand_previous!$D$4:$AY$138, MATCH('Staging Table'!$A73, Demand_previous!$B$4:$B$138, 0), MATCH(AS$4&amp;AS$5,Demand_previous!$D$2:$AY$2&amp;Demand_previous!$D$3:$AY$3, 0))/1000</f>
        <v>1.1693350000000005</v>
      </c>
      <c r="AT73" s="384">
        <f t="array" ref="AT73">INDEX(Demand_previous!$D$4:$AY$138, MATCH('Staging Table'!$A73, Demand_previous!$B$4:$B$138, 0), MATCH(AT$4&amp;AT$5,Demand_previous!$D$2:$AY$2&amp;Demand_previous!$D$3:$AY$3, 0))/1000</f>
        <v>1.1069490740740742</v>
      </c>
      <c r="AU73" s="384">
        <f t="array" ref="AU73">INDEX(Demand_previous!$D$4:$AY$138, MATCH('Staging Table'!$A73, Demand_previous!$B$4:$B$138, 0), MATCH(AU$4&amp;AU$5,Demand_previous!$D$2:$AY$2&amp;Demand_previous!$D$3:$AY$3, 0))/1000</f>
        <v>1.1765349999999999</v>
      </c>
      <c r="AV73" s="384">
        <f>IF($D73=0,IF(C73=0, MAX(AY73 - (VLOOKUP($A73,TOCA_previous!$A$2:$AI$137,MATCH("RHWM 2016",TOCA_previous!$A$2:$AI$2,0),FALSE)*$F$2*TOCA_previous!C70),0),0), 0)</f>
        <v>1714.5441272146491</v>
      </c>
      <c r="AW73" s="427">
        <f>VLOOKUP($A73,REP_previous!$A$1:$D$135,MATCH("FY "&amp;$F$1&amp; " Total Refund",REP_previous!$A$1:$D$1,0),0)</f>
        <v>73425.43013588569</v>
      </c>
      <c r="AX73" s="398">
        <f>MIN(VLOOKUP($A73,TOCA_previous!$A$2:$AI$137,MATCH("TRL - NLSL - Exisiting Resource "&amp;$F$1,TOCA_previous!$A$2:$AI$2,0),FALSE)*$F$2,(VLOOKUP($A73,TOCA_previous!$A$2:$AI$137,MATCH("RHWM 2016",TOCA_previous!$A$2:$AI$2,0),FALSE)*$F$2))</f>
        <v>54047.951999999997</v>
      </c>
      <c r="AY73" s="384">
        <f>SUM(L73:AI73)+(F73*RT1SC!$C$3*$F$2)</f>
        <v>55762.496127214647</v>
      </c>
      <c r="AZ73" s="398">
        <f>VLOOKUP($A73,TOCA_previous!$A$2:$AI$137,MATCH("Above RHWM Not Served with LS "&amp;$F$1,TOCA_previous!$A$2:$AI$2,0),FALSE)*$F$2</f>
        <v>0</v>
      </c>
      <c r="BA73" s="206">
        <f t="shared" si="19"/>
        <v>1714.5441272146491</v>
      </c>
      <c r="BB73" s="399">
        <f>(VLOOKUP($A73,TOCA_previous!$A$2:$AI$137,MATCH("RHWM 2016",TOCA_previous!$A$2:$AI$2,0),FALSE)*$F$2) - $AX73</f>
        <v>0</v>
      </c>
      <c r="BC73" s="206">
        <f t="shared" si="20"/>
        <v>0</v>
      </c>
      <c r="BD73" s="400">
        <f t="shared" si="21"/>
        <v>0</v>
      </c>
      <c r="BE73" s="392">
        <f t="shared" si="22"/>
        <v>0</v>
      </c>
      <c r="BF73" s="399">
        <f t="shared" si="23"/>
        <v>0</v>
      </c>
      <c r="BG73" s="206">
        <f>VLOOKUP($A73,TOCA_current!$A$2:$AI$137,MATCH(BG$4,TOCA_current!$A$2:$AI$2,0),FALSE)</f>
        <v>8.8040000000000004E-4</v>
      </c>
      <c r="BH73" s="206">
        <f>VLOOKUP($A73,TOCA_current!$A$2:$AI$137,MATCH(BH$4,TOCA_current!$A$2:$AI$2,0),FALSE)</f>
        <v>8.8040000000000004E-4</v>
      </c>
      <c r="BI73" s="391">
        <f t="shared" si="24"/>
        <v>0</v>
      </c>
      <c r="BJ73" s="206">
        <f>VLOOKUP($A73,TOCA_current!A69:BG204,MATCH(BJ$4,TOCA_current!$A$2:$BG$2,0),FALSE)</f>
        <v>7.3022571148184501E-2</v>
      </c>
      <c r="BK73" s="206">
        <f t="shared" si="25"/>
        <v>0</v>
      </c>
      <c r="BL73" s="206">
        <f t="shared" si="26"/>
        <v>0</v>
      </c>
      <c r="BM73" s="381">
        <f>VLOOKUP($A73,IRD!$A$4:$G$139, 7, FALSE)</f>
        <v>0</v>
      </c>
      <c r="BN73" s="382">
        <f t="array" ref="BN73">IF($BI73=0, INDEX(LS_current!$D$4:$AY$139, MATCH('Staging Table'!$A73, LS_current!$B$4:$B$139, 0), MATCH(BN$4&amp;BN$5, LS_current!$D$2:$AY$2&amp;LS_current!$D$3:$AY$3, 0)),SUM(VLOOKUP($A73, LS_current!$B$4:$AY$139, LS_current!D$149, FALSE), VLOOKUP($A73, LS_current!$B$4:$AY$139,LS_current!D$149, FALSE))/2)</f>
        <v>-90.027460057378448</v>
      </c>
      <c r="BO73" s="382">
        <f t="array" ref="BO73">IF($BI73=0, INDEX(LS_current!$D$4:$AY$139, MATCH('Staging Table'!$A73, LS_current!$B$4:$B$139, 0), MATCH(BO$4&amp;BO$5, LS_current!$D$2:$AY$2&amp;LS_current!$D$3:$AY$3, 0)),SUM(VLOOKUP($A73, LS_current!$B$4:$AY$139, LS_current!E$149, FALSE), VLOOKUP($A73, LS_current!$B$4:$AY$139,LS_current!E$149, FALSE))/2)</f>
        <v>19.005694049662679</v>
      </c>
      <c r="BP73" s="382">
        <f t="array" ref="BP73">IF($BI73=0, INDEX(LS_current!$D$4:$AY$139, MATCH('Staging Table'!$A73, LS_current!$B$4:$B$139, 0), MATCH(BP$4&amp;BP$5, LS_current!$D$2:$AY$2&amp;LS_current!$D$3:$AY$3, 0)),SUM(VLOOKUP($A73, LS_current!$B$4:$AY$139, LS_current!F$149, FALSE), VLOOKUP($A73, LS_current!$B$4:$AY$139,LS_current!F$149, FALSE))/2)</f>
        <v>-66.139864023271002</v>
      </c>
      <c r="BQ73" s="382">
        <f t="array" ref="BQ73">IF($BI73=0, INDEX(LS_current!$D$4:$AY$139, MATCH('Staging Table'!$A73, LS_current!$B$4:$B$139, 0), MATCH(BQ$4&amp;BQ$5, LS_current!$D$2:$AY$2&amp;LS_current!$D$3:$AY$3, 0)),SUM(VLOOKUP($A73, LS_current!$B$4:$AY$139, LS_current!G$149, FALSE), VLOOKUP($A73, LS_current!$B$4:$AY$139,LS_current!G$149, FALSE))/2)</f>
        <v>336.87239387516843</v>
      </c>
      <c r="BR73" s="382">
        <f t="array" ref="BR73">IF($BI73=0, INDEX(LS_current!$D$4:$AY$139, MATCH('Staging Table'!$A73, LS_current!$B$4:$B$139, 0), MATCH(BR$4&amp;BR$5, LS_current!$D$2:$AY$2&amp;LS_current!$D$3:$AY$3, 0)),SUM(VLOOKUP($A73, LS_current!$B$4:$AY$139, LS_current!H$149, FALSE), VLOOKUP($A73, LS_current!$B$4:$AY$139,LS_current!H$149, FALSE))/2)</f>
        <v>736.60940895691328</v>
      </c>
      <c r="BS73" s="382">
        <f t="array" ref="BS73">IF($BI73=0, INDEX(LS_current!$D$4:$AY$139, MATCH('Staging Table'!$A73, LS_current!$B$4:$B$139, 0), MATCH(BS$4&amp;BS$5, LS_current!$D$2:$AY$2&amp;LS_current!$D$3:$AY$3, 0)),SUM(VLOOKUP($A73, LS_current!$B$4:$AY$139, LS_current!I$149, FALSE), VLOOKUP($A73, LS_current!$B$4:$AY$139,LS_current!I$149, FALSE))/2)</f>
        <v>779.5865518931862</v>
      </c>
      <c r="BT73" s="382">
        <f t="array" ref="BT73">IF($BI73=0, INDEX(LS_current!$D$4:$AY$139, MATCH('Staging Table'!$A73, LS_current!$B$4:$B$139, 0), MATCH(BT$4&amp;BT$5, LS_current!$D$2:$AY$2&amp;LS_current!$D$3:$AY$3, 0)),SUM(VLOOKUP($A73, LS_current!$B$4:$AY$139, LS_current!J$149, FALSE), VLOOKUP($A73, LS_current!$B$4:$AY$139,LS_current!J$149, FALSE))/2)</f>
        <v>1077.2994111370208</v>
      </c>
      <c r="BU73" s="382">
        <f t="array" ref="BU73">IF($BI73=0, INDEX(LS_current!$D$4:$AY$139, MATCH('Staging Table'!$A73, LS_current!$B$4:$B$139, 0), MATCH(BU$4&amp;BU$5, LS_current!$D$2:$AY$2&amp;LS_current!$D$3:$AY$3, 0)),SUM(VLOOKUP($A73, LS_current!$B$4:$AY$139, LS_current!K$149, FALSE), VLOOKUP($A73, LS_current!$B$4:$AY$139,LS_current!K$149, FALSE))/2)</f>
        <v>953.20355311611502</v>
      </c>
      <c r="BV73" s="382">
        <f t="array" ref="BV73">IF($BI73=0, INDEX(LS_current!$D$4:$AY$139, MATCH('Staging Table'!$A73, LS_current!$B$4:$B$139, 0), MATCH(BV$4&amp;BV$5, LS_current!$D$2:$AY$2&amp;LS_current!$D$3:$AY$3, 0)),SUM(VLOOKUP($A73, LS_current!$B$4:$AY$139, LS_current!L$149, FALSE), VLOOKUP($A73, LS_current!$B$4:$AY$139,LS_current!L$149, FALSE))/2)</f>
        <v>983.03088195460805</v>
      </c>
      <c r="BW73" s="382">
        <f t="array" ref="BW73">IF($BI73=0, INDEX(LS_current!$D$4:$AY$139, MATCH('Staging Table'!$A73, LS_current!$B$4:$B$139, 0), MATCH(BW$4&amp;BW$5, LS_current!$D$2:$AY$2&amp;LS_current!$D$3:$AY$3, 0)),SUM(VLOOKUP($A73, LS_current!$B$4:$AY$139, LS_current!M$149, FALSE), VLOOKUP($A73, LS_current!$B$4:$AY$139,LS_current!M$149, FALSE))/2)</f>
        <v>791.95568174002983</v>
      </c>
      <c r="BX73" s="382">
        <f t="array" ref="BX73">IF($BI73=0, INDEX(LS_current!$D$4:$AY$139, MATCH('Staging Table'!$A73, LS_current!$B$4:$B$139, 0), MATCH(BX$4&amp;BX$5, LS_current!$D$2:$AY$2&amp;LS_current!$D$3:$AY$3, 0)),SUM(VLOOKUP($A73, LS_current!$B$4:$AY$139, LS_current!N$149, FALSE), VLOOKUP($A73, LS_current!$B$4:$AY$139,LS_current!N$149, FALSE))/2)</f>
        <v>373.75462409160446</v>
      </c>
      <c r="BY73" s="382">
        <f t="array" ref="BY73">IF($BI73=0, INDEX(LS_current!$D$4:$AY$139, MATCH('Staging Table'!$A73, LS_current!$B$4:$B$139, 0), MATCH(BY$4&amp;BY$5, LS_current!$D$2:$AY$2&amp;LS_current!$D$3:$AY$3, 0)),SUM(VLOOKUP($A73, LS_current!$B$4:$AY$139, LS_current!O$149, FALSE), VLOOKUP($A73, LS_current!$B$4:$AY$139,LS_current!O$149, FALSE))/2)</f>
        <v>423.64141942708284</v>
      </c>
      <c r="BZ73" s="382">
        <f t="array" ref="BZ73">IF($BI73=0, INDEX(LS_current!$D$4:$AY$139, MATCH('Staging Table'!$A73, LS_current!$B$4:$B$139, 0), MATCH(BZ$4&amp;BZ$5, LS_current!$D$2:$AY$2&amp;LS_current!$D$3:$AY$3, 0)),SUM(VLOOKUP($A73, LS_current!$B$4:$AY$139, LS_current!P$149, FALSE), VLOOKUP($A73, LS_current!$B$4:$AY$139,LS_current!P$149, FALSE))/2)</f>
        <v>-7.6440360515471184</v>
      </c>
      <c r="CA73" s="382">
        <f t="array" ref="CA73">IF($BI73=0, INDEX(LS_current!$D$4:$AY$139, MATCH('Staging Table'!$A73, LS_current!$B$4:$B$139, 0), MATCH(CA$4&amp;CA$5, LS_current!$D$2:$AY$2&amp;LS_current!$D$3:$AY$3, 0)),SUM(VLOOKUP($A73, LS_current!$B$4:$AY$139, LS_current!Q$149, FALSE), VLOOKUP($A73, LS_current!$B$4:$AY$139,LS_current!Q$149, FALSE))/2)</f>
        <v>164.09612311097703</v>
      </c>
      <c r="CB73" s="382">
        <f t="array" ref="CB73">IF($BI73=0, INDEX(LS_current!$D$4:$AY$139, MATCH('Staging Table'!$A73, LS_current!$B$4:$B$139, 0), MATCH(CB$4&amp;CB$5, LS_current!$D$2:$AY$2&amp;LS_current!$D$3:$AY$3, 0)),SUM(VLOOKUP($A73, LS_current!$B$4:$AY$139, LS_current!R$149, FALSE), VLOOKUP($A73, LS_current!$B$4:$AY$139,LS_current!R$149, FALSE))/2)</f>
        <v>-1508.2901066814443</v>
      </c>
      <c r="CC73" s="382">
        <f t="array" ref="CC73">IF($BI73=0, INDEX(LS_current!$D$4:$AY$139, MATCH('Staging Table'!$A73, LS_current!$B$4:$B$139, 0), MATCH(CC$4&amp;CC$5, LS_current!$D$2:$AY$2&amp;LS_current!$D$3:$AY$3, 0)),SUM(VLOOKUP($A73, LS_current!$B$4:$AY$139, LS_current!S$149, FALSE), VLOOKUP($A73, LS_current!$B$4:$AY$139,LS_current!S$149, FALSE))/2)</f>
        <v>-680.53524987982109</v>
      </c>
      <c r="CD73" s="382">
        <f t="array" ref="CD73">IF($BI73=0, INDEX(LS_current!$D$4:$AY$139, MATCH('Staging Table'!$A73, LS_current!$B$4:$B$139, 0), MATCH(CD$4&amp;CD$5, LS_current!$D$2:$AY$2&amp;LS_current!$D$3:$AY$3, 0)),SUM(VLOOKUP($A73, LS_current!$B$4:$AY$139, LS_current!T$149, FALSE), VLOOKUP($A73, LS_current!$B$4:$AY$139,LS_current!T$149, FALSE))/2)</f>
        <v>-781.31588605507341</v>
      </c>
      <c r="CE73" s="382">
        <f t="array" ref="CE73">IF($BI73=0, INDEX(LS_current!$D$4:$AY$139, MATCH('Staging Table'!$A73, LS_current!$B$4:$B$139, 0), MATCH(CE$4&amp;CE$5, LS_current!$D$2:$AY$2&amp;LS_current!$D$3:$AY$3, 0)),SUM(VLOOKUP($A73, LS_current!$B$4:$AY$139, LS_current!U$149, FALSE), VLOOKUP($A73, LS_current!$B$4:$AY$139,LS_current!U$149, FALSE))/2)</f>
        <v>-298.61456396371659</v>
      </c>
      <c r="CF73" s="382">
        <f t="array" ref="CF73">IF($BI73=0, INDEX(LS_current!$D$4:$AY$139, MATCH('Staging Table'!$A73, LS_current!$B$4:$B$139, 0), MATCH(CF$4&amp;CF$5, LS_current!$D$2:$AY$2&amp;LS_current!$D$3:$AY$3, 0)),SUM(VLOOKUP($A73, LS_current!$B$4:$AY$139, LS_current!V$149, FALSE), VLOOKUP($A73, LS_current!$B$4:$AY$139,LS_current!V$149, FALSE))/2)</f>
        <v>5.0472460469927682</v>
      </c>
      <c r="CG73" s="382">
        <f t="array" ref="CG73">IF($BI73=0, INDEX(LS_current!$D$4:$AY$139, MATCH('Staging Table'!$A73, LS_current!$B$4:$B$139, 0), MATCH(CG$4&amp;CG$5, LS_current!$D$2:$AY$2&amp;LS_current!$D$3:$AY$3, 0)),SUM(VLOOKUP($A73, LS_current!$B$4:$AY$139, LS_current!W$149, FALSE), VLOOKUP($A73, LS_current!$B$4:$AY$139,LS_current!W$149, FALSE))/2)</f>
        <v>130.98455972476063</v>
      </c>
      <c r="CH73" s="382">
        <f t="array" ref="CH73">IF($BI73=0, INDEX(LS_current!$D$4:$AY$139, MATCH('Staging Table'!$A73, LS_current!$B$4:$B$139, 0), MATCH(CH$4&amp;CH$5, LS_current!$D$2:$AY$2&amp;LS_current!$D$3:$AY$3, 0)),SUM(VLOOKUP($A73, LS_current!$B$4:$AY$139, LS_current!X$149, FALSE), VLOOKUP($A73, LS_current!$B$4:$AY$139,LS_current!X$149, FALSE))/2)</f>
        <v>-398.59917535992463</v>
      </c>
      <c r="CI73" s="382">
        <f t="array" ref="CI73">IF($BI73=0, INDEX(LS_current!$D$4:$AY$139, MATCH('Staging Table'!$A73, LS_current!$B$4:$B$139, 0), MATCH(CI$4&amp;CI$5, LS_current!$D$2:$AY$2&amp;LS_current!$D$3:$AY$3, 0)),SUM(VLOOKUP($A73, LS_current!$B$4:$AY$139, LS_current!Y$149, FALSE), VLOOKUP($A73, LS_current!$B$4:$AY$139,LS_current!Y$149, FALSE))/2)</f>
        <v>-89.319423850964768</v>
      </c>
      <c r="CJ73" s="382">
        <f t="array" ref="CJ73">IF($BI73=0, INDEX(LS_current!$D$4:$AY$139, MATCH('Staging Table'!$A73, LS_current!$B$4:$B$139, 0), MATCH(CJ$4&amp;CJ$5, LS_current!$D$2:$AY$2&amp;LS_current!$D$3:$AY$3, 0)),SUM(VLOOKUP($A73, LS_current!$B$4:$AY$139, LS_current!Z$149, FALSE), VLOOKUP($A73, LS_current!$B$4:$AY$139,LS_current!Z$149, FALSE))/2)</f>
        <v>-521.68316518874963</v>
      </c>
      <c r="CK73" s="382">
        <f t="array" ref="CK73">IF($BI73=0, INDEX(LS_current!$D$4:$AY$139, MATCH('Staging Table'!$A73, LS_current!$B$4:$B$139, 0), MATCH(CK$4&amp;CK$5, LS_current!$D$2:$AY$2&amp;LS_current!$D$3:$AY$3, 0)),SUM(VLOOKUP($A73, LS_current!$B$4:$AY$139, LS_current!AA$149, FALSE), VLOOKUP($A73, LS_current!$B$4:$AY$139,LS_current!AA$149, FALSE))/2)</f>
        <v>-131.18542179104998</v>
      </c>
      <c r="CL73" s="384">
        <f t="array" ref="CL73">INDEX(Demand_current!$D$4:$AY$138, MATCH($A73, Demand_current!$B$4:$B$138, 0), MATCH(CL$4&amp;CL$5,Demand_current!$D$2:$AY$2&amp;Demand_current!$D$3:$AY$3, 0))/1000</f>
        <v>0.510225961538461</v>
      </c>
      <c r="CM73" s="384">
        <f t="array" ref="CM73">INDEX(Demand_current!$D$4:$AY$138, MATCH($A73, Demand_current!$B$4:$B$138, 0), MATCH(CM$4&amp;CM$5,Demand_current!$D$2:$AY$2&amp;Demand_current!$D$3:$AY$3, 0))/1000</f>
        <v>1.2623399999999991</v>
      </c>
      <c r="CN73" s="384">
        <f t="array" ref="CN73">INDEX(Demand_current!$D$4:$AY$138, MATCH($A73, Demand_current!$B$4:$B$138, 0), MATCH(CN$4&amp;CN$5,Demand_current!$D$2:$AY$2&amp;Demand_current!$D$3:$AY$3, 0))/1000</f>
        <v>1.0922250000000004</v>
      </c>
      <c r="CO73" s="384">
        <f t="array" ref="CO73">INDEX(Demand_current!$D$4:$AY$138, MATCH($A73, Demand_current!$B$4:$B$138, 0), MATCH(CO$4&amp;CO$5,Demand_current!$D$2:$AY$2&amp;Demand_current!$D$3:$AY$3, 0))/1000</f>
        <v>1.7391682692307691</v>
      </c>
      <c r="CP73" s="384">
        <f t="array" ref="CP73">INDEX(Demand_current!$D$4:$AY$138, MATCH($A73, Demand_current!$B$4:$B$138, 0), MATCH(CP$4&amp;CP$5,Demand_current!$D$2:$AY$2&amp;Demand_current!$D$3:$AY$3, 0))/1000</f>
        <v>0.54697395833333262</v>
      </c>
      <c r="CQ73" s="384">
        <f t="array" ref="CQ73">INDEX(Demand_current!$D$4:$AY$138, MATCH($A73, Demand_current!$B$4:$B$138, 0), MATCH(CQ$4&amp;CQ$5,Demand_current!$D$2:$AY$2&amp;Demand_current!$D$3:$AY$3, 0))/1000</f>
        <v>1.3926805555555548</v>
      </c>
      <c r="CR73" s="384">
        <f t="array" ref="CR73">INDEX(Demand_current!$D$4:$AY$138, MATCH($A73, Demand_current!$B$4:$B$138, 0), MATCH(CR$4&amp;CR$5,Demand_current!$D$2:$AY$2&amp;Demand_current!$D$3:$AY$3, 0))/1000</f>
        <v>0.7483799999999996</v>
      </c>
      <c r="CS73" s="384">
        <f t="array" ref="CS73">INDEX(Demand_current!$D$4:$AY$138, MATCH($A73, Demand_current!$B$4:$B$138, 0), MATCH(CS$4&amp;CS$5,Demand_current!$D$2:$AY$2&amp;Demand_current!$D$3:$AY$3, 0))/1000</f>
        <v>1.4765937500000006</v>
      </c>
      <c r="CT73" s="384">
        <f t="array" ref="CT73">INDEX(Demand_current!$D$4:$AY$138, MATCH($A73, Demand_current!$B$4:$B$138, 0), MATCH(CT$4&amp;CT$5,Demand_current!$D$2:$AY$2&amp;Demand_current!$D$3:$AY$3, 0))/1000</f>
        <v>1.1949831730769234</v>
      </c>
      <c r="CU73" s="384">
        <f t="array" ref="CU73">INDEX(Demand_current!$D$4:$AY$138, MATCH($A73, Demand_current!$B$4:$B$138, 0), MATCH(CU$4&amp;CU$5,Demand_current!$D$2:$AY$2&amp;Demand_current!$D$3:$AY$3, 0))/1000</f>
        <v>1.1693350000000005</v>
      </c>
      <c r="CV73" s="384">
        <f t="array" ref="CV73">INDEX(Demand_current!$D$4:$AY$138, MATCH($A73, Demand_current!$B$4:$B$138, 0), MATCH(CV$4&amp;CV$5,Demand_current!$D$2:$AY$2&amp;Demand_current!$D$3:$AY$3, 0))/1000</f>
        <v>1.1069490740740742</v>
      </c>
      <c r="CW73" s="384">
        <f t="array" ref="CW73">INDEX(Demand_current!$D$4:$AY$138, MATCH($A73, Demand_current!$B$4:$B$138, 0), MATCH(CW$4&amp;CW$5,Demand_current!$D$2:$AY$2&amp;Demand_current!$D$3:$AY$3, 0))/1000</f>
        <v>0.95797395833333299</v>
      </c>
      <c r="CX73" s="384">
        <f>IF(D73=0,IF(C73=0,MAX(0,DA73 - (VLOOKUP($A73,TOCA_current!$A$2:$AI$137,MATCH("RHWM 2018",TOCA_current!$A$2:$AI$2,0),FALSE)*$BH$2)), 0),0)</f>
        <v>2203.8567814051858</v>
      </c>
      <c r="CY73" s="427">
        <f>VLOOKUP($A73,REP_current!$A$1:$D$135,MATCH("FY "&amp;$BH$1&amp; " Total Refund",REP_current!$A$1:$D$1,0),0)</f>
        <v>73932.85602435912</v>
      </c>
      <c r="CZ73" s="432">
        <f>MIN(VLOOKUP($A73,TOCA_current!$A$2:$AI$137,MATCH("TRL - NLSL - Existing Resource "&amp;$BH$1,TOCA_current!$A$2:$AI$2,0),FALSE)*$BH$2, VLOOKUP($A73,TOCA_current!$A$2:$AI$137,MATCH("RHWM 2018",TOCA_current!$A$2:$AI$2,0),FALSE)*$BH$2)</f>
        <v>53558.64</v>
      </c>
      <c r="DA73" s="397">
        <f>SUM(BN73:CK73)+(BH73*RT1SC!$C$4*$BH$2)</f>
        <v>55762.496781405185</v>
      </c>
      <c r="DB73" s="432">
        <f>VLOOKUP($A73,TOCA_current!$A$2:$AI$137,MATCH("Above RHWM Not Served with LS "&amp;$BH$1,TOCA_current!$A$2:$AI$2,0),FALSE)*$BH$2</f>
        <v>0</v>
      </c>
      <c r="DC73" s="401">
        <f t="shared" si="27"/>
        <v>2203.8567814051858</v>
      </c>
      <c r="DD73" s="397">
        <f>(VLOOKUP($A73,TOCA_current!$A$2:$AI$137,MATCH("RHWM 2018",TOCA_current!$A$2:$AI$2,0),FALSE)*$BH$2) - $CZ73</f>
        <v>0</v>
      </c>
      <c r="DE73" s="397">
        <f t="shared" si="28"/>
        <v>0</v>
      </c>
      <c r="DF73" s="397">
        <f t="shared" si="29"/>
        <v>0</v>
      </c>
      <c r="DG73" s="397">
        <f t="shared" si="30"/>
        <v>0</v>
      </c>
      <c r="DH73" s="397">
        <f t="shared" si="31"/>
        <v>0</v>
      </c>
    </row>
    <row r="74" spans="1:112">
      <c r="A74" s="274">
        <v>10204</v>
      </c>
      <c r="B74" s="275" t="s">
        <v>75</v>
      </c>
      <c r="C74" s="397">
        <v>0</v>
      </c>
      <c r="D74" s="397">
        <v>1</v>
      </c>
      <c r="E74" s="205">
        <f>VLOOKUP($A74,TOCA_previous!$A$2:$AI$137,MATCH(E$4,TOCA_previous!$A$2:$AI$2,0),FALSE)</f>
        <v>1.1025099999999999E-2</v>
      </c>
      <c r="F74" s="206">
        <f>VLOOKUP($A74,TOCA_previous!$A$2:$AI$137,MATCH(F$4,TOCA_previous!$A$2:$AI$2,0),FALSE)</f>
        <v>5.5281999999999996E-3</v>
      </c>
      <c r="G74" s="206">
        <f t="shared" si="16"/>
        <v>5.4968999999999999E-3</v>
      </c>
      <c r="H74" s="206">
        <f>VLOOKUP($A74,TOCA_previous!$A$2:$AI$137,MATCH(H$4,TOCA_previous!$A$2:$AI$2,0),FALSE)</f>
        <v>0</v>
      </c>
      <c r="I74" s="206">
        <f t="shared" si="17"/>
        <v>0</v>
      </c>
      <c r="J74" s="206">
        <f t="shared" si="18"/>
        <v>0</v>
      </c>
      <c r="K74" s="381">
        <f>VLOOKUP(A74, IRD!$A$5:$C$139, 3, FALSE)</f>
        <v>0</v>
      </c>
      <c r="L74" s="382">
        <f t="array" ref="L74">IF($G74=0, INDEX(LS_previous!$D$4:$AY$138, MATCH('Staging Table'!$A74, LS_previous!$B$4:$B$138, 0), MATCH(L$4&amp;L$5, LS_previous!$D$2:$AY$2&amp;LS_previous!$D$3:$AY$3, 0)),SUM(VLOOKUP($A74, LS_previous!$B$4:$AY$138, LS_previous!D$149, FALSE), VLOOKUP('Staging Table'!$A74, LS_previous!$B$4:$AY$138,LS_previous!AB$149, FALSE))/2)</f>
        <v>-2088.7711115601714</v>
      </c>
      <c r="M74" s="382">
        <f t="array" ref="M74">IF($G74=0, INDEX(LS_previous!$D$4:$AY$138, MATCH('Staging Table'!$A74, LS_previous!$B$4:$B$138, 0), MATCH(M$4&amp;M$5, LS_previous!$D$2:$AY$2&amp;LS_previous!$D$3:$AY$3, 0)),SUM(VLOOKUP($A74, LS_previous!$B$4:$AY$138, LS_previous!E$149, FALSE), VLOOKUP('Staging Table'!$A74, LS_previous!$B$4:$AY$138,LS_previous!AC$149, FALSE))/2)</f>
        <v>1012.6025581855993</v>
      </c>
      <c r="N74" s="382">
        <f t="array" ref="N74">IF($G74=0, INDEX(LS_previous!$D$4:$AY$138, MATCH('Staging Table'!$A74, LS_previous!$B$4:$B$138, 0), MATCH(N$4&amp;N$5, LS_previous!$D$2:$AY$2&amp;LS_previous!$D$3:$AY$3, 0)),SUM(VLOOKUP($A74, LS_previous!$B$4:$AY$138, LS_previous!F$149, FALSE), VLOOKUP('Staging Table'!$A74, LS_previous!$B$4:$AY$138,LS_previous!AD$149, FALSE))/2)</f>
        <v>-3569.5894109322726</v>
      </c>
      <c r="O74" s="382">
        <f t="array" ref="O74">IF($G74=0, INDEX(LS_previous!$D$4:$AY$138, MATCH('Staging Table'!$A74, LS_previous!$B$4:$B$138, 0), MATCH(O$4&amp;O$5, LS_previous!$D$2:$AY$2&amp;LS_previous!$D$3:$AY$3, 0)),SUM(VLOOKUP($A74, LS_previous!$B$4:$AY$138, LS_previous!G$149, FALSE), VLOOKUP('Staging Table'!$A74, LS_previous!$B$4:$AY$138,LS_previous!AE$149, FALSE))/2)</f>
        <v>1053.6928228222996</v>
      </c>
      <c r="P74" s="382">
        <f t="array" ref="P74">IF($G74=0, INDEX(LS_previous!$D$4:$AY$138, MATCH('Staging Table'!$A74, LS_previous!$B$4:$B$138, 0), MATCH(P$4&amp;P$5, LS_previous!$D$2:$AY$2&amp;LS_previous!$D$3:$AY$3, 0)),SUM(VLOOKUP($A74, LS_previous!$B$4:$AY$138, LS_previous!H$149, FALSE), VLOOKUP('Staging Table'!$A74, LS_previous!$B$4:$AY$138,LS_previous!AF$149, FALSE))/2)</f>
        <v>687.71826817476904</v>
      </c>
      <c r="Q74" s="382">
        <f t="array" ref="Q74">IF($G74=0, INDEX(LS_previous!$D$4:$AY$138, MATCH('Staging Table'!$A74, LS_previous!$B$4:$B$138, 0), MATCH(Q$4&amp;Q$5, LS_previous!$D$2:$AY$2&amp;LS_previous!$D$3:$AY$3, 0)),SUM(VLOOKUP($A74, LS_previous!$B$4:$AY$138, LS_previous!I$149, FALSE), VLOOKUP('Staging Table'!$A74, LS_previous!$B$4:$AY$138,LS_previous!AG$149, FALSE))/2)</f>
        <v>3300.4171639733004</v>
      </c>
      <c r="R74" s="382">
        <f t="array" ref="R74">IF($G74=0, INDEX(LS_previous!$D$4:$AY$138, MATCH('Staging Table'!$A74, LS_previous!$B$4:$B$138, 0), MATCH(R$4&amp;R$5, LS_previous!$D$2:$AY$2&amp;LS_previous!$D$3:$AY$3, 0)),SUM(VLOOKUP($A74, LS_previous!$B$4:$AY$138, LS_previous!J$149, FALSE), VLOOKUP('Staging Table'!$A74, LS_previous!$B$4:$AY$138,LS_previous!AH$149, FALSE))/2)</f>
        <v>2691.9681365689266</v>
      </c>
      <c r="S74" s="382">
        <f t="array" ref="S74">IF($G74=0, INDEX(LS_previous!$D$4:$AY$138, MATCH('Staging Table'!$A74, LS_previous!$B$4:$B$138, 0), MATCH(S$4&amp;S$5, LS_previous!$D$2:$AY$2&amp;LS_previous!$D$3:$AY$3, 0)),SUM(VLOOKUP($A74, LS_previous!$B$4:$AY$138, LS_previous!K$149, FALSE), VLOOKUP('Staging Table'!$A74, LS_previous!$B$4:$AY$138,LS_previous!AI$149, FALSE))/2)</f>
        <v>5662.6134852914047</v>
      </c>
      <c r="T74" s="382">
        <f t="array" ref="T74">IF($G74=0, INDEX(LS_previous!$D$4:$AY$138, MATCH('Staging Table'!$A74, LS_previous!$B$4:$B$138, 0), MATCH(T$4&amp;T$5, LS_previous!$D$2:$AY$2&amp;LS_previous!$D$3:$AY$3, 0)),SUM(VLOOKUP($A74, LS_previous!$B$4:$AY$138, LS_previous!L$149, FALSE), VLOOKUP('Staging Table'!$A74, LS_previous!$B$4:$AY$138,LS_previous!AJ$149, FALSE))/2)</f>
        <v>2042.9366030633</v>
      </c>
      <c r="U74" s="382">
        <f t="array" ref="U74">IF($G74=0, INDEX(LS_previous!$D$4:$AY$138, MATCH('Staging Table'!$A74, LS_previous!$B$4:$B$138, 0), MATCH(U$4&amp;U$5, LS_previous!$D$2:$AY$2&amp;LS_previous!$D$3:$AY$3, 0)),SUM(VLOOKUP($A74, LS_previous!$B$4:$AY$138, LS_previous!M$149, FALSE), VLOOKUP('Staging Table'!$A74, LS_previous!$B$4:$AY$138,LS_previous!AK$149, FALSE))/2)</f>
        <v>3355.1122971090235</v>
      </c>
      <c r="V74" s="382">
        <f t="array" ref="V74">IF($G74=0, INDEX(LS_previous!$D$4:$AY$138, MATCH('Staging Table'!$A74, LS_previous!$B$4:$B$138, 0), MATCH(V$4&amp;V$5, LS_previous!$D$2:$AY$2&amp;LS_previous!$D$3:$AY$3, 0)),SUM(VLOOKUP($A74, LS_previous!$B$4:$AY$138, LS_previous!N$149, FALSE), VLOOKUP('Staging Table'!$A74, LS_previous!$B$4:$AY$138,LS_previous!AL$149, FALSE))/2)</f>
        <v>-980.76818308719976</v>
      </c>
      <c r="W74" s="382">
        <f t="array" ref="W74">IF($G74=0, INDEX(LS_previous!$D$4:$AY$138, MATCH('Staging Table'!$A74, LS_previous!$B$4:$B$138, 0), MATCH(W$4&amp;W$5, LS_previous!$D$2:$AY$2&amp;LS_previous!$D$3:$AY$3, 0)),SUM(VLOOKUP($A74, LS_previous!$B$4:$AY$138, LS_previous!O$149, FALSE), VLOOKUP('Staging Table'!$A74, LS_previous!$B$4:$AY$138,LS_previous!AM$149, FALSE))/2)</f>
        <v>957.49863599409264</v>
      </c>
      <c r="X74" s="382">
        <f t="array" ref="X74">IF($G74=0, INDEX(LS_previous!$D$4:$AY$138, MATCH('Staging Table'!$A74, LS_previous!$B$4:$B$138, 0), MATCH(X$4&amp;X$5, LS_previous!$D$2:$AY$2&amp;LS_previous!$D$3:$AY$3, 0)),SUM(VLOOKUP($A74, LS_previous!$B$4:$AY$138, LS_previous!P$149, FALSE), VLOOKUP('Staging Table'!$A74, LS_previous!$B$4:$AY$138,LS_previous!AN$149, FALSE))/2)</f>
        <v>-582.24408394524835</v>
      </c>
      <c r="Y74" s="382">
        <f t="array" ref="Y74">IF($G74=0, INDEX(LS_previous!$D$4:$AY$138, MATCH('Staging Table'!$A74, LS_previous!$B$4:$B$138, 0), MATCH(Y$4&amp;Y$5, LS_previous!$D$2:$AY$2&amp;LS_previous!$D$3:$AY$3, 0)),SUM(VLOOKUP($A74, LS_previous!$B$4:$AY$138, LS_previous!Q$149, FALSE), VLOOKUP('Staging Table'!$A74, LS_previous!$B$4:$AY$138,LS_previous!AO$149, FALSE))/2)</f>
        <v>1404.4129129554312</v>
      </c>
      <c r="Z74" s="382">
        <f t="array" ref="Z74">IF($G74=0, INDEX(LS_previous!$D$4:$AY$138, MATCH('Staging Table'!$A74, LS_previous!$B$4:$B$138, 0), MATCH(Z$4&amp;Z$5, LS_previous!$D$2:$AY$2&amp;LS_previous!$D$3:$AY$3, 0)),SUM(VLOOKUP($A74, LS_previous!$B$4:$AY$138, LS_previous!R$149, FALSE), VLOOKUP('Staging Table'!$A74, LS_previous!$B$4:$AY$138,LS_previous!AP$149, FALSE))/2)</f>
        <v>-7851.759973596405</v>
      </c>
      <c r="AA74" s="382">
        <f t="array" ref="AA74">IF($G74=0, INDEX(LS_previous!$D$4:$AY$138, MATCH('Staging Table'!$A74, LS_previous!$B$4:$B$138, 0), MATCH(AA$4&amp;AA$5, LS_previous!$D$2:$AY$2&amp;LS_previous!$D$3:$AY$3, 0)),SUM(VLOOKUP($A74, LS_previous!$B$4:$AY$138, LS_previous!S$149, FALSE), VLOOKUP('Staging Table'!$A74, LS_previous!$B$4:$AY$138,LS_previous!AQ$149, FALSE))/2)</f>
        <v>-931.73443215339557</v>
      </c>
      <c r="AB74" s="382">
        <f t="array" ref="AB74">IF($G74=0, INDEX(LS_previous!$D$4:$AY$138, MATCH('Staging Table'!$A74, LS_previous!$B$4:$B$138, 0), MATCH(AB$4&amp;AB$5, LS_previous!$D$2:$AY$2&amp;LS_previous!$D$3:$AY$3, 0)),SUM(VLOOKUP($A74, LS_previous!$B$4:$AY$138, LS_previous!T$149, FALSE), VLOOKUP('Staging Table'!$A74, LS_previous!$B$4:$AY$138,LS_previous!AR$149, FALSE))/2)</f>
        <v>-4035.2802744479177</v>
      </c>
      <c r="AC74" s="382">
        <f t="array" ref="AC74">IF($G74=0, INDEX(LS_previous!$D$4:$AY$138, MATCH('Staging Table'!$A74, LS_previous!$B$4:$B$138, 0), MATCH(AC$4&amp;AC$5, LS_previous!$D$2:$AY$2&amp;LS_previous!$D$3:$AY$3, 0)),SUM(VLOOKUP($A74, LS_previous!$B$4:$AY$138, LS_previous!U$149, FALSE), VLOOKUP('Staging Table'!$A74, LS_previous!$B$4:$AY$138,LS_previous!AS$149, FALSE))/2)</f>
        <v>-242.65731333479789</v>
      </c>
      <c r="AD74" s="382">
        <f t="array" ref="AD74">IF($G74=0, INDEX(LS_previous!$D$4:$AY$138, MATCH('Staging Table'!$A74, LS_previous!$B$4:$B$138, 0), MATCH(AD$4&amp;AD$5, LS_previous!$D$2:$AY$2&amp;LS_previous!$D$3:$AY$3, 0)),SUM(VLOOKUP($A74, LS_previous!$B$4:$AY$138, LS_previous!V$149, FALSE), VLOOKUP('Staging Table'!$A74, LS_previous!$B$4:$AY$138,LS_previous!AT$149, FALSE))/2)</f>
        <v>-2346.2014796612639</v>
      </c>
      <c r="AE74" s="382">
        <f t="array" ref="AE74">IF($G74=0, INDEX(LS_previous!$D$4:$AY$138, MATCH('Staging Table'!$A74, LS_previous!$B$4:$B$138, 0), MATCH(AE$4&amp;AE$5, LS_previous!$D$2:$AY$2&amp;LS_previous!$D$3:$AY$3, 0)),SUM(VLOOKUP($A74, LS_previous!$B$4:$AY$138, LS_previous!W$149, FALSE), VLOOKUP('Staging Table'!$A74, LS_previous!$B$4:$AY$138,LS_previous!AU$149, FALSE))/2)</f>
        <v>2946.1804690752579</v>
      </c>
      <c r="AF74" s="382">
        <f t="array" ref="AF74">IF($G74=0, INDEX(LS_previous!$D$4:$AY$138, MATCH('Staging Table'!$A74, LS_previous!$B$4:$B$138, 0), MATCH(AF$4&amp;AF$5, LS_previous!$D$2:$AY$2&amp;LS_previous!$D$3:$AY$3, 0)),SUM(VLOOKUP($A74, LS_previous!$B$4:$AY$138, LS_previous!X$149, FALSE), VLOOKUP('Staging Table'!$A74, LS_previous!$B$4:$AY$138,LS_previous!AV$149, FALSE))/2)</f>
        <v>-2712.1746437052725</v>
      </c>
      <c r="AG74" s="382">
        <f t="array" ref="AG74">IF($G74=0, INDEX(LS_previous!$D$4:$AY$138, MATCH('Staging Table'!$A74, LS_previous!$B$4:$B$138, 0), MATCH(AG$4&amp;AG$5, LS_previous!$D$2:$AY$2&amp;LS_previous!$D$3:$AY$3, 0)),SUM(VLOOKUP($A74, LS_previous!$B$4:$AY$138, LS_previous!Y$149, FALSE), VLOOKUP('Staging Table'!$A74, LS_previous!$B$4:$AY$138,LS_previous!AW$149, FALSE))/2)</f>
        <v>1536.3474511053555</v>
      </c>
      <c r="AH74" s="382">
        <f t="array" ref="AH74">IF($G74=0, INDEX(LS_previous!$D$4:$AY$138, MATCH('Staging Table'!$A74, LS_previous!$B$4:$B$138, 0), MATCH(AH$4&amp;AH$5, LS_previous!$D$2:$AY$2&amp;LS_previous!$D$3:$AY$3, 0)),SUM(VLOOKUP($A74, LS_previous!$B$4:$AY$138, LS_previous!Z$149, FALSE), VLOOKUP('Staging Table'!$A74, LS_previous!$B$4:$AY$138,LS_previous!AX$149, FALSE))/2)</f>
        <v>-1972.9505353293034</v>
      </c>
      <c r="AI74" s="382">
        <f t="array" ref="AI74">IF($G74=0, INDEX(LS_previous!$D$4:$AY$138, MATCH('Staging Table'!$A74, LS_previous!$B$4:$B$138, 0), MATCH(AI$4&amp;AI$5, LS_previous!$D$2:$AY$2&amp;LS_previous!$D$3:$AY$3, 0)),SUM(VLOOKUP($A74, LS_previous!$B$4:$AY$138, LS_previous!AA$149, FALSE), VLOOKUP('Staging Table'!$A74, LS_previous!$B$4:$AY$138,LS_previous!AY$149, FALSE))/2)</f>
        <v>662.95517829159235</v>
      </c>
      <c r="AJ74" s="384">
        <f t="array" ref="AJ74">INDEX(Demand_previous!$D$4:$AY$138, MATCH('Staging Table'!$A74, Demand_previous!$B$4:$B$138, 0), MATCH(AJ$4&amp;AJ$5,Demand_previous!$D$2:$AY$2&amp;Demand_previous!$D$3:$AY$3, 0))/1000</f>
        <v>0</v>
      </c>
      <c r="AK74" s="384">
        <f t="array" ref="AK74">INDEX(Demand_previous!$D$4:$AY$138, MATCH('Staging Table'!$A74, Demand_previous!$B$4:$B$138, 0), MATCH(AK$4&amp;AK$5,Demand_previous!$D$2:$AY$2&amp;Demand_previous!$D$3:$AY$3, 0))/1000</f>
        <v>0</v>
      </c>
      <c r="AL74" s="384">
        <f t="array" ref="AL74">INDEX(Demand_previous!$D$4:$AY$138, MATCH('Staging Table'!$A74, Demand_previous!$B$4:$B$138, 0), MATCH(AL$4&amp;AL$5,Demand_previous!$D$2:$AY$2&amp;Demand_previous!$D$3:$AY$3, 0))/1000</f>
        <v>0</v>
      </c>
      <c r="AM74" s="384">
        <f t="array" ref="AM74">INDEX(Demand_previous!$D$4:$AY$138, MATCH('Staging Table'!$A74, Demand_previous!$B$4:$B$138, 0), MATCH(AM$4&amp;AM$5,Demand_previous!$D$2:$AY$2&amp;Demand_previous!$D$3:$AY$3, 0))/1000</f>
        <v>0</v>
      </c>
      <c r="AN74" s="384">
        <f t="array" ref="AN74">INDEX(Demand_previous!$D$4:$AY$138, MATCH('Staging Table'!$A74, Demand_previous!$B$4:$B$138, 0), MATCH(AN$4&amp;AN$5,Demand_previous!$D$2:$AY$2&amp;Demand_previous!$D$3:$AY$3, 0))/1000</f>
        <v>0</v>
      </c>
      <c r="AO74" s="384">
        <f t="array" ref="AO74">INDEX(Demand_previous!$D$4:$AY$138, MATCH('Staging Table'!$A74, Demand_previous!$B$4:$B$138, 0), MATCH(AO$4&amp;AO$5,Demand_previous!$D$2:$AY$2&amp;Demand_previous!$D$3:$AY$3, 0))/1000</f>
        <v>0</v>
      </c>
      <c r="AP74" s="384">
        <f t="array" ref="AP74">INDEX(Demand_previous!$D$4:$AY$138, MATCH('Staging Table'!$A74, Demand_previous!$B$4:$B$138, 0), MATCH(AP$4&amp;AP$5,Demand_previous!$D$2:$AY$2&amp;Demand_previous!$D$3:$AY$3, 0))/1000</f>
        <v>0</v>
      </c>
      <c r="AQ74" s="384">
        <f t="array" ref="AQ74">INDEX(Demand_previous!$D$4:$AY$138, MATCH('Staging Table'!$A74, Demand_previous!$B$4:$B$138, 0), MATCH(AQ$4&amp;AQ$5,Demand_previous!$D$2:$AY$2&amp;Demand_previous!$D$3:$AY$3, 0))/1000</f>
        <v>0</v>
      </c>
      <c r="AR74" s="384">
        <f t="array" ref="AR74">INDEX(Demand_previous!$D$4:$AY$138, MATCH('Staging Table'!$A74, Demand_previous!$B$4:$B$138, 0), MATCH(AR$4&amp;AR$5,Demand_previous!$D$2:$AY$2&amp;Demand_previous!$D$3:$AY$3, 0))/1000</f>
        <v>0</v>
      </c>
      <c r="AS74" s="384">
        <f t="array" ref="AS74">INDEX(Demand_previous!$D$4:$AY$138, MATCH('Staging Table'!$A74, Demand_previous!$B$4:$B$138, 0), MATCH(AS$4&amp;AS$5,Demand_previous!$D$2:$AY$2&amp;Demand_previous!$D$3:$AY$3, 0))/1000</f>
        <v>0</v>
      </c>
      <c r="AT74" s="384">
        <f t="array" ref="AT74">INDEX(Demand_previous!$D$4:$AY$138, MATCH('Staging Table'!$A74, Demand_previous!$B$4:$B$138, 0), MATCH(AT$4&amp;AT$5,Demand_previous!$D$2:$AY$2&amp;Demand_previous!$D$3:$AY$3, 0))/1000</f>
        <v>0</v>
      </c>
      <c r="AU74" s="384">
        <f t="array" ref="AU74">INDEX(Demand_previous!$D$4:$AY$138, MATCH('Staging Table'!$A74, Demand_previous!$B$4:$B$138, 0), MATCH(AU$4&amp;AU$5,Demand_previous!$D$2:$AY$2&amp;Demand_previous!$D$3:$AY$3, 0))/1000</f>
        <v>0</v>
      </c>
      <c r="AV74" s="384">
        <f>IF($D74=0,IF(C74=0, MAX(AY74 - (VLOOKUP($A74,TOCA_previous!$A$2:$AI$137,MATCH("RHWM 2016",TOCA_previous!$A$2:$AI$2,0),FALSE)*$F$2*TOCA_previous!C71),0),0), 0)</f>
        <v>0</v>
      </c>
      <c r="AW74" s="427">
        <f>VLOOKUP($A74,REP_previous!$A$1:$D$135,MATCH("FY "&amp;$F$1&amp; " Total Refund",REP_previous!$A$1:$D$1,0),0)</f>
        <v>875925.33920080529</v>
      </c>
      <c r="AX74" s="398">
        <f>MIN(VLOOKUP($A74,TOCA_previous!$A$2:$AI$137,MATCH("TRL - NLSL - Exisiting Resource "&amp;$F$1,TOCA_previous!$A$2:$AI$2,0),FALSE)*$F$2,(VLOOKUP($A74,TOCA_previous!$A$2:$AI$137,MATCH("RHWM 2016",TOCA_previous!$A$2:$AI$2,0),FALSE)*$F$2))</f>
        <v>676271.37600000005</v>
      </c>
      <c r="AY74" s="384">
        <f>SUM(L74:AI74)+(F74*RT1SC!$C$3*$F$2)</f>
        <v>339096.89866650506</v>
      </c>
      <c r="AZ74" s="398">
        <f>VLOOKUP($A74,TOCA_previous!$A$2:$AI$137,MATCH("Above RHWM Not Served with LS "&amp;$F$1,TOCA_previous!$A$2:$AI$2,0),FALSE)*$F$2</f>
        <v>15249.023999999999</v>
      </c>
      <c r="BA74" s="206">
        <f t="shared" si="19"/>
        <v>-337174.47733349499</v>
      </c>
      <c r="BB74" s="399">
        <f>(VLOOKUP($A74,TOCA_previous!$A$2:$AI$137,MATCH("RHWM 2016",TOCA_previous!$A$2:$AI$2,0),FALSE)*$F$2) - $AX74</f>
        <v>15732.143999999971</v>
      </c>
      <c r="BC74" s="206">
        <f t="shared" si="20"/>
        <v>0</v>
      </c>
      <c r="BD74" s="400">
        <f t="shared" si="21"/>
        <v>321925.45333349501</v>
      </c>
      <c r="BE74" s="392">
        <f t="shared" si="22"/>
        <v>0</v>
      </c>
      <c r="BF74" s="399">
        <f t="shared" si="23"/>
        <v>0</v>
      </c>
      <c r="BG74" s="206">
        <f>VLOOKUP($A74,TOCA_current!$A$2:$AI$137,MATCH(BG$4,TOCA_current!$A$2:$AI$2,0),FALSE)</f>
        <v>9.4602999999999996E-3</v>
      </c>
      <c r="BH74" s="206">
        <f>VLOOKUP($A74,TOCA_current!$A$2:$AI$137,MATCH(BH$4,TOCA_current!$A$2:$AI$2,0),FALSE)</f>
        <v>3.9680999999999996E-3</v>
      </c>
      <c r="BI74" s="391">
        <f t="shared" si="24"/>
        <v>5.4922E-3</v>
      </c>
      <c r="BJ74" s="206">
        <f>VLOOKUP($A74,TOCA_current!A70:BG205,MATCH(BJ$4,TOCA_current!$A$2:$BG$2,0),FALSE)</f>
        <v>0</v>
      </c>
      <c r="BK74" s="206">
        <f t="shared" si="25"/>
        <v>0</v>
      </c>
      <c r="BL74" s="206">
        <f t="shared" si="26"/>
        <v>0</v>
      </c>
      <c r="BM74" s="381">
        <f>VLOOKUP($A74,IRD!$A$4:$G$139, 7, FALSE)</f>
        <v>0</v>
      </c>
      <c r="BN74" s="382">
        <f t="array" ref="BN74">IF($BI74=0, INDEX(LS_current!$D$4:$AY$139, MATCH('Staging Table'!$A74, LS_current!$B$4:$B$139, 0), MATCH(BN$4&amp;BN$5, LS_current!$D$2:$AY$2&amp;LS_current!$D$3:$AY$3, 0)),SUM(VLOOKUP($A74, LS_current!$B$4:$AY$139, LS_current!D$149, FALSE), VLOOKUP($A74, LS_current!$B$4:$AY$139,LS_current!D$149, FALSE))/2)</f>
        <v>-2117.4495770714257</v>
      </c>
      <c r="BO74" s="382">
        <f t="array" ref="BO74">IF($BI74=0, INDEX(LS_current!$D$4:$AY$139, MATCH('Staging Table'!$A74, LS_current!$B$4:$B$139, 0), MATCH(BO$4&amp;BO$5, LS_current!$D$2:$AY$2&amp;LS_current!$D$3:$AY$3, 0)),SUM(VLOOKUP($A74, LS_current!$B$4:$AY$139, LS_current!E$149, FALSE), VLOOKUP($A74, LS_current!$B$4:$AY$139,LS_current!E$149, FALSE))/2)</f>
        <v>1367.6724521336519</v>
      </c>
      <c r="BP74" s="382">
        <f t="array" ref="BP74">IF($BI74=0, INDEX(LS_current!$D$4:$AY$139, MATCH('Staging Table'!$A74, LS_current!$B$4:$B$139, 0), MATCH(BP$4&amp;BP$5, LS_current!$D$2:$AY$2&amp;LS_current!$D$3:$AY$3, 0)),SUM(VLOOKUP($A74, LS_current!$B$4:$AY$139, LS_current!F$149, FALSE), VLOOKUP($A74, LS_current!$B$4:$AY$139,LS_current!F$149, FALSE))/2)</f>
        <v>-3289.6220045783066</v>
      </c>
      <c r="BQ74" s="382">
        <f t="array" ref="BQ74">IF($BI74=0, INDEX(LS_current!$D$4:$AY$139, MATCH('Staging Table'!$A74, LS_current!$B$4:$B$139, 0), MATCH(BQ$4&amp;BQ$5, LS_current!$D$2:$AY$2&amp;LS_current!$D$3:$AY$3, 0)),SUM(VLOOKUP($A74, LS_current!$B$4:$AY$139, LS_current!G$149, FALSE), VLOOKUP($A74, LS_current!$B$4:$AY$139,LS_current!G$149, FALSE))/2)</f>
        <v>482.29559215817608</v>
      </c>
      <c r="BR74" s="382">
        <f t="array" ref="BR74">IF($BI74=0, INDEX(LS_current!$D$4:$AY$139, MATCH('Staging Table'!$A74, LS_current!$B$4:$B$139, 0), MATCH(BR$4&amp;BR$5, LS_current!$D$2:$AY$2&amp;LS_current!$D$3:$AY$3, 0)),SUM(VLOOKUP($A74, LS_current!$B$4:$AY$139, LS_current!H$149, FALSE), VLOOKUP($A74, LS_current!$B$4:$AY$139,LS_current!H$149, FALSE))/2)</f>
        <v>-552.92271162888574</v>
      </c>
      <c r="BS74" s="382">
        <f t="array" ref="BS74">IF($BI74=0, INDEX(LS_current!$D$4:$AY$139, MATCH('Staging Table'!$A74, LS_current!$B$4:$B$139, 0), MATCH(BS$4&amp;BS$5, LS_current!$D$2:$AY$2&amp;LS_current!$D$3:$AY$3, 0)),SUM(VLOOKUP($A74, LS_current!$B$4:$AY$139, LS_current!I$149, FALSE), VLOOKUP($A74, LS_current!$B$4:$AY$139,LS_current!I$149, FALSE))/2)</f>
        <v>3129.7426656830448</v>
      </c>
      <c r="BT74" s="382">
        <f t="array" ref="BT74">IF($BI74=0, INDEX(LS_current!$D$4:$AY$139, MATCH('Staging Table'!$A74, LS_current!$B$4:$B$139, 0), MATCH(BT$4&amp;BT$5, LS_current!$D$2:$AY$2&amp;LS_current!$D$3:$AY$3, 0)),SUM(VLOOKUP($A74, LS_current!$B$4:$AY$139, LS_current!J$149, FALSE), VLOOKUP($A74, LS_current!$B$4:$AY$139,LS_current!J$149, FALSE))/2)</f>
        <v>2151.3300485379532</v>
      </c>
      <c r="BU74" s="382">
        <f t="array" ref="BU74">IF($BI74=0, INDEX(LS_current!$D$4:$AY$139, MATCH('Staging Table'!$A74, LS_current!$B$4:$B$139, 0), MATCH(BU$4&amp;BU$5, LS_current!$D$2:$AY$2&amp;LS_current!$D$3:$AY$3, 0)),SUM(VLOOKUP($A74, LS_current!$B$4:$AY$139, LS_current!K$149, FALSE), VLOOKUP($A74, LS_current!$B$4:$AY$139,LS_current!K$149, FALSE))/2)</f>
        <v>3733.2960977056537</v>
      </c>
      <c r="BV74" s="382">
        <f t="array" ref="BV74">IF($BI74=0, INDEX(LS_current!$D$4:$AY$139, MATCH('Staging Table'!$A74, LS_current!$B$4:$B$139, 0), MATCH(BV$4&amp;BV$5, LS_current!$D$2:$AY$2&amp;LS_current!$D$3:$AY$3, 0)),SUM(VLOOKUP($A74, LS_current!$B$4:$AY$139, LS_current!L$149, FALSE), VLOOKUP($A74, LS_current!$B$4:$AY$139,LS_current!L$149, FALSE))/2)</f>
        <v>1851.7303662926879</v>
      </c>
      <c r="BW74" s="382">
        <f t="array" ref="BW74">IF($BI74=0, INDEX(LS_current!$D$4:$AY$139, MATCH('Staging Table'!$A74, LS_current!$B$4:$B$139, 0), MATCH(BW$4&amp;BW$5, LS_current!$D$2:$AY$2&amp;LS_current!$D$3:$AY$3, 0)),SUM(VLOOKUP($A74, LS_current!$B$4:$AY$139, LS_current!M$149, FALSE), VLOOKUP($A74, LS_current!$B$4:$AY$139,LS_current!M$149, FALSE))/2)</f>
        <v>3066.7083200961079</v>
      </c>
      <c r="BX74" s="382">
        <f t="array" ref="BX74">IF($BI74=0, INDEX(LS_current!$D$4:$AY$139, MATCH('Staging Table'!$A74, LS_current!$B$4:$B$139, 0), MATCH(BX$4&amp;BX$5, LS_current!$D$2:$AY$2&amp;LS_current!$D$3:$AY$3, 0)),SUM(VLOOKUP($A74, LS_current!$B$4:$AY$139, LS_current!N$149, FALSE), VLOOKUP($A74, LS_current!$B$4:$AY$139,LS_current!N$149, FALSE))/2)</f>
        <v>-250.53744518639724</v>
      </c>
      <c r="BY74" s="382">
        <f t="array" ref="BY74">IF($BI74=0, INDEX(LS_current!$D$4:$AY$139, MATCH('Staging Table'!$A74, LS_current!$B$4:$B$139, 0), MATCH(BY$4&amp;BY$5, LS_current!$D$2:$AY$2&amp;LS_current!$D$3:$AY$3, 0)),SUM(VLOOKUP($A74, LS_current!$B$4:$AY$139, LS_current!O$149, FALSE), VLOOKUP($A74, LS_current!$B$4:$AY$139,LS_current!O$149, FALSE))/2)</f>
        <v>1470.458884062481</v>
      </c>
      <c r="BZ74" s="382">
        <f t="array" ref="BZ74">IF($BI74=0, INDEX(LS_current!$D$4:$AY$139, MATCH('Staging Table'!$A74, LS_current!$B$4:$B$139, 0), MATCH(BZ$4&amp;BZ$5, LS_current!$D$2:$AY$2&amp;LS_current!$D$3:$AY$3, 0)),SUM(VLOOKUP($A74, LS_current!$B$4:$AY$139, LS_current!P$149, FALSE), VLOOKUP($A74, LS_current!$B$4:$AY$139,LS_current!P$149, FALSE))/2)</f>
        <v>-2046.0040757112019</v>
      </c>
      <c r="CA74" s="382">
        <f t="array" ref="CA74">IF($BI74=0, INDEX(LS_current!$D$4:$AY$139, MATCH('Staging Table'!$A74, LS_current!$B$4:$B$139, 0), MATCH(CA$4&amp;CA$5, LS_current!$D$2:$AY$2&amp;LS_current!$D$3:$AY$3, 0)),SUM(VLOOKUP($A74, LS_current!$B$4:$AY$139, LS_current!Q$149, FALSE), VLOOKUP($A74, LS_current!$B$4:$AY$139,LS_current!Q$149, FALSE))/2)</f>
        <v>1216.9869763933093</v>
      </c>
      <c r="CB74" s="382">
        <f t="array" ref="CB74">IF($BI74=0, INDEX(LS_current!$D$4:$AY$139, MATCH('Staging Table'!$A74, LS_current!$B$4:$B$139, 0), MATCH(CB$4&amp;CB$5, LS_current!$D$2:$AY$2&amp;LS_current!$D$3:$AY$3, 0)),SUM(VLOOKUP($A74, LS_current!$B$4:$AY$139, LS_current!R$149, FALSE), VLOOKUP($A74, LS_current!$B$4:$AY$139,LS_current!R$149, FALSE))/2)</f>
        <v>-6536.8599823064942</v>
      </c>
      <c r="CC74" s="382">
        <f t="array" ref="CC74">IF($BI74=0, INDEX(LS_current!$D$4:$AY$139, MATCH('Staging Table'!$A74, LS_current!$B$4:$B$139, 0), MATCH(CC$4&amp;CC$5, LS_current!$D$2:$AY$2&amp;LS_current!$D$3:$AY$3, 0)),SUM(VLOOKUP($A74, LS_current!$B$4:$AY$139, LS_current!S$149, FALSE), VLOOKUP($A74, LS_current!$B$4:$AY$139,LS_current!S$149, FALSE))/2)</f>
        <v>-1436.8411671377962</v>
      </c>
      <c r="CD74" s="382">
        <f t="array" ref="CD74">IF($BI74=0, INDEX(LS_current!$D$4:$AY$139, MATCH('Staging Table'!$A74, LS_current!$B$4:$B$139, 0), MATCH(CD$4&amp;CD$5, LS_current!$D$2:$AY$2&amp;LS_current!$D$3:$AY$3, 0)),SUM(VLOOKUP($A74, LS_current!$B$4:$AY$139, LS_current!T$149, FALSE), VLOOKUP($A74, LS_current!$B$4:$AY$139,LS_current!T$149, FALSE))/2)</f>
        <v>-3731.7930251648504</v>
      </c>
      <c r="CE74" s="382">
        <f t="array" ref="CE74">IF($BI74=0, INDEX(LS_current!$D$4:$AY$139, MATCH('Staging Table'!$A74, LS_current!$B$4:$B$139, 0), MATCH(CE$4&amp;CE$5, LS_current!$D$2:$AY$2&amp;LS_current!$D$3:$AY$3, 0)),SUM(VLOOKUP($A74, LS_current!$B$4:$AY$139, LS_current!U$149, FALSE), VLOOKUP($A74, LS_current!$B$4:$AY$139,LS_current!U$149, FALSE))/2)</f>
        <v>45.845169736003299</v>
      </c>
      <c r="CF74" s="382">
        <f t="array" ref="CF74">IF($BI74=0, INDEX(LS_current!$D$4:$AY$139, MATCH('Staging Table'!$A74, LS_current!$B$4:$B$139, 0), MATCH(CF$4&amp;CF$5, LS_current!$D$2:$AY$2&amp;LS_current!$D$3:$AY$3, 0)),SUM(VLOOKUP($A74, LS_current!$B$4:$AY$139, LS_current!V$149, FALSE), VLOOKUP($A74, LS_current!$B$4:$AY$139,LS_current!V$149, FALSE))/2)</f>
        <v>-1235.9934774658414</v>
      </c>
      <c r="CG74" s="382">
        <f t="array" ref="CG74">IF($BI74=0, INDEX(LS_current!$D$4:$AY$139, MATCH('Staging Table'!$A74, LS_current!$B$4:$B$139, 0), MATCH(CG$4&amp;CG$5, LS_current!$D$2:$AY$2&amp;LS_current!$D$3:$AY$3, 0)),SUM(VLOOKUP($A74, LS_current!$B$4:$AY$139, LS_current!W$149, FALSE), VLOOKUP($A74, LS_current!$B$4:$AY$139,LS_current!W$149, FALSE))/2)</f>
        <v>2914.1314724486865</v>
      </c>
      <c r="CH74" s="382">
        <f t="array" ref="CH74">IF($BI74=0, INDEX(LS_current!$D$4:$AY$139, MATCH('Staging Table'!$A74, LS_current!$B$4:$B$139, 0), MATCH(CH$4&amp;CH$5, LS_current!$D$2:$AY$2&amp;LS_current!$D$3:$AY$3, 0)),SUM(VLOOKUP($A74, LS_current!$B$4:$AY$139, LS_current!X$149, FALSE), VLOOKUP($A74, LS_current!$B$4:$AY$139,LS_current!X$149, FALSE))/2)</f>
        <v>-2408.8042702700095</v>
      </c>
      <c r="CI74" s="382">
        <f t="array" ref="CI74">IF($BI74=0, INDEX(LS_current!$D$4:$AY$139, MATCH('Staging Table'!$A74, LS_current!$B$4:$B$139, 0), MATCH(CI$4&amp;CI$5, LS_current!$D$2:$AY$2&amp;LS_current!$D$3:$AY$3, 0)),SUM(VLOOKUP($A74, LS_current!$B$4:$AY$139, LS_current!Y$149, FALSE), VLOOKUP($A74, LS_current!$B$4:$AY$139,LS_current!Y$149, FALSE))/2)</f>
        <v>1363.1451950442834</v>
      </c>
      <c r="CJ74" s="382">
        <f t="array" ref="CJ74">IF($BI74=0, INDEX(LS_current!$D$4:$AY$139, MATCH('Staging Table'!$A74, LS_current!$B$4:$B$139, 0), MATCH(CJ$4&amp;CJ$5, LS_current!$D$2:$AY$2&amp;LS_current!$D$3:$AY$3, 0)),SUM(VLOOKUP($A74, LS_current!$B$4:$AY$139, LS_current!Z$149, FALSE), VLOOKUP($A74, LS_current!$B$4:$AY$139,LS_current!Z$149, FALSE))/2)</f>
        <v>-3360.1586033456115</v>
      </c>
      <c r="CK74" s="382">
        <f t="array" ref="CK74">IF($BI74=0, INDEX(LS_current!$D$4:$AY$139, MATCH('Staging Table'!$A74, LS_current!$B$4:$B$139, 0), MATCH(CK$4&amp;CK$5, LS_current!$D$2:$AY$2&amp;LS_current!$D$3:$AY$3, 0)),SUM(VLOOKUP($A74, LS_current!$B$4:$AY$139, LS_current!AA$149, FALSE), VLOOKUP($A74, LS_current!$B$4:$AY$139,LS_current!AA$149, FALSE))/2)</f>
        <v>727.93832711373852</v>
      </c>
      <c r="CL74" s="384">
        <f t="array" ref="CL74">INDEX(Demand_current!$D$4:$AY$138, MATCH($A74, Demand_current!$B$4:$B$138, 0), MATCH(CL$4&amp;CL$5,Demand_current!$D$2:$AY$2&amp;Demand_current!$D$3:$AY$3, 0))/1000</f>
        <v>0</v>
      </c>
      <c r="CM74" s="384">
        <f t="array" ref="CM74">INDEX(Demand_current!$D$4:$AY$138, MATCH($A74, Demand_current!$B$4:$B$138, 0), MATCH(CM$4&amp;CM$5,Demand_current!$D$2:$AY$2&amp;Demand_current!$D$3:$AY$3, 0))/1000</f>
        <v>0</v>
      </c>
      <c r="CN74" s="384">
        <f t="array" ref="CN74">INDEX(Demand_current!$D$4:$AY$138, MATCH($A74, Demand_current!$B$4:$B$138, 0), MATCH(CN$4&amp;CN$5,Demand_current!$D$2:$AY$2&amp;Demand_current!$D$3:$AY$3, 0))/1000</f>
        <v>0</v>
      </c>
      <c r="CO74" s="384">
        <f t="array" ref="CO74">INDEX(Demand_current!$D$4:$AY$138, MATCH($A74, Demand_current!$B$4:$B$138, 0), MATCH(CO$4&amp;CO$5,Demand_current!$D$2:$AY$2&amp;Demand_current!$D$3:$AY$3, 0))/1000</f>
        <v>0</v>
      </c>
      <c r="CP74" s="384">
        <f t="array" ref="CP74">INDEX(Demand_current!$D$4:$AY$138, MATCH($A74, Demand_current!$B$4:$B$138, 0), MATCH(CP$4&amp;CP$5,Demand_current!$D$2:$AY$2&amp;Demand_current!$D$3:$AY$3, 0))/1000</f>
        <v>0</v>
      </c>
      <c r="CQ74" s="384">
        <f t="array" ref="CQ74">INDEX(Demand_current!$D$4:$AY$138, MATCH($A74, Demand_current!$B$4:$B$138, 0), MATCH(CQ$4&amp;CQ$5,Demand_current!$D$2:$AY$2&amp;Demand_current!$D$3:$AY$3, 0))/1000</f>
        <v>0</v>
      </c>
      <c r="CR74" s="384">
        <f t="array" ref="CR74">INDEX(Demand_current!$D$4:$AY$138, MATCH($A74, Demand_current!$B$4:$B$138, 0), MATCH(CR$4&amp;CR$5,Demand_current!$D$2:$AY$2&amp;Demand_current!$D$3:$AY$3, 0))/1000</f>
        <v>0</v>
      </c>
      <c r="CS74" s="384">
        <f t="array" ref="CS74">INDEX(Demand_current!$D$4:$AY$138, MATCH($A74, Demand_current!$B$4:$B$138, 0), MATCH(CS$4&amp;CS$5,Demand_current!$D$2:$AY$2&amp;Demand_current!$D$3:$AY$3, 0))/1000</f>
        <v>0</v>
      </c>
      <c r="CT74" s="384">
        <f t="array" ref="CT74">INDEX(Demand_current!$D$4:$AY$138, MATCH($A74, Demand_current!$B$4:$B$138, 0), MATCH(CT$4&amp;CT$5,Demand_current!$D$2:$AY$2&amp;Demand_current!$D$3:$AY$3, 0))/1000</f>
        <v>0</v>
      </c>
      <c r="CU74" s="384">
        <f t="array" ref="CU74">INDEX(Demand_current!$D$4:$AY$138, MATCH($A74, Demand_current!$B$4:$B$138, 0), MATCH(CU$4&amp;CU$5,Demand_current!$D$2:$AY$2&amp;Demand_current!$D$3:$AY$3, 0))/1000</f>
        <v>0</v>
      </c>
      <c r="CV74" s="384">
        <f t="array" ref="CV74">INDEX(Demand_current!$D$4:$AY$138, MATCH($A74, Demand_current!$B$4:$B$138, 0), MATCH(CV$4&amp;CV$5,Demand_current!$D$2:$AY$2&amp;Demand_current!$D$3:$AY$3, 0))/1000</f>
        <v>0</v>
      </c>
      <c r="CW74" s="384">
        <f t="array" ref="CW74">INDEX(Demand_current!$D$4:$AY$138, MATCH($A74, Demand_current!$B$4:$B$138, 0), MATCH(CW$4&amp;CW$5,Demand_current!$D$2:$AY$2&amp;Demand_current!$D$3:$AY$3, 0))/1000</f>
        <v>0</v>
      </c>
      <c r="CX74" s="384">
        <f>IF(D74=0,IF(C74=0,MAX(0,DA74 - (VLOOKUP($A74,TOCA_current!$A$2:$AI$137,MATCH("RHWM 2018",TOCA_current!$A$2:$AI$2,0),FALSE)*$BH$2)), 0),0)</f>
        <v>0</v>
      </c>
      <c r="CY74" s="427">
        <f>VLOOKUP($A74,REP_current!$A$1:$D$135,MATCH("FY "&amp;$BH$1&amp; " Total Refund",REP_current!$A$1:$D$1,0),0)</f>
        <v>810535.73706475971</v>
      </c>
      <c r="CZ74" s="432">
        <f>MIN(VLOOKUP($A74,TOCA_current!$A$2:$AI$137,MATCH("TRL - NLSL - Existing Resource "&amp;$BH$1,TOCA_current!$A$2:$AI$2,0),FALSE)*$BH$2, VLOOKUP($A74,TOCA_current!$A$2:$AI$137,MATCH("RHWM 2018",TOCA_current!$A$2:$AI$2,0),FALSE)*$BH$2)</f>
        <v>575532</v>
      </c>
      <c r="DA74" s="397">
        <f>SUM(BN74:CK74)+(BH74*RT1SC!$C$4*$BH$2)</f>
        <v>237961.00352191494</v>
      </c>
      <c r="DB74" s="432">
        <f>VLOOKUP($A74,TOCA_current!$A$2:$AI$137,MATCH("Above RHWM Not Served with LS "&amp;$BH$1,TOCA_current!$A$2:$AI$2,0),FALSE)*$BH$2</f>
        <v>0</v>
      </c>
      <c r="DC74" s="401">
        <f t="shared" si="27"/>
        <v>-337570.99647808506</v>
      </c>
      <c r="DD74" s="397">
        <f>(VLOOKUP($A74,TOCA_current!$A$2:$AI$137,MATCH("RHWM 2018",TOCA_current!$A$2:$AI$2,0),FALSE)*$BH$2) - $CZ74</f>
        <v>110192.03999999992</v>
      </c>
      <c r="DE74" s="397">
        <f t="shared" si="28"/>
        <v>0</v>
      </c>
      <c r="DF74" s="397">
        <f t="shared" si="29"/>
        <v>337570.99647808506</v>
      </c>
      <c r="DG74" s="397">
        <f t="shared" si="30"/>
        <v>0</v>
      </c>
      <c r="DH74" s="397">
        <f t="shared" si="31"/>
        <v>0</v>
      </c>
    </row>
    <row r="75" spans="1:112">
      <c r="A75" s="274">
        <v>10209</v>
      </c>
      <c r="B75" s="275" t="s">
        <v>76</v>
      </c>
      <c r="C75" s="397">
        <v>0</v>
      </c>
      <c r="D75" s="397">
        <v>0</v>
      </c>
      <c r="E75" s="205">
        <f>VLOOKUP($A75,TOCA_previous!$A$2:$AI$137,MATCH(E$4,TOCA_previous!$A$2:$AI$2,0),FALSE)</f>
        <v>1.52783E-2</v>
      </c>
      <c r="F75" s="206">
        <f>VLOOKUP($A75,TOCA_previous!$A$2:$AI$137,MATCH(F$4,TOCA_previous!$A$2:$AI$2,0),FALSE)</f>
        <v>1.52783E-2</v>
      </c>
      <c r="G75" s="206">
        <f t="shared" si="16"/>
        <v>0</v>
      </c>
      <c r="H75" s="206">
        <f>VLOOKUP($A75,TOCA_previous!$A$2:$AI$137,MATCH(H$4,TOCA_previous!$A$2:$AI$2,0),FALSE)</f>
        <v>7.1790000000000007E-2</v>
      </c>
      <c r="I75" s="206">
        <f t="shared" si="17"/>
        <v>0</v>
      </c>
      <c r="J75" s="206">
        <f t="shared" si="18"/>
        <v>0</v>
      </c>
      <c r="K75" s="381">
        <f>VLOOKUP(A75, IRD!$A$5:$C$139, 3, FALSE)</f>
        <v>60112.701000000001</v>
      </c>
      <c r="L75" s="382">
        <f t="array" ref="L75">IF($G75=0, INDEX(LS_previous!$D$4:$AY$138, MATCH('Staging Table'!$A75, LS_previous!$B$4:$B$138, 0), MATCH(L$4&amp;L$5, LS_previous!$D$2:$AY$2&amp;LS_previous!$D$3:$AY$3, 0)),SUM(VLOOKUP($A75, LS_previous!$B$4:$AY$138, LS_previous!D$149, FALSE), VLOOKUP('Staging Table'!$A75, LS_previous!$B$4:$AY$138,LS_previous!AB$149, FALSE))/2)</f>
        <v>-5902.5550878445501</v>
      </c>
      <c r="M75" s="382">
        <f t="array" ref="M75">IF($G75=0, INDEX(LS_previous!$D$4:$AY$138, MATCH('Staging Table'!$A75, LS_previous!$B$4:$B$138, 0), MATCH(M$4&amp;M$5, LS_previous!$D$2:$AY$2&amp;LS_previous!$D$3:$AY$3, 0)),SUM(VLOOKUP($A75, LS_previous!$B$4:$AY$138, LS_previous!E$149, FALSE), VLOOKUP('Staging Table'!$A75, LS_previous!$B$4:$AY$138,LS_previous!AC$149, FALSE))/2)</f>
        <v>-1420.5638931519788</v>
      </c>
      <c r="N75" s="382">
        <f t="array" ref="N75">IF($G75=0, INDEX(LS_previous!$D$4:$AY$138, MATCH('Staging Table'!$A75, LS_previous!$B$4:$B$138, 0), MATCH(N$4&amp;N$5, LS_previous!$D$2:$AY$2&amp;LS_previous!$D$3:$AY$3, 0)),SUM(VLOOKUP($A75, LS_previous!$B$4:$AY$138, LS_previous!F$149, FALSE), VLOOKUP('Staging Table'!$A75, LS_previous!$B$4:$AY$138,LS_previous!AD$149, FALSE))/2)</f>
        <v>-9067.3276737937704</v>
      </c>
      <c r="O75" s="382">
        <f t="array" ref="O75">IF($G75=0, INDEX(LS_previous!$D$4:$AY$138, MATCH('Staging Table'!$A75, LS_previous!$B$4:$B$138, 0), MATCH(O$4&amp;O$5, LS_previous!$D$2:$AY$2&amp;LS_previous!$D$3:$AY$3, 0)),SUM(VLOOKUP($A75, LS_previous!$B$4:$AY$138, LS_previous!G$149, FALSE), VLOOKUP('Staging Table'!$A75, LS_previous!$B$4:$AY$138,LS_previous!AE$149, FALSE))/2)</f>
        <v>1113.785595746609</v>
      </c>
      <c r="P75" s="382">
        <f t="array" ref="P75">IF($G75=0, INDEX(LS_previous!$D$4:$AY$138, MATCH('Staging Table'!$A75, LS_previous!$B$4:$B$138, 0), MATCH(P$4&amp;P$5, LS_previous!$D$2:$AY$2&amp;LS_previous!$D$3:$AY$3, 0)),SUM(VLOOKUP($A75, LS_previous!$B$4:$AY$138, LS_previous!H$149, FALSE), VLOOKUP('Staging Table'!$A75, LS_previous!$B$4:$AY$138,LS_previous!AF$149, FALSE))/2)</f>
        <v>4222.6956228975469</v>
      </c>
      <c r="Q75" s="382">
        <f t="array" ref="Q75">IF($G75=0, INDEX(LS_previous!$D$4:$AY$138, MATCH('Staging Table'!$A75, LS_previous!$B$4:$B$138, 0), MATCH(Q$4&amp;Q$5, LS_previous!$D$2:$AY$2&amp;LS_previous!$D$3:$AY$3, 0)),SUM(VLOOKUP($A75, LS_previous!$B$4:$AY$138, LS_previous!I$149, FALSE), VLOOKUP('Staging Table'!$A75, LS_previous!$B$4:$AY$138,LS_previous!AG$149, FALSE))/2)</f>
        <v>8001.0693151453779</v>
      </c>
      <c r="R75" s="382">
        <f t="array" ref="R75">IF($G75=0, INDEX(LS_previous!$D$4:$AY$138, MATCH('Staging Table'!$A75, LS_previous!$B$4:$B$138, 0), MATCH(R$4&amp;R$5, LS_previous!$D$2:$AY$2&amp;LS_previous!$D$3:$AY$3, 0)),SUM(VLOOKUP($A75, LS_previous!$B$4:$AY$138, LS_previous!J$149, FALSE), VLOOKUP('Staging Table'!$A75, LS_previous!$B$4:$AY$138,LS_previous!AH$149, FALSE))/2)</f>
        <v>11755.45738404747</v>
      </c>
      <c r="S75" s="382">
        <f t="array" ref="S75">IF($G75=0, INDEX(LS_previous!$D$4:$AY$138, MATCH('Staging Table'!$A75, LS_previous!$B$4:$B$138, 0), MATCH(S$4&amp;S$5, LS_previous!$D$2:$AY$2&amp;LS_previous!$D$3:$AY$3, 0)),SUM(VLOOKUP($A75, LS_previous!$B$4:$AY$138, LS_previous!K$149, FALSE), VLOOKUP('Staging Table'!$A75, LS_previous!$B$4:$AY$138,LS_previous!AI$149, FALSE))/2)</f>
        <v>12508.701467619354</v>
      </c>
      <c r="T75" s="382">
        <f t="array" ref="T75">IF($G75=0, INDEX(LS_previous!$D$4:$AY$138, MATCH('Staging Table'!$A75, LS_previous!$B$4:$B$138, 0), MATCH(T$4&amp;T$5, LS_previous!$D$2:$AY$2&amp;LS_previous!$D$3:$AY$3, 0)),SUM(VLOOKUP($A75, LS_previous!$B$4:$AY$138, LS_previous!L$149, FALSE), VLOOKUP('Staging Table'!$A75, LS_previous!$B$4:$AY$138,LS_previous!AJ$149, FALSE))/2)</f>
        <v>6270.3859672868566</v>
      </c>
      <c r="U75" s="382">
        <f t="array" ref="U75">IF($G75=0, INDEX(LS_previous!$D$4:$AY$138, MATCH('Staging Table'!$A75, LS_previous!$B$4:$B$138, 0), MATCH(U$4&amp;U$5, LS_previous!$D$2:$AY$2&amp;LS_previous!$D$3:$AY$3, 0)),SUM(VLOOKUP($A75, LS_previous!$B$4:$AY$138, LS_previous!M$149, FALSE), VLOOKUP('Staging Table'!$A75, LS_previous!$B$4:$AY$138,LS_previous!AK$149, FALSE))/2)</f>
        <v>8262.3496234589547</v>
      </c>
      <c r="V75" s="382">
        <f t="array" ref="V75">IF($G75=0, INDEX(LS_previous!$D$4:$AY$138, MATCH('Staging Table'!$A75, LS_previous!$B$4:$B$138, 0), MATCH(V$4&amp;V$5, LS_previous!$D$2:$AY$2&amp;LS_previous!$D$3:$AY$3, 0)),SUM(VLOOKUP($A75, LS_previous!$B$4:$AY$138, LS_previous!N$149, FALSE), VLOOKUP('Staging Table'!$A75, LS_previous!$B$4:$AY$138,LS_previous!AL$149, FALSE))/2)</f>
        <v>-4488.2117288206646</v>
      </c>
      <c r="W75" s="382">
        <f t="array" ref="W75">IF($G75=0, INDEX(LS_previous!$D$4:$AY$138, MATCH('Staging Table'!$A75, LS_previous!$B$4:$B$138, 0), MATCH(W$4&amp;W$5, LS_previous!$D$2:$AY$2&amp;LS_previous!$D$3:$AY$3, 0)),SUM(VLOOKUP($A75, LS_previous!$B$4:$AY$138, LS_previous!O$149, FALSE), VLOOKUP('Staging Table'!$A75, LS_previous!$B$4:$AY$138,LS_previous!AM$149, FALSE))/2)</f>
        <v>1198.2366483862279</v>
      </c>
      <c r="X75" s="382">
        <f t="array" ref="X75">IF($G75=0, INDEX(LS_previous!$D$4:$AY$138, MATCH('Staging Table'!$A75, LS_previous!$B$4:$B$138, 0), MATCH(X$4&amp;X$5, LS_previous!$D$2:$AY$2&amp;LS_previous!$D$3:$AY$3, 0)),SUM(VLOOKUP($A75, LS_previous!$B$4:$AY$138, LS_previous!P$149, FALSE), VLOOKUP('Staging Table'!$A75, LS_previous!$B$4:$AY$138,LS_previous!AN$149, FALSE))/2)</f>
        <v>-969.95263956348208</v>
      </c>
      <c r="Y75" s="382">
        <f t="array" ref="Y75">IF($G75=0, INDEX(LS_previous!$D$4:$AY$138, MATCH('Staging Table'!$A75, LS_previous!$B$4:$B$138, 0), MATCH(Y$4&amp;Y$5, LS_previous!$D$2:$AY$2&amp;LS_previous!$D$3:$AY$3, 0)),SUM(VLOOKUP($A75, LS_previous!$B$4:$AY$138, LS_previous!Q$149, FALSE), VLOOKUP('Staging Table'!$A75, LS_previous!$B$4:$AY$138,LS_previous!AO$149, FALSE))/2)</f>
        <v>2137.5455097132326</v>
      </c>
      <c r="Z75" s="382">
        <f t="array" ref="Z75">IF($G75=0, INDEX(LS_previous!$D$4:$AY$138, MATCH('Staging Table'!$A75, LS_previous!$B$4:$B$138, 0), MATCH(Z$4&amp;Z$5, LS_previous!$D$2:$AY$2&amp;LS_previous!$D$3:$AY$3, 0)),SUM(VLOOKUP($A75, LS_previous!$B$4:$AY$138, LS_previous!R$149, FALSE), VLOOKUP('Staging Table'!$A75, LS_previous!$B$4:$AY$138,LS_previous!AP$149, FALSE))/2)</f>
        <v>-26682.411792782892</v>
      </c>
      <c r="AA75" s="382">
        <f t="array" ref="AA75">IF($G75=0, INDEX(LS_previous!$D$4:$AY$138, MATCH('Staging Table'!$A75, LS_previous!$B$4:$B$138, 0), MATCH(AA$4&amp;AA$5, LS_previous!$D$2:$AY$2&amp;LS_previous!$D$3:$AY$3, 0)),SUM(VLOOKUP($A75, LS_previous!$B$4:$AY$138, LS_previous!S$149, FALSE), VLOOKUP('Staging Table'!$A75, LS_previous!$B$4:$AY$138,LS_previous!AQ$149, FALSE))/2)</f>
        <v>-9142.4740188503674</v>
      </c>
      <c r="AB75" s="382">
        <f t="array" ref="AB75">IF($G75=0, INDEX(LS_previous!$D$4:$AY$138, MATCH('Staging Table'!$A75, LS_previous!$B$4:$B$138, 0), MATCH(AB$4&amp;AB$5, LS_previous!$D$2:$AY$2&amp;LS_previous!$D$3:$AY$3, 0)),SUM(VLOOKUP($A75, LS_previous!$B$4:$AY$138, LS_previous!T$149, FALSE), VLOOKUP('Staging Table'!$A75, LS_previous!$B$4:$AY$138,LS_previous!AR$149, FALSE))/2)</f>
        <v>-12473.436805483405</v>
      </c>
      <c r="AC75" s="382">
        <f t="array" ref="AC75">IF($G75=0, INDEX(LS_previous!$D$4:$AY$138, MATCH('Staging Table'!$A75, LS_previous!$B$4:$B$138, 0), MATCH(AC$4&amp;AC$5, LS_previous!$D$2:$AY$2&amp;LS_previous!$D$3:$AY$3, 0)),SUM(VLOOKUP($A75, LS_previous!$B$4:$AY$138, LS_previous!U$149, FALSE), VLOOKUP('Staging Table'!$A75, LS_previous!$B$4:$AY$138,LS_previous!AS$149, FALSE))/2)</f>
        <v>-3553.9362438220778</v>
      </c>
      <c r="AD75" s="382">
        <f t="array" ref="AD75">IF($G75=0, INDEX(LS_previous!$D$4:$AY$138, MATCH('Staging Table'!$A75, LS_previous!$B$4:$B$138, 0), MATCH(AD$4&amp;AD$5, LS_previous!$D$2:$AY$2&amp;LS_previous!$D$3:$AY$3, 0)),SUM(VLOOKUP($A75, LS_previous!$B$4:$AY$138, LS_previous!V$149, FALSE), VLOOKUP('Staging Table'!$A75, LS_previous!$B$4:$AY$138,LS_previous!AT$149, FALSE))/2)</f>
        <v>-3640.0404302183961</v>
      </c>
      <c r="AE75" s="382">
        <f t="array" ref="AE75">IF($G75=0, INDEX(LS_previous!$D$4:$AY$138, MATCH('Staging Table'!$A75, LS_previous!$B$4:$B$138, 0), MATCH(AE$4&amp;AE$5, LS_previous!$D$2:$AY$2&amp;LS_previous!$D$3:$AY$3, 0)),SUM(VLOOKUP($A75, LS_previous!$B$4:$AY$138, LS_previous!W$149, FALSE), VLOOKUP('Staging Table'!$A75, LS_previous!$B$4:$AY$138,LS_previous!AU$149, FALSE))/2)</f>
        <v>3049.8881095417673</v>
      </c>
      <c r="AF75" s="382">
        <f t="array" ref="AF75">IF($G75=0, INDEX(LS_previous!$D$4:$AY$138, MATCH('Staging Table'!$A75, LS_previous!$B$4:$B$138, 0), MATCH(AF$4&amp;AF$5, LS_previous!$D$2:$AY$2&amp;LS_previous!$D$3:$AY$3, 0)),SUM(VLOOKUP($A75, LS_previous!$B$4:$AY$138, LS_previous!X$149, FALSE), VLOOKUP('Staging Table'!$A75, LS_previous!$B$4:$AY$138,LS_previous!AV$149, FALSE))/2)</f>
        <v>-7354.6059604103648</v>
      </c>
      <c r="AG75" s="382">
        <f t="array" ref="AG75">IF($G75=0, INDEX(LS_previous!$D$4:$AY$138, MATCH('Staging Table'!$A75, LS_previous!$B$4:$B$138, 0), MATCH(AG$4&amp;AG$5, LS_previous!$D$2:$AY$2&amp;LS_previous!$D$3:$AY$3, 0)),SUM(VLOOKUP($A75, LS_previous!$B$4:$AY$138, LS_previous!Y$149, FALSE), VLOOKUP('Staging Table'!$A75, LS_previous!$B$4:$AY$138,LS_previous!AW$149, FALSE))/2)</f>
        <v>797.81561435866024</v>
      </c>
      <c r="AH75" s="382">
        <f t="array" ref="AH75">IF($G75=0, INDEX(LS_previous!$D$4:$AY$138, MATCH('Staging Table'!$A75, LS_previous!$B$4:$B$138, 0), MATCH(AH$4&amp;AH$5, LS_previous!$D$2:$AY$2&amp;LS_previous!$D$3:$AY$3, 0)),SUM(VLOOKUP($A75, LS_previous!$B$4:$AY$138, LS_previous!Z$149, FALSE), VLOOKUP('Staging Table'!$A75, LS_previous!$B$4:$AY$138,LS_previous!AX$149, FALSE))/2)</f>
        <v>-4424.104813573882</v>
      </c>
      <c r="AI75" s="382">
        <f t="array" ref="AI75">IF($G75=0, INDEX(LS_previous!$D$4:$AY$138, MATCH('Staging Table'!$A75, LS_previous!$B$4:$B$138, 0), MATCH(AI$4&amp;AI$5, LS_previous!$D$2:$AY$2&amp;LS_previous!$D$3:$AY$3, 0)),SUM(VLOOKUP($A75, LS_previous!$B$4:$AY$138, LS_previous!AA$149, FALSE), VLOOKUP('Staging Table'!$A75, LS_previous!$B$4:$AY$138,LS_previous!AY$149, FALSE))/2)</f>
        <v>443.46662850744542</v>
      </c>
      <c r="AJ75" s="384">
        <f t="array" ref="AJ75">INDEX(Demand_previous!$D$4:$AY$138, MATCH('Staging Table'!$A75, Demand_previous!$B$4:$B$138, 0), MATCH(AJ$4&amp;AJ$5,Demand_previous!$D$2:$AY$2&amp;Demand_previous!$D$3:$AY$3, 0))/1000</f>
        <v>19.097284722222206</v>
      </c>
      <c r="AK75" s="384">
        <f t="array" ref="AK75">INDEX(Demand_previous!$D$4:$AY$138, MATCH('Staging Table'!$A75, Demand_previous!$B$4:$B$138, 0), MATCH(AK$4&amp;AK$5,Demand_previous!$D$2:$AY$2&amp;Demand_previous!$D$3:$AY$3, 0))/1000</f>
        <v>16.193270833333337</v>
      </c>
      <c r="AL75" s="384">
        <f t="array" ref="AL75">INDEX(Demand_previous!$D$4:$AY$138, MATCH('Staging Table'!$A75, Demand_previous!$B$4:$B$138, 0), MATCH(AL$4&amp;AL$5,Demand_previous!$D$2:$AY$2&amp;Demand_previous!$D$3:$AY$3, 0))/1000</f>
        <v>26.57549278846156</v>
      </c>
      <c r="AM75" s="384">
        <f t="array" ref="AM75">INDEX(Demand_previous!$D$4:$AY$138, MATCH('Staging Table'!$A75, Demand_previous!$B$4:$B$138, 0), MATCH(AM$4&amp;AM$5,Demand_previous!$D$2:$AY$2&amp;Demand_previous!$D$3:$AY$3, 0))/1000</f>
        <v>17.449477500000029</v>
      </c>
      <c r="AN75" s="384">
        <f t="array" ref="AN75">INDEX(Demand_previous!$D$4:$AY$138, MATCH('Staging Table'!$A75, Demand_previous!$B$4:$B$138, 0), MATCH(AN$4&amp;AN$5,Demand_previous!$D$2:$AY$2&amp;Demand_previous!$D$3:$AY$3, 0))/1000</f>
        <v>14.229112500000014</v>
      </c>
      <c r="AO75" s="384">
        <f t="array" ref="AO75">INDEX(Demand_previous!$D$4:$AY$138, MATCH('Staging Table'!$A75, Demand_previous!$B$4:$B$138, 0), MATCH(AO$4&amp;AO$5,Demand_previous!$D$2:$AY$2&amp;Demand_previous!$D$3:$AY$3, 0))/1000</f>
        <v>23.370113425925915</v>
      </c>
      <c r="AP75" s="384">
        <f t="array" ref="AP75">INDEX(Demand_previous!$D$4:$AY$138, MATCH('Staging Table'!$A75, Demand_previous!$B$4:$B$138, 0), MATCH(AP$4&amp;AP$5,Demand_previous!$D$2:$AY$2&amp;Demand_previous!$D$3:$AY$3, 0))/1000</f>
        <v>28.326064903846131</v>
      </c>
      <c r="AQ75" s="384">
        <f t="array" ref="AQ75">INDEX(Demand_previous!$D$4:$AY$138, MATCH('Staging Table'!$A75, Demand_previous!$B$4:$B$138, 0), MATCH(AQ$4&amp;AQ$5,Demand_previous!$D$2:$AY$2&amp;Demand_previous!$D$3:$AY$3, 0))/1000</f>
        <v>25.665430000000011</v>
      </c>
      <c r="AR75" s="384">
        <f t="array" ref="AR75">INDEX(Demand_previous!$D$4:$AY$138, MATCH('Staging Table'!$A75, Demand_previous!$B$4:$B$138, 0), MATCH(AR$4&amp;AR$5,Demand_previous!$D$2:$AY$2&amp;Demand_previous!$D$3:$AY$3, 0))/1000</f>
        <v>19.417286057692312</v>
      </c>
      <c r="AS75" s="384">
        <f t="array" ref="AS75">INDEX(Demand_previous!$D$4:$AY$138, MATCH('Staging Table'!$A75, Demand_previous!$B$4:$B$138, 0), MATCH(AS$4&amp;AS$5,Demand_previous!$D$2:$AY$2&amp;Demand_previous!$D$3:$AY$3, 0))/1000</f>
        <v>20.681442500000006</v>
      </c>
      <c r="AT75" s="384">
        <f t="array" ref="AT75">INDEX(Demand_previous!$D$4:$AY$138, MATCH('Staging Table'!$A75, Demand_previous!$B$4:$B$138, 0), MATCH(AT$4&amp;AT$5,Demand_previous!$D$2:$AY$2&amp;Demand_previous!$D$3:$AY$3, 0))/1000</f>
        <v>20.688287037037025</v>
      </c>
      <c r="AU75" s="384">
        <f t="array" ref="AU75">INDEX(Demand_previous!$D$4:$AY$138, MATCH('Staging Table'!$A75, Demand_previous!$B$4:$B$138, 0), MATCH(AU$4&amp;AU$5,Demand_previous!$D$2:$AY$2&amp;Demand_previous!$D$3:$AY$3, 0))/1000</f>
        <v>29.2729</v>
      </c>
      <c r="AV75" s="384">
        <f>IF($D75=0,IF(C75=0, MAX(AY75 - (VLOOKUP($A75,TOCA_previous!$A$2:$AI$137,MATCH("RHWM 2016",TOCA_previous!$A$2:$AI$2,0),FALSE)*$F$2*TOCA_previous!C72),0),0), 0)</f>
        <v>0</v>
      </c>
      <c r="AW75" s="427">
        <f>VLOOKUP($A75,REP_previous!$A$1:$D$135,MATCH("FY "&amp;$F$1&amp; " Total Refund",REP_previous!$A$1:$D$1,0),0)</f>
        <v>596769.17887517856</v>
      </c>
      <c r="AX75" s="398">
        <f>MIN(VLOOKUP($A75,TOCA_previous!$A$2:$AI$137,MATCH("TRL - NLSL - Exisiting Resource "&amp;$F$1,TOCA_previous!$A$2:$AI$2,0),FALSE)*$F$2,(VLOOKUP($A75,TOCA_previous!$A$2:$AI$137,MATCH("RHWM 2016",TOCA_previous!$A$2:$AI$2,0),FALSE)*$F$2))</f>
        <v>937164.96</v>
      </c>
      <c r="AY75" s="384">
        <f>SUM(L75:AI75)+(F75*RT1SC!$C$3*$F$2)</f>
        <v>907803.81620590563</v>
      </c>
      <c r="AZ75" s="398">
        <f>VLOOKUP($A75,TOCA_previous!$A$2:$AI$137,MATCH("Above RHWM Not Served with LS "&amp;$F$1,TOCA_previous!$A$2:$AI$2,0),FALSE)*$F$2</f>
        <v>23945.184000000001</v>
      </c>
      <c r="BA75" s="206">
        <f t="shared" si="19"/>
        <v>-29361.143794094329</v>
      </c>
      <c r="BB75" s="399">
        <f>(VLOOKUP($A75,TOCA_previous!$A$2:$AI$137,MATCH("RHWM 2016",TOCA_previous!$A$2:$AI$2,0),FALSE)*$F$2) - $AX75</f>
        <v>0</v>
      </c>
      <c r="BC75" s="206">
        <f t="shared" si="20"/>
        <v>0</v>
      </c>
      <c r="BD75" s="400">
        <f t="shared" si="21"/>
        <v>5415.9597940943277</v>
      </c>
      <c r="BE75" s="392">
        <f t="shared" si="22"/>
        <v>0</v>
      </c>
      <c r="BF75" s="399">
        <f t="shared" si="23"/>
        <v>5415.9597940943277</v>
      </c>
      <c r="BG75" s="206">
        <f>VLOOKUP($A75,TOCA_current!$A$2:$AI$137,MATCH(BG$4,TOCA_current!$A$2:$AI$2,0),FALSE)</f>
        <v>1.4860999999999999E-2</v>
      </c>
      <c r="BH75" s="206">
        <f>VLOOKUP($A75,TOCA_current!$A$2:$AI$137,MATCH(BH$4,TOCA_current!$A$2:$AI$2,0),FALSE)</f>
        <v>1.4860999999999999E-2</v>
      </c>
      <c r="BI75" s="391">
        <f t="shared" si="24"/>
        <v>0</v>
      </c>
      <c r="BJ75" s="206">
        <f>VLOOKUP($A75,TOCA_current!A71:BG206,MATCH(BJ$4,TOCA_current!$A$2:$BG$2,0),FALSE)</f>
        <v>7.3679498483630007E-2</v>
      </c>
      <c r="BK75" s="206">
        <f t="shared" si="25"/>
        <v>0</v>
      </c>
      <c r="BL75" s="206">
        <f t="shared" si="26"/>
        <v>0</v>
      </c>
      <c r="BM75" s="381">
        <f>VLOOKUP($A75,IRD!$A$4:$G$139, 7, FALSE)</f>
        <v>60112.701000000001</v>
      </c>
      <c r="BN75" s="382">
        <f t="array" ref="BN75">IF($BI75=0, INDEX(LS_current!$D$4:$AY$139, MATCH('Staging Table'!$A75, LS_current!$B$4:$B$139, 0), MATCH(BN$4&amp;BN$5, LS_current!$D$2:$AY$2&amp;LS_current!$D$3:$AY$3, 0)),SUM(VLOOKUP($A75, LS_current!$B$4:$AY$139, LS_current!D$149, FALSE), VLOOKUP($A75, LS_current!$B$4:$AY$139,LS_current!D$149, FALSE))/2)</f>
        <v>-5958.5272938581402</v>
      </c>
      <c r="BO75" s="382">
        <f t="array" ref="BO75">IF($BI75=0, INDEX(LS_current!$D$4:$AY$139, MATCH('Staging Table'!$A75, LS_current!$B$4:$B$139, 0), MATCH(BO$4&amp;BO$5, LS_current!$D$2:$AY$2&amp;LS_current!$D$3:$AY$3, 0)),SUM(VLOOKUP($A75, LS_current!$B$4:$AY$139, LS_current!E$149, FALSE), VLOOKUP($A75, LS_current!$B$4:$AY$139,LS_current!E$149, FALSE))/2)</f>
        <v>-305.99669301222457</v>
      </c>
      <c r="BP75" s="382">
        <f t="array" ref="BP75">IF($BI75=0, INDEX(LS_current!$D$4:$AY$139, MATCH('Staging Table'!$A75, LS_current!$B$4:$B$139, 0), MATCH(BP$4&amp;BP$5, LS_current!$D$2:$AY$2&amp;LS_current!$D$3:$AY$3, 0)),SUM(VLOOKUP($A75, LS_current!$B$4:$AY$139, LS_current!F$149, FALSE), VLOOKUP($A75, LS_current!$B$4:$AY$139,LS_current!F$149, FALSE))/2)</f>
        <v>-9807.854192696308</v>
      </c>
      <c r="BQ75" s="382">
        <f t="array" ref="BQ75">IF($BI75=0, INDEX(LS_current!$D$4:$AY$139, MATCH('Staging Table'!$A75, LS_current!$B$4:$B$139, 0), MATCH(BQ$4&amp;BQ$5, LS_current!$D$2:$AY$2&amp;LS_current!$D$3:$AY$3, 0)),SUM(VLOOKUP($A75, LS_current!$B$4:$AY$139, LS_current!G$149, FALSE), VLOOKUP($A75, LS_current!$B$4:$AY$139,LS_current!G$149, FALSE))/2)</f>
        <v>1483.1871837561121</v>
      </c>
      <c r="BR75" s="382">
        <f t="array" ref="BR75">IF($BI75=0, INDEX(LS_current!$D$4:$AY$139, MATCH('Staging Table'!$A75, LS_current!$B$4:$B$139, 0), MATCH(BR$4&amp;BR$5, LS_current!$D$2:$AY$2&amp;LS_current!$D$3:$AY$3, 0)),SUM(VLOOKUP($A75, LS_current!$B$4:$AY$139, LS_current!H$149, FALSE), VLOOKUP($A75, LS_current!$B$4:$AY$139,LS_current!H$149, FALSE))/2)</f>
        <v>2919.0071577790659</v>
      </c>
      <c r="BS75" s="382">
        <f t="array" ref="BS75">IF($BI75=0, INDEX(LS_current!$D$4:$AY$139, MATCH('Staging Table'!$A75, LS_current!$B$4:$B$139, 0), MATCH(BS$4&amp;BS$5, LS_current!$D$2:$AY$2&amp;LS_current!$D$3:$AY$3, 0)),SUM(VLOOKUP($A75, LS_current!$B$4:$AY$139, LS_current!I$149, FALSE), VLOOKUP($A75, LS_current!$B$4:$AY$139,LS_current!I$149, FALSE))/2)</f>
        <v>7618.9383706095468</v>
      </c>
      <c r="BT75" s="382">
        <f t="array" ref="BT75">IF($BI75=0, INDEX(LS_current!$D$4:$AY$139, MATCH('Staging Table'!$A75, LS_current!$B$4:$B$139, 0), MATCH(BT$4&amp;BT$5, LS_current!$D$2:$AY$2&amp;LS_current!$D$3:$AY$3, 0)),SUM(VLOOKUP($A75, LS_current!$B$4:$AY$139, LS_current!J$149, FALSE), VLOOKUP($A75, LS_current!$B$4:$AY$139,LS_current!J$149, FALSE))/2)</f>
        <v>11333.853165046872</v>
      </c>
      <c r="BU75" s="382">
        <f t="array" ref="BU75">IF($BI75=0, INDEX(LS_current!$D$4:$AY$139, MATCH('Staging Table'!$A75, LS_current!$B$4:$B$139, 0), MATCH(BU$4&amp;BU$5, LS_current!$D$2:$AY$2&amp;LS_current!$D$3:$AY$3, 0)),SUM(VLOOKUP($A75, LS_current!$B$4:$AY$139, LS_current!K$149, FALSE), VLOOKUP($A75, LS_current!$B$4:$AY$139,LS_current!K$149, FALSE))/2)</f>
        <v>12336.76559366037</v>
      </c>
      <c r="BV75" s="382">
        <f t="array" ref="BV75">IF($BI75=0, INDEX(LS_current!$D$4:$AY$139, MATCH('Staging Table'!$A75, LS_current!$B$4:$B$139, 0), MATCH(BV$4&amp;BV$5, LS_current!$D$2:$AY$2&amp;LS_current!$D$3:$AY$3, 0)),SUM(VLOOKUP($A75, LS_current!$B$4:$AY$139, LS_current!L$149, FALSE), VLOOKUP($A75, LS_current!$B$4:$AY$139,LS_current!L$149, FALSE))/2)</f>
        <v>9507.4259844700573</v>
      </c>
      <c r="BW75" s="382">
        <f t="array" ref="BW75">IF($BI75=0, INDEX(LS_current!$D$4:$AY$139, MATCH('Staging Table'!$A75, LS_current!$B$4:$B$139, 0), MATCH(BW$4&amp;BW$5, LS_current!$D$2:$AY$2&amp;LS_current!$D$3:$AY$3, 0)),SUM(VLOOKUP($A75, LS_current!$B$4:$AY$139, LS_current!M$149, FALSE), VLOOKUP($A75, LS_current!$B$4:$AY$139,LS_current!M$149, FALSE))/2)</f>
        <v>10619.523067399576</v>
      </c>
      <c r="BX75" s="382">
        <f t="array" ref="BX75">IF($BI75=0, INDEX(LS_current!$D$4:$AY$139, MATCH('Staging Table'!$A75, LS_current!$B$4:$B$139, 0), MATCH(BX$4&amp;BX$5, LS_current!$D$2:$AY$2&amp;LS_current!$D$3:$AY$3, 0)),SUM(VLOOKUP($A75, LS_current!$B$4:$AY$139, LS_current!N$149, FALSE), VLOOKUP($A75, LS_current!$B$4:$AY$139,LS_current!N$149, FALSE))/2)</f>
        <v>-1932.8774331833993</v>
      </c>
      <c r="BY75" s="382">
        <f t="array" ref="BY75">IF($BI75=0, INDEX(LS_current!$D$4:$AY$139, MATCH('Staging Table'!$A75, LS_current!$B$4:$B$139, 0), MATCH(BY$4&amp;BY$5, LS_current!$D$2:$AY$2&amp;LS_current!$D$3:$AY$3, 0)),SUM(VLOOKUP($A75, LS_current!$B$4:$AY$139, LS_current!O$149, FALSE), VLOOKUP($A75, LS_current!$B$4:$AY$139,LS_current!O$149, FALSE))/2)</f>
        <v>3846.8659644546569</v>
      </c>
      <c r="BZ75" s="382">
        <f t="array" ref="BZ75">IF($BI75=0, INDEX(LS_current!$D$4:$AY$139, MATCH('Staging Table'!$A75, LS_current!$B$4:$B$139, 0), MATCH(BZ$4&amp;BZ$5, LS_current!$D$2:$AY$2&amp;LS_current!$D$3:$AY$3, 0)),SUM(VLOOKUP($A75, LS_current!$B$4:$AY$139, LS_current!P$149, FALSE), VLOOKUP($A75, LS_current!$B$4:$AY$139,LS_current!P$149, FALSE))/2)</f>
        <v>-5427.022462701083</v>
      </c>
      <c r="CA75" s="382">
        <f t="array" ref="CA75">IF($BI75=0, INDEX(LS_current!$D$4:$AY$139, MATCH('Staging Table'!$A75, LS_current!$B$4:$B$139, 0), MATCH(CA$4&amp;CA$5, LS_current!$D$2:$AY$2&amp;LS_current!$D$3:$AY$3, 0)),SUM(VLOOKUP($A75, LS_current!$B$4:$AY$139, LS_current!Q$149, FALSE), VLOOKUP($A75, LS_current!$B$4:$AY$139,LS_current!Q$149, FALSE))/2)</f>
        <v>1574.3580469698245</v>
      </c>
      <c r="CB75" s="382">
        <f t="array" ref="CB75">IF($BI75=0, INDEX(LS_current!$D$4:$AY$139, MATCH('Staging Table'!$A75, LS_current!$B$4:$B$139, 0), MATCH(CB$4&amp;CB$5, LS_current!$D$2:$AY$2&amp;LS_current!$D$3:$AY$3, 0)),SUM(VLOOKUP($A75, LS_current!$B$4:$AY$139, LS_current!R$149, FALSE), VLOOKUP($A75, LS_current!$B$4:$AY$139,LS_current!R$149, FALSE))/2)</f>
        <v>-25491.499506125554</v>
      </c>
      <c r="CC75" s="382">
        <f t="array" ref="CC75">IF($BI75=0, INDEX(LS_current!$D$4:$AY$139, MATCH('Staging Table'!$A75, LS_current!$B$4:$B$139, 0), MATCH(CC$4&amp;CC$5, LS_current!$D$2:$AY$2&amp;LS_current!$D$3:$AY$3, 0)),SUM(VLOOKUP($A75, LS_current!$B$4:$AY$139, LS_current!S$149, FALSE), VLOOKUP($A75, LS_current!$B$4:$AY$139,LS_current!S$149, FALSE))/2)</f>
        <v>-9539.5296740845261</v>
      </c>
      <c r="CD75" s="382">
        <f t="array" ref="CD75">IF($BI75=0, INDEX(LS_current!$D$4:$AY$139, MATCH('Staging Table'!$A75, LS_current!$B$4:$B$139, 0), MATCH(CD$4&amp;CD$5, LS_current!$D$2:$AY$2&amp;LS_current!$D$3:$AY$3, 0)),SUM(VLOOKUP($A75, LS_current!$B$4:$AY$139, LS_current!T$149, FALSE), VLOOKUP($A75, LS_current!$B$4:$AY$139,LS_current!T$149, FALSE))/2)</f>
        <v>-11905.612886488467</v>
      </c>
      <c r="CE75" s="382">
        <f t="array" ref="CE75">IF($BI75=0, INDEX(LS_current!$D$4:$AY$139, MATCH('Staging Table'!$A75, LS_current!$B$4:$B$139, 0), MATCH(CE$4&amp;CE$5, LS_current!$D$2:$AY$2&amp;LS_current!$D$3:$AY$3, 0)),SUM(VLOOKUP($A75, LS_current!$B$4:$AY$139, LS_current!U$149, FALSE), VLOOKUP($A75, LS_current!$B$4:$AY$139,LS_current!U$149, FALSE))/2)</f>
        <v>-1495.4113590013476</v>
      </c>
      <c r="CF75" s="382">
        <f t="array" ref="CF75">IF($BI75=0, INDEX(LS_current!$D$4:$AY$139, MATCH('Staging Table'!$A75, LS_current!$B$4:$B$139, 0), MATCH(CF$4&amp;CF$5, LS_current!$D$2:$AY$2&amp;LS_current!$D$3:$AY$3, 0)),SUM(VLOOKUP($A75, LS_current!$B$4:$AY$139, LS_current!V$149, FALSE), VLOOKUP($A75, LS_current!$B$4:$AY$139,LS_current!V$149, FALSE))/2)</f>
        <v>-445.18452214406716</v>
      </c>
      <c r="CG75" s="382">
        <f t="array" ref="CG75">IF($BI75=0, INDEX(LS_current!$D$4:$AY$139, MATCH('Staging Table'!$A75, LS_current!$B$4:$B$139, 0), MATCH(CG$4&amp;CG$5, LS_current!$D$2:$AY$2&amp;LS_current!$D$3:$AY$3, 0)),SUM(VLOOKUP($A75, LS_current!$B$4:$AY$139, LS_current!W$149, FALSE), VLOOKUP($A75, LS_current!$B$4:$AY$139,LS_current!W$149, FALSE))/2)</f>
        <v>4658.0866422872205</v>
      </c>
      <c r="CH75" s="382">
        <f t="array" ref="CH75">IF($BI75=0, INDEX(LS_current!$D$4:$AY$139, MATCH('Staging Table'!$A75, LS_current!$B$4:$B$139, 0), MATCH(CH$4&amp;CH$5, LS_current!$D$2:$AY$2&amp;LS_current!$D$3:$AY$3, 0)),SUM(VLOOKUP($A75, LS_current!$B$4:$AY$139, LS_current!X$149, FALSE), VLOOKUP($A75, LS_current!$B$4:$AY$139,LS_current!X$149, FALSE))/2)</f>
        <v>-6819.496202435068</v>
      </c>
      <c r="CI75" s="382">
        <f t="array" ref="CI75">IF($BI75=0, INDEX(LS_current!$D$4:$AY$139, MATCH('Staging Table'!$A75, LS_current!$B$4:$B$139, 0), MATCH(CI$4&amp;CI$5, LS_current!$D$2:$AY$2&amp;LS_current!$D$3:$AY$3, 0)),SUM(VLOOKUP($A75, LS_current!$B$4:$AY$139, LS_current!Y$149, FALSE), VLOOKUP($A75, LS_current!$B$4:$AY$139,LS_current!Y$149, FALSE))/2)</f>
        <v>1515.055043560671</v>
      </c>
      <c r="CJ75" s="382">
        <f t="array" ref="CJ75">IF($BI75=0, INDEX(LS_current!$D$4:$AY$139, MATCH('Staging Table'!$A75, LS_current!$B$4:$B$139, 0), MATCH(CJ$4&amp;CJ$5, LS_current!$D$2:$AY$2&amp;LS_current!$D$3:$AY$3, 0)),SUM(VLOOKUP($A75, LS_current!$B$4:$AY$139, LS_current!Z$149, FALSE), VLOOKUP($A75, LS_current!$B$4:$AY$139,LS_current!Z$149, FALSE))/2)</f>
        <v>-8423.2991911290374</v>
      </c>
      <c r="CK75" s="382">
        <f t="array" ref="CK75">IF($BI75=0, INDEX(LS_current!$D$4:$AY$139, MATCH('Staging Table'!$A75, LS_current!$B$4:$B$139, 0), MATCH(CK$4&amp;CK$5, LS_current!$D$2:$AY$2&amp;LS_current!$D$3:$AY$3, 0)),SUM(VLOOKUP($A75, LS_current!$B$4:$AY$139, LS_current!AA$149, FALSE), VLOOKUP($A75, LS_current!$B$4:$AY$139,LS_current!AA$149, FALSE))/2)</f>
        <v>268.81427028988037</v>
      </c>
      <c r="CL75" s="384">
        <f t="array" ref="CL75">INDEX(Demand_current!$D$4:$AY$138, MATCH($A75, Demand_current!$B$4:$B$138, 0), MATCH(CL$4&amp;CL$5,Demand_current!$D$2:$AY$2&amp;Demand_current!$D$3:$AY$3, 0))/1000</f>
        <v>15.476834134615373</v>
      </c>
      <c r="CM75" s="384">
        <f t="array" ref="CM75">INDEX(Demand_current!$D$4:$AY$138, MATCH($A75, Demand_current!$B$4:$B$138, 0), MATCH(CM$4&amp;CM$5,Demand_current!$D$2:$AY$2&amp;Demand_current!$D$3:$AY$3, 0))/1000</f>
        <v>21.179299999999998</v>
      </c>
      <c r="CN75" s="384">
        <f t="array" ref="CN75">INDEX(Demand_current!$D$4:$AY$138, MATCH($A75, Demand_current!$B$4:$B$138, 0), MATCH(CN$4&amp;CN$5,Demand_current!$D$2:$AY$2&amp;Demand_current!$D$3:$AY$3, 0))/1000</f>
        <v>21.064592500000014</v>
      </c>
      <c r="CO75" s="384">
        <f t="array" ref="CO75">INDEX(Demand_current!$D$4:$AY$138, MATCH($A75, Demand_current!$B$4:$B$138, 0), MATCH(CO$4&amp;CO$5,Demand_current!$D$2:$AY$2&amp;Demand_current!$D$3:$AY$3, 0))/1000</f>
        <v>23.096920673076944</v>
      </c>
      <c r="CP75" s="384">
        <f t="array" ref="CP75">INDEX(Demand_current!$D$4:$AY$138, MATCH($A75, Demand_current!$B$4:$B$138, 0), MATCH(CP$4&amp;CP$5,Demand_current!$D$2:$AY$2&amp;Demand_current!$D$3:$AY$3, 0))/1000</f>
        <v>9.1542005208333439</v>
      </c>
      <c r="CQ75" s="384">
        <f t="array" ref="CQ75">INDEX(Demand_current!$D$4:$AY$138, MATCH($A75, Demand_current!$B$4:$B$138, 0), MATCH(CQ$4&amp;CQ$5,Demand_current!$D$2:$AY$2&amp;Demand_current!$D$3:$AY$3, 0))/1000</f>
        <v>23.370113425925915</v>
      </c>
      <c r="CR75" s="384">
        <f t="array" ref="CR75">INDEX(Demand_current!$D$4:$AY$138, MATCH($A75, Demand_current!$B$4:$B$138, 0), MATCH(CR$4&amp;CR$5,Demand_current!$D$2:$AY$2&amp;Demand_current!$D$3:$AY$3, 0))/1000</f>
        <v>24.694427499999982</v>
      </c>
      <c r="CS75" s="384">
        <f t="array" ref="CS75">INDEX(Demand_current!$D$4:$AY$138, MATCH($A75, Demand_current!$B$4:$B$138, 0), MATCH(CS$4&amp;CS$5,Demand_current!$D$2:$AY$2&amp;Demand_current!$D$3:$AY$3, 0))/1000</f>
        <v>29.855413461538468</v>
      </c>
      <c r="CT75" s="384">
        <f t="array" ref="CT75">INDEX(Demand_current!$D$4:$AY$138, MATCH($A75, Demand_current!$B$4:$B$138, 0), MATCH(CT$4&amp;CT$5,Demand_current!$D$2:$AY$2&amp;Demand_current!$D$3:$AY$3, 0))/1000</f>
        <v>20.197286057692313</v>
      </c>
      <c r="CU75" s="384">
        <f t="array" ref="CU75">INDEX(Demand_current!$D$4:$AY$138, MATCH($A75, Demand_current!$B$4:$B$138, 0), MATCH(CU$4&amp;CU$5,Demand_current!$D$2:$AY$2&amp;Demand_current!$D$3:$AY$3, 0))/1000</f>
        <v>21.297442500000002</v>
      </c>
      <c r="CV75" s="384">
        <f t="array" ref="CV75">INDEX(Demand_current!$D$4:$AY$138, MATCH($A75, Demand_current!$B$4:$B$138, 0), MATCH(CV$4&amp;CV$5,Demand_current!$D$2:$AY$2&amp;Demand_current!$D$3:$AY$3, 0))/1000</f>
        <v>21.211287037037025</v>
      </c>
      <c r="CW75" s="384">
        <f t="array" ref="CW75">INDEX(Demand_current!$D$4:$AY$138, MATCH($A75, Demand_current!$B$4:$B$138, 0), MATCH(CW$4&amp;CW$5,Demand_current!$D$2:$AY$2&amp;Demand_current!$D$3:$AY$3, 0))/1000</f>
        <v>25.767770833333334</v>
      </c>
      <c r="CX75" s="384">
        <f>IF(D75=0,IF(C75=0,MAX(0,DA75 - (VLOOKUP($A75,TOCA_current!$A$2:$AI$137,MATCH("RHWM 2018",TOCA_current!$A$2:$AI$2,0),FALSE)*$BH$2)), 0),0)</f>
        <v>0</v>
      </c>
      <c r="CY75" s="427">
        <f>VLOOKUP($A75,REP_current!$A$1:$D$135,MATCH("FY "&amp;$BH$1&amp; " Total Refund",REP_current!$A$1:$D$1,0),0)</f>
        <v>589496.26286099397</v>
      </c>
      <c r="CZ75" s="432">
        <f>MIN(VLOOKUP($A75,TOCA_current!$A$2:$AI$137,MATCH("TRL - NLSL - Existing Resource "&amp;$BH$1,TOCA_current!$A$2:$AI$2,0),FALSE)*$BH$2, VLOOKUP($A75,TOCA_current!$A$2:$AI$137,MATCH("RHWM 2018",TOCA_current!$A$2:$AI$2,0),FALSE)*$BH$2)</f>
        <v>904093.32</v>
      </c>
      <c r="DA75" s="397">
        <f>SUM(BN75:CK75)+(BH75*RT1SC!$C$4*$BH$2)</f>
        <v>884226.01118998462</v>
      </c>
      <c r="DB75" s="432">
        <f>VLOOKUP($A75,TOCA_current!$A$2:$AI$137,MATCH("Above RHWM Not Served with LS "&amp;$BH$1,TOCA_current!$A$2:$AI$2,0),FALSE)*$BH$2</f>
        <v>47523</v>
      </c>
      <c r="DC75" s="401">
        <f t="shared" si="27"/>
        <v>-19867.308810015325</v>
      </c>
      <c r="DD75" s="397">
        <f>(VLOOKUP($A75,TOCA_current!$A$2:$AI$137,MATCH("RHWM 2018",TOCA_current!$A$2:$AI$2,0),FALSE)*$BH$2) - $CZ75</f>
        <v>0</v>
      </c>
      <c r="DE75" s="397">
        <f t="shared" si="28"/>
        <v>0</v>
      </c>
      <c r="DF75" s="397">
        <f t="shared" si="29"/>
        <v>0</v>
      </c>
      <c r="DG75" s="397">
        <f t="shared" si="30"/>
        <v>0</v>
      </c>
      <c r="DH75" s="397">
        <f t="shared" si="31"/>
        <v>0</v>
      </c>
    </row>
    <row r="76" spans="1:112">
      <c r="A76" s="274">
        <v>10230</v>
      </c>
      <c r="B76" s="275" t="s">
        <v>77</v>
      </c>
      <c r="C76" s="397">
        <v>0</v>
      </c>
      <c r="D76" s="397">
        <v>0</v>
      </c>
      <c r="E76" s="205">
        <f>VLOOKUP($A76,TOCA_previous!$A$2:$AI$137,MATCH(E$4,TOCA_previous!$A$2:$AI$2,0),FALSE)</f>
        <v>1.3759E-3</v>
      </c>
      <c r="F76" s="206">
        <f>VLOOKUP($A76,TOCA_previous!$A$2:$AI$137,MATCH(F$4,TOCA_previous!$A$2:$AI$2,0),FALSE)</f>
        <v>1.3759E-3</v>
      </c>
      <c r="G76" s="206">
        <f t="shared" si="16"/>
        <v>0</v>
      </c>
      <c r="H76" s="206">
        <f>VLOOKUP($A76,TOCA_previous!$A$2:$AI$137,MATCH(H$4,TOCA_previous!$A$2:$AI$2,0),FALSE)</f>
        <v>7.6319999999999999E-2</v>
      </c>
      <c r="I76" s="206">
        <f t="shared" si="17"/>
        <v>0</v>
      </c>
      <c r="J76" s="206">
        <f t="shared" si="18"/>
        <v>0</v>
      </c>
      <c r="K76" s="381">
        <f>VLOOKUP(A76, IRD!$A$5:$C$139, 3, FALSE)</f>
        <v>0</v>
      </c>
      <c r="L76" s="382">
        <f t="array" ref="L76">IF($G76=0, INDEX(LS_previous!$D$4:$AY$138, MATCH('Staging Table'!$A76, LS_previous!$B$4:$B$138, 0), MATCH(L$4&amp;L$5, LS_previous!$D$2:$AY$2&amp;LS_previous!$D$3:$AY$3, 0)),SUM(VLOOKUP($A76, LS_previous!$B$4:$AY$138, LS_previous!D$149, FALSE), VLOOKUP('Staging Table'!$A76, LS_previous!$B$4:$AY$138,LS_previous!AB$149, FALSE))/2)</f>
        <v>-4.2754217527681249</v>
      </c>
      <c r="M76" s="382">
        <f t="array" ref="M76">IF($G76=0, INDEX(LS_previous!$D$4:$AY$138, MATCH('Staging Table'!$A76, LS_previous!$B$4:$B$138, 0), MATCH(M$4&amp;M$5, LS_previous!$D$2:$AY$2&amp;LS_previous!$D$3:$AY$3, 0)),SUM(VLOOKUP($A76, LS_previous!$B$4:$AY$138, LS_previous!E$149, FALSE), VLOOKUP('Staging Table'!$A76, LS_previous!$B$4:$AY$138,LS_previous!AC$149, FALSE))/2)</f>
        <v>-22.770337301126801</v>
      </c>
      <c r="N76" s="382">
        <f t="array" ref="N76">IF($G76=0, INDEX(LS_previous!$D$4:$AY$138, MATCH('Staging Table'!$A76, LS_previous!$B$4:$B$138, 0), MATCH(N$4&amp;N$5, LS_previous!$D$2:$AY$2&amp;LS_previous!$D$3:$AY$3, 0)),SUM(VLOOKUP($A76, LS_previous!$B$4:$AY$138, LS_previous!F$149, FALSE), VLOOKUP('Staging Table'!$A76, LS_previous!$B$4:$AY$138,LS_previous!AD$149, FALSE))/2)</f>
        <v>44.180825447016105</v>
      </c>
      <c r="O76" s="382">
        <f t="array" ref="O76">IF($G76=0, INDEX(LS_previous!$D$4:$AY$138, MATCH('Staging Table'!$A76, LS_previous!$B$4:$B$138, 0), MATCH(O$4&amp;O$5, LS_previous!$D$2:$AY$2&amp;LS_previous!$D$3:$AY$3, 0)),SUM(VLOOKUP($A76, LS_previous!$B$4:$AY$138, LS_previous!G$149, FALSE), VLOOKUP('Staging Table'!$A76, LS_previous!$B$4:$AY$138,LS_previous!AE$149, FALSE))/2)</f>
        <v>548.88467112753096</v>
      </c>
      <c r="P76" s="382">
        <f t="array" ref="P76">IF($G76=0, INDEX(LS_previous!$D$4:$AY$138, MATCH('Staging Table'!$A76, LS_previous!$B$4:$B$138, 0), MATCH(P$4&amp;P$5, LS_previous!$D$2:$AY$2&amp;LS_previous!$D$3:$AY$3, 0)),SUM(VLOOKUP($A76, LS_previous!$B$4:$AY$138, LS_previous!H$149, FALSE), VLOOKUP('Staging Table'!$A76, LS_previous!$B$4:$AY$138,LS_previous!AF$149, FALSE))/2)</f>
        <v>1522.8780456297327</v>
      </c>
      <c r="Q76" s="382">
        <f t="array" ref="Q76">IF($G76=0, INDEX(LS_previous!$D$4:$AY$138, MATCH('Staging Table'!$A76, LS_previous!$B$4:$B$138, 0), MATCH(Q$4&amp;Q$5, LS_previous!$D$2:$AY$2&amp;LS_previous!$D$3:$AY$3, 0)),SUM(VLOOKUP($A76, LS_previous!$B$4:$AY$138, LS_previous!I$149, FALSE), VLOOKUP('Staging Table'!$A76, LS_previous!$B$4:$AY$138,LS_previous!AG$149, FALSE))/2)</f>
        <v>1350.2157473153766</v>
      </c>
      <c r="R76" s="382">
        <f t="array" ref="R76">IF($G76=0, INDEX(LS_previous!$D$4:$AY$138, MATCH('Staging Table'!$A76, LS_previous!$B$4:$B$138, 0), MATCH(R$4&amp;R$5, LS_previous!$D$2:$AY$2&amp;LS_previous!$D$3:$AY$3, 0)),SUM(VLOOKUP($A76, LS_previous!$B$4:$AY$138, LS_previous!J$149, FALSE), VLOOKUP('Staging Table'!$A76, LS_previous!$B$4:$AY$138,LS_previous!AH$149, FALSE))/2)</f>
        <v>2066.1741890727972</v>
      </c>
      <c r="S76" s="382">
        <f t="array" ref="S76">IF($G76=0, INDEX(LS_previous!$D$4:$AY$138, MATCH('Staging Table'!$A76, LS_previous!$B$4:$B$138, 0), MATCH(S$4&amp;S$5, LS_previous!$D$2:$AY$2&amp;LS_previous!$D$3:$AY$3, 0)),SUM(VLOOKUP($A76, LS_previous!$B$4:$AY$138, LS_previous!K$149, FALSE), VLOOKUP('Staging Table'!$A76, LS_previous!$B$4:$AY$138,LS_previous!AI$149, FALSE))/2)</f>
        <v>1846.9141222582002</v>
      </c>
      <c r="T76" s="382">
        <f t="array" ref="T76">IF($G76=0, INDEX(LS_previous!$D$4:$AY$138, MATCH('Staging Table'!$A76, LS_previous!$B$4:$B$138, 0), MATCH(T$4&amp;T$5, LS_previous!$D$2:$AY$2&amp;LS_previous!$D$3:$AY$3, 0)),SUM(VLOOKUP($A76, LS_previous!$B$4:$AY$138, LS_previous!L$149, FALSE), VLOOKUP('Staging Table'!$A76, LS_previous!$B$4:$AY$138,LS_previous!AJ$149, FALSE))/2)</f>
        <v>1361.1837727489301</v>
      </c>
      <c r="U76" s="382">
        <f t="array" ref="U76">IF($G76=0, INDEX(LS_previous!$D$4:$AY$138, MATCH('Staging Table'!$A76, LS_previous!$B$4:$B$138, 0), MATCH(U$4&amp;U$5, LS_previous!$D$2:$AY$2&amp;LS_previous!$D$3:$AY$3, 0)),SUM(VLOOKUP($A76, LS_previous!$B$4:$AY$138, LS_previous!M$149, FALSE), VLOOKUP('Staging Table'!$A76, LS_previous!$B$4:$AY$138,LS_previous!AK$149, FALSE))/2)</f>
        <v>1150.9554479174503</v>
      </c>
      <c r="V76" s="382">
        <f t="array" ref="V76">IF($G76=0, INDEX(LS_previous!$D$4:$AY$138, MATCH('Staging Table'!$A76, LS_previous!$B$4:$B$138, 0), MATCH(V$4&amp;V$5, LS_previous!$D$2:$AY$2&amp;LS_previous!$D$3:$AY$3, 0)),SUM(VLOOKUP($A76, LS_previous!$B$4:$AY$138, LS_previous!N$149, FALSE), VLOOKUP('Staging Table'!$A76, LS_previous!$B$4:$AY$138,LS_previous!AL$149, FALSE))/2)</f>
        <v>679.48914507606514</v>
      </c>
      <c r="W76" s="382">
        <f t="array" ref="W76">IF($G76=0, INDEX(LS_previous!$D$4:$AY$138, MATCH('Staging Table'!$A76, LS_previous!$B$4:$B$138, 0), MATCH(W$4&amp;W$5, LS_previous!$D$2:$AY$2&amp;LS_previous!$D$3:$AY$3, 0)),SUM(VLOOKUP($A76, LS_previous!$B$4:$AY$138, LS_previous!O$149, FALSE), VLOOKUP('Staging Table'!$A76, LS_previous!$B$4:$AY$138,LS_previous!AM$149, FALSE))/2)</f>
        <v>601.49250840830518</v>
      </c>
      <c r="X76" s="382">
        <f t="array" ref="X76">IF($G76=0, INDEX(LS_previous!$D$4:$AY$138, MATCH('Staging Table'!$A76, LS_previous!$B$4:$B$138, 0), MATCH(X$4&amp;X$5, LS_previous!$D$2:$AY$2&amp;LS_previous!$D$3:$AY$3, 0)),SUM(VLOOKUP($A76, LS_previous!$B$4:$AY$138, LS_previous!P$149, FALSE), VLOOKUP('Staging Table'!$A76, LS_previous!$B$4:$AY$138,LS_previous!AN$149, FALSE))/2)</f>
        <v>603.14599692535194</v>
      </c>
      <c r="Y76" s="382">
        <f t="array" ref="Y76">IF($G76=0, INDEX(LS_previous!$D$4:$AY$138, MATCH('Staging Table'!$A76, LS_previous!$B$4:$B$138, 0), MATCH(Y$4&amp;Y$5, LS_previous!$D$2:$AY$2&amp;LS_previous!$D$3:$AY$3, 0)),SUM(VLOOKUP($A76, LS_previous!$B$4:$AY$138, LS_previous!Q$149, FALSE), VLOOKUP('Staging Table'!$A76, LS_previous!$B$4:$AY$138,LS_previous!AO$149, FALSE))/2)</f>
        <v>398.99887344890749</v>
      </c>
      <c r="Z76" s="382">
        <f t="array" ref="Z76">IF($G76=0, INDEX(LS_previous!$D$4:$AY$138, MATCH('Staging Table'!$A76, LS_previous!$B$4:$B$138, 0), MATCH(Z$4&amp;Z$5, LS_previous!$D$2:$AY$2&amp;LS_previous!$D$3:$AY$3, 0)),SUM(VLOOKUP($A76, LS_previous!$B$4:$AY$138, LS_previous!R$149, FALSE), VLOOKUP('Staging Table'!$A76, LS_previous!$B$4:$AY$138,LS_previous!AP$149, FALSE))/2)</f>
        <v>-1797.6085703180315</v>
      </c>
      <c r="AA76" s="382">
        <f t="array" ref="AA76">IF($G76=0, INDEX(LS_previous!$D$4:$AY$138, MATCH('Staging Table'!$A76, LS_previous!$B$4:$B$138, 0), MATCH(AA$4&amp;AA$5, LS_previous!$D$2:$AY$2&amp;LS_previous!$D$3:$AY$3, 0)),SUM(VLOOKUP($A76, LS_previous!$B$4:$AY$138, LS_previous!S$149, FALSE), VLOOKUP('Staging Table'!$A76, LS_previous!$B$4:$AY$138,LS_previous!AQ$149, FALSE))/2)</f>
        <v>-570.23690980254514</v>
      </c>
      <c r="AB76" s="382">
        <f t="array" ref="AB76">IF($G76=0, INDEX(LS_previous!$D$4:$AY$138, MATCH('Staging Table'!$A76, LS_previous!$B$4:$B$138, 0), MATCH(AB$4&amp;AB$5, LS_previous!$D$2:$AY$2&amp;LS_previous!$D$3:$AY$3, 0)),SUM(VLOOKUP($A76, LS_previous!$B$4:$AY$138, LS_previous!T$149, FALSE), VLOOKUP('Staging Table'!$A76, LS_previous!$B$4:$AY$138,LS_previous!AR$149, FALSE))/2)</f>
        <v>-926.83082636580002</v>
      </c>
      <c r="AC76" s="382">
        <f t="array" ref="AC76">IF($G76=0, INDEX(LS_previous!$D$4:$AY$138, MATCH('Staging Table'!$A76, LS_previous!$B$4:$B$138, 0), MATCH(AC$4&amp;AC$5, LS_previous!$D$2:$AY$2&amp;LS_previous!$D$3:$AY$3, 0)),SUM(VLOOKUP($A76, LS_previous!$B$4:$AY$138, LS_previous!U$149, FALSE), VLOOKUP('Staging Table'!$A76, LS_previous!$B$4:$AY$138,LS_previous!AS$149, FALSE))/2)</f>
        <v>-497.60380641660367</v>
      </c>
      <c r="AD76" s="382">
        <f t="array" ref="AD76">IF($G76=0, INDEX(LS_previous!$D$4:$AY$138, MATCH('Staging Table'!$A76, LS_previous!$B$4:$B$138, 0), MATCH(AD$4&amp;AD$5, LS_previous!$D$2:$AY$2&amp;LS_previous!$D$3:$AY$3, 0)),SUM(VLOOKUP($A76, LS_previous!$B$4:$AY$138, LS_previous!V$149, FALSE), VLOOKUP('Staging Table'!$A76, LS_previous!$B$4:$AY$138,LS_previous!AT$149, FALSE))/2)</f>
        <v>9.4580033290685606</v>
      </c>
      <c r="AE76" s="382">
        <f t="array" ref="AE76">IF($G76=0, INDEX(LS_previous!$D$4:$AY$138, MATCH('Staging Table'!$A76, LS_previous!$B$4:$B$138, 0), MATCH(AE$4&amp;AE$5, LS_previous!$D$2:$AY$2&amp;LS_previous!$D$3:$AY$3, 0)),SUM(VLOOKUP($A76, LS_previous!$B$4:$AY$138, LS_previous!W$149, FALSE), VLOOKUP('Staging Table'!$A76, LS_previous!$B$4:$AY$138,LS_previous!AU$149, FALSE))/2)</f>
        <v>292.91505528223161</v>
      </c>
      <c r="AF76" s="382">
        <f t="array" ref="AF76">IF($G76=0, INDEX(LS_previous!$D$4:$AY$138, MATCH('Staging Table'!$A76, LS_previous!$B$4:$B$138, 0), MATCH(AF$4&amp;AF$5, LS_previous!$D$2:$AY$2&amp;LS_previous!$D$3:$AY$3, 0)),SUM(VLOOKUP($A76, LS_previous!$B$4:$AY$138, LS_previous!X$149, FALSE), VLOOKUP('Staging Table'!$A76, LS_previous!$B$4:$AY$138,LS_previous!AV$149, FALSE))/2)</f>
        <v>-183.24426522771682</v>
      </c>
      <c r="AG76" s="382">
        <f t="array" ref="AG76">IF($G76=0, INDEX(LS_previous!$D$4:$AY$138, MATCH('Staging Table'!$A76, LS_previous!$B$4:$B$138, 0), MATCH(AG$4&amp;AG$5, LS_previous!$D$2:$AY$2&amp;LS_previous!$D$3:$AY$3, 0)),SUM(VLOOKUP($A76, LS_previous!$B$4:$AY$138, LS_previous!Y$149, FALSE), VLOOKUP('Staging Table'!$A76, LS_previous!$B$4:$AY$138,LS_previous!AW$149, FALSE))/2)</f>
        <v>121.4105686952139</v>
      </c>
      <c r="AH76" s="382">
        <f t="array" ref="AH76">IF($G76=0, INDEX(LS_previous!$D$4:$AY$138, MATCH('Staging Table'!$A76, LS_previous!$B$4:$B$138, 0), MATCH(AH$4&amp;AH$5, LS_previous!$D$2:$AY$2&amp;LS_previous!$D$3:$AY$3, 0)),SUM(VLOOKUP($A76, LS_previous!$B$4:$AY$138, LS_previous!Z$149, FALSE), VLOOKUP('Staging Table'!$A76, LS_previous!$B$4:$AY$138,LS_previous!AX$149, FALSE))/2)</f>
        <v>52.58381333025909</v>
      </c>
      <c r="AI76" s="382">
        <f t="array" ref="AI76">IF($G76=0, INDEX(LS_previous!$D$4:$AY$138, MATCH('Staging Table'!$A76, LS_previous!$B$4:$B$138, 0), MATCH(AI$4&amp;AI$5, LS_previous!$D$2:$AY$2&amp;LS_previous!$D$3:$AY$3, 0)),SUM(VLOOKUP($A76, LS_previous!$B$4:$AY$138, LS_previous!AA$149, FALSE), VLOOKUP('Staging Table'!$A76, LS_previous!$B$4:$AY$138,LS_previous!AY$149, FALSE))/2)</f>
        <v>-45.161556949176884</v>
      </c>
      <c r="AJ76" s="384">
        <f t="array" ref="AJ76">INDEX(Demand_previous!$D$4:$AY$138, MATCH('Staging Table'!$A76, Demand_previous!$B$4:$B$138, 0), MATCH(AJ$4&amp;AJ$5,Demand_previous!$D$2:$AY$2&amp;Demand_previous!$D$3:$AY$3, 0))/1000</f>
        <v>1.6677754629629611</v>
      </c>
      <c r="AK76" s="384">
        <f t="array" ref="AK76">INDEX(Demand_previous!$D$4:$AY$138, MATCH('Staging Table'!$A76, Demand_previous!$B$4:$B$138, 0), MATCH(AK$4&amp;AK$5,Demand_previous!$D$2:$AY$2&amp;Demand_previous!$D$3:$AY$3, 0))/1000</f>
        <v>3.2914322916666672</v>
      </c>
      <c r="AL76" s="384">
        <f t="array" ref="AL76">INDEX(Demand_previous!$D$4:$AY$138, MATCH('Staging Table'!$A76, Demand_previous!$B$4:$B$138, 0), MATCH(AL$4&amp;AL$5,Demand_previous!$D$2:$AY$2&amp;Demand_previous!$D$3:$AY$3, 0))/1000</f>
        <v>4.5296322115384591</v>
      </c>
      <c r="AM76" s="384">
        <f t="array" ref="AM76">INDEX(Demand_previous!$D$4:$AY$138, MATCH('Staging Table'!$A76, Demand_previous!$B$4:$B$138, 0), MATCH(AM$4&amp;AM$5,Demand_previous!$D$2:$AY$2&amp;Demand_previous!$D$3:$AY$3, 0))/1000</f>
        <v>3.3549724999999997</v>
      </c>
      <c r="AN76" s="384">
        <f t="array" ref="AN76">INDEX(Demand_previous!$D$4:$AY$138, MATCH('Staging Table'!$A76, Demand_previous!$B$4:$B$138, 0), MATCH(AN$4&amp;AN$5,Demand_previous!$D$2:$AY$2&amp;Demand_previous!$D$3:$AY$3, 0))/1000</f>
        <v>4.2434225000000021</v>
      </c>
      <c r="AO76" s="384">
        <f t="array" ref="AO76">INDEX(Demand_previous!$D$4:$AY$138, MATCH('Staging Table'!$A76, Demand_previous!$B$4:$B$138, 0), MATCH(AO$4&amp;AO$5,Demand_previous!$D$2:$AY$2&amp;Demand_previous!$D$3:$AY$3, 0))/1000</f>
        <v>2.6638472222222234</v>
      </c>
      <c r="AP76" s="384">
        <f t="array" ref="AP76">INDEX(Demand_previous!$D$4:$AY$138, MATCH('Staging Table'!$A76, Demand_previous!$B$4:$B$138, 0), MATCH(AP$4&amp;AP$5,Demand_previous!$D$2:$AY$2&amp;Demand_previous!$D$3:$AY$3, 0))/1000</f>
        <v>0.91796875</v>
      </c>
      <c r="AQ76" s="384">
        <f t="array" ref="AQ76">INDEX(Demand_previous!$D$4:$AY$138, MATCH('Staging Table'!$A76, Demand_previous!$B$4:$B$138, 0), MATCH(AQ$4&amp;AQ$5,Demand_previous!$D$2:$AY$2&amp;Demand_previous!$D$3:$AY$3, 0))/1000</f>
        <v>1.7645749999999989</v>
      </c>
      <c r="AR76" s="384">
        <f t="array" ref="AR76">INDEX(Demand_previous!$D$4:$AY$138, MATCH('Staging Table'!$A76, Demand_previous!$B$4:$B$138, 0), MATCH(AR$4&amp;AR$5,Demand_previous!$D$2:$AY$2&amp;Demand_previous!$D$3:$AY$3, 0))/1000</f>
        <v>1.8339927884615377</v>
      </c>
      <c r="AS76" s="384">
        <f t="array" ref="AS76">INDEX(Demand_previous!$D$4:$AY$138, MATCH('Staging Table'!$A76, Demand_previous!$B$4:$B$138, 0), MATCH(AS$4&amp;AS$5,Demand_previous!$D$2:$AY$2&amp;Demand_previous!$D$3:$AY$3, 0))/1000</f>
        <v>1.6585675000000006</v>
      </c>
      <c r="AT76" s="384">
        <f t="array" ref="AT76">INDEX(Demand_previous!$D$4:$AY$138, MATCH('Staging Table'!$A76, Demand_previous!$B$4:$B$138, 0), MATCH(AT$4&amp;AT$5,Demand_previous!$D$2:$AY$2&amp;Demand_previous!$D$3:$AY$3, 0))/1000</f>
        <v>1.7876273148148152</v>
      </c>
      <c r="AU76" s="384">
        <f t="array" ref="AU76">INDEX(Demand_previous!$D$4:$AY$138, MATCH('Staging Table'!$A76, Demand_previous!$B$4:$B$138, 0), MATCH(AU$4&amp;AU$5,Demand_previous!$D$2:$AY$2&amp;Demand_previous!$D$3:$AY$3, 0))/1000</f>
        <v>1.4865650000000006</v>
      </c>
      <c r="AV76" s="384">
        <f>IF($D76=0,IF(C76=0, MAX(AY76 - (VLOOKUP($A76,TOCA_previous!$A$2:$AI$137,MATCH("RHWM 2016",TOCA_previous!$A$2:$AI$2,0),FALSE)*$F$2*TOCA_previous!C73),0),0), 0)</f>
        <v>8603.3831986546575</v>
      </c>
      <c r="AW76" s="427">
        <f>VLOOKUP($A76,REP_previous!$A$1:$D$135,MATCH("FY "&amp;$F$1&amp; " Total Refund",REP_previous!$A$1:$D$1,0),0)</f>
        <v>101803.27260453443</v>
      </c>
      <c r="AX76" s="398">
        <f>MIN(VLOOKUP($A76,TOCA_previous!$A$2:$AI$137,MATCH("TRL - NLSL - Exisiting Resource "&amp;$F$1,TOCA_previous!$A$2:$AI$2,0),FALSE)*$F$2,(VLOOKUP($A76,TOCA_previous!$A$2:$AI$137,MATCH("RHWM 2016",TOCA_previous!$A$2:$AI$2,0),FALSE)*$F$2))</f>
        <v>84396.672000000006</v>
      </c>
      <c r="AY76" s="384">
        <f>SUM(L76:AI76)+(F76*RT1SC!$C$3*$F$2)</f>
        <v>93000.055198654663</v>
      </c>
      <c r="AZ76" s="398">
        <f>VLOOKUP($A76,TOCA_previous!$A$2:$AI$137,MATCH("Above RHWM Not Served with LS "&amp;$F$1,TOCA_previous!$A$2:$AI$2,0),FALSE)*$F$2</f>
        <v>0</v>
      </c>
      <c r="BA76" s="206">
        <f t="shared" si="19"/>
        <v>8603.3831986546575</v>
      </c>
      <c r="BB76" s="399">
        <f>(VLOOKUP($A76,TOCA_previous!$A$2:$AI$137,MATCH("RHWM 2016",TOCA_previous!$A$2:$AI$2,0),FALSE)*$F$2) - $AX76</f>
        <v>0</v>
      </c>
      <c r="BC76" s="206">
        <f t="shared" si="20"/>
        <v>0</v>
      </c>
      <c r="BD76" s="400">
        <f t="shared" si="21"/>
        <v>0</v>
      </c>
      <c r="BE76" s="392">
        <f t="shared" si="22"/>
        <v>0</v>
      </c>
      <c r="BF76" s="399">
        <f t="shared" si="23"/>
        <v>0</v>
      </c>
      <c r="BG76" s="206">
        <f>VLOOKUP($A76,TOCA_current!$A$2:$AI$137,MATCH(BG$4,TOCA_current!$A$2:$AI$2,0),FALSE)</f>
        <v>1.3747E-3</v>
      </c>
      <c r="BH76" s="206">
        <f>VLOOKUP($A76,TOCA_current!$A$2:$AI$137,MATCH(BH$4,TOCA_current!$A$2:$AI$2,0),FALSE)</f>
        <v>1.3747E-3</v>
      </c>
      <c r="BI76" s="391">
        <f t="shared" si="24"/>
        <v>0</v>
      </c>
      <c r="BJ76" s="206">
        <f>VLOOKUP($A76,TOCA_current!A72:BG207,MATCH(BJ$4,TOCA_current!$A$2:$BG$2,0),FALSE)</f>
        <v>7.4685241437100675E-2</v>
      </c>
      <c r="BK76" s="206">
        <f t="shared" si="25"/>
        <v>0</v>
      </c>
      <c r="BL76" s="206">
        <f t="shared" si="26"/>
        <v>0</v>
      </c>
      <c r="BM76" s="381">
        <f>VLOOKUP($A76,IRD!$A$4:$G$139, 7, FALSE)</f>
        <v>0</v>
      </c>
      <c r="BN76" s="382">
        <f t="array" ref="BN76">IF($BI76=0, INDEX(LS_current!$D$4:$AY$139, MATCH('Staging Table'!$A76, LS_current!$B$4:$B$139, 0), MATCH(BN$4&amp;BN$5, LS_current!$D$2:$AY$2&amp;LS_current!$D$3:$AY$3, 0)),SUM(VLOOKUP($A76, LS_current!$B$4:$AY$139, LS_current!D$149, FALSE), VLOOKUP($A76, LS_current!$B$4:$AY$139,LS_current!D$149, FALSE))/2)</f>
        <v>-23.079073990094003</v>
      </c>
      <c r="BO76" s="382">
        <f t="array" ref="BO76">IF($BI76=0, INDEX(LS_current!$D$4:$AY$139, MATCH('Staging Table'!$A76, LS_current!$B$4:$B$139, 0), MATCH(BO$4&amp;BO$5, LS_current!$D$2:$AY$2&amp;LS_current!$D$3:$AY$3, 0)),SUM(VLOOKUP($A76, LS_current!$B$4:$AY$139, LS_current!E$149, FALSE), VLOOKUP($A76, LS_current!$B$4:$AY$139,LS_current!E$149, FALSE))/2)</f>
        <v>101.62180203324806</v>
      </c>
      <c r="BP76" s="382">
        <f t="array" ref="BP76">IF($BI76=0, INDEX(LS_current!$D$4:$AY$139, MATCH('Staging Table'!$A76, LS_current!$B$4:$B$139, 0), MATCH(BP$4&amp;BP$5, LS_current!$D$2:$AY$2&amp;LS_current!$D$3:$AY$3, 0)),SUM(VLOOKUP($A76, LS_current!$B$4:$AY$139, LS_current!F$149, FALSE), VLOOKUP($A76, LS_current!$B$4:$AY$139,LS_current!F$149, FALSE))/2)</f>
        <v>-54.199375593810146</v>
      </c>
      <c r="BQ76" s="382">
        <f t="array" ref="BQ76">IF($BI76=0, INDEX(LS_current!$D$4:$AY$139, MATCH('Staging Table'!$A76, LS_current!$B$4:$B$139, 0), MATCH(BQ$4&amp;BQ$5, LS_current!$D$2:$AY$2&amp;LS_current!$D$3:$AY$3, 0)),SUM(VLOOKUP($A76, LS_current!$B$4:$AY$139, LS_current!G$149, FALSE), VLOOKUP($A76, LS_current!$B$4:$AY$139,LS_current!G$149, FALSE))/2)</f>
        <v>578.26412205837642</v>
      </c>
      <c r="BR76" s="382">
        <f t="array" ref="BR76">IF($BI76=0, INDEX(LS_current!$D$4:$AY$139, MATCH('Staging Table'!$A76, LS_current!$B$4:$B$139, 0), MATCH(BR$4&amp;BR$5, LS_current!$D$2:$AY$2&amp;LS_current!$D$3:$AY$3, 0)),SUM(VLOOKUP($A76, LS_current!$B$4:$AY$139, LS_current!H$149, FALSE), VLOOKUP($A76, LS_current!$B$4:$AY$139,LS_current!H$149, FALSE))/2)</f>
        <v>1369.0130007872203</v>
      </c>
      <c r="BS76" s="382">
        <f t="array" ref="BS76">IF($BI76=0, INDEX(LS_current!$D$4:$AY$139, MATCH('Staging Table'!$A76, LS_current!$B$4:$B$139, 0), MATCH(BS$4&amp;BS$5, LS_current!$D$2:$AY$2&amp;LS_current!$D$3:$AY$3, 0)),SUM(VLOOKUP($A76, LS_current!$B$4:$AY$139, LS_current!I$149, FALSE), VLOOKUP($A76, LS_current!$B$4:$AY$139,LS_current!I$149, FALSE))/2)</f>
        <v>1324.8062968963686</v>
      </c>
      <c r="BT76" s="382">
        <f t="array" ref="BT76">IF($BI76=0, INDEX(LS_current!$D$4:$AY$139, MATCH('Staging Table'!$A76, LS_current!$B$4:$B$139, 0), MATCH(BT$4&amp;BT$5, LS_current!$D$2:$AY$2&amp;LS_current!$D$3:$AY$3, 0)),SUM(VLOOKUP($A76, LS_current!$B$4:$AY$139, LS_current!J$149, FALSE), VLOOKUP($A76, LS_current!$B$4:$AY$139,LS_current!J$149, FALSE))/2)</f>
        <v>2023.2963047365547</v>
      </c>
      <c r="BU76" s="382">
        <f t="array" ref="BU76">IF($BI76=0, INDEX(LS_current!$D$4:$AY$139, MATCH('Staging Table'!$A76, LS_current!$B$4:$B$139, 0), MATCH(BU$4&amp;BU$5, LS_current!$D$2:$AY$2&amp;LS_current!$D$3:$AY$3, 0)),SUM(VLOOKUP($A76, LS_current!$B$4:$AY$139, LS_current!K$149, FALSE), VLOOKUP($A76, LS_current!$B$4:$AY$139,LS_current!K$149, FALSE))/2)</f>
        <v>1839.2102312229936</v>
      </c>
      <c r="BV76" s="382">
        <f t="array" ref="BV76">IF($BI76=0, INDEX(LS_current!$D$4:$AY$139, MATCH('Staging Table'!$A76, LS_current!$B$4:$B$139, 0), MATCH(BV$4&amp;BV$5, LS_current!$D$2:$AY$2&amp;LS_current!$D$3:$AY$3, 0)),SUM(VLOOKUP($A76, LS_current!$B$4:$AY$139, LS_current!L$149, FALSE), VLOOKUP($A76, LS_current!$B$4:$AY$139,LS_current!L$149, FALSE))/2)</f>
        <v>1649.944403024761</v>
      </c>
      <c r="BW76" s="382">
        <f t="array" ref="BW76">IF($BI76=0, INDEX(LS_current!$D$4:$AY$139, MATCH('Staging Table'!$A76, LS_current!$B$4:$B$139, 0), MATCH(BW$4&amp;BW$5, LS_current!$D$2:$AY$2&amp;LS_current!$D$3:$AY$3, 0)),SUM(VLOOKUP($A76, LS_current!$B$4:$AY$139, LS_current!M$149, FALSE), VLOOKUP($A76, LS_current!$B$4:$AY$139,LS_current!M$149, FALSE))/2)</f>
        <v>1377.5327603226026</v>
      </c>
      <c r="BX76" s="382">
        <f t="array" ref="BX76">IF($BI76=0, INDEX(LS_current!$D$4:$AY$139, MATCH('Staging Table'!$A76, LS_current!$B$4:$B$139, 0), MATCH(BX$4&amp;BX$5, LS_current!$D$2:$AY$2&amp;LS_current!$D$3:$AY$3, 0)),SUM(VLOOKUP($A76, LS_current!$B$4:$AY$139, LS_current!N$149, FALSE), VLOOKUP($A76, LS_current!$B$4:$AY$139,LS_current!N$149, FALSE))/2)</f>
        <v>905.3793615841987</v>
      </c>
      <c r="BY76" s="382">
        <f t="array" ref="BY76">IF($BI76=0, INDEX(LS_current!$D$4:$AY$139, MATCH('Staging Table'!$A76, LS_current!$B$4:$B$139, 0), MATCH(BY$4&amp;BY$5, LS_current!$D$2:$AY$2&amp;LS_current!$D$3:$AY$3, 0)),SUM(VLOOKUP($A76, LS_current!$B$4:$AY$139, LS_current!O$149, FALSE), VLOOKUP($A76, LS_current!$B$4:$AY$139,LS_current!O$149, FALSE))/2)</f>
        <v>852.10504473695028</v>
      </c>
      <c r="BZ76" s="382">
        <f t="array" ref="BZ76">IF($BI76=0, INDEX(LS_current!$D$4:$AY$139, MATCH('Staging Table'!$A76, LS_current!$B$4:$B$139, 0), MATCH(BZ$4&amp;BZ$5, LS_current!$D$2:$AY$2&amp;LS_current!$D$3:$AY$3, 0)),SUM(VLOOKUP($A76, LS_current!$B$4:$AY$139, LS_current!P$149, FALSE), VLOOKUP($A76, LS_current!$B$4:$AY$139,LS_current!P$149, FALSE))/2)</f>
        <v>188.28448255331477</v>
      </c>
      <c r="CA76" s="382">
        <f t="array" ref="CA76">IF($BI76=0, INDEX(LS_current!$D$4:$AY$139, MATCH('Staging Table'!$A76, LS_current!$B$4:$B$139, 0), MATCH(CA$4&amp;CA$5, LS_current!$D$2:$AY$2&amp;LS_current!$D$3:$AY$3, 0)),SUM(VLOOKUP($A76, LS_current!$B$4:$AY$139, LS_current!Q$149, FALSE), VLOOKUP($A76, LS_current!$B$4:$AY$139,LS_current!Q$149, FALSE))/2)</f>
        <v>370.73371665227205</v>
      </c>
      <c r="CB76" s="382">
        <f t="array" ref="CB76">IF($BI76=0, INDEX(LS_current!$D$4:$AY$139, MATCH('Staging Table'!$A76, LS_current!$B$4:$B$139, 0), MATCH(CB$4&amp;CB$5, LS_current!$D$2:$AY$2&amp;LS_current!$D$3:$AY$3, 0)),SUM(VLOOKUP($A76, LS_current!$B$4:$AY$139, LS_current!R$149, FALSE), VLOOKUP($A76, LS_current!$B$4:$AY$139,LS_current!R$149, FALSE))/2)</f>
        <v>-1740.5992189402332</v>
      </c>
      <c r="CC76" s="382">
        <f t="array" ref="CC76">IF($BI76=0, INDEX(LS_current!$D$4:$AY$139, MATCH('Staging Table'!$A76, LS_current!$B$4:$B$139, 0), MATCH(CC$4&amp;CC$5, LS_current!$D$2:$AY$2&amp;LS_current!$D$3:$AY$3, 0)),SUM(VLOOKUP($A76, LS_current!$B$4:$AY$139, LS_current!S$149, FALSE), VLOOKUP($A76, LS_current!$B$4:$AY$139,LS_current!S$149, FALSE))/2)</f>
        <v>-618.55045559948849</v>
      </c>
      <c r="CD76" s="382">
        <f t="array" ref="CD76">IF($BI76=0, INDEX(LS_current!$D$4:$AY$139, MATCH('Staging Table'!$A76, LS_current!$B$4:$B$139, 0), MATCH(CD$4&amp;CD$5, LS_current!$D$2:$AY$2&amp;LS_current!$D$3:$AY$3, 0)),SUM(VLOOKUP($A76, LS_current!$B$4:$AY$139, LS_current!T$149, FALSE), VLOOKUP($A76, LS_current!$B$4:$AY$139,LS_current!T$149, FALSE))/2)</f>
        <v>-900.33073405259984</v>
      </c>
      <c r="CE76" s="382">
        <f t="array" ref="CE76">IF($BI76=0, INDEX(LS_current!$D$4:$AY$139, MATCH('Staging Table'!$A76, LS_current!$B$4:$B$139, 0), MATCH(CE$4&amp;CE$5, LS_current!$D$2:$AY$2&amp;LS_current!$D$3:$AY$3, 0)),SUM(VLOOKUP($A76, LS_current!$B$4:$AY$139, LS_current!U$149, FALSE), VLOOKUP($A76, LS_current!$B$4:$AY$139,LS_current!U$149, FALSE))/2)</f>
        <v>-304.80199202739777</v>
      </c>
      <c r="CF76" s="382">
        <f t="array" ref="CF76">IF($BI76=0, INDEX(LS_current!$D$4:$AY$139, MATCH('Staging Table'!$A76, LS_current!$B$4:$B$139, 0), MATCH(CF$4&amp;CF$5, LS_current!$D$2:$AY$2&amp;LS_current!$D$3:$AY$3, 0)),SUM(VLOOKUP($A76, LS_current!$B$4:$AY$139, LS_current!V$149, FALSE), VLOOKUP($A76, LS_current!$B$4:$AY$139,LS_current!V$149, FALSE))/2)</f>
        <v>284.04939588914294</v>
      </c>
      <c r="CG76" s="382">
        <f t="array" ref="CG76">IF($BI76=0, INDEX(LS_current!$D$4:$AY$139, MATCH('Staging Table'!$A76, LS_current!$B$4:$B$139, 0), MATCH(CG$4&amp;CG$5, LS_current!$D$2:$AY$2&amp;LS_current!$D$3:$AY$3, 0)),SUM(VLOOKUP($A76, LS_current!$B$4:$AY$139, LS_current!W$149, FALSE), VLOOKUP($A76, LS_current!$B$4:$AY$139,LS_current!W$149, FALSE))/2)</f>
        <v>462.91874347299972</v>
      </c>
      <c r="CH76" s="382">
        <f t="array" ref="CH76">IF($BI76=0, INDEX(LS_current!$D$4:$AY$139, MATCH('Staging Table'!$A76, LS_current!$B$4:$B$139, 0), MATCH(CH$4&amp;CH$5, LS_current!$D$2:$AY$2&amp;LS_current!$D$3:$AY$3, 0)),SUM(VLOOKUP($A76, LS_current!$B$4:$AY$139, LS_current!X$149, FALSE), VLOOKUP($A76, LS_current!$B$4:$AY$139,LS_current!X$149, FALSE))/2)</f>
        <v>-155.1137916484422</v>
      </c>
      <c r="CI76" s="382">
        <f t="array" ref="CI76">IF($BI76=0, INDEX(LS_current!$D$4:$AY$139, MATCH('Staging Table'!$A76, LS_current!$B$4:$B$139, 0), MATCH(CI$4&amp;CI$5, LS_current!$D$2:$AY$2&amp;LS_current!$D$3:$AY$3, 0)),SUM(VLOOKUP($A76, LS_current!$B$4:$AY$139, LS_current!Y$149, FALSE), VLOOKUP($A76, LS_current!$B$4:$AY$139,LS_current!Y$149, FALSE))/2)</f>
        <v>199.96230682880378</v>
      </c>
      <c r="CJ76" s="382">
        <f t="array" ref="CJ76">IF($BI76=0, INDEX(LS_current!$D$4:$AY$139, MATCH('Staging Table'!$A76, LS_current!$B$4:$B$139, 0), MATCH(CJ$4&amp;CJ$5, LS_current!$D$2:$AY$2&amp;LS_current!$D$3:$AY$3, 0)),SUM(VLOOKUP($A76, LS_current!$B$4:$AY$139, LS_current!Z$149, FALSE), VLOOKUP($A76, LS_current!$B$4:$AY$139,LS_current!Z$149, FALSE))/2)</f>
        <v>-326.418982036545</v>
      </c>
      <c r="CK76" s="382">
        <f t="array" ref="CK76">IF($BI76=0, INDEX(LS_current!$D$4:$AY$139, MATCH('Staging Table'!$A76, LS_current!$B$4:$B$139, 0), MATCH(CK$4&amp;CK$5, LS_current!$D$2:$AY$2&amp;LS_current!$D$3:$AY$3, 0)),SUM(VLOOKUP($A76, LS_current!$B$4:$AY$139, LS_current!AA$149, FALSE), VLOOKUP($A76, LS_current!$B$4:$AY$139,LS_current!AA$149, FALSE))/2)</f>
        <v>-36.391143498587553</v>
      </c>
      <c r="CL76" s="384">
        <f t="array" ref="CL76">INDEX(Demand_current!$D$4:$AY$138, MATCH($A76, Demand_current!$B$4:$B$138, 0), MATCH(CL$4&amp;CL$5,Demand_current!$D$2:$AY$2&amp;Demand_current!$D$3:$AY$3, 0))/1000</f>
        <v>1.2646129807692292</v>
      </c>
      <c r="CM76" s="384">
        <f t="array" ref="CM76">INDEX(Demand_current!$D$4:$AY$138, MATCH($A76, Demand_current!$B$4:$B$138, 0), MATCH(CM$4&amp;CM$5,Demand_current!$D$2:$AY$2&amp;Demand_current!$D$3:$AY$3, 0))/1000</f>
        <v>3.8496150000000009</v>
      </c>
      <c r="CN76" s="384">
        <f t="array" ref="CN76">INDEX(Demand_current!$D$4:$AY$138, MATCH($A76, Demand_current!$B$4:$B$138, 0), MATCH(CN$4&amp;CN$5,Demand_current!$D$2:$AY$2&amp;Demand_current!$D$3:$AY$3, 0))/1000</f>
        <v>3.8776975</v>
      </c>
      <c r="CO76" s="384">
        <f t="array" ref="CO76">INDEX(Demand_current!$D$4:$AY$138, MATCH($A76, Demand_current!$B$4:$B$138, 0), MATCH(CO$4&amp;CO$5,Demand_current!$D$2:$AY$2&amp;Demand_current!$D$3:$AY$3, 0))/1000</f>
        <v>3.9911274038461526</v>
      </c>
      <c r="CP76" s="384">
        <f t="array" ref="CP76">INDEX(Demand_current!$D$4:$AY$138, MATCH($A76, Demand_current!$B$4:$B$138, 0), MATCH(CP$4&amp;CP$5,Demand_current!$D$2:$AY$2&amp;Demand_current!$D$3:$AY$3, 0))/1000</f>
        <v>3.6755651041666679</v>
      </c>
      <c r="CQ76" s="384">
        <f t="array" ref="CQ76">INDEX(Demand_current!$D$4:$AY$138, MATCH($A76, Demand_current!$B$4:$B$138, 0), MATCH(CQ$4&amp;CQ$5,Demand_current!$D$2:$AY$2&amp;Demand_current!$D$3:$AY$3, 0))/1000</f>
        <v>2.6638472222222234</v>
      </c>
      <c r="CR76" s="384">
        <f t="array" ref="CR76">INDEX(Demand_current!$D$4:$AY$138, MATCH($A76, Demand_current!$B$4:$B$138, 0), MATCH(CR$4&amp;CR$5,Demand_current!$D$2:$AY$2&amp;Demand_current!$D$3:$AY$3, 0))/1000</f>
        <v>0.49624750000000084</v>
      </c>
      <c r="CS76" s="384">
        <f t="array" ref="CS76">INDEX(Demand_current!$D$4:$AY$138, MATCH($A76, Demand_current!$B$4:$B$138, 0), MATCH(CS$4&amp;CS$5,Demand_current!$D$2:$AY$2&amp;Demand_current!$D$3:$AY$3, 0))/1000</f>
        <v>2.196014423076921</v>
      </c>
      <c r="CT76" s="384">
        <f t="array" ref="CT76">INDEX(Demand_current!$D$4:$AY$138, MATCH($A76, Demand_current!$B$4:$B$138, 0), MATCH(CT$4&amp;CT$5,Demand_current!$D$2:$AY$2&amp;Demand_current!$D$3:$AY$3, 0))/1000</f>
        <v>1.8339927884615377</v>
      </c>
      <c r="CU76" s="384">
        <f t="array" ref="CU76">INDEX(Demand_current!$D$4:$AY$138, MATCH($A76, Demand_current!$B$4:$B$138, 0), MATCH(CU$4&amp;CU$5,Demand_current!$D$2:$AY$2&amp;Demand_current!$D$3:$AY$3, 0))/1000</f>
        <v>1.6585675000000006</v>
      </c>
      <c r="CV76" s="384">
        <f t="array" ref="CV76">INDEX(Demand_current!$D$4:$AY$138, MATCH($A76, Demand_current!$B$4:$B$138, 0), MATCH(CV$4&amp;CV$5,Demand_current!$D$2:$AY$2&amp;Demand_current!$D$3:$AY$3, 0))/1000</f>
        <v>1.7876273148148152</v>
      </c>
      <c r="CW76" s="384">
        <f t="array" ref="CW76">INDEX(Demand_current!$D$4:$AY$138, MATCH($A76, Demand_current!$B$4:$B$138, 0), MATCH(CW$4&amp;CW$5,Demand_current!$D$2:$AY$2&amp;Demand_current!$D$3:$AY$3, 0))/1000</f>
        <v>1.063713541666667</v>
      </c>
      <c r="CX76" s="384">
        <f>IF(D76=0,IF(C76=0,MAX(0,DA76 - (VLOOKUP($A76,TOCA_current!$A$2:$AI$137,MATCH("RHWM 2018",TOCA_current!$A$2:$AI$2,0),FALSE)*$BH$2)), 0),0)</f>
        <v>9368.3362201245909</v>
      </c>
      <c r="CY76" s="427">
        <f>VLOOKUP($A76,REP_current!$A$1:$D$135,MATCH("FY "&amp;$BH$1&amp; " Total Refund",REP_current!$A$1:$D$1,0),0)</f>
        <v>102591.41358022759</v>
      </c>
      <c r="CZ76" s="432">
        <f>MIN(VLOOKUP($A76,TOCA_current!$A$2:$AI$137,MATCH("TRL - NLSL - Existing Resource "&amp;$BH$1,TOCA_current!$A$2:$AI$2,0),FALSE)*$BH$2, VLOOKUP($A76,TOCA_current!$A$2:$AI$137,MATCH("RHWM 2018",TOCA_current!$A$2:$AI$2,0),FALSE)*$BH$2)</f>
        <v>83631.72</v>
      </c>
      <c r="DA76" s="397">
        <f>SUM(BN76:CK76)+(BH76*RT1SC!$C$4*$BH$2)</f>
        <v>93000.056220124592</v>
      </c>
      <c r="DB76" s="432">
        <f>VLOOKUP($A76,TOCA_current!$A$2:$AI$137,MATCH("Above RHWM Not Served with LS "&amp;$BH$1,TOCA_current!$A$2:$AI$2,0),FALSE)*$BH$2</f>
        <v>0</v>
      </c>
      <c r="DC76" s="401">
        <f t="shared" si="27"/>
        <v>9368.3362201245909</v>
      </c>
      <c r="DD76" s="397">
        <f>(VLOOKUP($A76,TOCA_current!$A$2:$AI$137,MATCH("RHWM 2018",TOCA_current!$A$2:$AI$2,0),FALSE)*$BH$2) - $CZ76</f>
        <v>0</v>
      </c>
      <c r="DE76" s="397">
        <f t="shared" si="28"/>
        <v>0</v>
      </c>
      <c r="DF76" s="397">
        <f t="shared" si="29"/>
        <v>0</v>
      </c>
      <c r="DG76" s="397">
        <f t="shared" si="30"/>
        <v>0</v>
      </c>
      <c r="DH76" s="397">
        <f t="shared" si="31"/>
        <v>0</v>
      </c>
    </row>
    <row r="77" spans="1:112">
      <c r="A77" s="274">
        <v>10231</v>
      </c>
      <c r="B77" s="275" t="s">
        <v>78</v>
      </c>
      <c r="C77" s="397">
        <v>0</v>
      </c>
      <c r="D77" s="397">
        <v>0</v>
      </c>
      <c r="E77" s="205">
        <f>VLOOKUP($A77,TOCA_previous!$A$2:$AI$137,MATCH(E$4,TOCA_previous!$A$2:$AI$2,0),FALSE)</f>
        <v>5.1983999999999997E-3</v>
      </c>
      <c r="F77" s="206">
        <f>VLOOKUP($A77,TOCA_previous!$A$2:$AI$137,MATCH(F$4,TOCA_previous!$A$2:$AI$2,0),FALSE)</f>
        <v>5.1983999999999997E-3</v>
      </c>
      <c r="G77" s="206">
        <f t="shared" si="16"/>
        <v>0</v>
      </c>
      <c r="H77" s="206">
        <f>VLOOKUP($A77,TOCA_previous!$A$2:$AI$137,MATCH(H$4,TOCA_previous!$A$2:$AI$2,0),FALSE)</f>
        <v>7.6520000000000005E-2</v>
      </c>
      <c r="I77" s="206">
        <f t="shared" si="17"/>
        <v>0</v>
      </c>
      <c r="J77" s="206">
        <f t="shared" si="18"/>
        <v>0</v>
      </c>
      <c r="K77" s="381">
        <f>VLOOKUP(A77, IRD!$A$5:$C$139, 3, FALSE)</f>
        <v>21632.728999999999</v>
      </c>
      <c r="L77" s="382">
        <f t="array" ref="L77">IF($G77=0, INDEX(LS_previous!$D$4:$AY$138, MATCH('Staging Table'!$A77, LS_previous!$B$4:$B$138, 0), MATCH(L$4&amp;L$5, LS_previous!$D$2:$AY$2&amp;LS_previous!$D$3:$AY$3, 0)),SUM(VLOOKUP($A77, LS_previous!$B$4:$AY$138, LS_previous!D$149, FALSE), VLOOKUP('Staging Table'!$A77, LS_previous!$B$4:$AY$138,LS_previous!AB$149, FALSE))/2)</f>
        <v>1313.6459859440456</v>
      </c>
      <c r="M77" s="382">
        <f t="array" ref="M77">IF($G77=0, INDEX(LS_previous!$D$4:$AY$138, MATCH('Staging Table'!$A77, LS_previous!$B$4:$B$138, 0), MATCH(M$4&amp;M$5, LS_previous!$D$2:$AY$2&amp;LS_previous!$D$3:$AY$3, 0)),SUM(VLOOKUP($A77, LS_previous!$B$4:$AY$138, LS_previous!E$149, FALSE), VLOOKUP('Staging Table'!$A77, LS_previous!$B$4:$AY$138,LS_previous!AC$149, FALSE))/2)</f>
        <v>1730.5496522086069</v>
      </c>
      <c r="N77" s="382">
        <f t="array" ref="N77">IF($G77=0, INDEX(LS_previous!$D$4:$AY$138, MATCH('Staging Table'!$A77, LS_previous!$B$4:$B$138, 0), MATCH(N$4&amp;N$5, LS_previous!$D$2:$AY$2&amp;LS_previous!$D$3:$AY$3, 0)),SUM(VLOOKUP($A77, LS_previous!$B$4:$AY$138, LS_previous!F$149, FALSE), VLOOKUP('Staging Table'!$A77, LS_previous!$B$4:$AY$138,LS_previous!AD$149, FALSE))/2)</f>
        <v>-361.51134791498407</v>
      </c>
      <c r="O77" s="382">
        <f t="array" ref="O77">IF($G77=0, INDEX(LS_previous!$D$4:$AY$138, MATCH('Staging Table'!$A77, LS_previous!$B$4:$B$138, 0), MATCH(O$4&amp;O$5, LS_previous!$D$2:$AY$2&amp;LS_previous!$D$3:$AY$3, 0)),SUM(VLOOKUP($A77, LS_previous!$B$4:$AY$138, LS_previous!G$149, FALSE), VLOOKUP('Staging Table'!$A77, LS_previous!$B$4:$AY$138,LS_previous!AE$149, FALSE))/2)</f>
        <v>734.46953309786841</v>
      </c>
      <c r="P77" s="382">
        <f t="array" ref="P77">IF($G77=0, INDEX(LS_previous!$D$4:$AY$138, MATCH('Staging Table'!$A77, LS_previous!$B$4:$B$138, 0), MATCH(P$4&amp;P$5, LS_previous!$D$2:$AY$2&amp;LS_previous!$D$3:$AY$3, 0)),SUM(VLOOKUP($A77, LS_previous!$B$4:$AY$138, LS_previous!H$149, FALSE), VLOOKUP('Staging Table'!$A77, LS_previous!$B$4:$AY$138,LS_previous!AF$149, FALSE))/2)</f>
        <v>3374.1228748467183</v>
      </c>
      <c r="Q77" s="382">
        <f t="array" ref="Q77">IF($G77=0, INDEX(LS_previous!$D$4:$AY$138, MATCH('Staging Table'!$A77, LS_previous!$B$4:$B$138, 0), MATCH(Q$4&amp;Q$5, LS_previous!$D$2:$AY$2&amp;LS_previous!$D$3:$AY$3, 0)),SUM(VLOOKUP($A77, LS_previous!$B$4:$AY$138, LS_previous!I$149, FALSE), VLOOKUP('Staging Table'!$A77, LS_previous!$B$4:$AY$138,LS_previous!AG$149, FALSE))/2)</f>
        <v>4472.6359174680274</v>
      </c>
      <c r="R77" s="382">
        <f t="array" ref="R77">IF($G77=0, INDEX(LS_previous!$D$4:$AY$138, MATCH('Staging Table'!$A77, LS_previous!$B$4:$B$138, 0), MATCH(R$4&amp;R$5, LS_previous!$D$2:$AY$2&amp;LS_previous!$D$3:$AY$3, 0)),SUM(VLOOKUP($A77, LS_previous!$B$4:$AY$138, LS_previous!J$149, FALSE), VLOOKUP('Staging Table'!$A77, LS_previous!$B$4:$AY$138,LS_previous!AH$149, FALSE))/2)</f>
        <v>4932.8360083407424</v>
      </c>
      <c r="S77" s="382">
        <f t="array" ref="S77">IF($G77=0, INDEX(LS_previous!$D$4:$AY$138, MATCH('Staging Table'!$A77, LS_previous!$B$4:$B$138, 0), MATCH(S$4&amp;S$5, LS_previous!$D$2:$AY$2&amp;LS_previous!$D$3:$AY$3, 0)),SUM(VLOOKUP($A77, LS_previous!$B$4:$AY$138, LS_previous!K$149, FALSE), VLOOKUP('Staging Table'!$A77, LS_previous!$B$4:$AY$138,LS_previous!AI$149, FALSE))/2)</f>
        <v>4003.4715973159618</v>
      </c>
      <c r="T77" s="382">
        <f t="array" ref="T77">IF($G77=0, INDEX(LS_previous!$D$4:$AY$138, MATCH('Staging Table'!$A77, LS_previous!$B$4:$B$138, 0), MATCH(T$4&amp;T$5, LS_previous!$D$2:$AY$2&amp;LS_previous!$D$3:$AY$3, 0)),SUM(VLOOKUP($A77, LS_previous!$B$4:$AY$138, LS_previous!L$149, FALSE), VLOOKUP('Staging Table'!$A77, LS_previous!$B$4:$AY$138,LS_previous!AJ$149, FALSE))/2)</f>
        <v>3434.9952908336672</v>
      </c>
      <c r="U77" s="382">
        <f t="array" ref="U77">IF($G77=0, INDEX(LS_previous!$D$4:$AY$138, MATCH('Staging Table'!$A77, LS_previous!$B$4:$B$138, 0), MATCH(U$4&amp;U$5, LS_previous!$D$2:$AY$2&amp;LS_previous!$D$3:$AY$3, 0)),SUM(VLOOKUP($A77, LS_previous!$B$4:$AY$138, LS_previous!M$149, FALSE), VLOOKUP('Staging Table'!$A77, LS_previous!$B$4:$AY$138,LS_previous!AK$149, FALSE))/2)</f>
        <v>2621.146419764571</v>
      </c>
      <c r="V77" s="382">
        <f t="array" ref="V77">IF($G77=0, INDEX(LS_previous!$D$4:$AY$138, MATCH('Staging Table'!$A77, LS_previous!$B$4:$B$138, 0), MATCH(V$4&amp;V$5, LS_previous!$D$2:$AY$2&amp;LS_previous!$D$3:$AY$3, 0)),SUM(VLOOKUP($A77, LS_previous!$B$4:$AY$138, LS_previous!N$149, FALSE), VLOOKUP('Staging Table'!$A77, LS_previous!$B$4:$AY$138,LS_previous!AL$149, FALSE))/2)</f>
        <v>-839.57863946259386</v>
      </c>
      <c r="W77" s="382">
        <f t="array" ref="W77">IF($G77=0, INDEX(LS_previous!$D$4:$AY$138, MATCH('Staging Table'!$A77, LS_previous!$B$4:$B$138, 0), MATCH(W$4&amp;W$5, LS_previous!$D$2:$AY$2&amp;LS_previous!$D$3:$AY$3, 0)),SUM(VLOOKUP($A77, LS_previous!$B$4:$AY$138, LS_previous!O$149, FALSE), VLOOKUP('Staging Table'!$A77, LS_previous!$B$4:$AY$138,LS_previous!AM$149, FALSE))/2)</f>
        <v>-708.44640053075454</v>
      </c>
      <c r="X77" s="382">
        <f t="array" ref="X77">IF($G77=0, INDEX(LS_previous!$D$4:$AY$138, MATCH('Staging Table'!$A77, LS_previous!$B$4:$B$138, 0), MATCH(X$4&amp;X$5, LS_previous!$D$2:$AY$2&amp;LS_previous!$D$3:$AY$3, 0)),SUM(VLOOKUP($A77, LS_previous!$B$4:$AY$138, LS_previous!P$149, FALSE), VLOOKUP('Staging Table'!$A77, LS_previous!$B$4:$AY$138,LS_previous!AN$149, FALSE))/2)</f>
        <v>1289.0454177750926</v>
      </c>
      <c r="Y77" s="382">
        <f t="array" ref="Y77">IF($G77=0, INDEX(LS_previous!$D$4:$AY$138, MATCH('Staging Table'!$A77, LS_previous!$B$4:$B$138, 0), MATCH(Y$4&amp;Y$5, LS_previous!$D$2:$AY$2&amp;LS_previous!$D$3:$AY$3, 0)),SUM(VLOOKUP($A77, LS_previous!$B$4:$AY$138, LS_previous!Q$149, FALSE), VLOOKUP('Staging Table'!$A77, LS_previous!$B$4:$AY$138,LS_previous!AO$149, FALSE))/2)</f>
        <v>1395.5314225138445</v>
      </c>
      <c r="Z77" s="382">
        <f t="array" ref="Z77">IF($G77=0, INDEX(LS_previous!$D$4:$AY$138, MATCH('Staging Table'!$A77, LS_previous!$B$4:$B$138, 0), MATCH(Z$4&amp;Z$5, LS_previous!$D$2:$AY$2&amp;LS_previous!$D$3:$AY$3, 0)),SUM(VLOOKUP($A77, LS_previous!$B$4:$AY$138, LS_previous!R$149, FALSE), VLOOKUP('Staging Table'!$A77, LS_previous!$B$4:$AY$138,LS_previous!AP$149, FALSE))/2)</f>
        <v>-7053.4804689594093</v>
      </c>
      <c r="AA77" s="382">
        <f t="array" ref="AA77">IF($G77=0, INDEX(LS_previous!$D$4:$AY$138, MATCH('Staging Table'!$A77, LS_previous!$B$4:$B$138, 0), MATCH(AA$4&amp;AA$5, LS_previous!$D$2:$AY$2&amp;LS_previous!$D$3:$AY$3, 0)),SUM(VLOOKUP($A77, LS_previous!$B$4:$AY$138, LS_previous!S$149, FALSE), VLOOKUP('Staging Table'!$A77, LS_previous!$B$4:$AY$138,LS_previous!AQ$149, FALSE))/2)</f>
        <v>-3019.405851455449</v>
      </c>
      <c r="AB77" s="382">
        <f t="array" ref="AB77">IF($G77=0, INDEX(LS_previous!$D$4:$AY$138, MATCH('Staging Table'!$A77, LS_previous!$B$4:$B$138, 0), MATCH(AB$4&amp;AB$5, LS_previous!$D$2:$AY$2&amp;LS_previous!$D$3:$AY$3, 0)),SUM(VLOOKUP($A77, LS_previous!$B$4:$AY$138, LS_previous!T$149, FALSE), VLOOKUP('Staging Table'!$A77, LS_previous!$B$4:$AY$138,LS_previous!AR$149, FALSE))/2)</f>
        <v>-2635.3690993385972</v>
      </c>
      <c r="AC77" s="382">
        <f t="array" ref="AC77">IF($G77=0, INDEX(LS_previous!$D$4:$AY$138, MATCH('Staging Table'!$A77, LS_previous!$B$4:$B$138, 0), MATCH(AC$4&amp;AC$5, LS_previous!$D$2:$AY$2&amp;LS_previous!$D$3:$AY$3, 0)),SUM(VLOOKUP($A77, LS_previous!$B$4:$AY$138, LS_previous!U$149, FALSE), VLOOKUP('Staging Table'!$A77, LS_previous!$B$4:$AY$138,LS_previous!AS$149, FALSE))/2)</f>
        <v>-1610.1806265543091</v>
      </c>
      <c r="AD77" s="382">
        <f t="array" ref="AD77">IF($G77=0, INDEX(LS_previous!$D$4:$AY$138, MATCH('Staging Table'!$A77, LS_previous!$B$4:$B$138, 0), MATCH(AD$4&amp;AD$5, LS_previous!$D$2:$AY$2&amp;LS_previous!$D$3:$AY$3, 0)),SUM(VLOOKUP($A77, LS_previous!$B$4:$AY$138, LS_previous!V$149, FALSE), VLOOKUP('Staging Table'!$A77, LS_previous!$B$4:$AY$138,LS_previous!AT$149, FALSE))/2)</f>
        <v>3316.4370598923124</v>
      </c>
      <c r="AE77" s="382">
        <f t="array" ref="AE77">IF($G77=0, INDEX(LS_previous!$D$4:$AY$138, MATCH('Staging Table'!$A77, LS_previous!$B$4:$B$138, 0), MATCH(AE$4&amp;AE$5, LS_previous!$D$2:$AY$2&amp;LS_previous!$D$3:$AY$3, 0)),SUM(VLOOKUP($A77, LS_previous!$B$4:$AY$138, LS_previous!W$149, FALSE), VLOOKUP('Staging Table'!$A77, LS_previous!$B$4:$AY$138,LS_previous!AU$149, FALSE))/2)</f>
        <v>4028.4944119333904</v>
      </c>
      <c r="AF77" s="382">
        <f t="array" ref="AF77">IF($G77=0, INDEX(LS_previous!$D$4:$AY$138, MATCH('Staging Table'!$A77, LS_previous!$B$4:$B$138, 0), MATCH(AF$4&amp;AF$5, LS_previous!$D$2:$AY$2&amp;LS_previous!$D$3:$AY$3, 0)),SUM(VLOOKUP($A77, LS_previous!$B$4:$AY$138, LS_previous!X$149, FALSE), VLOOKUP('Staging Table'!$A77, LS_previous!$B$4:$AY$138,LS_previous!AV$149, FALSE))/2)</f>
        <v>3859.9531852171203</v>
      </c>
      <c r="AG77" s="382">
        <f t="array" ref="AG77">IF($G77=0, INDEX(LS_previous!$D$4:$AY$138, MATCH('Staging Table'!$A77, LS_previous!$B$4:$B$138, 0), MATCH(AG$4&amp;AG$5, LS_previous!$D$2:$AY$2&amp;LS_previous!$D$3:$AY$3, 0)),SUM(VLOOKUP($A77, LS_previous!$B$4:$AY$138, LS_previous!Y$149, FALSE), VLOOKUP('Staging Table'!$A77, LS_previous!$B$4:$AY$138,LS_previous!AW$149, FALSE))/2)</f>
        <v>3142.5020455012709</v>
      </c>
      <c r="AH77" s="382">
        <f t="array" ref="AH77">IF($G77=0, INDEX(LS_previous!$D$4:$AY$138, MATCH('Staging Table'!$A77, LS_previous!$B$4:$B$138, 0), MATCH(AH$4&amp;AH$5, LS_previous!$D$2:$AY$2&amp;LS_previous!$D$3:$AY$3, 0)),SUM(VLOOKUP($A77, LS_previous!$B$4:$AY$138, LS_previous!Z$149, FALSE), VLOOKUP('Staging Table'!$A77, LS_previous!$B$4:$AY$138,LS_previous!AX$149, FALSE))/2)</f>
        <v>3017.4037848070529</v>
      </c>
      <c r="AI77" s="382">
        <f t="array" ref="AI77">IF($G77=0, INDEX(LS_previous!$D$4:$AY$138, MATCH('Staging Table'!$A77, LS_previous!$B$4:$B$138, 0), MATCH(AI$4&amp;AI$5, LS_previous!$D$2:$AY$2&amp;LS_previous!$D$3:$AY$3, 0)),SUM(VLOOKUP($A77, LS_previous!$B$4:$AY$138, LS_previous!AA$149, FALSE), VLOOKUP('Staging Table'!$A77, LS_previous!$B$4:$AY$138,LS_previous!AY$149, FALSE))/2)</f>
        <v>2929.2077191332228</v>
      </c>
      <c r="AJ77" s="384">
        <f t="array" ref="AJ77">INDEX(Demand_previous!$D$4:$AY$138, MATCH('Staging Table'!$A77, Demand_previous!$B$4:$B$138, 0), MATCH(AJ$4&amp;AJ$5,Demand_previous!$D$2:$AY$2&amp;Demand_previous!$D$3:$AY$3, 0))/1000</f>
        <v>4.6102708333333311</v>
      </c>
      <c r="AK77" s="384">
        <f t="array" ref="AK77">INDEX(Demand_previous!$D$4:$AY$138, MATCH('Staging Table'!$A77, Demand_previous!$B$4:$B$138, 0), MATCH(AK$4&amp;AK$5,Demand_previous!$D$2:$AY$2&amp;Demand_previous!$D$3:$AY$3, 0))/1000</f>
        <v>0.84280729166665402</v>
      </c>
      <c r="AL77" s="384">
        <f t="array" ref="AL77">INDEX(Demand_previous!$D$4:$AY$138, MATCH('Staging Table'!$A77, Demand_previous!$B$4:$B$138, 0), MATCH(AL$4&amp;AL$5,Demand_previous!$D$2:$AY$2&amp;Demand_previous!$D$3:$AY$3, 0))/1000</f>
        <v>13.426747596153854</v>
      </c>
      <c r="AM77" s="384">
        <f t="array" ref="AM77">INDEX(Demand_previous!$D$4:$AY$138, MATCH('Staging Table'!$A77, Demand_previous!$B$4:$B$138, 0), MATCH(AM$4&amp;AM$5,Demand_previous!$D$2:$AY$2&amp;Demand_previous!$D$3:$AY$3, 0))/1000</f>
        <v>4.4172450000000065</v>
      </c>
      <c r="AN77" s="384">
        <f t="array" ref="AN77">INDEX(Demand_previous!$D$4:$AY$138, MATCH('Staging Table'!$A77, Demand_previous!$B$4:$B$138, 0), MATCH(AN$4&amp;AN$5,Demand_previous!$D$2:$AY$2&amp;Demand_previous!$D$3:$AY$3, 0))/1000</f>
        <v>2.1223700000000036</v>
      </c>
      <c r="AO77" s="384">
        <f t="array" ref="AO77">INDEX(Demand_previous!$D$4:$AY$138, MATCH('Staging Table'!$A77, Demand_previous!$B$4:$B$138, 0), MATCH(AO$4&amp;AO$5,Demand_previous!$D$2:$AY$2&amp;Demand_previous!$D$3:$AY$3, 0))/1000</f>
        <v>6.5152546296296245</v>
      </c>
      <c r="AP77" s="384">
        <f t="array" ref="AP77">INDEX(Demand_previous!$D$4:$AY$138, MATCH('Staging Table'!$A77, Demand_previous!$B$4:$B$138, 0), MATCH(AP$4&amp;AP$5,Demand_previous!$D$2:$AY$2&amp;Demand_previous!$D$3:$AY$3, 0))/1000</f>
        <v>3.8410745192307734</v>
      </c>
      <c r="AQ77" s="384">
        <f t="array" ref="AQ77">INDEX(Demand_previous!$D$4:$AY$138, MATCH('Staging Table'!$A77, Demand_previous!$B$4:$B$138, 0), MATCH(AQ$4&amp;AQ$5,Demand_previous!$D$2:$AY$2&amp;Demand_previous!$D$3:$AY$3, 0))/1000</f>
        <v>8.5363675000000008</v>
      </c>
      <c r="AR77" s="384">
        <f t="array" ref="AR77">INDEX(Demand_previous!$D$4:$AY$138, MATCH('Staging Table'!$A77, Demand_previous!$B$4:$B$138, 0), MATCH(AR$4&amp;AR$5,Demand_previous!$D$2:$AY$2&amp;Demand_previous!$D$3:$AY$3, 0))/1000</f>
        <v>5.6475000000000017</v>
      </c>
      <c r="AS77" s="384">
        <f t="array" ref="AS77">INDEX(Demand_previous!$D$4:$AY$138, MATCH('Staging Table'!$A77, Demand_previous!$B$4:$B$138, 0), MATCH(AS$4&amp;AS$5,Demand_previous!$D$2:$AY$2&amp;Demand_previous!$D$3:$AY$3, 0))/1000</f>
        <v>2.853834999999993</v>
      </c>
      <c r="AT77" s="384">
        <f t="array" ref="AT77">INDEX(Demand_previous!$D$4:$AY$138, MATCH('Staging Table'!$A77, Demand_previous!$B$4:$B$138, 0), MATCH(AT$4&amp;AT$5,Demand_previous!$D$2:$AY$2&amp;Demand_previous!$D$3:$AY$3, 0))/1000</f>
        <v>7.987812499999996</v>
      </c>
      <c r="AU77" s="384">
        <f t="array" ref="AU77">INDEX(Demand_previous!$D$4:$AY$138, MATCH('Staging Table'!$A77, Demand_previous!$B$4:$B$138, 0), MATCH(AU$4&amp;AU$5,Demand_previous!$D$2:$AY$2&amp;Demand_previous!$D$3:$AY$3, 0))/1000</f>
        <v>9.0884474999999938</v>
      </c>
      <c r="AV77" s="384">
        <f>IF($D77=0,IF(C77=0, MAX(AY77 - (VLOOKUP($A77,TOCA_previous!$A$2:$AI$137,MATCH("RHWM 2016",TOCA_previous!$A$2:$AI$2,0),FALSE)*$F$2*TOCA_previous!C74),0),0), 0)</f>
        <v>33367.325750553398</v>
      </c>
      <c r="AW77" s="427">
        <f>VLOOKUP($A77,REP_previous!$A$1:$D$135,MATCH("FY "&amp;$F$1&amp; " Total Refund",REP_previous!$A$1:$D$1,0),0)</f>
        <v>422286.9405816631</v>
      </c>
      <c r="AX77" s="398">
        <f>MIN(VLOOKUP($A77,TOCA_previous!$A$2:$AI$137,MATCH("TRL - NLSL - Exisiting Resource "&amp;$F$1,TOCA_previous!$A$2:$AI$2,0),FALSE)*$F$2,(VLOOKUP($A77,TOCA_previous!$A$2:$AI$137,MATCH("RHWM 2016",TOCA_previous!$A$2:$AI$2,0),FALSE)*$F$2))</f>
        <v>318867.984</v>
      </c>
      <c r="AY77" s="384">
        <f>SUM(L77:AI77)+(F77*RT1SC!$C$3*$F$2)</f>
        <v>352235.3097505534</v>
      </c>
      <c r="AZ77" s="398">
        <f>VLOOKUP($A77,TOCA_previous!$A$2:$AI$137,MATCH("Above RHWM Not Served with LS "&amp;$F$1,TOCA_previous!$A$2:$AI$2,0),FALSE)*$F$2</f>
        <v>29707.488000000001</v>
      </c>
      <c r="BA77" s="206">
        <f t="shared" si="19"/>
        <v>33367.325750553398</v>
      </c>
      <c r="BB77" s="399">
        <f>(VLOOKUP($A77,TOCA_previous!$A$2:$AI$137,MATCH("RHWM 2016",TOCA_previous!$A$2:$AI$2,0),FALSE)*$F$2) - $AX77</f>
        <v>0</v>
      </c>
      <c r="BC77" s="206">
        <f t="shared" si="20"/>
        <v>0</v>
      </c>
      <c r="BD77" s="400">
        <f t="shared" si="21"/>
        <v>0</v>
      </c>
      <c r="BE77" s="392">
        <f t="shared" si="22"/>
        <v>0</v>
      </c>
      <c r="BF77" s="399">
        <f t="shared" si="23"/>
        <v>0</v>
      </c>
      <c r="BG77" s="206">
        <f>VLOOKUP($A77,TOCA_current!$A$2:$AI$137,MATCH(BG$4,TOCA_current!$A$2:$AI$2,0),FALSE)</f>
        <v>5.1939000000000004E-3</v>
      </c>
      <c r="BH77" s="206">
        <f>VLOOKUP($A77,TOCA_current!$A$2:$AI$137,MATCH(BH$4,TOCA_current!$A$2:$AI$2,0),FALSE)</f>
        <v>5.1939000000000004E-3</v>
      </c>
      <c r="BI77" s="391">
        <f t="shared" si="24"/>
        <v>0</v>
      </c>
      <c r="BJ77" s="206">
        <f>VLOOKUP($A77,TOCA_current!A73:BG208,MATCH(BJ$4,TOCA_current!$A$2:$BG$2,0),FALSE)</f>
        <v>8.4610906268193301E-2</v>
      </c>
      <c r="BK77" s="206">
        <f t="shared" si="25"/>
        <v>0</v>
      </c>
      <c r="BL77" s="206">
        <f t="shared" si="26"/>
        <v>0</v>
      </c>
      <c r="BM77" s="381">
        <f>VLOOKUP($A77,IRD!$A$4:$G$139, 7, FALSE)</f>
        <v>21632.728999999999</v>
      </c>
      <c r="BN77" s="382">
        <f t="array" ref="BN77">IF($BI77=0, INDEX(LS_current!$D$4:$AY$139, MATCH('Staging Table'!$A77, LS_current!$B$4:$B$139, 0), MATCH(BN$4&amp;BN$5, LS_current!$D$2:$AY$2&amp;LS_current!$D$3:$AY$3, 0)),SUM(VLOOKUP($A77, LS_current!$B$4:$AY$139, LS_current!D$149, FALSE), VLOOKUP($A77, LS_current!$B$4:$AY$139,LS_current!D$149, FALSE))/2)</f>
        <v>-428.54075987280521</v>
      </c>
      <c r="BO77" s="382">
        <f t="array" ref="BO77">IF($BI77=0, INDEX(LS_current!$D$4:$AY$139, MATCH('Staging Table'!$A77, LS_current!$B$4:$B$139, 0), MATCH(BO$4&amp;BO$5, LS_current!$D$2:$AY$2&amp;LS_current!$D$3:$AY$3, 0)),SUM(VLOOKUP($A77, LS_current!$B$4:$AY$139, LS_current!E$149, FALSE), VLOOKUP($A77, LS_current!$B$4:$AY$139,LS_current!E$149, FALSE))/2)</f>
        <v>786.14230579798095</v>
      </c>
      <c r="BP77" s="382">
        <f t="array" ref="BP77">IF($BI77=0, INDEX(LS_current!$D$4:$AY$139, MATCH('Staging Table'!$A77, LS_current!$B$4:$B$139, 0), MATCH(BP$4&amp;BP$5, LS_current!$D$2:$AY$2&amp;LS_current!$D$3:$AY$3, 0)),SUM(VLOOKUP($A77, LS_current!$B$4:$AY$139, LS_current!F$149, FALSE), VLOOKUP($A77, LS_current!$B$4:$AY$139,LS_current!F$149, FALSE))/2)</f>
        <v>-2446.2450955820859</v>
      </c>
      <c r="BQ77" s="382">
        <f t="array" ref="BQ77">IF($BI77=0, INDEX(LS_current!$D$4:$AY$139, MATCH('Staging Table'!$A77, LS_current!$B$4:$B$139, 0), MATCH(BQ$4&amp;BQ$5, LS_current!$D$2:$AY$2&amp;LS_current!$D$3:$AY$3, 0)),SUM(VLOOKUP($A77, LS_current!$B$4:$AY$139, LS_current!G$149, FALSE), VLOOKUP($A77, LS_current!$B$4:$AY$139,LS_current!G$149, FALSE))/2)</f>
        <v>-431.67705662399021</v>
      </c>
      <c r="BR77" s="382">
        <f t="array" ref="BR77">IF($BI77=0, INDEX(LS_current!$D$4:$AY$139, MATCH('Staging Table'!$A77, LS_current!$B$4:$B$139, 0), MATCH(BR$4&amp;BR$5, LS_current!$D$2:$AY$2&amp;LS_current!$D$3:$AY$3, 0)),SUM(VLOOKUP($A77, LS_current!$B$4:$AY$139, LS_current!H$149, FALSE), VLOOKUP($A77, LS_current!$B$4:$AY$139,LS_current!H$149, FALSE))/2)</f>
        <v>1187.9841833045357</v>
      </c>
      <c r="BS77" s="382">
        <f t="array" ref="BS77">IF($BI77=0, INDEX(LS_current!$D$4:$AY$139, MATCH('Staging Table'!$A77, LS_current!$B$4:$B$139, 0), MATCH(BS$4&amp;BS$5, LS_current!$D$2:$AY$2&amp;LS_current!$D$3:$AY$3, 0)),SUM(VLOOKUP($A77, LS_current!$B$4:$AY$139, LS_current!I$149, FALSE), VLOOKUP($A77, LS_current!$B$4:$AY$139,LS_current!I$149, FALSE))/2)</f>
        <v>2895.8813952499095</v>
      </c>
      <c r="BT77" s="382">
        <f t="array" ref="BT77">IF($BI77=0, INDEX(LS_current!$D$4:$AY$139, MATCH('Staging Table'!$A77, LS_current!$B$4:$B$139, 0), MATCH(BT$4&amp;BT$5, LS_current!$D$2:$AY$2&amp;LS_current!$D$3:$AY$3, 0)),SUM(VLOOKUP($A77, LS_current!$B$4:$AY$139, LS_current!J$149, FALSE), VLOOKUP($A77, LS_current!$B$4:$AY$139,LS_current!J$149, FALSE))/2)</f>
        <v>2991.4693699506715</v>
      </c>
      <c r="BU77" s="382">
        <f t="array" ref="BU77">IF($BI77=0, INDEX(LS_current!$D$4:$AY$139, MATCH('Staging Table'!$A77, LS_current!$B$4:$B$139, 0), MATCH(BU$4&amp;BU$5, LS_current!$D$2:$AY$2&amp;LS_current!$D$3:$AY$3, 0)),SUM(VLOOKUP($A77, LS_current!$B$4:$AY$139, LS_current!K$149, FALSE), VLOOKUP($A77, LS_current!$B$4:$AY$139,LS_current!K$149, FALSE))/2)</f>
        <v>2668.1976729098023</v>
      </c>
      <c r="BV77" s="382">
        <f t="array" ref="BV77">IF($BI77=0, INDEX(LS_current!$D$4:$AY$139, MATCH('Staging Table'!$A77, LS_current!$B$4:$B$139, 0), MATCH(BV$4&amp;BV$5, LS_current!$D$2:$AY$2&amp;LS_current!$D$3:$AY$3, 0)),SUM(VLOOKUP($A77, LS_current!$B$4:$AY$139, LS_current!L$149, FALSE), VLOOKUP($A77, LS_current!$B$4:$AY$139,LS_current!L$149, FALSE))/2)</f>
        <v>2987.563707841935</v>
      </c>
      <c r="BW77" s="382">
        <f t="array" ref="BW77">IF($BI77=0, INDEX(LS_current!$D$4:$AY$139, MATCH('Staging Table'!$A77, LS_current!$B$4:$B$139, 0), MATCH(BW$4&amp;BW$5, LS_current!$D$2:$AY$2&amp;LS_current!$D$3:$AY$3, 0)),SUM(VLOOKUP($A77, LS_current!$B$4:$AY$139, LS_current!M$149, FALSE), VLOOKUP($A77, LS_current!$B$4:$AY$139,LS_current!M$149, FALSE))/2)</f>
        <v>2309.8666895610422</v>
      </c>
      <c r="BX77" s="382">
        <f t="array" ref="BX77">IF($BI77=0, INDEX(LS_current!$D$4:$AY$139, MATCH('Staging Table'!$A77, LS_current!$B$4:$B$139, 0), MATCH(BX$4&amp;BX$5, LS_current!$D$2:$AY$2&amp;LS_current!$D$3:$AY$3, 0)),SUM(VLOOKUP($A77, LS_current!$B$4:$AY$139, LS_current!N$149, FALSE), VLOOKUP($A77, LS_current!$B$4:$AY$139,LS_current!N$149, FALSE))/2)</f>
        <v>-1777.7299310888411</v>
      </c>
      <c r="BY77" s="382">
        <f t="array" ref="BY77">IF($BI77=0, INDEX(LS_current!$D$4:$AY$139, MATCH('Staging Table'!$A77, LS_current!$B$4:$B$139, 0), MATCH(BY$4&amp;BY$5, LS_current!$D$2:$AY$2&amp;LS_current!$D$3:$AY$3, 0)),SUM(VLOOKUP($A77, LS_current!$B$4:$AY$139, LS_current!O$149, FALSE), VLOOKUP($A77, LS_current!$B$4:$AY$139,LS_current!O$149, FALSE))/2)</f>
        <v>-1051.3627695793675</v>
      </c>
      <c r="BZ77" s="382">
        <f t="array" ref="BZ77">IF($BI77=0, INDEX(LS_current!$D$4:$AY$139, MATCH('Staging Table'!$A77, LS_current!$B$4:$B$139, 0), MATCH(BZ$4&amp;BZ$5, LS_current!$D$2:$AY$2&amp;LS_current!$D$3:$AY$3, 0)),SUM(VLOOKUP($A77, LS_current!$B$4:$AY$139, LS_current!P$149, FALSE), VLOOKUP($A77, LS_current!$B$4:$AY$139,LS_current!P$149, FALSE))/2)</f>
        <v>-1883.1639555294551</v>
      </c>
      <c r="CA77" s="382">
        <f t="array" ref="CA77">IF($BI77=0, INDEX(LS_current!$D$4:$AY$139, MATCH('Staging Table'!$A77, LS_current!$B$4:$B$139, 0), MATCH(CA$4&amp;CA$5, LS_current!$D$2:$AY$2&amp;LS_current!$D$3:$AY$3, 0)),SUM(VLOOKUP($A77, LS_current!$B$4:$AY$139, LS_current!Q$149, FALSE), VLOOKUP($A77, LS_current!$B$4:$AY$139,LS_current!Q$149, FALSE))/2)</f>
        <v>-92.466552105741357</v>
      </c>
      <c r="CB77" s="382">
        <f t="array" ref="CB77">IF($BI77=0, INDEX(LS_current!$D$4:$AY$139, MATCH('Staging Table'!$A77, LS_current!$B$4:$B$139, 0), MATCH(CB$4&amp;CB$5, LS_current!$D$2:$AY$2&amp;LS_current!$D$3:$AY$3, 0)),SUM(VLOOKUP($A77, LS_current!$B$4:$AY$139, LS_current!R$149, FALSE), VLOOKUP($A77, LS_current!$B$4:$AY$139,LS_current!R$149, FALSE))/2)</f>
        <v>-8617.4971324315684</v>
      </c>
      <c r="CC77" s="382">
        <f t="array" ref="CC77">IF($BI77=0, INDEX(LS_current!$D$4:$AY$139, MATCH('Staging Table'!$A77, LS_current!$B$4:$B$139, 0), MATCH(CC$4&amp;CC$5, LS_current!$D$2:$AY$2&amp;LS_current!$D$3:$AY$3, 0)),SUM(VLOOKUP($A77, LS_current!$B$4:$AY$139, LS_current!S$149, FALSE), VLOOKUP($A77, LS_current!$B$4:$AY$139,LS_current!S$149, FALSE))/2)</f>
        <v>-4508.1293283175874</v>
      </c>
      <c r="CD77" s="382">
        <f t="array" ref="CD77">IF($BI77=0, INDEX(LS_current!$D$4:$AY$139, MATCH('Staging Table'!$A77, LS_current!$B$4:$B$139, 0), MATCH(CD$4&amp;CD$5, LS_current!$D$2:$AY$2&amp;LS_current!$D$3:$AY$3, 0)),SUM(VLOOKUP($A77, LS_current!$B$4:$AY$139, LS_current!T$149, FALSE), VLOOKUP($A77, LS_current!$B$4:$AY$139,LS_current!T$149, FALSE))/2)</f>
        <v>-4260.5158313055963</v>
      </c>
      <c r="CE77" s="382">
        <f t="array" ref="CE77">IF($BI77=0, INDEX(LS_current!$D$4:$AY$139, MATCH('Staging Table'!$A77, LS_current!$B$4:$B$139, 0), MATCH(CE$4&amp;CE$5, LS_current!$D$2:$AY$2&amp;LS_current!$D$3:$AY$3, 0)),SUM(VLOOKUP($A77, LS_current!$B$4:$AY$139, LS_current!U$149, FALSE), VLOOKUP($A77, LS_current!$B$4:$AY$139,LS_current!U$149, FALSE))/2)</f>
        <v>-2142.4901568277455</v>
      </c>
      <c r="CF77" s="382">
        <f t="array" ref="CF77">IF($BI77=0, INDEX(LS_current!$D$4:$AY$139, MATCH('Staging Table'!$A77, LS_current!$B$4:$B$139, 0), MATCH(CF$4&amp;CF$5, LS_current!$D$2:$AY$2&amp;LS_current!$D$3:$AY$3, 0)),SUM(VLOOKUP($A77, LS_current!$B$4:$AY$139, LS_current!V$149, FALSE), VLOOKUP($A77, LS_current!$B$4:$AY$139,LS_current!V$149, FALSE))/2)</f>
        <v>2694.9906181775059</v>
      </c>
      <c r="CG77" s="382">
        <f t="array" ref="CG77">IF($BI77=0, INDEX(LS_current!$D$4:$AY$139, MATCH('Staging Table'!$A77, LS_current!$B$4:$B$139, 0), MATCH(CG$4&amp;CG$5, LS_current!$D$2:$AY$2&amp;LS_current!$D$3:$AY$3, 0)),SUM(VLOOKUP($A77, LS_current!$B$4:$AY$139, LS_current!W$149, FALSE), VLOOKUP($A77, LS_current!$B$4:$AY$139,LS_current!W$149, FALSE))/2)</f>
        <v>3244.1768898846349</v>
      </c>
      <c r="CH77" s="382">
        <f t="array" ref="CH77">IF($BI77=0, INDEX(LS_current!$D$4:$AY$139, MATCH('Staging Table'!$A77, LS_current!$B$4:$B$139, 0), MATCH(CH$4&amp;CH$5, LS_current!$D$2:$AY$2&amp;LS_current!$D$3:$AY$3, 0)),SUM(VLOOKUP($A77, LS_current!$B$4:$AY$139, LS_current!X$149, FALSE), VLOOKUP($A77, LS_current!$B$4:$AY$139,LS_current!X$149, FALSE))/2)</f>
        <v>2174.6149687620236</v>
      </c>
      <c r="CI77" s="382">
        <f t="array" ref="CI77">IF($BI77=0, INDEX(LS_current!$D$4:$AY$139, MATCH('Staging Table'!$A77, LS_current!$B$4:$B$139, 0), MATCH(CI$4&amp;CI$5, LS_current!$D$2:$AY$2&amp;LS_current!$D$3:$AY$3, 0)),SUM(VLOOKUP($A77, LS_current!$B$4:$AY$139, LS_current!Y$149, FALSE), VLOOKUP($A77, LS_current!$B$4:$AY$139,LS_current!Y$149, FALSE))/2)</f>
        <v>2145.3632568837711</v>
      </c>
      <c r="CJ77" s="382">
        <f t="array" ref="CJ77">IF($BI77=0, INDEX(LS_current!$D$4:$AY$139, MATCH('Staging Table'!$A77, LS_current!$B$4:$B$139, 0), MATCH(CJ$4&amp;CJ$5, LS_current!$D$2:$AY$2&amp;LS_current!$D$3:$AY$3, 0)),SUM(VLOOKUP($A77, LS_current!$B$4:$AY$139, LS_current!Z$149, FALSE), VLOOKUP($A77, LS_current!$B$4:$AY$139,LS_current!Z$149, FALSE))/2)</f>
        <v>47.025780243246118</v>
      </c>
      <c r="CK77" s="382">
        <f t="array" ref="CK77">IF($BI77=0, INDEX(LS_current!$D$4:$AY$139, MATCH('Staging Table'!$A77, LS_current!$B$4:$B$139, 0), MATCH(CK$4&amp;CK$5, LS_current!$D$2:$AY$2&amp;LS_current!$D$3:$AY$3, 0)),SUM(VLOOKUP($A77, LS_current!$B$4:$AY$139, LS_current!AA$149, FALSE), VLOOKUP($A77, LS_current!$B$4:$AY$139,LS_current!AA$149, FALSE))/2)</f>
        <v>1514.7831394360128</v>
      </c>
      <c r="CL77" s="384">
        <f t="array" ref="CL77">INDEX(Demand_current!$D$4:$AY$138, MATCH($A77, Demand_current!$B$4:$B$138, 0), MATCH(CL$4&amp;CL$5,Demand_current!$D$2:$AY$2&amp;Demand_current!$D$3:$AY$3, 0))/1000</f>
        <v>2.7917812499999926</v>
      </c>
      <c r="CM77" s="384">
        <f t="array" ref="CM77">INDEX(Demand_current!$D$4:$AY$138, MATCH($A77, Demand_current!$B$4:$B$138, 0), MATCH(CM$4&amp;CM$5,Demand_current!$D$2:$AY$2&amp;Demand_current!$D$3:$AY$3, 0))/1000</f>
        <v>3.0664549999999995</v>
      </c>
      <c r="CN77" s="384">
        <f t="array" ref="CN77">INDEX(Demand_current!$D$4:$AY$138, MATCH($A77, Demand_current!$B$4:$B$138, 0), MATCH(CN$4&amp;CN$5,Demand_current!$D$2:$AY$2&amp;Demand_current!$D$3:$AY$3, 0))/1000</f>
        <v>11.062657500000002</v>
      </c>
      <c r="CO77" s="384">
        <f t="array" ref="CO77">INDEX(Demand_current!$D$4:$AY$138, MATCH($A77, Demand_current!$B$4:$B$138, 0), MATCH(CO$4&amp;CO$5,Demand_current!$D$2:$AY$2&amp;Demand_current!$D$3:$AY$3, 0))/1000</f>
        <v>6.6147355769230867</v>
      </c>
      <c r="CP77" s="384">
        <f t="array" ref="CP77">INDEX(Demand_current!$D$4:$AY$138, MATCH($A77, Demand_current!$B$4:$B$138, 0), MATCH(CP$4&amp;CP$5,Demand_current!$D$2:$AY$2&amp;Demand_current!$D$3:$AY$3, 0))/1000</f>
        <v>0</v>
      </c>
      <c r="CQ77" s="384">
        <f t="array" ref="CQ77">INDEX(Demand_current!$D$4:$AY$138, MATCH($A77, Demand_current!$B$4:$B$138, 0), MATCH(CQ$4&amp;CQ$5,Demand_current!$D$2:$AY$2&amp;Demand_current!$D$3:$AY$3, 0))/1000</f>
        <v>6.5152546296296245</v>
      </c>
      <c r="CR77" s="384">
        <f t="array" ref="CR77">INDEX(Demand_current!$D$4:$AY$138, MATCH($A77, Demand_current!$B$4:$B$138, 0), MATCH(CR$4&amp;CR$5,Demand_current!$D$2:$AY$2&amp;Demand_current!$D$3:$AY$3, 0))/1000</f>
        <v>2.0908775000000053</v>
      </c>
      <c r="CS77" s="384">
        <f t="array" ref="CS77">INDEX(Demand_current!$D$4:$AY$138, MATCH($A77, Demand_current!$B$4:$B$138, 0), MATCH(CS$4&amp;CS$5,Demand_current!$D$2:$AY$2&amp;Demand_current!$D$3:$AY$3, 0))/1000</f>
        <v>10.330737980769232</v>
      </c>
      <c r="CT77" s="384">
        <f t="array" ref="CT77">INDEX(Demand_current!$D$4:$AY$138, MATCH($A77, Demand_current!$B$4:$B$138, 0), MATCH(CT$4&amp;CT$5,Demand_current!$D$2:$AY$2&amp;Demand_current!$D$3:$AY$3, 0))/1000</f>
        <v>5.6475000000000017</v>
      </c>
      <c r="CU77" s="384">
        <f t="array" ref="CU77">INDEX(Demand_current!$D$4:$AY$138, MATCH($A77, Demand_current!$B$4:$B$138, 0), MATCH(CU$4&amp;CU$5,Demand_current!$D$2:$AY$2&amp;Demand_current!$D$3:$AY$3, 0))/1000</f>
        <v>2.853834999999993</v>
      </c>
      <c r="CV77" s="384">
        <f t="array" ref="CV77">INDEX(Demand_current!$D$4:$AY$138, MATCH($A77, Demand_current!$B$4:$B$138, 0), MATCH(CV$4&amp;CV$5,Demand_current!$D$2:$AY$2&amp;Demand_current!$D$3:$AY$3, 0))/1000</f>
        <v>7.987812499999996</v>
      </c>
      <c r="CW77" s="384">
        <f t="array" ref="CW77">INDEX(Demand_current!$D$4:$AY$138, MATCH($A77, Demand_current!$B$4:$B$138, 0), MATCH(CW$4&amp;CW$5,Demand_current!$D$2:$AY$2&amp;Demand_current!$D$3:$AY$3, 0))/1000</f>
        <v>6.9914661458333285</v>
      </c>
      <c r="CX77" s="384">
        <f>IF(D77=0,IF(C77=0,MAX(0,DA77 - (VLOOKUP($A77,TOCA_current!$A$2:$AI$137,MATCH("RHWM 2018",TOCA_current!$A$2:$AI$2,0),FALSE)*$BH$2)), 0),0)</f>
        <v>6.8016098823864013</v>
      </c>
      <c r="CY77" s="427">
        <f>VLOOKUP($A77,REP_current!$A$1:$D$135,MATCH("FY "&amp;$BH$1&amp; " Total Refund",REP_current!$A$1:$D$1,0),0)</f>
        <v>425266.0217424545</v>
      </c>
      <c r="CZ77" s="432">
        <f>MIN(VLOOKUP($A77,TOCA_current!$A$2:$AI$137,MATCH("TRL - NLSL - Existing Resource "&amp;$BH$1,TOCA_current!$A$2:$AI$2,0),FALSE)*$BH$2, VLOOKUP($A77,TOCA_current!$A$2:$AI$137,MATCH("RHWM 2018",TOCA_current!$A$2:$AI$2,0),FALSE)*$BH$2)</f>
        <v>315981.95999999996</v>
      </c>
      <c r="DA77" s="397">
        <f>SUM(BN77:CK77)+(BH77*RT1SC!$C$4*$BH$2)</f>
        <v>315988.76160988235</v>
      </c>
      <c r="DB77" s="432">
        <f>VLOOKUP($A77,TOCA_current!$A$2:$AI$137,MATCH("Above RHWM Not Served with LS "&amp;$BH$1,TOCA_current!$A$2:$AI$2,0),FALSE)*$BH$2</f>
        <v>65954.039999999994</v>
      </c>
      <c r="DC77" s="401">
        <f t="shared" si="27"/>
        <v>6.8016098823864013</v>
      </c>
      <c r="DD77" s="397">
        <f>(VLOOKUP($A77,TOCA_current!$A$2:$AI$137,MATCH("RHWM 2018",TOCA_current!$A$2:$AI$2,0),FALSE)*$BH$2) - $CZ77</f>
        <v>0</v>
      </c>
      <c r="DE77" s="397">
        <f t="shared" si="28"/>
        <v>0</v>
      </c>
      <c r="DF77" s="397">
        <f t="shared" si="29"/>
        <v>0</v>
      </c>
      <c r="DG77" s="397">
        <f t="shared" si="30"/>
        <v>0</v>
      </c>
      <c r="DH77" s="397">
        <f t="shared" si="31"/>
        <v>0</v>
      </c>
    </row>
    <row r="78" spans="1:112">
      <c r="A78" s="274">
        <v>10234</v>
      </c>
      <c r="B78" s="275" t="s">
        <v>79</v>
      </c>
      <c r="C78" s="397">
        <v>0</v>
      </c>
      <c r="D78" s="397">
        <v>0</v>
      </c>
      <c r="E78" s="205">
        <f>VLOOKUP($A78,TOCA_previous!$A$2:$AI$137,MATCH(E$4,TOCA_previous!$A$2:$AI$2,0),FALSE)</f>
        <v>7.2319999999999997E-3</v>
      </c>
      <c r="F78" s="206">
        <f>VLOOKUP($A78,TOCA_previous!$A$2:$AI$137,MATCH(F$4,TOCA_previous!$A$2:$AI$2,0),FALSE)</f>
        <v>7.2319999999999997E-3</v>
      </c>
      <c r="G78" s="206">
        <f t="shared" si="16"/>
        <v>0</v>
      </c>
      <c r="H78" s="206">
        <f>VLOOKUP($A78,TOCA_previous!$A$2:$AI$137,MATCH(H$4,TOCA_previous!$A$2:$AI$2,0),FALSE)</f>
        <v>5.1360000000000003E-2</v>
      </c>
      <c r="I78" s="206">
        <f t="shared" si="17"/>
        <v>0</v>
      </c>
      <c r="J78" s="206">
        <f t="shared" si="18"/>
        <v>0</v>
      </c>
      <c r="K78" s="381">
        <f>VLOOKUP(A78, IRD!$A$5:$C$139, 3, FALSE)</f>
        <v>0</v>
      </c>
      <c r="L78" s="382">
        <f t="array" ref="L78">IF($G78=0, INDEX(LS_previous!$D$4:$AY$138, MATCH('Staging Table'!$A78, LS_previous!$B$4:$B$138, 0), MATCH(L$4&amp;L$5, LS_previous!$D$2:$AY$2&amp;LS_previous!$D$3:$AY$3, 0)),SUM(VLOOKUP($A78, LS_previous!$B$4:$AY$138, LS_previous!D$149, FALSE), VLOOKUP('Staging Table'!$A78, LS_previous!$B$4:$AY$138,LS_previous!AB$149, FALSE))/2)</f>
        <v>-1397.4475858827063</v>
      </c>
      <c r="M78" s="382">
        <f t="array" ref="M78">IF($G78=0, INDEX(LS_previous!$D$4:$AY$138, MATCH('Staging Table'!$A78, LS_previous!$B$4:$B$138, 0), MATCH(M$4&amp;M$5, LS_previous!$D$2:$AY$2&amp;LS_previous!$D$3:$AY$3, 0)),SUM(VLOOKUP($A78, LS_previous!$B$4:$AY$138, LS_previous!E$149, FALSE), VLOOKUP('Staging Table'!$A78, LS_previous!$B$4:$AY$138,LS_previous!AC$149, FALSE))/2)</f>
        <v>-2.2983493435203854</v>
      </c>
      <c r="N78" s="382">
        <f t="array" ref="N78">IF($G78=0, INDEX(LS_previous!$D$4:$AY$138, MATCH('Staging Table'!$A78, LS_previous!$B$4:$B$138, 0), MATCH(N$4&amp;N$5, LS_previous!$D$2:$AY$2&amp;LS_previous!$D$3:$AY$3, 0)),SUM(VLOOKUP($A78, LS_previous!$B$4:$AY$138, LS_previous!F$149, FALSE), VLOOKUP('Staging Table'!$A78, LS_previous!$B$4:$AY$138,LS_previous!AD$149, FALSE))/2)</f>
        <v>-416.16472132217314</v>
      </c>
      <c r="O78" s="382">
        <f t="array" ref="O78">IF($G78=0, INDEX(LS_previous!$D$4:$AY$138, MATCH('Staging Table'!$A78, LS_previous!$B$4:$B$138, 0), MATCH(O$4&amp;O$5, LS_previous!$D$2:$AY$2&amp;LS_previous!$D$3:$AY$3, 0)),SUM(VLOOKUP($A78, LS_previous!$B$4:$AY$138, LS_previous!G$149, FALSE), VLOOKUP('Staging Table'!$A78, LS_previous!$B$4:$AY$138,LS_previous!AE$149, FALSE))/2)</f>
        <v>1324.5924135433561</v>
      </c>
      <c r="P78" s="382">
        <f t="array" ref="P78">IF($G78=0, INDEX(LS_previous!$D$4:$AY$138, MATCH('Staging Table'!$A78, LS_previous!$B$4:$B$138, 0), MATCH(P$4&amp;P$5, LS_previous!$D$2:$AY$2&amp;LS_previous!$D$3:$AY$3, 0)),SUM(VLOOKUP($A78, LS_previous!$B$4:$AY$138, LS_previous!H$149, FALSE), VLOOKUP('Staging Table'!$A78, LS_previous!$B$4:$AY$138,LS_previous!AF$149, FALSE))/2)</f>
        <v>5675.7244439234128</v>
      </c>
      <c r="Q78" s="382">
        <f t="array" ref="Q78">IF($G78=0, INDEX(LS_previous!$D$4:$AY$138, MATCH('Staging Table'!$A78, LS_previous!$B$4:$B$138, 0), MATCH(Q$4&amp;Q$5, LS_previous!$D$2:$AY$2&amp;LS_previous!$D$3:$AY$3, 0)),SUM(VLOOKUP($A78, LS_previous!$B$4:$AY$138, LS_previous!I$149, FALSE), VLOOKUP('Staging Table'!$A78, LS_previous!$B$4:$AY$138,LS_previous!AG$149, FALSE))/2)</f>
        <v>5492.1650550801696</v>
      </c>
      <c r="R78" s="382">
        <f t="array" ref="R78">IF($G78=0, INDEX(LS_previous!$D$4:$AY$138, MATCH('Staging Table'!$A78, LS_previous!$B$4:$B$138, 0), MATCH(R$4&amp;R$5, LS_previous!$D$2:$AY$2&amp;LS_previous!$D$3:$AY$3, 0)),SUM(VLOOKUP($A78, LS_previous!$B$4:$AY$138, LS_previous!J$149, FALSE), VLOOKUP('Staging Table'!$A78, LS_previous!$B$4:$AY$138,LS_previous!AH$149, FALSE))/2)</f>
        <v>6310.7300300708375</v>
      </c>
      <c r="S78" s="382">
        <f t="array" ref="S78">IF($G78=0, INDEX(LS_previous!$D$4:$AY$138, MATCH('Staging Table'!$A78, LS_previous!$B$4:$B$138, 0), MATCH(S$4&amp;S$5, LS_previous!$D$2:$AY$2&amp;LS_previous!$D$3:$AY$3, 0)),SUM(VLOOKUP($A78, LS_previous!$B$4:$AY$138, LS_previous!K$149, FALSE), VLOOKUP('Staging Table'!$A78, LS_previous!$B$4:$AY$138,LS_previous!AI$149, FALSE))/2)</f>
        <v>6791.4540553610768</v>
      </c>
      <c r="T78" s="382">
        <f t="array" ref="T78">IF($G78=0, INDEX(LS_previous!$D$4:$AY$138, MATCH('Staging Table'!$A78, LS_previous!$B$4:$B$138, 0), MATCH(T$4&amp;T$5, LS_previous!$D$2:$AY$2&amp;LS_previous!$D$3:$AY$3, 0)),SUM(VLOOKUP($A78, LS_previous!$B$4:$AY$138, LS_previous!L$149, FALSE), VLOOKUP('Staging Table'!$A78, LS_previous!$B$4:$AY$138,LS_previous!AJ$149, FALSE))/2)</f>
        <v>4739.0056185189787</v>
      </c>
      <c r="U78" s="382">
        <f t="array" ref="U78">IF($G78=0, INDEX(LS_previous!$D$4:$AY$138, MATCH('Staging Table'!$A78, LS_previous!$B$4:$B$138, 0), MATCH(U$4&amp;U$5, LS_previous!$D$2:$AY$2&amp;LS_previous!$D$3:$AY$3, 0)),SUM(VLOOKUP($A78, LS_previous!$B$4:$AY$138, LS_previous!M$149, FALSE), VLOOKUP('Staging Table'!$A78, LS_previous!$B$4:$AY$138,LS_previous!AK$149, FALSE))/2)</f>
        <v>4033.3194220793648</v>
      </c>
      <c r="V78" s="382">
        <f t="array" ref="V78">IF($G78=0, INDEX(LS_previous!$D$4:$AY$138, MATCH('Staging Table'!$A78, LS_previous!$B$4:$B$138, 0), MATCH(V$4&amp;V$5, LS_previous!$D$2:$AY$2&amp;LS_previous!$D$3:$AY$3, 0)),SUM(VLOOKUP($A78, LS_previous!$B$4:$AY$138, LS_previous!N$149, FALSE), VLOOKUP('Staging Table'!$A78, LS_previous!$B$4:$AY$138,LS_previous!AL$149, FALSE))/2)</f>
        <v>1517.4512390363416</v>
      </c>
      <c r="W78" s="382">
        <f t="array" ref="W78">IF($G78=0, INDEX(LS_previous!$D$4:$AY$138, MATCH('Staging Table'!$A78, LS_previous!$B$4:$B$138, 0), MATCH(W$4&amp;W$5, LS_previous!$D$2:$AY$2&amp;LS_previous!$D$3:$AY$3, 0)),SUM(VLOOKUP($A78, LS_previous!$B$4:$AY$138, LS_previous!O$149, FALSE), VLOOKUP('Staging Table'!$A78, LS_previous!$B$4:$AY$138,LS_previous!AM$149, FALSE))/2)</f>
        <v>839.06875056971148</v>
      </c>
      <c r="X78" s="382">
        <f t="array" ref="X78">IF($G78=0, INDEX(LS_previous!$D$4:$AY$138, MATCH('Staging Table'!$A78, LS_previous!$B$4:$B$138, 0), MATCH(X$4&amp;X$5, LS_previous!$D$2:$AY$2&amp;LS_previous!$D$3:$AY$3, 0)),SUM(VLOOKUP($A78, LS_previous!$B$4:$AY$138, LS_previous!P$149, FALSE), VLOOKUP('Staging Table'!$A78, LS_previous!$B$4:$AY$138,LS_previous!AN$149, FALSE))/2)</f>
        <v>1650.9654328542383</v>
      </c>
      <c r="Y78" s="382">
        <f t="array" ref="Y78">IF($G78=0, INDEX(LS_previous!$D$4:$AY$138, MATCH('Staging Table'!$A78, LS_previous!$B$4:$B$138, 0), MATCH(Y$4&amp;Y$5, LS_previous!$D$2:$AY$2&amp;LS_previous!$D$3:$AY$3, 0)),SUM(VLOOKUP($A78, LS_previous!$B$4:$AY$138, LS_previous!Q$149, FALSE), VLOOKUP('Staging Table'!$A78, LS_previous!$B$4:$AY$138,LS_previous!AO$149, FALSE))/2)</f>
        <v>1298.5887952485646</v>
      </c>
      <c r="Z78" s="382">
        <f t="array" ref="Z78">IF($G78=0, INDEX(LS_previous!$D$4:$AY$138, MATCH('Staging Table'!$A78, LS_previous!$B$4:$B$138, 0), MATCH(Z$4&amp;Z$5, LS_previous!$D$2:$AY$2&amp;LS_previous!$D$3:$AY$3, 0)),SUM(VLOOKUP($A78, LS_previous!$B$4:$AY$138, LS_previous!R$149, FALSE), VLOOKUP('Staging Table'!$A78, LS_previous!$B$4:$AY$138,LS_previous!AP$149, FALSE))/2)</f>
        <v>-12703.880854015555</v>
      </c>
      <c r="AA78" s="382">
        <f t="array" ref="AA78">IF($G78=0, INDEX(LS_previous!$D$4:$AY$138, MATCH('Staging Table'!$A78, LS_previous!$B$4:$B$138, 0), MATCH(AA$4&amp;AA$5, LS_previous!$D$2:$AY$2&amp;LS_previous!$D$3:$AY$3, 0)),SUM(VLOOKUP($A78, LS_previous!$B$4:$AY$138, LS_previous!S$149, FALSE), VLOOKUP('Staging Table'!$A78, LS_previous!$B$4:$AY$138,LS_previous!AQ$149, FALSE))/2)</f>
        <v>-4698.5960007936683</v>
      </c>
      <c r="AB78" s="382">
        <f t="array" ref="AB78">IF($G78=0, INDEX(LS_previous!$D$4:$AY$138, MATCH('Staging Table'!$A78, LS_previous!$B$4:$B$138, 0), MATCH(AB$4&amp;AB$5, LS_previous!$D$2:$AY$2&amp;LS_previous!$D$3:$AY$3, 0)),SUM(VLOOKUP($A78, LS_previous!$B$4:$AY$138, LS_previous!T$149, FALSE), VLOOKUP('Staging Table'!$A78, LS_previous!$B$4:$AY$138,LS_previous!AR$149, FALSE))/2)</f>
        <v>-5128.8878633457862</v>
      </c>
      <c r="AC78" s="382">
        <f t="array" ref="AC78">IF($G78=0, INDEX(LS_previous!$D$4:$AY$138, MATCH('Staging Table'!$A78, LS_previous!$B$4:$B$138, 0), MATCH(AC$4&amp;AC$5, LS_previous!$D$2:$AY$2&amp;LS_previous!$D$3:$AY$3, 0)),SUM(VLOOKUP($A78, LS_previous!$B$4:$AY$138, LS_previous!U$149, FALSE), VLOOKUP('Staging Table'!$A78, LS_previous!$B$4:$AY$138,LS_previous!AS$149, FALSE))/2)</f>
        <v>-2971.2606001925124</v>
      </c>
      <c r="AD78" s="382">
        <f t="array" ref="AD78">IF($G78=0, INDEX(LS_previous!$D$4:$AY$138, MATCH('Staging Table'!$A78, LS_previous!$B$4:$B$138, 0), MATCH(AD$4&amp;AD$5, LS_previous!$D$2:$AY$2&amp;LS_previous!$D$3:$AY$3, 0)),SUM(VLOOKUP($A78, LS_previous!$B$4:$AY$138, LS_previous!V$149, FALSE), VLOOKUP('Staging Table'!$A78, LS_previous!$B$4:$AY$138,LS_previous!AT$149, FALSE))/2)</f>
        <v>-1100.3874614609886</v>
      </c>
      <c r="AE78" s="382">
        <f t="array" ref="AE78">IF($G78=0, INDEX(LS_previous!$D$4:$AY$138, MATCH('Staging Table'!$A78, LS_previous!$B$4:$B$138, 0), MATCH(AE$4&amp;AE$5, LS_previous!$D$2:$AY$2&amp;LS_previous!$D$3:$AY$3, 0)),SUM(VLOOKUP($A78, LS_previous!$B$4:$AY$138, LS_previous!W$149, FALSE), VLOOKUP('Staging Table'!$A78, LS_previous!$B$4:$AY$138,LS_previous!AU$149, FALSE))/2)</f>
        <v>1521.2741366386363</v>
      </c>
      <c r="AF78" s="382">
        <f t="array" ref="AF78">IF($G78=0, INDEX(LS_previous!$D$4:$AY$138, MATCH('Staging Table'!$A78, LS_previous!$B$4:$B$138, 0), MATCH(AF$4&amp;AF$5, LS_previous!$D$2:$AY$2&amp;LS_previous!$D$3:$AY$3, 0)),SUM(VLOOKUP($A78, LS_previous!$B$4:$AY$138, LS_previous!X$149, FALSE), VLOOKUP('Staging Table'!$A78, LS_previous!$B$4:$AY$138,LS_previous!AV$149, FALSE))/2)</f>
        <v>-2049.0880550380462</v>
      </c>
      <c r="AG78" s="382">
        <f t="array" ref="AG78">IF($G78=0, INDEX(LS_previous!$D$4:$AY$138, MATCH('Staging Table'!$A78, LS_previous!$B$4:$B$138, 0), MATCH(AG$4&amp;AG$5, LS_previous!$D$2:$AY$2&amp;LS_previous!$D$3:$AY$3, 0)),SUM(VLOOKUP($A78, LS_previous!$B$4:$AY$138, LS_previous!Y$149, FALSE), VLOOKUP('Staging Table'!$A78, LS_previous!$B$4:$AY$138,LS_previous!AW$149, FALSE))/2)</f>
        <v>-78.593948394660401</v>
      </c>
      <c r="AH78" s="382">
        <f t="array" ref="AH78">IF($G78=0, INDEX(LS_previous!$D$4:$AY$138, MATCH('Staging Table'!$A78, LS_previous!$B$4:$B$138, 0), MATCH(AH$4&amp;AH$5, LS_previous!$D$2:$AY$2&amp;LS_previous!$D$3:$AY$3, 0)),SUM(VLOOKUP($A78, LS_previous!$B$4:$AY$138, LS_previous!Z$149, FALSE), VLOOKUP('Staging Table'!$A78, LS_previous!$B$4:$AY$138,LS_previous!AX$149, FALSE))/2)</f>
        <v>-222.18952590708795</v>
      </c>
      <c r="AI78" s="382">
        <f t="array" ref="AI78">IF($G78=0, INDEX(LS_previous!$D$4:$AY$138, MATCH('Staging Table'!$A78, LS_previous!$B$4:$B$138, 0), MATCH(AI$4&amp;AI$5, LS_previous!$D$2:$AY$2&amp;LS_previous!$D$3:$AY$3, 0)),SUM(VLOOKUP($A78, LS_previous!$B$4:$AY$138, LS_previous!AA$149, FALSE), VLOOKUP('Staging Table'!$A78, LS_previous!$B$4:$AY$138,LS_previous!AY$149, FALSE))/2)</f>
        <v>207.05401245988287</v>
      </c>
      <c r="AJ78" s="384">
        <f t="array" ref="AJ78">INDEX(Demand_previous!$D$4:$AY$138, MATCH('Staging Table'!$A78, Demand_previous!$B$4:$B$138, 0), MATCH(AJ$4&amp;AJ$5,Demand_previous!$D$2:$AY$2&amp;Demand_previous!$D$3:$AY$3, 0))/1000</f>
        <v>5.105182870370367</v>
      </c>
      <c r="AK78" s="384">
        <f t="array" ref="AK78">INDEX(Demand_previous!$D$4:$AY$138, MATCH('Staging Table'!$A78, Demand_previous!$B$4:$B$138, 0), MATCH(AK$4&amp;AK$5,Demand_previous!$D$2:$AY$2&amp;Demand_previous!$D$3:$AY$3, 0))/1000</f>
        <v>4.5529557291666762</v>
      </c>
      <c r="AL78" s="384">
        <f t="array" ref="AL78">INDEX(Demand_previous!$D$4:$AY$138, MATCH('Staging Table'!$A78, Demand_previous!$B$4:$B$138, 0), MATCH(AL$4&amp;AL$5,Demand_previous!$D$2:$AY$2&amp;Demand_previous!$D$3:$AY$3, 0))/1000</f>
        <v>14.007336538461544</v>
      </c>
      <c r="AM78" s="384">
        <f t="array" ref="AM78">INDEX(Demand_previous!$D$4:$AY$138, MATCH('Staging Table'!$A78, Demand_previous!$B$4:$B$138, 0), MATCH(AM$4&amp;AM$5,Demand_previous!$D$2:$AY$2&amp;Demand_previous!$D$3:$AY$3, 0))/1000</f>
        <v>7.3886249999999976</v>
      </c>
      <c r="AN78" s="384">
        <f t="array" ref="AN78">INDEX(Demand_previous!$D$4:$AY$138, MATCH('Staging Table'!$A78, Demand_previous!$B$4:$B$138, 0), MATCH(AN$4&amp;AN$5,Demand_previous!$D$2:$AY$2&amp;Demand_previous!$D$3:$AY$3, 0))/1000</f>
        <v>1.3684499999999993</v>
      </c>
      <c r="AO78" s="384">
        <f t="array" ref="AO78">INDEX(Demand_previous!$D$4:$AY$138, MATCH('Staging Table'!$A78, Demand_previous!$B$4:$B$138, 0), MATCH(AO$4&amp;AO$5,Demand_previous!$D$2:$AY$2&amp;Demand_previous!$D$3:$AY$3, 0))/1000</f>
        <v>4.4173750000000034</v>
      </c>
      <c r="AP78" s="384">
        <f t="array" ref="AP78">INDEX(Demand_previous!$D$4:$AY$138, MATCH('Staging Table'!$A78, Demand_previous!$B$4:$B$138, 0), MATCH(AP$4&amp;AP$5,Demand_previous!$D$2:$AY$2&amp;Demand_previous!$D$3:$AY$3, 0))/1000</f>
        <v>5.362415865384607</v>
      </c>
      <c r="AQ78" s="384">
        <f t="array" ref="AQ78">INDEX(Demand_previous!$D$4:$AY$138, MATCH('Staging Table'!$A78, Demand_previous!$B$4:$B$138, 0), MATCH(AQ$4&amp;AQ$5,Demand_previous!$D$2:$AY$2&amp;Demand_previous!$D$3:$AY$3, 0))/1000</f>
        <v>8.2398375000000001</v>
      </c>
      <c r="AR78" s="384">
        <f t="array" ref="AR78">INDEX(Demand_previous!$D$4:$AY$138, MATCH('Staging Table'!$A78, Demand_previous!$B$4:$B$138, 0), MATCH(AR$4&amp;AR$5,Demand_previous!$D$2:$AY$2&amp;Demand_previous!$D$3:$AY$3, 0))/1000</f>
        <v>5.8964687499999986</v>
      </c>
      <c r="AS78" s="384">
        <f t="array" ref="AS78">INDEX(Demand_previous!$D$4:$AY$138, MATCH('Staging Table'!$A78, Demand_previous!$B$4:$B$138, 0), MATCH(AS$4&amp;AS$5,Demand_previous!$D$2:$AY$2&amp;Demand_previous!$D$3:$AY$3, 0))/1000</f>
        <v>7.520492499999996</v>
      </c>
      <c r="AT78" s="384">
        <f t="array" ref="AT78">INDEX(Demand_previous!$D$4:$AY$138, MATCH('Staging Table'!$A78, Demand_previous!$B$4:$B$138, 0), MATCH(AT$4&amp;AT$5,Demand_previous!$D$2:$AY$2&amp;Demand_previous!$D$3:$AY$3, 0))/1000</f>
        <v>7.5599444444444437</v>
      </c>
      <c r="AU78" s="384">
        <f t="array" ref="AU78">INDEX(Demand_previous!$D$4:$AY$138, MATCH('Staging Table'!$A78, Demand_previous!$B$4:$B$138, 0), MATCH(AU$4&amp;AU$5,Demand_previous!$D$2:$AY$2&amp;Demand_previous!$D$3:$AY$3, 0))/1000</f>
        <v>8.1307325000000041</v>
      </c>
      <c r="AV78" s="384">
        <f>IF($D78=0,IF(C78=0, MAX(AY78 - (VLOOKUP($A78,TOCA_previous!$A$2:$AI$137,MATCH("RHWM 2016",TOCA_previous!$A$2:$AI$2,0),FALSE)*$F$2*TOCA_previous!C75),0),0), 0)</f>
        <v>10629.706044167862</v>
      </c>
      <c r="AW78" s="427">
        <f>VLOOKUP($A78,REP_previous!$A$1:$D$135,MATCH("FY "&amp;$F$1&amp; " Total Refund",REP_previous!$A$1:$D$1,0),0)</f>
        <v>282481.3429259336</v>
      </c>
      <c r="AX78" s="398">
        <f>MIN(VLOOKUP($A78,TOCA_previous!$A$2:$AI$137,MATCH("TRL - NLSL - Exisiting Resource "&amp;$F$1,TOCA_previous!$A$2:$AI$2,0),FALSE)*$F$2,(VLOOKUP($A78,TOCA_previous!$A$2:$AI$137,MATCH("RHWM 2016",TOCA_previous!$A$2:$AI$2,0),FALSE)*$F$2))</f>
        <v>443609.56800000003</v>
      </c>
      <c r="AY78" s="384">
        <f>SUM(L78:AI78)+(F78*RT1SC!$C$3*$F$2)</f>
        <v>454239.27404416789</v>
      </c>
      <c r="AZ78" s="398">
        <f>VLOOKUP($A78,TOCA_previous!$A$2:$AI$137,MATCH("Above RHWM Not Served with LS "&amp;$F$1,TOCA_previous!$A$2:$AI$2,0),FALSE)*$F$2</f>
        <v>12078</v>
      </c>
      <c r="BA78" s="206">
        <f t="shared" si="19"/>
        <v>10629.706044167862</v>
      </c>
      <c r="BB78" s="399">
        <f>(VLOOKUP($A78,TOCA_previous!$A$2:$AI$137,MATCH("RHWM 2016",TOCA_previous!$A$2:$AI$2,0),FALSE)*$F$2) - $AX78</f>
        <v>0</v>
      </c>
      <c r="BC78" s="206">
        <f t="shared" si="20"/>
        <v>0</v>
      </c>
      <c r="BD78" s="400">
        <f t="shared" si="21"/>
        <v>0</v>
      </c>
      <c r="BE78" s="392">
        <f t="shared" si="22"/>
        <v>0</v>
      </c>
      <c r="BF78" s="399">
        <f t="shared" si="23"/>
        <v>0</v>
      </c>
      <c r="BG78" s="206">
        <f>VLOOKUP($A78,TOCA_current!$A$2:$AI$137,MATCH(BG$4,TOCA_current!$A$2:$AI$2,0),FALSE)</f>
        <v>7.2256000000000004E-3</v>
      </c>
      <c r="BH78" s="206">
        <f>VLOOKUP($A78,TOCA_current!$A$2:$AI$137,MATCH(BH$4,TOCA_current!$A$2:$AI$2,0),FALSE)</f>
        <v>7.2256000000000004E-3</v>
      </c>
      <c r="BI78" s="391">
        <f t="shared" si="24"/>
        <v>0</v>
      </c>
      <c r="BJ78" s="206">
        <f>VLOOKUP($A78,TOCA_current!A74:BG209,MATCH(BJ$4,TOCA_current!$A$2:$BG$2,0),FALSE)</f>
        <v>5.3040991610370458E-2</v>
      </c>
      <c r="BK78" s="206">
        <f t="shared" si="25"/>
        <v>0</v>
      </c>
      <c r="BL78" s="206">
        <f t="shared" si="26"/>
        <v>0</v>
      </c>
      <c r="BM78" s="381">
        <f>VLOOKUP($A78,IRD!$A$4:$G$139, 7, FALSE)</f>
        <v>0</v>
      </c>
      <c r="BN78" s="382">
        <f t="array" ref="BN78">IF($BI78=0, INDEX(LS_current!$D$4:$AY$139, MATCH('Staging Table'!$A78, LS_current!$B$4:$B$139, 0), MATCH(BN$4&amp;BN$5, LS_current!$D$2:$AY$2&amp;LS_current!$D$3:$AY$3, 0)),SUM(VLOOKUP($A78, LS_current!$B$4:$AY$139, LS_current!D$149, FALSE), VLOOKUP($A78, LS_current!$B$4:$AY$139,LS_current!D$149, FALSE))/2)</f>
        <v>-2171.6329729561512</v>
      </c>
      <c r="BO78" s="382">
        <f t="array" ref="BO78">IF($BI78=0, INDEX(LS_current!$D$4:$AY$139, MATCH('Staging Table'!$A78, LS_current!$B$4:$B$139, 0), MATCH(BO$4&amp;BO$5, LS_current!$D$2:$AY$2&amp;LS_current!$D$3:$AY$3, 0)),SUM(VLOOKUP($A78, LS_current!$B$4:$AY$139, LS_current!E$149, FALSE), VLOOKUP($A78, LS_current!$B$4:$AY$139,LS_current!E$149, FALSE))/2)</f>
        <v>79.626837034578784</v>
      </c>
      <c r="BP78" s="382">
        <f t="array" ref="BP78">IF($BI78=0, INDEX(LS_current!$D$4:$AY$139, MATCH('Staging Table'!$A78, LS_current!$B$4:$B$139, 0), MATCH(BP$4&amp;BP$5, LS_current!$D$2:$AY$2&amp;LS_current!$D$3:$AY$3, 0)),SUM(VLOOKUP($A78, LS_current!$B$4:$AY$139, LS_current!F$149, FALSE), VLOOKUP($A78, LS_current!$B$4:$AY$139,LS_current!F$149, FALSE))/2)</f>
        <v>-1625.7323319928983</v>
      </c>
      <c r="BQ78" s="382">
        <f t="array" ref="BQ78">IF($BI78=0, INDEX(LS_current!$D$4:$AY$139, MATCH('Staging Table'!$A78, LS_current!$B$4:$B$139, 0), MATCH(BQ$4&amp;BQ$5, LS_current!$D$2:$AY$2&amp;LS_current!$D$3:$AY$3, 0)),SUM(VLOOKUP($A78, LS_current!$B$4:$AY$139, LS_current!G$149, FALSE), VLOOKUP($A78, LS_current!$B$4:$AY$139,LS_current!G$149, FALSE))/2)</f>
        <v>962.89797908271066</v>
      </c>
      <c r="BR78" s="382">
        <f t="array" ref="BR78">IF($BI78=0, INDEX(LS_current!$D$4:$AY$139, MATCH('Staging Table'!$A78, LS_current!$B$4:$B$139, 0), MATCH(BR$4&amp;BR$5, LS_current!$D$2:$AY$2&amp;LS_current!$D$3:$AY$3, 0)),SUM(VLOOKUP($A78, LS_current!$B$4:$AY$139, LS_current!H$149, FALSE), VLOOKUP($A78, LS_current!$B$4:$AY$139,LS_current!H$149, FALSE))/2)</f>
        <v>4218.5097680134822</v>
      </c>
      <c r="BS78" s="382">
        <f t="array" ref="BS78">IF($BI78=0, INDEX(LS_current!$D$4:$AY$139, MATCH('Staging Table'!$A78, LS_current!$B$4:$B$139, 0), MATCH(BS$4&amp;BS$5, LS_current!$D$2:$AY$2&amp;LS_current!$D$3:$AY$3, 0)),SUM(VLOOKUP($A78, LS_current!$B$4:$AY$139, LS_current!I$149, FALSE), VLOOKUP($A78, LS_current!$B$4:$AY$139,LS_current!I$149, FALSE))/2)</f>
        <v>4759.9198320756568</v>
      </c>
      <c r="BT78" s="382">
        <f t="array" ref="BT78">IF($BI78=0, INDEX(LS_current!$D$4:$AY$139, MATCH('Staging Table'!$A78, LS_current!$B$4:$B$139, 0), MATCH(BT$4&amp;BT$5, LS_current!$D$2:$AY$2&amp;LS_current!$D$3:$AY$3, 0)),SUM(VLOOKUP($A78, LS_current!$B$4:$AY$139, LS_current!J$149, FALSE), VLOOKUP($A78, LS_current!$B$4:$AY$139,LS_current!J$149, FALSE))/2)</f>
        <v>5366.0032243430869</v>
      </c>
      <c r="BU78" s="382">
        <f t="array" ref="BU78">IF($BI78=0, INDEX(LS_current!$D$4:$AY$139, MATCH('Staging Table'!$A78, LS_current!$B$4:$B$139, 0), MATCH(BU$4&amp;BU$5, LS_current!$D$2:$AY$2&amp;LS_current!$D$3:$AY$3, 0)),SUM(VLOOKUP($A78, LS_current!$B$4:$AY$139, LS_current!K$149, FALSE), VLOOKUP($A78, LS_current!$B$4:$AY$139,LS_current!K$149, FALSE))/2)</f>
        <v>6223.0779525168109</v>
      </c>
      <c r="BV78" s="382">
        <f t="array" ref="BV78">IF($BI78=0, INDEX(LS_current!$D$4:$AY$139, MATCH('Staging Table'!$A78, LS_current!$B$4:$B$139, 0), MATCH(BV$4&amp;BV$5, LS_current!$D$2:$AY$2&amp;LS_current!$D$3:$AY$3, 0)),SUM(VLOOKUP($A78, LS_current!$B$4:$AY$139, LS_current!L$149, FALSE), VLOOKUP($A78, LS_current!$B$4:$AY$139,LS_current!L$149, FALSE))/2)</f>
        <v>5635.0545641199606</v>
      </c>
      <c r="BW78" s="382">
        <f t="array" ref="BW78">IF($BI78=0, INDEX(LS_current!$D$4:$AY$139, MATCH('Staging Table'!$A78, LS_current!$B$4:$B$139, 0), MATCH(BW$4&amp;BW$5, LS_current!$D$2:$AY$2&amp;LS_current!$D$3:$AY$3, 0)),SUM(VLOOKUP($A78, LS_current!$B$4:$AY$139, LS_current!M$149, FALSE), VLOOKUP($A78, LS_current!$B$4:$AY$139,LS_current!M$149, FALSE))/2)</f>
        <v>4752.4149004779174</v>
      </c>
      <c r="BX78" s="382">
        <f t="array" ref="BX78">IF($BI78=0, INDEX(LS_current!$D$4:$AY$139, MATCH('Staging Table'!$A78, LS_current!$B$4:$B$139, 0), MATCH(BX$4&amp;BX$5, LS_current!$D$2:$AY$2&amp;LS_current!$D$3:$AY$3, 0)),SUM(VLOOKUP($A78, LS_current!$B$4:$AY$139, LS_current!N$149, FALSE), VLOOKUP($A78, LS_current!$B$4:$AY$139,LS_current!N$149, FALSE))/2)</f>
        <v>1980.588412353809</v>
      </c>
      <c r="BY78" s="382">
        <f t="array" ref="BY78">IF($BI78=0, INDEX(LS_current!$D$4:$AY$139, MATCH('Staging Table'!$A78, LS_current!$B$4:$B$139, 0), MATCH(BY$4&amp;BY$5, LS_current!$D$2:$AY$2&amp;LS_current!$D$3:$AY$3, 0)),SUM(VLOOKUP($A78, LS_current!$B$4:$AY$139, LS_current!O$149, FALSE), VLOOKUP($A78, LS_current!$B$4:$AY$139,LS_current!O$149, FALSE))/2)</f>
        <v>1634.9519248209108</v>
      </c>
      <c r="BZ78" s="382">
        <f t="array" ref="BZ78">IF($BI78=0, INDEX(LS_current!$D$4:$AY$139, MATCH('Staging Table'!$A78, LS_current!$B$4:$B$139, 0), MATCH(BZ$4&amp;BZ$5, LS_current!$D$2:$AY$2&amp;LS_current!$D$3:$AY$3, 0)),SUM(VLOOKUP($A78, LS_current!$B$4:$AY$139, LS_current!P$149, FALSE), VLOOKUP($A78, LS_current!$B$4:$AY$139,LS_current!P$149, FALSE))/2)</f>
        <v>-1178.1563072399549</v>
      </c>
      <c r="CA78" s="382">
        <f t="array" ref="CA78">IF($BI78=0, INDEX(LS_current!$D$4:$AY$139, MATCH('Staging Table'!$A78, LS_current!$B$4:$B$139, 0), MATCH(CA$4&amp;CA$5, LS_current!$D$2:$AY$2&amp;LS_current!$D$3:$AY$3, 0)),SUM(VLOOKUP($A78, LS_current!$B$4:$AY$139, LS_current!Q$149, FALSE), VLOOKUP($A78, LS_current!$B$4:$AY$139,LS_current!Q$149, FALSE))/2)</f>
        <v>591.53235705438055</v>
      </c>
      <c r="CB78" s="382">
        <f t="array" ref="CB78">IF($BI78=0, INDEX(LS_current!$D$4:$AY$139, MATCH('Staging Table'!$A78, LS_current!$B$4:$B$139, 0), MATCH(CB$4&amp;CB$5, LS_current!$D$2:$AY$2&amp;LS_current!$D$3:$AY$3, 0)),SUM(VLOOKUP($A78, LS_current!$B$4:$AY$139, LS_current!R$149, FALSE), VLOOKUP($A78, LS_current!$B$4:$AY$139,LS_current!R$149, FALSE))/2)</f>
        <v>-13123.465442114317</v>
      </c>
      <c r="CC78" s="382">
        <f t="array" ref="CC78">IF($BI78=0, INDEX(LS_current!$D$4:$AY$139, MATCH('Staging Table'!$A78, LS_current!$B$4:$B$139, 0), MATCH(CC$4&amp;CC$5, LS_current!$D$2:$AY$2&amp;LS_current!$D$3:$AY$3, 0)),SUM(VLOOKUP($A78, LS_current!$B$4:$AY$139, LS_current!S$149, FALSE), VLOOKUP($A78, LS_current!$B$4:$AY$139,LS_current!S$149, FALSE))/2)</f>
        <v>-5480.3726632571943</v>
      </c>
      <c r="CD78" s="382">
        <f t="array" ref="CD78">IF($BI78=0, INDEX(LS_current!$D$4:$AY$139, MATCH('Staging Table'!$A78, LS_current!$B$4:$B$139, 0), MATCH(CD$4&amp;CD$5, LS_current!$D$2:$AY$2&amp;LS_current!$D$3:$AY$3, 0)),SUM(VLOOKUP($A78, LS_current!$B$4:$AY$139, LS_current!T$149, FALSE), VLOOKUP($A78, LS_current!$B$4:$AY$139,LS_current!T$149, FALSE))/2)</f>
        <v>-5686.9102338477278</v>
      </c>
      <c r="CE78" s="382">
        <f t="array" ref="CE78">IF($BI78=0, INDEX(LS_current!$D$4:$AY$139, MATCH('Staging Table'!$A78, LS_current!$B$4:$B$139, 0), MATCH(CE$4&amp;CE$5, LS_current!$D$2:$AY$2&amp;LS_current!$D$3:$AY$3, 0)),SUM(VLOOKUP($A78, LS_current!$B$4:$AY$139, LS_current!U$149, FALSE), VLOOKUP($A78, LS_current!$B$4:$AY$139,LS_current!U$149, FALSE))/2)</f>
        <v>-2467.4953591279282</v>
      </c>
      <c r="CF78" s="382">
        <f t="array" ref="CF78">IF($BI78=0, INDEX(LS_current!$D$4:$AY$139, MATCH('Staging Table'!$A78, LS_current!$B$4:$B$139, 0), MATCH(CF$4&amp;CF$5, LS_current!$D$2:$AY$2&amp;LS_current!$D$3:$AY$3, 0)),SUM(VLOOKUP($A78, LS_current!$B$4:$AY$139, LS_current!V$149, FALSE), VLOOKUP($A78, LS_current!$B$4:$AY$139,LS_current!V$149, FALSE))/2)</f>
        <v>-327.60053085285108</v>
      </c>
      <c r="CG78" s="382">
        <f t="array" ref="CG78">IF($BI78=0, INDEX(LS_current!$D$4:$AY$139, MATCH('Staging Table'!$A78, LS_current!$B$4:$B$139, 0), MATCH(CG$4&amp;CG$5, LS_current!$D$2:$AY$2&amp;LS_current!$D$3:$AY$3, 0)),SUM(VLOOKUP($A78, LS_current!$B$4:$AY$139, LS_current!W$149, FALSE), VLOOKUP($A78, LS_current!$B$4:$AY$139,LS_current!W$149, FALSE))/2)</f>
        <v>1838.1075178864485</v>
      </c>
      <c r="CH78" s="382">
        <f t="array" ref="CH78">IF($BI78=0, INDEX(LS_current!$D$4:$AY$139, MATCH('Staging Table'!$A78, LS_current!$B$4:$B$139, 0), MATCH(CH$4&amp;CH$5, LS_current!$D$2:$AY$2&amp;LS_current!$D$3:$AY$3, 0)),SUM(VLOOKUP($A78, LS_current!$B$4:$AY$139, LS_current!X$149, FALSE), VLOOKUP($A78, LS_current!$B$4:$AY$139,LS_current!X$149, FALSE))/2)</f>
        <v>-2625.3745714228462</v>
      </c>
      <c r="CI78" s="382">
        <f t="array" ref="CI78">IF($BI78=0, INDEX(LS_current!$D$4:$AY$139, MATCH('Staging Table'!$A78, LS_current!$B$4:$B$139, 0), MATCH(CI$4&amp;CI$5, LS_current!$D$2:$AY$2&amp;LS_current!$D$3:$AY$3, 0)),SUM(VLOOKUP($A78, LS_current!$B$4:$AY$139, LS_current!Y$149, FALSE), VLOOKUP($A78, LS_current!$B$4:$AY$139,LS_current!Y$149, FALSE))/2)</f>
        <v>-188.77718875230676</v>
      </c>
      <c r="CJ78" s="382">
        <f t="array" ref="CJ78">IF($BI78=0, INDEX(LS_current!$D$4:$AY$139, MATCH('Staging Table'!$A78, LS_current!$B$4:$B$139, 0), MATCH(CJ$4&amp;CJ$5, LS_current!$D$2:$AY$2&amp;LS_current!$D$3:$AY$3, 0)),SUM(VLOOKUP($A78, LS_current!$B$4:$AY$139, LS_current!Z$149, FALSE), VLOOKUP($A78, LS_current!$B$4:$AY$139,LS_current!Z$149, FALSE))/2)</f>
        <v>-2835.9950299725497</v>
      </c>
      <c r="CK78" s="382">
        <f t="array" ref="CK78">IF($BI78=0, INDEX(LS_current!$D$4:$AY$139, MATCH('Staging Table'!$A78, LS_current!$B$4:$B$139, 0), MATCH(CK$4&amp;CK$5, LS_current!$D$2:$AY$2&amp;LS_current!$D$3:$AY$3, 0)),SUM(VLOOKUP($A78, LS_current!$B$4:$AY$139, LS_current!AA$149, FALSE), VLOOKUP($A78, LS_current!$B$4:$AY$139,LS_current!AA$149, FALSE))/2)</f>
        <v>-332.16352168720005</v>
      </c>
      <c r="CL78" s="384">
        <f t="array" ref="CL78">INDEX(Demand_current!$D$4:$AY$138, MATCH($A78, Demand_current!$B$4:$B$138, 0), MATCH(CL$4&amp;CL$5,Demand_current!$D$2:$AY$2&amp;Demand_current!$D$3:$AY$3, 0))/1000</f>
        <v>3.2236129807692286</v>
      </c>
      <c r="CM78" s="384">
        <f t="array" ref="CM78">INDEX(Demand_current!$D$4:$AY$138, MATCH($A78, Demand_current!$B$4:$B$138, 0), MATCH(CM$4&amp;CM$5,Demand_current!$D$2:$AY$2&amp;Demand_current!$D$3:$AY$3, 0))/1000</f>
        <v>7.2591575000000077</v>
      </c>
      <c r="CN78" s="384">
        <f t="array" ref="CN78">INDEX(Demand_current!$D$4:$AY$138, MATCH($A78, Demand_current!$B$4:$B$138, 0), MATCH(CN$4&amp;CN$5,Demand_current!$D$2:$AY$2&amp;Demand_current!$D$3:$AY$3, 0))/1000</f>
        <v>11.006309999999999</v>
      </c>
      <c r="CO78" s="384">
        <f t="array" ref="CO78">INDEX(Demand_current!$D$4:$AY$138, MATCH($A78, Demand_current!$B$4:$B$138, 0), MATCH(CO$4&amp;CO$5,Demand_current!$D$2:$AY$2&amp;Demand_current!$D$3:$AY$3, 0))/1000</f>
        <v>10.126447115384615</v>
      </c>
      <c r="CP78" s="384">
        <f t="array" ref="CP78">INDEX(Demand_current!$D$4:$AY$138, MATCH($A78, Demand_current!$B$4:$B$138, 0), MATCH(CP$4&amp;CP$5,Demand_current!$D$2:$AY$2&amp;Demand_current!$D$3:$AY$3, 0))/1000</f>
        <v>0</v>
      </c>
      <c r="CQ78" s="384">
        <f t="array" ref="CQ78">INDEX(Demand_current!$D$4:$AY$138, MATCH($A78, Demand_current!$B$4:$B$138, 0), MATCH(CQ$4&amp;CQ$5,Demand_current!$D$2:$AY$2&amp;Demand_current!$D$3:$AY$3, 0))/1000</f>
        <v>4.4173750000000034</v>
      </c>
      <c r="CR78" s="384">
        <f t="array" ref="CR78">INDEX(Demand_current!$D$4:$AY$138, MATCH($A78, Demand_current!$B$4:$B$138, 0), MATCH(CR$4&amp;CR$5,Demand_current!$D$2:$AY$2&amp;Demand_current!$D$3:$AY$3, 0))/1000</f>
        <v>3.3192324999999929</v>
      </c>
      <c r="CS78" s="384">
        <f t="array" ref="CS78">INDEX(Demand_current!$D$4:$AY$138, MATCH($A78, Demand_current!$B$4:$B$138, 0), MATCH(CS$4&amp;CS$5,Demand_current!$D$2:$AY$2&amp;Demand_current!$D$3:$AY$3, 0))/1000</f>
        <v>10.06549759615384</v>
      </c>
      <c r="CT78" s="384">
        <f t="array" ref="CT78">INDEX(Demand_current!$D$4:$AY$138, MATCH($A78, Demand_current!$B$4:$B$138, 0), MATCH(CT$4&amp;CT$5,Demand_current!$D$2:$AY$2&amp;Demand_current!$D$3:$AY$3, 0))/1000</f>
        <v>5.8964687499999986</v>
      </c>
      <c r="CU78" s="384">
        <f t="array" ref="CU78">INDEX(Demand_current!$D$4:$AY$138, MATCH($A78, Demand_current!$B$4:$B$138, 0), MATCH(CU$4&amp;CU$5,Demand_current!$D$2:$AY$2&amp;Demand_current!$D$3:$AY$3, 0))/1000</f>
        <v>7.520492499999996</v>
      </c>
      <c r="CV78" s="384">
        <f t="array" ref="CV78">INDEX(Demand_current!$D$4:$AY$138, MATCH($A78, Demand_current!$B$4:$B$138, 0), MATCH(CV$4&amp;CV$5,Demand_current!$D$2:$AY$2&amp;Demand_current!$D$3:$AY$3, 0))/1000</f>
        <v>7.5599444444444437</v>
      </c>
      <c r="CW78" s="384">
        <f t="array" ref="CW78">INDEX(Demand_current!$D$4:$AY$138, MATCH($A78, Demand_current!$B$4:$B$138, 0), MATCH(CW$4&amp;CW$5,Demand_current!$D$2:$AY$2&amp;Demand_current!$D$3:$AY$3, 0))/1000</f>
        <v>6.0643046875000008</v>
      </c>
      <c r="CX78" s="384">
        <f>IF(D78=0,IF(C78=0,MAX(0,DA78 - (VLOOKUP($A78,TOCA_current!$A$2:$AI$137,MATCH("RHWM 2018",TOCA_current!$A$2:$AI$2,0),FALSE)*$BH$2)), 0),0)</f>
        <v>0</v>
      </c>
      <c r="CY78" s="427">
        <f>VLOOKUP($A78,REP_current!$A$1:$D$135,MATCH("FY "&amp;$BH$1&amp; " Total Refund",REP_current!$A$1:$D$1,0),0)</f>
        <v>286620.29452448682</v>
      </c>
      <c r="CZ78" s="432">
        <f>MIN(VLOOKUP($A78,TOCA_current!$A$2:$AI$137,MATCH("TRL - NLSL - Existing Resource "&amp;$BH$1,TOCA_current!$A$2:$AI$2,0),FALSE)*$BH$2, VLOOKUP($A78,TOCA_current!$A$2:$AI$137,MATCH("RHWM 2018",TOCA_current!$A$2:$AI$2,0),FALSE)*$BH$2)</f>
        <v>439585.56</v>
      </c>
      <c r="DA78" s="397">
        <f>SUM(BN78:CK78)+(BH78*RT1SC!$C$4*$BH$2)</f>
        <v>439581.75941313186</v>
      </c>
      <c r="DB78" s="432">
        <f>VLOOKUP($A78,TOCA_current!$A$2:$AI$137,MATCH("Above RHWM Not Served with LS "&amp;$BH$1,TOCA_current!$A$2:$AI$2,0),FALSE)*$BH$2</f>
        <v>26735.52</v>
      </c>
      <c r="DC78" s="401">
        <f t="shared" si="27"/>
        <v>-3.8005868681357242</v>
      </c>
      <c r="DD78" s="397">
        <f>(VLOOKUP($A78,TOCA_current!$A$2:$AI$137,MATCH("RHWM 2018",TOCA_current!$A$2:$AI$2,0),FALSE)*$BH$2) - $CZ78</f>
        <v>0</v>
      </c>
      <c r="DE78" s="397">
        <f t="shared" si="28"/>
        <v>0</v>
      </c>
      <c r="DF78" s="397">
        <f t="shared" si="29"/>
        <v>0</v>
      </c>
      <c r="DG78" s="397">
        <f t="shared" si="30"/>
        <v>0</v>
      </c>
      <c r="DH78" s="397">
        <f t="shared" si="31"/>
        <v>0</v>
      </c>
    </row>
    <row r="79" spans="1:112">
      <c r="A79" s="274">
        <v>10235</v>
      </c>
      <c r="B79" s="275" t="s">
        <v>80</v>
      </c>
      <c r="C79" s="397">
        <v>0</v>
      </c>
      <c r="D79" s="397">
        <v>0</v>
      </c>
      <c r="E79" s="205">
        <f>VLOOKUP($A79,TOCA_previous!$A$2:$AI$137,MATCH(E$4,TOCA_previous!$A$2:$AI$2,0),FALSE)</f>
        <v>4.5456999999999997E-3</v>
      </c>
      <c r="F79" s="206">
        <f>VLOOKUP($A79,TOCA_previous!$A$2:$AI$137,MATCH(F$4,TOCA_previous!$A$2:$AI$2,0),FALSE)</f>
        <v>4.5456999999999997E-3</v>
      </c>
      <c r="G79" s="206">
        <f t="shared" si="16"/>
        <v>0</v>
      </c>
      <c r="H79" s="206">
        <f>VLOOKUP($A79,TOCA_previous!$A$2:$AI$137,MATCH(H$4,TOCA_previous!$A$2:$AI$2,0),FALSE)</f>
        <v>0</v>
      </c>
      <c r="I79" s="206">
        <f t="shared" si="17"/>
        <v>0</v>
      </c>
      <c r="J79" s="206">
        <f t="shared" si="18"/>
        <v>0</v>
      </c>
      <c r="K79" s="381">
        <f>VLOOKUP(A79, IRD!$A$5:$C$139, 3, FALSE)</f>
        <v>0</v>
      </c>
      <c r="L79" s="382">
        <f t="array" ref="L79">IF($G79=0, INDEX(LS_previous!$D$4:$AY$138, MATCH('Staging Table'!$A79, LS_previous!$B$4:$B$138, 0), MATCH(L$4&amp;L$5, LS_previous!$D$2:$AY$2&amp;LS_previous!$D$3:$AY$3, 0)),SUM(VLOOKUP($A79, LS_previous!$B$4:$AY$138, LS_previous!D$149, FALSE), VLOOKUP('Staging Table'!$A79, LS_previous!$B$4:$AY$138,LS_previous!AB$149, FALSE))/2)</f>
        <v>-425.47665089145812</v>
      </c>
      <c r="M79" s="382">
        <f t="array" ref="M79">IF($G79=0, INDEX(LS_previous!$D$4:$AY$138, MATCH('Staging Table'!$A79, LS_previous!$B$4:$B$138, 0), MATCH(M$4&amp;M$5, LS_previous!$D$2:$AY$2&amp;LS_previous!$D$3:$AY$3, 0)),SUM(VLOOKUP($A79, LS_previous!$B$4:$AY$138, LS_previous!E$149, FALSE), VLOOKUP('Staging Table'!$A79, LS_previous!$B$4:$AY$138,LS_previous!AC$149, FALSE))/2)</f>
        <v>318.89265457538204</v>
      </c>
      <c r="N79" s="382">
        <f t="array" ref="N79">IF($G79=0, INDEX(LS_previous!$D$4:$AY$138, MATCH('Staging Table'!$A79, LS_previous!$B$4:$B$138, 0), MATCH(N$4&amp;N$5, LS_previous!$D$2:$AY$2&amp;LS_previous!$D$3:$AY$3, 0)),SUM(VLOOKUP($A79, LS_previous!$B$4:$AY$138, LS_previous!F$149, FALSE), VLOOKUP('Staging Table'!$A79, LS_previous!$B$4:$AY$138,LS_previous!AD$149, FALSE))/2)</f>
        <v>-388.58234549421832</v>
      </c>
      <c r="O79" s="382">
        <f t="array" ref="O79">IF($G79=0, INDEX(LS_previous!$D$4:$AY$138, MATCH('Staging Table'!$A79, LS_previous!$B$4:$B$138, 0), MATCH(O$4&amp;O$5, LS_previous!$D$2:$AY$2&amp;LS_previous!$D$3:$AY$3, 0)),SUM(VLOOKUP($A79, LS_previous!$B$4:$AY$138, LS_previous!G$149, FALSE), VLOOKUP('Staging Table'!$A79, LS_previous!$B$4:$AY$138,LS_previous!AE$149, FALSE))/2)</f>
        <v>477.10530332467351</v>
      </c>
      <c r="P79" s="382">
        <f t="array" ref="P79">IF($G79=0, INDEX(LS_previous!$D$4:$AY$138, MATCH('Staging Table'!$A79, LS_previous!$B$4:$B$138, 0), MATCH(P$4&amp;P$5, LS_previous!$D$2:$AY$2&amp;LS_previous!$D$3:$AY$3, 0)),SUM(VLOOKUP($A79, LS_previous!$B$4:$AY$138, LS_previous!H$149, FALSE), VLOOKUP('Staging Table'!$A79, LS_previous!$B$4:$AY$138,LS_previous!AF$149, FALSE))/2)</f>
        <v>822.56267360932725</v>
      </c>
      <c r="Q79" s="382">
        <f t="array" ref="Q79">IF($G79=0, INDEX(LS_previous!$D$4:$AY$138, MATCH('Staging Table'!$A79, LS_previous!$B$4:$B$138, 0), MATCH(Q$4&amp;Q$5, LS_previous!$D$2:$AY$2&amp;LS_previous!$D$3:$AY$3, 0)),SUM(VLOOKUP($A79, LS_previous!$B$4:$AY$138, LS_previous!I$149, FALSE), VLOOKUP('Staging Table'!$A79, LS_previous!$B$4:$AY$138,LS_previous!AG$149, FALSE))/2)</f>
        <v>1744.6653756606647</v>
      </c>
      <c r="R79" s="382">
        <f t="array" ref="R79">IF($G79=0, INDEX(LS_previous!$D$4:$AY$138, MATCH('Staging Table'!$A79, LS_previous!$B$4:$B$138, 0), MATCH(R$4&amp;R$5, LS_previous!$D$2:$AY$2&amp;LS_previous!$D$3:$AY$3, 0)),SUM(VLOOKUP($A79, LS_previous!$B$4:$AY$138, LS_previous!J$149, FALSE), VLOOKUP('Staging Table'!$A79, LS_previous!$B$4:$AY$138,LS_previous!AH$149, FALSE))/2)</f>
        <v>4230.0238222750304</v>
      </c>
      <c r="S79" s="382">
        <f t="array" ref="S79">IF($G79=0, INDEX(LS_previous!$D$4:$AY$138, MATCH('Staging Table'!$A79, LS_previous!$B$4:$B$138, 0), MATCH(S$4&amp;S$5, LS_previous!$D$2:$AY$2&amp;LS_previous!$D$3:$AY$3, 0)),SUM(VLOOKUP($A79, LS_previous!$B$4:$AY$138, LS_previous!K$149, FALSE), VLOOKUP('Staging Table'!$A79, LS_previous!$B$4:$AY$138,LS_previous!AI$149, FALSE))/2)</f>
        <v>2905.2094805938686</v>
      </c>
      <c r="T79" s="382">
        <f t="array" ref="T79">IF($G79=0, INDEX(LS_previous!$D$4:$AY$138, MATCH('Staging Table'!$A79, LS_previous!$B$4:$B$138, 0), MATCH(T$4&amp;T$5, LS_previous!$D$2:$AY$2&amp;LS_previous!$D$3:$AY$3, 0)),SUM(VLOOKUP($A79, LS_previous!$B$4:$AY$138, LS_previous!L$149, FALSE), VLOOKUP('Staging Table'!$A79, LS_previous!$B$4:$AY$138,LS_previous!AJ$149, FALSE))/2)</f>
        <v>3281.3990799366329</v>
      </c>
      <c r="U79" s="382">
        <f t="array" ref="U79">IF($G79=0, INDEX(LS_previous!$D$4:$AY$138, MATCH('Staging Table'!$A79, LS_previous!$B$4:$B$138, 0), MATCH(U$4&amp;U$5, LS_previous!$D$2:$AY$2&amp;LS_previous!$D$3:$AY$3, 0)),SUM(VLOOKUP($A79, LS_previous!$B$4:$AY$138, LS_previous!M$149, FALSE), VLOOKUP('Staging Table'!$A79, LS_previous!$B$4:$AY$138,LS_previous!AK$149, FALSE))/2)</f>
        <v>2201.1514140550571</v>
      </c>
      <c r="V79" s="382">
        <f t="array" ref="V79">IF($G79=0, INDEX(LS_previous!$D$4:$AY$138, MATCH('Staging Table'!$A79, LS_previous!$B$4:$B$138, 0), MATCH(V$4&amp;V$5, LS_previous!$D$2:$AY$2&amp;LS_previous!$D$3:$AY$3, 0)),SUM(VLOOKUP($A79, LS_previous!$B$4:$AY$138, LS_previous!N$149, FALSE), VLOOKUP('Staging Table'!$A79, LS_previous!$B$4:$AY$138,LS_previous!AL$149, FALSE))/2)</f>
        <v>1096.1479393649752</v>
      </c>
      <c r="W79" s="382">
        <f t="array" ref="W79">IF($G79=0, INDEX(LS_previous!$D$4:$AY$138, MATCH('Staging Table'!$A79, LS_previous!$B$4:$B$138, 0), MATCH(W$4&amp;W$5, LS_previous!$D$2:$AY$2&amp;LS_previous!$D$3:$AY$3, 0)),SUM(VLOOKUP($A79, LS_previous!$B$4:$AY$138, LS_previous!O$149, FALSE), VLOOKUP('Staging Table'!$A79, LS_previous!$B$4:$AY$138,LS_previous!AM$149, FALSE))/2)</f>
        <v>204.53706611791131</v>
      </c>
      <c r="X79" s="382">
        <f t="array" ref="X79">IF($G79=0, INDEX(LS_previous!$D$4:$AY$138, MATCH('Staging Table'!$A79, LS_previous!$B$4:$B$138, 0), MATCH(X$4&amp;X$5, LS_previous!$D$2:$AY$2&amp;LS_previous!$D$3:$AY$3, 0)),SUM(VLOOKUP($A79, LS_previous!$B$4:$AY$138, LS_previous!P$149, FALSE), VLOOKUP('Staging Table'!$A79, LS_previous!$B$4:$AY$138,LS_previous!AN$149, FALSE))/2)</f>
        <v>1406.465264135164</v>
      </c>
      <c r="Y79" s="382">
        <f t="array" ref="Y79">IF($G79=0, INDEX(LS_previous!$D$4:$AY$138, MATCH('Staging Table'!$A79, LS_previous!$B$4:$B$138, 0), MATCH(Y$4&amp;Y$5, LS_previous!$D$2:$AY$2&amp;LS_previous!$D$3:$AY$3, 0)),SUM(VLOOKUP($A79, LS_previous!$B$4:$AY$138, LS_previous!Q$149, FALSE), VLOOKUP('Staging Table'!$A79, LS_previous!$B$4:$AY$138,LS_previous!AO$149, FALSE))/2)</f>
        <v>1349.7700285897945</v>
      </c>
      <c r="Z79" s="382">
        <f t="array" ref="Z79">IF($G79=0, INDEX(LS_previous!$D$4:$AY$138, MATCH('Staging Table'!$A79, LS_previous!$B$4:$B$138, 0), MATCH(Z$4&amp;Z$5, LS_previous!$D$2:$AY$2&amp;LS_previous!$D$3:$AY$3, 0)),SUM(VLOOKUP($A79, LS_previous!$B$4:$AY$138, LS_previous!R$149, FALSE), VLOOKUP('Staging Table'!$A79, LS_previous!$B$4:$AY$138,LS_previous!AP$149, FALSE))/2)</f>
        <v>-7277.2554840429366</v>
      </c>
      <c r="AA79" s="382">
        <f t="array" ref="AA79">IF($G79=0, INDEX(LS_previous!$D$4:$AY$138, MATCH('Staging Table'!$A79, LS_previous!$B$4:$B$138, 0), MATCH(AA$4&amp;AA$5, LS_previous!$D$2:$AY$2&amp;LS_previous!$D$3:$AY$3, 0)),SUM(VLOOKUP($A79, LS_previous!$B$4:$AY$138, LS_previous!S$149, FALSE), VLOOKUP('Staging Table'!$A79, LS_previous!$B$4:$AY$138,LS_previous!AQ$149, FALSE))/2)</f>
        <v>-3318.9433417322698</v>
      </c>
      <c r="AB79" s="382">
        <f t="array" ref="AB79">IF($G79=0, INDEX(LS_previous!$D$4:$AY$138, MATCH('Staging Table'!$A79, LS_previous!$B$4:$B$138, 0), MATCH(AB$4&amp;AB$5, LS_previous!$D$2:$AY$2&amp;LS_previous!$D$3:$AY$3, 0)),SUM(VLOOKUP($A79, LS_previous!$B$4:$AY$138, LS_previous!T$149, FALSE), VLOOKUP('Staging Table'!$A79, LS_previous!$B$4:$AY$138,LS_previous!AR$149, FALSE))/2)</f>
        <v>-3827.1619593073756</v>
      </c>
      <c r="AC79" s="382">
        <f t="array" ref="AC79">IF($G79=0, INDEX(LS_previous!$D$4:$AY$138, MATCH('Staging Table'!$A79, LS_previous!$B$4:$B$138, 0), MATCH(AC$4&amp;AC$5, LS_previous!$D$2:$AY$2&amp;LS_previous!$D$3:$AY$3, 0)),SUM(VLOOKUP($A79, LS_previous!$B$4:$AY$138, LS_previous!U$149, FALSE), VLOOKUP('Staging Table'!$A79, LS_previous!$B$4:$AY$138,LS_previous!AS$149, FALSE))/2)</f>
        <v>-2248.0176801569551</v>
      </c>
      <c r="AD79" s="382">
        <f t="array" ref="AD79">IF($G79=0, INDEX(LS_previous!$D$4:$AY$138, MATCH('Staging Table'!$A79, LS_previous!$B$4:$B$138, 0), MATCH(AD$4&amp;AD$5, LS_previous!$D$2:$AY$2&amp;LS_previous!$D$3:$AY$3, 0)),SUM(VLOOKUP($A79, LS_previous!$B$4:$AY$138, LS_previous!V$149, FALSE), VLOOKUP('Staging Table'!$A79, LS_previous!$B$4:$AY$138,LS_previous!AT$149, FALSE))/2)</f>
        <v>-3054.726989582854</v>
      </c>
      <c r="AE79" s="382">
        <f t="array" ref="AE79">IF($G79=0, INDEX(LS_previous!$D$4:$AY$138, MATCH('Staging Table'!$A79, LS_previous!$B$4:$B$138, 0), MATCH(AE$4&amp;AE$5, LS_previous!$D$2:$AY$2&amp;LS_previous!$D$3:$AY$3, 0)),SUM(VLOOKUP($A79, LS_previous!$B$4:$AY$138, LS_previous!W$149, FALSE), VLOOKUP('Staging Table'!$A79, LS_previous!$B$4:$AY$138,LS_previous!AU$149, FALSE))/2)</f>
        <v>-270.57042968497717</v>
      </c>
      <c r="AF79" s="382">
        <f t="array" ref="AF79">IF($G79=0, INDEX(LS_previous!$D$4:$AY$138, MATCH('Staging Table'!$A79, LS_previous!$B$4:$B$138, 0), MATCH(AF$4&amp;AF$5, LS_previous!$D$2:$AY$2&amp;LS_previous!$D$3:$AY$3, 0)),SUM(VLOOKUP($A79, LS_previous!$B$4:$AY$138, LS_previous!X$149, FALSE), VLOOKUP('Staging Table'!$A79, LS_previous!$B$4:$AY$138,LS_previous!AV$149, FALSE))/2)</f>
        <v>-3092.9351550589654</v>
      </c>
      <c r="AG79" s="382">
        <f t="array" ref="AG79">IF($G79=0, INDEX(LS_previous!$D$4:$AY$138, MATCH('Staging Table'!$A79, LS_previous!$B$4:$B$138, 0), MATCH(AG$4&amp;AG$5, LS_previous!$D$2:$AY$2&amp;LS_previous!$D$3:$AY$3, 0)),SUM(VLOOKUP($A79, LS_previous!$B$4:$AY$138, LS_previous!Y$149, FALSE), VLOOKUP('Staging Table'!$A79, LS_previous!$B$4:$AY$138,LS_previous!AW$149, FALSE))/2)</f>
        <v>-1151.9353180334092</v>
      </c>
      <c r="AH79" s="382">
        <f t="array" ref="AH79">IF($G79=0, INDEX(LS_previous!$D$4:$AY$138, MATCH('Staging Table'!$A79, LS_previous!$B$4:$B$138, 0), MATCH(AH$4&amp;AH$5, LS_previous!$D$2:$AY$2&amp;LS_previous!$D$3:$AY$3, 0)),SUM(VLOOKUP($A79, LS_previous!$B$4:$AY$138, LS_previous!Z$149, FALSE), VLOOKUP('Staging Table'!$A79, LS_previous!$B$4:$AY$138,LS_previous!AX$149, FALSE))/2)</f>
        <v>-1145.7596811139174</v>
      </c>
      <c r="AI79" s="382">
        <f t="array" ref="AI79">IF($G79=0, INDEX(LS_previous!$D$4:$AY$138, MATCH('Staging Table'!$A79, LS_previous!$B$4:$B$138, 0), MATCH(AI$4&amp;AI$5, LS_previous!$D$2:$AY$2&amp;LS_previous!$D$3:$AY$3, 0)),SUM(VLOOKUP($A79, LS_previous!$B$4:$AY$138, LS_previous!AA$149, FALSE), VLOOKUP('Staging Table'!$A79, LS_previous!$B$4:$AY$138,LS_previous!AY$149, FALSE))/2)</f>
        <v>-259.92472267161338</v>
      </c>
      <c r="AJ79" s="384">
        <f t="array" ref="AJ79">INDEX(Demand_previous!$D$4:$AY$138, MATCH('Staging Table'!$A79, Demand_previous!$B$4:$B$138, 0), MATCH(AJ$4&amp;AJ$5,Demand_previous!$D$2:$AY$2&amp;Demand_previous!$D$3:$AY$3, 0))/1000</f>
        <v>5.0315370370370367</v>
      </c>
      <c r="AK79" s="384">
        <f t="array" ref="AK79">INDEX(Demand_previous!$D$4:$AY$138, MATCH('Staging Table'!$A79, Demand_previous!$B$4:$B$138, 0), MATCH(AK$4&amp;AK$5,Demand_previous!$D$2:$AY$2&amp;Demand_previous!$D$3:$AY$3, 0))/1000</f>
        <v>0.77916666666666323</v>
      </c>
      <c r="AL79" s="384">
        <f t="array" ref="AL79">INDEX(Demand_previous!$D$4:$AY$138, MATCH('Staging Table'!$A79, Demand_previous!$B$4:$B$138, 0), MATCH(AL$4&amp;AL$5,Demand_previous!$D$2:$AY$2&amp;Demand_previous!$D$3:$AY$3, 0))/1000</f>
        <v>9.3550072115384655</v>
      </c>
      <c r="AM79" s="384">
        <f t="array" ref="AM79">INDEX(Demand_previous!$D$4:$AY$138, MATCH('Staging Table'!$A79, Demand_previous!$B$4:$B$138, 0), MATCH(AM$4&amp;AM$5,Demand_previous!$D$2:$AY$2&amp;Demand_previous!$D$3:$AY$3, 0))/1000</f>
        <v>5.3042124999999976</v>
      </c>
      <c r="AN79" s="384">
        <f t="array" ref="AN79">INDEX(Demand_previous!$D$4:$AY$138, MATCH('Staging Table'!$A79, Demand_previous!$B$4:$B$138, 0), MATCH(AN$4&amp;AN$5,Demand_previous!$D$2:$AY$2&amp;Demand_previous!$D$3:$AY$3, 0))/1000</f>
        <v>5.4468750000000004</v>
      </c>
      <c r="AO79" s="384">
        <f t="array" ref="AO79">INDEX(Demand_previous!$D$4:$AY$138, MATCH('Staging Table'!$A79, Demand_previous!$B$4:$B$138, 0), MATCH(AO$4&amp;AO$5,Demand_previous!$D$2:$AY$2&amp;Demand_previous!$D$3:$AY$3, 0))/1000</f>
        <v>5.9641296296296273</v>
      </c>
      <c r="AP79" s="384">
        <f t="array" ref="AP79">INDEX(Demand_previous!$D$4:$AY$138, MATCH('Staging Table'!$A79, Demand_previous!$B$4:$B$138, 0), MATCH(AP$4&amp;AP$5,Demand_previous!$D$2:$AY$2&amp;Demand_previous!$D$3:$AY$3, 0))/1000</f>
        <v>5.6585961538461573</v>
      </c>
      <c r="AQ79" s="384">
        <f t="array" ref="AQ79">INDEX(Demand_previous!$D$4:$AY$138, MATCH('Staging Table'!$A79, Demand_previous!$B$4:$B$138, 0), MATCH(AQ$4&amp;AQ$5,Demand_previous!$D$2:$AY$2&amp;Demand_previous!$D$3:$AY$3, 0))/1000</f>
        <v>0</v>
      </c>
      <c r="AR79" s="384">
        <f t="array" ref="AR79">INDEX(Demand_previous!$D$4:$AY$138, MATCH('Staging Table'!$A79, Demand_previous!$B$4:$B$138, 0), MATCH(AR$4&amp;AR$5,Demand_previous!$D$2:$AY$2&amp;Demand_previous!$D$3:$AY$3, 0))/1000</f>
        <v>3.0374975961538473</v>
      </c>
      <c r="AS79" s="384">
        <f t="array" ref="AS79">INDEX(Demand_previous!$D$4:$AY$138, MATCH('Staging Table'!$A79, Demand_previous!$B$4:$B$138, 0), MATCH(AS$4&amp;AS$5,Demand_previous!$D$2:$AY$2&amp;Demand_previous!$D$3:$AY$3, 0))/1000</f>
        <v>3.3759850000000009</v>
      </c>
      <c r="AT79" s="384">
        <f t="array" ref="AT79">INDEX(Demand_previous!$D$4:$AY$138, MATCH('Staging Table'!$A79, Demand_previous!$B$4:$B$138, 0), MATCH(AT$4&amp;AT$5,Demand_previous!$D$2:$AY$2&amp;Demand_previous!$D$3:$AY$3, 0))/1000</f>
        <v>4.1448310185185129</v>
      </c>
      <c r="AU79" s="384">
        <f t="array" ref="AU79">INDEX(Demand_previous!$D$4:$AY$138, MATCH('Staging Table'!$A79, Demand_previous!$B$4:$B$138, 0), MATCH(AU$4&amp;AU$5,Demand_previous!$D$2:$AY$2&amp;Demand_previous!$D$3:$AY$3, 0))/1000</f>
        <v>4.3458575000000037</v>
      </c>
      <c r="AV79" s="384">
        <f>IF($D79=0,IF(C79=0, MAX(AY79 - (VLOOKUP($A79,TOCA_previous!$A$2:$AI$137,MATCH("RHWM 2016",TOCA_previous!$A$2:$AI$2,0),FALSE)*$F$2*TOCA_previous!C76),0),0), 0)</f>
        <v>0</v>
      </c>
      <c r="AW79" s="427">
        <f>VLOOKUP($A79,REP_previous!$A$1:$D$135,MATCH("FY "&amp;$F$1&amp; " Total Refund",REP_previous!$A$1:$D$1,0),0)</f>
        <v>439507.47857972642</v>
      </c>
      <c r="AX79" s="398">
        <f>MIN(VLOOKUP($A79,TOCA_previous!$A$2:$AI$137,MATCH("TRL - NLSL - Exisiting Resource "&amp;$F$1,TOCA_previous!$A$2:$AI$2,0),FALSE)*$F$2,(VLOOKUP($A79,TOCA_previous!$A$2:$AI$137,MATCH("RHWM 2016",TOCA_previous!$A$2:$AI$2,0),FALSE)*$F$2))</f>
        <v>278830.51199999999</v>
      </c>
      <c r="AY79" s="384">
        <f>SUM(L79:AI79)+(F79*RT1SC!$C$3*$F$2)</f>
        <v>272407.23565631552</v>
      </c>
      <c r="AZ79" s="398">
        <f>VLOOKUP($A79,TOCA_previous!$A$2:$AI$137,MATCH("Above RHWM Not Served with LS "&amp;$F$1,TOCA_previous!$A$2:$AI$2,0),FALSE)*$F$2</f>
        <v>0</v>
      </c>
      <c r="BA79" s="206">
        <f t="shared" si="19"/>
        <v>-6423.2763436844689</v>
      </c>
      <c r="BB79" s="399">
        <f>(VLOOKUP($A79,TOCA_previous!$A$2:$AI$137,MATCH("RHWM 2016",TOCA_previous!$A$2:$AI$2,0),FALSE)*$F$2) - $AX79</f>
        <v>9196.8479999999981</v>
      </c>
      <c r="BC79" s="206">
        <f t="shared" si="20"/>
        <v>0</v>
      </c>
      <c r="BD79" s="400">
        <f t="shared" si="21"/>
        <v>6423.2763436844689</v>
      </c>
      <c r="BE79" s="392">
        <f t="shared" si="22"/>
        <v>0</v>
      </c>
      <c r="BF79" s="399">
        <f t="shared" si="23"/>
        <v>6423.2763436844689</v>
      </c>
      <c r="BG79" s="206">
        <f>VLOOKUP($A79,TOCA_current!$A$2:$AI$137,MATCH(BG$4,TOCA_current!$A$2:$AI$2,0),FALSE)</f>
        <v>4.4777000000000003E-3</v>
      </c>
      <c r="BH79" s="206">
        <f>VLOOKUP($A79,TOCA_current!$A$2:$AI$137,MATCH(BH$4,TOCA_current!$A$2:$AI$2,0),FALSE)</f>
        <v>4.4777000000000003E-3</v>
      </c>
      <c r="BI79" s="391">
        <f t="shared" si="24"/>
        <v>0</v>
      </c>
      <c r="BJ79" s="206">
        <f>VLOOKUP($A79,TOCA_current!A75:BG210,MATCH(BJ$4,TOCA_current!$A$2:$BG$2,0),FALSE)</f>
        <v>0</v>
      </c>
      <c r="BK79" s="206">
        <f t="shared" si="25"/>
        <v>0</v>
      </c>
      <c r="BL79" s="206">
        <f t="shared" si="26"/>
        <v>0</v>
      </c>
      <c r="BM79" s="381">
        <f>VLOOKUP($A79,IRD!$A$4:$G$139, 7, FALSE)</f>
        <v>0</v>
      </c>
      <c r="BN79" s="382">
        <f t="array" ref="BN79">IF($BI79=0, INDEX(LS_current!$D$4:$AY$139, MATCH('Staging Table'!$A79, LS_current!$B$4:$B$139, 0), MATCH(BN$4&amp;BN$5, LS_current!$D$2:$AY$2&amp;LS_current!$D$3:$AY$3, 0)),SUM(VLOOKUP($A79, LS_current!$B$4:$AY$139, LS_current!D$149, FALSE), VLOOKUP($A79, LS_current!$B$4:$AY$139,LS_current!D$149, FALSE))/2)</f>
        <v>-292.31235040768479</v>
      </c>
      <c r="BO79" s="382">
        <f t="array" ref="BO79">IF($BI79=0, INDEX(LS_current!$D$4:$AY$139, MATCH('Staging Table'!$A79, LS_current!$B$4:$B$139, 0), MATCH(BO$4&amp;BO$5, LS_current!$D$2:$AY$2&amp;LS_current!$D$3:$AY$3, 0)),SUM(VLOOKUP($A79, LS_current!$B$4:$AY$139, LS_current!E$149, FALSE), VLOOKUP($A79, LS_current!$B$4:$AY$139,LS_current!E$149, FALSE))/2)</f>
        <v>834.82350175621832</v>
      </c>
      <c r="BP79" s="382">
        <f t="array" ref="BP79">IF($BI79=0, INDEX(LS_current!$D$4:$AY$139, MATCH('Staging Table'!$A79, LS_current!$B$4:$B$139, 0), MATCH(BP$4&amp;BP$5, LS_current!$D$2:$AY$2&amp;LS_current!$D$3:$AY$3, 0)),SUM(VLOOKUP($A79, LS_current!$B$4:$AY$139, LS_current!F$149, FALSE), VLOOKUP($A79, LS_current!$B$4:$AY$139,LS_current!F$149, FALSE))/2)</f>
        <v>-479.78387044184637</v>
      </c>
      <c r="BQ79" s="382">
        <f t="array" ref="BQ79">IF($BI79=0, INDEX(LS_current!$D$4:$AY$139, MATCH('Staging Table'!$A79, LS_current!$B$4:$B$139, 0), MATCH(BQ$4&amp;BQ$5, LS_current!$D$2:$AY$2&amp;LS_current!$D$3:$AY$3, 0)),SUM(VLOOKUP($A79, LS_current!$B$4:$AY$139, LS_current!G$149, FALSE), VLOOKUP($A79, LS_current!$B$4:$AY$139,LS_current!G$149, FALSE))/2)</f>
        <v>711.43045394689034</v>
      </c>
      <c r="BR79" s="382">
        <f t="array" ref="BR79">IF($BI79=0, INDEX(LS_current!$D$4:$AY$139, MATCH('Staging Table'!$A79, LS_current!$B$4:$B$139, 0), MATCH(BR$4&amp;BR$5, LS_current!$D$2:$AY$2&amp;LS_current!$D$3:$AY$3, 0)),SUM(VLOOKUP($A79, LS_current!$B$4:$AY$139, LS_current!H$149, FALSE), VLOOKUP($A79, LS_current!$B$4:$AY$139,LS_current!H$149, FALSE))/2)</f>
        <v>542.61675407356597</v>
      </c>
      <c r="BS79" s="382">
        <f t="array" ref="BS79">IF($BI79=0, INDEX(LS_current!$D$4:$AY$139, MATCH('Staging Table'!$A79, LS_current!$B$4:$B$139, 0), MATCH(BS$4&amp;BS$5, LS_current!$D$2:$AY$2&amp;LS_current!$D$3:$AY$3, 0)),SUM(VLOOKUP($A79, LS_current!$B$4:$AY$139, LS_current!I$149, FALSE), VLOOKUP($A79, LS_current!$B$4:$AY$139,LS_current!I$149, FALSE))/2)</f>
        <v>1798.9560673695123</v>
      </c>
      <c r="BT79" s="382">
        <f t="array" ref="BT79">IF($BI79=0, INDEX(LS_current!$D$4:$AY$139, MATCH('Staging Table'!$A79, LS_current!$B$4:$B$139, 0), MATCH(BT$4&amp;BT$5, LS_current!$D$2:$AY$2&amp;LS_current!$D$3:$AY$3, 0)),SUM(VLOOKUP($A79, LS_current!$B$4:$AY$139, LS_current!J$149, FALSE), VLOOKUP($A79, LS_current!$B$4:$AY$139,LS_current!J$149, FALSE))/2)</f>
        <v>4281.8962097322092</v>
      </c>
      <c r="BU79" s="382">
        <f t="array" ref="BU79">IF($BI79=0, INDEX(LS_current!$D$4:$AY$139, MATCH('Staging Table'!$A79, LS_current!$B$4:$B$139, 0), MATCH(BU$4&amp;BU$5, LS_current!$D$2:$AY$2&amp;LS_current!$D$3:$AY$3, 0)),SUM(VLOOKUP($A79, LS_current!$B$4:$AY$139, LS_current!K$149, FALSE), VLOOKUP($A79, LS_current!$B$4:$AY$139,LS_current!K$149, FALSE))/2)</f>
        <v>2999.4771111858572</v>
      </c>
      <c r="BV79" s="382">
        <f t="array" ref="BV79">IF($BI79=0, INDEX(LS_current!$D$4:$AY$139, MATCH('Staging Table'!$A79, LS_current!$B$4:$B$139, 0), MATCH(BV$4&amp;BV$5, LS_current!$D$2:$AY$2&amp;LS_current!$D$3:$AY$3, 0)),SUM(VLOOKUP($A79, LS_current!$B$4:$AY$139, LS_current!L$149, FALSE), VLOOKUP($A79, LS_current!$B$4:$AY$139,LS_current!L$149, FALSE))/2)</f>
        <v>4397.6258527125719</v>
      </c>
      <c r="BW79" s="382">
        <f t="array" ref="BW79">IF($BI79=0, INDEX(LS_current!$D$4:$AY$139, MATCH('Staging Table'!$A79, LS_current!$B$4:$B$139, 0), MATCH(BW$4&amp;BW$5, LS_current!$D$2:$AY$2&amp;LS_current!$D$3:$AY$3, 0)),SUM(VLOOKUP($A79, LS_current!$B$4:$AY$139, LS_current!M$149, FALSE), VLOOKUP($A79, LS_current!$B$4:$AY$139,LS_current!M$149, FALSE))/2)</f>
        <v>3044.3047256103264</v>
      </c>
      <c r="BX79" s="382">
        <f t="array" ref="BX79">IF($BI79=0, INDEX(LS_current!$D$4:$AY$139, MATCH('Staging Table'!$A79, LS_current!$B$4:$B$139, 0), MATCH(BX$4&amp;BX$5, LS_current!$D$2:$AY$2&amp;LS_current!$D$3:$AY$3, 0)),SUM(VLOOKUP($A79, LS_current!$B$4:$AY$139, LS_current!N$149, FALSE), VLOOKUP($A79, LS_current!$B$4:$AY$139,LS_current!N$149, FALSE))/2)</f>
        <v>2034.715819280982</v>
      </c>
      <c r="BY79" s="382">
        <f t="array" ref="BY79">IF($BI79=0, INDEX(LS_current!$D$4:$AY$139, MATCH('Staging Table'!$A79, LS_current!$B$4:$B$139, 0), MATCH(BY$4&amp;BY$5, LS_current!$D$2:$AY$2&amp;LS_current!$D$3:$AY$3, 0)),SUM(VLOOKUP($A79, LS_current!$B$4:$AY$139, LS_current!O$149, FALSE), VLOOKUP($A79, LS_current!$B$4:$AY$139,LS_current!O$149, FALSE))/2)</f>
        <v>1144.2885012138213</v>
      </c>
      <c r="BZ79" s="382">
        <f t="array" ref="BZ79">IF($BI79=0, INDEX(LS_current!$D$4:$AY$139, MATCH('Staging Table'!$A79, LS_current!$B$4:$B$139, 0), MATCH(BZ$4&amp;BZ$5, LS_current!$D$2:$AY$2&amp;LS_current!$D$3:$AY$3, 0)),SUM(VLOOKUP($A79, LS_current!$B$4:$AY$139, LS_current!P$149, FALSE), VLOOKUP($A79, LS_current!$B$4:$AY$139,LS_current!P$149, FALSE))/2)</f>
        <v>223.78336730121191</v>
      </c>
      <c r="CA79" s="382">
        <f t="array" ref="CA79">IF($BI79=0, INDEX(LS_current!$D$4:$AY$139, MATCH('Staging Table'!$A79, LS_current!$B$4:$B$139, 0), MATCH(CA$4&amp;CA$5, LS_current!$D$2:$AY$2&amp;LS_current!$D$3:$AY$3, 0)),SUM(VLOOKUP($A79, LS_current!$B$4:$AY$139, LS_current!Q$149, FALSE), VLOOKUP($A79, LS_current!$B$4:$AY$139,LS_current!Q$149, FALSE))/2)</f>
        <v>1360.6848100341003</v>
      </c>
      <c r="CB79" s="382">
        <f t="array" ref="CB79">IF($BI79=0, INDEX(LS_current!$D$4:$AY$139, MATCH('Staging Table'!$A79, LS_current!$B$4:$B$139, 0), MATCH(CB$4&amp;CB$5, LS_current!$D$2:$AY$2&amp;LS_current!$D$3:$AY$3, 0)),SUM(VLOOKUP($A79, LS_current!$B$4:$AY$139, LS_current!R$149, FALSE), VLOOKUP($A79, LS_current!$B$4:$AY$139,LS_current!R$149, FALSE))/2)</f>
        <v>-6815.5883857195622</v>
      </c>
      <c r="CC79" s="382">
        <f t="array" ref="CC79">IF($BI79=0, INDEX(LS_current!$D$4:$AY$139, MATCH('Staging Table'!$A79, LS_current!$B$4:$B$139, 0), MATCH(CC$4&amp;CC$5, LS_current!$D$2:$AY$2&amp;LS_current!$D$3:$AY$3, 0)),SUM(VLOOKUP($A79, LS_current!$B$4:$AY$139, LS_current!S$149, FALSE), VLOOKUP($A79, LS_current!$B$4:$AY$139,LS_current!S$149, FALSE))/2)</f>
        <v>-3323.0466193626462</v>
      </c>
      <c r="CD79" s="382">
        <f t="array" ref="CD79">IF($BI79=0, INDEX(LS_current!$D$4:$AY$139, MATCH('Staging Table'!$A79, LS_current!$B$4:$B$139, 0), MATCH(CD$4&amp;CD$5, LS_current!$D$2:$AY$2&amp;LS_current!$D$3:$AY$3, 0)),SUM(VLOOKUP($A79, LS_current!$B$4:$AY$139, LS_current!T$149, FALSE), VLOOKUP($A79, LS_current!$B$4:$AY$139,LS_current!T$149, FALSE))/2)</f>
        <v>-3518.2715366751509</v>
      </c>
      <c r="CE79" s="382">
        <f t="array" ref="CE79">IF($BI79=0, INDEX(LS_current!$D$4:$AY$139, MATCH('Staging Table'!$A79, LS_current!$B$4:$B$139, 0), MATCH(CE$4&amp;CE$5, LS_current!$D$2:$AY$2&amp;LS_current!$D$3:$AY$3, 0)),SUM(VLOOKUP($A79, LS_current!$B$4:$AY$139, LS_current!U$149, FALSE), VLOOKUP($A79, LS_current!$B$4:$AY$139,LS_current!U$149, FALSE))/2)</f>
        <v>-1494.0390399367707</v>
      </c>
      <c r="CF79" s="382">
        <f t="array" ref="CF79">IF($BI79=0, INDEX(LS_current!$D$4:$AY$139, MATCH('Staging Table'!$A79, LS_current!$B$4:$B$139, 0), MATCH(CF$4&amp;CF$5, LS_current!$D$2:$AY$2&amp;LS_current!$D$3:$AY$3, 0)),SUM(VLOOKUP($A79, LS_current!$B$4:$AY$139, LS_current!V$149, FALSE), VLOOKUP($A79, LS_current!$B$4:$AY$139,LS_current!V$149, FALSE))/2)</f>
        <v>-1953.3001046971604</v>
      </c>
      <c r="CG79" s="382">
        <f t="array" ref="CG79">IF($BI79=0, INDEX(LS_current!$D$4:$AY$139, MATCH('Staging Table'!$A79, LS_current!$B$4:$B$139, 0), MATCH(CG$4&amp;CG$5, LS_current!$D$2:$AY$2&amp;LS_current!$D$3:$AY$3, 0)),SUM(VLOOKUP($A79, LS_current!$B$4:$AY$139, LS_current!W$149, FALSE), VLOOKUP($A79, LS_current!$B$4:$AY$139,LS_current!W$149, FALSE))/2)</f>
        <v>393.94661515170446</v>
      </c>
      <c r="CH79" s="382">
        <f t="array" ref="CH79">IF($BI79=0, INDEX(LS_current!$D$4:$AY$139, MATCH('Staging Table'!$A79, LS_current!$B$4:$B$139, 0), MATCH(CH$4&amp;CH$5, LS_current!$D$2:$AY$2&amp;LS_current!$D$3:$AY$3, 0)),SUM(VLOOKUP($A79, LS_current!$B$4:$AY$139, LS_current!X$149, FALSE), VLOOKUP($A79, LS_current!$B$4:$AY$139,LS_current!X$149, FALSE))/2)</f>
        <v>-2779.8684122093764</v>
      </c>
      <c r="CI79" s="382">
        <f t="array" ref="CI79">IF($BI79=0, INDEX(LS_current!$D$4:$AY$139, MATCH('Staging Table'!$A79, LS_current!$B$4:$B$139, 0), MATCH(CI$4&amp;CI$5, LS_current!$D$2:$AY$2&amp;LS_current!$D$3:$AY$3, 0)),SUM(VLOOKUP($A79, LS_current!$B$4:$AY$139, LS_current!Y$149, FALSE), VLOOKUP($A79, LS_current!$B$4:$AY$139,LS_current!Y$149, FALSE))/2)</f>
        <v>-783.50596851143291</v>
      </c>
      <c r="CJ79" s="382">
        <f t="array" ref="CJ79">IF($BI79=0, INDEX(LS_current!$D$4:$AY$139, MATCH('Staging Table'!$A79, LS_current!$B$4:$B$139, 0), MATCH(CJ$4&amp;CJ$5, LS_current!$D$2:$AY$2&amp;LS_current!$D$3:$AY$3, 0)),SUM(VLOOKUP($A79, LS_current!$B$4:$AY$139, LS_current!Z$149, FALSE), VLOOKUP($A79, LS_current!$B$4:$AY$139,LS_current!Z$149, FALSE))/2)</f>
        <v>-2207.3547230414188</v>
      </c>
      <c r="CK79" s="382">
        <f t="array" ref="CK79">IF($BI79=0, INDEX(LS_current!$D$4:$AY$139, MATCH('Staging Table'!$A79, LS_current!$B$4:$B$139, 0), MATCH(CK$4&amp;CK$5, LS_current!$D$2:$AY$2&amp;LS_current!$D$3:$AY$3, 0)),SUM(VLOOKUP($A79, LS_current!$B$4:$AY$139, LS_current!AA$149, FALSE), VLOOKUP($A79, LS_current!$B$4:$AY$139,LS_current!AA$149, FALSE))/2)</f>
        <v>-123.40734774396242</v>
      </c>
      <c r="CL79" s="384">
        <f t="array" ref="CL79">INDEX(Demand_current!$D$4:$AY$138, MATCH($A79, Demand_current!$B$4:$B$138, 0), MATCH(CL$4&amp;CL$5,Demand_current!$D$2:$AY$2&amp;Demand_current!$D$3:$AY$3, 0))/1000</f>
        <v>3.8417884615384601</v>
      </c>
      <c r="CM79" s="384">
        <f t="array" ref="CM79">INDEX(Demand_current!$D$4:$AY$138, MATCH($A79, Demand_current!$B$4:$B$138, 0), MATCH(CM$4&amp;CM$5,Demand_current!$D$2:$AY$2&amp;Demand_current!$D$3:$AY$3, 0))/1000</f>
        <v>2.4323599999999974</v>
      </c>
      <c r="CN79" s="384">
        <f t="array" ref="CN79">INDEX(Demand_current!$D$4:$AY$138, MATCH($A79, Demand_current!$B$4:$B$138, 0), MATCH(CN$4&amp;CN$5,Demand_current!$D$2:$AY$2&amp;Demand_current!$D$3:$AY$3, 0))/1000</f>
        <v>7.7672074999999996</v>
      </c>
      <c r="CO79" s="384">
        <f t="array" ref="CO79">INDEX(Demand_current!$D$4:$AY$138, MATCH($A79, Demand_current!$B$4:$B$138, 0), MATCH(CO$4&amp;CO$5,Demand_current!$D$2:$AY$2&amp;Demand_current!$D$3:$AY$3, 0))/1000</f>
        <v>7.0171658653846185</v>
      </c>
      <c r="CP79" s="384">
        <f t="array" ref="CP79">INDEX(Demand_current!$D$4:$AY$138, MATCH($A79, Demand_current!$B$4:$B$138, 0), MATCH(CP$4&amp;CP$5,Demand_current!$D$2:$AY$2&amp;Demand_current!$D$3:$AY$3, 0))/1000</f>
        <v>3.8072031250000027</v>
      </c>
      <c r="CQ79" s="384">
        <f t="array" ref="CQ79">INDEX(Demand_current!$D$4:$AY$138, MATCH($A79, Demand_current!$B$4:$B$138, 0), MATCH(CQ$4&amp;CQ$5,Demand_current!$D$2:$AY$2&amp;Demand_current!$D$3:$AY$3, 0))/1000</f>
        <v>5.9641296296296273</v>
      </c>
      <c r="CR79" s="384">
        <f t="array" ref="CR79">INDEX(Demand_current!$D$4:$AY$138, MATCH($A79, Demand_current!$B$4:$B$138, 0), MATCH(CR$4&amp;CR$5,Demand_current!$D$2:$AY$2&amp;Demand_current!$D$3:$AY$3, 0))/1000</f>
        <v>4.3734600000000032</v>
      </c>
      <c r="CS79" s="384">
        <f t="array" ref="CS79">INDEX(Demand_current!$D$4:$AY$138, MATCH($A79, Demand_current!$B$4:$B$138, 0), MATCH(CS$4&amp;CS$5,Demand_current!$D$2:$AY$2&amp;Demand_current!$D$3:$AY$3, 0))/1000</f>
        <v>1.1554086538461563</v>
      </c>
      <c r="CT79" s="384">
        <f t="array" ref="CT79">INDEX(Demand_current!$D$4:$AY$138, MATCH($A79, Demand_current!$B$4:$B$138, 0), MATCH(CT$4&amp;CT$5,Demand_current!$D$2:$AY$2&amp;Demand_current!$D$3:$AY$3, 0))/1000</f>
        <v>3.0374975961538473</v>
      </c>
      <c r="CU79" s="384">
        <f t="array" ref="CU79">INDEX(Demand_current!$D$4:$AY$138, MATCH($A79, Demand_current!$B$4:$B$138, 0), MATCH(CU$4&amp;CU$5,Demand_current!$D$2:$AY$2&amp;Demand_current!$D$3:$AY$3, 0))/1000</f>
        <v>3.3759850000000009</v>
      </c>
      <c r="CV79" s="384">
        <f t="array" ref="CV79">INDEX(Demand_current!$D$4:$AY$138, MATCH($A79, Demand_current!$B$4:$B$138, 0), MATCH(CV$4&amp;CV$5,Demand_current!$D$2:$AY$2&amp;Demand_current!$D$3:$AY$3, 0))/1000</f>
        <v>4.1448310185185129</v>
      </c>
      <c r="CW79" s="384">
        <f t="array" ref="CW79">INDEX(Demand_current!$D$4:$AY$138, MATCH($A79, Demand_current!$B$4:$B$138, 0), MATCH(CW$4&amp;CW$5,Demand_current!$D$2:$AY$2&amp;Demand_current!$D$3:$AY$3, 0))/1000</f>
        <v>3.1878098958333352</v>
      </c>
      <c r="CX79" s="384">
        <f>IF(D79=0,IF(C79=0,MAX(0,DA79 - (VLOOKUP($A79,TOCA_current!$A$2:$AI$137,MATCH("RHWM 2018",TOCA_current!$A$2:$AI$2,0),FALSE)*$BH$2)), 0),0)</f>
        <v>0</v>
      </c>
      <c r="CY79" s="427">
        <f>VLOOKUP($A79,REP_current!$A$1:$D$135,MATCH("FY "&amp;$BH$1&amp; " Total Refund",REP_current!$A$1:$D$1,0),0)</f>
        <v>439571.22445567552</v>
      </c>
      <c r="CZ79" s="432">
        <f>MIN(VLOOKUP($A79,TOCA_current!$A$2:$AI$137,MATCH("TRL - NLSL - Existing Resource "&amp;$BH$1,TOCA_current!$A$2:$AI$2,0),FALSE)*$BH$2, VLOOKUP($A79,TOCA_current!$A$2:$AI$137,MATCH("RHWM 2018",TOCA_current!$A$2:$AI$2,0),FALSE)*$BH$2)</f>
        <v>272409.72000000003</v>
      </c>
      <c r="DA79" s="397">
        <f>SUM(BN79:CK79)+(BH79*RT1SC!$C$4*$BH$2)</f>
        <v>272407.23897421395</v>
      </c>
      <c r="DB79" s="432">
        <f>VLOOKUP($A79,TOCA_current!$A$2:$AI$137,MATCH("Above RHWM Not Served with LS "&amp;$BH$1,TOCA_current!$A$2:$AI$2,0),FALSE)*$BH$2</f>
        <v>0</v>
      </c>
      <c r="DC79" s="401">
        <f t="shared" si="27"/>
        <v>-2.4810257860808633</v>
      </c>
      <c r="DD79" s="397">
        <f>(VLOOKUP($A79,TOCA_current!$A$2:$AI$137,MATCH("RHWM 2018",TOCA_current!$A$2:$AI$2,0),FALSE)*$BH$2) - $CZ79</f>
        <v>13008.599999999977</v>
      </c>
      <c r="DE79" s="397">
        <f t="shared" si="28"/>
        <v>0</v>
      </c>
      <c r="DF79" s="397">
        <f t="shared" si="29"/>
        <v>2.4810257860808633</v>
      </c>
      <c r="DG79" s="397">
        <f t="shared" si="30"/>
        <v>0</v>
      </c>
      <c r="DH79" s="397">
        <f t="shared" si="31"/>
        <v>2.4810257860808633</v>
      </c>
    </row>
    <row r="80" spans="1:112">
      <c r="A80" s="274">
        <v>10236</v>
      </c>
      <c r="B80" s="275" t="s">
        <v>81</v>
      </c>
      <c r="C80" s="397">
        <v>1</v>
      </c>
      <c r="D80" s="397">
        <v>0</v>
      </c>
      <c r="E80" s="205">
        <f>VLOOKUP($A80,TOCA_previous!$A$2:$AI$137,MATCH(E$4,TOCA_previous!$A$2:$AI$2,0),FALSE)</f>
        <v>3.9229E-3</v>
      </c>
      <c r="F80" s="206">
        <f>VLOOKUP($A80,TOCA_previous!$A$2:$AI$137,MATCH(F$4,TOCA_previous!$A$2:$AI$2,0),FALSE)</f>
        <v>3.9229E-3</v>
      </c>
      <c r="G80" s="206">
        <f t="shared" si="16"/>
        <v>0</v>
      </c>
      <c r="H80" s="206">
        <f>VLOOKUP($A80,TOCA_previous!$A$2:$AI$137,MATCH(H$4,TOCA_previous!$A$2:$AI$2,0),FALSE)</f>
        <v>6.5000000000000002E-2</v>
      </c>
      <c r="I80" s="206">
        <f t="shared" si="17"/>
        <v>6.5000000000000002E-2</v>
      </c>
      <c r="J80" s="206">
        <f t="shared" si="18"/>
        <v>3.9229E-3</v>
      </c>
      <c r="K80" s="381">
        <f>VLOOKUP(A80, IRD!$A$5:$C$139, 3, FALSE)</f>
        <v>0</v>
      </c>
      <c r="L80" s="382">
        <f t="array" ref="L80">IF($G80=0, INDEX(LS_previous!$D$4:$AY$138, MATCH('Staging Table'!$A80, LS_previous!$B$4:$B$138, 0), MATCH(L$4&amp;L$5, LS_previous!$D$2:$AY$2&amp;LS_previous!$D$3:$AY$3, 0)),SUM(VLOOKUP($A80, LS_previous!$B$4:$AY$138, LS_previous!D$149, FALSE), VLOOKUP('Staging Table'!$A80, LS_previous!$B$4:$AY$138,LS_previous!AB$149, FALSE))/2)</f>
        <v>0</v>
      </c>
      <c r="M80" s="382">
        <f t="array" ref="M80">IF($G80=0, INDEX(LS_previous!$D$4:$AY$138, MATCH('Staging Table'!$A80, LS_previous!$B$4:$B$138, 0), MATCH(M$4&amp;M$5, LS_previous!$D$2:$AY$2&amp;LS_previous!$D$3:$AY$3, 0)),SUM(VLOOKUP($A80, LS_previous!$B$4:$AY$138, LS_previous!E$149, FALSE), VLOOKUP('Staging Table'!$A80, LS_previous!$B$4:$AY$138,LS_previous!AC$149, FALSE))/2)</f>
        <v>0</v>
      </c>
      <c r="N80" s="382">
        <f t="array" ref="N80">IF($G80=0, INDEX(LS_previous!$D$4:$AY$138, MATCH('Staging Table'!$A80, LS_previous!$B$4:$B$138, 0), MATCH(N$4&amp;N$5, LS_previous!$D$2:$AY$2&amp;LS_previous!$D$3:$AY$3, 0)),SUM(VLOOKUP($A80, LS_previous!$B$4:$AY$138, LS_previous!F$149, FALSE), VLOOKUP('Staging Table'!$A80, LS_previous!$B$4:$AY$138,LS_previous!AD$149, FALSE))/2)</f>
        <v>0</v>
      </c>
      <c r="O80" s="382">
        <f t="array" ref="O80">IF($G80=0, INDEX(LS_previous!$D$4:$AY$138, MATCH('Staging Table'!$A80, LS_previous!$B$4:$B$138, 0), MATCH(O$4&amp;O$5, LS_previous!$D$2:$AY$2&amp;LS_previous!$D$3:$AY$3, 0)),SUM(VLOOKUP($A80, LS_previous!$B$4:$AY$138, LS_previous!G$149, FALSE), VLOOKUP('Staging Table'!$A80, LS_previous!$B$4:$AY$138,LS_previous!AE$149, FALSE))/2)</f>
        <v>0</v>
      </c>
      <c r="P80" s="382">
        <f t="array" ref="P80">IF($G80=0, INDEX(LS_previous!$D$4:$AY$138, MATCH('Staging Table'!$A80, LS_previous!$B$4:$B$138, 0), MATCH(P$4&amp;P$5, LS_previous!$D$2:$AY$2&amp;LS_previous!$D$3:$AY$3, 0)),SUM(VLOOKUP($A80, LS_previous!$B$4:$AY$138, LS_previous!H$149, FALSE), VLOOKUP('Staging Table'!$A80, LS_previous!$B$4:$AY$138,LS_previous!AF$149, FALSE))/2)</f>
        <v>0</v>
      </c>
      <c r="Q80" s="382">
        <f t="array" ref="Q80">IF($G80=0, INDEX(LS_previous!$D$4:$AY$138, MATCH('Staging Table'!$A80, LS_previous!$B$4:$B$138, 0), MATCH(Q$4&amp;Q$5, LS_previous!$D$2:$AY$2&amp;LS_previous!$D$3:$AY$3, 0)),SUM(VLOOKUP($A80, LS_previous!$B$4:$AY$138, LS_previous!I$149, FALSE), VLOOKUP('Staging Table'!$A80, LS_previous!$B$4:$AY$138,LS_previous!AG$149, FALSE))/2)</f>
        <v>0</v>
      </c>
      <c r="R80" s="382">
        <f t="array" ref="R80">IF($G80=0, INDEX(LS_previous!$D$4:$AY$138, MATCH('Staging Table'!$A80, LS_previous!$B$4:$B$138, 0), MATCH(R$4&amp;R$5, LS_previous!$D$2:$AY$2&amp;LS_previous!$D$3:$AY$3, 0)),SUM(VLOOKUP($A80, LS_previous!$B$4:$AY$138, LS_previous!J$149, FALSE), VLOOKUP('Staging Table'!$A80, LS_previous!$B$4:$AY$138,LS_previous!AH$149, FALSE))/2)</f>
        <v>0</v>
      </c>
      <c r="S80" s="382">
        <f t="array" ref="S80">IF($G80=0, INDEX(LS_previous!$D$4:$AY$138, MATCH('Staging Table'!$A80, LS_previous!$B$4:$B$138, 0), MATCH(S$4&amp;S$5, LS_previous!$D$2:$AY$2&amp;LS_previous!$D$3:$AY$3, 0)),SUM(VLOOKUP($A80, LS_previous!$B$4:$AY$138, LS_previous!K$149, FALSE), VLOOKUP('Staging Table'!$A80, LS_previous!$B$4:$AY$138,LS_previous!AI$149, FALSE))/2)</f>
        <v>0</v>
      </c>
      <c r="T80" s="382">
        <f t="array" ref="T80">IF($G80=0, INDEX(LS_previous!$D$4:$AY$138, MATCH('Staging Table'!$A80, LS_previous!$B$4:$B$138, 0), MATCH(T$4&amp;T$5, LS_previous!$D$2:$AY$2&amp;LS_previous!$D$3:$AY$3, 0)),SUM(VLOOKUP($A80, LS_previous!$B$4:$AY$138, LS_previous!L$149, FALSE), VLOOKUP('Staging Table'!$A80, LS_previous!$B$4:$AY$138,LS_previous!AJ$149, FALSE))/2)</f>
        <v>0</v>
      </c>
      <c r="U80" s="382">
        <f t="array" ref="U80">IF($G80=0, INDEX(LS_previous!$D$4:$AY$138, MATCH('Staging Table'!$A80, LS_previous!$B$4:$B$138, 0), MATCH(U$4&amp;U$5, LS_previous!$D$2:$AY$2&amp;LS_previous!$D$3:$AY$3, 0)),SUM(VLOOKUP($A80, LS_previous!$B$4:$AY$138, LS_previous!M$149, FALSE), VLOOKUP('Staging Table'!$A80, LS_previous!$B$4:$AY$138,LS_previous!AK$149, FALSE))/2)</f>
        <v>0</v>
      </c>
      <c r="V80" s="382">
        <f t="array" ref="V80">IF($G80=0, INDEX(LS_previous!$D$4:$AY$138, MATCH('Staging Table'!$A80, LS_previous!$B$4:$B$138, 0), MATCH(V$4&amp;V$5, LS_previous!$D$2:$AY$2&amp;LS_previous!$D$3:$AY$3, 0)),SUM(VLOOKUP($A80, LS_previous!$B$4:$AY$138, LS_previous!N$149, FALSE), VLOOKUP('Staging Table'!$A80, LS_previous!$B$4:$AY$138,LS_previous!AL$149, FALSE))/2)</f>
        <v>0</v>
      </c>
      <c r="W80" s="382">
        <f t="array" ref="W80">IF($G80=0, INDEX(LS_previous!$D$4:$AY$138, MATCH('Staging Table'!$A80, LS_previous!$B$4:$B$138, 0), MATCH(W$4&amp;W$5, LS_previous!$D$2:$AY$2&amp;LS_previous!$D$3:$AY$3, 0)),SUM(VLOOKUP($A80, LS_previous!$B$4:$AY$138, LS_previous!O$149, FALSE), VLOOKUP('Staging Table'!$A80, LS_previous!$B$4:$AY$138,LS_previous!AM$149, FALSE))/2)</f>
        <v>0</v>
      </c>
      <c r="X80" s="382">
        <f t="array" ref="X80">IF($G80=0, INDEX(LS_previous!$D$4:$AY$138, MATCH('Staging Table'!$A80, LS_previous!$B$4:$B$138, 0), MATCH(X$4&amp;X$5, LS_previous!$D$2:$AY$2&amp;LS_previous!$D$3:$AY$3, 0)),SUM(VLOOKUP($A80, LS_previous!$B$4:$AY$138, LS_previous!P$149, FALSE), VLOOKUP('Staging Table'!$A80, LS_previous!$B$4:$AY$138,LS_previous!AN$149, FALSE))/2)</f>
        <v>0</v>
      </c>
      <c r="Y80" s="382">
        <f t="array" ref="Y80">IF($G80=0, INDEX(LS_previous!$D$4:$AY$138, MATCH('Staging Table'!$A80, LS_previous!$B$4:$B$138, 0), MATCH(Y$4&amp;Y$5, LS_previous!$D$2:$AY$2&amp;LS_previous!$D$3:$AY$3, 0)),SUM(VLOOKUP($A80, LS_previous!$B$4:$AY$138, LS_previous!Q$149, FALSE), VLOOKUP('Staging Table'!$A80, LS_previous!$B$4:$AY$138,LS_previous!AO$149, FALSE))/2)</f>
        <v>0</v>
      </c>
      <c r="Z80" s="382">
        <f t="array" ref="Z80">IF($G80=0, INDEX(LS_previous!$D$4:$AY$138, MATCH('Staging Table'!$A80, LS_previous!$B$4:$B$138, 0), MATCH(Z$4&amp;Z$5, LS_previous!$D$2:$AY$2&amp;LS_previous!$D$3:$AY$3, 0)),SUM(VLOOKUP($A80, LS_previous!$B$4:$AY$138, LS_previous!R$149, FALSE), VLOOKUP('Staging Table'!$A80, LS_previous!$B$4:$AY$138,LS_previous!AP$149, FALSE))/2)</f>
        <v>0</v>
      </c>
      <c r="AA80" s="382">
        <f t="array" ref="AA80">IF($G80=0, INDEX(LS_previous!$D$4:$AY$138, MATCH('Staging Table'!$A80, LS_previous!$B$4:$B$138, 0), MATCH(AA$4&amp;AA$5, LS_previous!$D$2:$AY$2&amp;LS_previous!$D$3:$AY$3, 0)),SUM(VLOOKUP($A80, LS_previous!$B$4:$AY$138, LS_previous!S$149, FALSE), VLOOKUP('Staging Table'!$A80, LS_previous!$B$4:$AY$138,LS_previous!AQ$149, FALSE))/2)</f>
        <v>0</v>
      </c>
      <c r="AB80" s="382">
        <f t="array" ref="AB80">IF($G80=0, INDEX(LS_previous!$D$4:$AY$138, MATCH('Staging Table'!$A80, LS_previous!$B$4:$B$138, 0), MATCH(AB$4&amp;AB$5, LS_previous!$D$2:$AY$2&amp;LS_previous!$D$3:$AY$3, 0)),SUM(VLOOKUP($A80, LS_previous!$B$4:$AY$138, LS_previous!T$149, FALSE), VLOOKUP('Staging Table'!$A80, LS_previous!$B$4:$AY$138,LS_previous!AR$149, FALSE))/2)</f>
        <v>0</v>
      </c>
      <c r="AC80" s="382">
        <f t="array" ref="AC80">IF($G80=0, INDEX(LS_previous!$D$4:$AY$138, MATCH('Staging Table'!$A80, LS_previous!$B$4:$B$138, 0), MATCH(AC$4&amp;AC$5, LS_previous!$D$2:$AY$2&amp;LS_previous!$D$3:$AY$3, 0)),SUM(VLOOKUP($A80, LS_previous!$B$4:$AY$138, LS_previous!U$149, FALSE), VLOOKUP('Staging Table'!$A80, LS_previous!$B$4:$AY$138,LS_previous!AS$149, FALSE))/2)</f>
        <v>0</v>
      </c>
      <c r="AD80" s="382">
        <f t="array" ref="AD80">IF($G80=0, INDEX(LS_previous!$D$4:$AY$138, MATCH('Staging Table'!$A80, LS_previous!$B$4:$B$138, 0), MATCH(AD$4&amp;AD$5, LS_previous!$D$2:$AY$2&amp;LS_previous!$D$3:$AY$3, 0)),SUM(VLOOKUP($A80, LS_previous!$B$4:$AY$138, LS_previous!V$149, FALSE), VLOOKUP('Staging Table'!$A80, LS_previous!$B$4:$AY$138,LS_previous!AT$149, FALSE))/2)</f>
        <v>0</v>
      </c>
      <c r="AE80" s="382">
        <f t="array" ref="AE80">IF($G80=0, INDEX(LS_previous!$D$4:$AY$138, MATCH('Staging Table'!$A80, LS_previous!$B$4:$B$138, 0), MATCH(AE$4&amp;AE$5, LS_previous!$D$2:$AY$2&amp;LS_previous!$D$3:$AY$3, 0)),SUM(VLOOKUP($A80, LS_previous!$B$4:$AY$138, LS_previous!W$149, FALSE), VLOOKUP('Staging Table'!$A80, LS_previous!$B$4:$AY$138,LS_previous!AU$149, FALSE))/2)</f>
        <v>0</v>
      </c>
      <c r="AF80" s="382">
        <f t="array" ref="AF80">IF($G80=0, INDEX(LS_previous!$D$4:$AY$138, MATCH('Staging Table'!$A80, LS_previous!$B$4:$B$138, 0), MATCH(AF$4&amp;AF$5, LS_previous!$D$2:$AY$2&amp;LS_previous!$D$3:$AY$3, 0)),SUM(VLOOKUP($A80, LS_previous!$B$4:$AY$138, LS_previous!X$149, FALSE), VLOOKUP('Staging Table'!$A80, LS_previous!$B$4:$AY$138,LS_previous!AV$149, FALSE))/2)</f>
        <v>0</v>
      </c>
      <c r="AG80" s="382">
        <f t="array" ref="AG80">IF($G80=0, INDEX(LS_previous!$D$4:$AY$138, MATCH('Staging Table'!$A80, LS_previous!$B$4:$B$138, 0), MATCH(AG$4&amp;AG$5, LS_previous!$D$2:$AY$2&amp;LS_previous!$D$3:$AY$3, 0)),SUM(VLOOKUP($A80, LS_previous!$B$4:$AY$138, LS_previous!Y$149, FALSE), VLOOKUP('Staging Table'!$A80, LS_previous!$B$4:$AY$138,LS_previous!AW$149, FALSE))/2)</f>
        <v>0</v>
      </c>
      <c r="AH80" s="382">
        <f t="array" ref="AH80">IF($G80=0, INDEX(LS_previous!$D$4:$AY$138, MATCH('Staging Table'!$A80, LS_previous!$B$4:$B$138, 0), MATCH(AH$4&amp;AH$5, LS_previous!$D$2:$AY$2&amp;LS_previous!$D$3:$AY$3, 0)),SUM(VLOOKUP($A80, LS_previous!$B$4:$AY$138, LS_previous!Z$149, FALSE), VLOOKUP('Staging Table'!$A80, LS_previous!$B$4:$AY$138,LS_previous!AX$149, FALSE))/2)</f>
        <v>0</v>
      </c>
      <c r="AI80" s="382">
        <f t="array" ref="AI80">IF($G80=0, INDEX(LS_previous!$D$4:$AY$138, MATCH('Staging Table'!$A80, LS_previous!$B$4:$B$138, 0), MATCH(AI$4&amp;AI$5, LS_previous!$D$2:$AY$2&amp;LS_previous!$D$3:$AY$3, 0)),SUM(VLOOKUP($A80, LS_previous!$B$4:$AY$138, LS_previous!AA$149, FALSE), VLOOKUP('Staging Table'!$A80, LS_previous!$B$4:$AY$138,LS_previous!AY$149, FALSE))/2)</f>
        <v>0</v>
      </c>
      <c r="AJ80" s="384">
        <f t="array" ref="AJ80">INDEX(Demand_previous!$D$4:$AY$138, MATCH('Staging Table'!$A80, Demand_previous!$B$4:$B$138, 0), MATCH(AJ$4&amp;AJ$5,Demand_previous!$D$2:$AY$2&amp;Demand_previous!$D$3:$AY$3, 0))/1000</f>
        <v>0</v>
      </c>
      <c r="AK80" s="384">
        <f t="array" ref="AK80">INDEX(Demand_previous!$D$4:$AY$138, MATCH('Staging Table'!$A80, Demand_previous!$B$4:$B$138, 0), MATCH(AK$4&amp;AK$5,Demand_previous!$D$2:$AY$2&amp;Demand_previous!$D$3:$AY$3, 0))/1000</f>
        <v>0</v>
      </c>
      <c r="AL80" s="384">
        <f t="array" ref="AL80">INDEX(Demand_previous!$D$4:$AY$138, MATCH('Staging Table'!$A80, Demand_previous!$B$4:$B$138, 0), MATCH(AL$4&amp;AL$5,Demand_previous!$D$2:$AY$2&amp;Demand_previous!$D$3:$AY$3, 0))/1000</f>
        <v>0</v>
      </c>
      <c r="AM80" s="384">
        <f t="array" ref="AM80">INDEX(Demand_previous!$D$4:$AY$138, MATCH('Staging Table'!$A80, Demand_previous!$B$4:$B$138, 0), MATCH(AM$4&amp;AM$5,Demand_previous!$D$2:$AY$2&amp;Demand_previous!$D$3:$AY$3, 0))/1000</f>
        <v>0</v>
      </c>
      <c r="AN80" s="384">
        <f t="array" ref="AN80">INDEX(Demand_previous!$D$4:$AY$138, MATCH('Staging Table'!$A80, Demand_previous!$B$4:$B$138, 0), MATCH(AN$4&amp;AN$5,Demand_previous!$D$2:$AY$2&amp;Demand_previous!$D$3:$AY$3, 0))/1000</f>
        <v>0</v>
      </c>
      <c r="AO80" s="384">
        <f t="array" ref="AO80">INDEX(Demand_previous!$D$4:$AY$138, MATCH('Staging Table'!$A80, Demand_previous!$B$4:$B$138, 0), MATCH(AO$4&amp;AO$5,Demand_previous!$D$2:$AY$2&amp;Demand_previous!$D$3:$AY$3, 0))/1000</f>
        <v>0</v>
      </c>
      <c r="AP80" s="384">
        <f t="array" ref="AP80">INDEX(Demand_previous!$D$4:$AY$138, MATCH('Staging Table'!$A80, Demand_previous!$B$4:$B$138, 0), MATCH(AP$4&amp;AP$5,Demand_previous!$D$2:$AY$2&amp;Demand_previous!$D$3:$AY$3, 0))/1000</f>
        <v>0</v>
      </c>
      <c r="AQ80" s="384">
        <f t="array" ref="AQ80">INDEX(Demand_previous!$D$4:$AY$138, MATCH('Staging Table'!$A80, Demand_previous!$B$4:$B$138, 0), MATCH(AQ$4&amp;AQ$5,Demand_previous!$D$2:$AY$2&amp;Demand_previous!$D$3:$AY$3, 0))/1000</f>
        <v>0</v>
      </c>
      <c r="AR80" s="384">
        <f t="array" ref="AR80">INDEX(Demand_previous!$D$4:$AY$138, MATCH('Staging Table'!$A80, Demand_previous!$B$4:$B$138, 0), MATCH(AR$4&amp;AR$5,Demand_previous!$D$2:$AY$2&amp;Demand_previous!$D$3:$AY$3, 0))/1000</f>
        <v>0</v>
      </c>
      <c r="AS80" s="384">
        <f t="array" ref="AS80">INDEX(Demand_previous!$D$4:$AY$138, MATCH('Staging Table'!$A80, Demand_previous!$B$4:$B$138, 0), MATCH(AS$4&amp;AS$5,Demand_previous!$D$2:$AY$2&amp;Demand_previous!$D$3:$AY$3, 0))/1000</f>
        <v>0</v>
      </c>
      <c r="AT80" s="384">
        <f t="array" ref="AT80">INDEX(Demand_previous!$D$4:$AY$138, MATCH('Staging Table'!$A80, Demand_previous!$B$4:$B$138, 0), MATCH(AT$4&amp;AT$5,Demand_previous!$D$2:$AY$2&amp;Demand_previous!$D$3:$AY$3, 0))/1000</f>
        <v>0</v>
      </c>
      <c r="AU80" s="384">
        <f t="array" ref="AU80">INDEX(Demand_previous!$D$4:$AY$138, MATCH('Staging Table'!$A80, Demand_previous!$B$4:$B$138, 0), MATCH(AU$4&amp;AU$5,Demand_previous!$D$2:$AY$2&amp;Demand_previous!$D$3:$AY$3, 0))/1000</f>
        <v>0</v>
      </c>
      <c r="AV80" s="384">
        <f>IF($D80=0,IF(C80=0, MAX(AY80 - (VLOOKUP($A80,TOCA_previous!$A$2:$AI$137,MATCH("RHWM 2016",TOCA_previous!$A$2:$AI$2,0),FALSE)*$F$2*TOCA_previous!C77),0),0), 0)</f>
        <v>0</v>
      </c>
      <c r="AW80" s="427">
        <f>VLOOKUP($A80,REP_previous!$A$1:$D$135,MATCH("FY "&amp;$F$1&amp; " Total Refund",REP_previous!$A$1:$D$1,0),0)</f>
        <v>307386.6736301136</v>
      </c>
      <c r="AX80" s="398">
        <f>MIN(VLOOKUP($A80,TOCA_previous!$A$2:$AI$137,MATCH("TRL - NLSL - Exisiting Resource "&amp;$F$1,TOCA_previous!$A$2:$AI$2,0),FALSE)*$F$2,(VLOOKUP($A80,TOCA_previous!$A$2:$AI$137,MATCH("RHWM 2016",TOCA_previous!$A$2:$AI$2,0),FALSE)*$F$2))</f>
        <v>240628.89599999998</v>
      </c>
      <c r="AY80" s="384">
        <f>SUM(L80:AI80)+(F80*RT1SC!$C$3*$F$2)</f>
        <v>240628.405382856</v>
      </c>
      <c r="AZ80" s="398">
        <f>VLOOKUP($A80,TOCA_previous!$A$2:$AI$137,MATCH("Above RHWM Not Served with LS "&amp;$F$1,TOCA_previous!$A$2:$AI$2,0),FALSE)*$F$2</f>
        <v>0</v>
      </c>
      <c r="BA80" s="206">
        <f t="shared" si="19"/>
        <v>-0.49061714397976175</v>
      </c>
      <c r="BB80" s="399">
        <f>(VLOOKUP($A80,TOCA_previous!$A$2:$AI$137,MATCH("RHWM 2016",TOCA_previous!$A$2:$AI$2,0),FALSE)*$F$2) - $AX80</f>
        <v>12517.200000000012</v>
      </c>
      <c r="BC80" s="206">
        <f t="shared" si="20"/>
        <v>0</v>
      </c>
      <c r="BD80" s="400">
        <f t="shared" si="21"/>
        <v>0.49061714397976175</v>
      </c>
      <c r="BE80" s="392">
        <f t="shared" si="22"/>
        <v>0</v>
      </c>
      <c r="BF80" s="399">
        <f t="shared" si="23"/>
        <v>0.49061714397976175</v>
      </c>
      <c r="BG80" s="206">
        <f>VLOOKUP($A80,TOCA_current!$A$2:$AI$137,MATCH(BG$4,TOCA_current!$A$2:$AI$2,0),FALSE)</f>
        <v>3.9477000000000002E-3</v>
      </c>
      <c r="BH80" s="206">
        <f>VLOOKUP($A80,TOCA_current!$A$2:$AI$137,MATCH(BH$4,TOCA_current!$A$2:$AI$2,0),FALSE)</f>
        <v>3.9477000000000002E-3</v>
      </c>
      <c r="BI80" s="391">
        <f t="shared" si="24"/>
        <v>0</v>
      </c>
      <c r="BJ80" s="206">
        <f>VLOOKUP($A80,TOCA_current!A76:BG211,MATCH(BJ$4,TOCA_current!$A$2:$BG$2,0),FALSE)</f>
        <v>6.5000000000000002E-2</v>
      </c>
      <c r="BK80" s="206">
        <f t="shared" si="25"/>
        <v>6.5000000000000002E-2</v>
      </c>
      <c r="BL80" s="206">
        <f t="shared" si="26"/>
        <v>3.9477000000000002E-3</v>
      </c>
      <c r="BM80" s="381">
        <f>VLOOKUP($A80,IRD!$A$4:$G$139, 7, FALSE)</f>
        <v>0</v>
      </c>
      <c r="BN80" s="382">
        <f t="array" ref="BN80">IF($BI80=0, INDEX(LS_current!$D$4:$AY$139, MATCH('Staging Table'!$A80, LS_current!$B$4:$B$139, 0), MATCH(BN$4&amp;BN$5, LS_current!$D$2:$AY$2&amp;LS_current!$D$3:$AY$3, 0)),SUM(VLOOKUP($A80, LS_current!$B$4:$AY$139, LS_current!D$149, FALSE), VLOOKUP($A80, LS_current!$B$4:$AY$139,LS_current!D$149, FALSE))/2)</f>
        <v>0</v>
      </c>
      <c r="BO80" s="382">
        <f t="array" ref="BO80">IF($BI80=0, INDEX(LS_current!$D$4:$AY$139, MATCH('Staging Table'!$A80, LS_current!$B$4:$B$139, 0), MATCH(BO$4&amp;BO$5, LS_current!$D$2:$AY$2&amp;LS_current!$D$3:$AY$3, 0)),SUM(VLOOKUP($A80, LS_current!$B$4:$AY$139, LS_current!E$149, FALSE), VLOOKUP($A80, LS_current!$B$4:$AY$139,LS_current!E$149, FALSE))/2)</f>
        <v>0</v>
      </c>
      <c r="BP80" s="382">
        <f t="array" ref="BP80">IF($BI80=0, INDEX(LS_current!$D$4:$AY$139, MATCH('Staging Table'!$A80, LS_current!$B$4:$B$139, 0), MATCH(BP$4&amp;BP$5, LS_current!$D$2:$AY$2&amp;LS_current!$D$3:$AY$3, 0)),SUM(VLOOKUP($A80, LS_current!$B$4:$AY$139, LS_current!F$149, FALSE), VLOOKUP($A80, LS_current!$B$4:$AY$139,LS_current!F$149, FALSE))/2)</f>
        <v>0</v>
      </c>
      <c r="BQ80" s="382">
        <f t="array" ref="BQ80">IF($BI80=0, INDEX(LS_current!$D$4:$AY$139, MATCH('Staging Table'!$A80, LS_current!$B$4:$B$139, 0), MATCH(BQ$4&amp;BQ$5, LS_current!$D$2:$AY$2&amp;LS_current!$D$3:$AY$3, 0)),SUM(VLOOKUP($A80, LS_current!$B$4:$AY$139, LS_current!G$149, FALSE), VLOOKUP($A80, LS_current!$B$4:$AY$139,LS_current!G$149, FALSE))/2)</f>
        <v>0</v>
      </c>
      <c r="BR80" s="382">
        <f t="array" ref="BR80">IF($BI80=0, INDEX(LS_current!$D$4:$AY$139, MATCH('Staging Table'!$A80, LS_current!$B$4:$B$139, 0), MATCH(BR$4&amp;BR$5, LS_current!$D$2:$AY$2&amp;LS_current!$D$3:$AY$3, 0)),SUM(VLOOKUP($A80, LS_current!$B$4:$AY$139, LS_current!H$149, FALSE), VLOOKUP($A80, LS_current!$B$4:$AY$139,LS_current!H$149, FALSE))/2)</f>
        <v>0</v>
      </c>
      <c r="BS80" s="382">
        <f t="array" ref="BS80">IF($BI80=0, INDEX(LS_current!$D$4:$AY$139, MATCH('Staging Table'!$A80, LS_current!$B$4:$B$139, 0), MATCH(BS$4&amp;BS$5, LS_current!$D$2:$AY$2&amp;LS_current!$D$3:$AY$3, 0)),SUM(VLOOKUP($A80, LS_current!$B$4:$AY$139, LS_current!I$149, FALSE), VLOOKUP($A80, LS_current!$B$4:$AY$139,LS_current!I$149, FALSE))/2)</f>
        <v>0</v>
      </c>
      <c r="BT80" s="382">
        <f t="array" ref="BT80">IF($BI80=0, INDEX(LS_current!$D$4:$AY$139, MATCH('Staging Table'!$A80, LS_current!$B$4:$B$139, 0), MATCH(BT$4&amp;BT$5, LS_current!$D$2:$AY$2&amp;LS_current!$D$3:$AY$3, 0)),SUM(VLOOKUP($A80, LS_current!$B$4:$AY$139, LS_current!J$149, FALSE), VLOOKUP($A80, LS_current!$B$4:$AY$139,LS_current!J$149, FALSE))/2)</f>
        <v>0</v>
      </c>
      <c r="BU80" s="382">
        <f t="array" ref="BU80">IF($BI80=0, INDEX(LS_current!$D$4:$AY$139, MATCH('Staging Table'!$A80, LS_current!$B$4:$B$139, 0), MATCH(BU$4&amp;BU$5, LS_current!$D$2:$AY$2&amp;LS_current!$D$3:$AY$3, 0)),SUM(VLOOKUP($A80, LS_current!$B$4:$AY$139, LS_current!K$149, FALSE), VLOOKUP($A80, LS_current!$B$4:$AY$139,LS_current!K$149, FALSE))/2)</f>
        <v>0</v>
      </c>
      <c r="BV80" s="382">
        <f t="array" ref="BV80">IF($BI80=0, INDEX(LS_current!$D$4:$AY$139, MATCH('Staging Table'!$A80, LS_current!$B$4:$B$139, 0), MATCH(BV$4&amp;BV$5, LS_current!$D$2:$AY$2&amp;LS_current!$D$3:$AY$3, 0)),SUM(VLOOKUP($A80, LS_current!$B$4:$AY$139, LS_current!L$149, FALSE), VLOOKUP($A80, LS_current!$B$4:$AY$139,LS_current!L$149, FALSE))/2)</f>
        <v>0</v>
      </c>
      <c r="BW80" s="382">
        <f t="array" ref="BW80">IF($BI80=0, INDEX(LS_current!$D$4:$AY$139, MATCH('Staging Table'!$A80, LS_current!$B$4:$B$139, 0), MATCH(BW$4&amp;BW$5, LS_current!$D$2:$AY$2&amp;LS_current!$D$3:$AY$3, 0)),SUM(VLOOKUP($A80, LS_current!$B$4:$AY$139, LS_current!M$149, FALSE), VLOOKUP($A80, LS_current!$B$4:$AY$139,LS_current!M$149, FALSE))/2)</f>
        <v>0</v>
      </c>
      <c r="BX80" s="382">
        <f t="array" ref="BX80">IF($BI80=0, INDEX(LS_current!$D$4:$AY$139, MATCH('Staging Table'!$A80, LS_current!$B$4:$B$139, 0), MATCH(BX$4&amp;BX$5, LS_current!$D$2:$AY$2&amp;LS_current!$D$3:$AY$3, 0)),SUM(VLOOKUP($A80, LS_current!$B$4:$AY$139, LS_current!N$149, FALSE), VLOOKUP($A80, LS_current!$B$4:$AY$139,LS_current!N$149, FALSE))/2)</f>
        <v>0</v>
      </c>
      <c r="BY80" s="382">
        <f t="array" ref="BY80">IF($BI80=0, INDEX(LS_current!$D$4:$AY$139, MATCH('Staging Table'!$A80, LS_current!$B$4:$B$139, 0), MATCH(BY$4&amp;BY$5, LS_current!$D$2:$AY$2&amp;LS_current!$D$3:$AY$3, 0)),SUM(VLOOKUP($A80, LS_current!$B$4:$AY$139, LS_current!O$149, FALSE), VLOOKUP($A80, LS_current!$B$4:$AY$139,LS_current!O$149, FALSE))/2)</f>
        <v>0</v>
      </c>
      <c r="BZ80" s="382">
        <f t="array" ref="BZ80">IF($BI80=0, INDEX(LS_current!$D$4:$AY$139, MATCH('Staging Table'!$A80, LS_current!$B$4:$B$139, 0), MATCH(BZ$4&amp;BZ$5, LS_current!$D$2:$AY$2&amp;LS_current!$D$3:$AY$3, 0)),SUM(VLOOKUP($A80, LS_current!$B$4:$AY$139, LS_current!P$149, FALSE), VLOOKUP($A80, LS_current!$B$4:$AY$139,LS_current!P$149, FALSE))/2)</f>
        <v>0</v>
      </c>
      <c r="CA80" s="382">
        <f t="array" ref="CA80">IF($BI80=0, INDEX(LS_current!$D$4:$AY$139, MATCH('Staging Table'!$A80, LS_current!$B$4:$B$139, 0), MATCH(CA$4&amp;CA$5, LS_current!$D$2:$AY$2&amp;LS_current!$D$3:$AY$3, 0)),SUM(VLOOKUP($A80, LS_current!$B$4:$AY$139, LS_current!Q$149, FALSE), VLOOKUP($A80, LS_current!$B$4:$AY$139,LS_current!Q$149, FALSE))/2)</f>
        <v>0</v>
      </c>
      <c r="CB80" s="382">
        <f t="array" ref="CB80">IF($BI80=0, INDEX(LS_current!$D$4:$AY$139, MATCH('Staging Table'!$A80, LS_current!$B$4:$B$139, 0), MATCH(CB$4&amp;CB$5, LS_current!$D$2:$AY$2&amp;LS_current!$D$3:$AY$3, 0)),SUM(VLOOKUP($A80, LS_current!$B$4:$AY$139, LS_current!R$149, FALSE), VLOOKUP($A80, LS_current!$B$4:$AY$139,LS_current!R$149, FALSE))/2)</f>
        <v>0</v>
      </c>
      <c r="CC80" s="382">
        <f t="array" ref="CC80">IF($BI80=0, INDEX(LS_current!$D$4:$AY$139, MATCH('Staging Table'!$A80, LS_current!$B$4:$B$139, 0), MATCH(CC$4&amp;CC$5, LS_current!$D$2:$AY$2&amp;LS_current!$D$3:$AY$3, 0)),SUM(VLOOKUP($A80, LS_current!$B$4:$AY$139, LS_current!S$149, FALSE), VLOOKUP($A80, LS_current!$B$4:$AY$139,LS_current!S$149, FALSE))/2)</f>
        <v>0</v>
      </c>
      <c r="CD80" s="382">
        <f t="array" ref="CD80">IF($BI80=0, INDEX(LS_current!$D$4:$AY$139, MATCH('Staging Table'!$A80, LS_current!$B$4:$B$139, 0), MATCH(CD$4&amp;CD$5, LS_current!$D$2:$AY$2&amp;LS_current!$D$3:$AY$3, 0)),SUM(VLOOKUP($A80, LS_current!$B$4:$AY$139, LS_current!T$149, FALSE), VLOOKUP($A80, LS_current!$B$4:$AY$139,LS_current!T$149, FALSE))/2)</f>
        <v>0</v>
      </c>
      <c r="CE80" s="382">
        <f t="array" ref="CE80">IF($BI80=0, INDEX(LS_current!$D$4:$AY$139, MATCH('Staging Table'!$A80, LS_current!$B$4:$B$139, 0), MATCH(CE$4&amp;CE$5, LS_current!$D$2:$AY$2&amp;LS_current!$D$3:$AY$3, 0)),SUM(VLOOKUP($A80, LS_current!$B$4:$AY$139, LS_current!U$149, FALSE), VLOOKUP($A80, LS_current!$B$4:$AY$139,LS_current!U$149, FALSE))/2)</f>
        <v>0</v>
      </c>
      <c r="CF80" s="382">
        <f t="array" ref="CF80">IF($BI80=0, INDEX(LS_current!$D$4:$AY$139, MATCH('Staging Table'!$A80, LS_current!$B$4:$B$139, 0), MATCH(CF$4&amp;CF$5, LS_current!$D$2:$AY$2&amp;LS_current!$D$3:$AY$3, 0)),SUM(VLOOKUP($A80, LS_current!$B$4:$AY$139, LS_current!V$149, FALSE), VLOOKUP($A80, LS_current!$B$4:$AY$139,LS_current!V$149, FALSE))/2)</f>
        <v>0</v>
      </c>
      <c r="CG80" s="382">
        <f t="array" ref="CG80">IF($BI80=0, INDEX(LS_current!$D$4:$AY$139, MATCH('Staging Table'!$A80, LS_current!$B$4:$B$139, 0), MATCH(CG$4&amp;CG$5, LS_current!$D$2:$AY$2&amp;LS_current!$D$3:$AY$3, 0)),SUM(VLOOKUP($A80, LS_current!$B$4:$AY$139, LS_current!W$149, FALSE), VLOOKUP($A80, LS_current!$B$4:$AY$139,LS_current!W$149, FALSE))/2)</f>
        <v>0</v>
      </c>
      <c r="CH80" s="382">
        <f t="array" ref="CH80">IF($BI80=0, INDEX(LS_current!$D$4:$AY$139, MATCH('Staging Table'!$A80, LS_current!$B$4:$B$139, 0), MATCH(CH$4&amp;CH$5, LS_current!$D$2:$AY$2&amp;LS_current!$D$3:$AY$3, 0)),SUM(VLOOKUP($A80, LS_current!$B$4:$AY$139, LS_current!X$149, FALSE), VLOOKUP($A80, LS_current!$B$4:$AY$139,LS_current!X$149, FALSE))/2)</f>
        <v>0</v>
      </c>
      <c r="CI80" s="382">
        <f t="array" ref="CI80">IF($BI80=0, INDEX(LS_current!$D$4:$AY$139, MATCH('Staging Table'!$A80, LS_current!$B$4:$B$139, 0), MATCH(CI$4&amp;CI$5, LS_current!$D$2:$AY$2&amp;LS_current!$D$3:$AY$3, 0)),SUM(VLOOKUP($A80, LS_current!$B$4:$AY$139, LS_current!Y$149, FALSE), VLOOKUP($A80, LS_current!$B$4:$AY$139,LS_current!Y$149, FALSE))/2)</f>
        <v>0</v>
      </c>
      <c r="CJ80" s="382">
        <f t="array" ref="CJ80">IF($BI80=0, INDEX(LS_current!$D$4:$AY$139, MATCH('Staging Table'!$A80, LS_current!$B$4:$B$139, 0), MATCH(CJ$4&amp;CJ$5, LS_current!$D$2:$AY$2&amp;LS_current!$D$3:$AY$3, 0)),SUM(VLOOKUP($A80, LS_current!$B$4:$AY$139, LS_current!Z$149, FALSE), VLOOKUP($A80, LS_current!$B$4:$AY$139,LS_current!Z$149, FALSE))/2)</f>
        <v>0</v>
      </c>
      <c r="CK80" s="382">
        <f t="array" ref="CK80">IF($BI80=0, INDEX(LS_current!$D$4:$AY$139, MATCH('Staging Table'!$A80, LS_current!$B$4:$B$139, 0), MATCH(CK$4&amp;CK$5, LS_current!$D$2:$AY$2&amp;LS_current!$D$3:$AY$3, 0)),SUM(VLOOKUP($A80, LS_current!$B$4:$AY$139, LS_current!AA$149, FALSE), VLOOKUP($A80, LS_current!$B$4:$AY$139,LS_current!AA$149, FALSE))/2)</f>
        <v>0</v>
      </c>
      <c r="CL80" s="384">
        <f t="array" ref="CL80">INDEX(Demand_current!$D$4:$AY$138, MATCH($A80, Demand_current!$B$4:$B$138, 0), MATCH(CL$4&amp;CL$5,Demand_current!$D$2:$AY$2&amp;Demand_current!$D$3:$AY$3, 0))/1000</f>
        <v>0</v>
      </c>
      <c r="CM80" s="384">
        <f t="array" ref="CM80">INDEX(Demand_current!$D$4:$AY$138, MATCH($A80, Demand_current!$B$4:$B$138, 0), MATCH(CM$4&amp;CM$5,Demand_current!$D$2:$AY$2&amp;Demand_current!$D$3:$AY$3, 0))/1000</f>
        <v>0</v>
      </c>
      <c r="CN80" s="384">
        <f t="array" ref="CN80">INDEX(Demand_current!$D$4:$AY$138, MATCH($A80, Demand_current!$B$4:$B$138, 0), MATCH(CN$4&amp;CN$5,Demand_current!$D$2:$AY$2&amp;Demand_current!$D$3:$AY$3, 0))/1000</f>
        <v>0</v>
      </c>
      <c r="CO80" s="384">
        <f t="array" ref="CO80">INDEX(Demand_current!$D$4:$AY$138, MATCH($A80, Demand_current!$B$4:$B$138, 0), MATCH(CO$4&amp;CO$5,Demand_current!$D$2:$AY$2&amp;Demand_current!$D$3:$AY$3, 0))/1000</f>
        <v>0</v>
      </c>
      <c r="CP80" s="384">
        <f t="array" ref="CP80">INDEX(Demand_current!$D$4:$AY$138, MATCH($A80, Demand_current!$B$4:$B$138, 0), MATCH(CP$4&amp;CP$5,Demand_current!$D$2:$AY$2&amp;Demand_current!$D$3:$AY$3, 0))/1000</f>
        <v>0</v>
      </c>
      <c r="CQ80" s="384">
        <f t="array" ref="CQ80">INDEX(Demand_current!$D$4:$AY$138, MATCH($A80, Demand_current!$B$4:$B$138, 0), MATCH(CQ$4&amp;CQ$5,Demand_current!$D$2:$AY$2&amp;Demand_current!$D$3:$AY$3, 0))/1000</f>
        <v>0</v>
      </c>
      <c r="CR80" s="384">
        <f t="array" ref="CR80">INDEX(Demand_current!$D$4:$AY$138, MATCH($A80, Demand_current!$B$4:$B$138, 0), MATCH(CR$4&amp;CR$5,Demand_current!$D$2:$AY$2&amp;Demand_current!$D$3:$AY$3, 0))/1000</f>
        <v>0</v>
      </c>
      <c r="CS80" s="384">
        <f t="array" ref="CS80">INDEX(Demand_current!$D$4:$AY$138, MATCH($A80, Demand_current!$B$4:$B$138, 0), MATCH(CS$4&amp;CS$5,Demand_current!$D$2:$AY$2&amp;Demand_current!$D$3:$AY$3, 0))/1000</f>
        <v>0</v>
      </c>
      <c r="CT80" s="384">
        <f t="array" ref="CT80">INDEX(Demand_current!$D$4:$AY$138, MATCH($A80, Demand_current!$B$4:$B$138, 0), MATCH(CT$4&amp;CT$5,Demand_current!$D$2:$AY$2&amp;Demand_current!$D$3:$AY$3, 0))/1000</f>
        <v>0</v>
      </c>
      <c r="CU80" s="384">
        <f t="array" ref="CU80">INDEX(Demand_current!$D$4:$AY$138, MATCH($A80, Demand_current!$B$4:$B$138, 0), MATCH(CU$4&amp;CU$5,Demand_current!$D$2:$AY$2&amp;Demand_current!$D$3:$AY$3, 0))/1000</f>
        <v>0</v>
      </c>
      <c r="CV80" s="384">
        <f t="array" ref="CV80">INDEX(Demand_current!$D$4:$AY$138, MATCH($A80, Demand_current!$B$4:$B$138, 0), MATCH(CV$4&amp;CV$5,Demand_current!$D$2:$AY$2&amp;Demand_current!$D$3:$AY$3, 0))/1000</f>
        <v>0</v>
      </c>
      <c r="CW80" s="384">
        <f t="array" ref="CW80">INDEX(Demand_current!$D$4:$AY$138, MATCH($A80, Demand_current!$B$4:$B$138, 0), MATCH(CW$4&amp;CW$5,Demand_current!$D$2:$AY$2&amp;Demand_current!$D$3:$AY$3, 0))/1000</f>
        <v>0</v>
      </c>
      <c r="CX80" s="384">
        <f>IF(D80=0,IF(C80=0,MAX(0,DA80 - (VLOOKUP($A80,TOCA_current!$A$2:$AI$137,MATCH("RHWM 2018",TOCA_current!$A$2:$AI$2,0),FALSE)*$BH$2)), 0),0)</f>
        <v>0</v>
      </c>
      <c r="CY80" s="427">
        <f>VLOOKUP($A80,REP_current!$A$1:$D$135,MATCH("FY "&amp;$BH$1&amp; " Total Refund",REP_current!$A$1:$D$1,0),0)</f>
        <v>310753.25035182608</v>
      </c>
      <c r="CZ80" s="432">
        <f>MIN(VLOOKUP($A80,TOCA_current!$A$2:$AI$137,MATCH("TRL - NLSL - Existing Resource "&amp;$BH$1,TOCA_current!$A$2:$AI$2,0),FALSE)*$BH$2, VLOOKUP($A80,TOCA_current!$A$2:$AI$137,MATCH("RHWM 2018",TOCA_current!$A$2:$AI$2,0),FALSE)*$BH$2)</f>
        <v>240164.16</v>
      </c>
      <c r="DA80" s="397">
        <f>SUM(BN80:CK80)+(BH80*RT1SC!$C$4*$BH$2)</f>
        <v>240165.63653479199</v>
      </c>
      <c r="DB80" s="432">
        <f>VLOOKUP($A80,TOCA_current!$A$2:$AI$137,MATCH("Above RHWM Not Served with LS "&amp;$BH$1,TOCA_current!$A$2:$AI$2,0),FALSE)*$BH$2</f>
        <v>0</v>
      </c>
      <c r="DC80" s="401">
        <f t="shared" si="27"/>
        <v>1.476534791989252</v>
      </c>
      <c r="DD80" s="397">
        <f>(VLOOKUP($A80,TOCA_current!$A$2:$AI$137,MATCH("RHWM 2018",TOCA_current!$A$2:$AI$2,0),FALSE)*$BH$2) - $CZ80</f>
        <v>10687.199999999983</v>
      </c>
      <c r="DE80" s="397">
        <f t="shared" si="28"/>
        <v>-1.476534791989252</v>
      </c>
      <c r="DF80" s="397">
        <f t="shared" si="29"/>
        <v>0</v>
      </c>
      <c r="DG80" s="397">
        <f t="shared" si="30"/>
        <v>0</v>
      </c>
      <c r="DH80" s="397">
        <f t="shared" si="31"/>
        <v>-1.476534791989252</v>
      </c>
    </row>
    <row r="81" spans="1:112">
      <c r="A81" s="274">
        <v>10237</v>
      </c>
      <c r="B81" s="275" t="s">
        <v>82</v>
      </c>
      <c r="C81" s="397">
        <v>0</v>
      </c>
      <c r="D81" s="397">
        <v>1</v>
      </c>
      <c r="E81" s="205">
        <f>VLOOKUP($A81,TOCA_previous!$A$2:$AI$137,MATCH(E$4,TOCA_previous!$A$2:$AI$2,0),FALSE)</f>
        <v>1.5500999999999999E-2</v>
      </c>
      <c r="F81" s="206">
        <f>VLOOKUP($A81,TOCA_previous!$A$2:$AI$137,MATCH(F$4,TOCA_previous!$A$2:$AI$2,0),FALSE)</f>
        <v>5.8828999999999999E-3</v>
      </c>
      <c r="G81" s="206">
        <f t="shared" si="16"/>
        <v>9.6180999999999992E-3</v>
      </c>
      <c r="H81" s="206">
        <f>VLOOKUP($A81,TOCA_previous!$A$2:$AI$137,MATCH(H$4,TOCA_previous!$A$2:$AI$2,0),FALSE)</f>
        <v>1864727</v>
      </c>
      <c r="I81" s="206">
        <f t="shared" si="17"/>
        <v>0</v>
      </c>
      <c r="J81" s="206">
        <f t="shared" si="18"/>
        <v>0</v>
      </c>
      <c r="K81" s="381">
        <f>VLOOKUP(A81, IRD!$A$5:$C$139, 3, FALSE)</f>
        <v>0</v>
      </c>
      <c r="L81" s="382">
        <f t="array" ref="L81">IF($G81=0, INDEX(LS_previous!$D$4:$AY$138, MATCH('Staging Table'!$A81, LS_previous!$B$4:$B$138, 0), MATCH(L$4&amp;L$5, LS_previous!$D$2:$AY$2&amp;LS_previous!$D$3:$AY$3, 0)),SUM(VLOOKUP($A81, LS_previous!$B$4:$AY$138, LS_previous!D$149, FALSE), VLOOKUP('Staging Table'!$A81, LS_previous!$B$4:$AY$138,LS_previous!AB$149, FALSE))/2)</f>
        <v>-1431.1916933679877</v>
      </c>
      <c r="M81" s="382">
        <f t="array" ref="M81">IF($G81=0, INDEX(LS_previous!$D$4:$AY$138, MATCH('Staging Table'!$A81, LS_previous!$B$4:$B$138, 0), MATCH(M$4&amp;M$5, LS_previous!$D$2:$AY$2&amp;LS_previous!$D$3:$AY$3, 0)),SUM(VLOOKUP($A81, LS_previous!$B$4:$AY$138, LS_previous!E$149, FALSE), VLOOKUP('Staging Table'!$A81, LS_previous!$B$4:$AY$138,LS_previous!AC$149, FALSE))/2)</f>
        <v>2254.2114590139845</v>
      </c>
      <c r="N81" s="382">
        <f t="array" ref="N81">IF($G81=0, INDEX(LS_previous!$D$4:$AY$138, MATCH('Staging Table'!$A81, LS_previous!$B$4:$B$138, 0), MATCH(N$4&amp;N$5, LS_previous!$D$2:$AY$2&amp;LS_previous!$D$3:$AY$3, 0)),SUM(VLOOKUP($A81, LS_previous!$B$4:$AY$138, LS_previous!F$149, FALSE), VLOOKUP('Staging Table'!$A81, LS_previous!$B$4:$AY$138,LS_previous!AD$149, FALSE))/2)</f>
        <v>-2439.9998068652149</v>
      </c>
      <c r="O81" s="382">
        <f t="array" ref="O81">IF($G81=0, INDEX(LS_previous!$D$4:$AY$138, MATCH('Staging Table'!$A81, LS_previous!$B$4:$B$138, 0), MATCH(O$4&amp;O$5, LS_previous!$D$2:$AY$2&amp;LS_previous!$D$3:$AY$3, 0)),SUM(VLOOKUP($A81, LS_previous!$B$4:$AY$138, LS_previous!G$149, FALSE), VLOOKUP('Staging Table'!$A81, LS_previous!$B$4:$AY$138,LS_previous!AE$149, FALSE))/2)</f>
        <v>2910.3551807523791</v>
      </c>
      <c r="P81" s="382">
        <f t="array" ref="P81">IF($G81=0, INDEX(LS_previous!$D$4:$AY$138, MATCH('Staging Table'!$A81, LS_previous!$B$4:$B$138, 0), MATCH(P$4&amp;P$5, LS_previous!$D$2:$AY$2&amp;LS_previous!$D$3:$AY$3, 0)),SUM(VLOOKUP($A81, LS_previous!$B$4:$AY$138, LS_previous!H$149, FALSE), VLOOKUP('Staging Table'!$A81, LS_previous!$B$4:$AY$138,LS_previous!AF$149, FALSE))/2)</f>
        <v>2885.4085586019737</v>
      </c>
      <c r="Q81" s="382">
        <f t="array" ref="Q81">IF($G81=0, INDEX(LS_previous!$D$4:$AY$138, MATCH('Staging Table'!$A81, LS_previous!$B$4:$B$138, 0), MATCH(Q$4&amp;Q$5, LS_previous!$D$2:$AY$2&amp;LS_previous!$D$3:$AY$3, 0)),SUM(VLOOKUP($A81, LS_previous!$B$4:$AY$138, LS_previous!I$149, FALSE), VLOOKUP('Staging Table'!$A81, LS_previous!$B$4:$AY$138,LS_previous!AG$149, FALSE))/2)</f>
        <v>5729.7607257273476</v>
      </c>
      <c r="R81" s="382">
        <f t="array" ref="R81">IF($G81=0, INDEX(LS_previous!$D$4:$AY$138, MATCH('Staging Table'!$A81, LS_previous!$B$4:$B$138, 0), MATCH(R$4&amp;R$5, LS_previous!$D$2:$AY$2&amp;LS_previous!$D$3:$AY$3, 0)),SUM(VLOOKUP($A81, LS_previous!$B$4:$AY$138, LS_previous!J$149, FALSE), VLOOKUP('Staging Table'!$A81, LS_previous!$B$4:$AY$138,LS_previous!AH$149, FALSE))/2)</f>
        <v>2000.9696847549421</v>
      </c>
      <c r="S81" s="382">
        <f t="array" ref="S81">IF($G81=0, INDEX(LS_previous!$D$4:$AY$138, MATCH('Staging Table'!$A81, LS_previous!$B$4:$B$138, 0), MATCH(S$4&amp;S$5, LS_previous!$D$2:$AY$2&amp;LS_previous!$D$3:$AY$3, 0)),SUM(VLOOKUP($A81, LS_previous!$B$4:$AY$138, LS_previous!K$149, FALSE), VLOOKUP('Staging Table'!$A81, LS_previous!$B$4:$AY$138,LS_previous!AI$149, FALSE))/2)</f>
        <v>5913.7366284899435</v>
      </c>
      <c r="T81" s="382">
        <f t="array" ref="T81">IF($G81=0, INDEX(LS_previous!$D$4:$AY$138, MATCH('Staging Table'!$A81, LS_previous!$B$4:$B$138, 0), MATCH(T$4&amp;T$5, LS_previous!$D$2:$AY$2&amp;LS_previous!$D$3:$AY$3, 0)),SUM(VLOOKUP($A81, LS_previous!$B$4:$AY$138, LS_previous!L$149, FALSE), VLOOKUP('Staging Table'!$A81, LS_previous!$B$4:$AY$138,LS_previous!AJ$149, FALSE))/2)</f>
        <v>2603.0873281468275</v>
      </c>
      <c r="U81" s="382">
        <f t="array" ref="U81">IF($G81=0, INDEX(LS_previous!$D$4:$AY$138, MATCH('Staging Table'!$A81, LS_previous!$B$4:$B$138, 0), MATCH(U$4&amp;U$5, LS_previous!$D$2:$AY$2&amp;LS_previous!$D$3:$AY$3, 0)),SUM(VLOOKUP($A81, LS_previous!$B$4:$AY$138, LS_previous!M$149, FALSE), VLOOKUP('Staging Table'!$A81, LS_previous!$B$4:$AY$138,LS_previous!AK$149, FALSE))/2)</f>
        <v>4237.6867472823142</v>
      </c>
      <c r="V81" s="382">
        <f t="array" ref="V81">IF($G81=0, INDEX(LS_previous!$D$4:$AY$138, MATCH('Staging Table'!$A81, LS_previous!$B$4:$B$138, 0), MATCH(V$4&amp;V$5, LS_previous!$D$2:$AY$2&amp;LS_previous!$D$3:$AY$3, 0)),SUM(VLOOKUP($A81, LS_previous!$B$4:$AY$138, LS_previous!N$149, FALSE), VLOOKUP('Staging Table'!$A81, LS_previous!$B$4:$AY$138,LS_previous!AL$149, FALSE))/2)</f>
        <v>33.34866353781581</v>
      </c>
      <c r="W81" s="382">
        <f t="array" ref="W81">IF($G81=0, INDEX(LS_previous!$D$4:$AY$138, MATCH('Staging Table'!$A81, LS_previous!$B$4:$B$138, 0), MATCH(W$4&amp;W$5, LS_previous!$D$2:$AY$2&amp;LS_previous!$D$3:$AY$3, 0)),SUM(VLOOKUP($A81, LS_previous!$B$4:$AY$138, LS_previous!O$149, FALSE), VLOOKUP('Staging Table'!$A81, LS_previous!$B$4:$AY$138,LS_previous!AM$149, FALSE))/2)</f>
        <v>2107.6839863330388</v>
      </c>
      <c r="X81" s="382">
        <f t="array" ref="X81">IF($G81=0, INDEX(LS_previous!$D$4:$AY$138, MATCH('Staging Table'!$A81, LS_previous!$B$4:$B$138, 0), MATCH(X$4&amp;X$5, LS_previous!$D$2:$AY$2&amp;LS_previous!$D$3:$AY$3, 0)),SUM(VLOOKUP($A81, LS_previous!$B$4:$AY$138, LS_previous!P$149, FALSE), VLOOKUP('Staging Table'!$A81, LS_previous!$B$4:$AY$138,LS_previous!AN$149, FALSE))/2)</f>
        <v>1682.041711819651</v>
      </c>
      <c r="Y81" s="382">
        <f t="array" ref="Y81">IF($G81=0, INDEX(LS_previous!$D$4:$AY$138, MATCH('Staging Table'!$A81, LS_previous!$B$4:$B$138, 0), MATCH(Y$4&amp;Y$5, LS_previous!$D$2:$AY$2&amp;LS_previous!$D$3:$AY$3, 0)),SUM(VLOOKUP($A81, LS_previous!$B$4:$AY$138, LS_previous!Q$149, FALSE), VLOOKUP('Staging Table'!$A81, LS_previous!$B$4:$AY$138,LS_previous!AO$149, FALSE))/2)</f>
        <v>3696.3124292784796</v>
      </c>
      <c r="Z81" s="382">
        <f t="array" ref="Z81">IF($G81=0, INDEX(LS_previous!$D$4:$AY$138, MATCH('Staging Table'!$A81, LS_previous!$B$4:$B$138, 0), MATCH(Z$4&amp;Z$5, LS_previous!$D$2:$AY$2&amp;LS_previous!$D$3:$AY$3, 0)),SUM(VLOOKUP($A81, LS_previous!$B$4:$AY$138, LS_previous!R$149, FALSE), VLOOKUP('Staging Table'!$A81, LS_previous!$B$4:$AY$138,LS_previous!AP$149, FALSE))/2)</f>
        <v>-10579.513120833199</v>
      </c>
      <c r="AA81" s="382">
        <f t="array" ref="AA81">IF($G81=0, INDEX(LS_previous!$D$4:$AY$138, MATCH('Staging Table'!$A81, LS_previous!$B$4:$B$138, 0), MATCH(AA$4&amp;AA$5, LS_previous!$D$2:$AY$2&amp;LS_previous!$D$3:$AY$3, 0)),SUM(VLOOKUP($A81, LS_previous!$B$4:$AY$138, LS_previous!S$149, FALSE), VLOOKUP('Staging Table'!$A81, LS_previous!$B$4:$AY$138,LS_previous!AQ$149, FALSE))/2)</f>
        <v>-1880.6629926524347</v>
      </c>
      <c r="AB81" s="382">
        <f t="array" ref="AB81">IF($G81=0, INDEX(LS_previous!$D$4:$AY$138, MATCH('Staging Table'!$A81, LS_previous!$B$4:$B$138, 0), MATCH(AB$4&amp;AB$5, LS_previous!$D$2:$AY$2&amp;LS_previous!$D$3:$AY$3, 0)),SUM(VLOOKUP($A81, LS_previous!$B$4:$AY$138, LS_previous!T$149, FALSE), VLOOKUP('Staging Table'!$A81, LS_previous!$B$4:$AY$138,LS_previous!AR$149, FALSE))/2)</f>
        <v>-6316.1405137130323</v>
      </c>
      <c r="AC81" s="382">
        <f t="array" ref="AC81">IF($G81=0, INDEX(LS_previous!$D$4:$AY$138, MATCH('Staging Table'!$A81, LS_previous!$B$4:$B$138, 0), MATCH(AC$4&amp;AC$5, LS_previous!$D$2:$AY$2&amp;LS_previous!$D$3:$AY$3, 0)),SUM(VLOOKUP($A81, LS_previous!$B$4:$AY$138, LS_previous!U$149, FALSE), VLOOKUP('Staging Table'!$A81, LS_previous!$B$4:$AY$138,LS_previous!AS$149, FALSE))/2)</f>
        <v>-1226.016607237194</v>
      </c>
      <c r="AD81" s="382">
        <f t="array" ref="AD81">IF($G81=0, INDEX(LS_previous!$D$4:$AY$138, MATCH('Staging Table'!$A81, LS_previous!$B$4:$B$138, 0), MATCH(AD$4&amp;AD$5, LS_previous!$D$2:$AY$2&amp;LS_previous!$D$3:$AY$3, 0)),SUM(VLOOKUP($A81, LS_previous!$B$4:$AY$138, LS_previous!V$149, FALSE), VLOOKUP('Staging Table'!$A81, LS_previous!$B$4:$AY$138,LS_previous!AT$149, FALSE))/2)</f>
        <v>-6064.3469561478987</v>
      </c>
      <c r="AE81" s="382">
        <f t="array" ref="AE81">IF($G81=0, INDEX(LS_previous!$D$4:$AY$138, MATCH('Staging Table'!$A81, LS_previous!$B$4:$B$138, 0), MATCH(AE$4&amp;AE$5, LS_previous!$D$2:$AY$2&amp;LS_previous!$D$3:$AY$3, 0)),SUM(VLOOKUP($A81, LS_previous!$B$4:$AY$138, LS_previous!W$149, FALSE), VLOOKUP('Staging Table'!$A81, LS_previous!$B$4:$AY$138,LS_previous!AU$149, FALSE))/2)</f>
        <v>1002.1604847889921</v>
      </c>
      <c r="AF81" s="382">
        <f t="array" ref="AF81">IF($G81=0, INDEX(LS_previous!$D$4:$AY$138, MATCH('Staging Table'!$A81, LS_previous!$B$4:$B$138, 0), MATCH(AF$4&amp;AF$5, LS_previous!$D$2:$AY$2&amp;LS_previous!$D$3:$AY$3, 0)),SUM(VLOOKUP($A81, LS_previous!$B$4:$AY$138, LS_previous!X$149, FALSE), VLOOKUP('Staging Table'!$A81, LS_previous!$B$4:$AY$138,LS_previous!AV$149, FALSE))/2)</f>
        <v>-6140.5391618653657</v>
      </c>
      <c r="AG81" s="382">
        <f t="array" ref="AG81">IF($G81=0, INDEX(LS_previous!$D$4:$AY$138, MATCH('Staging Table'!$A81, LS_previous!$B$4:$B$138, 0), MATCH(AG$4&amp;AG$5, LS_previous!$D$2:$AY$2&amp;LS_previous!$D$3:$AY$3, 0)),SUM(VLOOKUP($A81, LS_previous!$B$4:$AY$138, LS_previous!Y$149, FALSE), VLOOKUP('Staging Table'!$A81, LS_previous!$B$4:$AY$138,LS_previous!AW$149, FALSE))/2)</f>
        <v>-57.032033570119893</v>
      </c>
      <c r="AH81" s="382">
        <f t="array" ref="AH81">IF($G81=0, INDEX(LS_previous!$D$4:$AY$138, MATCH('Staging Table'!$A81, LS_previous!$B$4:$B$138, 0), MATCH(AH$4&amp;AH$5, LS_previous!$D$2:$AY$2&amp;LS_previous!$D$3:$AY$3, 0)),SUM(VLOOKUP($A81, LS_previous!$B$4:$AY$138, LS_previous!Z$149, FALSE), VLOOKUP('Staging Table'!$A81, LS_previous!$B$4:$AY$138,LS_previous!AX$149, FALSE))/2)</f>
        <v>-2071.2195591253139</v>
      </c>
      <c r="AI81" s="382">
        <f t="array" ref="AI81">IF($G81=0, INDEX(LS_previous!$D$4:$AY$138, MATCH('Staging Table'!$A81, LS_previous!$B$4:$B$138, 0), MATCH(AI$4&amp;AI$5, LS_previous!$D$2:$AY$2&amp;LS_previous!$D$3:$AY$3, 0)),SUM(VLOOKUP($A81, LS_previous!$B$4:$AY$138, LS_previous!AA$149, FALSE), VLOOKUP('Staging Table'!$A81, LS_previous!$B$4:$AY$138,LS_previous!AY$149, FALSE))/2)</f>
        <v>1150.3610571585623</v>
      </c>
      <c r="AJ81" s="384">
        <f t="array" ref="AJ81">INDEX(Demand_previous!$D$4:$AY$138, MATCH('Staging Table'!$A81, Demand_previous!$B$4:$B$138, 0), MATCH(AJ$4&amp;AJ$5,Demand_previous!$D$2:$AY$2&amp;Demand_previous!$D$3:$AY$3, 0))/1000</f>
        <v>0</v>
      </c>
      <c r="AK81" s="384">
        <f t="array" ref="AK81">INDEX(Demand_previous!$D$4:$AY$138, MATCH('Staging Table'!$A81, Demand_previous!$B$4:$B$138, 0), MATCH(AK$4&amp;AK$5,Demand_previous!$D$2:$AY$2&amp;Demand_previous!$D$3:$AY$3, 0))/1000</f>
        <v>0</v>
      </c>
      <c r="AL81" s="384">
        <f t="array" ref="AL81">INDEX(Demand_previous!$D$4:$AY$138, MATCH('Staging Table'!$A81, Demand_previous!$B$4:$B$138, 0), MATCH(AL$4&amp;AL$5,Demand_previous!$D$2:$AY$2&amp;Demand_previous!$D$3:$AY$3, 0))/1000</f>
        <v>0</v>
      </c>
      <c r="AM81" s="384">
        <f t="array" ref="AM81">INDEX(Demand_previous!$D$4:$AY$138, MATCH('Staging Table'!$A81, Demand_previous!$B$4:$B$138, 0), MATCH(AM$4&amp;AM$5,Demand_previous!$D$2:$AY$2&amp;Demand_previous!$D$3:$AY$3, 0))/1000</f>
        <v>0</v>
      </c>
      <c r="AN81" s="384">
        <f t="array" ref="AN81">INDEX(Demand_previous!$D$4:$AY$138, MATCH('Staging Table'!$A81, Demand_previous!$B$4:$B$138, 0), MATCH(AN$4&amp;AN$5,Demand_previous!$D$2:$AY$2&amp;Demand_previous!$D$3:$AY$3, 0))/1000</f>
        <v>0</v>
      </c>
      <c r="AO81" s="384">
        <f t="array" ref="AO81">INDEX(Demand_previous!$D$4:$AY$138, MATCH('Staging Table'!$A81, Demand_previous!$B$4:$B$138, 0), MATCH(AO$4&amp;AO$5,Demand_previous!$D$2:$AY$2&amp;Demand_previous!$D$3:$AY$3, 0))/1000</f>
        <v>0</v>
      </c>
      <c r="AP81" s="384">
        <f t="array" ref="AP81">INDEX(Demand_previous!$D$4:$AY$138, MATCH('Staging Table'!$A81, Demand_previous!$B$4:$B$138, 0), MATCH(AP$4&amp;AP$5,Demand_previous!$D$2:$AY$2&amp;Demand_previous!$D$3:$AY$3, 0))/1000</f>
        <v>0</v>
      </c>
      <c r="AQ81" s="384">
        <f t="array" ref="AQ81">INDEX(Demand_previous!$D$4:$AY$138, MATCH('Staging Table'!$A81, Demand_previous!$B$4:$B$138, 0), MATCH(AQ$4&amp;AQ$5,Demand_previous!$D$2:$AY$2&amp;Demand_previous!$D$3:$AY$3, 0))/1000</f>
        <v>0</v>
      </c>
      <c r="AR81" s="384">
        <f t="array" ref="AR81">INDEX(Demand_previous!$D$4:$AY$138, MATCH('Staging Table'!$A81, Demand_previous!$B$4:$B$138, 0), MATCH(AR$4&amp;AR$5,Demand_previous!$D$2:$AY$2&amp;Demand_previous!$D$3:$AY$3, 0))/1000</f>
        <v>0</v>
      </c>
      <c r="AS81" s="384">
        <f t="array" ref="AS81">INDEX(Demand_previous!$D$4:$AY$138, MATCH('Staging Table'!$A81, Demand_previous!$B$4:$B$138, 0), MATCH(AS$4&amp;AS$5,Demand_previous!$D$2:$AY$2&amp;Demand_previous!$D$3:$AY$3, 0))/1000</f>
        <v>0</v>
      </c>
      <c r="AT81" s="384">
        <f t="array" ref="AT81">INDEX(Demand_previous!$D$4:$AY$138, MATCH('Staging Table'!$A81, Demand_previous!$B$4:$B$138, 0), MATCH(AT$4&amp;AT$5,Demand_previous!$D$2:$AY$2&amp;Demand_previous!$D$3:$AY$3, 0))/1000</f>
        <v>0</v>
      </c>
      <c r="AU81" s="384">
        <f t="array" ref="AU81">INDEX(Demand_previous!$D$4:$AY$138, MATCH('Staging Table'!$A81, Demand_previous!$B$4:$B$138, 0), MATCH(AU$4&amp;AU$5,Demand_previous!$D$2:$AY$2&amp;Demand_previous!$D$3:$AY$3, 0))/1000</f>
        <v>0</v>
      </c>
      <c r="AV81" s="384">
        <f>IF($D81=0,IF(C81=0, MAX(AY81 - (VLOOKUP($A81,TOCA_previous!$A$2:$AI$137,MATCH("RHWM 2016",TOCA_previous!$A$2:$AI$2,0),FALSE)*$F$2*TOCA_previous!C78),0),0), 0)</f>
        <v>0</v>
      </c>
      <c r="AW81" s="427">
        <f>VLOOKUP($A81,REP_previous!$A$1:$D$135,MATCH("FY "&amp;$F$1&amp; " Total Refund",REP_previous!$A$1:$D$1,0),0)</f>
        <v>1327103.7826674744</v>
      </c>
      <c r="AX81" s="398">
        <f>MIN(VLOOKUP($A81,TOCA_previous!$A$2:$AI$137,MATCH("TRL - NLSL - Exisiting Resource "&amp;$F$1,TOCA_previous!$A$2:$AI$2,0),FALSE)*$F$2,(VLOOKUP($A81,TOCA_previous!$A$2:$AI$137,MATCH("RHWM 2016",TOCA_previous!$A$2:$AI$2,0),FALSE)*$F$2))</f>
        <v>950824.08000000007</v>
      </c>
      <c r="AY81" s="384">
        <f>SUM(L81:AI81)+(F81*RT1SC!$C$3*$F$2)</f>
        <v>360854.12811756448</v>
      </c>
      <c r="AZ81" s="398">
        <f>VLOOKUP($A81,TOCA_previous!$A$2:$AI$137,MATCH("Above RHWM Not Served with LS "&amp;$F$1,TOCA_previous!$A$2:$AI$2,0),FALSE)*$F$2</f>
        <v>0</v>
      </c>
      <c r="BA81" s="206">
        <f t="shared" si="19"/>
        <v>-589969.95188243559</v>
      </c>
      <c r="BB81" s="399">
        <f>(VLOOKUP($A81,TOCA_previous!$A$2:$AI$137,MATCH("RHWM 2016",TOCA_previous!$A$2:$AI$2,0),FALSE)*$F$2) - $AX81</f>
        <v>38456.351999999955</v>
      </c>
      <c r="BC81" s="206">
        <f t="shared" si="20"/>
        <v>0</v>
      </c>
      <c r="BD81" s="400">
        <f t="shared" si="21"/>
        <v>589969.95188243559</v>
      </c>
      <c r="BE81" s="392">
        <f t="shared" si="22"/>
        <v>0</v>
      </c>
      <c r="BF81" s="399">
        <f t="shared" si="23"/>
        <v>0</v>
      </c>
      <c r="BG81" s="206">
        <f>VLOOKUP($A81,TOCA_current!$A$2:$AI$137,MATCH(BG$4,TOCA_current!$A$2:$AI$2,0),FALSE)</f>
        <v>1.5629400000000002E-2</v>
      </c>
      <c r="BH81" s="206">
        <f>VLOOKUP($A81,TOCA_current!$A$2:$AI$137,MATCH(BH$4,TOCA_current!$A$2:$AI$2,0),FALSE)</f>
        <v>6.0194000000000011E-3</v>
      </c>
      <c r="BI81" s="391">
        <f t="shared" si="24"/>
        <v>9.6100000000000005E-3</v>
      </c>
      <c r="BJ81" s="206">
        <f>VLOOKUP($A81,TOCA_current!A77:BG212,MATCH(BJ$4,TOCA_current!$A$2:$BG$2,0),FALSE)</f>
        <v>1864727</v>
      </c>
      <c r="BK81" s="206">
        <f t="shared" si="25"/>
        <v>0</v>
      </c>
      <c r="BL81" s="206">
        <f t="shared" si="26"/>
        <v>0</v>
      </c>
      <c r="BM81" s="381">
        <f>VLOOKUP($A81,IRD!$A$4:$G$139, 7, FALSE)</f>
        <v>0</v>
      </c>
      <c r="BN81" s="382">
        <f t="array" ref="BN81">IF($BI81=0, INDEX(LS_current!$D$4:$AY$139, MATCH('Staging Table'!$A81, LS_current!$B$4:$B$139, 0), MATCH(BN$4&amp;BN$5, LS_current!$D$2:$AY$2&amp;LS_current!$D$3:$AY$3, 0)),SUM(VLOOKUP($A81, LS_current!$B$4:$AY$139, LS_current!D$149, FALSE), VLOOKUP($A81, LS_current!$B$4:$AY$139,LS_current!D$149, FALSE))/2)</f>
        <v>-2133.2655891292452</v>
      </c>
      <c r="BO81" s="382">
        <f t="array" ref="BO81">IF($BI81=0, INDEX(LS_current!$D$4:$AY$139, MATCH('Staging Table'!$A81, LS_current!$B$4:$B$139, 0), MATCH(BO$4&amp;BO$5, LS_current!$D$2:$AY$2&amp;LS_current!$D$3:$AY$3, 0)),SUM(VLOOKUP($A81, LS_current!$B$4:$AY$139, LS_current!E$149, FALSE), VLOOKUP($A81, LS_current!$B$4:$AY$139,LS_current!E$149, FALSE))/2)</f>
        <v>2925.2755622018831</v>
      </c>
      <c r="BP81" s="382">
        <f t="array" ref="BP81">IF($BI81=0, INDEX(LS_current!$D$4:$AY$139, MATCH('Staging Table'!$A81, LS_current!$B$4:$B$139, 0), MATCH(BP$4&amp;BP$5, LS_current!$D$2:$AY$2&amp;LS_current!$D$3:$AY$3, 0)),SUM(VLOOKUP($A81, LS_current!$B$4:$AY$139, LS_current!F$149, FALSE), VLOOKUP($A81, LS_current!$B$4:$AY$139,LS_current!F$149, FALSE))/2)</f>
        <v>-3179.9981589069539</v>
      </c>
      <c r="BQ81" s="382">
        <f t="array" ref="BQ81">IF($BI81=0, INDEX(LS_current!$D$4:$AY$139, MATCH('Staging Table'!$A81, LS_current!$B$4:$B$139, 0), MATCH(BQ$4&amp;BQ$5, LS_current!$D$2:$AY$2&amp;LS_current!$D$3:$AY$3, 0)),SUM(VLOOKUP($A81, LS_current!$B$4:$AY$139, LS_current!G$149, FALSE), VLOOKUP($A81, LS_current!$B$4:$AY$139,LS_current!G$149, FALSE))/2)</f>
        <v>2184.2916225490553</v>
      </c>
      <c r="BR81" s="382">
        <f t="array" ref="BR81">IF($BI81=0, INDEX(LS_current!$D$4:$AY$139, MATCH('Staging Table'!$A81, LS_current!$B$4:$B$139, 0), MATCH(BR$4&amp;BR$5, LS_current!$D$2:$AY$2&amp;LS_current!$D$3:$AY$3, 0)),SUM(VLOOKUP($A81, LS_current!$B$4:$AY$139, LS_current!H$149, FALSE), VLOOKUP($A81, LS_current!$B$4:$AY$139,LS_current!H$149, FALSE))/2)</f>
        <v>930.75704483784648</v>
      </c>
      <c r="BS81" s="382">
        <f t="array" ref="BS81">IF($BI81=0, INDEX(LS_current!$D$4:$AY$139, MATCH('Staging Table'!$A81, LS_current!$B$4:$B$139, 0), MATCH(BS$4&amp;BS$5, LS_current!$D$2:$AY$2&amp;LS_current!$D$3:$AY$3, 0)),SUM(VLOOKUP($A81, LS_current!$B$4:$AY$139, LS_current!I$149, FALSE), VLOOKUP($A81, LS_current!$B$4:$AY$139,LS_current!I$149, FALSE))/2)</f>
        <v>6269.4360025736514</v>
      </c>
      <c r="BT81" s="382">
        <f t="array" ref="BT81">IF($BI81=0, INDEX(LS_current!$D$4:$AY$139, MATCH('Staging Table'!$A81, LS_current!$B$4:$B$139, 0), MATCH(BT$4&amp;BT$5, LS_current!$D$2:$AY$2&amp;LS_current!$D$3:$AY$3, 0)),SUM(VLOOKUP($A81, LS_current!$B$4:$AY$139, LS_current!J$149, FALSE), VLOOKUP($A81, LS_current!$B$4:$AY$139,LS_current!J$149, FALSE))/2)</f>
        <v>2191.7474091301447</v>
      </c>
      <c r="BU81" s="382">
        <f t="array" ref="BU81">IF($BI81=0, INDEX(LS_current!$D$4:$AY$139, MATCH('Staging Table'!$A81, LS_current!$B$4:$B$139, 0), MATCH(BU$4&amp;BU$5, LS_current!$D$2:$AY$2&amp;LS_current!$D$3:$AY$3, 0)),SUM(VLOOKUP($A81, LS_current!$B$4:$AY$139, LS_current!K$149, FALSE), VLOOKUP($A81, LS_current!$B$4:$AY$139,LS_current!K$149, FALSE))/2)</f>
        <v>4818.2144932157444</v>
      </c>
      <c r="BV81" s="382">
        <f t="array" ref="BV81">IF($BI81=0, INDEX(LS_current!$D$4:$AY$139, MATCH('Staging Table'!$A81, LS_current!$B$4:$B$139, 0), MATCH(BV$4&amp;BV$5, LS_current!$D$2:$AY$2&amp;LS_current!$D$3:$AY$3, 0)),SUM(VLOOKUP($A81, LS_current!$B$4:$AY$139, LS_current!L$149, FALSE), VLOOKUP($A81, LS_current!$B$4:$AY$139,LS_current!L$149, FALSE))/2)</f>
        <v>3183.2331258945542</v>
      </c>
      <c r="BW81" s="382">
        <f t="array" ref="BW81">IF($BI81=0, INDEX(LS_current!$D$4:$AY$139, MATCH('Staging Table'!$A81, LS_current!$B$4:$B$139, 0), MATCH(BW$4&amp;BW$5, LS_current!$D$2:$AY$2&amp;LS_current!$D$3:$AY$3, 0)),SUM(VLOOKUP($A81, LS_current!$B$4:$AY$139, LS_current!M$149, FALSE), VLOOKUP($A81, LS_current!$B$4:$AY$139,LS_current!M$149, FALSE))/2)</f>
        <v>4932.7273158404532</v>
      </c>
      <c r="BX81" s="382">
        <f t="array" ref="BX81">IF($BI81=0, INDEX(LS_current!$D$4:$AY$139, MATCH('Staging Table'!$A81, LS_current!$B$4:$B$139, 0), MATCH(BX$4&amp;BX$5, LS_current!$D$2:$AY$2&amp;LS_current!$D$3:$AY$3, 0)),SUM(VLOOKUP($A81, LS_current!$B$4:$AY$139, LS_current!N$149, FALSE), VLOOKUP($A81, LS_current!$B$4:$AY$139,LS_current!N$149, FALSE))/2)</f>
        <v>502.27033150499847</v>
      </c>
      <c r="BY81" s="382">
        <f t="array" ref="BY81">IF($BI81=0, INDEX(LS_current!$D$4:$AY$139, MATCH('Staging Table'!$A81, LS_current!$B$4:$B$139, 0), MATCH(BY$4&amp;BY$5, LS_current!$D$2:$AY$2&amp;LS_current!$D$3:$AY$3, 0)),SUM(VLOOKUP($A81, LS_current!$B$4:$AY$139, LS_current!O$149, FALSE), VLOOKUP($A81, LS_current!$B$4:$AY$139,LS_current!O$149, FALSE))/2)</f>
        <v>2865.7996791224232</v>
      </c>
      <c r="BZ81" s="382">
        <f t="array" ref="BZ81">IF($BI81=0, INDEX(LS_current!$D$4:$AY$139, MATCH('Staging Table'!$A81, LS_current!$B$4:$B$139, 0), MATCH(BZ$4&amp;BZ$5, LS_current!$D$2:$AY$2&amp;LS_current!$D$3:$AY$3, 0)),SUM(VLOOKUP($A81, LS_current!$B$4:$AY$139, LS_current!P$149, FALSE), VLOOKUP($A81, LS_current!$B$4:$AY$139,LS_current!P$149, FALSE))/2)</f>
        <v>-866.37860269046359</v>
      </c>
      <c r="CA81" s="382">
        <f t="array" ref="CA81">IF($BI81=0, INDEX(LS_current!$D$4:$AY$139, MATCH('Staging Table'!$A81, LS_current!$B$4:$B$139, 0), MATCH(CA$4&amp;CA$5, LS_current!$D$2:$AY$2&amp;LS_current!$D$3:$AY$3, 0)),SUM(VLOOKUP($A81, LS_current!$B$4:$AY$139, LS_current!Q$149, FALSE), VLOOKUP($A81, LS_current!$B$4:$AY$139,LS_current!Q$149, FALSE))/2)</f>
        <v>3635.9475330011519</v>
      </c>
      <c r="CB81" s="382">
        <f t="array" ref="CB81">IF($BI81=0, INDEX(LS_current!$D$4:$AY$139, MATCH('Staging Table'!$A81, LS_current!$B$4:$B$139, 0), MATCH(CB$4&amp;CB$5, LS_current!$D$2:$AY$2&amp;LS_current!$D$3:$AY$3, 0)),SUM(VLOOKUP($A81, LS_current!$B$4:$AY$139, LS_current!R$149, FALSE), VLOOKUP($A81, LS_current!$B$4:$AY$139,LS_current!R$149, FALSE))/2)</f>
        <v>-10716.330076735903</v>
      </c>
      <c r="CC81" s="382">
        <f t="array" ref="CC81">IF($BI81=0, INDEX(LS_current!$D$4:$AY$139, MATCH('Staging Table'!$A81, LS_current!$B$4:$B$139, 0), MATCH(CC$4&amp;CC$5, LS_current!$D$2:$AY$2&amp;LS_current!$D$3:$AY$3, 0)),SUM(VLOOKUP($A81, LS_current!$B$4:$AY$139, LS_current!S$149, FALSE), VLOOKUP($A81, LS_current!$B$4:$AY$139,LS_current!S$149, FALSE))/2)</f>
        <v>-2810.5836348552893</v>
      </c>
      <c r="CD81" s="382">
        <f t="array" ref="CD81">IF($BI81=0, INDEX(LS_current!$D$4:$AY$139, MATCH('Staging Table'!$A81, LS_current!$B$4:$B$139, 0), MATCH(CD$4&amp;CD$5, LS_current!$D$2:$AY$2&amp;LS_current!$D$3:$AY$3, 0)),SUM(VLOOKUP($A81, LS_current!$B$4:$AY$139, LS_current!T$149, FALSE), VLOOKUP($A81, LS_current!$B$4:$AY$139,LS_current!T$149, FALSE))/2)</f>
        <v>-6662.1401012266142</v>
      </c>
      <c r="CE81" s="382">
        <f t="array" ref="CE81">IF($BI81=0, INDEX(LS_current!$D$4:$AY$139, MATCH('Staging Table'!$A81, LS_current!$B$4:$B$139, 0), MATCH(CE$4&amp;CE$5, LS_current!$D$2:$AY$2&amp;LS_current!$D$3:$AY$3, 0)),SUM(VLOOKUP($A81, LS_current!$B$4:$AY$139, LS_current!U$149, FALSE), VLOOKUP($A81, LS_current!$B$4:$AY$139,LS_current!U$149, FALSE))/2)</f>
        <v>-662.10538678236662</v>
      </c>
      <c r="CF81" s="382">
        <f t="array" ref="CF81">IF($BI81=0, INDEX(LS_current!$D$4:$AY$139, MATCH('Staging Table'!$A81, LS_current!$B$4:$B$139, 0), MATCH(CF$4&amp;CF$5, LS_current!$D$2:$AY$2&amp;LS_current!$D$3:$AY$3, 0)),SUM(VLOOKUP($A81, LS_current!$B$4:$AY$139, LS_current!V$149, FALSE), VLOOKUP($A81, LS_current!$B$4:$AY$139,LS_current!V$149, FALSE))/2)</f>
        <v>-5457.9721121589428</v>
      </c>
      <c r="CG81" s="382">
        <f t="array" ref="CG81">IF($BI81=0, INDEX(LS_current!$D$4:$AY$139, MATCH('Staging Table'!$A81, LS_current!$B$4:$B$139, 0), MATCH(CG$4&amp;CG$5, LS_current!$D$2:$AY$2&amp;LS_current!$D$3:$AY$3, 0)),SUM(VLOOKUP($A81, LS_current!$B$4:$AY$139, LS_current!W$149, FALSE), VLOOKUP($A81, LS_current!$B$4:$AY$139,LS_current!W$149, FALSE))/2)</f>
        <v>1339.1750674775358</v>
      </c>
      <c r="CH81" s="382">
        <f t="array" ref="CH81">IF($BI81=0, INDEX(LS_current!$D$4:$AY$139, MATCH('Staging Table'!$A81, LS_current!$B$4:$B$139, 0), MATCH(CH$4&amp;CH$5, LS_current!$D$2:$AY$2&amp;LS_current!$D$3:$AY$3, 0)),SUM(VLOOKUP($A81, LS_current!$B$4:$AY$139, LS_current!X$149, FALSE), VLOOKUP($A81, LS_current!$B$4:$AY$139,LS_current!X$149, FALSE))/2)</f>
        <v>-6436.386085144859</v>
      </c>
      <c r="CI81" s="382">
        <f t="array" ref="CI81">IF($BI81=0, INDEX(LS_current!$D$4:$AY$139, MATCH('Staging Table'!$A81, LS_current!$B$4:$B$139, 0), MATCH(CI$4&amp;CI$5, LS_current!$D$2:$AY$2&amp;LS_current!$D$3:$AY$3, 0)),SUM(VLOOKUP($A81, LS_current!$B$4:$AY$139, LS_current!Y$149, FALSE), VLOOKUP($A81, LS_current!$B$4:$AY$139,LS_current!Y$149, FALSE))/2)</f>
        <v>58.340512348366246</v>
      </c>
      <c r="CJ81" s="382">
        <f t="array" ref="CJ81">IF($BI81=0, INDEX(LS_current!$D$4:$AY$139, MATCH('Staging Table'!$A81, LS_current!$B$4:$B$139, 0), MATCH(CJ$4&amp;CJ$5, LS_current!$D$2:$AY$2&amp;LS_current!$D$3:$AY$3, 0)),SUM(VLOOKUP($A81, LS_current!$B$4:$AY$139, LS_current!Z$149, FALSE), VLOOKUP($A81, LS_current!$B$4:$AY$139,LS_current!Z$149, FALSE))/2)</f>
        <v>-4856.3585335497082</v>
      </c>
      <c r="CK81" s="382">
        <f t="array" ref="CK81">IF($BI81=0, INDEX(LS_current!$D$4:$AY$139, MATCH('Staging Table'!$A81, LS_current!$B$4:$B$139, 0), MATCH(CK$4&amp;CK$5, LS_current!$D$2:$AY$2&amp;LS_current!$D$3:$AY$3, 0)),SUM(VLOOKUP($A81, LS_current!$B$4:$AY$139, LS_current!AA$149, FALSE), VLOOKUP($A81, LS_current!$B$4:$AY$139,LS_current!AA$149, FALSE))/2)</f>
        <v>1314.9672554190729</v>
      </c>
      <c r="CL81" s="384">
        <f t="array" ref="CL81">INDEX(Demand_current!$D$4:$AY$138, MATCH($A81, Demand_current!$B$4:$B$138, 0), MATCH(CL$4&amp;CL$5,Demand_current!$D$2:$AY$2&amp;Demand_current!$D$3:$AY$3, 0))/1000</f>
        <v>0</v>
      </c>
      <c r="CM81" s="384">
        <f t="array" ref="CM81">INDEX(Demand_current!$D$4:$AY$138, MATCH($A81, Demand_current!$B$4:$B$138, 0), MATCH(CM$4&amp;CM$5,Demand_current!$D$2:$AY$2&amp;Demand_current!$D$3:$AY$3, 0))/1000</f>
        <v>0</v>
      </c>
      <c r="CN81" s="384">
        <f t="array" ref="CN81">INDEX(Demand_current!$D$4:$AY$138, MATCH($A81, Demand_current!$B$4:$B$138, 0), MATCH(CN$4&amp;CN$5,Demand_current!$D$2:$AY$2&amp;Demand_current!$D$3:$AY$3, 0))/1000</f>
        <v>0</v>
      </c>
      <c r="CO81" s="384">
        <f t="array" ref="CO81">INDEX(Demand_current!$D$4:$AY$138, MATCH($A81, Demand_current!$B$4:$B$138, 0), MATCH(CO$4&amp;CO$5,Demand_current!$D$2:$AY$2&amp;Demand_current!$D$3:$AY$3, 0))/1000</f>
        <v>0</v>
      </c>
      <c r="CP81" s="384">
        <f t="array" ref="CP81">INDEX(Demand_current!$D$4:$AY$138, MATCH($A81, Demand_current!$B$4:$B$138, 0), MATCH(CP$4&amp;CP$5,Demand_current!$D$2:$AY$2&amp;Demand_current!$D$3:$AY$3, 0))/1000</f>
        <v>0</v>
      </c>
      <c r="CQ81" s="384">
        <f t="array" ref="CQ81">INDEX(Demand_current!$D$4:$AY$138, MATCH($A81, Demand_current!$B$4:$B$138, 0), MATCH(CQ$4&amp;CQ$5,Demand_current!$D$2:$AY$2&amp;Demand_current!$D$3:$AY$3, 0))/1000</f>
        <v>0</v>
      </c>
      <c r="CR81" s="384">
        <f t="array" ref="CR81">INDEX(Demand_current!$D$4:$AY$138, MATCH($A81, Demand_current!$B$4:$B$138, 0), MATCH(CR$4&amp;CR$5,Demand_current!$D$2:$AY$2&amp;Demand_current!$D$3:$AY$3, 0))/1000</f>
        <v>0</v>
      </c>
      <c r="CS81" s="384">
        <f t="array" ref="CS81">INDEX(Demand_current!$D$4:$AY$138, MATCH($A81, Demand_current!$B$4:$B$138, 0), MATCH(CS$4&amp;CS$5,Demand_current!$D$2:$AY$2&amp;Demand_current!$D$3:$AY$3, 0))/1000</f>
        <v>0</v>
      </c>
      <c r="CT81" s="384">
        <f t="array" ref="CT81">INDEX(Demand_current!$D$4:$AY$138, MATCH($A81, Demand_current!$B$4:$B$138, 0), MATCH(CT$4&amp;CT$5,Demand_current!$D$2:$AY$2&amp;Demand_current!$D$3:$AY$3, 0))/1000</f>
        <v>0</v>
      </c>
      <c r="CU81" s="384">
        <f t="array" ref="CU81">INDEX(Demand_current!$D$4:$AY$138, MATCH($A81, Demand_current!$B$4:$B$138, 0), MATCH(CU$4&amp;CU$5,Demand_current!$D$2:$AY$2&amp;Demand_current!$D$3:$AY$3, 0))/1000</f>
        <v>0</v>
      </c>
      <c r="CV81" s="384">
        <f t="array" ref="CV81">INDEX(Demand_current!$D$4:$AY$138, MATCH($A81, Demand_current!$B$4:$B$138, 0), MATCH(CV$4&amp;CV$5,Demand_current!$D$2:$AY$2&amp;Demand_current!$D$3:$AY$3, 0))/1000</f>
        <v>0</v>
      </c>
      <c r="CW81" s="384">
        <f t="array" ref="CW81">INDEX(Demand_current!$D$4:$AY$138, MATCH($A81, Demand_current!$B$4:$B$138, 0), MATCH(CW$4&amp;CW$5,Demand_current!$D$2:$AY$2&amp;Demand_current!$D$3:$AY$3, 0))/1000</f>
        <v>0</v>
      </c>
      <c r="CX81" s="384">
        <f>IF(D81=0,IF(C81=0,MAX(0,DA81 - (VLOOKUP($A81,TOCA_current!$A$2:$AI$137,MATCH("RHWM 2018",TOCA_current!$A$2:$AI$2,0),FALSE)*$BH$2)), 0),0)</f>
        <v>0</v>
      </c>
      <c r="CY81" s="427">
        <f>VLOOKUP($A81,REP_current!$A$1:$D$135,MATCH("FY "&amp;$BH$1&amp; " Total Refund",REP_current!$A$1:$D$1,0),0)</f>
        <v>1340530.64271475</v>
      </c>
      <c r="CZ81" s="432">
        <f>MIN(VLOOKUP($A81,TOCA_current!$A$2:$AI$137,MATCH("TRL - NLSL - Existing Resource "&amp;$BH$1,TOCA_current!$A$2:$AI$2,0),FALSE)*$BH$2, VLOOKUP($A81,TOCA_current!$A$2:$AI$137,MATCH("RHWM 2018",TOCA_current!$A$2:$AI$2,0),FALSE)*$BH$2)</f>
        <v>950845.43999999994</v>
      </c>
      <c r="DA81" s="397">
        <f>SUM(BN81:CK81)+(BH81*RT1SC!$C$4*$BH$2)</f>
        <v>359572.00534256059</v>
      </c>
      <c r="DB81" s="432">
        <f>VLOOKUP($A81,TOCA_current!$A$2:$AI$137,MATCH("Above RHWM Not Served with LS "&amp;$BH$1,TOCA_current!$A$2:$AI$2,0),FALSE)*$BH$2</f>
        <v>0</v>
      </c>
      <c r="DC81" s="401">
        <f t="shared" si="27"/>
        <v>-591273.43465743936</v>
      </c>
      <c r="DD81" s="397">
        <f>(VLOOKUP($A81,TOCA_current!$A$2:$AI$137,MATCH("RHWM 2018",TOCA_current!$A$2:$AI$2,0),FALSE)*$BH$2) - $CZ81</f>
        <v>29459.880000000005</v>
      </c>
      <c r="DE81" s="397">
        <f t="shared" si="28"/>
        <v>0</v>
      </c>
      <c r="DF81" s="397">
        <f t="shared" si="29"/>
        <v>591273.43465743936</v>
      </c>
      <c r="DG81" s="397">
        <f t="shared" si="30"/>
        <v>0</v>
      </c>
      <c r="DH81" s="397">
        <f t="shared" si="31"/>
        <v>0</v>
      </c>
    </row>
    <row r="82" spans="1:112">
      <c r="A82" s="274">
        <v>10239</v>
      </c>
      <c r="B82" s="275" t="s">
        <v>83</v>
      </c>
      <c r="C82" s="397">
        <v>1</v>
      </c>
      <c r="D82" s="397">
        <v>0</v>
      </c>
      <c r="E82" s="205">
        <f>VLOOKUP($A82,TOCA_previous!$A$2:$AI$137,MATCH(E$4,TOCA_previous!$A$2:$AI$2,0),FALSE)</f>
        <v>1.9659999999999999E-3</v>
      </c>
      <c r="F82" s="206">
        <f>VLOOKUP($A82,TOCA_previous!$A$2:$AI$137,MATCH(F$4,TOCA_previous!$A$2:$AI$2,0),FALSE)</f>
        <v>1.9659999999999999E-3</v>
      </c>
      <c r="G82" s="206">
        <f t="shared" si="16"/>
        <v>0</v>
      </c>
      <c r="H82" s="206">
        <f>VLOOKUP($A82,TOCA_previous!$A$2:$AI$137,MATCH(H$4,TOCA_previous!$A$2:$AI$2,0),FALSE)</f>
        <v>7.0000000000000007E-2</v>
      </c>
      <c r="I82" s="206">
        <f t="shared" si="17"/>
        <v>7.0000000000000007E-2</v>
      </c>
      <c r="J82" s="206">
        <f t="shared" si="18"/>
        <v>1.9659999999999999E-3</v>
      </c>
      <c r="K82" s="381">
        <f>VLOOKUP(A82, IRD!$A$5:$C$139, 3, FALSE)</f>
        <v>0</v>
      </c>
      <c r="L82" s="382">
        <f t="array" ref="L82">IF($G82=0, INDEX(LS_previous!$D$4:$AY$138, MATCH('Staging Table'!$A82, LS_previous!$B$4:$B$138, 0), MATCH(L$4&amp;L$5, LS_previous!$D$2:$AY$2&amp;LS_previous!$D$3:$AY$3, 0)),SUM(VLOOKUP($A82, LS_previous!$B$4:$AY$138, LS_previous!D$149, FALSE), VLOOKUP('Staging Table'!$A82, LS_previous!$B$4:$AY$138,LS_previous!AB$149, FALSE))/2)</f>
        <v>0</v>
      </c>
      <c r="M82" s="382">
        <f t="array" ref="M82">IF($G82=0, INDEX(LS_previous!$D$4:$AY$138, MATCH('Staging Table'!$A82, LS_previous!$B$4:$B$138, 0), MATCH(M$4&amp;M$5, LS_previous!$D$2:$AY$2&amp;LS_previous!$D$3:$AY$3, 0)),SUM(VLOOKUP($A82, LS_previous!$B$4:$AY$138, LS_previous!E$149, FALSE), VLOOKUP('Staging Table'!$A82, LS_previous!$B$4:$AY$138,LS_previous!AC$149, FALSE))/2)</f>
        <v>0</v>
      </c>
      <c r="N82" s="382">
        <f t="array" ref="N82">IF($G82=0, INDEX(LS_previous!$D$4:$AY$138, MATCH('Staging Table'!$A82, LS_previous!$B$4:$B$138, 0), MATCH(N$4&amp;N$5, LS_previous!$D$2:$AY$2&amp;LS_previous!$D$3:$AY$3, 0)),SUM(VLOOKUP($A82, LS_previous!$B$4:$AY$138, LS_previous!F$149, FALSE), VLOOKUP('Staging Table'!$A82, LS_previous!$B$4:$AY$138,LS_previous!AD$149, FALSE))/2)</f>
        <v>0</v>
      </c>
      <c r="O82" s="382">
        <f t="array" ref="O82">IF($G82=0, INDEX(LS_previous!$D$4:$AY$138, MATCH('Staging Table'!$A82, LS_previous!$B$4:$B$138, 0), MATCH(O$4&amp;O$5, LS_previous!$D$2:$AY$2&amp;LS_previous!$D$3:$AY$3, 0)),SUM(VLOOKUP($A82, LS_previous!$B$4:$AY$138, LS_previous!G$149, FALSE), VLOOKUP('Staging Table'!$A82, LS_previous!$B$4:$AY$138,LS_previous!AE$149, FALSE))/2)</f>
        <v>0</v>
      </c>
      <c r="P82" s="382">
        <f t="array" ref="P82">IF($G82=0, INDEX(LS_previous!$D$4:$AY$138, MATCH('Staging Table'!$A82, LS_previous!$B$4:$B$138, 0), MATCH(P$4&amp;P$5, LS_previous!$D$2:$AY$2&amp;LS_previous!$D$3:$AY$3, 0)),SUM(VLOOKUP($A82, LS_previous!$B$4:$AY$138, LS_previous!H$149, FALSE), VLOOKUP('Staging Table'!$A82, LS_previous!$B$4:$AY$138,LS_previous!AF$149, FALSE))/2)</f>
        <v>0</v>
      </c>
      <c r="Q82" s="382">
        <f t="array" ref="Q82">IF($G82=0, INDEX(LS_previous!$D$4:$AY$138, MATCH('Staging Table'!$A82, LS_previous!$B$4:$B$138, 0), MATCH(Q$4&amp;Q$5, LS_previous!$D$2:$AY$2&amp;LS_previous!$D$3:$AY$3, 0)),SUM(VLOOKUP($A82, LS_previous!$B$4:$AY$138, LS_previous!I$149, FALSE), VLOOKUP('Staging Table'!$A82, LS_previous!$B$4:$AY$138,LS_previous!AG$149, FALSE))/2)</f>
        <v>0</v>
      </c>
      <c r="R82" s="382">
        <f t="array" ref="R82">IF($G82=0, INDEX(LS_previous!$D$4:$AY$138, MATCH('Staging Table'!$A82, LS_previous!$B$4:$B$138, 0), MATCH(R$4&amp;R$5, LS_previous!$D$2:$AY$2&amp;LS_previous!$D$3:$AY$3, 0)),SUM(VLOOKUP($A82, LS_previous!$B$4:$AY$138, LS_previous!J$149, FALSE), VLOOKUP('Staging Table'!$A82, LS_previous!$B$4:$AY$138,LS_previous!AH$149, FALSE))/2)</f>
        <v>0</v>
      </c>
      <c r="S82" s="382">
        <f t="array" ref="S82">IF($G82=0, INDEX(LS_previous!$D$4:$AY$138, MATCH('Staging Table'!$A82, LS_previous!$B$4:$B$138, 0), MATCH(S$4&amp;S$5, LS_previous!$D$2:$AY$2&amp;LS_previous!$D$3:$AY$3, 0)),SUM(VLOOKUP($A82, LS_previous!$B$4:$AY$138, LS_previous!K$149, FALSE), VLOOKUP('Staging Table'!$A82, LS_previous!$B$4:$AY$138,LS_previous!AI$149, FALSE))/2)</f>
        <v>0</v>
      </c>
      <c r="T82" s="382">
        <f t="array" ref="T82">IF($G82=0, INDEX(LS_previous!$D$4:$AY$138, MATCH('Staging Table'!$A82, LS_previous!$B$4:$B$138, 0), MATCH(T$4&amp;T$5, LS_previous!$D$2:$AY$2&amp;LS_previous!$D$3:$AY$3, 0)),SUM(VLOOKUP($A82, LS_previous!$B$4:$AY$138, LS_previous!L$149, FALSE), VLOOKUP('Staging Table'!$A82, LS_previous!$B$4:$AY$138,LS_previous!AJ$149, FALSE))/2)</f>
        <v>0</v>
      </c>
      <c r="U82" s="382">
        <f t="array" ref="U82">IF($G82=0, INDEX(LS_previous!$D$4:$AY$138, MATCH('Staging Table'!$A82, LS_previous!$B$4:$B$138, 0), MATCH(U$4&amp;U$5, LS_previous!$D$2:$AY$2&amp;LS_previous!$D$3:$AY$3, 0)),SUM(VLOOKUP($A82, LS_previous!$B$4:$AY$138, LS_previous!M$149, FALSE), VLOOKUP('Staging Table'!$A82, LS_previous!$B$4:$AY$138,LS_previous!AK$149, FALSE))/2)</f>
        <v>0</v>
      </c>
      <c r="V82" s="382">
        <f t="array" ref="V82">IF($G82=0, INDEX(LS_previous!$D$4:$AY$138, MATCH('Staging Table'!$A82, LS_previous!$B$4:$B$138, 0), MATCH(V$4&amp;V$5, LS_previous!$D$2:$AY$2&amp;LS_previous!$D$3:$AY$3, 0)),SUM(VLOOKUP($A82, LS_previous!$B$4:$AY$138, LS_previous!N$149, FALSE), VLOOKUP('Staging Table'!$A82, LS_previous!$B$4:$AY$138,LS_previous!AL$149, FALSE))/2)</f>
        <v>0</v>
      </c>
      <c r="W82" s="382">
        <f t="array" ref="W82">IF($G82=0, INDEX(LS_previous!$D$4:$AY$138, MATCH('Staging Table'!$A82, LS_previous!$B$4:$B$138, 0), MATCH(W$4&amp;W$5, LS_previous!$D$2:$AY$2&amp;LS_previous!$D$3:$AY$3, 0)),SUM(VLOOKUP($A82, LS_previous!$B$4:$AY$138, LS_previous!O$149, FALSE), VLOOKUP('Staging Table'!$A82, LS_previous!$B$4:$AY$138,LS_previous!AM$149, FALSE))/2)</f>
        <v>0</v>
      </c>
      <c r="X82" s="382">
        <f t="array" ref="X82">IF($G82=0, INDEX(LS_previous!$D$4:$AY$138, MATCH('Staging Table'!$A82, LS_previous!$B$4:$B$138, 0), MATCH(X$4&amp;X$5, LS_previous!$D$2:$AY$2&amp;LS_previous!$D$3:$AY$3, 0)),SUM(VLOOKUP($A82, LS_previous!$B$4:$AY$138, LS_previous!P$149, FALSE), VLOOKUP('Staging Table'!$A82, LS_previous!$B$4:$AY$138,LS_previous!AN$149, FALSE))/2)</f>
        <v>0</v>
      </c>
      <c r="Y82" s="382">
        <f t="array" ref="Y82">IF($G82=0, INDEX(LS_previous!$D$4:$AY$138, MATCH('Staging Table'!$A82, LS_previous!$B$4:$B$138, 0), MATCH(Y$4&amp;Y$5, LS_previous!$D$2:$AY$2&amp;LS_previous!$D$3:$AY$3, 0)),SUM(VLOOKUP($A82, LS_previous!$B$4:$AY$138, LS_previous!Q$149, FALSE), VLOOKUP('Staging Table'!$A82, LS_previous!$B$4:$AY$138,LS_previous!AO$149, FALSE))/2)</f>
        <v>0</v>
      </c>
      <c r="Z82" s="382">
        <f t="array" ref="Z82">IF($G82=0, INDEX(LS_previous!$D$4:$AY$138, MATCH('Staging Table'!$A82, LS_previous!$B$4:$B$138, 0), MATCH(Z$4&amp;Z$5, LS_previous!$D$2:$AY$2&amp;LS_previous!$D$3:$AY$3, 0)),SUM(VLOOKUP($A82, LS_previous!$B$4:$AY$138, LS_previous!R$149, FALSE), VLOOKUP('Staging Table'!$A82, LS_previous!$B$4:$AY$138,LS_previous!AP$149, FALSE))/2)</f>
        <v>0</v>
      </c>
      <c r="AA82" s="382">
        <f t="array" ref="AA82">IF($G82=0, INDEX(LS_previous!$D$4:$AY$138, MATCH('Staging Table'!$A82, LS_previous!$B$4:$B$138, 0), MATCH(AA$4&amp;AA$5, LS_previous!$D$2:$AY$2&amp;LS_previous!$D$3:$AY$3, 0)),SUM(VLOOKUP($A82, LS_previous!$B$4:$AY$138, LS_previous!S$149, FALSE), VLOOKUP('Staging Table'!$A82, LS_previous!$B$4:$AY$138,LS_previous!AQ$149, FALSE))/2)</f>
        <v>0</v>
      </c>
      <c r="AB82" s="382">
        <f t="array" ref="AB82">IF($G82=0, INDEX(LS_previous!$D$4:$AY$138, MATCH('Staging Table'!$A82, LS_previous!$B$4:$B$138, 0), MATCH(AB$4&amp;AB$5, LS_previous!$D$2:$AY$2&amp;LS_previous!$D$3:$AY$3, 0)),SUM(VLOOKUP($A82, LS_previous!$B$4:$AY$138, LS_previous!T$149, FALSE), VLOOKUP('Staging Table'!$A82, LS_previous!$B$4:$AY$138,LS_previous!AR$149, FALSE))/2)</f>
        <v>0</v>
      </c>
      <c r="AC82" s="382">
        <f t="array" ref="AC82">IF($G82=0, INDEX(LS_previous!$D$4:$AY$138, MATCH('Staging Table'!$A82, LS_previous!$B$4:$B$138, 0), MATCH(AC$4&amp;AC$5, LS_previous!$D$2:$AY$2&amp;LS_previous!$D$3:$AY$3, 0)),SUM(VLOOKUP($A82, LS_previous!$B$4:$AY$138, LS_previous!U$149, FALSE), VLOOKUP('Staging Table'!$A82, LS_previous!$B$4:$AY$138,LS_previous!AS$149, FALSE))/2)</f>
        <v>0</v>
      </c>
      <c r="AD82" s="382">
        <f t="array" ref="AD82">IF($G82=0, INDEX(LS_previous!$D$4:$AY$138, MATCH('Staging Table'!$A82, LS_previous!$B$4:$B$138, 0), MATCH(AD$4&amp;AD$5, LS_previous!$D$2:$AY$2&amp;LS_previous!$D$3:$AY$3, 0)),SUM(VLOOKUP($A82, LS_previous!$B$4:$AY$138, LS_previous!V$149, FALSE), VLOOKUP('Staging Table'!$A82, LS_previous!$B$4:$AY$138,LS_previous!AT$149, FALSE))/2)</f>
        <v>0</v>
      </c>
      <c r="AE82" s="382">
        <f t="array" ref="AE82">IF($G82=0, INDEX(LS_previous!$D$4:$AY$138, MATCH('Staging Table'!$A82, LS_previous!$B$4:$B$138, 0), MATCH(AE$4&amp;AE$5, LS_previous!$D$2:$AY$2&amp;LS_previous!$D$3:$AY$3, 0)),SUM(VLOOKUP($A82, LS_previous!$B$4:$AY$138, LS_previous!W$149, FALSE), VLOOKUP('Staging Table'!$A82, LS_previous!$B$4:$AY$138,LS_previous!AU$149, FALSE))/2)</f>
        <v>0</v>
      </c>
      <c r="AF82" s="382">
        <f t="array" ref="AF82">IF($G82=0, INDEX(LS_previous!$D$4:$AY$138, MATCH('Staging Table'!$A82, LS_previous!$B$4:$B$138, 0), MATCH(AF$4&amp;AF$5, LS_previous!$D$2:$AY$2&amp;LS_previous!$D$3:$AY$3, 0)),SUM(VLOOKUP($A82, LS_previous!$B$4:$AY$138, LS_previous!X$149, FALSE), VLOOKUP('Staging Table'!$A82, LS_previous!$B$4:$AY$138,LS_previous!AV$149, FALSE))/2)</f>
        <v>0</v>
      </c>
      <c r="AG82" s="382">
        <f t="array" ref="AG82">IF($G82=0, INDEX(LS_previous!$D$4:$AY$138, MATCH('Staging Table'!$A82, LS_previous!$B$4:$B$138, 0), MATCH(AG$4&amp;AG$5, LS_previous!$D$2:$AY$2&amp;LS_previous!$D$3:$AY$3, 0)),SUM(VLOOKUP($A82, LS_previous!$B$4:$AY$138, LS_previous!Y$149, FALSE), VLOOKUP('Staging Table'!$A82, LS_previous!$B$4:$AY$138,LS_previous!AW$149, FALSE))/2)</f>
        <v>0</v>
      </c>
      <c r="AH82" s="382">
        <f t="array" ref="AH82">IF($G82=0, INDEX(LS_previous!$D$4:$AY$138, MATCH('Staging Table'!$A82, LS_previous!$B$4:$B$138, 0), MATCH(AH$4&amp;AH$5, LS_previous!$D$2:$AY$2&amp;LS_previous!$D$3:$AY$3, 0)),SUM(VLOOKUP($A82, LS_previous!$B$4:$AY$138, LS_previous!Z$149, FALSE), VLOOKUP('Staging Table'!$A82, LS_previous!$B$4:$AY$138,LS_previous!AX$149, FALSE))/2)</f>
        <v>0</v>
      </c>
      <c r="AI82" s="382">
        <f t="array" ref="AI82">IF($G82=0, INDEX(LS_previous!$D$4:$AY$138, MATCH('Staging Table'!$A82, LS_previous!$B$4:$B$138, 0), MATCH(AI$4&amp;AI$5, LS_previous!$D$2:$AY$2&amp;LS_previous!$D$3:$AY$3, 0)),SUM(VLOOKUP($A82, LS_previous!$B$4:$AY$138, LS_previous!AA$149, FALSE), VLOOKUP('Staging Table'!$A82, LS_previous!$B$4:$AY$138,LS_previous!AY$149, FALSE))/2)</f>
        <v>0</v>
      </c>
      <c r="AJ82" s="384">
        <f t="array" ref="AJ82">INDEX(Demand_previous!$D$4:$AY$138, MATCH('Staging Table'!$A82, Demand_previous!$B$4:$B$138, 0), MATCH(AJ$4&amp;AJ$5,Demand_previous!$D$2:$AY$2&amp;Demand_previous!$D$3:$AY$3, 0))/1000</f>
        <v>0</v>
      </c>
      <c r="AK82" s="384">
        <f t="array" ref="AK82">INDEX(Demand_previous!$D$4:$AY$138, MATCH('Staging Table'!$A82, Demand_previous!$B$4:$B$138, 0), MATCH(AK$4&amp;AK$5,Demand_previous!$D$2:$AY$2&amp;Demand_previous!$D$3:$AY$3, 0))/1000</f>
        <v>0</v>
      </c>
      <c r="AL82" s="384">
        <f t="array" ref="AL82">INDEX(Demand_previous!$D$4:$AY$138, MATCH('Staging Table'!$A82, Demand_previous!$B$4:$B$138, 0), MATCH(AL$4&amp;AL$5,Demand_previous!$D$2:$AY$2&amp;Demand_previous!$D$3:$AY$3, 0))/1000</f>
        <v>0</v>
      </c>
      <c r="AM82" s="384">
        <f t="array" ref="AM82">INDEX(Demand_previous!$D$4:$AY$138, MATCH('Staging Table'!$A82, Demand_previous!$B$4:$B$138, 0), MATCH(AM$4&amp;AM$5,Demand_previous!$D$2:$AY$2&amp;Demand_previous!$D$3:$AY$3, 0))/1000</f>
        <v>0</v>
      </c>
      <c r="AN82" s="384">
        <f t="array" ref="AN82">INDEX(Demand_previous!$D$4:$AY$138, MATCH('Staging Table'!$A82, Demand_previous!$B$4:$B$138, 0), MATCH(AN$4&amp;AN$5,Demand_previous!$D$2:$AY$2&amp;Demand_previous!$D$3:$AY$3, 0))/1000</f>
        <v>0</v>
      </c>
      <c r="AO82" s="384">
        <f t="array" ref="AO82">INDEX(Demand_previous!$D$4:$AY$138, MATCH('Staging Table'!$A82, Demand_previous!$B$4:$B$138, 0), MATCH(AO$4&amp;AO$5,Demand_previous!$D$2:$AY$2&amp;Demand_previous!$D$3:$AY$3, 0))/1000</f>
        <v>0</v>
      </c>
      <c r="AP82" s="384">
        <f t="array" ref="AP82">INDEX(Demand_previous!$D$4:$AY$138, MATCH('Staging Table'!$A82, Demand_previous!$B$4:$B$138, 0), MATCH(AP$4&amp;AP$5,Demand_previous!$D$2:$AY$2&amp;Demand_previous!$D$3:$AY$3, 0))/1000</f>
        <v>0</v>
      </c>
      <c r="AQ82" s="384">
        <f t="array" ref="AQ82">INDEX(Demand_previous!$D$4:$AY$138, MATCH('Staging Table'!$A82, Demand_previous!$B$4:$B$138, 0), MATCH(AQ$4&amp;AQ$5,Demand_previous!$D$2:$AY$2&amp;Demand_previous!$D$3:$AY$3, 0))/1000</f>
        <v>0</v>
      </c>
      <c r="AR82" s="384">
        <f t="array" ref="AR82">INDEX(Demand_previous!$D$4:$AY$138, MATCH('Staging Table'!$A82, Demand_previous!$B$4:$B$138, 0), MATCH(AR$4&amp;AR$5,Demand_previous!$D$2:$AY$2&amp;Demand_previous!$D$3:$AY$3, 0))/1000</f>
        <v>0</v>
      </c>
      <c r="AS82" s="384">
        <f t="array" ref="AS82">INDEX(Demand_previous!$D$4:$AY$138, MATCH('Staging Table'!$A82, Demand_previous!$B$4:$B$138, 0), MATCH(AS$4&amp;AS$5,Demand_previous!$D$2:$AY$2&amp;Demand_previous!$D$3:$AY$3, 0))/1000</f>
        <v>0</v>
      </c>
      <c r="AT82" s="384">
        <f t="array" ref="AT82">INDEX(Demand_previous!$D$4:$AY$138, MATCH('Staging Table'!$A82, Demand_previous!$B$4:$B$138, 0), MATCH(AT$4&amp;AT$5,Demand_previous!$D$2:$AY$2&amp;Demand_previous!$D$3:$AY$3, 0))/1000</f>
        <v>0</v>
      </c>
      <c r="AU82" s="384">
        <f t="array" ref="AU82">INDEX(Demand_previous!$D$4:$AY$138, MATCH('Staging Table'!$A82, Demand_previous!$B$4:$B$138, 0), MATCH(AU$4&amp;AU$5,Demand_previous!$D$2:$AY$2&amp;Demand_previous!$D$3:$AY$3, 0))/1000</f>
        <v>0</v>
      </c>
      <c r="AV82" s="384">
        <f>IF($D82=0,IF(C82=0, MAX(AY82 - (VLOOKUP($A82,TOCA_previous!$A$2:$AI$137,MATCH("RHWM 2016",TOCA_previous!$A$2:$AI$2,0),FALSE)*$F$2*TOCA_previous!C79),0),0), 0)</f>
        <v>0</v>
      </c>
      <c r="AW82" s="427">
        <f>VLOOKUP($A82,REP_previous!$A$1:$D$135,MATCH("FY "&amp;$F$1&amp; " Total Refund",REP_previous!$A$1:$D$1,0),0)</f>
        <v>76791.803123947102</v>
      </c>
      <c r="AX82" s="398">
        <f>MIN(VLOOKUP($A82,TOCA_previous!$A$2:$AI$137,MATCH("TRL - NLSL - Exisiting Resource "&amp;$F$1,TOCA_previous!$A$2:$AI$2,0),FALSE)*$F$2,(VLOOKUP($A82,TOCA_previous!$A$2:$AI$137,MATCH("RHWM 2016",TOCA_previous!$A$2:$AI$2,0),FALSE)*$F$2))</f>
        <v>120595.53599999999</v>
      </c>
      <c r="AY82" s="384">
        <f>SUM(L82:AI82)+(F82*RT1SC!$C$3*$F$2)</f>
        <v>120593.29704623998</v>
      </c>
      <c r="AZ82" s="398">
        <f>VLOOKUP($A82,TOCA_previous!$A$2:$AI$137,MATCH("Above RHWM Not Served with LS "&amp;$F$1,TOCA_previous!$A$2:$AI$2,0),FALSE)*$F$2</f>
        <v>0</v>
      </c>
      <c r="BA82" s="206">
        <f t="shared" si="19"/>
        <v>-2.2389537600101903</v>
      </c>
      <c r="BB82" s="399">
        <f>(VLOOKUP($A82,TOCA_previous!$A$2:$AI$137,MATCH("RHWM 2016",TOCA_previous!$A$2:$AI$2,0),FALSE)*$F$2) - $AX82</f>
        <v>1185.8400000000111</v>
      </c>
      <c r="BC82" s="206">
        <f t="shared" si="20"/>
        <v>0</v>
      </c>
      <c r="BD82" s="400">
        <f t="shared" si="21"/>
        <v>2.2389537600101903</v>
      </c>
      <c r="BE82" s="392">
        <f t="shared" si="22"/>
        <v>0</v>
      </c>
      <c r="BF82" s="399">
        <f t="shared" si="23"/>
        <v>2.2389537600101903</v>
      </c>
      <c r="BG82" s="206">
        <f>VLOOKUP($A82,TOCA_current!$A$2:$AI$137,MATCH(BG$4,TOCA_current!$A$2:$AI$2,0),FALSE)</f>
        <v>1.9596000000000001E-3</v>
      </c>
      <c r="BH82" s="206">
        <f>VLOOKUP($A82,TOCA_current!$A$2:$AI$137,MATCH(BH$4,TOCA_current!$A$2:$AI$2,0),FALSE)</f>
        <v>1.9596000000000001E-3</v>
      </c>
      <c r="BI82" s="391">
        <f t="shared" si="24"/>
        <v>0</v>
      </c>
      <c r="BJ82" s="206">
        <f>VLOOKUP($A82,TOCA_current!A78:BG213,MATCH(BJ$4,TOCA_current!$A$2:$BG$2,0),FALSE)</f>
        <v>7.0000000000000007E-2</v>
      </c>
      <c r="BK82" s="206">
        <f t="shared" si="25"/>
        <v>7.0000000000000007E-2</v>
      </c>
      <c r="BL82" s="206">
        <f t="shared" si="26"/>
        <v>1.9596000000000001E-3</v>
      </c>
      <c r="BM82" s="381">
        <f>VLOOKUP($A82,IRD!$A$4:$G$139, 7, FALSE)</f>
        <v>0</v>
      </c>
      <c r="BN82" s="382">
        <f t="array" ref="BN82">IF($BI82=0, INDEX(LS_current!$D$4:$AY$139, MATCH('Staging Table'!$A82, LS_current!$B$4:$B$139, 0), MATCH(BN$4&amp;BN$5, LS_current!$D$2:$AY$2&amp;LS_current!$D$3:$AY$3, 0)),SUM(VLOOKUP($A82, LS_current!$B$4:$AY$139, LS_current!D$149, FALSE), VLOOKUP($A82, LS_current!$B$4:$AY$139,LS_current!D$149, FALSE))/2)</f>
        <v>0</v>
      </c>
      <c r="BO82" s="382">
        <f t="array" ref="BO82">IF($BI82=0, INDEX(LS_current!$D$4:$AY$139, MATCH('Staging Table'!$A82, LS_current!$B$4:$B$139, 0), MATCH(BO$4&amp;BO$5, LS_current!$D$2:$AY$2&amp;LS_current!$D$3:$AY$3, 0)),SUM(VLOOKUP($A82, LS_current!$B$4:$AY$139, LS_current!E$149, FALSE), VLOOKUP($A82, LS_current!$B$4:$AY$139,LS_current!E$149, FALSE))/2)</f>
        <v>0</v>
      </c>
      <c r="BP82" s="382">
        <f t="array" ref="BP82">IF($BI82=0, INDEX(LS_current!$D$4:$AY$139, MATCH('Staging Table'!$A82, LS_current!$B$4:$B$139, 0), MATCH(BP$4&amp;BP$5, LS_current!$D$2:$AY$2&amp;LS_current!$D$3:$AY$3, 0)),SUM(VLOOKUP($A82, LS_current!$B$4:$AY$139, LS_current!F$149, FALSE), VLOOKUP($A82, LS_current!$B$4:$AY$139,LS_current!F$149, FALSE))/2)</f>
        <v>0</v>
      </c>
      <c r="BQ82" s="382">
        <f t="array" ref="BQ82">IF($BI82=0, INDEX(LS_current!$D$4:$AY$139, MATCH('Staging Table'!$A82, LS_current!$B$4:$B$139, 0), MATCH(BQ$4&amp;BQ$5, LS_current!$D$2:$AY$2&amp;LS_current!$D$3:$AY$3, 0)),SUM(VLOOKUP($A82, LS_current!$B$4:$AY$139, LS_current!G$149, FALSE), VLOOKUP($A82, LS_current!$B$4:$AY$139,LS_current!G$149, FALSE))/2)</f>
        <v>0</v>
      </c>
      <c r="BR82" s="382">
        <f t="array" ref="BR82">IF($BI82=0, INDEX(LS_current!$D$4:$AY$139, MATCH('Staging Table'!$A82, LS_current!$B$4:$B$139, 0), MATCH(BR$4&amp;BR$5, LS_current!$D$2:$AY$2&amp;LS_current!$D$3:$AY$3, 0)),SUM(VLOOKUP($A82, LS_current!$B$4:$AY$139, LS_current!H$149, FALSE), VLOOKUP($A82, LS_current!$B$4:$AY$139,LS_current!H$149, FALSE))/2)</f>
        <v>0</v>
      </c>
      <c r="BS82" s="382">
        <f t="array" ref="BS82">IF($BI82=0, INDEX(LS_current!$D$4:$AY$139, MATCH('Staging Table'!$A82, LS_current!$B$4:$B$139, 0), MATCH(BS$4&amp;BS$5, LS_current!$D$2:$AY$2&amp;LS_current!$D$3:$AY$3, 0)),SUM(VLOOKUP($A82, LS_current!$B$4:$AY$139, LS_current!I$149, FALSE), VLOOKUP($A82, LS_current!$B$4:$AY$139,LS_current!I$149, FALSE))/2)</f>
        <v>0</v>
      </c>
      <c r="BT82" s="382">
        <f t="array" ref="BT82">IF($BI82=0, INDEX(LS_current!$D$4:$AY$139, MATCH('Staging Table'!$A82, LS_current!$B$4:$B$139, 0), MATCH(BT$4&amp;BT$5, LS_current!$D$2:$AY$2&amp;LS_current!$D$3:$AY$3, 0)),SUM(VLOOKUP($A82, LS_current!$B$4:$AY$139, LS_current!J$149, FALSE), VLOOKUP($A82, LS_current!$B$4:$AY$139,LS_current!J$149, FALSE))/2)</f>
        <v>0</v>
      </c>
      <c r="BU82" s="382">
        <f t="array" ref="BU82">IF($BI82=0, INDEX(LS_current!$D$4:$AY$139, MATCH('Staging Table'!$A82, LS_current!$B$4:$B$139, 0), MATCH(BU$4&amp;BU$5, LS_current!$D$2:$AY$2&amp;LS_current!$D$3:$AY$3, 0)),SUM(VLOOKUP($A82, LS_current!$B$4:$AY$139, LS_current!K$149, FALSE), VLOOKUP($A82, LS_current!$B$4:$AY$139,LS_current!K$149, FALSE))/2)</f>
        <v>0</v>
      </c>
      <c r="BV82" s="382">
        <f t="array" ref="BV82">IF($BI82=0, INDEX(LS_current!$D$4:$AY$139, MATCH('Staging Table'!$A82, LS_current!$B$4:$B$139, 0), MATCH(BV$4&amp;BV$5, LS_current!$D$2:$AY$2&amp;LS_current!$D$3:$AY$3, 0)),SUM(VLOOKUP($A82, LS_current!$B$4:$AY$139, LS_current!L$149, FALSE), VLOOKUP($A82, LS_current!$B$4:$AY$139,LS_current!L$149, FALSE))/2)</f>
        <v>0</v>
      </c>
      <c r="BW82" s="382">
        <f t="array" ref="BW82">IF($BI82=0, INDEX(LS_current!$D$4:$AY$139, MATCH('Staging Table'!$A82, LS_current!$B$4:$B$139, 0), MATCH(BW$4&amp;BW$5, LS_current!$D$2:$AY$2&amp;LS_current!$D$3:$AY$3, 0)),SUM(VLOOKUP($A82, LS_current!$B$4:$AY$139, LS_current!M$149, FALSE), VLOOKUP($A82, LS_current!$B$4:$AY$139,LS_current!M$149, FALSE))/2)</f>
        <v>0</v>
      </c>
      <c r="BX82" s="382">
        <f t="array" ref="BX82">IF($BI82=0, INDEX(LS_current!$D$4:$AY$139, MATCH('Staging Table'!$A82, LS_current!$B$4:$B$139, 0), MATCH(BX$4&amp;BX$5, LS_current!$D$2:$AY$2&amp;LS_current!$D$3:$AY$3, 0)),SUM(VLOOKUP($A82, LS_current!$B$4:$AY$139, LS_current!N$149, FALSE), VLOOKUP($A82, LS_current!$B$4:$AY$139,LS_current!N$149, FALSE))/2)</f>
        <v>0</v>
      </c>
      <c r="BY82" s="382">
        <f t="array" ref="BY82">IF($BI82=0, INDEX(LS_current!$D$4:$AY$139, MATCH('Staging Table'!$A82, LS_current!$B$4:$B$139, 0), MATCH(BY$4&amp;BY$5, LS_current!$D$2:$AY$2&amp;LS_current!$D$3:$AY$3, 0)),SUM(VLOOKUP($A82, LS_current!$B$4:$AY$139, LS_current!O$149, FALSE), VLOOKUP($A82, LS_current!$B$4:$AY$139,LS_current!O$149, FALSE))/2)</f>
        <v>0</v>
      </c>
      <c r="BZ82" s="382">
        <f t="array" ref="BZ82">IF($BI82=0, INDEX(LS_current!$D$4:$AY$139, MATCH('Staging Table'!$A82, LS_current!$B$4:$B$139, 0), MATCH(BZ$4&amp;BZ$5, LS_current!$D$2:$AY$2&amp;LS_current!$D$3:$AY$3, 0)),SUM(VLOOKUP($A82, LS_current!$B$4:$AY$139, LS_current!P$149, FALSE), VLOOKUP($A82, LS_current!$B$4:$AY$139,LS_current!P$149, FALSE))/2)</f>
        <v>0</v>
      </c>
      <c r="CA82" s="382">
        <f t="array" ref="CA82">IF($BI82=0, INDEX(LS_current!$D$4:$AY$139, MATCH('Staging Table'!$A82, LS_current!$B$4:$B$139, 0), MATCH(CA$4&amp;CA$5, LS_current!$D$2:$AY$2&amp;LS_current!$D$3:$AY$3, 0)),SUM(VLOOKUP($A82, LS_current!$B$4:$AY$139, LS_current!Q$149, FALSE), VLOOKUP($A82, LS_current!$B$4:$AY$139,LS_current!Q$149, FALSE))/2)</f>
        <v>0</v>
      </c>
      <c r="CB82" s="382">
        <f t="array" ref="CB82">IF($BI82=0, INDEX(LS_current!$D$4:$AY$139, MATCH('Staging Table'!$A82, LS_current!$B$4:$B$139, 0), MATCH(CB$4&amp;CB$5, LS_current!$D$2:$AY$2&amp;LS_current!$D$3:$AY$3, 0)),SUM(VLOOKUP($A82, LS_current!$B$4:$AY$139, LS_current!R$149, FALSE), VLOOKUP($A82, LS_current!$B$4:$AY$139,LS_current!R$149, FALSE))/2)</f>
        <v>0</v>
      </c>
      <c r="CC82" s="382">
        <f t="array" ref="CC82">IF($BI82=0, INDEX(LS_current!$D$4:$AY$139, MATCH('Staging Table'!$A82, LS_current!$B$4:$B$139, 0), MATCH(CC$4&amp;CC$5, LS_current!$D$2:$AY$2&amp;LS_current!$D$3:$AY$3, 0)),SUM(VLOOKUP($A82, LS_current!$B$4:$AY$139, LS_current!S$149, FALSE), VLOOKUP($A82, LS_current!$B$4:$AY$139,LS_current!S$149, FALSE))/2)</f>
        <v>0</v>
      </c>
      <c r="CD82" s="382">
        <f t="array" ref="CD82">IF($BI82=0, INDEX(LS_current!$D$4:$AY$139, MATCH('Staging Table'!$A82, LS_current!$B$4:$B$139, 0), MATCH(CD$4&amp;CD$5, LS_current!$D$2:$AY$2&amp;LS_current!$D$3:$AY$3, 0)),SUM(VLOOKUP($A82, LS_current!$B$4:$AY$139, LS_current!T$149, FALSE), VLOOKUP($A82, LS_current!$B$4:$AY$139,LS_current!T$149, FALSE))/2)</f>
        <v>0</v>
      </c>
      <c r="CE82" s="382">
        <f t="array" ref="CE82">IF($BI82=0, INDEX(LS_current!$D$4:$AY$139, MATCH('Staging Table'!$A82, LS_current!$B$4:$B$139, 0), MATCH(CE$4&amp;CE$5, LS_current!$D$2:$AY$2&amp;LS_current!$D$3:$AY$3, 0)),SUM(VLOOKUP($A82, LS_current!$B$4:$AY$139, LS_current!U$149, FALSE), VLOOKUP($A82, LS_current!$B$4:$AY$139,LS_current!U$149, FALSE))/2)</f>
        <v>0</v>
      </c>
      <c r="CF82" s="382">
        <f t="array" ref="CF82">IF($BI82=0, INDEX(LS_current!$D$4:$AY$139, MATCH('Staging Table'!$A82, LS_current!$B$4:$B$139, 0), MATCH(CF$4&amp;CF$5, LS_current!$D$2:$AY$2&amp;LS_current!$D$3:$AY$3, 0)),SUM(VLOOKUP($A82, LS_current!$B$4:$AY$139, LS_current!V$149, FALSE), VLOOKUP($A82, LS_current!$B$4:$AY$139,LS_current!V$149, FALSE))/2)</f>
        <v>0</v>
      </c>
      <c r="CG82" s="382">
        <f t="array" ref="CG82">IF($BI82=0, INDEX(LS_current!$D$4:$AY$139, MATCH('Staging Table'!$A82, LS_current!$B$4:$B$139, 0), MATCH(CG$4&amp;CG$5, LS_current!$D$2:$AY$2&amp;LS_current!$D$3:$AY$3, 0)),SUM(VLOOKUP($A82, LS_current!$B$4:$AY$139, LS_current!W$149, FALSE), VLOOKUP($A82, LS_current!$B$4:$AY$139,LS_current!W$149, FALSE))/2)</f>
        <v>0</v>
      </c>
      <c r="CH82" s="382">
        <f t="array" ref="CH82">IF($BI82=0, INDEX(LS_current!$D$4:$AY$139, MATCH('Staging Table'!$A82, LS_current!$B$4:$B$139, 0), MATCH(CH$4&amp;CH$5, LS_current!$D$2:$AY$2&amp;LS_current!$D$3:$AY$3, 0)),SUM(VLOOKUP($A82, LS_current!$B$4:$AY$139, LS_current!X$149, FALSE), VLOOKUP($A82, LS_current!$B$4:$AY$139,LS_current!X$149, FALSE))/2)</f>
        <v>0</v>
      </c>
      <c r="CI82" s="382">
        <f t="array" ref="CI82">IF($BI82=0, INDEX(LS_current!$D$4:$AY$139, MATCH('Staging Table'!$A82, LS_current!$B$4:$B$139, 0), MATCH(CI$4&amp;CI$5, LS_current!$D$2:$AY$2&amp;LS_current!$D$3:$AY$3, 0)),SUM(VLOOKUP($A82, LS_current!$B$4:$AY$139, LS_current!Y$149, FALSE), VLOOKUP($A82, LS_current!$B$4:$AY$139,LS_current!Y$149, FALSE))/2)</f>
        <v>0</v>
      </c>
      <c r="CJ82" s="382">
        <f t="array" ref="CJ82">IF($BI82=0, INDEX(LS_current!$D$4:$AY$139, MATCH('Staging Table'!$A82, LS_current!$B$4:$B$139, 0), MATCH(CJ$4&amp;CJ$5, LS_current!$D$2:$AY$2&amp;LS_current!$D$3:$AY$3, 0)),SUM(VLOOKUP($A82, LS_current!$B$4:$AY$139, LS_current!Z$149, FALSE), VLOOKUP($A82, LS_current!$B$4:$AY$139,LS_current!Z$149, FALSE))/2)</f>
        <v>0</v>
      </c>
      <c r="CK82" s="382">
        <f t="array" ref="CK82">IF($BI82=0, INDEX(LS_current!$D$4:$AY$139, MATCH('Staging Table'!$A82, LS_current!$B$4:$B$139, 0), MATCH(CK$4&amp;CK$5, LS_current!$D$2:$AY$2&amp;LS_current!$D$3:$AY$3, 0)),SUM(VLOOKUP($A82, LS_current!$B$4:$AY$139, LS_current!AA$149, FALSE), VLOOKUP($A82, LS_current!$B$4:$AY$139,LS_current!AA$149, FALSE))/2)</f>
        <v>0</v>
      </c>
      <c r="CL82" s="384">
        <f t="array" ref="CL82">INDEX(Demand_current!$D$4:$AY$138, MATCH($A82, Demand_current!$B$4:$B$138, 0), MATCH(CL$4&amp;CL$5,Demand_current!$D$2:$AY$2&amp;Demand_current!$D$3:$AY$3, 0))/1000</f>
        <v>0</v>
      </c>
      <c r="CM82" s="384">
        <f t="array" ref="CM82">INDEX(Demand_current!$D$4:$AY$138, MATCH($A82, Demand_current!$B$4:$B$138, 0), MATCH(CM$4&amp;CM$5,Demand_current!$D$2:$AY$2&amp;Demand_current!$D$3:$AY$3, 0))/1000</f>
        <v>0</v>
      </c>
      <c r="CN82" s="384">
        <f t="array" ref="CN82">INDEX(Demand_current!$D$4:$AY$138, MATCH($A82, Demand_current!$B$4:$B$138, 0), MATCH(CN$4&amp;CN$5,Demand_current!$D$2:$AY$2&amp;Demand_current!$D$3:$AY$3, 0))/1000</f>
        <v>0</v>
      </c>
      <c r="CO82" s="384">
        <f t="array" ref="CO82">INDEX(Demand_current!$D$4:$AY$138, MATCH($A82, Demand_current!$B$4:$B$138, 0), MATCH(CO$4&amp;CO$5,Demand_current!$D$2:$AY$2&amp;Demand_current!$D$3:$AY$3, 0))/1000</f>
        <v>0</v>
      </c>
      <c r="CP82" s="384">
        <f t="array" ref="CP82">INDEX(Demand_current!$D$4:$AY$138, MATCH($A82, Demand_current!$B$4:$B$138, 0), MATCH(CP$4&amp;CP$5,Demand_current!$D$2:$AY$2&amp;Demand_current!$D$3:$AY$3, 0))/1000</f>
        <v>0</v>
      </c>
      <c r="CQ82" s="384">
        <f t="array" ref="CQ82">INDEX(Demand_current!$D$4:$AY$138, MATCH($A82, Demand_current!$B$4:$B$138, 0), MATCH(CQ$4&amp;CQ$5,Demand_current!$D$2:$AY$2&amp;Demand_current!$D$3:$AY$3, 0))/1000</f>
        <v>0</v>
      </c>
      <c r="CR82" s="384">
        <f t="array" ref="CR82">INDEX(Demand_current!$D$4:$AY$138, MATCH($A82, Demand_current!$B$4:$B$138, 0), MATCH(CR$4&amp;CR$5,Demand_current!$D$2:$AY$2&amp;Demand_current!$D$3:$AY$3, 0))/1000</f>
        <v>0</v>
      </c>
      <c r="CS82" s="384">
        <f t="array" ref="CS82">INDEX(Demand_current!$D$4:$AY$138, MATCH($A82, Demand_current!$B$4:$B$138, 0), MATCH(CS$4&amp;CS$5,Demand_current!$D$2:$AY$2&amp;Demand_current!$D$3:$AY$3, 0))/1000</f>
        <v>0</v>
      </c>
      <c r="CT82" s="384">
        <f t="array" ref="CT82">INDEX(Demand_current!$D$4:$AY$138, MATCH($A82, Demand_current!$B$4:$B$138, 0), MATCH(CT$4&amp;CT$5,Demand_current!$D$2:$AY$2&amp;Demand_current!$D$3:$AY$3, 0))/1000</f>
        <v>0</v>
      </c>
      <c r="CU82" s="384">
        <f t="array" ref="CU82">INDEX(Demand_current!$D$4:$AY$138, MATCH($A82, Demand_current!$B$4:$B$138, 0), MATCH(CU$4&amp;CU$5,Demand_current!$D$2:$AY$2&amp;Demand_current!$D$3:$AY$3, 0))/1000</f>
        <v>0</v>
      </c>
      <c r="CV82" s="384">
        <f t="array" ref="CV82">INDEX(Demand_current!$D$4:$AY$138, MATCH($A82, Demand_current!$B$4:$B$138, 0), MATCH(CV$4&amp;CV$5,Demand_current!$D$2:$AY$2&amp;Demand_current!$D$3:$AY$3, 0))/1000</f>
        <v>0</v>
      </c>
      <c r="CW82" s="384">
        <f t="array" ref="CW82">INDEX(Demand_current!$D$4:$AY$138, MATCH($A82, Demand_current!$B$4:$B$138, 0), MATCH(CW$4&amp;CW$5,Demand_current!$D$2:$AY$2&amp;Demand_current!$D$3:$AY$3, 0))/1000</f>
        <v>0</v>
      </c>
      <c r="CX82" s="384">
        <f>IF(D82=0,IF(C82=0,MAX(0,DA82 - (VLOOKUP($A82,TOCA_current!$A$2:$AI$137,MATCH("RHWM 2018",TOCA_current!$A$2:$AI$2,0),FALSE)*$BH$2)), 0),0)</f>
        <v>0</v>
      </c>
      <c r="CY82" s="427">
        <f>VLOOKUP($A82,REP_current!$A$1:$D$135,MATCH("FY "&amp;$BH$1&amp; " Total Refund",REP_current!$A$1:$D$1,0),0)</f>
        <v>77732.109326586622</v>
      </c>
      <c r="CZ82" s="432">
        <f>MIN(VLOOKUP($A82,TOCA_current!$A$2:$AI$137,MATCH("TRL - NLSL - Existing Resource "&amp;$BH$1,TOCA_current!$A$2:$AI$2,0),FALSE)*$BH$2, VLOOKUP($A82,TOCA_current!$A$2:$AI$137,MATCH("RHWM 2018",TOCA_current!$A$2:$AI$2,0),FALSE)*$BH$2)</f>
        <v>119214.84</v>
      </c>
      <c r="DA82" s="397">
        <f>SUM(BN82:CK82)+(BH82*RT1SC!$C$4*$BH$2)</f>
        <v>119215.893141216</v>
      </c>
      <c r="DB82" s="432">
        <f>VLOOKUP($A82,TOCA_current!$A$2:$AI$137,MATCH("Above RHWM Not Served with LS "&amp;$BH$1,TOCA_current!$A$2:$AI$2,0),FALSE)*$BH$2</f>
        <v>0</v>
      </c>
      <c r="DC82" s="401">
        <f t="shared" si="27"/>
        <v>1.0531412160053151</v>
      </c>
      <c r="DD82" s="397">
        <f>(VLOOKUP($A82,TOCA_current!$A$2:$AI$137,MATCH("RHWM 2018",TOCA_current!$A$2:$AI$2,0),FALSE)*$BH$2) - $CZ82</f>
        <v>1454.1600000000035</v>
      </c>
      <c r="DE82" s="397">
        <f t="shared" si="28"/>
        <v>-1.0531412160053151</v>
      </c>
      <c r="DF82" s="397">
        <f t="shared" si="29"/>
        <v>0</v>
      </c>
      <c r="DG82" s="397">
        <f t="shared" si="30"/>
        <v>0</v>
      </c>
      <c r="DH82" s="397">
        <f t="shared" si="31"/>
        <v>-1.0531412160053151</v>
      </c>
    </row>
    <row r="83" spans="1:112">
      <c r="A83" s="274">
        <v>10242</v>
      </c>
      <c r="B83" s="275" t="s">
        <v>84</v>
      </c>
      <c r="C83" s="397">
        <v>0</v>
      </c>
      <c r="D83" s="397">
        <v>0</v>
      </c>
      <c r="E83" s="205">
        <f>VLOOKUP($A83,TOCA_previous!$A$2:$AI$137,MATCH(E$4,TOCA_previous!$A$2:$AI$2,0),FALSE)</f>
        <v>1.3508000000000001E-3</v>
      </c>
      <c r="F83" s="206">
        <f>VLOOKUP($A83,TOCA_previous!$A$2:$AI$137,MATCH(F$4,TOCA_previous!$A$2:$AI$2,0),FALSE)</f>
        <v>1.3508000000000001E-3</v>
      </c>
      <c r="G83" s="206">
        <f t="shared" si="16"/>
        <v>0</v>
      </c>
      <c r="H83" s="206">
        <f>VLOOKUP($A83,TOCA_previous!$A$2:$AI$137,MATCH(H$4,TOCA_previous!$A$2:$AI$2,0),FALSE)</f>
        <v>7.0220000000000005E-2</v>
      </c>
      <c r="I83" s="206">
        <f t="shared" si="17"/>
        <v>0</v>
      </c>
      <c r="J83" s="206">
        <f t="shared" si="18"/>
        <v>0</v>
      </c>
      <c r="K83" s="381">
        <f>VLOOKUP(A83, IRD!$A$5:$C$139, 3, FALSE)</f>
        <v>37558.894</v>
      </c>
      <c r="L83" s="382">
        <f t="array" ref="L83">IF($G83=0, INDEX(LS_previous!$D$4:$AY$138, MATCH('Staging Table'!$A83, LS_previous!$B$4:$B$138, 0), MATCH(L$4&amp;L$5, LS_previous!$D$2:$AY$2&amp;LS_previous!$D$3:$AY$3, 0)),SUM(VLOOKUP($A83, LS_previous!$B$4:$AY$138, LS_previous!D$149, FALSE), VLOOKUP('Staging Table'!$A83, LS_previous!$B$4:$AY$138,LS_previous!AB$149, FALSE))/2)</f>
        <v>-1916.7231514671412</v>
      </c>
      <c r="M83" s="382">
        <f t="array" ref="M83">IF($G83=0, INDEX(LS_previous!$D$4:$AY$138, MATCH('Staging Table'!$A83, LS_previous!$B$4:$B$138, 0), MATCH(M$4&amp;M$5, LS_previous!$D$2:$AY$2&amp;LS_previous!$D$3:$AY$3, 0)),SUM(VLOOKUP($A83, LS_previous!$B$4:$AY$138, LS_previous!E$149, FALSE), VLOOKUP('Staging Table'!$A83, LS_previous!$B$4:$AY$138,LS_previous!AC$149, FALSE))/2)</f>
        <v>-887.36221464231608</v>
      </c>
      <c r="N83" s="382">
        <f t="array" ref="N83">IF($G83=0, INDEX(LS_previous!$D$4:$AY$138, MATCH('Staging Table'!$A83, LS_previous!$B$4:$B$138, 0), MATCH(N$4&amp;N$5, LS_previous!$D$2:$AY$2&amp;LS_previous!$D$3:$AY$3, 0)),SUM(VLOOKUP($A83, LS_previous!$B$4:$AY$138, LS_previous!F$149, FALSE), VLOOKUP('Staging Table'!$A83, LS_previous!$B$4:$AY$138,LS_previous!AD$149, FALSE))/2)</f>
        <v>-2712.3205084571341</v>
      </c>
      <c r="O83" s="382">
        <f t="array" ref="O83">IF($G83=0, INDEX(LS_previous!$D$4:$AY$138, MATCH('Staging Table'!$A83, LS_previous!$B$4:$B$138, 0), MATCH(O$4&amp;O$5, LS_previous!$D$2:$AY$2&amp;LS_previous!$D$3:$AY$3, 0)),SUM(VLOOKUP($A83, LS_previous!$B$4:$AY$138, LS_previous!G$149, FALSE), VLOOKUP('Staging Table'!$A83, LS_previous!$B$4:$AY$138,LS_previous!AE$149, FALSE))/2)</f>
        <v>-1261.8389261871732</v>
      </c>
      <c r="P83" s="382">
        <f t="array" ref="P83">IF($G83=0, INDEX(LS_previous!$D$4:$AY$138, MATCH('Staging Table'!$A83, LS_previous!$B$4:$B$138, 0), MATCH(P$4&amp;P$5, LS_previous!$D$2:$AY$2&amp;LS_previous!$D$3:$AY$3, 0)),SUM(VLOOKUP($A83, LS_previous!$B$4:$AY$138, LS_previous!H$149, FALSE), VLOOKUP('Staging Table'!$A83, LS_previous!$B$4:$AY$138,LS_previous!AF$149, FALSE))/2)</f>
        <v>-1953.2663918623143</v>
      </c>
      <c r="Q83" s="382">
        <f t="array" ref="Q83">IF($G83=0, INDEX(LS_previous!$D$4:$AY$138, MATCH('Staging Table'!$A83, LS_previous!$B$4:$B$138, 0), MATCH(Q$4&amp;Q$5, LS_previous!$D$2:$AY$2&amp;LS_previous!$D$3:$AY$3, 0)),SUM(VLOOKUP($A83, LS_previous!$B$4:$AY$138, LS_previous!I$149, FALSE), VLOOKUP('Staging Table'!$A83, LS_previous!$B$4:$AY$138,LS_previous!AG$149, FALSE))/2)</f>
        <v>-763.85665210145316</v>
      </c>
      <c r="R83" s="382">
        <f t="array" ref="R83">IF($G83=0, INDEX(LS_previous!$D$4:$AY$138, MATCH('Staging Table'!$A83, LS_previous!$B$4:$B$138, 0), MATCH(R$4&amp;R$5, LS_previous!$D$2:$AY$2&amp;LS_previous!$D$3:$AY$3, 0)),SUM(VLOOKUP($A83, LS_previous!$B$4:$AY$138, LS_previous!J$149, FALSE), VLOOKUP('Staging Table'!$A83, LS_previous!$B$4:$AY$138,LS_previous!AH$149, FALSE))/2)</f>
        <v>-1322.131196816968</v>
      </c>
      <c r="S83" s="382">
        <f t="array" ref="S83">IF($G83=0, INDEX(LS_previous!$D$4:$AY$138, MATCH('Staging Table'!$A83, LS_previous!$B$4:$B$138, 0), MATCH(S$4&amp;S$5, LS_previous!$D$2:$AY$2&amp;LS_previous!$D$3:$AY$3, 0)),SUM(VLOOKUP($A83, LS_previous!$B$4:$AY$138, LS_previous!K$149, FALSE), VLOOKUP('Staging Table'!$A83, LS_previous!$B$4:$AY$138,LS_previous!AI$149, FALSE))/2)</f>
        <v>-360.70473744721494</v>
      </c>
      <c r="T83" s="382">
        <f t="array" ref="T83">IF($G83=0, INDEX(LS_previous!$D$4:$AY$138, MATCH('Staging Table'!$A83, LS_previous!$B$4:$B$138, 0), MATCH(T$4&amp;T$5, LS_previous!$D$2:$AY$2&amp;LS_previous!$D$3:$AY$3, 0)),SUM(VLOOKUP($A83, LS_previous!$B$4:$AY$138, LS_previous!L$149, FALSE), VLOOKUP('Staging Table'!$A83, LS_previous!$B$4:$AY$138,LS_previous!AJ$149, FALSE))/2)</f>
        <v>-1388.8798543286175</v>
      </c>
      <c r="U83" s="382">
        <f t="array" ref="U83">IF($G83=0, INDEX(LS_previous!$D$4:$AY$138, MATCH('Staging Table'!$A83, LS_previous!$B$4:$B$138, 0), MATCH(U$4&amp;U$5, LS_previous!$D$2:$AY$2&amp;LS_previous!$D$3:$AY$3, 0)),SUM(VLOOKUP($A83, LS_previous!$B$4:$AY$138, LS_previous!M$149, FALSE), VLOOKUP('Staging Table'!$A83, LS_previous!$B$4:$AY$138,LS_previous!AK$149, FALSE))/2)</f>
        <v>-451.41824649546379</v>
      </c>
      <c r="V83" s="382">
        <f t="array" ref="V83">IF($G83=0, INDEX(LS_previous!$D$4:$AY$138, MATCH('Staging Table'!$A83, LS_previous!$B$4:$B$138, 0), MATCH(V$4&amp;V$5, LS_previous!$D$2:$AY$2&amp;LS_previous!$D$3:$AY$3, 0)),SUM(VLOOKUP($A83, LS_previous!$B$4:$AY$138, LS_previous!N$149, FALSE), VLOOKUP('Staging Table'!$A83, LS_previous!$B$4:$AY$138,LS_previous!AL$149, FALSE))/2)</f>
        <v>-2188.6260024211442</v>
      </c>
      <c r="W83" s="382">
        <f t="array" ref="W83">IF($G83=0, INDEX(LS_previous!$D$4:$AY$138, MATCH('Staging Table'!$A83, LS_previous!$B$4:$B$138, 0), MATCH(W$4&amp;W$5, LS_previous!$D$2:$AY$2&amp;LS_previous!$D$3:$AY$3, 0)),SUM(VLOOKUP($A83, LS_previous!$B$4:$AY$138, LS_previous!O$149, FALSE), VLOOKUP('Staging Table'!$A83, LS_previous!$B$4:$AY$138,LS_previous!AM$149, FALSE))/2)</f>
        <v>-1047.4244204826375</v>
      </c>
      <c r="X83" s="382">
        <f t="array" ref="X83">IF($G83=0, INDEX(LS_previous!$D$4:$AY$138, MATCH('Staging Table'!$A83, LS_previous!$B$4:$B$138, 0), MATCH(X$4&amp;X$5, LS_previous!$D$2:$AY$2&amp;LS_previous!$D$3:$AY$3, 0)),SUM(VLOOKUP($A83, LS_previous!$B$4:$AY$138, LS_previous!P$149, FALSE), VLOOKUP('Staging Table'!$A83, LS_previous!$B$4:$AY$138,LS_previous!AN$149, FALSE))/2)</f>
        <v>-1604.7412429342503</v>
      </c>
      <c r="Y83" s="382">
        <f t="array" ref="Y83">IF($G83=0, INDEX(LS_previous!$D$4:$AY$138, MATCH('Staging Table'!$A83, LS_previous!$B$4:$B$138, 0), MATCH(Y$4&amp;Y$5, LS_previous!$D$2:$AY$2&amp;LS_previous!$D$3:$AY$3, 0)),SUM(VLOOKUP($A83, LS_previous!$B$4:$AY$138, LS_previous!Q$149, FALSE), VLOOKUP('Staging Table'!$A83, LS_previous!$B$4:$AY$138,LS_previous!AO$149, FALSE))/2)</f>
        <v>-810.76397546712428</v>
      </c>
      <c r="Z83" s="382">
        <f t="array" ref="Z83">IF($G83=0, INDEX(LS_previous!$D$4:$AY$138, MATCH('Staging Table'!$A83, LS_previous!$B$4:$B$138, 0), MATCH(Z$4&amp;Z$5, LS_previous!$D$2:$AY$2&amp;LS_previous!$D$3:$AY$3, 0)),SUM(VLOOKUP($A83, LS_previous!$B$4:$AY$138, LS_previous!R$149, FALSE), VLOOKUP('Staging Table'!$A83, LS_previous!$B$4:$AY$138,LS_previous!AP$149, FALSE))/2)</f>
        <v>-987.16282461341507</v>
      </c>
      <c r="AA83" s="382">
        <f t="array" ref="AA83">IF($G83=0, INDEX(LS_previous!$D$4:$AY$138, MATCH('Staging Table'!$A83, LS_previous!$B$4:$B$138, 0), MATCH(AA$4&amp;AA$5, LS_previous!$D$2:$AY$2&amp;LS_previous!$D$3:$AY$3, 0)),SUM(VLOOKUP($A83, LS_previous!$B$4:$AY$138, LS_previous!S$149, FALSE), VLOOKUP('Staging Table'!$A83, LS_previous!$B$4:$AY$138,LS_previous!AQ$149, FALSE))/2)</f>
        <v>570.72487385618251</v>
      </c>
      <c r="AB83" s="382">
        <f t="array" ref="AB83">IF($G83=0, INDEX(LS_previous!$D$4:$AY$138, MATCH('Staging Table'!$A83, LS_previous!$B$4:$B$138, 0), MATCH(AB$4&amp;AB$5, LS_previous!$D$2:$AY$2&amp;LS_previous!$D$3:$AY$3, 0)),SUM(VLOOKUP($A83, LS_previous!$B$4:$AY$138, LS_previous!T$149, FALSE), VLOOKUP('Staging Table'!$A83, LS_previous!$B$4:$AY$138,LS_previous!AR$149, FALSE))/2)</f>
        <v>2615.9314376372386</v>
      </c>
      <c r="AC83" s="382">
        <f t="array" ref="AC83">IF($G83=0, INDEX(LS_previous!$D$4:$AY$138, MATCH('Staging Table'!$A83, LS_previous!$B$4:$B$138, 0), MATCH(AC$4&amp;AC$5, LS_previous!$D$2:$AY$2&amp;LS_previous!$D$3:$AY$3, 0)),SUM(VLOOKUP($A83, LS_previous!$B$4:$AY$138, LS_previous!U$149, FALSE), VLOOKUP('Staging Table'!$A83, LS_previous!$B$4:$AY$138,LS_previous!AS$149, FALSE))/2)</f>
        <v>2520.5748621211214</v>
      </c>
      <c r="AD83" s="382">
        <f t="array" ref="AD83">IF($G83=0, INDEX(LS_previous!$D$4:$AY$138, MATCH('Staging Table'!$A83, LS_previous!$B$4:$B$138, 0), MATCH(AD$4&amp;AD$5, LS_previous!$D$2:$AY$2&amp;LS_previous!$D$3:$AY$3, 0)),SUM(VLOOKUP($A83, LS_previous!$B$4:$AY$138, LS_previous!V$149, FALSE), VLOOKUP('Staging Table'!$A83, LS_previous!$B$4:$AY$138,LS_previous!AT$149, FALSE))/2)</f>
        <v>4233.8078855999029</v>
      </c>
      <c r="AE83" s="382">
        <f t="array" ref="AE83">IF($G83=0, INDEX(LS_previous!$D$4:$AY$138, MATCH('Staging Table'!$A83, LS_previous!$B$4:$B$138, 0), MATCH(AE$4&amp;AE$5, LS_previous!$D$2:$AY$2&amp;LS_previous!$D$3:$AY$3, 0)),SUM(VLOOKUP($A83, LS_previous!$B$4:$AY$138, LS_previous!W$149, FALSE), VLOOKUP('Staging Table'!$A83, LS_previous!$B$4:$AY$138,LS_previous!AU$149, FALSE))/2)</f>
        <v>4359.1897597029129</v>
      </c>
      <c r="AF83" s="382">
        <f t="array" ref="AF83">IF($G83=0, INDEX(LS_previous!$D$4:$AY$138, MATCH('Staging Table'!$A83, LS_previous!$B$4:$B$138, 0), MATCH(AF$4&amp;AF$5, LS_previous!$D$2:$AY$2&amp;LS_previous!$D$3:$AY$3, 0)),SUM(VLOOKUP($A83, LS_previous!$B$4:$AY$138, LS_previous!X$149, FALSE), VLOOKUP('Staging Table'!$A83, LS_previous!$B$4:$AY$138,LS_previous!AV$149, FALSE))/2)</f>
        <v>2734.8718175960457</v>
      </c>
      <c r="AG83" s="382">
        <f t="array" ref="AG83">IF($G83=0, INDEX(LS_previous!$D$4:$AY$138, MATCH('Staging Table'!$A83, LS_previous!$B$4:$B$138, 0), MATCH(AG$4&amp;AG$5, LS_previous!$D$2:$AY$2&amp;LS_previous!$D$3:$AY$3, 0)),SUM(VLOOKUP($A83, LS_previous!$B$4:$AY$138, LS_previous!Y$149, FALSE), VLOOKUP('Staging Table'!$A83, LS_previous!$B$4:$AY$138,LS_previous!AW$149, FALSE))/2)</f>
        <v>2921.7448378468603</v>
      </c>
      <c r="AH83" s="382">
        <f t="array" ref="AH83">IF($G83=0, INDEX(LS_previous!$D$4:$AY$138, MATCH('Staging Table'!$A83, LS_previous!$B$4:$B$138, 0), MATCH(AH$4&amp;AH$5, LS_previous!$D$2:$AY$2&amp;LS_previous!$D$3:$AY$3, 0)),SUM(VLOOKUP($A83, LS_previous!$B$4:$AY$138, LS_previous!Z$149, FALSE), VLOOKUP('Staging Table'!$A83, LS_previous!$B$4:$AY$138,LS_previous!AX$149, FALSE))/2)</f>
        <v>948.43653495640274</v>
      </c>
      <c r="AI83" s="382">
        <f t="array" ref="AI83">IF($G83=0, INDEX(LS_previous!$D$4:$AY$138, MATCH('Staging Table'!$A83, LS_previous!$B$4:$B$138, 0), MATCH(AI$4&amp;AI$5, LS_previous!$D$2:$AY$2&amp;LS_previous!$D$3:$AY$3, 0)),SUM(VLOOKUP($A83, LS_previous!$B$4:$AY$138, LS_previous!AA$149, FALSE), VLOOKUP('Staging Table'!$A83, LS_previous!$B$4:$AY$138,LS_previous!AY$149, FALSE))/2)</f>
        <v>1239.7788325263841</v>
      </c>
      <c r="AJ83" s="384">
        <f t="array" ref="AJ83">INDEX(Demand_previous!$D$4:$AY$138, MATCH('Staging Table'!$A83, Demand_previous!$B$4:$B$138, 0), MATCH(AJ$4&amp;AJ$5,Demand_previous!$D$2:$AY$2&amp;Demand_previous!$D$3:$AY$3, 0))/1000</f>
        <v>2.0720000000000001</v>
      </c>
      <c r="AK83" s="384">
        <f t="array" ref="AK83">INDEX(Demand_previous!$D$4:$AY$138, MATCH('Staging Table'!$A83, Demand_previous!$B$4:$B$138, 0), MATCH(AK$4&amp;AK$5,Demand_previous!$D$2:$AY$2&amp;Demand_previous!$D$3:$AY$3, 0))/1000</f>
        <v>0.57105729166666608</v>
      </c>
      <c r="AL83" s="384">
        <f t="array" ref="AL83">INDEX(Demand_previous!$D$4:$AY$138, MATCH('Staging Table'!$A83, Demand_previous!$B$4:$B$138, 0), MATCH(AL$4&amp;AL$5,Demand_previous!$D$2:$AY$2&amp;Demand_previous!$D$3:$AY$3, 0))/1000</f>
        <v>1.2041682692307689</v>
      </c>
      <c r="AM83" s="384">
        <f t="array" ref="AM83">INDEX(Demand_previous!$D$4:$AY$138, MATCH('Staging Table'!$A83, Demand_previous!$B$4:$B$138, 0), MATCH(AM$4&amp;AM$5,Demand_previous!$D$2:$AY$2&amp;Demand_previous!$D$3:$AY$3, 0))/1000</f>
        <v>1.2292624999999999</v>
      </c>
      <c r="AN83" s="384">
        <f t="array" ref="AN83">INDEX(Demand_previous!$D$4:$AY$138, MATCH('Staging Table'!$A83, Demand_previous!$B$4:$B$138, 0), MATCH(AN$4&amp;AN$5,Demand_previous!$D$2:$AY$2&amp;Demand_previous!$D$3:$AY$3, 0))/1000</f>
        <v>1.1780750000000006</v>
      </c>
      <c r="AO83" s="384">
        <f t="array" ref="AO83">INDEX(Demand_previous!$D$4:$AY$138, MATCH('Staging Table'!$A83, Demand_previous!$B$4:$B$138, 0), MATCH(AO$4&amp;AO$5,Demand_previous!$D$2:$AY$2&amp;Demand_previous!$D$3:$AY$3, 0))/1000</f>
        <v>1.0224745370370378</v>
      </c>
      <c r="AP83" s="384">
        <f t="array" ref="AP83">INDEX(Demand_previous!$D$4:$AY$138, MATCH('Staging Table'!$A83, Demand_previous!$B$4:$B$138, 0), MATCH(AP$4&amp;AP$5,Demand_previous!$D$2:$AY$2&amp;Demand_previous!$D$3:$AY$3, 0))/1000</f>
        <v>1.7239519230769227</v>
      </c>
      <c r="AQ83" s="384">
        <f t="array" ref="AQ83">INDEX(Demand_previous!$D$4:$AY$138, MATCH('Staging Table'!$A83, Demand_previous!$B$4:$B$138, 0), MATCH(AQ$4&amp;AQ$5,Demand_previous!$D$2:$AY$2&amp;Demand_previous!$D$3:$AY$3, 0))/1000</f>
        <v>0</v>
      </c>
      <c r="AR83" s="384">
        <f t="array" ref="AR83">INDEX(Demand_previous!$D$4:$AY$138, MATCH('Staging Table'!$A83, Demand_previous!$B$4:$B$138, 0), MATCH(AR$4&amp;AR$5,Demand_previous!$D$2:$AY$2&amp;Demand_previous!$D$3:$AY$3, 0))/1000</f>
        <v>3.4142524038461524</v>
      </c>
      <c r="AS83" s="384">
        <f t="array" ref="AS83">INDEX(Demand_previous!$D$4:$AY$138, MATCH('Staging Table'!$A83, Demand_previous!$B$4:$B$138, 0), MATCH(AS$4&amp;AS$5,Demand_previous!$D$2:$AY$2&amp;Demand_previous!$D$3:$AY$3, 0))/1000</f>
        <v>2.0083825000000002</v>
      </c>
      <c r="AT83" s="384">
        <f t="array" ref="AT83">INDEX(Demand_previous!$D$4:$AY$138, MATCH('Staging Table'!$A83, Demand_previous!$B$4:$B$138, 0), MATCH(AT$4&amp;AT$5,Demand_previous!$D$2:$AY$2&amp;Demand_previous!$D$3:$AY$3, 0))/1000</f>
        <v>3.7528078703703729</v>
      </c>
      <c r="AU83" s="384">
        <f t="array" ref="AU83">INDEX(Demand_previous!$D$4:$AY$138, MATCH('Staging Table'!$A83, Demand_previous!$B$4:$B$138, 0), MATCH(AU$4&amp;AU$5,Demand_previous!$D$2:$AY$2&amp;Demand_previous!$D$3:$AY$3, 0))/1000</f>
        <v>1.6337150000000005</v>
      </c>
      <c r="AV83" s="384">
        <f>IF($D83=0,IF(C83=0, MAX(AY83 - (VLOOKUP($A83,TOCA_previous!$A$2:$AI$137,MATCH("RHWM 2016",TOCA_previous!$A$2:$AI$2,0),FALSE)*$F$2*TOCA_previous!C80),0),0), 0)</f>
        <v>2485.6551950306894</v>
      </c>
      <c r="AW83" s="427">
        <f>VLOOKUP($A83,REP_previous!$A$1:$D$135,MATCH("FY "&amp;$F$1&amp; " Total Refund",REP_previous!$A$1:$D$1,0),0)</f>
        <v>103526.81208793743</v>
      </c>
      <c r="AX83" s="398">
        <f>MIN(VLOOKUP($A83,TOCA_previous!$A$2:$AI$137,MATCH("TRL - NLSL - Exisiting Resource "&amp;$F$1,TOCA_previous!$A$2:$AI$2,0),FALSE)*$F$2,(VLOOKUP($A83,TOCA_previous!$A$2:$AI$137,MATCH("RHWM 2016",TOCA_previous!$A$2:$AI$2,0),FALSE)*$F$2))</f>
        <v>82859.471999999994</v>
      </c>
      <c r="AY83" s="384">
        <f>SUM(L83:AI83)+(F83*RT1SC!$C$3*$F$2)</f>
        <v>85345.127195030684</v>
      </c>
      <c r="AZ83" s="398">
        <f>VLOOKUP($A83,TOCA_previous!$A$2:$AI$137,MATCH("Above RHWM Not Served with LS "&amp;$F$1,TOCA_previous!$A$2:$AI$2,0),FALSE)*$F$2</f>
        <v>0</v>
      </c>
      <c r="BA83" s="206">
        <f t="shared" si="19"/>
        <v>2485.6551950306894</v>
      </c>
      <c r="BB83" s="399">
        <f>(VLOOKUP($A83,TOCA_previous!$A$2:$AI$137,MATCH("RHWM 2016",TOCA_previous!$A$2:$AI$2,0),FALSE)*$F$2) - $AX83</f>
        <v>0</v>
      </c>
      <c r="BC83" s="206">
        <f t="shared" si="20"/>
        <v>0</v>
      </c>
      <c r="BD83" s="400">
        <f t="shared" si="21"/>
        <v>0</v>
      </c>
      <c r="BE83" s="392">
        <f t="shared" si="22"/>
        <v>0</v>
      </c>
      <c r="BF83" s="399">
        <f t="shared" si="23"/>
        <v>0</v>
      </c>
      <c r="BG83" s="206">
        <f>VLOOKUP($A83,TOCA_current!$A$2:$AI$137,MATCH(BG$4,TOCA_current!$A$2:$AI$2,0),FALSE)</f>
        <v>1.3299E-3</v>
      </c>
      <c r="BH83" s="206">
        <f>VLOOKUP($A83,TOCA_current!$A$2:$AI$137,MATCH(BH$4,TOCA_current!$A$2:$AI$2,0),FALSE)</f>
        <v>1.3299E-3</v>
      </c>
      <c r="BI83" s="391">
        <f t="shared" si="24"/>
        <v>0</v>
      </c>
      <c r="BJ83" s="206">
        <f>VLOOKUP($A83,TOCA_current!A79:BG214,MATCH(BJ$4,TOCA_current!$A$2:$BG$2,0),FALSE)</f>
        <v>7.0000000000000007E-2</v>
      </c>
      <c r="BK83" s="206">
        <f t="shared" si="25"/>
        <v>0</v>
      </c>
      <c r="BL83" s="206">
        <f t="shared" si="26"/>
        <v>0</v>
      </c>
      <c r="BM83" s="381">
        <f>VLOOKUP($A83,IRD!$A$4:$G$139, 7, FALSE)</f>
        <v>37558.894</v>
      </c>
      <c r="BN83" s="382">
        <f t="array" ref="BN83">IF($BI83=0, INDEX(LS_current!$D$4:$AY$139, MATCH('Staging Table'!$A83, LS_current!$B$4:$B$139, 0), MATCH(BN$4&amp;BN$5, LS_current!$D$2:$AY$2&amp;LS_current!$D$3:$AY$3, 0)),SUM(VLOOKUP($A83, LS_current!$B$4:$AY$139, LS_current!D$149, FALSE), VLOOKUP($A83, LS_current!$B$4:$AY$139,LS_current!D$149, FALSE))/2)</f>
        <v>-1875.0382477627304</v>
      </c>
      <c r="BO83" s="382">
        <f t="array" ref="BO83">IF($BI83=0, INDEX(LS_current!$D$4:$AY$139, MATCH('Staging Table'!$A83, LS_current!$B$4:$B$139, 0), MATCH(BO$4&amp;BO$5, LS_current!$D$2:$AY$2&amp;LS_current!$D$3:$AY$3, 0)),SUM(VLOOKUP($A83, LS_current!$B$4:$AY$139, LS_current!E$149, FALSE), VLOOKUP($A83, LS_current!$B$4:$AY$139,LS_current!E$149, FALSE))/2)</f>
        <v>-732.91209243906565</v>
      </c>
      <c r="BP83" s="382">
        <f t="array" ref="BP83">IF($BI83=0, INDEX(LS_current!$D$4:$AY$139, MATCH('Staging Table'!$A83, LS_current!$B$4:$B$139, 0), MATCH(BP$4&amp;BP$5, LS_current!$D$2:$AY$2&amp;LS_current!$D$3:$AY$3, 0)),SUM(VLOOKUP($A83, LS_current!$B$4:$AY$139, LS_current!F$149, FALSE), VLOOKUP($A83, LS_current!$B$4:$AY$139,LS_current!F$149, FALSE))/2)</f>
        <v>-2736.8909917816313</v>
      </c>
      <c r="BQ83" s="382">
        <f t="array" ref="BQ83">IF($BI83=0, INDEX(LS_current!$D$4:$AY$139, MATCH('Staging Table'!$A83, LS_current!$B$4:$B$139, 0), MATCH(BQ$4&amp;BQ$5, LS_current!$D$2:$AY$2&amp;LS_current!$D$3:$AY$3, 0)),SUM(VLOOKUP($A83, LS_current!$B$4:$AY$139, LS_current!G$149, FALSE), VLOOKUP($A83, LS_current!$B$4:$AY$139,LS_current!G$149, FALSE))/2)</f>
        <v>-1190.7211515054667</v>
      </c>
      <c r="BR83" s="382">
        <f t="array" ref="BR83">IF($BI83=0, INDEX(LS_current!$D$4:$AY$139, MATCH('Staging Table'!$A83, LS_current!$B$4:$B$139, 0), MATCH(BR$4&amp;BR$5, LS_current!$D$2:$AY$2&amp;LS_current!$D$3:$AY$3, 0)),SUM(VLOOKUP($A83, LS_current!$B$4:$AY$139, LS_current!H$149, FALSE), VLOOKUP($A83, LS_current!$B$4:$AY$139,LS_current!H$149, FALSE))/2)</f>
        <v>-2033.9829632305778</v>
      </c>
      <c r="BS83" s="382">
        <f t="array" ref="BS83">IF($BI83=0, INDEX(LS_current!$D$4:$AY$139, MATCH('Staging Table'!$A83, LS_current!$B$4:$B$139, 0), MATCH(BS$4&amp;BS$5, LS_current!$D$2:$AY$2&amp;LS_current!$D$3:$AY$3, 0)),SUM(VLOOKUP($A83, LS_current!$B$4:$AY$139, LS_current!I$149, FALSE), VLOOKUP($A83, LS_current!$B$4:$AY$139,LS_current!I$149, FALSE))/2)</f>
        <v>-746.22733182332058</v>
      </c>
      <c r="BT83" s="382">
        <f t="array" ref="BT83">IF($BI83=0, INDEX(LS_current!$D$4:$AY$139, MATCH('Staging Table'!$A83, LS_current!$B$4:$B$139, 0), MATCH(BT$4&amp;BT$5, LS_current!$D$2:$AY$2&amp;LS_current!$D$3:$AY$3, 0)),SUM(VLOOKUP($A83, LS_current!$B$4:$AY$139, LS_current!J$149, FALSE), VLOOKUP($A83, LS_current!$B$4:$AY$139,LS_current!J$149, FALSE))/2)</f>
        <v>-1304.6219951486551</v>
      </c>
      <c r="BU83" s="382">
        <f t="array" ref="BU83">IF($BI83=0, INDEX(LS_current!$D$4:$AY$139, MATCH('Staging Table'!$A83, LS_current!$B$4:$B$139, 0), MATCH(BU$4&amp;BU$5, LS_current!$D$2:$AY$2&amp;LS_current!$D$3:$AY$3, 0)),SUM(VLOOKUP($A83, LS_current!$B$4:$AY$139, LS_current!K$149, FALSE), VLOOKUP($A83, LS_current!$B$4:$AY$139,LS_current!K$149, FALSE))/2)</f>
        <v>-331.39631941262905</v>
      </c>
      <c r="BV83" s="382">
        <f t="array" ref="BV83">IF($BI83=0, INDEX(LS_current!$D$4:$AY$139, MATCH('Staging Table'!$A83, LS_current!$B$4:$B$139, 0), MATCH(BV$4&amp;BV$5, LS_current!$D$2:$AY$2&amp;LS_current!$D$3:$AY$3, 0)),SUM(VLOOKUP($A83, LS_current!$B$4:$AY$139, LS_current!L$149, FALSE), VLOOKUP($A83, LS_current!$B$4:$AY$139,LS_current!L$149, FALSE))/2)</f>
        <v>-1055.4260902868768</v>
      </c>
      <c r="BW83" s="382">
        <f t="array" ref="BW83">IF($BI83=0, INDEX(LS_current!$D$4:$AY$139, MATCH('Staging Table'!$A83, LS_current!$B$4:$B$139, 0), MATCH(BW$4&amp;BW$5, LS_current!$D$2:$AY$2&amp;LS_current!$D$3:$AY$3, 0)),SUM(VLOOKUP($A83, LS_current!$B$4:$AY$139, LS_current!M$149, FALSE), VLOOKUP($A83, LS_current!$B$4:$AY$139,LS_current!M$149, FALSE))/2)</f>
        <v>-199.84303356875739</v>
      </c>
      <c r="BX83" s="382">
        <f t="array" ref="BX83">IF($BI83=0, INDEX(LS_current!$D$4:$AY$139, MATCH('Staging Table'!$A83, LS_current!$B$4:$B$139, 0), MATCH(BX$4&amp;BX$5, LS_current!$D$2:$AY$2&amp;LS_current!$D$3:$AY$3, 0)),SUM(VLOOKUP($A83, LS_current!$B$4:$AY$139, LS_current!N$149, FALSE), VLOOKUP($A83, LS_current!$B$4:$AY$139,LS_current!N$149, FALSE))/2)</f>
        <v>-1907.6400572700763</v>
      </c>
      <c r="BY83" s="382">
        <f t="array" ref="BY83">IF($BI83=0, INDEX(LS_current!$D$4:$AY$139, MATCH('Staging Table'!$A83, LS_current!$B$4:$B$139, 0), MATCH(BY$4&amp;BY$5, LS_current!$D$2:$AY$2&amp;LS_current!$D$3:$AY$3, 0)),SUM(VLOOKUP($A83, LS_current!$B$4:$AY$139, LS_current!O$149, FALSE), VLOOKUP($A83, LS_current!$B$4:$AY$139,LS_current!O$149, FALSE))/2)</f>
        <v>-766.95804248514582</v>
      </c>
      <c r="BZ83" s="382">
        <f t="array" ref="BZ83">IF($BI83=0, INDEX(LS_current!$D$4:$AY$139, MATCH('Staging Table'!$A83, LS_current!$B$4:$B$139, 0), MATCH(BZ$4&amp;BZ$5, LS_current!$D$2:$AY$2&amp;LS_current!$D$3:$AY$3, 0)),SUM(VLOOKUP($A83, LS_current!$B$4:$AY$139, LS_current!P$149, FALSE), VLOOKUP($A83, LS_current!$B$4:$AY$139,LS_current!P$149, FALSE))/2)</f>
        <v>-1954.1526882609633</v>
      </c>
      <c r="CA83" s="382">
        <f t="array" ref="CA83">IF($BI83=0, INDEX(LS_current!$D$4:$AY$139, MATCH('Staging Table'!$A83, LS_current!$B$4:$B$139, 0), MATCH(CA$4&amp;CA$5, LS_current!$D$2:$AY$2&amp;LS_current!$D$3:$AY$3, 0)),SUM(VLOOKUP($A83, LS_current!$B$4:$AY$139, LS_current!Q$149, FALSE), VLOOKUP($A83, LS_current!$B$4:$AY$139,LS_current!Q$149, FALSE))/2)</f>
        <v>-806.3916203710944</v>
      </c>
      <c r="CB83" s="382">
        <f t="array" ref="CB83">IF($BI83=0, INDEX(LS_current!$D$4:$AY$139, MATCH('Staging Table'!$A83, LS_current!$B$4:$B$139, 0), MATCH(CB$4&amp;CB$5, LS_current!$D$2:$AY$2&amp;LS_current!$D$3:$AY$3, 0)),SUM(VLOOKUP($A83, LS_current!$B$4:$AY$139, LS_current!R$149, FALSE), VLOOKUP($A83, LS_current!$B$4:$AY$139,LS_current!R$149, FALSE))/2)</f>
        <v>-847.01542523358967</v>
      </c>
      <c r="CC83" s="382">
        <f t="array" ref="CC83">IF($BI83=0, INDEX(LS_current!$D$4:$AY$139, MATCH('Staging Table'!$A83, LS_current!$B$4:$B$139, 0), MATCH(CC$4&amp;CC$5, LS_current!$D$2:$AY$2&amp;LS_current!$D$3:$AY$3, 0)),SUM(VLOOKUP($A83, LS_current!$B$4:$AY$139, LS_current!S$149, FALSE), VLOOKUP($A83, LS_current!$B$4:$AY$139,LS_current!S$149, FALSE))/2)</f>
        <v>571.18884789280582</v>
      </c>
      <c r="CD83" s="382">
        <f t="array" ref="CD83">IF($BI83=0, INDEX(LS_current!$D$4:$AY$139, MATCH('Staging Table'!$A83, LS_current!$B$4:$B$139, 0), MATCH(CD$4&amp;CD$5, LS_current!$D$2:$AY$2&amp;LS_current!$D$3:$AY$3, 0)),SUM(VLOOKUP($A83, LS_current!$B$4:$AY$139, LS_current!T$149, FALSE), VLOOKUP($A83, LS_current!$B$4:$AY$139,LS_current!T$149, FALSE))/2)</f>
        <v>2710.1170911351192</v>
      </c>
      <c r="CE83" s="382">
        <f t="array" ref="CE83">IF($BI83=0, INDEX(LS_current!$D$4:$AY$139, MATCH('Staging Table'!$A83, LS_current!$B$4:$B$139, 0), MATCH(CE$4&amp;CE$5, LS_current!$D$2:$AY$2&amp;LS_current!$D$3:$AY$3, 0)),SUM(VLOOKUP($A83, LS_current!$B$4:$AY$139, LS_current!U$149, FALSE), VLOOKUP($A83, LS_current!$B$4:$AY$139,LS_current!U$149, FALSE))/2)</f>
        <v>2745.8935318998792</v>
      </c>
      <c r="CF83" s="382">
        <f t="array" ref="CF83">IF($BI83=0, INDEX(LS_current!$D$4:$AY$139, MATCH('Staging Table'!$A83, LS_current!$B$4:$B$139, 0), MATCH(CF$4&amp;CF$5, LS_current!$D$2:$AY$2&amp;LS_current!$D$3:$AY$3, 0)),SUM(VLOOKUP($A83, LS_current!$B$4:$AY$139, LS_current!V$149, FALSE), VLOOKUP($A83, LS_current!$B$4:$AY$139,LS_current!V$149, FALSE))/2)</f>
        <v>4563.2102202611277</v>
      </c>
      <c r="CG83" s="382">
        <f t="array" ref="CG83">IF($BI83=0, INDEX(LS_current!$D$4:$AY$139, MATCH('Staging Table'!$A83, LS_current!$B$4:$B$139, 0), MATCH(CG$4&amp;CG$5, LS_current!$D$2:$AY$2&amp;LS_current!$D$3:$AY$3, 0)),SUM(VLOOKUP($A83, LS_current!$B$4:$AY$139, LS_current!W$149, FALSE), VLOOKUP($A83, LS_current!$B$4:$AY$139,LS_current!W$149, FALSE))/2)</f>
        <v>4557.7709616969096</v>
      </c>
      <c r="CH83" s="382">
        <f t="array" ref="CH83">IF($BI83=0, INDEX(LS_current!$D$4:$AY$139, MATCH('Staging Table'!$A83, LS_current!$B$4:$B$139, 0), MATCH(CH$4&amp;CH$5, LS_current!$D$2:$AY$2&amp;LS_current!$D$3:$AY$3, 0)),SUM(VLOOKUP($A83, LS_current!$B$4:$AY$139, LS_current!X$149, FALSE), VLOOKUP($A83, LS_current!$B$4:$AY$139,LS_current!X$149, FALSE))/2)</f>
        <v>2830.2854076429303</v>
      </c>
      <c r="CI83" s="382">
        <f t="array" ref="CI83">IF($BI83=0, INDEX(LS_current!$D$4:$AY$139, MATCH('Staging Table'!$A83, LS_current!$B$4:$B$139, 0), MATCH(CI$4&amp;CI$5, LS_current!$D$2:$AY$2&amp;LS_current!$D$3:$AY$3, 0)),SUM(VLOOKUP($A83, LS_current!$B$4:$AY$139, LS_current!Y$149, FALSE), VLOOKUP($A83, LS_current!$B$4:$AY$139,LS_current!Y$149, FALSE))/2)</f>
        <v>3032.4061343941416</v>
      </c>
      <c r="CJ83" s="382">
        <f t="array" ref="CJ83">IF($BI83=0, INDEX(LS_current!$D$4:$AY$139, MATCH('Staging Table'!$A83, LS_current!$B$4:$B$139, 0), MATCH(CJ$4&amp;CJ$5, LS_current!$D$2:$AY$2&amp;LS_current!$D$3:$AY$3, 0)),SUM(VLOOKUP($A83, LS_current!$B$4:$AY$139, LS_current!Z$149, FALSE), VLOOKUP($A83, LS_current!$B$4:$AY$139,LS_current!Z$149, FALSE))/2)</f>
        <v>635.0355779367128</v>
      </c>
      <c r="CK83" s="382">
        <f t="array" ref="CK83">IF($BI83=0, INDEX(LS_current!$D$4:$AY$139, MATCH('Staging Table'!$A83, LS_current!$B$4:$B$139, 0), MATCH(CK$4&amp;CK$5, LS_current!$D$2:$AY$2&amp;LS_current!$D$3:$AY$3, 0)),SUM(VLOOKUP($A83, LS_current!$B$4:$AY$139, LS_current!AA$149, FALSE), VLOOKUP($A83, LS_current!$B$4:$AY$139,LS_current!AA$149, FALSE))/2)</f>
        <v>1281.5103663790128</v>
      </c>
      <c r="CL83" s="384">
        <f t="array" ref="CL83">INDEX(Demand_current!$D$4:$AY$138, MATCH($A83, Demand_current!$B$4:$B$138, 0), MATCH(CL$4&amp;CL$5,Demand_current!$D$2:$AY$2&amp;Demand_current!$D$3:$AY$3, 0))/1000</f>
        <v>1.8778461538461544</v>
      </c>
      <c r="CM83" s="384">
        <f t="array" ref="CM83">INDEX(Demand_current!$D$4:$AY$138, MATCH($A83, Demand_current!$B$4:$B$138, 0), MATCH(CM$4&amp;CM$5,Demand_current!$D$2:$AY$2&amp;Demand_current!$D$3:$AY$3, 0))/1000</f>
        <v>0.79181499999999927</v>
      </c>
      <c r="CN83" s="384">
        <f t="array" ref="CN83">INDEX(Demand_current!$D$4:$AY$138, MATCH($A83, Demand_current!$B$4:$B$138, 0), MATCH(CN$4&amp;CN$5,Demand_current!$D$2:$AY$2&amp;Demand_current!$D$3:$AY$3, 0))/1000</f>
        <v>0.94365499999999924</v>
      </c>
      <c r="CO83" s="384">
        <f t="array" ref="CO83">INDEX(Demand_current!$D$4:$AY$138, MATCH($A83, Demand_current!$B$4:$B$138, 0), MATCH(CO$4&amp;CO$5,Demand_current!$D$2:$AY$2&amp;Demand_current!$D$3:$AY$3, 0))/1000</f>
        <v>1.4902908653846154</v>
      </c>
      <c r="CP83" s="384">
        <f t="array" ref="CP83">INDEX(Demand_current!$D$4:$AY$138, MATCH($A83, Demand_current!$B$4:$B$138, 0), MATCH(CP$4&amp;CP$5,Demand_current!$D$2:$AY$2&amp;Demand_current!$D$3:$AY$3, 0))/1000</f>
        <v>0.93707812500000021</v>
      </c>
      <c r="CQ83" s="384">
        <f t="array" ref="CQ83">INDEX(Demand_current!$D$4:$AY$138, MATCH($A83, Demand_current!$B$4:$B$138, 0), MATCH(CQ$4&amp;CQ$5,Demand_current!$D$2:$AY$2&amp;Demand_current!$D$3:$AY$3, 0))/1000</f>
        <v>1.0224745370370378</v>
      </c>
      <c r="CR83" s="384">
        <f t="array" ref="CR83">INDEX(Demand_current!$D$4:$AY$138, MATCH($A83, Demand_current!$B$4:$B$138, 0), MATCH(CR$4&amp;CR$5,Demand_current!$D$2:$AY$2&amp;Demand_current!$D$3:$AY$3, 0))/1000</f>
        <v>1.5365499999999999</v>
      </c>
      <c r="CS83" s="384">
        <f t="array" ref="CS83">INDEX(Demand_current!$D$4:$AY$138, MATCH($A83, Demand_current!$B$4:$B$138, 0), MATCH(CS$4&amp;CS$5,Demand_current!$D$2:$AY$2&amp;Demand_current!$D$3:$AY$3, 0))/1000</f>
        <v>0</v>
      </c>
      <c r="CT83" s="384">
        <f t="array" ref="CT83">INDEX(Demand_current!$D$4:$AY$138, MATCH($A83, Demand_current!$B$4:$B$138, 0), MATCH(CT$4&amp;CT$5,Demand_current!$D$2:$AY$2&amp;Demand_current!$D$3:$AY$3, 0))/1000</f>
        <v>3.4142524038461524</v>
      </c>
      <c r="CU83" s="384">
        <f t="array" ref="CU83">INDEX(Demand_current!$D$4:$AY$138, MATCH($A83, Demand_current!$B$4:$B$138, 0), MATCH(CU$4&amp;CU$5,Demand_current!$D$2:$AY$2&amp;Demand_current!$D$3:$AY$3, 0))/1000</f>
        <v>2.0083825000000002</v>
      </c>
      <c r="CV83" s="384">
        <f t="array" ref="CV83">INDEX(Demand_current!$D$4:$AY$138, MATCH($A83, Demand_current!$B$4:$B$138, 0), MATCH(CV$4&amp;CV$5,Demand_current!$D$2:$AY$2&amp;Demand_current!$D$3:$AY$3, 0))/1000</f>
        <v>3.7528078703703729</v>
      </c>
      <c r="CW83" s="384">
        <f t="array" ref="CW83">INDEX(Demand_current!$D$4:$AY$138, MATCH($A83, Demand_current!$B$4:$B$138, 0), MATCH(CW$4&amp;CW$5,Demand_current!$D$2:$AY$2&amp;Demand_current!$D$3:$AY$3, 0))/1000</f>
        <v>1.1553281250000005</v>
      </c>
      <c r="CX83" s="384">
        <f>IF(D83=0,IF(C83=0,MAX(0,DA83 - (VLOOKUP($A83,TOCA_current!$A$2:$AI$137,MATCH("RHWM 2018",TOCA_current!$A$2:$AI$2,0),FALSE)*$BH$2)), 0),0)</f>
        <v>3237.6481803620554</v>
      </c>
      <c r="CY83" s="427">
        <f>VLOOKUP($A83,REP_current!$A$1:$D$135,MATCH("FY "&amp;$BH$1&amp; " Total Refund",REP_current!$A$1:$D$1,0),0)</f>
        <v>103518.26046054739</v>
      </c>
      <c r="CZ83" s="432">
        <f>MIN(VLOOKUP($A83,TOCA_current!$A$2:$AI$137,MATCH("TRL - NLSL - Existing Resource "&amp;$BH$1,TOCA_current!$A$2:$AI$2,0),FALSE)*$BH$2, VLOOKUP($A83,TOCA_current!$A$2:$AI$137,MATCH("RHWM 2018",TOCA_current!$A$2:$AI$2,0),FALSE)*$BH$2)</f>
        <v>80907.360000000001</v>
      </c>
      <c r="DA83" s="397">
        <f>SUM(BN83:CK83)+(BH83*RT1SC!$C$4*$BH$2)</f>
        <v>85345.128180362051</v>
      </c>
      <c r="DB83" s="432">
        <f>VLOOKUP($A83,TOCA_current!$A$2:$AI$137,MATCH("Above RHWM Not Served with LS "&amp;$BH$1,TOCA_current!$A$2:$AI$2,0),FALSE)*$BH$2</f>
        <v>0</v>
      </c>
      <c r="DC83" s="401">
        <f t="shared" si="27"/>
        <v>4437.7681803620508</v>
      </c>
      <c r="DD83" s="397">
        <f>(VLOOKUP($A83,TOCA_current!$A$2:$AI$137,MATCH("RHWM 2018",TOCA_current!$A$2:$AI$2,0),FALSE)*$BH$2) - $CZ83</f>
        <v>1200.1199999999953</v>
      </c>
      <c r="DE83" s="397">
        <f t="shared" si="28"/>
        <v>-1200.1199999999953</v>
      </c>
      <c r="DF83" s="397">
        <f t="shared" si="29"/>
        <v>0</v>
      </c>
      <c r="DG83" s="397">
        <f t="shared" si="30"/>
        <v>0</v>
      </c>
      <c r="DH83" s="397">
        <f t="shared" si="31"/>
        <v>-1200.1199999999953</v>
      </c>
    </row>
    <row r="84" spans="1:112">
      <c r="A84" s="274">
        <v>10244</v>
      </c>
      <c r="B84" s="275" t="s">
        <v>85</v>
      </c>
      <c r="C84" s="397">
        <v>0</v>
      </c>
      <c r="D84" s="397">
        <v>0</v>
      </c>
      <c r="E84" s="205">
        <f>VLOOKUP($A84,TOCA_previous!$A$2:$AI$137,MATCH(E$4,TOCA_previous!$A$2:$AI$2,0),FALSE)</f>
        <v>1.2200600000000001E-2</v>
      </c>
      <c r="F84" s="206">
        <f>VLOOKUP($A84,TOCA_previous!$A$2:$AI$137,MATCH(F$4,TOCA_previous!$A$2:$AI$2,0),FALSE)</f>
        <v>1.2200600000000001E-2</v>
      </c>
      <c r="G84" s="206">
        <f t="shared" si="16"/>
        <v>0</v>
      </c>
      <c r="H84" s="206">
        <f>VLOOKUP($A84,TOCA_previous!$A$2:$AI$137,MATCH(H$4,TOCA_previous!$A$2:$AI$2,0),FALSE)</f>
        <v>6.2880000000000005E-2</v>
      </c>
      <c r="I84" s="206">
        <f t="shared" si="17"/>
        <v>0</v>
      </c>
      <c r="J84" s="206">
        <f t="shared" si="18"/>
        <v>0</v>
      </c>
      <c r="K84" s="381">
        <f>VLOOKUP(A84, IRD!$A$5:$C$139, 3, FALSE)</f>
        <v>0</v>
      </c>
      <c r="L84" s="382">
        <f t="array" ref="L84">IF($G84=0, INDEX(LS_previous!$D$4:$AY$138, MATCH('Staging Table'!$A84, LS_previous!$B$4:$B$138, 0), MATCH(L$4&amp;L$5, LS_previous!$D$2:$AY$2&amp;LS_previous!$D$3:$AY$3, 0)),SUM(VLOOKUP($A84, LS_previous!$B$4:$AY$138, LS_previous!D$149, FALSE), VLOOKUP('Staging Table'!$A84, LS_previous!$B$4:$AY$138,LS_previous!AB$149, FALSE))/2)</f>
        <v>-4949.1860735786213</v>
      </c>
      <c r="M84" s="382">
        <f t="array" ref="M84">IF($G84=0, INDEX(LS_previous!$D$4:$AY$138, MATCH('Staging Table'!$A84, LS_previous!$B$4:$B$138, 0), MATCH(M$4&amp;M$5, LS_previous!$D$2:$AY$2&amp;LS_previous!$D$3:$AY$3, 0)),SUM(VLOOKUP($A84, LS_previous!$B$4:$AY$138, LS_previous!E$149, FALSE), VLOOKUP('Staging Table'!$A84, LS_previous!$B$4:$AY$138,LS_previous!AC$149, FALSE))/2)</f>
        <v>-187.00087693591922</v>
      </c>
      <c r="N84" s="382">
        <f t="array" ref="N84">IF($G84=0, INDEX(LS_previous!$D$4:$AY$138, MATCH('Staging Table'!$A84, LS_previous!$B$4:$B$138, 0), MATCH(N$4&amp;N$5, LS_previous!$D$2:$AY$2&amp;LS_previous!$D$3:$AY$3, 0)),SUM(VLOOKUP($A84, LS_previous!$B$4:$AY$138, LS_previous!F$149, FALSE), VLOOKUP('Staging Table'!$A84, LS_previous!$B$4:$AY$138,LS_previous!AD$149, FALSE))/2)</f>
        <v>-3222.4434011564372</v>
      </c>
      <c r="O84" s="382">
        <f t="array" ref="O84">IF($G84=0, INDEX(LS_previous!$D$4:$AY$138, MATCH('Staging Table'!$A84, LS_previous!$B$4:$B$138, 0), MATCH(O$4&amp;O$5, LS_previous!$D$2:$AY$2&amp;LS_previous!$D$3:$AY$3, 0)),SUM(VLOOKUP($A84, LS_previous!$B$4:$AY$138, LS_previous!G$149, FALSE), VLOOKUP('Staging Table'!$A84, LS_previous!$B$4:$AY$138,LS_previous!AE$149, FALSE))/2)</f>
        <v>4227.387286763973</v>
      </c>
      <c r="P84" s="382">
        <f t="array" ref="P84">IF($G84=0, INDEX(LS_previous!$D$4:$AY$138, MATCH('Staging Table'!$A84, LS_previous!$B$4:$B$138, 0), MATCH(P$4&amp;P$5, LS_previous!$D$2:$AY$2&amp;LS_previous!$D$3:$AY$3, 0)),SUM(VLOOKUP($A84, LS_previous!$B$4:$AY$138, LS_previous!H$149, FALSE), VLOOKUP('Staging Table'!$A84, LS_previous!$B$4:$AY$138,LS_previous!AF$149, FALSE))/2)</f>
        <v>13879.110150018249</v>
      </c>
      <c r="Q84" s="382">
        <f t="array" ref="Q84">IF($G84=0, INDEX(LS_previous!$D$4:$AY$138, MATCH('Staging Table'!$A84, LS_previous!$B$4:$B$138, 0), MATCH(Q$4&amp;Q$5, LS_previous!$D$2:$AY$2&amp;LS_previous!$D$3:$AY$3, 0)),SUM(VLOOKUP($A84, LS_previous!$B$4:$AY$138, LS_previous!I$149, FALSE), VLOOKUP('Staging Table'!$A84, LS_previous!$B$4:$AY$138,LS_previous!AG$149, FALSE))/2)</f>
        <v>16129.207255974987</v>
      </c>
      <c r="R84" s="382">
        <f t="array" ref="R84">IF($G84=0, INDEX(LS_previous!$D$4:$AY$138, MATCH('Staging Table'!$A84, LS_previous!$B$4:$B$138, 0), MATCH(R$4&amp;R$5, LS_previous!$D$2:$AY$2&amp;LS_previous!$D$3:$AY$3, 0)),SUM(VLOOKUP($A84, LS_previous!$B$4:$AY$138, LS_previous!J$149, FALSE), VLOOKUP('Staging Table'!$A84, LS_previous!$B$4:$AY$138,LS_previous!AH$149, FALSE))/2)</f>
        <v>15444.827601062258</v>
      </c>
      <c r="S84" s="382">
        <f t="array" ref="S84">IF($G84=0, INDEX(LS_previous!$D$4:$AY$138, MATCH('Staging Table'!$A84, LS_previous!$B$4:$B$138, 0), MATCH(S$4&amp;S$5, LS_previous!$D$2:$AY$2&amp;LS_previous!$D$3:$AY$3, 0)),SUM(VLOOKUP($A84, LS_previous!$B$4:$AY$138, LS_previous!K$149, FALSE), VLOOKUP('Staging Table'!$A84, LS_previous!$B$4:$AY$138,LS_previous!AI$149, FALSE))/2)</f>
        <v>16068.509104457738</v>
      </c>
      <c r="T84" s="382">
        <f t="array" ref="T84">IF($G84=0, INDEX(LS_previous!$D$4:$AY$138, MATCH('Staging Table'!$A84, LS_previous!$B$4:$B$138, 0), MATCH(T$4&amp;T$5, LS_previous!$D$2:$AY$2&amp;LS_previous!$D$3:$AY$3, 0)),SUM(VLOOKUP($A84, LS_previous!$B$4:$AY$138, LS_previous!L$149, FALSE), VLOOKUP('Staging Table'!$A84, LS_previous!$B$4:$AY$138,LS_previous!AJ$149, FALSE))/2)</f>
        <v>16246.973897304015</v>
      </c>
      <c r="U84" s="382">
        <f t="array" ref="U84">IF($G84=0, INDEX(LS_previous!$D$4:$AY$138, MATCH('Staging Table'!$A84, LS_previous!$B$4:$B$138, 0), MATCH(U$4&amp;U$5, LS_previous!$D$2:$AY$2&amp;LS_previous!$D$3:$AY$3, 0)),SUM(VLOOKUP($A84, LS_previous!$B$4:$AY$138, LS_previous!M$149, FALSE), VLOOKUP('Staging Table'!$A84, LS_previous!$B$4:$AY$138,LS_previous!AK$149, FALSE))/2)</f>
        <v>16480.911504151201</v>
      </c>
      <c r="V84" s="382">
        <f t="array" ref="V84">IF($G84=0, INDEX(LS_previous!$D$4:$AY$138, MATCH('Staging Table'!$A84, LS_previous!$B$4:$B$138, 0), MATCH(V$4&amp;V$5, LS_previous!$D$2:$AY$2&amp;LS_previous!$D$3:$AY$3, 0)),SUM(VLOOKUP($A84, LS_previous!$B$4:$AY$138, LS_previous!N$149, FALSE), VLOOKUP('Staging Table'!$A84, LS_previous!$B$4:$AY$138,LS_previous!AL$149, FALSE))/2)</f>
        <v>4767.475408543527</v>
      </c>
      <c r="W84" s="382">
        <f t="array" ref="W84">IF($G84=0, INDEX(LS_previous!$D$4:$AY$138, MATCH('Staging Table'!$A84, LS_previous!$B$4:$B$138, 0), MATCH(W$4&amp;W$5, LS_previous!$D$2:$AY$2&amp;LS_previous!$D$3:$AY$3, 0)),SUM(VLOOKUP($A84, LS_previous!$B$4:$AY$138, LS_previous!O$149, FALSE), VLOOKUP('Staging Table'!$A84, LS_previous!$B$4:$AY$138,LS_previous!AM$149, FALSE))/2)</f>
        <v>6942.7540847346245</v>
      </c>
      <c r="X84" s="382">
        <f t="array" ref="X84">IF($G84=0, INDEX(LS_previous!$D$4:$AY$138, MATCH('Staging Table'!$A84, LS_previous!$B$4:$B$138, 0), MATCH(X$4&amp;X$5, LS_previous!$D$2:$AY$2&amp;LS_previous!$D$3:$AY$3, 0)),SUM(VLOOKUP($A84, LS_previous!$B$4:$AY$138, LS_previous!P$149, FALSE), VLOOKUP('Staging Table'!$A84, LS_previous!$B$4:$AY$138,LS_previous!AN$149, FALSE))/2)</f>
        <v>366.93991757209369</v>
      </c>
      <c r="Y84" s="382">
        <f t="array" ref="Y84">IF($G84=0, INDEX(LS_previous!$D$4:$AY$138, MATCH('Staging Table'!$A84, LS_previous!$B$4:$B$138, 0), MATCH(Y$4&amp;Y$5, LS_previous!$D$2:$AY$2&amp;LS_previous!$D$3:$AY$3, 0)),SUM(VLOOKUP($A84, LS_previous!$B$4:$AY$138, LS_previous!Q$149, FALSE), VLOOKUP('Staging Table'!$A84, LS_previous!$B$4:$AY$138,LS_previous!AO$149, FALSE))/2)</f>
        <v>3084.3570153359506</v>
      </c>
      <c r="Z84" s="382">
        <f t="array" ref="Z84">IF($G84=0, INDEX(LS_previous!$D$4:$AY$138, MATCH('Staging Table'!$A84, LS_previous!$B$4:$B$138, 0), MATCH(Z$4&amp;Z$5, LS_previous!$D$2:$AY$2&amp;LS_previous!$D$3:$AY$3, 0)),SUM(VLOOKUP($A84, LS_previous!$B$4:$AY$138, LS_previous!R$149, FALSE), VLOOKUP('Staging Table'!$A84, LS_previous!$B$4:$AY$138,LS_previous!AP$149, FALSE))/2)</f>
        <v>-24035.450344372548</v>
      </c>
      <c r="AA84" s="382">
        <f t="array" ref="AA84">IF($G84=0, INDEX(LS_previous!$D$4:$AY$138, MATCH('Staging Table'!$A84, LS_previous!$B$4:$B$138, 0), MATCH(AA$4&amp;AA$5, LS_previous!$D$2:$AY$2&amp;LS_previous!$D$3:$AY$3, 0)),SUM(VLOOKUP($A84, LS_previous!$B$4:$AY$138, LS_previous!S$149, FALSE), VLOOKUP('Staging Table'!$A84, LS_previous!$B$4:$AY$138,LS_previous!AQ$149, FALSE))/2)</f>
        <v>-9017.9175500668207</v>
      </c>
      <c r="AB84" s="382">
        <f t="array" ref="AB84">IF($G84=0, INDEX(LS_previous!$D$4:$AY$138, MATCH('Staging Table'!$A84, LS_previous!$B$4:$B$138, 0), MATCH(AB$4&amp;AB$5, LS_previous!$D$2:$AY$2&amp;LS_previous!$D$3:$AY$3, 0)),SUM(VLOOKUP($A84, LS_previous!$B$4:$AY$138, LS_previous!T$149, FALSE), VLOOKUP('Staging Table'!$A84, LS_previous!$B$4:$AY$138,LS_previous!AR$149, FALSE))/2)</f>
        <v>-15910.869824521102</v>
      </c>
      <c r="AC84" s="382">
        <f t="array" ref="AC84">IF($G84=0, INDEX(LS_previous!$D$4:$AY$138, MATCH('Staging Table'!$A84, LS_previous!$B$4:$B$138, 0), MATCH(AC$4&amp;AC$5, LS_previous!$D$2:$AY$2&amp;LS_previous!$D$3:$AY$3, 0)),SUM(VLOOKUP($A84, LS_previous!$B$4:$AY$138, LS_previous!U$149, FALSE), VLOOKUP('Staging Table'!$A84, LS_previous!$B$4:$AY$138,LS_previous!AS$149, FALSE))/2)</f>
        <v>-8553.7181976643769</v>
      </c>
      <c r="AD84" s="382">
        <f t="array" ref="AD84">IF($G84=0, INDEX(LS_previous!$D$4:$AY$138, MATCH('Staging Table'!$A84, LS_previous!$B$4:$B$138, 0), MATCH(AD$4&amp;AD$5, LS_previous!$D$2:$AY$2&amp;LS_previous!$D$3:$AY$3, 0)),SUM(VLOOKUP($A84, LS_previous!$B$4:$AY$138, LS_previous!V$149, FALSE), VLOOKUP('Staging Table'!$A84, LS_previous!$B$4:$AY$138,LS_previous!AT$149, FALSE))/2)</f>
        <v>-11143.885013288302</v>
      </c>
      <c r="AE84" s="382">
        <f t="array" ref="AE84">IF($G84=0, INDEX(LS_previous!$D$4:$AY$138, MATCH('Staging Table'!$A84, LS_previous!$B$4:$B$138, 0), MATCH(AE$4&amp;AE$5, LS_previous!$D$2:$AY$2&amp;LS_previous!$D$3:$AY$3, 0)),SUM(VLOOKUP($A84, LS_previous!$B$4:$AY$138, LS_previous!W$149, FALSE), VLOOKUP('Staging Table'!$A84, LS_previous!$B$4:$AY$138,LS_previous!AU$149, FALSE))/2)</f>
        <v>-3145.6532173294618</v>
      </c>
      <c r="AF84" s="382">
        <f t="array" ref="AF84">IF($G84=0, INDEX(LS_previous!$D$4:$AY$138, MATCH('Staging Table'!$A84, LS_previous!$B$4:$B$138, 0), MATCH(AF$4&amp;AF$5, LS_previous!$D$2:$AY$2&amp;LS_previous!$D$3:$AY$3, 0)),SUM(VLOOKUP($A84, LS_previous!$B$4:$AY$138, LS_previous!X$149, FALSE), VLOOKUP('Staging Table'!$A84, LS_previous!$B$4:$AY$138,LS_previous!AV$149, FALSE))/2)</f>
        <v>-12310.404378470299</v>
      </c>
      <c r="AG84" s="382">
        <f t="array" ref="AG84">IF($G84=0, INDEX(LS_previous!$D$4:$AY$138, MATCH('Staging Table'!$A84, LS_previous!$B$4:$B$138, 0), MATCH(AG$4&amp;AG$5, LS_previous!$D$2:$AY$2&amp;LS_previous!$D$3:$AY$3, 0)),SUM(VLOOKUP($A84, LS_previous!$B$4:$AY$138, LS_previous!Y$149, FALSE), VLOOKUP('Staging Table'!$A84, LS_previous!$B$4:$AY$138,LS_previous!AW$149, FALSE))/2)</f>
        <v>-4579.5365781504297</v>
      </c>
      <c r="AH84" s="382">
        <f t="array" ref="AH84">IF($G84=0, INDEX(LS_previous!$D$4:$AY$138, MATCH('Staging Table'!$A84, LS_previous!$B$4:$B$138, 0), MATCH(AH$4&amp;AH$5, LS_previous!$D$2:$AY$2&amp;LS_previous!$D$3:$AY$3, 0)),SUM(VLOOKUP($A84, LS_previous!$B$4:$AY$138, LS_previous!Z$149, FALSE), VLOOKUP('Staging Table'!$A84, LS_previous!$B$4:$AY$138,LS_previous!AX$149, FALSE))/2)</f>
        <v>-2974.3031462917643</v>
      </c>
      <c r="AI84" s="382">
        <f t="array" ref="AI84">IF($G84=0, INDEX(LS_previous!$D$4:$AY$138, MATCH('Staging Table'!$A84, LS_previous!$B$4:$B$138, 0), MATCH(AI$4&amp;AI$5, LS_previous!$D$2:$AY$2&amp;LS_previous!$D$3:$AY$3, 0)),SUM(VLOOKUP($A84, LS_previous!$B$4:$AY$138, LS_previous!AA$149, FALSE), VLOOKUP('Staging Table'!$A84, LS_previous!$B$4:$AY$138,LS_previous!AY$149, FALSE))/2)</f>
        <v>-695.84692173423173</v>
      </c>
      <c r="AJ84" s="384">
        <f t="array" ref="AJ84">INDEX(Demand_previous!$D$4:$AY$138, MATCH('Staging Table'!$A84, Demand_previous!$B$4:$B$138, 0), MATCH(AJ$4&amp;AJ$5,Demand_previous!$D$2:$AY$2&amp;Demand_previous!$D$3:$AY$3, 0))/1000</f>
        <v>14.616958333333319</v>
      </c>
      <c r="AK84" s="384">
        <f t="array" ref="AK84">INDEX(Demand_previous!$D$4:$AY$138, MATCH('Staging Table'!$A84, Demand_previous!$B$4:$B$138, 0), MATCH(AK$4&amp;AK$5,Demand_previous!$D$2:$AY$2&amp;Demand_previous!$D$3:$AY$3, 0))/1000</f>
        <v>3.8475885416666742</v>
      </c>
      <c r="AL84" s="384">
        <f t="array" ref="AL84">INDEX(Demand_previous!$D$4:$AY$138, MATCH('Staging Table'!$A84, Demand_previous!$B$4:$B$138, 0), MATCH(AL$4&amp;AL$5,Demand_previous!$D$2:$AY$2&amp;Demand_previous!$D$3:$AY$3, 0))/1000</f>
        <v>23.12645432692306</v>
      </c>
      <c r="AM84" s="384">
        <f t="array" ref="AM84">INDEX(Demand_previous!$D$4:$AY$138, MATCH('Staging Table'!$A84, Demand_previous!$B$4:$B$138, 0), MATCH(AM$4&amp;AM$5,Demand_previous!$D$2:$AY$2&amp;Demand_previous!$D$3:$AY$3, 0))/1000</f>
        <v>36.599592500000014</v>
      </c>
      <c r="AN84" s="384">
        <f t="array" ref="AN84">INDEX(Demand_previous!$D$4:$AY$138, MATCH('Staging Table'!$A84, Demand_previous!$B$4:$B$138, 0), MATCH(AN$4&amp;AN$5,Demand_previous!$D$2:$AY$2&amp;Demand_previous!$D$3:$AY$3, 0))/1000</f>
        <v>18.278552500000004</v>
      </c>
      <c r="AO84" s="384">
        <f t="array" ref="AO84">INDEX(Demand_previous!$D$4:$AY$138, MATCH('Staging Table'!$A84, Demand_previous!$B$4:$B$138, 0), MATCH(AO$4&amp;AO$5,Demand_previous!$D$2:$AY$2&amp;Demand_previous!$D$3:$AY$3, 0))/1000</f>
        <v>13.163435185185193</v>
      </c>
      <c r="AP84" s="384">
        <f t="array" ref="AP84">INDEX(Demand_previous!$D$4:$AY$138, MATCH('Staging Table'!$A84, Demand_previous!$B$4:$B$138, 0), MATCH(AP$4&amp;AP$5,Demand_previous!$D$2:$AY$2&amp;Demand_previous!$D$3:$AY$3, 0))/1000</f>
        <v>17.642593749999996</v>
      </c>
      <c r="AQ84" s="384">
        <f t="array" ref="AQ84">INDEX(Demand_previous!$D$4:$AY$138, MATCH('Staging Table'!$A84, Demand_previous!$B$4:$B$138, 0), MATCH(AQ$4&amp;AQ$5,Demand_previous!$D$2:$AY$2&amp;Demand_previous!$D$3:$AY$3, 0))/1000</f>
        <v>16.723205</v>
      </c>
      <c r="AR84" s="384">
        <f t="array" ref="AR84">INDEX(Demand_previous!$D$4:$AY$138, MATCH('Staging Table'!$A84, Demand_previous!$B$4:$B$138, 0), MATCH(AR$4&amp;AR$5,Demand_previous!$D$2:$AY$2&amp;Demand_previous!$D$3:$AY$3, 0))/1000</f>
        <v>6.6160769230769247</v>
      </c>
      <c r="AS84" s="384">
        <f t="array" ref="AS84">INDEX(Demand_previous!$D$4:$AY$138, MATCH('Staging Table'!$A84, Demand_previous!$B$4:$B$138, 0), MATCH(AS$4&amp;AS$5,Demand_previous!$D$2:$AY$2&amp;Demand_previous!$D$3:$AY$3, 0))/1000</f>
        <v>7.8413650000000059</v>
      </c>
      <c r="AT84" s="384">
        <f t="array" ref="AT84">INDEX(Demand_previous!$D$4:$AY$138, MATCH('Staging Table'!$A84, Demand_previous!$B$4:$B$138, 0), MATCH(AT$4&amp;AT$5,Demand_previous!$D$2:$AY$2&amp;Demand_previous!$D$3:$AY$3, 0))/1000</f>
        <v>8.1589120370370392</v>
      </c>
      <c r="AU84" s="384">
        <f t="array" ref="AU84">INDEX(Demand_previous!$D$4:$AY$138, MATCH('Staging Table'!$A84, Demand_previous!$B$4:$B$138, 0), MATCH(AU$4&amp;AU$5,Demand_previous!$D$2:$AY$2&amp;Demand_previous!$D$3:$AY$3, 0))/1000</f>
        <v>8.5408124999999977</v>
      </c>
      <c r="AV84" s="384">
        <f>IF($D84=0,IF(C84=0, MAX(AY84 - (VLOOKUP($A84,TOCA_previous!$A$2:$AI$137,MATCH("RHWM 2016",TOCA_previous!$A$2:$AI$2,0),FALSE)*$F$2*TOCA_previous!C81),0),0), 0)</f>
        <v>12910.716761542368</v>
      </c>
      <c r="AW84" s="427">
        <f>VLOOKUP($A84,REP_previous!$A$1:$D$135,MATCH("FY "&amp;$F$1&amp; " Total Refund",REP_previous!$A$1:$D$1,0),0)</f>
        <v>476554.46245881438</v>
      </c>
      <c r="AX84" s="398">
        <f>MIN(VLOOKUP($A84,TOCA_previous!$A$2:$AI$137,MATCH("TRL - NLSL - Exisiting Resource "&amp;$F$1,TOCA_previous!$A$2:$AI$2,0),FALSE)*$F$2,(VLOOKUP($A84,TOCA_previous!$A$2:$AI$137,MATCH("RHWM 2016",TOCA_previous!$A$2:$AI$2,0),FALSE)*$F$2))</f>
        <v>748379.23199999996</v>
      </c>
      <c r="AY84" s="384">
        <f>SUM(L84:AI84)+(F84*RT1SC!$C$3*$F$2)</f>
        <v>761289.94876154233</v>
      </c>
      <c r="AZ84" s="398">
        <f>VLOOKUP($A84,TOCA_previous!$A$2:$AI$137,MATCH("Above RHWM Not Served with LS "&amp;$F$1,TOCA_previous!$A$2:$AI$2,0),FALSE)*$F$2</f>
        <v>35935.344000000005</v>
      </c>
      <c r="BA84" s="206">
        <f t="shared" si="19"/>
        <v>12910.716761542368</v>
      </c>
      <c r="BB84" s="399">
        <f>(VLOOKUP($A84,TOCA_previous!$A$2:$AI$137,MATCH("RHWM 2016",TOCA_previous!$A$2:$AI$2,0),FALSE)*$F$2) - $AX84</f>
        <v>0</v>
      </c>
      <c r="BC84" s="206">
        <f t="shared" si="20"/>
        <v>0</v>
      </c>
      <c r="BD84" s="400">
        <f t="shared" si="21"/>
        <v>0</v>
      </c>
      <c r="BE84" s="392">
        <f t="shared" si="22"/>
        <v>0</v>
      </c>
      <c r="BF84" s="399">
        <f t="shared" si="23"/>
        <v>0</v>
      </c>
      <c r="BG84" s="206">
        <f>VLOOKUP($A84,TOCA_current!$A$2:$AI$137,MATCH(BG$4,TOCA_current!$A$2:$AI$2,0),FALSE)</f>
        <v>1.21899E-2</v>
      </c>
      <c r="BH84" s="206">
        <f>VLOOKUP($A84,TOCA_current!$A$2:$AI$137,MATCH(BH$4,TOCA_current!$A$2:$AI$2,0),FALSE)</f>
        <v>1.21899E-2</v>
      </c>
      <c r="BI84" s="391">
        <f t="shared" si="24"/>
        <v>0</v>
      </c>
      <c r="BJ84" s="206">
        <f>VLOOKUP($A84,TOCA_current!A80:BG215,MATCH(BJ$4,TOCA_current!$A$2:$BG$2,0),FALSE)</f>
        <v>5.9126120698819951E-2</v>
      </c>
      <c r="BK84" s="206">
        <f t="shared" si="25"/>
        <v>0</v>
      </c>
      <c r="BL84" s="206">
        <f t="shared" si="26"/>
        <v>0</v>
      </c>
      <c r="BM84" s="381">
        <f>VLOOKUP($A84,IRD!$A$4:$G$139, 7, FALSE)</f>
        <v>0</v>
      </c>
      <c r="BN84" s="382">
        <f t="array" ref="BN84">IF($BI84=0, INDEX(LS_current!$D$4:$AY$139, MATCH('Staging Table'!$A84, LS_current!$B$4:$B$139, 0), MATCH(BN$4&amp;BN$5, LS_current!$D$2:$AY$2&amp;LS_current!$D$3:$AY$3, 0)),SUM(VLOOKUP($A84, LS_current!$B$4:$AY$139, LS_current!D$149, FALSE), VLOOKUP($A84, LS_current!$B$4:$AY$139,LS_current!D$149, FALSE))/2)</f>
        <v>-5990.4483734137211</v>
      </c>
      <c r="BO84" s="382">
        <f t="array" ref="BO84">IF($BI84=0, INDEX(LS_current!$D$4:$AY$139, MATCH('Staging Table'!$A84, LS_current!$B$4:$B$139, 0), MATCH(BO$4&amp;BO$5, LS_current!$D$2:$AY$2&amp;LS_current!$D$3:$AY$3, 0)),SUM(VLOOKUP($A84, LS_current!$B$4:$AY$139, LS_current!E$149, FALSE), VLOOKUP($A84, LS_current!$B$4:$AY$139,LS_current!E$149, FALSE))/2)</f>
        <v>109.38993366195427</v>
      </c>
      <c r="BP84" s="382">
        <f t="array" ref="BP84">IF($BI84=0, INDEX(LS_current!$D$4:$AY$139, MATCH('Staging Table'!$A84, LS_current!$B$4:$B$139, 0), MATCH(BP$4&amp;BP$5, LS_current!$D$2:$AY$2&amp;LS_current!$D$3:$AY$3, 0)),SUM(VLOOKUP($A84, LS_current!$B$4:$AY$139, LS_current!F$149, FALSE), VLOOKUP($A84, LS_current!$B$4:$AY$139,LS_current!F$149, FALSE))/2)</f>
        <v>-5064.0559605375674</v>
      </c>
      <c r="BQ84" s="382">
        <f t="array" ref="BQ84">IF($BI84=0, INDEX(LS_current!$D$4:$AY$139, MATCH('Staging Table'!$A84, LS_current!$B$4:$B$139, 0), MATCH(BQ$4&amp;BQ$5, LS_current!$D$2:$AY$2&amp;LS_current!$D$3:$AY$3, 0)),SUM(VLOOKUP($A84, LS_current!$B$4:$AY$139, LS_current!G$149, FALSE), VLOOKUP($A84, LS_current!$B$4:$AY$139,LS_current!G$149, FALSE))/2)</f>
        <v>3828.0282704440287</v>
      </c>
      <c r="BR84" s="382">
        <f t="array" ref="BR84">IF($BI84=0, INDEX(LS_current!$D$4:$AY$139, MATCH('Staging Table'!$A84, LS_current!$B$4:$B$139, 0), MATCH(BR$4&amp;BR$5, LS_current!$D$2:$AY$2&amp;LS_current!$D$3:$AY$3, 0)),SUM(VLOOKUP($A84, LS_current!$B$4:$AY$139, LS_current!H$149, FALSE), VLOOKUP($A84, LS_current!$B$4:$AY$139,LS_current!H$149, FALSE))/2)</f>
        <v>11676.400510726802</v>
      </c>
      <c r="BS84" s="382">
        <f t="array" ref="BS84">IF($BI84=0, INDEX(LS_current!$D$4:$AY$139, MATCH('Staging Table'!$A84, LS_current!$B$4:$B$139, 0), MATCH(BS$4&amp;BS$5, LS_current!$D$2:$AY$2&amp;LS_current!$D$3:$AY$3, 0)),SUM(VLOOKUP($A84, LS_current!$B$4:$AY$139, LS_current!I$149, FALSE), VLOOKUP($A84, LS_current!$B$4:$AY$139,LS_current!I$149, FALSE))/2)</f>
        <v>15061.124255137158</v>
      </c>
      <c r="BT84" s="382">
        <f t="array" ref="BT84">IF($BI84=0, INDEX(LS_current!$D$4:$AY$139, MATCH('Staging Table'!$A84, LS_current!$B$4:$B$139, 0), MATCH(BT$4&amp;BT$5, LS_current!$D$2:$AY$2&amp;LS_current!$D$3:$AY$3, 0)),SUM(VLOOKUP($A84, LS_current!$B$4:$AY$139, LS_current!J$149, FALSE), VLOOKUP($A84, LS_current!$B$4:$AY$139,LS_current!J$149, FALSE))/2)</f>
        <v>14059.176807382057</v>
      </c>
      <c r="BU84" s="382">
        <f t="array" ref="BU84">IF($BI84=0, INDEX(LS_current!$D$4:$AY$139, MATCH('Staging Table'!$A84, LS_current!$B$4:$B$139, 0), MATCH(BU$4&amp;BU$5, LS_current!$D$2:$AY$2&amp;LS_current!$D$3:$AY$3, 0)),SUM(VLOOKUP($A84, LS_current!$B$4:$AY$139, LS_current!K$149, FALSE), VLOOKUP($A84, LS_current!$B$4:$AY$139,LS_current!K$149, FALSE))/2)</f>
        <v>15324.482553419053</v>
      </c>
      <c r="BV84" s="382">
        <f t="array" ref="BV84">IF($BI84=0, INDEX(LS_current!$D$4:$AY$139, MATCH('Staging Table'!$A84, LS_current!$B$4:$B$139, 0), MATCH(BV$4&amp;BV$5, LS_current!$D$2:$AY$2&amp;LS_current!$D$3:$AY$3, 0)),SUM(VLOOKUP($A84, LS_current!$B$4:$AY$139, LS_current!L$149, FALSE), VLOOKUP($A84, LS_current!$B$4:$AY$139,LS_current!L$149, FALSE))/2)</f>
        <v>18005.284118739753</v>
      </c>
      <c r="BW84" s="382">
        <f t="array" ref="BW84">IF($BI84=0, INDEX(LS_current!$D$4:$AY$139, MATCH('Staging Table'!$A84, LS_current!$B$4:$B$139, 0), MATCH(BW$4&amp;BW$5, LS_current!$D$2:$AY$2&amp;LS_current!$D$3:$AY$3, 0)),SUM(VLOOKUP($A84, LS_current!$B$4:$AY$139, LS_current!M$149, FALSE), VLOOKUP($A84, LS_current!$B$4:$AY$139,LS_current!M$149, FALSE))/2)</f>
        <v>17871.98939634574</v>
      </c>
      <c r="BX84" s="382">
        <f t="array" ref="BX84">IF($BI84=0, INDEX(LS_current!$D$4:$AY$139, MATCH('Staging Table'!$A84, LS_current!$B$4:$B$139, 0), MATCH(BX$4&amp;BX$5, LS_current!$D$2:$AY$2&amp;LS_current!$D$3:$AY$3, 0)),SUM(VLOOKUP($A84, LS_current!$B$4:$AY$139, LS_current!N$149, FALSE), VLOOKUP($A84, LS_current!$B$4:$AY$139,LS_current!N$149, FALSE))/2)</f>
        <v>5794.38283463681</v>
      </c>
      <c r="BY84" s="382">
        <f t="array" ref="BY84">IF($BI84=0, INDEX(LS_current!$D$4:$AY$139, MATCH('Staging Table'!$A84, LS_current!$B$4:$B$139, 0), MATCH(BY$4&amp;BY$5, LS_current!$D$2:$AY$2&amp;LS_current!$D$3:$AY$3, 0)),SUM(VLOOKUP($A84, LS_current!$B$4:$AY$139, LS_current!O$149, FALSE), VLOOKUP($A84, LS_current!$B$4:$AY$139,LS_current!O$149, FALSE))/2)</f>
        <v>8462.2688332283033</v>
      </c>
      <c r="BZ84" s="382">
        <f t="array" ref="BZ84">IF($BI84=0, INDEX(LS_current!$D$4:$AY$139, MATCH('Staging Table'!$A84, LS_current!$B$4:$B$139, 0), MATCH(BZ$4&amp;BZ$5, LS_current!$D$2:$AY$2&amp;LS_current!$D$3:$AY$3, 0)),SUM(VLOOKUP($A84, LS_current!$B$4:$AY$139, LS_current!P$149, FALSE), VLOOKUP($A84, LS_current!$B$4:$AY$139,LS_current!P$149, FALSE))/2)</f>
        <v>-4150.1566381925877</v>
      </c>
      <c r="CA84" s="382">
        <f t="array" ref="CA84">IF($BI84=0, INDEX(LS_current!$D$4:$AY$139, MATCH('Staging Table'!$A84, LS_current!$B$4:$B$139, 0), MATCH(CA$4&amp;CA$5, LS_current!$D$2:$AY$2&amp;LS_current!$D$3:$AY$3, 0)),SUM(VLOOKUP($A84, LS_current!$B$4:$AY$139, LS_current!Q$149, FALSE), VLOOKUP($A84, LS_current!$B$4:$AY$139,LS_current!Q$149, FALSE))/2)</f>
        <v>2045.1600777038839</v>
      </c>
      <c r="CB84" s="382">
        <f t="array" ref="CB84">IF($BI84=0, INDEX(LS_current!$D$4:$AY$139, MATCH('Staging Table'!$A84, LS_current!$B$4:$B$139, 0), MATCH(CB$4&amp;CB$5, LS_current!$D$2:$AY$2&amp;LS_current!$D$3:$AY$3, 0)),SUM(VLOOKUP($A84, LS_current!$B$4:$AY$139, LS_current!R$149, FALSE), VLOOKUP($A84, LS_current!$B$4:$AY$139,LS_current!R$149, FALSE))/2)</f>
        <v>-24535.291381799336</v>
      </c>
      <c r="CC84" s="382">
        <f t="array" ref="CC84">IF($BI84=0, INDEX(LS_current!$D$4:$AY$139, MATCH('Staging Table'!$A84, LS_current!$B$4:$B$139, 0), MATCH(CC$4&amp;CC$5, LS_current!$D$2:$AY$2&amp;LS_current!$D$3:$AY$3, 0)),SUM(VLOOKUP($A84, LS_current!$B$4:$AY$139, LS_current!S$149, FALSE), VLOOKUP($A84, LS_current!$B$4:$AY$139,LS_current!S$149, FALSE))/2)</f>
        <v>-10122.011436176774</v>
      </c>
      <c r="CD84" s="382">
        <f t="array" ref="CD84">IF($BI84=0, INDEX(LS_current!$D$4:$AY$139, MATCH('Staging Table'!$A84, LS_current!$B$4:$B$139, 0), MATCH(CD$4&amp;CD$5, LS_current!$D$2:$AY$2&amp;LS_current!$D$3:$AY$3, 0)),SUM(VLOOKUP($A84, LS_current!$B$4:$AY$139, LS_current!T$149, FALSE), VLOOKUP($A84, LS_current!$B$4:$AY$139,LS_current!T$149, FALSE))/2)</f>
        <v>-16615.839461066258</v>
      </c>
      <c r="CE84" s="382">
        <f t="array" ref="CE84">IF($BI84=0, INDEX(LS_current!$D$4:$AY$139, MATCH('Staging Table'!$A84, LS_current!$B$4:$B$139, 0), MATCH(CE$4&amp;CE$5, LS_current!$D$2:$AY$2&amp;LS_current!$D$3:$AY$3, 0)),SUM(VLOOKUP($A84, LS_current!$B$4:$AY$139, LS_current!U$149, FALSE), VLOOKUP($A84, LS_current!$B$4:$AY$139,LS_current!U$149, FALSE))/2)</f>
        <v>-7531.0070808283799</v>
      </c>
      <c r="CF84" s="382">
        <f t="array" ref="CF84">IF($BI84=0, INDEX(LS_current!$D$4:$AY$139, MATCH('Staging Table'!$A84, LS_current!$B$4:$B$139, 0), MATCH(CF$4&amp;CF$5, LS_current!$D$2:$AY$2&amp;LS_current!$D$3:$AY$3, 0)),SUM(VLOOKUP($A84, LS_current!$B$4:$AY$139, LS_current!V$149, FALSE), VLOOKUP($A84, LS_current!$B$4:$AY$139,LS_current!V$149, FALSE))/2)</f>
        <v>-9612.8049377689313</v>
      </c>
      <c r="CG84" s="382">
        <f t="array" ref="CG84">IF($BI84=0, INDEX(LS_current!$D$4:$AY$139, MATCH('Staging Table'!$A84, LS_current!$B$4:$B$139, 0), MATCH(CG$4&amp;CG$5, LS_current!$D$2:$AY$2&amp;LS_current!$D$3:$AY$3, 0)),SUM(VLOOKUP($A84, LS_current!$B$4:$AY$139, LS_current!W$149, FALSE), VLOOKUP($A84, LS_current!$B$4:$AY$139,LS_current!W$149, FALSE))/2)</f>
        <v>-2415.5143488313697</v>
      </c>
      <c r="CH84" s="382">
        <f t="array" ref="CH84">IF($BI84=0, INDEX(LS_current!$D$4:$AY$139, MATCH('Staging Table'!$A84, LS_current!$B$4:$B$139, 0), MATCH(CH$4&amp;CH$5, LS_current!$D$2:$AY$2&amp;LS_current!$D$3:$AY$3, 0)),SUM(VLOOKUP($A84, LS_current!$B$4:$AY$139, LS_current!X$149, FALSE), VLOOKUP($A84, LS_current!$B$4:$AY$139,LS_current!X$149, FALSE))/2)</f>
        <v>-13037.077956292535</v>
      </c>
      <c r="CI84" s="382">
        <f t="array" ref="CI84">IF($BI84=0, INDEX(LS_current!$D$4:$AY$139, MATCH('Staging Table'!$A84, LS_current!$B$4:$B$139, 0), MATCH(CI$4&amp;CI$5, LS_current!$D$2:$AY$2&amp;LS_current!$D$3:$AY$3, 0)),SUM(VLOOKUP($A84, LS_current!$B$4:$AY$139, LS_current!Y$149, FALSE), VLOOKUP($A84, LS_current!$B$4:$AY$139,LS_current!Y$149, FALSE))/2)</f>
        <v>-4588.0094405961754</v>
      </c>
      <c r="CJ84" s="382">
        <f t="array" ref="CJ84">IF($BI84=0, INDEX(LS_current!$D$4:$AY$139, MATCH('Staging Table'!$A84, LS_current!$B$4:$B$139, 0), MATCH(CJ$4&amp;CJ$5, LS_current!$D$2:$AY$2&amp;LS_current!$D$3:$AY$3, 0)),SUM(VLOOKUP($A84, LS_current!$B$4:$AY$139, LS_current!Z$149, FALSE), VLOOKUP($A84, LS_current!$B$4:$AY$139,LS_current!Z$149, FALSE))/2)</f>
        <v>-7137.265129866355</v>
      </c>
      <c r="CK84" s="382">
        <f t="array" ref="CK84">IF($BI84=0, INDEX(LS_current!$D$4:$AY$139, MATCH('Staging Table'!$A84, LS_current!$B$4:$B$139, 0), MATCH(CK$4&amp;CK$5, LS_current!$D$2:$AY$2&amp;LS_current!$D$3:$AY$3, 0)),SUM(VLOOKUP($A84, LS_current!$B$4:$AY$139, LS_current!AA$149, FALSE), VLOOKUP($A84, LS_current!$B$4:$AY$139,LS_current!AA$149, FALSE))/2)</f>
        <v>-1442.7931441284891</v>
      </c>
      <c r="CL84" s="384">
        <f t="array" ref="CL84">INDEX(Demand_current!$D$4:$AY$138, MATCH($A84, Demand_current!$B$4:$B$138, 0), MATCH(CL$4&amp;CL$5,Demand_current!$D$2:$AY$2&amp;Demand_current!$D$3:$AY$3, 0))/1000</f>
        <v>11.558918269230762</v>
      </c>
      <c r="CM84" s="384">
        <f t="array" ref="CM84">INDEX(Demand_current!$D$4:$AY$138, MATCH($A84, Demand_current!$B$4:$B$138, 0), MATCH(CM$4&amp;CM$5,Demand_current!$D$2:$AY$2&amp;Demand_current!$D$3:$AY$3, 0))/1000</f>
        <v>8.2672850000000082</v>
      </c>
      <c r="CN84" s="384">
        <f t="array" ref="CN84">INDEX(Demand_current!$D$4:$AY$138, MATCH($A84, Demand_current!$B$4:$B$138, 0), MATCH(CN$4&amp;CN$5,Demand_current!$D$2:$AY$2&amp;Demand_current!$D$3:$AY$3, 0))/1000</f>
        <v>17.540472499999986</v>
      </c>
      <c r="CO84" s="384">
        <f t="array" ref="CO84">INDEX(Demand_current!$D$4:$AY$138, MATCH($A84, Demand_current!$B$4:$B$138, 0), MATCH(CO$4&amp;CO$5,Demand_current!$D$2:$AY$2&amp;Demand_current!$D$3:$AY$3, 0))/1000</f>
        <v>41.783569711538476</v>
      </c>
      <c r="CP84" s="384">
        <f t="array" ref="CP84">INDEX(Demand_current!$D$4:$AY$138, MATCH($A84, Demand_current!$B$4:$B$138, 0), MATCH(CP$4&amp;CP$5,Demand_current!$D$2:$AY$2&amp;Demand_current!$D$3:$AY$3, 0))/1000</f>
        <v>12.898408854166675</v>
      </c>
      <c r="CQ84" s="384">
        <f t="array" ref="CQ84">INDEX(Demand_current!$D$4:$AY$138, MATCH($A84, Demand_current!$B$4:$B$138, 0), MATCH(CQ$4&amp;CQ$5,Demand_current!$D$2:$AY$2&amp;Demand_current!$D$3:$AY$3, 0))/1000</f>
        <v>13.163435185185193</v>
      </c>
      <c r="CR84" s="384">
        <f t="array" ref="CR84">INDEX(Demand_current!$D$4:$AY$138, MATCH($A84, Demand_current!$B$4:$B$138, 0), MATCH(CR$4&amp;CR$5,Demand_current!$D$2:$AY$2&amp;Demand_current!$D$3:$AY$3, 0))/1000</f>
        <v>14.320337500000001</v>
      </c>
      <c r="CS84" s="384">
        <f t="array" ref="CS84">INDEX(Demand_current!$D$4:$AY$138, MATCH($A84, Demand_current!$B$4:$B$138, 0), MATCH(CS$4&amp;CS$5,Demand_current!$D$2:$AY$2&amp;Demand_current!$D$3:$AY$3, 0))/1000</f>
        <v>19.696312499999998</v>
      </c>
      <c r="CT84" s="384">
        <f t="array" ref="CT84">INDEX(Demand_current!$D$4:$AY$138, MATCH($A84, Demand_current!$B$4:$B$138, 0), MATCH(CT$4&amp;CT$5,Demand_current!$D$2:$AY$2&amp;Demand_current!$D$3:$AY$3, 0))/1000</f>
        <v>6.6160769230769247</v>
      </c>
      <c r="CU84" s="384">
        <f t="array" ref="CU84">INDEX(Demand_current!$D$4:$AY$138, MATCH($A84, Demand_current!$B$4:$B$138, 0), MATCH(CU$4&amp;CU$5,Demand_current!$D$2:$AY$2&amp;Demand_current!$D$3:$AY$3, 0))/1000</f>
        <v>7.8413650000000059</v>
      </c>
      <c r="CV84" s="384">
        <f t="array" ref="CV84">INDEX(Demand_current!$D$4:$AY$138, MATCH($A84, Demand_current!$B$4:$B$138, 0), MATCH(CV$4&amp;CV$5,Demand_current!$D$2:$AY$2&amp;Demand_current!$D$3:$AY$3, 0))/1000</f>
        <v>8.1589120370370392</v>
      </c>
      <c r="CW84" s="384">
        <f t="array" ref="CW84">INDEX(Demand_current!$D$4:$AY$138, MATCH($A84, Demand_current!$B$4:$B$138, 0), MATCH(CW$4&amp;CW$5,Demand_current!$D$2:$AY$2&amp;Demand_current!$D$3:$AY$3, 0))/1000</f>
        <v>5.1942630208333291</v>
      </c>
      <c r="CX84" s="384">
        <f>IF(D84=0,IF(C84=0,MAX(0,DA84 - (VLOOKUP($A84,TOCA_current!$A$2:$AI$137,MATCH("RHWM 2018",TOCA_current!$A$2:$AI$2,0),FALSE)*$BH$2)), 0),0)</f>
        <v>0</v>
      </c>
      <c r="CY84" s="427">
        <f>VLOOKUP($A84,REP_current!$A$1:$D$135,MATCH("FY "&amp;$BH$1&amp; " Total Refund",REP_current!$A$1:$D$1,0),0)</f>
        <v>483540.84480514302</v>
      </c>
      <c r="CZ84" s="432">
        <f>MIN(VLOOKUP($A84,TOCA_current!$A$2:$AI$137,MATCH("TRL - NLSL - Existing Resource "&amp;$BH$1,TOCA_current!$A$2:$AI$2,0),FALSE)*$BH$2, VLOOKUP($A84,TOCA_current!$A$2:$AI$137,MATCH("RHWM 2018",TOCA_current!$A$2:$AI$2,0),FALSE)*$BH$2)</f>
        <v>741595.32</v>
      </c>
      <c r="DA84" s="397">
        <f>SUM(BN84:CK84)+(BH84*RT1SC!$C$4*$BH$2)</f>
        <v>741590.541819231</v>
      </c>
      <c r="DB84" s="432">
        <f>VLOOKUP($A84,TOCA_current!$A$2:$AI$137,MATCH("Above RHWM Not Served with LS "&amp;$BH$1,TOCA_current!$A$2:$AI$2,0),FALSE)*$BH$2</f>
        <v>55634.76</v>
      </c>
      <c r="DC84" s="401">
        <f t="shared" si="27"/>
        <v>-4.7781807689461857</v>
      </c>
      <c r="DD84" s="397">
        <f>(VLOOKUP($A84,TOCA_current!$A$2:$AI$137,MATCH("RHWM 2018",TOCA_current!$A$2:$AI$2,0),FALSE)*$BH$2) - $CZ84</f>
        <v>0</v>
      </c>
      <c r="DE84" s="397">
        <f t="shared" si="28"/>
        <v>0</v>
      </c>
      <c r="DF84" s="397">
        <f t="shared" si="29"/>
        <v>0</v>
      </c>
      <c r="DG84" s="397">
        <f t="shared" si="30"/>
        <v>0</v>
      </c>
      <c r="DH84" s="397">
        <f t="shared" si="31"/>
        <v>0</v>
      </c>
    </row>
    <row r="85" spans="1:112">
      <c r="A85" s="274">
        <v>10246</v>
      </c>
      <c r="B85" s="275" t="s">
        <v>86</v>
      </c>
      <c r="C85" s="397">
        <v>0</v>
      </c>
      <c r="D85" s="397">
        <v>0</v>
      </c>
      <c r="E85" s="205">
        <f>VLOOKUP($A85,TOCA_previous!$A$2:$AI$137,MATCH(E$4,TOCA_previous!$A$2:$AI$2,0),FALSE)</f>
        <v>1.2744E-3</v>
      </c>
      <c r="F85" s="206">
        <f>VLOOKUP($A85,TOCA_previous!$A$2:$AI$137,MATCH(F$4,TOCA_previous!$A$2:$AI$2,0),FALSE)</f>
        <v>1.2744E-3</v>
      </c>
      <c r="G85" s="206">
        <f t="shared" si="16"/>
        <v>0</v>
      </c>
      <c r="H85" s="206">
        <f>VLOOKUP($A85,TOCA_previous!$A$2:$AI$137,MATCH(H$4,TOCA_previous!$A$2:$AI$2,0),FALSE)</f>
        <v>6.7349999999999993E-2</v>
      </c>
      <c r="I85" s="206">
        <f t="shared" si="17"/>
        <v>0</v>
      </c>
      <c r="J85" s="206">
        <f t="shared" si="18"/>
        <v>0</v>
      </c>
      <c r="K85" s="381">
        <f>VLOOKUP(A85, IRD!$A$5:$C$139, 3, FALSE)</f>
        <v>0</v>
      </c>
      <c r="L85" s="382">
        <f t="array" ref="L85">IF($G85=0, INDEX(LS_previous!$D$4:$AY$138, MATCH('Staging Table'!$A85, LS_previous!$B$4:$B$138, 0), MATCH(L$4&amp;L$5, LS_previous!$D$2:$AY$2&amp;LS_previous!$D$3:$AY$3, 0)),SUM(VLOOKUP($A85, LS_previous!$B$4:$AY$138, LS_previous!D$149, FALSE), VLOOKUP('Staging Table'!$A85, LS_previous!$B$4:$AY$138,LS_previous!AB$149, FALSE))/2)</f>
        <v>-254.71064749017205</v>
      </c>
      <c r="M85" s="382">
        <f t="array" ref="M85">IF($G85=0, INDEX(LS_previous!$D$4:$AY$138, MATCH('Staging Table'!$A85, LS_previous!$B$4:$B$138, 0), MATCH(M$4&amp;M$5, LS_previous!$D$2:$AY$2&amp;LS_previous!$D$3:$AY$3, 0)),SUM(VLOOKUP($A85, LS_previous!$B$4:$AY$138, LS_previous!E$149, FALSE), VLOOKUP('Staging Table'!$A85, LS_previous!$B$4:$AY$138,LS_previous!AC$149, FALSE))/2)</f>
        <v>184.99209894864725</v>
      </c>
      <c r="N85" s="382">
        <f t="array" ref="N85">IF($G85=0, INDEX(LS_previous!$D$4:$AY$138, MATCH('Staging Table'!$A85, LS_previous!$B$4:$B$138, 0), MATCH(N$4&amp;N$5, LS_previous!$D$2:$AY$2&amp;LS_previous!$D$3:$AY$3, 0)),SUM(VLOOKUP($A85, LS_previous!$B$4:$AY$138, LS_previous!F$149, FALSE), VLOOKUP('Staging Table'!$A85, LS_previous!$B$4:$AY$138,LS_previous!AD$149, FALSE))/2)</f>
        <v>12.344013045772044</v>
      </c>
      <c r="O85" s="382">
        <f t="array" ref="O85">IF($G85=0, INDEX(LS_previous!$D$4:$AY$138, MATCH('Staging Table'!$A85, LS_previous!$B$4:$B$138, 0), MATCH(O$4&amp;O$5, LS_previous!$D$2:$AY$2&amp;LS_previous!$D$3:$AY$3, 0)),SUM(VLOOKUP($A85, LS_previous!$B$4:$AY$138, LS_previous!G$149, FALSE), VLOOKUP('Staging Table'!$A85, LS_previous!$B$4:$AY$138,LS_previous!AE$149, FALSE))/2)</f>
        <v>409.97358636886793</v>
      </c>
      <c r="P85" s="382">
        <f t="array" ref="P85">IF($G85=0, INDEX(LS_previous!$D$4:$AY$138, MATCH('Staging Table'!$A85, LS_previous!$B$4:$B$138, 0), MATCH(P$4&amp;P$5, LS_previous!$D$2:$AY$2&amp;LS_previous!$D$3:$AY$3, 0)),SUM(VLOOKUP($A85, LS_previous!$B$4:$AY$138, LS_previous!H$149, FALSE), VLOOKUP('Staging Table'!$A85, LS_previous!$B$4:$AY$138,LS_previous!AF$149, FALSE))/2)</f>
        <v>776.99020477544218</v>
      </c>
      <c r="Q85" s="382">
        <f t="array" ref="Q85">IF($G85=0, INDEX(LS_previous!$D$4:$AY$138, MATCH('Staging Table'!$A85, LS_previous!$B$4:$B$138, 0), MATCH(Q$4&amp;Q$5, LS_previous!$D$2:$AY$2&amp;LS_previous!$D$3:$AY$3, 0)),SUM(VLOOKUP($A85, LS_previous!$B$4:$AY$138, LS_previous!I$149, FALSE), VLOOKUP('Staging Table'!$A85, LS_previous!$B$4:$AY$138,LS_previous!AG$149, FALSE))/2)</f>
        <v>1090.4394229803884</v>
      </c>
      <c r="R85" s="382">
        <f t="array" ref="R85">IF($G85=0, INDEX(LS_previous!$D$4:$AY$138, MATCH('Staging Table'!$A85, LS_previous!$B$4:$B$138, 0), MATCH(R$4&amp;R$5, LS_previous!$D$2:$AY$2&amp;LS_previous!$D$3:$AY$3, 0)),SUM(VLOOKUP($A85, LS_previous!$B$4:$AY$138, LS_previous!J$149, FALSE), VLOOKUP('Staging Table'!$A85, LS_previous!$B$4:$AY$138,LS_previous!AH$149, FALSE))/2)</f>
        <v>1248.3559632635897</v>
      </c>
      <c r="S85" s="382">
        <f t="array" ref="S85">IF($G85=0, INDEX(LS_previous!$D$4:$AY$138, MATCH('Staging Table'!$A85, LS_previous!$B$4:$B$138, 0), MATCH(S$4&amp;S$5, LS_previous!$D$2:$AY$2&amp;LS_previous!$D$3:$AY$3, 0)),SUM(VLOOKUP($A85, LS_previous!$B$4:$AY$138, LS_previous!K$149, FALSE), VLOOKUP('Staging Table'!$A85, LS_previous!$B$4:$AY$138,LS_previous!AI$149, FALSE))/2)</f>
        <v>1079.8572752422783</v>
      </c>
      <c r="T85" s="382">
        <f t="array" ref="T85">IF($G85=0, INDEX(LS_previous!$D$4:$AY$138, MATCH('Staging Table'!$A85, LS_previous!$B$4:$B$138, 0), MATCH(T$4&amp;T$5, LS_previous!$D$2:$AY$2&amp;LS_previous!$D$3:$AY$3, 0)),SUM(VLOOKUP($A85, LS_previous!$B$4:$AY$138, LS_previous!L$149, FALSE), VLOOKUP('Staging Table'!$A85, LS_previous!$B$4:$AY$138,LS_previous!AJ$149, FALSE))/2)</f>
        <v>1047.7072887500813</v>
      </c>
      <c r="U85" s="382">
        <f t="array" ref="U85">IF($G85=0, INDEX(LS_previous!$D$4:$AY$138, MATCH('Staging Table'!$A85, LS_previous!$B$4:$B$138, 0), MATCH(U$4&amp;U$5, LS_previous!$D$2:$AY$2&amp;LS_previous!$D$3:$AY$3, 0)),SUM(VLOOKUP($A85, LS_previous!$B$4:$AY$138, LS_previous!M$149, FALSE), VLOOKUP('Staging Table'!$A85, LS_previous!$B$4:$AY$138,LS_previous!AK$149, FALSE))/2)</f>
        <v>868.84620955447235</v>
      </c>
      <c r="V85" s="382">
        <f t="array" ref="V85">IF($G85=0, INDEX(LS_previous!$D$4:$AY$138, MATCH('Staging Table'!$A85, LS_previous!$B$4:$B$138, 0), MATCH(V$4&amp;V$5, LS_previous!$D$2:$AY$2&amp;LS_previous!$D$3:$AY$3, 0)),SUM(VLOOKUP($A85, LS_previous!$B$4:$AY$138, LS_previous!N$149, FALSE), VLOOKUP('Staging Table'!$A85, LS_previous!$B$4:$AY$138,LS_previous!AL$149, FALSE))/2)</f>
        <v>157.37710639213401</v>
      </c>
      <c r="W85" s="382">
        <f t="array" ref="W85">IF($G85=0, INDEX(LS_previous!$D$4:$AY$138, MATCH('Staging Table'!$A85, LS_previous!$B$4:$B$138, 0), MATCH(W$4&amp;W$5, LS_previous!$D$2:$AY$2&amp;LS_previous!$D$3:$AY$3, 0)),SUM(VLOOKUP($A85, LS_previous!$B$4:$AY$138, LS_previous!O$149, FALSE), VLOOKUP('Staging Table'!$A85, LS_previous!$B$4:$AY$138,LS_previous!AM$149, FALSE))/2)</f>
        <v>170.74058878955202</v>
      </c>
      <c r="X85" s="382">
        <f t="array" ref="X85">IF($G85=0, INDEX(LS_previous!$D$4:$AY$138, MATCH('Staging Table'!$A85, LS_previous!$B$4:$B$138, 0), MATCH(X$4&amp;X$5, LS_previous!$D$2:$AY$2&amp;LS_previous!$D$3:$AY$3, 0)),SUM(VLOOKUP($A85, LS_previous!$B$4:$AY$138, LS_previous!P$149, FALSE), VLOOKUP('Staging Table'!$A85, LS_previous!$B$4:$AY$138,LS_previous!AN$149, FALSE))/2)</f>
        <v>149.10794729389363</v>
      </c>
      <c r="Y85" s="382">
        <f t="array" ref="Y85">IF($G85=0, INDEX(LS_previous!$D$4:$AY$138, MATCH('Staging Table'!$A85, LS_previous!$B$4:$B$138, 0), MATCH(Y$4&amp;Y$5, LS_previous!$D$2:$AY$2&amp;LS_previous!$D$3:$AY$3, 0)),SUM(VLOOKUP($A85, LS_previous!$B$4:$AY$138, LS_previous!Q$149, FALSE), VLOOKUP('Staging Table'!$A85, LS_previous!$B$4:$AY$138,LS_previous!AO$149, FALSE))/2)</f>
        <v>422.46693460519509</v>
      </c>
      <c r="Z85" s="382">
        <f t="array" ref="Z85">IF($G85=0, INDEX(LS_previous!$D$4:$AY$138, MATCH('Staging Table'!$A85, LS_previous!$B$4:$B$138, 0), MATCH(Z$4&amp;Z$5, LS_previous!$D$2:$AY$2&amp;LS_previous!$D$3:$AY$3, 0)),SUM(VLOOKUP($A85, LS_previous!$B$4:$AY$138, LS_previous!R$149, FALSE), VLOOKUP('Staging Table'!$A85, LS_previous!$B$4:$AY$138,LS_previous!AP$149, FALSE))/2)</f>
        <v>-2577.147024938803</v>
      </c>
      <c r="AA85" s="382">
        <f t="array" ref="AA85">IF($G85=0, INDEX(LS_previous!$D$4:$AY$138, MATCH('Staging Table'!$A85, LS_previous!$B$4:$B$138, 0), MATCH(AA$4&amp;AA$5, LS_previous!$D$2:$AY$2&amp;LS_previous!$D$3:$AY$3, 0)),SUM(VLOOKUP($A85, LS_previous!$B$4:$AY$138, LS_previous!S$149, FALSE), VLOOKUP('Staging Table'!$A85, LS_previous!$B$4:$AY$138,LS_previous!AQ$149, FALSE))/2)</f>
        <v>-1035.2382946088842</v>
      </c>
      <c r="AB85" s="382">
        <f t="array" ref="AB85">IF($G85=0, INDEX(LS_previous!$D$4:$AY$138, MATCH('Staging Table'!$A85, LS_previous!$B$4:$B$138, 0), MATCH(AB$4&amp;AB$5, LS_previous!$D$2:$AY$2&amp;LS_previous!$D$3:$AY$3, 0)),SUM(VLOOKUP($A85, LS_previous!$B$4:$AY$138, LS_previous!T$149, FALSE), VLOOKUP('Staging Table'!$A85, LS_previous!$B$4:$AY$138,LS_previous!AR$149, FALSE))/2)</f>
        <v>-1529.3167348794072</v>
      </c>
      <c r="AC85" s="382">
        <f t="array" ref="AC85">IF($G85=0, INDEX(LS_previous!$D$4:$AY$138, MATCH('Staging Table'!$A85, LS_previous!$B$4:$B$138, 0), MATCH(AC$4&amp;AC$5, LS_previous!$D$2:$AY$2&amp;LS_previous!$D$3:$AY$3, 0)),SUM(VLOOKUP($A85, LS_previous!$B$4:$AY$138, LS_previous!U$149, FALSE), VLOOKUP('Staging Table'!$A85, LS_previous!$B$4:$AY$138,LS_previous!AS$149, FALSE))/2)</f>
        <v>-730.46292368436616</v>
      </c>
      <c r="AD85" s="382">
        <f t="array" ref="AD85">IF($G85=0, INDEX(LS_previous!$D$4:$AY$138, MATCH('Staging Table'!$A85, LS_previous!$B$4:$B$138, 0), MATCH(AD$4&amp;AD$5, LS_previous!$D$2:$AY$2&amp;LS_previous!$D$3:$AY$3, 0)),SUM(VLOOKUP($A85, LS_previous!$B$4:$AY$138, LS_previous!V$149, FALSE), VLOOKUP('Staging Table'!$A85, LS_previous!$B$4:$AY$138,LS_previous!AT$149, FALSE))/2)</f>
        <v>-1242.9103412729373</v>
      </c>
      <c r="AE85" s="382">
        <f t="array" ref="AE85">IF($G85=0, INDEX(LS_previous!$D$4:$AY$138, MATCH('Staging Table'!$A85, LS_previous!$B$4:$B$138, 0), MATCH(AE$4&amp;AE$5, LS_previous!$D$2:$AY$2&amp;LS_previous!$D$3:$AY$3, 0)),SUM(VLOOKUP($A85, LS_previous!$B$4:$AY$138, LS_previous!W$149, FALSE), VLOOKUP('Staging Table'!$A85, LS_previous!$B$4:$AY$138,LS_previous!AU$149, FALSE))/2)</f>
        <v>-121.1618491520635</v>
      </c>
      <c r="AF85" s="382">
        <f t="array" ref="AF85">IF($G85=0, INDEX(LS_previous!$D$4:$AY$138, MATCH('Staging Table'!$A85, LS_previous!$B$4:$B$138, 0), MATCH(AF$4&amp;AF$5, LS_previous!$D$2:$AY$2&amp;LS_previous!$D$3:$AY$3, 0)),SUM(VLOOKUP($A85, LS_previous!$B$4:$AY$138, LS_previous!X$149, FALSE), VLOOKUP('Staging Table'!$A85, LS_previous!$B$4:$AY$138,LS_previous!AV$149, FALSE))/2)</f>
        <v>-1289.3403645658859</v>
      </c>
      <c r="AG85" s="382">
        <f t="array" ref="AG85">IF($G85=0, INDEX(LS_previous!$D$4:$AY$138, MATCH('Staging Table'!$A85, LS_previous!$B$4:$B$138, 0), MATCH(AG$4&amp;AG$5, LS_previous!$D$2:$AY$2&amp;LS_previous!$D$3:$AY$3, 0)),SUM(VLOOKUP($A85, LS_previous!$B$4:$AY$138, LS_previous!Y$149, FALSE), VLOOKUP('Staging Table'!$A85, LS_previous!$B$4:$AY$138,LS_previous!AW$149, FALSE))/2)</f>
        <v>-390.98333095051953</v>
      </c>
      <c r="AH85" s="382">
        <f t="array" ref="AH85">IF($G85=0, INDEX(LS_previous!$D$4:$AY$138, MATCH('Staging Table'!$A85, LS_previous!$B$4:$B$138, 0), MATCH(AH$4&amp;AH$5, LS_previous!$D$2:$AY$2&amp;LS_previous!$D$3:$AY$3, 0)),SUM(VLOOKUP($A85, LS_previous!$B$4:$AY$138, LS_previous!Z$149, FALSE), VLOOKUP('Staging Table'!$A85, LS_previous!$B$4:$AY$138,LS_previous!AX$149, FALSE))/2)</f>
        <v>-537.90781037278703</v>
      </c>
      <c r="AI85" s="382">
        <f t="array" ref="AI85">IF($G85=0, INDEX(LS_previous!$D$4:$AY$138, MATCH('Staging Table'!$A85, LS_previous!$B$4:$B$138, 0), MATCH(AI$4&amp;AI$5, LS_previous!$D$2:$AY$2&amp;LS_previous!$D$3:$AY$3, 0)),SUM(VLOOKUP($A85, LS_previous!$B$4:$AY$138, LS_previous!AA$149, FALSE), VLOOKUP('Staging Table'!$A85, LS_previous!$B$4:$AY$138,LS_previous!AY$149, FALSE))/2)</f>
        <v>-0.57524891055390981</v>
      </c>
      <c r="AJ85" s="384">
        <f t="array" ref="AJ85">INDEX(Demand_previous!$D$4:$AY$138, MATCH('Staging Table'!$A85, Demand_previous!$B$4:$B$138, 0), MATCH(AJ$4&amp;AJ$5,Demand_previous!$D$2:$AY$2&amp;Demand_previous!$D$3:$AY$3, 0))/1000</f>
        <v>0.76096296296296373</v>
      </c>
      <c r="AK85" s="384">
        <f t="array" ref="AK85">INDEX(Demand_previous!$D$4:$AY$138, MATCH('Staging Table'!$A85, Demand_previous!$B$4:$B$138, 0), MATCH(AK$4&amp;AK$5,Demand_previous!$D$2:$AY$2&amp;Demand_previous!$D$3:$AY$3, 0))/1000</f>
        <v>0.49576041666666715</v>
      </c>
      <c r="AL85" s="384">
        <f t="array" ref="AL85">INDEX(Demand_previous!$D$4:$AY$138, MATCH('Staging Table'!$A85, Demand_previous!$B$4:$B$138, 0), MATCH(AL$4&amp;AL$5,Demand_previous!$D$2:$AY$2&amp;Demand_previous!$D$3:$AY$3, 0))/1000</f>
        <v>2.7464567307692307</v>
      </c>
      <c r="AM85" s="384">
        <f t="array" ref="AM85">INDEX(Demand_previous!$D$4:$AY$138, MATCH('Staging Table'!$A85, Demand_previous!$B$4:$B$138, 0), MATCH(AM$4&amp;AM$5,Demand_previous!$D$2:$AY$2&amp;Demand_previous!$D$3:$AY$3, 0))/1000</f>
        <v>2.3628424999999988</v>
      </c>
      <c r="AN85" s="384">
        <f t="array" ref="AN85">INDEX(Demand_previous!$D$4:$AY$138, MATCH('Staging Table'!$A85, Demand_previous!$B$4:$B$138, 0), MATCH(AN$4&amp;AN$5,Demand_previous!$D$2:$AY$2&amp;Demand_previous!$D$3:$AY$3, 0))/1000</f>
        <v>0.60712500000000169</v>
      </c>
      <c r="AO85" s="384">
        <f t="array" ref="AO85">INDEX(Demand_previous!$D$4:$AY$138, MATCH('Staging Table'!$A85, Demand_previous!$B$4:$B$138, 0), MATCH(AO$4&amp;AO$5,Demand_previous!$D$2:$AY$2&amp;Demand_previous!$D$3:$AY$3, 0))/1000</f>
        <v>2.9622731481481468</v>
      </c>
      <c r="AP85" s="384">
        <f t="array" ref="AP85">INDEX(Demand_previous!$D$4:$AY$138, MATCH('Staging Table'!$A85, Demand_previous!$B$4:$B$138, 0), MATCH(AP$4&amp;AP$5,Demand_previous!$D$2:$AY$2&amp;Demand_previous!$D$3:$AY$3, 0))/1000</f>
        <v>0</v>
      </c>
      <c r="AQ85" s="384">
        <f t="array" ref="AQ85">INDEX(Demand_previous!$D$4:$AY$138, MATCH('Staging Table'!$A85, Demand_previous!$B$4:$B$138, 0), MATCH(AQ$4&amp;AQ$5,Demand_previous!$D$2:$AY$2&amp;Demand_previous!$D$3:$AY$3, 0))/1000</f>
        <v>0.88105999999999973</v>
      </c>
      <c r="AR85" s="384">
        <f t="array" ref="AR85">INDEX(Demand_previous!$D$4:$AY$138, MATCH('Staging Table'!$A85, Demand_previous!$B$4:$B$138, 0), MATCH(AR$4&amp;AR$5,Demand_previous!$D$2:$AY$2&amp;Demand_previous!$D$3:$AY$3, 0))/1000</f>
        <v>0.77884615384615341</v>
      </c>
      <c r="AS85" s="384">
        <f t="array" ref="AS85">INDEX(Demand_previous!$D$4:$AY$138, MATCH('Staging Table'!$A85, Demand_previous!$B$4:$B$138, 0), MATCH(AS$4&amp;AS$5,Demand_previous!$D$2:$AY$2&amp;Demand_previous!$D$3:$AY$3, 0))/1000</f>
        <v>0.71613000000000038</v>
      </c>
      <c r="AT85" s="384">
        <f t="array" ref="AT85">INDEX(Demand_previous!$D$4:$AY$138, MATCH('Staging Table'!$A85, Demand_previous!$B$4:$B$138, 0), MATCH(AT$4&amp;AT$5,Demand_previous!$D$2:$AY$2&amp;Demand_previous!$D$3:$AY$3, 0))/1000</f>
        <v>1.0321296296296303</v>
      </c>
      <c r="AU85" s="384">
        <f t="array" ref="AU85">INDEX(Demand_previous!$D$4:$AY$138, MATCH('Staging Table'!$A85, Demand_previous!$B$4:$B$138, 0), MATCH(AU$4&amp;AU$5,Demand_previous!$D$2:$AY$2&amp;Demand_previous!$D$3:$AY$3, 0))/1000</f>
        <v>0.52484000000000153</v>
      </c>
      <c r="AV85" s="384">
        <f>IF($D85=0,IF(C85=0, MAX(AY85 - (VLOOKUP($A85,TOCA_previous!$A$2:$AI$137,MATCH("RHWM 2016",TOCA_previous!$A$2:$AI$2,0),FALSE)*$F$2*TOCA_previous!C82),0),0), 0)</f>
        <v>0</v>
      </c>
      <c r="AW85" s="427">
        <f>VLOOKUP($A85,REP_previous!$A$1:$D$135,MATCH("FY "&amp;$F$1&amp; " Total Refund",REP_previous!$A$1:$D$1,0),0)</f>
        <v>101870.27947734203</v>
      </c>
      <c r="AX85" s="398">
        <f>MIN(VLOOKUP($A85,TOCA_previous!$A$2:$AI$137,MATCH("TRL - NLSL - Exisiting Resource "&amp;$F$1,TOCA_previous!$A$2:$AI$2,0),FALSE)*$F$2,(VLOOKUP($A85,TOCA_previous!$A$2:$AI$137,MATCH("RHWM 2016",TOCA_previous!$A$2:$AI$2,0),FALSE)*$F$2))</f>
        <v>78168.815999999992</v>
      </c>
      <c r="AY85" s="384">
        <f>SUM(L85:AI85)+(F85*RT1SC!$C$3*$F$2)</f>
        <v>76080.399183999936</v>
      </c>
      <c r="AZ85" s="398">
        <f>VLOOKUP($A85,TOCA_previous!$A$2:$AI$137,MATCH("Above RHWM Not Served with LS "&amp;$F$1,TOCA_previous!$A$2:$AI$2,0),FALSE)*$F$2</f>
        <v>0</v>
      </c>
      <c r="BA85" s="206">
        <f t="shared" si="19"/>
        <v>-2088.4168160000554</v>
      </c>
      <c r="BB85" s="399">
        <f>(VLOOKUP($A85,TOCA_previous!$A$2:$AI$137,MATCH("RHWM 2016",TOCA_previous!$A$2:$AI$2,0),FALSE)*$F$2) - $AX85</f>
        <v>0</v>
      </c>
      <c r="BC85" s="206">
        <f t="shared" si="20"/>
        <v>0</v>
      </c>
      <c r="BD85" s="400">
        <f t="shared" si="21"/>
        <v>2088.4168160000554</v>
      </c>
      <c r="BE85" s="392">
        <f t="shared" si="22"/>
        <v>0</v>
      </c>
      <c r="BF85" s="399">
        <f t="shared" si="23"/>
        <v>2088.4168160000554</v>
      </c>
      <c r="BG85" s="206">
        <f>VLOOKUP($A85,TOCA_current!$A$2:$AI$137,MATCH(BG$4,TOCA_current!$A$2:$AI$2,0),FALSE)</f>
        <v>1.2733E-3</v>
      </c>
      <c r="BH85" s="206">
        <f>VLOOKUP($A85,TOCA_current!$A$2:$AI$137,MATCH(BH$4,TOCA_current!$A$2:$AI$2,0),FALSE)</f>
        <v>1.2733E-3</v>
      </c>
      <c r="BI85" s="391">
        <f t="shared" si="24"/>
        <v>0</v>
      </c>
      <c r="BJ85" s="206">
        <f>VLOOKUP($A85,TOCA_current!A81:BG216,MATCH(BJ$4,TOCA_current!$A$2:$BG$2,0),FALSE)</f>
        <v>6.5102906253533877E-2</v>
      </c>
      <c r="BK85" s="206">
        <f t="shared" si="25"/>
        <v>0</v>
      </c>
      <c r="BL85" s="206">
        <f t="shared" si="26"/>
        <v>0</v>
      </c>
      <c r="BM85" s="381">
        <f>VLOOKUP($A85,IRD!$A$4:$G$139, 7, FALSE)</f>
        <v>0</v>
      </c>
      <c r="BN85" s="382">
        <f t="array" ref="BN85">IF($BI85=0, INDEX(LS_current!$D$4:$AY$139, MATCH('Staging Table'!$A85, LS_current!$B$4:$B$139, 0), MATCH(BN$4&amp;BN$5, LS_current!$D$2:$AY$2&amp;LS_current!$D$3:$AY$3, 0)),SUM(VLOOKUP($A85, LS_current!$B$4:$AY$139, LS_current!D$149, FALSE), VLOOKUP($A85, LS_current!$B$4:$AY$139,LS_current!D$149, FALSE))/2)</f>
        <v>-272.16215480583878</v>
      </c>
      <c r="BO85" s="382">
        <f t="array" ref="BO85">IF($BI85=0, INDEX(LS_current!$D$4:$AY$139, MATCH('Staging Table'!$A85, LS_current!$B$4:$B$139, 0), MATCH(BO$4&amp;BO$5, LS_current!$D$2:$AY$2&amp;LS_current!$D$3:$AY$3, 0)),SUM(VLOOKUP($A85, LS_current!$B$4:$AY$139, LS_current!E$149, FALSE), VLOOKUP($A85, LS_current!$B$4:$AY$139,LS_current!E$149, FALSE))/2)</f>
        <v>300.1890319552881</v>
      </c>
      <c r="BP85" s="382">
        <f t="array" ref="BP85">IF($BI85=0, INDEX(LS_current!$D$4:$AY$139, MATCH('Staging Table'!$A85, LS_current!$B$4:$B$139, 0), MATCH(BP$4&amp;BP$5, LS_current!$D$2:$AY$2&amp;LS_current!$D$3:$AY$3, 0)),SUM(VLOOKUP($A85, LS_current!$B$4:$AY$139, LS_current!F$149, FALSE), VLOOKUP($A85, LS_current!$B$4:$AY$139,LS_current!F$149, FALSE))/2)</f>
        <v>-78.820596161780486</v>
      </c>
      <c r="BQ85" s="382">
        <f t="array" ref="BQ85">IF($BI85=0, INDEX(LS_current!$D$4:$AY$139, MATCH('Staging Table'!$A85, LS_current!$B$4:$B$139, 0), MATCH(BQ$4&amp;BQ$5, LS_current!$D$2:$AY$2&amp;LS_current!$D$3:$AY$3, 0)),SUM(VLOOKUP($A85, LS_current!$B$4:$AY$139, LS_current!G$149, FALSE), VLOOKUP($A85, LS_current!$B$4:$AY$139,LS_current!G$149, FALSE))/2)</f>
        <v>437.16111894735604</v>
      </c>
      <c r="BR85" s="382">
        <f t="array" ref="BR85">IF($BI85=0, INDEX(LS_current!$D$4:$AY$139, MATCH('Staging Table'!$A85, LS_current!$B$4:$B$139, 0), MATCH(BR$4&amp;BR$5, LS_current!$D$2:$AY$2&amp;LS_current!$D$3:$AY$3, 0)),SUM(VLOOKUP($A85, LS_current!$B$4:$AY$139, LS_current!H$149, FALSE), VLOOKUP($A85, LS_current!$B$4:$AY$139,LS_current!H$149, FALSE))/2)</f>
        <v>634.43483669336365</v>
      </c>
      <c r="BS85" s="382">
        <f t="array" ref="BS85">IF($BI85=0, INDEX(LS_current!$D$4:$AY$139, MATCH('Staging Table'!$A85, LS_current!$B$4:$B$139, 0), MATCH(BS$4&amp;BS$5, LS_current!$D$2:$AY$2&amp;LS_current!$D$3:$AY$3, 0)),SUM(VLOOKUP($A85, LS_current!$B$4:$AY$139, LS_current!I$149, FALSE), VLOOKUP($A85, LS_current!$B$4:$AY$139,LS_current!I$149, FALSE))/2)</f>
        <v>1066.8796506424287</v>
      </c>
      <c r="BT85" s="382">
        <f t="array" ref="BT85">IF($BI85=0, INDEX(LS_current!$D$4:$AY$139, MATCH('Staging Table'!$A85, LS_current!$B$4:$B$139, 0), MATCH(BT$4&amp;BT$5, LS_current!$D$2:$AY$2&amp;LS_current!$D$3:$AY$3, 0)),SUM(VLOOKUP($A85, LS_current!$B$4:$AY$139, LS_current!J$149, FALSE), VLOOKUP($A85, LS_current!$B$4:$AY$139,LS_current!J$149, FALSE))/2)</f>
        <v>1208.6064920499421</v>
      </c>
      <c r="BU85" s="382">
        <f t="array" ref="BU85">IF($BI85=0, INDEX(LS_current!$D$4:$AY$139, MATCH('Staging Table'!$A85, LS_current!$B$4:$B$139, 0), MATCH(BU$4&amp;BU$5, LS_current!$D$2:$AY$2&amp;LS_current!$D$3:$AY$3, 0)),SUM(VLOOKUP($A85, LS_current!$B$4:$AY$139, LS_current!K$149, FALSE), VLOOKUP($A85, LS_current!$B$4:$AY$139,LS_current!K$149, FALSE))/2)</f>
        <v>1072.7002438468307</v>
      </c>
      <c r="BV85" s="382">
        <f t="array" ref="BV85">IF($BI85=0, INDEX(LS_current!$D$4:$AY$139, MATCH('Staging Table'!$A85, LS_current!$B$4:$B$139, 0), MATCH(BV$4&amp;BV$5, LS_current!$D$2:$AY$2&amp;LS_current!$D$3:$AY$3, 0)),SUM(VLOOKUP($A85, LS_current!$B$4:$AY$139, LS_current!L$149, FALSE), VLOOKUP($A85, LS_current!$B$4:$AY$139,LS_current!L$149, FALSE))/2)</f>
        <v>1315.1370052167226</v>
      </c>
      <c r="BW85" s="382">
        <f t="array" ref="BW85">IF($BI85=0, INDEX(LS_current!$D$4:$AY$139, MATCH('Staging Table'!$A85, LS_current!$B$4:$B$139, 0), MATCH(BW$4&amp;BW$5, LS_current!$D$2:$AY$2&amp;LS_current!$D$3:$AY$3, 0)),SUM(VLOOKUP($A85, LS_current!$B$4:$AY$139, LS_current!M$149, FALSE), VLOOKUP($A85, LS_current!$B$4:$AY$139,LS_current!M$149, FALSE))/2)</f>
        <v>1078.6919857559974</v>
      </c>
      <c r="BX85" s="382">
        <f t="array" ref="BX85">IF($BI85=0, INDEX(LS_current!$D$4:$AY$139, MATCH('Staging Table'!$A85, LS_current!$B$4:$B$139, 0), MATCH(BX$4&amp;BX$5, LS_current!$D$2:$AY$2&amp;LS_current!$D$3:$AY$3, 0)),SUM(VLOOKUP($A85, LS_current!$B$4:$AY$139, LS_current!N$149, FALSE), VLOOKUP($A85, LS_current!$B$4:$AY$139,LS_current!N$149, FALSE))/2)</f>
        <v>366.56896712385242</v>
      </c>
      <c r="BY85" s="382">
        <f t="array" ref="BY85">IF($BI85=0, INDEX(LS_current!$D$4:$AY$139, MATCH('Staging Table'!$A85, LS_current!$B$4:$B$139, 0), MATCH(BY$4&amp;BY$5, LS_current!$D$2:$AY$2&amp;LS_current!$D$3:$AY$3, 0)),SUM(VLOOKUP($A85, LS_current!$B$4:$AY$139, LS_current!O$149, FALSE), VLOOKUP($A85, LS_current!$B$4:$AY$139,LS_current!O$149, FALSE))/2)</f>
        <v>402.84543214050973</v>
      </c>
      <c r="BZ85" s="382">
        <f t="array" ref="BZ85">IF($BI85=0, INDEX(LS_current!$D$4:$AY$139, MATCH('Staging Table'!$A85, LS_current!$B$4:$B$139, 0), MATCH(BZ$4&amp;BZ$5, LS_current!$D$2:$AY$2&amp;LS_current!$D$3:$AY$3, 0)),SUM(VLOOKUP($A85, LS_current!$B$4:$AY$139, LS_current!P$149, FALSE), VLOOKUP($A85, LS_current!$B$4:$AY$139,LS_current!P$149, FALSE))/2)</f>
        <v>-235.18295763793139</v>
      </c>
      <c r="CA85" s="382">
        <f t="array" ref="CA85">IF($BI85=0, INDEX(LS_current!$D$4:$AY$139, MATCH('Staging Table'!$A85, LS_current!$B$4:$B$139, 0), MATCH(CA$4&amp;CA$5, LS_current!$D$2:$AY$2&amp;LS_current!$D$3:$AY$3, 0)),SUM(VLOOKUP($A85, LS_current!$B$4:$AY$139, LS_current!Q$149, FALSE), VLOOKUP($A85, LS_current!$B$4:$AY$139,LS_current!Q$149, FALSE))/2)</f>
        <v>396.26820383599215</v>
      </c>
      <c r="CB85" s="382">
        <f t="array" ref="CB85">IF($BI85=0, INDEX(LS_current!$D$4:$AY$139, MATCH('Staging Table'!$A85, LS_current!$B$4:$B$139, 0), MATCH(CB$4&amp;CB$5, LS_current!$D$2:$AY$2&amp;LS_current!$D$3:$AY$3, 0)),SUM(VLOOKUP($A85, LS_current!$B$4:$AY$139, LS_current!R$149, FALSE), VLOOKUP($A85, LS_current!$B$4:$AY$139,LS_current!R$149, FALSE))/2)</f>
        <v>-2524.3922305060005</v>
      </c>
      <c r="CC85" s="382">
        <f t="array" ref="CC85">IF($BI85=0, INDEX(LS_current!$D$4:$AY$139, MATCH('Staging Table'!$A85, LS_current!$B$4:$B$139, 0), MATCH(CC$4&amp;CC$5, LS_current!$D$2:$AY$2&amp;LS_current!$D$3:$AY$3, 0)),SUM(VLOOKUP($A85, LS_current!$B$4:$AY$139, LS_current!S$149, FALSE), VLOOKUP($A85, LS_current!$B$4:$AY$139,LS_current!S$149, FALSE))/2)</f>
        <v>-1080.0156258200541</v>
      </c>
      <c r="CD85" s="382">
        <f t="array" ref="CD85">IF($BI85=0, INDEX(LS_current!$D$4:$AY$139, MATCH('Staging Table'!$A85, LS_current!$B$4:$B$139, 0), MATCH(CD$4&amp;CD$5, LS_current!$D$2:$AY$2&amp;LS_current!$D$3:$AY$3, 0)),SUM(VLOOKUP($A85, LS_current!$B$4:$AY$139, LS_current!T$149, FALSE), VLOOKUP($A85, LS_current!$B$4:$AY$139,LS_current!T$149, FALSE))/2)</f>
        <v>-1504.8112190071838</v>
      </c>
      <c r="CE85" s="382">
        <f t="array" ref="CE85">IF($BI85=0, INDEX(LS_current!$D$4:$AY$139, MATCH('Staging Table'!$A85, LS_current!$B$4:$B$139, 0), MATCH(CE$4&amp;CE$5, LS_current!$D$2:$AY$2&amp;LS_current!$D$3:$AY$3, 0)),SUM(VLOOKUP($A85, LS_current!$B$4:$AY$139, LS_current!U$149, FALSE), VLOOKUP($A85, LS_current!$B$4:$AY$139,LS_current!U$149, FALSE))/2)</f>
        <v>-551.90504724557013</v>
      </c>
      <c r="CF85" s="382">
        <f t="array" ref="CF85">IF($BI85=0, INDEX(LS_current!$D$4:$AY$139, MATCH('Staging Table'!$A85, LS_current!$B$4:$B$139, 0), MATCH(CF$4&amp;CF$5, LS_current!$D$2:$AY$2&amp;LS_current!$D$3:$AY$3, 0)),SUM(VLOOKUP($A85, LS_current!$B$4:$AY$139, LS_current!V$149, FALSE), VLOOKUP($A85, LS_current!$B$4:$AY$139,LS_current!V$149, FALSE))/2)</f>
        <v>-988.61033644748341</v>
      </c>
      <c r="CG85" s="382">
        <f t="array" ref="CG85">IF($BI85=0, INDEX(LS_current!$D$4:$AY$139, MATCH('Staging Table'!$A85, LS_current!$B$4:$B$139, 0), MATCH(CG$4&amp;CG$5, LS_current!$D$2:$AY$2&amp;LS_current!$D$3:$AY$3, 0)),SUM(VLOOKUP($A85, LS_current!$B$4:$AY$139, LS_current!W$149, FALSE), VLOOKUP($A85, LS_current!$B$4:$AY$139,LS_current!W$149, FALSE))/2)</f>
        <v>36.282250792296281</v>
      </c>
      <c r="CH85" s="382">
        <f t="array" ref="CH85">IF($BI85=0, INDEX(LS_current!$D$4:$AY$139, MATCH('Staging Table'!$A85, LS_current!$B$4:$B$139, 0), MATCH(CH$4&amp;CH$5, LS_current!$D$2:$AY$2&amp;LS_current!$D$3:$AY$3, 0)),SUM(VLOOKUP($A85, LS_current!$B$4:$AY$139, LS_current!X$149, FALSE), VLOOKUP($A85, LS_current!$B$4:$AY$139,LS_current!X$149, FALSE))/2)</f>
        <v>-1263.3245236094867</v>
      </c>
      <c r="CI85" s="382">
        <f t="array" ref="CI85">IF($BI85=0, INDEX(LS_current!$D$4:$AY$139, MATCH('Staging Table'!$A85, LS_current!$B$4:$B$139, 0), MATCH(CI$4&amp;CI$5, LS_current!$D$2:$AY$2&amp;LS_current!$D$3:$AY$3, 0)),SUM(VLOOKUP($A85, LS_current!$B$4:$AY$139, LS_current!Y$149, FALSE), VLOOKUP($A85, LS_current!$B$4:$AY$139,LS_current!Y$149, FALSE))/2)</f>
        <v>-318.24586470857935</v>
      </c>
      <c r="CJ85" s="382">
        <f t="array" ref="CJ85">IF($BI85=0, INDEX(LS_current!$D$4:$AY$139, MATCH('Staging Table'!$A85, LS_current!$B$4:$B$139, 0), MATCH(CJ$4&amp;CJ$5, LS_current!$D$2:$AY$2&amp;LS_current!$D$3:$AY$3, 0)),SUM(VLOOKUP($A85, LS_current!$B$4:$AY$139, LS_current!Z$149, FALSE), VLOOKUP($A85, LS_current!$B$4:$AY$139,LS_current!Z$149, FALSE))/2)</f>
        <v>-888.98575923993076</v>
      </c>
      <c r="CK85" s="382">
        <f t="array" ref="CK85">IF($BI85=0, INDEX(LS_current!$D$4:$AY$139, MATCH('Staging Table'!$A85, LS_current!$B$4:$B$139, 0), MATCH(CK$4&amp;CK$5, LS_current!$D$2:$AY$2&amp;LS_current!$D$3:$AY$3, 0)),SUM(VLOOKUP($A85, LS_current!$B$4:$AY$139, LS_current!AA$149, FALSE), VLOOKUP($A85, LS_current!$B$4:$AY$139,LS_current!AA$149, FALSE))/2)</f>
        <v>7.5288989475875496</v>
      </c>
      <c r="CL85" s="384">
        <f t="array" ref="CL85">INDEX(Demand_current!$D$4:$AY$138, MATCH($A85, Demand_current!$B$4:$B$138, 0), MATCH(CL$4&amp;CL$5,Demand_current!$D$2:$AY$2&amp;Demand_current!$D$3:$AY$3, 0))/1000</f>
        <v>0.43742307692307669</v>
      </c>
      <c r="CM85" s="384">
        <f t="array" ref="CM85">INDEX(Demand_current!$D$4:$AY$138, MATCH($A85, Demand_current!$B$4:$B$138, 0), MATCH(CM$4&amp;CM$5,Demand_current!$D$2:$AY$2&amp;Demand_current!$D$3:$AY$3, 0))/1000</f>
        <v>0.99833000000000016</v>
      </c>
      <c r="CN85" s="384">
        <f t="array" ref="CN85">INDEX(Demand_current!$D$4:$AY$138, MATCH($A85, Demand_current!$B$4:$B$138, 0), MATCH(CN$4&amp;CN$5,Demand_current!$D$2:$AY$2&amp;Demand_current!$D$3:$AY$3, 0))/1000</f>
        <v>2.2157950000000004</v>
      </c>
      <c r="CO85" s="384">
        <f t="array" ref="CO85">INDEX(Demand_current!$D$4:$AY$138, MATCH($A85, Demand_current!$B$4:$B$138, 0), MATCH(CO$4&amp;CO$5,Demand_current!$D$2:$AY$2&amp;Demand_current!$D$3:$AY$3, 0))/1000</f>
        <v>2.8990793269230752</v>
      </c>
      <c r="CP85" s="384">
        <f t="array" ref="CP85">INDEX(Demand_current!$D$4:$AY$138, MATCH($A85, Demand_current!$B$4:$B$138, 0), MATCH(CP$4&amp;CP$5,Demand_current!$D$2:$AY$2&amp;Demand_current!$D$3:$AY$3, 0))/1000</f>
        <v>8.9130208333335403E-2</v>
      </c>
      <c r="CQ85" s="384">
        <f t="array" ref="CQ85">INDEX(Demand_current!$D$4:$AY$138, MATCH($A85, Demand_current!$B$4:$B$138, 0), MATCH(CQ$4&amp;CQ$5,Demand_current!$D$2:$AY$2&amp;Demand_current!$D$3:$AY$3, 0))/1000</f>
        <v>2.9622731481481468</v>
      </c>
      <c r="CR85" s="384">
        <f t="array" ref="CR85">INDEX(Demand_current!$D$4:$AY$138, MATCH($A85, Demand_current!$B$4:$B$138, 0), MATCH(CR$4&amp;CR$5,Demand_current!$D$2:$AY$2&amp;Demand_current!$D$3:$AY$3, 0))/1000</f>
        <v>0</v>
      </c>
      <c r="CS85" s="384">
        <f t="array" ref="CS85">INDEX(Demand_current!$D$4:$AY$138, MATCH($A85, Demand_current!$B$4:$B$138, 0), MATCH(CS$4&amp;CS$5,Demand_current!$D$2:$AY$2&amp;Demand_current!$D$3:$AY$3, 0))/1000</f>
        <v>1.1880192307692301</v>
      </c>
      <c r="CT85" s="384">
        <f t="array" ref="CT85">INDEX(Demand_current!$D$4:$AY$138, MATCH($A85, Demand_current!$B$4:$B$138, 0), MATCH(CT$4&amp;CT$5,Demand_current!$D$2:$AY$2&amp;Demand_current!$D$3:$AY$3, 0))/1000</f>
        <v>0.77884615384615341</v>
      </c>
      <c r="CU85" s="384">
        <f t="array" ref="CU85">INDEX(Demand_current!$D$4:$AY$138, MATCH($A85, Demand_current!$B$4:$B$138, 0), MATCH(CU$4&amp;CU$5,Demand_current!$D$2:$AY$2&amp;Demand_current!$D$3:$AY$3, 0))/1000</f>
        <v>0.71613000000000038</v>
      </c>
      <c r="CV85" s="384">
        <f t="array" ref="CV85">INDEX(Demand_current!$D$4:$AY$138, MATCH($A85, Demand_current!$B$4:$B$138, 0), MATCH(CV$4&amp;CV$5,Demand_current!$D$2:$AY$2&amp;Demand_current!$D$3:$AY$3, 0))/1000</f>
        <v>1.0321296296296303</v>
      </c>
      <c r="CW85" s="384">
        <f t="array" ref="CW85">INDEX(Demand_current!$D$4:$AY$138, MATCH($A85, Demand_current!$B$4:$B$138, 0), MATCH(CW$4&amp;CW$5,Demand_current!$D$2:$AY$2&amp;Demand_current!$D$3:$AY$3, 0))/1000</f>
        <v>0.22275000000000089</v>
      </c>
      <c r="CX85" s="384">
        <f>IF(D85=0,IF(C85=0,MAX(0,DA85 - (VLOOKUP($A85,TOCA_current!$A$2:$AI$137,MATCH("RHWM 2018",TOCA_current!$A$2:$AI$2,0),FALSE)*$BH$2)), 0),0)</f>
        <v>0</v>
      </c>
      <c r="CY85" s="427">
        <f>VLOOKUP($A85,REP_current!$A$1:$D$135,MATCH("FY "&amp;$BH$1&amp; " Total Refund",REP_current!$A$1:$D$1,0),0)</f>
        <v>102600.73460245307</v>
      </c>
      <c r="CZ85" s="432">
        <f>MIN(VLOOKUP($A85,TOCA_current!$A$2:$AI$137,MATCH("TRL - NLSL - Existing Resource "&amp;$BH$1,TOCA_current!$A$2:$AI$2,0),FALSE)*$BH$2, VLOOKUP($A85,TOCA_current!$A$2:$AI$137,MATCH("RHWM 2018",TOCA_current!$A$2:$AI$2,0),FALSE)*$BH$2)</f>
        <v>77464.679999999993</v>
      </c>
      <c r="DA85" s="397">
        <f>SUM(BN85:CK85)+(BH85*RT1SC!$C$4*$BH$2)</f>
        <v>76080.40013012632</v>
      </c>
      <c r="DB85" s="432">
        <f>VLOOKUP($A85,TOCA_current!$A$2:$AI$137,MATCH("Above RHWM Not Served with LS "&amp;$BH$1,TOCA_current!$A$2:$AI$2,0),FALSE)*$BH$2</f>
        <v>0</v>
      </c>
      <c r="DC85" s="401">
        <f t="shared" si="27"/>
        <v>-1384.2798698736733</v>
      </c>
      <c r="DD85" s="397">
        <f>(VLOOKUP($A85,TOCA_current!$A$2:$AI$137,MATCH("RHWM 2018",TOCA_current!$A$2:$AI$2,0),FALSE)*$BH$2) - $CZ85</f>
        <v>0</v>
      </c>
      <c r="DE85" s="397">
        <f t="shared" si="28"/>
        <v>0</v>
      </c>
      <c r="DF85" s="397">
        <f t="shared" si="29"/>
        <v>1384.2798698736733</v>
      </c>
      <c r="DG85" s="397">
        <f t="shared" si="30"/>
        <v>0</v>
      </c>
      <c r="DH85" s="397">
        <f t="shared" si="31"/>
        <v>1384.2798698736733</v>
      </c>
    </row>
    <row r="86" spans="1:112">
      <c r="A86" s="274">
        <v>10247</v>
      </c>
      <c r="B86" s="275" t="s">
        <v>87</v>
      </c>
      <c r="C86" s="397">
        <v>0</v>
      </c>
      <c r="D86" s="397">
        <v>0</v>
      </c>
      <c r="E86" s="205">
        <f>VLOOKUP($A86,TOCA_previous!$A$2:$AI$137,MATCH(E$4,TOCA_previous!$A$2:$AI$2,0),FALSE)</f>
        <v>1.13344E-2</v>
      </c>
      <c r="F86" s="206">
        <f>VLOOKUP($A86,TOCA_previous!$A$2:$AI$137,MATCH(F$4,TOCA_previous!$A$2:$AI$2,0),FALSE)</f>
        <v>1.13344E-2</v>
      </c>
      <c r="G86" s="206">
        <f t="shared" si="16"/>
        <v>0</v>
      </c>
      <c r="H86" s="206">
        <f>VLOOKUP($A86,TOCA_previous!$A$2:$AI$137,MATCH(H$4,TOCA_previous!$A$2:$AI$2,0),FALSE)</f>
        <v>5.0470000000000001E-2</v>
      </c>
      <c r="I86" s="206">
        <f t="shared" si="17"/>
        <v>0</v>
      </c>
      <c r="J86" s="206">
        <f t="shared" si="18"/>
        <v>0</v>
      </c>
      <c r="K86" s="381">
        <f>VLOOKUP(A86, IRD!$A$5:$C$139, 3, FALSE)</f>
        <v>0</v>
      </c>
      <c r="L86" s="382">
        <f t="array" ref="L86">IF($G86=0, INDEX(LS_previous!$D$4:$AY$138, MATCH('Staging Table'!$A86, LS_previous!$B$4:$B$138, 0), MATCH(L$4&amp;L$5, LS_previous!$D$2:$AY$2&amp;LS_previous!$D$3:$AY$3, 0)),SUM(VLOOKUP($A86, LS_previous!$B$4:$AY$138, LS_previous!D$149, FALSE), VLOOKUP('Staging Table'!$A86, LS_previous!$B$4:$AY$138,LS_previous!AB$149, FALSE))/2)</f>
        <v>-201.54390937900462</v>
      </c>
      <c r="M86" s="382">
        <f t="array" ref="M86">IF($G86=0, INDEX(LS_previous!$D$4:$AY$138, MATCH('Staging Table'!$A86, LS_previous!$B$4:$B$138, 0), MATCH(M$4&amp;M$5, LS_previous!$D$2:$AY$2&amp;LS_previous!$D$3:$AY$3, 0)),SUM(VLOOKUP($A86, LS_previous!$B$4:$AY$138, LS_previous!E$149, FALSE), VLOOKUP('Staging Table'!$A86, LS_previous!$B$4:$AY$138,LS_previous!AC$149, FALSE))/2)</f>
        <v>1760.4293878872813</v>
      </c>
      <c r="N86" s="382">
        <f t="array" ref="N86">IF($G86=0, INDEX(LS_previous!$D$4:$AY$138, MATCH('Staging Table'!$A86, LS_previous!$B$4:$B$138, 0), MATCH(N$4&amp;N$5, LS_previous!$D$2:$AY$2&amp;LS_previous!$D$3:$AY$3, 0)),SUM(VLOOKUP($A86, LS_previous!$B$4:$AY$138, LS_previous!F$149, FALSE), VLOOKUP('Staging Table'!$A86, LS_previous!$B$4:$AY$138,LS_previous!AD$149, FALSE))/2)</f>
        <v>1329.2587889720671</v>
      </c>
      <c r="O86" s="382">
        <f t="array" ref="O86">IF($G86=0, INDEX(LS_previous!$D$4:$AY$138, MATCH('Staging Table'!$A86, LS_previous!$B$4:$B$138, 0), MATCH(O$4&amp;O$5, LS_previous!$D$2:$AY$2&amp;LS_previous!$D$3:$AY$3, 0)),SUM(VLOOKUP($A86, LS_previous!$B$4:$AY$138, LS_previous!G$149, FALSE), VLOOKUP('Staging Table'!$A86, LS_previous!$B$4:$AY$138,LS_previous!AE$149, FALSE))/2)</f>
        <v>2917.1974304294563</v>
      </c>
      <c r="P86" s="382">
        <f t="array" ref="P86">IF($G86=0, INDEX(LS_previous!$D$4:$AY$138, MATCH('Staging Table'!$A86, LS_previous!$B$4:$B$138, 0), MATCH(P$4&amp;P$5, LS_previous!$D$2:$AY$2&amp;LS_previous!$D$3:$AY$3, 0)),SUM(VLOOKUP($A86, LS_previous!$B$4:$AY$138, LS_previous!H$149, FALSE), VLOOKUP('Staging Table'!$A86, LS_previous!$B$4:$AY$138,LS_previous!AF$149, FALSE))/2)</f>
        <v>6913.1404904321826</v>
      </c>
      <c r="Q86" s="382">
        <f t="array" ref="Q86">IF($G86=0, INDEX(LS_previous!$D$4:$AY$138, MATCH('Staging Table'!$A86, LS_previous!$B$4:$B$138, 0), MATCH(Q$4&amp;Q$5, LS_previous!$D$2:$AY$2&amp;LS_previous!$D$3:$AY$3, 0)),SUM(VLOOKUP($A86, LS_previous!$B$4:$AY$138, LS_previous!I$149, FALSE), VLOOKUP('Staging Table'!$A86, LS_previous!$B$4:$AY$138,LS_previous!AG$149, FALSE))/2)</f>
        <v>8336.2805836698972</v>
      </c>
      <c r="R86" s="382">
        <f t="array" ref="R86">IF($G86=0, INDEX(LS_previous!$D$4:$AY$138, MATCH('Staging Table'!$A86, LS_previous!$B$4:$B$138, 0), MATCH(R$4&amp;R$5, LS_previous!$D$2:$AY$2&amp;LS_previous!$D$3:$AY$3, 0)),SUM(VLOOKUP($A86, LS_previous!$B$4:$AY$138, LS_previous!J$149, FALSE), VLOOKUP('Staging Table'!$A86, LS_previous!$B$4:$AY$138,LS_previous!AH$149, FALSE))/2)</f>
        <v>14825.739905535804</v>
      </c>
      <c r="S86" s="382">
        <f t="array" ref="S86">IF($G86=0, INDEX(LS_previous!$D$4:$AY$138, MATCH('Staging Table'!$A86, LS_previous!$B$4:$B$138, 0), MATCH(S$4&amp;S$5, LS_previous!$D$2:$AY$2&amp;LS_previous!$D$3:$AY$3, 0)),SUM(VLOOKUP($A86, LS_previous!$B$4:$AY$138, LS_previous!K$149, FALSE), VLOOKUP('Staging Table'!$A86, LS_previous!$B$4:$AY$138,LS_previous!AI$149, FALSE))/2)</f>
        <v>10669.458033667674</v>
      </c>
      <c r="T86" s="382">
        <f t="array" ref="T86">IF($G86=0, INDEX(LS_previous!$D$4:$AY$138, MATCH('Staging Table'!$A86, LS_previous!$B$4:$B$138, 0), MATCH(T$4&amp;T$5, LS_previous!$D$2:$AY$2&amp;LS_previous!$D$3:$AY$3, 0)),SUM(VLOOKUP($A86, LS_previous!$B$4:$AY$138, LS_previous!L$149, FALSE), VLOOKUP('Staging Table'!$A86, LS_previous!$B$4:$AY$138,LS_previous!AJ$149, FALSE))/2)</f>
        <v>11940.998495926651</v>
      </c>
      <c r="U86" s="382">
        <f t="array" ref="U86">IF($G86=0, INDEX(LS_previous!$D$4:$AY$138, MATCH('Staging Table'!$A86, LS_previous!$B$4:$B$138, 0), MATCH(U$4&amp;U$5, LS_previous!$D$2:$AY$2&amp;LS_previous!$D$3:$AY$3, 0)),SUM(VLOOKUP($A86, LS_previous!$B$4:$AY$138, LS_previous!M$149, FALSE), VLOOKUP('Staging Table'!$A86, LS_previous!$B$4:$AY$138,LS_previous!AK$149, FALSE))/2)</f>
        <v>8337.6231694712915</v>
      </c>
      <c r="V86" s="382">
        <f t="array" ref="V86">IF($G86=0, INDEX(LS_previous!$D$4:$AY$138, MATCH('Staging Table'!$A86, LS_previous!$B$4:$B$138, 0), MATCH(V$4&amp;V$5, LS_previous!$D$2:$AY$2&amp;LS_previous!$D$3:$AY$3, 0)),SUM(VLOOKUP($A86, LS_previous!$B$4:$AY$138, LS_previous!N$149, FALSE), VLOOKUP('Staging Table'!$A86, LS_previous!$B$4:$AY$138,LS_previous!AL$149, FALSE))/2)</f>
        <v>5188.9623542773115</v>
      </c>
      <c r="W86" s="382">
        <f t="array" ref="W86">IF($G86=0, INDEX(LS_previous!$D$4:$AY$138, MATCH('Staging Table'!$A86, LS_previous!$B$4:$B$138, 0), MATCH(W$4&amp;W$5, LS_previous!$D$2:$AY$2&amp;LS_previous!$D$3:$AY$3, 0)),SUM(VLOOKUP($A86, LS_previous!$B$4:$AY$138, LS_previous!O$149, FALSE), VLOOKUP('Staging Table'!$A86, LS_previous!$B$4:$AY$138,LS_previous!AM$149, FALSE))/2)</f>
        <v>2659.19458253005</v>
      </c>
      <c r="X86" s="382">
        <f t="array" ref="X86">IF($G86=0, INDEX(LS_previous!$D$4:$AY$138, MATCH('Staging Table'!$A86, LS_previous!$B$4:$B$138, 0), MATCH(X$4&amp;X$5, LS_previous!$D$2:$AY$2&amp;LS_previous!$D$3:$AY$3, 0)),SUM(VLOOKUP($A86, LS_previous!$B$4:$AY$138, LS_previous!P$149, FALSE), VLOOKUP('Staging Table'!$A86, LS_previous!$B$4:$AY$138,LS_previous!AN$149, FALSE))/2)</f>
        <v>5466.6733491901323</v>
      </c>
      <c r="Y86" s="382">
        <f t="array" ref="Y86">IF($G86=0, INDEX(LS_previous!$D$4:$AY$138, MATCH('Staging Table'!$A86, LS_previous!$B$4:$B$138, 0), MATCH(Y$4&amp;Y$5, LS_previous!$D$2:$AY$2&amp;LS_previous!$D$3:$AY$3, 0)),SUM(VLOOKUP($A86, LS_previous!$B$4:$AY$138, LS_previous!Q$149, FALSE), VLOOKUP('Staging Table'!$A86, LS_previous!$B$4:$AY$138,LS_previous!AO$149, FALSE))/2)</f>
        <v>5199.7399224647852</v>
      </c>
      <c r="Z86" s="382">
        <f t="array" ref="Z86">IF($G86=0, INDEX(LS_previous!$D$4:$AY$138, MATCH('Staging Table'!$A86, LS_previous!$B$4:$B$138, 0), MATCH(Z$4&amp;Z$5, LS_previous!$D$2:$AY$2&amp;LS_previous!$D$3:$AY$3, 0)),SUM(VLOOKUP($A86, LS_previous!$B$4:$AY$138, LS_previous!R$149, FALSE), VLOOKUP('Staging Table'!$A86, LS_previous!$B$4:$AY$138,LS_previous!AP$149, FALSE))/2)</f>
        <v>-19574.901626072173</v>
      </c>
      <c r="AA86" s="382">
        <f t="array" ref="AA86">IF($G86=0, INDEX(LS_previous!$D$4:$AY$138, MATCH('Staging Table'!$A86, LS_previous!$B$4:$B$138, 0), MATCH(AA$4&amp;AA$5, LS_previous!$D$2:$AY$2&amp;LS_previous!$D$3:$AY$3, 0)),SUM(VLOOKUP($A86, LS_previous!$B$4:$AY$138, LS_previous!S$149, FALSE), VLOOKUP('Staging Table'!$A86, LS_previous!$B$4:$AY$138,LS_previous!AQ$149, FALSE))/2)</f>
        <v>-8683.2056773500772</v>
      </c>
      <c r="AB86" s="382">
        <f t="array" ref="AB86">IF($G86=0, INDEX(LS_previous!$D$4:$AY$138, MATCH('Staging Table'!$A86, LS_previous!$B$4:$B$138, 0), MATCH(AB$4&amp;AB$5, LS_previous!$D$2:$AY$2&amp;LS_previous!$D$3:$AY$3, 0)),SUM(VLOOKUP($A86, LS_previous!$B$4:$AY$138, LS_previous!T$149, FALSE), VLOOKUP('Staging Table'!$A86, LS_previous!$B$4:$AY$138,LS_previous!AR$149, FALSE))/2)</f>
        <v>-11531.290526535744</v>
      </c>
      <c r="AC86" s="382">
        <f t="array" ref="AC86">IF($G86=0, INDEX(LS_previous!$D$4:$AY$138, MATCH('Staging Table'!$A86, LS_previous!$B$4:$B$138, 0), MATCH(AC$4&amp;AC$5, LS_previous!$D$2:$AY$2&amp;LS_previous!$D$3:$AY$3, 0)),SUM(VLOOKUP($A86, LS_previous!$B$4:$AY$138, LS_previous!U$149, FALSE), VLOOKUP('Staging Table'!$A86, LS_previous!$B$4:$AY$138,LS_previous!AS$149, FALSE))/2)</f>
        <v>-6411.5982220716269</v>
      </c>
      <c r="AD86" s="382">
        <f t="array" ref="AD86">IF($G86=0, INDEX(LS_previous!$D$4:$AY$138, MATCH('Staging Table'!$A86, LS_previous!$B$4:$B$138, 0), MATCH(AD$4&amp;AD$5, LS_previous!$D$2:$AY$2&amp;LS_previous!$D$3:$AY$3, 0)),SUM(VLOOKUP($A86, LS_previous!$B$4:$AY$138, LS_previous!V$149, FALSE), VLOOKUP('Staging Table'!$A86, LS_previous!$B$4:$AY$138,LS_previous!AT$149, FALSE))/2)</f>
        <v>-9980.3395462366461</v>
      </c>
      <c r="AE86" s="382">
        <f t="array" ref="AE86">IF($G86=0, INDEX(LS_previous!$D$4:$AY$138, MATCH('Staging Table'!$A86, LS_previous!$B$4:$B$138, 0), MATCH(AE$4&amp;AE$5, LS_previous!$D$2:$AY$2&amp;LS_previous!$D$3:$AY$3, 0)),SUM(VLOOKUP($A86, LS_previous!$B$4:$AY$138, LS_previous!W$149, FALSE), VLOOKUP('Staging Table'!$A86, LS_previous!$B$4:$AY$138,LS_previous!AU$149, FALSE))/2)</f>
        <v>-1736.9123062061735</v>
      </c>
      <c r="AF86" s="382">
        <f t="array" ref="AF86">IF($G86=0, INDEX(LS_previous!$D$4:$AY$138, MATCH('Staging Table'!$A86, LS_previous!$B$4:$B$138, 0), MATCH(AF$4&amp;AF$5, LS_previous!$D$2:$AY$2&amp;LS_previous!$D$3:$AY$3, 0)),SUM(VLOOKUP($A86, LS_previous!$B$4:$AY$138, LS_previous!X$149, FALSE), VLOOKUP('Staging Table'!$A86, LS_previous!$B$4:$AY$138,LS_previous!AV$149, FALSE))/2)</f>
        <v>-10211.650755285289</v>
      </c>
      <c r="AG86" s="382">
        <f t="array" ref="AG86">IF($G86=0, INDEX(LS_previous!$D$4:$AY$138, MATCH('Staging Table'!$A86, LS_previous!$B$4:$B$138, 0), MATCH(AG$4&amp;AG$5, LS_previous!$D$2:$AY$2&amp;LS_previous!$D$3:$AY$3, 0)),SUM(VLOOKUP($A86, LS_previous!$B$4:$AY$138, LS_previous!Y$149, FALSE), VLOOKUP('Staging Table'!$A86, LS_previous!$B$4:$AY$138,LS_previous!AW$149, FALSE))/2)</f>
        <v>-4252.5926961123405</v>
      </c>
      <c r="AH86" s="382">
        <f t="array" ref="AH86">IF($G86=0, INDEX(LS_previous!$D$4:$AY$138, MATCH('Staging Table'!$A86, LS_previous!$B$4:$B$138, 0), MATCH(AH$4&amp;AH$5, LS_previous!$D$2:$AY$2&amp;LS_previous!$D$3:$AY$3, 0)),SUM(VLOOKUP($A86, LS_previous!$B$4:$AY$138, LS_previous!Z$149, FALSE), VLOOKUP('Staging Table'!$A86, LS_previous!$B$4:$AY$138,LS_previous!AX$149, FALSE))/2)</f>
        <v>-2091.8958206915522</v>
      </c>
      <c r="AI86" s="382">
        <f t="array" ref="AI86">IF($G86=0, INDEX(LS_previous!$D$4:$AY$138, MATCH('Staging Table'!$A86, LS_previous!$B$4:$B$138, 0), MATCH(AI$4&amp;AI$5, LS_previous!$D$2:$AY$2&amp;LS_previous!$D$3:$AY$3, 0)),SUM(VLOOKUP($A86, LS_previous!$B$4:$AY$138, LS_previous!AA$149, FALSE), VLOOKUP('Staging Table'!$A86, LS_previous!$B$4:$AY$138,LS_previous!AY$149, FALSE))/2)</f>
        <v>126.92059474907364</v>
      </c>
      <c r="AJ86" s="384">
        <f t="array" ref="AJ86">INDEX(Demand_previous!$D$4:$AY$138, MATCH('Staging Table'!$A86, Demand_previous!$B$4:$B$138, 0), MATCH(AJ$4&amp;AJ$5,Demand_previous!$D$2:$AY$2&amp;Demand_previous!$D$3:$AY$3, 0))/1000</f>
        <v>8.8241342592592655</v>
      </c>
      <c r="AK86" s="384">
        <f t="array" ref="AK86">INDEX(Demand_previous!$D$4:$AY$138, MATCH('Staging Table'!$A86, Demand_previous!$B$4:$B$138, 0), MATCH(AK$4&amp;AK$5,Demand_previous!$D$2:$AY$2&amp;Demand_previous!$D$3:$AY$3, 0))/1000</f>
        <v>0</v>
      </c>
      <c r="AL86" s="384">
        <f t="array" ref="AL86">INDEX(Demand_previous!$D$4:$AY$138, MATCH('Staging Table'!$A86, Demand_previous!$B$4:$B$138, 0), MATCH(AL$4&amp;AL$5,Demand_previous!$D$2:$AY$2&amp;Demand_previous!$D$3:$AY$3, 0))/1000</f>
        <v>28.503048076923093</v>
      </c>
      <c r="AM86" s="384">
        <f t="array" ref="AM86">INDEX(Demand_previous!$D$4:$AY$138, MATCH('Staging Table'!$A86, Demand_previous!$B$4:$B$138, 0), MATCH(AM$4&amp;AM$5,Demand_previous!$D$2:$AY$2&amp;Demand_previous!$D$3:$AY$3, 0))/1000</f>
        <v>11.780344999999979</v>
      </c>
      <c r="AN86" s="384">
        <f t="array" ref="AN86">INDEX(Demand_previous!$D$4:$AY$138, MATCH('Staging Table'!$A86, Demand_previous!$B$4:$B$138, 0), MATCH(AN$4&amp;AN$5,Demand_previous!$D$2:$AY$2&amp;Demand_previous!$D$3:$AY$3, 0))/1000</f>
        <v>13.94747749999998</v>
      </c>
      <c r="AO86" s="384">
        <f t="array" ref="AO86">INDEX(Demand_previous!$D$4:$AY$138, MATCH('Staging Table'!$A86, Demand_previous!$B$4:$B$138, 0), MATCH(AO$4&amp;AO$5,Demand_previous!$D$2:$AY$2&amp;Demand_previous!$D$3:$AY$3, 0))/1000</f>
        <v>21.358363425925923</v>
      </c>
      <c r="AP86" s="384">
        <f t="array" ref="AP86">INDEX(Demand_previous!$D$4:$AY$138, MATCH('Staging Table'!$A86, Demand_previous!$B$4:$B$138, 0), MATCH(AP$4&amp;AP$5,Demand_previous!$D$2:$AY$2&amp;Demand_previous!$D$3:$AY$3, 0))/1000</f>
        <v>13.659346153846151</v>
      </c>
      <c r="AQ86" s="384">
        <f t="array" ref="AQ86">INDEX(Demand_previous!$D$4:$AY$138, MATCH('Staging Table'!$A86, Demand_previous!$B$4:$B$138, 0), MATCH(AQ$4&amp;AQ$5,Demand_previous!$D$2:$AY$2&amp;Demand_previous!$D$3:$AY$3, 0))/1000</f>
        <v>9.6839025000000092</v>
      </c>
      <c r="AR86" s="384">
        <f t="array" ref="AR86">INDEX(Demand_previous!$D$4:$AY$138, MATCH('Staging Table'!$A86, Demand_previous!$B$4:$B$138, 0), MATCH(AR$4&amp;AR$5,Demand_previous!$D$2:$AY$2&amp;Demand_previous!$D$3:$AY$3, 0))/1000</f>
        <v>2.6376850961538461</v>
      </c>
      <c r="AS86" s="384">
        <f t="array" ref="AS86">INDEX(Demand_previous!$D$4:$AY$138, MATCH('Staging Table'!$A86, Demand_previous!$B$4:$B$138, 0), MATCH(AS$4&amp;AS$5,Demand_previous!$D$2:$AY$2&amp;Demand_previous!$D$3:$AY$3, 0))/1000</f>
        <v>5.7233149999999977</v>
      </c>
      <c r="AT86" s="384">
        <f t="array" ref="AT86">INDEX(Demand_previous!$D$4:$AY$138, MATCH('Staging Table'!$A86, Demand_previous!$B$4:$B$138, 0), MATCH(AT$4&amp;AT$5,Demand_previous!$D$2:$AY$2&amp;Demand_previous!$D$3:$AY$3, 0))/1000</f>
        <v>10.098370370370368</v>
      </c>
      <c r="AU86" s="384">
        <f t="array" ref="AU86">INDEX(Demand_previous!$D$4:$AY$138, MATCH('Staging Table'!$A86, Demand_previous!$B$4:$B$138, 0), MATCH(AU$4&amp;AU$5,Demand_previous!$D$2:$AY$2&amp;Demand_previous!$D$3:$AY$3, 0))/1000</f>
        <v>0</v>
      </c>
      <c r="AV86" s="384">
        <f>IF($D86=0,IF(C86=0, MAX(AY86 - (VLOOKUP($A86,TOCA_previous!$A$2:$AI$137,MATCH("RHWM 2016",TOCA_previous!$A$2:$AI$2,0),FALSE)*$F$2*TOCA_previous!C83),0),0), 0)</f>
        <v>10996.37663647905</v>
      </c>
      <c r="AW86" s="427">
        <f>VLOOKUP($A86,REP_previous!$A$1:$D$135,MATCH("FY "&amp;$F$1&amp; " Total Refund",REP_previous!$A$1:$D$1,0),0)</f>
        <v>986837.82238114288</v>
      </c>
      <c r="AX86" s="398">
        <f>MIN(VLOOKUP($A86,TOCA_previous!$A$2:$AI$137,MATCH("TRL - NLSL - Exisiting Resource "&amp;$F$1,TOCA_previous!$A$2:$AI$2,0),FALSE)*$F$2,(VLOOKUP($A86,TOCA_previous!$A$2:$AI$137,MATCH("RHWM 2016",TOCA_previous!$A$2:$AI$2,0),FALSE)*$F$2))</f>
        <v>695244.81599999999</v>
      </c>
      <c r="AY86" s="384">
        <f>SUM(L86:AI86)+(F86*RT1SC!$C$3*$F$2)</f>
        <v>706241.19263647904</v>
      </c>
      <c r="AZ86" s="398">
        <f>VLOOKUP($A86,TOCA_previous!$A$2:$AI$137,MATCH("Above RHWM Not Served with LS "&amp;$F$1,TOCA_previous!$A$2:$AI$2,0),FALSE)*$F$2</f>
        <v>0</v>
      </c>
      <c r="BA86" s="206">
        <f t="shared" si="19"/>
        <v>10996.37663647905</v>
      </c>
      <c r="BB86" s="399">
        <f>(VLOOKUP($A86,TOCA_previous!$A$2:$AI$137,MATCH("RHWM 2016",TOCA_previous!$A$2:$AI$2,0),FALSE)*$F$2) - $AX86</f>
        <v>0</v>
      </c>
      <c r="BC86" s="206">
        <f t="shared" si="20"/>
        <v>0</v>
      </c>
      <c r="BD86" s="400">
        <f t="shared" si="21"/>
        <v>0</v>
      </c>
      <c r="BE86" s="392">
        <f t="shared" si="22"/>
        <v>0</v>
      </c>
      <c r="BF86" s="399">
        <f t="shared" si="23"/>
        <v>0</v>
      </c>
      <c r="BG86" s="206">
        <f>VLOOKUP($A86,TOCA_current!$A$2:$AI$137,MATCH(BG$4,TOCA_current!$A$2:$AI$2,0),FALSE)</f>
        <v>1.13244E-2</v>
      </c>
      <c r="BH86" s="206">
        <f>VLOOKUP($A86,TOCA_current!$A$2:$AI$137,MATCH(BH$4,TOCA_current!$A$2:$AI$2,0),FALSE)</f>
        <v>1.13244E-2</v>
      </c>
      <c r="BI86" s="391">
        <f t="shared" si="24"/>
        <v>0</v>
      </c>
      <c r="BJ86" s="206">
        <f>VLOOKUP($A86,TOCA_current!A82:BG217,MATCH(BJ$4,TOCA_current!$A$2:$BG$2,0),FALSE)</f>
        <v>5.1255626478142559E-2</v>
      </c>
      <c r="BK86" s="206">
        <f t="shared" si="25"/>
        <v>0</v>
      </c>
      <c r="BL86" s="206">
        <f t="shared" si="26"/>
        <v>0</v>
      </c>
      <c r="BM86" s="381">
        <f>VLOOKUP($A86,IRD!$A$4:$G$139, 7, FALSE)</f>
        <v>0</v>
      </c>
      <c r="BN86" s="382">
        <f t="array" ref="BN86">IF($BI86=0, INDEX(LS_current!$D$4:$AY$139, MATCH('Staging Table'!$A86, LS_current!$B$4:$B$139, 0), MATCH(BN$4&amp;BN$5, LS_current!$D$2:$AY$2&amp;LS_current!$D$3:$AY$3, 0)),SUM(VLOOKUP($A86, LS_current!$B$4:$AY$139, LS_current!D$149, FALSE), VLOOKUP($A86, LS_current!$B$4:$AY$139,LS_current!D$149, FALSE))/2)</f>
        <v>-1177.6951993114271</v>
      </c>
      <c r="BO86" s="382">
        <f t="array" ref="BO86">IF($BI86=0, INDEX(LS_current!$D$4:$AY$139, MATCH('Staging Table'!$A86, LS_current!$B$4:$B$139, 0), MATCH(BO$4&amp;BO$5, LS_current!$D$2:$AY$2&amp;LS_current!$D$3:$AY$3, 0)),SUM(VLOOKUP($A86, LS_current!$B$4:$AY$139, LS_current!E$149, FALSE), VLOOKUP($A86, LS_current!$B$4:$AY$139,LS_current!E$149, FALSE))/2)</f>
        <v>2137.5358429077714</v>
      </c>
      <c r="BP86" s="382">
        <f t="array" ref="BP86">IF($BI86=0, INDEX(LS_current!$D$4:$AY$139, MATCH('Staging Table'!$A86, LS_current!$B$4:$B$139, 0), MATCH(BP$4&amp;BP$5, LS_current!$D$2:$AY$2&amp;LS_current!$D$3:$AY$3, 0)),SUM(VLOOKUP($A86, LS_current!$B$4:$AY$139, LS_current!F$149, FALSE), VLOOKUP($A86, LS_current!$B$4:$AY$139,LS_current!F$149, FALSE))/2)</f>
        <v>-270.75984023753699</v>
      </c>
      <c r="BQ86" s="382">
        <f t="array" ref="BQ86">IF($BI86=0, INDEX(LS_current!$D$4:$AY$139, MATCH('Staging Table'!$A86, LS_current!$B$4:$B$139, 0), MATCH(BQ$4&amp;BQ$5, LS_current!$D$2:$AY$2&amp;LS_current!$D$3:$AY$3, 0)),SUM(VLOOKUP($A86, LS_current!$B$4:$AY$139, LS_current!G$149, FALSE), VLOOKUP($A86, LS_current!$B$4:$AY$139,LS_current!G$149, FALSE))/2)</f>
        <v>2525.4904184461193</v>
      </c>
      <c r="BR86" s="382">
        <f t="array" ref="BR86">IF($BI86=0, INDEX(LS_current!$D$4:$AY$139, MATCH('Staging Table'!$A86, LS_current!$B$4:$B$139, 0), MATCH(BR$4&amp;BR$5, LS_current!$D$2:$AY$2&amp;LS_current!$D$3:$AY$3, 0)),SUM(VLOOKUP($A86, LS_current!$B$4:$AY$139, LS_current!H$149, FALSE), VLOOKUP($A86, LS_current!$B$4:$AY$139,LS_current!H$149, FALSE))/2)</f>
        <v>4856.0386456061606</v>
      </c>
      <c r="BS86" s="382">
        <f t="array" ref="BS86">IF($BI86=0, INDEX(LS_current!$D$4:$AY$139, MATCH('Staging Table'!$A86, LS_current!$B$4:$B$139, 0), MATCH(BS$4&amp;BS$5, LS_current!$D$2:$AY$2&amp;LS_current!$D$3:$AY$3, 0)),SUM(VLOOKUP($A86, LS_current!$B$4:$AY$139, LS_current!I$149, FALSE), VLOOKUP($A86, LS_current!$B$4:$AY$139,LS_current!I$149, FALSE))/2)</f>
        <v>7447.8098721708302</v>
      </c>
      <c r="BT86" s="382">
        <f t="array" ref="BT86">IF($BI86=0, INDEX(LS_current!$D$4:$AY$139, MATCH('Staging Table'!$A86, LS_current!$B$4:$B$139, 0), MATCH(BT$4&amp;BT$5, LS_current!$D$2:$AY$2&amp;LS_current!$D$3:$AY$3, 0)),SUM(VLOOKUP($A86, LS_current!$B$4:$AY$139, LS_current!J$149, FALSE), VLOOKUP($A86, LS_current!$B$4:$AY$139,LS_current!J$149, FALSE))/2)</f>
        <v>13651.266571876513</v>
      </c>
      <c r="BU86" s="382">
        <f t="array" ref="BU86">IF($BI86=0, INDEX(LS_current!$D$4:$AY$139, MATCH('Staging Table'!$A86, LS_current!$B$4:$B$139, 0), MATCH(BU$4&amp;BU$5, LS_current!$D$2:$AY$2&amp;LS_current!$D$3:$AY$3, 0)),SUM(VLOOKUP($A86, LS_current!$B$4:$AY$139, LS_current!K$149, FALSE), VLOOKUP($A86, LS_current!$B$4:$AY$139,LS_current!K$149, FALSE))/2)</f>
        <v>9958.4091700455901</v>
      </c>
      <c r="BV86" s="382">
        <f t="array" ref="BV86">IF($BI86=0, INDEX(LS_current!$D$4:$AY$139, MATCH('Staging Table'!$A86, LS_current!$B$4:$B$139, 0), MATCH(BV$4&amp;BV$5, LS_current!$D$2:$AY$2&amp;LS_current!$D$3:$AY$3, 0)),SUM(VLOOKUP($A86, LS_current!$B$4:$AY$139, LS_current!L$149, FALSE), VLOOKUP($A86, LS_current!$B$4:$AY$139,LS_current!L$149, FALSE))/2)</f>
        <v>13561.643510230311</v>
      </c>
      <c r="BW86" s="382">
        <f t="array" ref="BW86">IF($BI86=0, INDEX(LS_current!$D$4:$AY$139, MATCH('Staging Table'!$A86, LS_current!$B$4:$B$139, 0), MATCH(BW$4&amp;BW$5, LS_current!$D$2:$AY$2&amp;LS_current!$D$3:$AY$3, 0)),SUM(VLOOKUP($A86, LS_current!$B$4:$AY$139, LS_current!M$149, FALSE), VLOOKUP($A86, LS_current!$B$4:$AY$139,LS_current!M$149, FALSE))/2)</f>
        <v>9635.4928826633295</v>
      </c>
      <c r="BX86" s="382">
        <f t="array" ref="BX86">IF($BI86=0, INDEX(LS_current!$D$4:$AY$139, MATCH('Staging Table'!$A86, LS_current!$B$4:$B$139, 0), MATCH(BX$4&amp;BX$5, LS_current!$D$2:$AY$2&amp;LS_current!$D$3:$AY$3, 0)),SUM(VLOOKUP($A86, LS_current!$B$4:$AY$139, LS_current!N$149, FALSE), VLOOKUP($A86, LS_current!$B$4:$AY$139,LS_current!N$149, FALSE))/2)</f>
        <v>6196.9467694945124</v>
      </c>
      <c r="BY86" s="382">
        <f t="array" ref="BY86">IF($BI86=0, INDEX(LS_current!$D$4:$AY$139, MATCH('Staging Table'!$A86, LS_current!$B$4:$B$139, 0), MATCH(BY$4&amp;BY$5, LS_current!$D$2:$AY$2&amp;LS_current!$D$3:$AY$3, 0)),SUM(VLOOKUP($A86, LS_current!$B$4:$AY$139, LS_current!O$149, FALSE), VLOOKUP($A86, LS_current!$B$4:$AY$139,LS_current!O$149, FALSE))/2)</f>
        <v>4109.6676280782121</v>
      </c>
      <c r="BZ86" s="382">
        <f t="array" ref="BZ86">IF($BI86=0, INDEX(LS_current!$D$4:$AY$139, MATCH('Staging Table'!$A86, LS_current!$B$4:$B$139, 0), MATCH(BZ$4&amp;BZ$5, LS_current!$D$2:$AY$2&amp;LS_current!$D$3:$AY$3, 0)),SUM(VLOOKUP($A86, LS_current!$B$4:$AY$139, LS_current!P$149, FALSE), VLOOKUP($A86, LS_current!$B$4:$AY$139,LS_current!P$149, FALSE))/2)</f>
        <v>1259.4602850270967</v>
      </c>
      <c r="CA86" s="382">
        <f t="array" ref="CA86">IF($BI86=0, INDEX(LS_current!$D$4:$AY$139, MATCH('Staging Table'!$A86, LS_current!$B$4:$B$139, 0), MATCH(CA$4&amp;CA$5, LS_current!$D$2:$AY$2&amp;LS_current!$D$3:$AY$3, 0)),SUM(VLOOKUP($A86, LS_current!$B$4:$AY$139, LS_current!Q$149, FALSE), VLOOKUP($A86, LS_current!$B$4:$AY$139,LS_current!Q$149, FALSE))/2)</f>
        <v>4335.0836916832704</v>
      </c>
      <c r="CB86" s="382">
        <f t="array" ref="CB86">IF($BI86=0, INDEX(LS_current!$D$4:$AY$139, MATCH('Staging Table'!$A86, LS_current!$B$4:$B$139, 0), MATCH(CB$4&amp;CB$5, LS_current!$D$2:$AY$2&amp;LS_current!$D$3:$AY$3, 0)),SUM(VLOOKUP($A86, LS_current!$B$4:$AY$139, LS_current!R$149, FALSE), VLOOKUP($A86, LS_current!$B$4:$AY$139,LS_current!R$149, FALSE))/2)</f>
        <v>-19926.380264542644</v>
      </c>
      <c r="CC86" s="382">
        <f t="array" ref="CC86">IF($BI86=0, INDEX(LS_current!$D$4:$AY$139, MATCH('Staging Table'!$A86, LS_current!$B$4:$B$139, 0), MATCH(CC$4&amp;CC$5, LS_current!$D$2:$AY$2&amp;LS_current!$D$3:$AY$3, 0)),SUM(VLOOKUP($A86, LS_current!$B$4:$AY$139, LS_current!S$149, FALSE), VLOOKUP($A86, LS_current!$B$4:$AY$139,LS_current!S$149, FALSE))/2)</f>
        <v>-9728.7250015209502</v>
      </c>
      <c r="CD86" s="382">
        <f t="array" ref="CD86">IF($BI86=0, INDEX(LS_current!$D$4:$AY$139, MATCH('Staging Table'!$A86, LS_current!$B$4:$B$139, 0), MATCH(CD$4&amp;CD$5, LS_current!$D$2:$AY$2&amp;LS_current!$D$3:$AY$3, 0)),SUM(VLOOKUP($A86, LS_current!$B$4:$AY$139, LS_current!T$149, FALSE), VLOOKUP($A86, LS_current!$B$4:$AY$139,LS_current!T$149, FALSE))/2)</f>
        <v>-12134.191632941922</v>
      </c>
      <c r="CE86" s="382">
        <f t="array" ref="CE86">IF($BI86=0, INDEX(LS_current!$D$4:$AY$139, MATCH('Staging Table'!$A86, LS_current!$B$4:$B$139, 0), MATCH(CE$4&amp;CE$5, LS_current!$D$2:$AY$2&amp;LS_current!$D$3:$AY$3, 0)),SUM(VLOOKUP($A86, LS_current!$B$4:$AY$139, LS_current!U$149, FALSE), VLOOKUP($A86, LS_current!$B$4:$AY$139,LS_current!U$149, FALSE))/2)</f>
        <v>-5423.5244545101195</v>
      </c>
      <c r="CF86" s="382">
        <f t="array" ref="CF86">IF($BI86=0, INDEX(LS_current!$D$4:$AY$139, MATCH('Staging Table'!$A86, LS_current!$B$4:$B$139, 0), MATCH(CF$4&amp;CF$5, LS_current!$D$2:$AY$2&amp;LS_current!$D$3:$AY$3, 0)),SUM(VLOOKUP($A86, LS_current!$B$4:$AY$139, LS_current!V$149, FALSE), VLOOKUP($A86, LS_current!$B$4:$AY$139,LS_current!V$149, FALSE))/2)</f>
        <v>-8507.9606856717801</v>
      </c>
      <c r="CG86" s="382">
        <f t="array" ref="CG86">IF($BI86=0, INDEX(LS_current!$D$4:$AY$139, MATCH('Staging Table'!$A86, LS_current!$B$4:$B$139, 0), MATCH(CG$4&amp;CG$5, LS_current!$D$2:$AY$2&amp;LS_current!$D$3:$AY$3, 0)),SUM(VLOOKUP($A86, LS_current!$B$4:$AY$139, LS_current!W$149, FALSE), VLOOKUP($A86, LS_current!$B$4:$AY$139,LS_current!W$149, FALSE))/2)</f>
        <v>-1015.6704387243553</v>
      </c>
      <c r="CH86" s="382">
        <f t="array" ref="CH86">IF($BI86=0, INDEX(LS_current!$D$4:$AY$139, MATCH('Staging Table'!$A86, LS_current!$B$4:$B$139, 0), MATCH(CH$4&amp;CH$5, LS_current!$D$2:$AY$2&amp;LS_current!$D$3:$AY$3, 0)),SUM(VLOOKUP($A86, LS_current!$B$4:$AY$139, LS_current!X$149, FALSE), VLOOKUP($A86, LS_current!$B$4:$AY$139,LS_current!X$149, FALSE))/2)</f>
        <v>-10832.723260161212</v>
      </c>
      <c r="CI86" s="382">
        <f t="array" ref="CI86">IF($BI86=0, INDEX(LS_current!$D$4:$AY$139, MATCH('Staging Table'!$A86, LS_current!$B$4:$B$139, 0), MATCH(CI$4&amp;CI$5, LS_current!$D$2:$AY$2&amp;LS_current!$D$3:$AY$3, 0)),SUM(VLOOKUP($A86, LS_current!$B$4:$AY$139, LS_current!Y$149, FALSE), VLOOKUP($A86, LS_current!$B$4:$AY$139,LS_current!Y$149, FALSE))/2)</f>
        <v>-4221.5036000202927</v>
      </c>
      <c r="CJ86" s="382">
        <f t="array" ref="CJ86">IF($BI86=0, INDEX(LS_current!$D$4:$AY$139, MATCH('Staging Table'!$A86, LS_current!$B$4:$B$139, 0), MATCH(CJ$4&amp;CJ$5, LS_current!$D$2:$AY$2&amp;LS_current!$D$3:$AY$3, 0)),SUM(VLOOKUP($A86, LS_current!$B$4:$AY$139, LS_current!Z$149, FALSE), VLOOKUP($A86, LS_current!$B$4:$AY$139,LS_current!Z$149, FALSE))/2)</f>
        <v>-5972.1069589544277</v>
      </c>
      <c r="CK86" s="382">
        <f t="array" ref="CK86">IF($BI86=0, INDEX(LS_current!$D$4:$AY$139, MATCH('Staging Table'!$A86, LS_current!$B$4:$B$139, 0), MATCH(CK$4&amp;CK$5, LS_current!$D$2:$AY$2&amp;LS_current!$D$3:$AY$3, 0)),SUM(VLOOKUP($A86, LS_current!$B$4:$AY$139, LS_current!AA$149, FALSE), VLOOKUP($A86, LS_current!$B$4:$AY$139,LS_current!AA$149, FALSE))/2)</f>
        <v>-464.23791200654887</v>
      </c>
      <c r="CL86" s="384">
        <f t="array" ref="CL86">INDEX(Demand_current!$D$4:$AY$138, MATCH($A86, Demand_current!$B$4:$B$138, 0), MATCH(CL$4&amp;CL$5,Demand_current!$D$2:$AY$2&amp;Demand_current!$D$3:$AY$3, 0))/1000</f>
        <v>5.7654855769230835</v>
      </c>
      <c r="CM86" s="384">
        <f t="array" ref="CM86">INDEX(Demand_current!$D$4:$AY$138, MATCH($A86, Demand_current!$B$4:$B$138, 0), MATCH(CM$4&amp;CM$5,Demand_current!$D$2:$AY$2&amp;Demand_current!$D$3:$AY$3, 0))/1000</f>
        <v>0</v>
      </c>
      <c r="CN86" s="384">
        <f t="array" ref="CN86">INDEX(Demand_current!$D$4:$AY$138, MATCH($A86, Demand_current!$B$4:$B$138, 0), MATCH(CN$4&amp;CN$5,Demand_current!$D$2:$AY$2&amp;Demand_current!$D$3:$AY$3, 0))/1000</f>
        <v>24.043770000000023</v>
      </c>
      <c r="CO86" s="384">
        <f t="array" ref="CO86">INDEX(Demand_current!$D$4:$AY$138, MATCH($A86, Demand_current!$B$4:$B$138, 0), MATCH(CO$4&amp;CO$5,Demand_current!$D$2:$AY$2&amp;Demand_current!$D$3:$AY$3, 0))/1000</f>
        <v>16.487677884615362</v>
      </c>
      <c r="CP86" s="384">
        <f t="array" ref="CP86">INDEX(Demand_current!$D$4:$AY$138, MATCH($A86, Demand_current!$B$4:$B$138, 0), MATCH(CP$4&amp;CP$5,Demand_current!$D$2:$AY$2&amp;Demand_current!$D$3:$AY$3, 0))/1000</f>
        <v>9.4479140624999793</v>
      </c>
      <c r="CQ86" s="384">
        <f t="array" ref="CQ86">INDEX(Demand_current!$D$4:$AY$138, MATCH($A86, Demand_current!$B$4:$B$138, 0), MATCH(CQ$4&amp;CQ$5,Demand_current!$D$2:$AY$2&amp;Demand_current!$D$3:$AY$3, 0))/1000</f>
        <v>21.358363425925923</v>
      </c>
      <c r="CR86" s="384">
        <f t="array" ref="CR86">INDEX(Demand_current!$D$4:$AY$138, MATCH($A86, Demand_current!$B$4:$B$138, 0), MATCH(CR$4&amp;CR$5,Demand_current!$D$2:$AY$2&amp;Demand_current!$D$3:$AY$3, 0))/1000</f>
        <v>10.244199999999999</v>
      </c>
      <c r="CS86" s="384">
        <f t="array" ref="CS86">INDEX(Demand_current!$D$4:$AY$138, MATCH($A86, Demand_current!$B$4:$B$138, 0), MATCH(CS$4&amp;CS$5,Demand_current!$D$2:$AY$2&amp;Demand_current!$D$3:$AY$3, 0))/1000</f>
        <v>12.541752403846168</v>
      </c>
      <c r="CT86" s="384">
        <f t="array" ref="CT86">INDEX(Demand_current!$D$4:$AY$138, MATCH($A86, Demand_current!$B$4:$B$138, 0), MATCH(CT$4&amp;CT$5,Demand_current!$D$2:$AY$2&amp;Demand_current!$D$3:$AY$3, 0))/1000</f>
        <v>2.6376850961538461</v>
      </c>
      <c r="CU86" s="384">
        <f t="array" ref="CU86">INDEX(Demand_current!$D$4:$AY$138, MATCH($A86, Demand_current!$B$4:$B$138, 0), MATCH(CU$4&amp;CU$5,Demand_current!$D$2:$AY$2&amp;Demand_current!$D$3:$AY$3, 0))/1000</f>
        <v>5.7233149999999977</v>
      </c>
      <c r="CV86" s="384">
        <f t="array" ref="CV86">INDEX(Demand_current!$D$4:$AY$138, MATCH($A86, Demand_current!$B$4:$B$138, 0), MATCH(CV$4&amp;CV$5,Demand_current!$D$2:$AY$2&amp;Demand_current!$D$3:$AY$3, 0))/1000</f>
        <v>10.098370370370368</v>
      </c>
      <c r="CW86" s="384">
        <f t="array" ref="CW86">INDEX(Demand_current!$D$4:$AY$138, MATCH($A86, Demand_current!$B$4:$B$138, 0), MATCH(CW$4&amp;CW$5,Demand_current!$D$2:$AY$2&amp;Demand_current!$D$3:$AY$3, 0))/1000</f>
        <v>0</v>
      </c>
      <c r="CX86" s="384">
        <f>IF(D86=0,IF(C86=0,MAX(0,DA86 - (VLOOKUP($A86,TOCA_current!$A$2:$AI$137,MATCH("RHWM 2018",TOCA_current!$A$2:$AI$2,0),FALSE)*$BH$2)), 0),0)</f>
        <v>1.2410510504851118</v>
      </c>
      <c r="CY86" s="427">
        <f>VLOOKUP($A86,REP_current!$A$1:$D$135,MATCH("FY "&amp;$BH$1&amp; " Total Refund",REP_current!$A$1:$D$1,0),0)</f>
        <v>993325.82931685599</v>
      </c>
      <c r="CZ86" s="432">
        <f>MIN(VLOOKUP($A86,TOCA_current!$A$2:$AI$137,MATCH("TRL - NLSL - Existing Resource "&amp;$BH$1,TOCA_current!$A$2:$AI$2,0),FALSE)*$BH$2, VLOOKUP($A86,TOCA_current!$A$2:$AI$137,MATCH("RHWM 2018",TOCA_current!$A$2:$AI$2,0),FALSE)*$BH$2)</f>
        <v>688938.96</v>
      </c>
      <c r="DA86" s="397">
        <f>SUM(BN86:CK86)+(BH86*RT1SC!$C$4*$BH$2)</f>
        <v>688940.20105105045</v>
      </c>
      <c r="DB86" s="432">
        <f>VLOOKUP($A86,TOCA_current!$A$2:$AI$137,MATCH("Above RHWM Not Served with LS "&amp;$BH$1,TOCA_current!$A$2:$AI$2,0),FALSE)*$BH$2</f>
        <v>17301</v>
      </c>
      <c r="DC86" s="401">
        <f t="shared" si="27"/>
        <v>1.2410510504851118</v>
      </c>
      <c r="DD86" s="397">
        <f>(VLOOKUP($A86,TOCA_current!$A$2:$AI$137,MATCH("RHWM 2018",TOCA_current!$A$2:$AI$2,0),FALSE)*$BH$2) - $CZ86</f>
        <v>0</v>
      </c>
      <c r="DE86" s="397">
        <f t="shared" si="28"/>
        <v>0</v>
      </c>
      <c r="DF86" s="397">
        <f t="shared" si="29"/>
        <v>0</v>
      </c>
      <c r="DG86" s="397">
        <f t="shared" si="30"/>
        <v>0</v>
      </c>
      <c r="DH86" s="397">
        <f t="shared" si="31"/>
        <v>0</v>
      </c>
    </row>
    <row r="87" spans="1:112">
      <c r="A87" s="274">
        <v>10256</v>
      </c>
      <c r="B87" s="275" t="s">
        <v>88</v>
      </c>
      <c r="C87" s="397">
        <v>0</v>
      </c>
      <c r="D87" s="397">
        <v>0</v>
      </c>
      <c r="E87" s="205">
        <f>VLOOKUP($A87,TOCA_previous!$A$2:$AI$137,MATCH(E$4,TOCA_previous!$A$2:$AI$2,0),FALSE)</f>
        <v>6.5059999999999996E-3</v>
      </c>
      <c r="F87" s="206">
        <f>VLOOKUP($A87,TOCA_previous!$A$2:$AI$137,MATCH(F$4,TOCA_previous!$A$2:$AI$2,0),FALSE)</f>
        <v>6.5059999999999996E-3</v>
      </c>
      <c r="G87" s="206">
        <f t="shared" si="16"/>
        <v>0</v>
      </c>
      <c r="H87" s="206">
        <f>VLOOKUP($A87,TOCA_previous!$A$2:$AI$137,MATCH(H$4,TOCA_previous!$A$2:$AI$2,0),FALSE)</f>
        <v>6.5000000000000002E-2</v>
      </c>
      <c r="I87" s="206">
        <f t="shared" si="17"/>
        <v>0</v>
      </c>
      <c r="J87" s="206">
        <f t="shared" si="18"/>
        <v>0</v>
      </c>
      <c r="K87" s="381">
        <f>VLOOKUP(A87, IRD!$A$5:$C$139, 3, FALSE)</f>
        <v>41489.314000000006</v>
      </c>
      <c r="L87" s="382">
        <f t="array" ref="L87">IF($G87=0, INDEX(LS_previous!$D$4:$AY$138, MATCH('Staging Table'!$A87, LS_previous!$B$4:$B$138, 0), MATCH(L$4&amp;L$5, LS_previous!$D$2:$AY$2&amp;LS_previous!$D$3:$AY$3, 0)),SUM(VLOOKUP($A87, LS_previous!$B$4:$AY$138, LS_previous!D$149, FALSE), VLOOKUP('Staging Table'!$A87, LS_previous!$B$4:$AY$138,LS_previous!AB$149, FALSE))/2)</f>
        <v>-3348.7751266251253</v>
      </c>
      <c r="M87" s="382">
        <f t="array" ref="M87">IF($G87=0, INDEX(LS_previous!$D$4:$AY$138, MATCH('Staging Table'!$A87, LS_previous!$B$4:$B$138, 0), MATCH(M$4&amp;M$5, LS_previous!$D$2:$AY$2&amp;LS_previous!$D$3:$AY$3, 0)),SUM(VLOOKUP($A87, LS_previous!$B$4:$AY$138, LS_previous!E$149, FALSE), VLOOKUP('Staging Table'!$A87, LS_previous!$B$4:$AY$138,LS_previous!AC$149, FALSE))/2)</f>
        <v>-1070.4832437540026</v>
      </c>
      <c r="N87" s="382">
        <f t="array" ref="N87">IF($G87=0, INDEX(LS_previous!$D$4:$AY$138, MATCH('Staging Table'!$A87, LS_previous!$B$4:$B$138, 0), MATCH(N$4&amp;N$5, LS_previous!$D$2:$AY$2&amp;LS_previous!$D$3:$AY$3, 0)),SUM(VLOOKUP($A87, LS_previous!$B$4:$AY$138, LS_previous!F$149, FALSE), VLOOKUP('Staging Table'!$A87, LS_previous!$B$4:$AY$138,LS_previous!AD$149, FALSE))/2)</f>
        <v>-3724.5613991872306</v>
      </c>
      <c r="O87" s="382">
        <f t="array" ref="O87">IF($G87=0, INDEX(LS_previous!$D$4:$AY$138, MATCH('Staging Table'!$A87, LS_previous!$B$4:$B$138, 0), MATCH(O$4&amp;O$5, LS_previous!$D$2:$AY$2&amp;LS_previous!$D$3:$AY$3, 0)),SUM(VLOOKUP($A87, LS_previous!$B$4:$AY$138, LS_previous!G$149, FALSE), VLOOKUP('Staging Table'!$A87, LS_previous!$B$4:$AY$138,LS_previous!AE$149, FALSE))/2)</f>
        <v>708.13738364395431</v>
      </c>
      <c r="P87" s="382">
        <f t="array" ref="P87">IF($G87=0, INDEX(LS_previous!$D$4:$AY$138, MATCH('Staging Table'!$A87, LS_previous!$B$4:$B$138, 0), MATCH(P$4&amp;P$5, LS_previous!$D$2:$AY$2&amp;LS_previous!$D$3:$AY$3, 0)),SUM(VLOOKUP($A87, LS_previous!$B$4:$AY$138, LS_previous!H$149, FALSE), VLOOKUP('Staging Table'!$A87, LS_previous!$B$4:$AY$138,LS_previous!AF$149, FALSE))/2)</f>
        <v>2774.2794590937119</v>
      </c>
      <c r="Q87" s="382">
        <f t="array" ref="Q87">IF($G87=0, INDEX(LS_previous!$D$4:$AY$138, MATCH('Staging Table'!$A87, LS_previous!$B$4:$B$138, 0), MATCH(Q$4&amp;Q$5, LS_previous!$D$2:$AY$2&amp;LS_previous!$D$3:$AY$3, 0)),SUM(VLOOKUP($A87, LS_previous!$B$4:$AY$138, LS_previous!I$149, FALSE), VLOOKUP('Staging Table'!$A87, LS_previous!$B$4:$AY$138,LS_previous!AG$149, FALSE))/2)</f>
        <v>4194.0954544180859</v>
      </c>
      <c r="R87" s="382">
        <f t="array" ref="R87">IF($G87=0, INDEX(LS_previous!$D$4:$AY$138, MATCH('Staging Table'!$A87, LS_previous!$B$4:$B$138, 0), MATCH(R$4&amp;R$5, LS_previous!$D$2:$AY$2&amp;LS_previous!$D$3:$AY$3, 0)),SUM(VLOOKUP($A87, LS_previous!$B$4:$AY$138, LS_previous!J$149, FALSE), VLOOKUP('Staging Table'!$A87, LS_previous!$B$4:$AY$138,LS_previous!AH$149, FALSE))/2)</f>
        <v>3135.4547449724669</v>
      </c>
      <c r="S87" s="382">
        <f t="array" ref="S87">IF($G87=0, INDEX(LS_previous!$D$4:$AY$138, MATCH('Staging Table'!$A87, LS_previous!$B$4:$B$138, 0), MATCH(S$4&amp;S$5, LS_previous!$D$2:$AY$2&amp;LS_previous!$D$3:$AY$3, 0)),SUM(VLOOKUP($A87, LS_previous!$B$4:$AY$138, LS_previous!K$149, FALSE), VLOOKUP('Staging Table'!$A87, LS_previous!$B$4:$AY$138,LS_previous!AI$149, FALSE))/2)</f>
        <v>4840.0576471486675</v>
      </c>
      <c r="T87" s="382">
        <f t="array" ref="T87">IF($G87=0, INDEX(LS_previous!$D$4:$AY$138, MATCH('Staging Table'!$A87, LS_previous!$B$4:$B$138, 0), MATCH(T$4&amp;T$5, LS_previous!$D$2:$AY$2&amp;LS_previous!$D$3:$AY$3, 0)),SUM(VLOOKUP($A87, LS_previous!$B$4:$AY$138, LS_previous!L$149, FALSE), VLOOKUP('Staging Table'!$A87, LS_previous!$B$4:$AY$138,LS_previous!AJ$149, FALSE))/2)</f>
        <v>1712.0736640050454</v>
      </c>
      <c r="U87" s="382">
        <f t="array" ref="U87">IF($G87=0, INDEX(LS_previous!$D$4:$AY$138, MATCH('Staging Table'!$A87, LS_previous!$B$4:$B$138, 0), MATCH(U$4&amp;U$5, LS_previous!$D$2:$AY$2&amp;LS_previous!$D$3:$AY$3, 0)),SUM(VLOOKUP($A87, LS_previous!$B$4:$AY$138, LS_previous!M$149, FALSE), VLOOKUP('Staging Table'!$A87, LS_previous!$B$4:$AY$138,LS_previous!AK$149, FALSE))/2)</f>
        <v>2488.3973526062437</v>
      </c>
      <c r="V87" s="382">
        <f t="array" ref="V87">IF($G87=0, INDEX(LS_previous!$D$4:$AY$138, MATCH('Staging Table'!$A87, LS_previous!$B$4:$B$138, 0), MATCH(V$4&amp;V$5, LS_previous!$D$2:$AY$2&amp;LS_previous!$D$3:$AY$3, 0)),SUM(VLOOKUP($A87, LS_previous!$B$4:$AY$138, LS_previous!N$149, FALSE), VLOOKUP('Staging Table'!$A87, LS_previous!$B$4:$AY$138,LS_previous!AL$149, FALSE))/2)</f>
        <v>-1340.5118997275385</v>
      </c>
      <c r="W87" s="382">
        <f t="array" ref="W87">IF($G87=0, INDEX(LS_previous!$D$4:$AY$138, MATCH('Staging Table'!$A87, LS_previous!$B$4:$B$138, 0), MATCH(W$4&amp;W$5, LS_previous!$D$2:$AY$2&amp;LS_previous!$D$3:$AY$3, 0)),SUM(VLOOKUP($A87, LS_previous!$B$4:$AY$138, LS_previous!O$149, FALSE), VLOOKUP('Staging Table'!$A87, LS_previous!$B$4:$AY$138,LS_previous!AM$149, FALSE))/2)</f>
        <v>523.91507428187651</v>
      </c>
      <c r="X87" s="382">
        <f t="array" ref="X87">IF($G87=0, INDEX(LS_previous!$D$4:$AY$138, MATCH('Staging Table'!$A87, LS_previous!$B$4:$B$138, 0), MATCH(X$4&amp;X$5, LS_previous!$D$2:$AY$2&amp;LS_previous!$D$3:$AY$3, 0)),SUM(VLOOKUP($A87, LS_previous!$B$4:$AY$138, LS_previous!P$149, FALSE), VLOOKUP('Staging Table'!$A87, LS_previous!$B$4:$AY$138,LS_previous!AN$149, FALSE))/2)</f>
        <v>53.742905441049516</v>
      </c>
      <c r="Y87" s="382">
        <f t="array" ref="Y87">IF($G87=0, INDEX(LS_previous!$D$4:$AY$138, MATCH('Staging Table'!$A87, LS_previous!$B$4:$B$138, 0), MATCH(Y$4&amp;Y$5, LS_previous!$D$2:$AY$2&amp;LS_previous!$D$3:$AY$3, 0)),SUM(VLOOKUP($A87, LS_previous!$B$4:$AY$138, LS_previous!Q$149, FALSE), VLOOKUP('Staging Table'!$A87, LS_previous!$B$4:$AY$138,LS_previous!AO$149, FALSE))/2)</f>
        <v>729.39329672112217</v>
      </c>
      <c r="Z87" s="382">
        <f t="array" ref="Z87">IF($G87=0, INDEX(LS_previous!$D$4:$AY$138, MATCH('Staging Table'!$A87, LS_previous!$B$4:$B$138, 0), MATCH(Z$4&amp;Z$5, LS_previous!$D$2:$AY$2&amp;LS_previous!$D$3:$AY$3, 0)),SUM(VLOOKUP($A87, LS_previous!$B$4:$AY$138, LS_previous!R$149, FALSE), VLOOKUP('Staging Table'!$A87, LS_previous!$B$4:$AY$138,LS_previous!AP$149, FALSE))/2)</f>
        <v>-9114.770563913884</v>
      </c>
      <c r="AA87" s="382">
        <f t="array" ref="AA87">IF($G87=0, INDEX(LS_previous!$D$4:$AY$138, MATCH('Staging Table'!$A87, LS_previous!$B$4:$B$138, 0), MATCH(AA$4&amp;AA$5, LS_previous!$D$2:$AY$2&amp;LS_previous!$D$3:$AY$3, 0)),SUM(VLOOKUP($A87, LS_previous!$B$4:$AY$138, LS_previous!S$149, FALSE), VLOOKUP('Staging Table'!$A87, LS_previous!$B$4:$AY$138,LS_previous!AQ$149, FALSE))/2)</f>
        <v>-2564.9448320193023</v>
      </c>
      <c r="AB87" s="382">
        <f t="array" ref="AB87">IF($G87=0, INDEX(LS_previous!$D$4:$AY$138, MATCH('Staging Table'!$A87, LS_previous!$B$4:$B$138, 0), MATCH(AB$4&amp;AB$5, LS_previous!$D$2:$AY$2&amp;LS_previous!$D$3:$AY$3, 0)),SUM(VLOOKUP($A87, LS_previous!$B$4:$AY$138, LS_previous!T$149, FALSE), VLOOKUP('Staging Table'!$A87, LS_previous!$B$4:$AY$138,LS_previous!AR$149, FALSE))/2)</f>
        <v>-3397.3824503495125</v>
      </c>
      <c r="AC87" s="382">
        <f t="array" ref="AC87">IF($G87=0, INDEX(LS_previous!$D$4:$AY$138, MATCH('Staging Table'!$A87, LS_previous!$B$4:$B$138, 0), MATCH(AC$4&amp;AC$5, LS_previous!$D$2:$AY$2&amp;LS_previous!$D$3:$AY$3, 0)),SUM(VLOOKUP($A87, LS_previous!$B$4:$AY$138, LS_previous!U$149, FALSE), VLOOKUP('Staging Table'!$A87, LS_previous!$B$4:$AY$138,LS_previous!AS$149, FALSE))/2)</f>
        <v>-964.87093651168107</v>
      </c>
      <c r="AD87" s="382">
        <f t="array" ref="AD87">IF($G87=0, INDEX(LS_previous!$D$4:$AY$138, MATCH('Staging Table'!$A87, LS_previous!$B$4:$B$138, 0), MATCH(AD$4&amp;AD$5, LS_previous!$D$2:$AY$2&amp;LS_previous!$D$3:$AY$3, 0)),SUM(VLOOKUP($A87, LS_previous!$B$4:$AY$138, LS_previous!V$149, FALSE), VLOOKUP('Staging Table'!$A87, LS_previous!$B$4:$AY$138,LS_previous!AT$149, FALSE))/2)</f>
        <v>-926.56409378667013</v>
      </c>
      <c r="AE87" s="382">
        <f t="array" ref="AE87">IF($G87=0, INDEX(LS_previous!$D$4:$AY$138, MATCH('Staging Table'!$A87, LS_previous!$B$4:$B$138, 0), MATCH(AE$4&amp;AE$5, LS_previous!$D$2:$AY$2&amp;LS_previous!$D$3:$AY$3, 0)),SUM(VLOOKUP($A87, LS_previous!$B$4:$AY$138, LS_previous!W$149, FALSE), VLOOKUP('Staging Table'!$A87, LS_previous!$B$4:$AY$138,LS_previous!AU$149, FALSE))/2)</f>
        <v>2518.2445394041715</v>
      </c>
      <c r="AF87" s="382">
        <f t="array" ref="AF87">IF($G87=0, INDEX(LS_previous!$D$4:$AY$138, MATCH('Staging Table'!$A87, LS_previous!$B$4:$B$138, 0), MATCH(AF$4&amp;AF$5, LS_previous!$D$2:$AY$2&amp;LS_previous!$D$3:$AY$3, 0)),SUM(VLOOKUP($A87, LS_previous!$B$4:$AY$138, LS_previous!X$149, FALSE), VLOOKUP('Staging Table'!$A87, LS_previous!$B$4:$AY$138,LS_previous!AV$149, FALSE))/2)</f>
        <v>-3010.3372729642579</v>
      </c>
      <c r="AG87" s="382">
        <f t="array" ref="AG87">IF($G87=0, INDEX(LS_previous!$D$4:$AY$138, MATCH('Staging Table'!$A87, LS_previous!$B$4:$B$138, 0), MATCH(AG$4&amp;AG$5, LS_previous!$D$2:$AY$2&amp;LS_previous!$D$3:$AY$3, 0)),SUM(VLOOKUP($A87, LS_previous!$B$4:$AY$138, LS_previous!Y$149, FALSE), VLOOKUP('Staging Table'!$A87, LS_previous!$B$4:$AY$138,LS_previous!AW$149, FALSE))/2)</f>
        <v>742.65572507526849</v>
      </c>
      <c r="AH87" s="382">
        <f t="array" ref="AH87">IF($G87=0, INDEX(LS_previous!$D$4:$AY$138, MATCH('Staging Table'!$A87, LS_previous!$B$4:$B$138, 0), MATCH(AH$4&amp;AH$5, LS_previous!$D$2:$AY$2&amp;LS_previous!$D$3:$AY$3, 0)),SUM(VLOOKUP($A87, LS_previous!$B$4:$AY$138, LS_previous!Z$149, FALSE), VLOOKUP('Staging Table'!$A87, LS_previous!$B$4:$AY$138,LS_previous!AX$149, FALSE))/2)</f>
        <v>-2028.1122629357724</v>
      </c>
      <c r="AI87" s="382">
        <f t="array" ref="AI87">IF($G87=0, INDEX(LS_previous!$D$4:$AY$138, MATCH('Staging Table'!$A87, LS_previous!$B$4:$B$138, 0), MATCH(AI$4&amp;AI$5, LS_previous!$D$2:$AY$2&amp;LS_previous!$D$3:$AY$3, 0)),SUM(VLOOKUP($A87, LS_previous!$B$4:$AY$138, LS_previous!AA$149, FALSE), VLOOKUP('Staging Table'!$A87, LS_previous!$B$4:$AY$138,LS_previous!AY$149, FALSE))/2)</f>
        <v>-344.41689752986713</v>
      </c>
      <c r="AJ87" s="384">
        <f t="array" ref="AJ87">INDEX(Demand_previous!$D$4:$AY$138, MATCH('Staging Table'!$A87, Demand_previous!$B$4:$B$138, 0), MATCH(AJ$4&amp;AJ$5,Demand_previous!$D$2:$AY$2&amp;Demand_previous!$D$3:$AY$3, 0))/1000</f>
        <v>0</v>
      </c>
      <c r="AK87" s="384">
        <f t="array" ref="AK87">INDEX(Demand_previous!$D$4:$AY$138, MATCH('Staging Table'!$A87, Demand_previous!$B$4:$B$138, 0), MATCH(AK$4&amp;AK$5,Demand_previous!$D$2:$AY$2&amp;Demand_previous!$D$3:$AY$3, 0))/1000</f>
        <v>0</v>
      </c>
      <c r="AL87" s="384">
        <f t="array" ref="AL87">INDEX(Demand_previous!$D$4:$AY$138, MATCH('Staging Table'!$A87, Demand_previous!$B$4:$B$138, 0), MATCH(AL$4&amp;AL$5,Demand_previous!$D$2:$AY$2&amp;Demand_previous!$D$3:$AY$3, 0))/1000</f>
        <v>0</v>
      </c>
      <c r="AM87" s="384">
        <f t="array" ref="AM87">INDEX(Demand_previous!$D$4:$AY$138, MATCH('Staging Table'!$A87, Demand_previous!$B$4:$B$138, 0), MATCH(AM$4&amp;AM$5,Demand_previous!$D$2:$AY$2&amp;Demand_previous!$D$3:$AY$3, 0))/1000</f>
        <v>24.276387499999998</v>
      </c>
      <c r="AN87" s="384">
        <f t="array" ref="AN87">INDEX(Demand_previous!$D$4:$AY$138, MATCH('Staging Table'!$A87, Demand_previous!$B$4:$B$138, 0), MATCH(AN$4&amp;AN$5,Demand_previous!$D$2:$AY$2&amp;Demand_previous!$D$3:$AY$3, 0))/1000</f>
        <v>13.871570000000002</v>
      </c>
      <c r="AO87" s="384">
        <f t="array" ref="AO87">INDEX(Demand_previous!$D$4:$AY$138, MATCH('Staging Table'!$A87, Demand_previous!$B$4:$B$138, 0), MATCH(AO$4&amp;AO$5,Demand_previous!$D$2:$AY$2&amp;Demand_previous!$D$3:$AY$3, 0))/1000</f>
        <v>20.45039120370371</v>
      </c>
      <c r="AP87" s="384">
        <f t="array" ref="AP87">INDEX(Demand_previous!$D$4:$AY$138, MATCH('Staging Table'!$A87, Demand_previous!$B$4:$B$138, 0), MATCH(AP$4&amp;AP$5,Demand_previous!$D$2:$AY$2&amp;Demand_previous!$D$3:$AY$3, 0))/1000</f>
        <v>13.316788461538465</v>
      </c>
      <c r="AQ87" s="384">
        <f t="array" ref="AQ87">INDEX(Demand_previous!$D$4:$AY$138, MATCH('Staging Table'!$A87, Demand_previous!$B$4:$B$138, 0), MATCH(AQ$4&amp;AQ$5,Demand_previous!$D$2:$AY$2&amp;Demand_previous!$D$3:$AY$3, 0))/1000</f>
        <v>12.624890000000004</v>
      </c>
      <c r="AR87" s="384">
        <f t="array" ref="AR87">INDEX(Demand_previous!$D$4:$AY$138, MATCH('Staging Table'!$A87, Demand_previous!$B$4:$B$138, 0), MATCH(AR$4&amp;AR$5,Demand_previous!$D$2:$AY$2&amp;Demand_previous!$D$3:$AY$3, 0))/1000</f>
        <v>6.2121947115384613</v>
      </c>
      <c r="AS87" s="384">
        <f t="array" ref="AS87">INDEX(Demand_previous!$D$4:$AY$138, MATCH('Staging Table'!$A87, Demand_previous!$B$4:$B$138, 0), MATCH(AS$4&amp;AS$5,Demand_previous!$D$2:$AY$2&amp;Demand_previous!$D$3:$AY$3, 0))/1000</f>
        <v>0</v>
      </c>
      <c r="AT87" s="384">
        <f t="array" ref="AT87">INDEX(Demand_previous!$D$4:$AY$138, MATCH('Staging Table'!$A87, Demand_previous!$B$4:$B$138, 0), MATCH(AT$4&amp;AT$5,Demand_previous!$D$2:$AY$2&amp;Demand_previous!$D$3:$AY$3, 0))/1000</f>
        <v>9.8013356481481431</v>
      </c>
      <c r="AU87" s="384">
        <f t="array" ref="AU87">INDEX(Demand_previous!$D$4:$AY$138, MATCH('Staging Table'!$A87, Demand_previous!$B$4:$B$138, 0), MATCH(AU$4&amp;AU$5,Demand_previous!$D$2:$AY$2&amp;Demand_previous!$D$3:$AY$3, 0))/1000</f>
        <v>5.7278975000000028</v>
      </c>
      <c r="AV87" s="384">
        <f>IF($D87=0,IF(C87=0, MAX(AY87 - (VLOOKUP($A87,TOCA_previous!$A$2:$AI$137,MATCH("RHWM 2016",TOCA_previous!$A$2:$AI$2,0),FALSE)*$F$2*TOCA_previous!C84),0),0), 0)</f>
        <v>0</v>
      </c>
      <c r="AW87" s="427">
        <f>VLOOKUP($A87,REP_previous!$A$1:$D$135,MATCH("FY "&amp;$F$1&amp; " Total Refund",REP_previous!$A$1:$D$1,0),0)</f>
        <v>541370.51263361867</v>
      </c>
      <c r="AX87" s="398">
        <f>MIN(VLOOKUP($A87,TOCA_previous!$A$2:$AI$137,MATCH("TRL - NLSL - Exisiting Resource "&amp;$F$1,TOCA_previous!$A$2:$AI$2,0),FALSE)*$F$2,(VLOOKUP($A87,TOCA_previous!$A$2:$AI$137,MATCH("RHWM 2016",TOCA_previous!$A$2:$AI$2,0),FALSE)*$F$2))</f>
        <v>399074.68800000002</v>
      </c>
      <c r="AY87" s="384">
        <f>SUM(L87:AI87)+(F87*RT1SC!$C$3*$F$2)</f>
        <v>391658.97393934679</v>
      </c>
      <c r="AZ87" s="398">
        <f>VLOOKUP($A87,TOCA_previous!$A$2:$AI$137,MATCH("Above RHWM Not Served with LS "&amp;$F$1,TOCA_previous!$A$2:$AI$2,0),FALSE)*$F$2</f>
        <v>0</v>
      </c>
      <c r="BA87" s="206">
        <f t="shared" si="19"/>
        <v>-7415.7140606532339</v>
      </c>
      <c r="BB87" s="399">
        <f>(VLOOKUP($A87,TOCA_previous!$A$2:$AI$137,MATCH("RHWM 2016",TOCA_previous!$A$2:$AI$2,0),FALSE)*$F$2) - $AX87</f>
        <v>7536.6719999999623</v>
      </c>
      <c r="BC87" s="206">
        <f t="shared" si="20"/>
        <v>0</v>
      </c>
      <c r="BD87" s="400">
        <f t="shared" si="21"/>
        <v>7415.7140606532339</v>
      </c>
      <c r="BE87" s="392">
        <f t="shared" si="22"/>
        <v>0</v>
      </c>
      <c r="BF87" s="399">
        <f t="shared" si="23"/>
        <v>7415.7140606532339</v>
      </c>
      <c r="BG87" s="206">
        <f>VLOOKUP($A87,TOCA_current!$A$2:$AI$137,MATCH(BG$4,TOCA_current!$A$2:$AI$2,0),FALSE)</f>
        <v>6.4378999999999999E-3</v>
      </c>
      <c r="BH87" s="206">
        <f>VLOOKUP($A87,TOCA_current!$A$2:$AI$137,MATCH(BH$4,TOCA_current!$A$2:$AI$2,0),FALSE)</f>
        <v>6.4378999999999999E-3</v>
      </c>
      <c r="BI87" s="391">
        <f t="shared" si="24"/>
        <v>0</v>
      </c>
      <c r="BJ87" s="206">
        <f>VLOOKUP($A87,TOCA_current!A83:BG218,MATCH(BJ$4,TOCA_current!$A$2:$BG$2,0),FALSE)</f>
        <v>6.5000000000000002E-2</v>
      </c>
      <c r="BK87" s="206">
        <f t="shared" si="25"/>
        <v>0</v>
      </c>
      <c r="BL87" s="206">
        <f t="shared" si="26"/>
        <v>0</v>
      </c>
      <c r="BM87" s="381">
        <f>VLOOKUP($A87,IRD!$A$4:$G$139, 7, FALSE)</f>
        <v>41489.314000000006</v>
      </c>
      <c r="BN87" s="382">
        <f t="array" ref="BN87">IF($BI87=0, INDEX(LS_current!$D$4:$AY$139, MATCH('Staging Table'!$A87, LS_current!$B$4:$B$139, 0), MATCH(BN$4&amp;BN$5, LS_current!$D$2:$AY$2&amp;LS_current!$D$3:$AY$3, 0)),SUM(VLOOKUP($A87, LS_current!$B$4:$AY$139, LS_current!D$149, FALSE), VLOOKUP($A87, LS_current!$B$4:$AY$139,LS_current!D$149, FALSE))/2)</f>
        <v>-3247.3101845790516</v>
      </c>
      <c r="BO87" s="382">
        <f t="array" ref="BO87">IF($BI87=0, INDEX(LS_current!$D$4:$AY$139, MATCH('Staging Table'!$A87, LS_current!$B$4:$B$139, 0), MATCH(BO$4&amp;BO$5, LS_current!$D$2:$AY$2&amp;LS_current!$D$3:$AY$3, 0)),SUM(VLOOKUP($A87, LS_current!$B$4:$AY$139, LS_current!E$149, FALSE), VLOOKUP($A87, LS_current!$B$4:$AY$139,LS_current!E$149, FALSE))/2)</f>
        <v>-379.96444590831015</v>
      </c>
      <c r="BP87" s="382">
        <f t="array" ref="BP87">IF($BI87=0, INDEX(LS_current!$D$4:$AY$139, MATCH('Staging Table'!$A87, LS_current!$B$4:$B$139, 0), MATCH(BP$4&amp;BP$5, LS_current!$D$2:$AY$2&amp;LS_current!$D$3:$AY$3, 0)),SUM(VLOOKUP($A87, LS_current!$B$4:$AY$139, LS_current!F$149, FALSE), VLOOKUP($A87, LS_current!$B$4:$AY$139,LS_current!F$149, FALSE))/2)</f>
        <v>-3961.8069675095612</v>
      </c>
      <c r="BQ87" s="382">
        <f t="array" ref="BQ87">IF($BI87=0, INDEX(LS_current!$D$4:$AY$139, MATCH('Staging Table'!$A87, LS_current!$B$4:$B$139, 0), MATCH(BQ$4&amp;BQ$5, LS_current!$D$2:$AY$2&amp;LS_current!$D$3:$AY$3, 0)),SUM(VLOOKUP($A87, LS_current!$B$4:$AY$139, LS_current!G$149, FALSE), VLOOKUP($A87, LS_current!$B$4:$AY$139,LS_current!G$149, FALSE))/2)</f>
        <v>980.87021822915631</v>
      </c>
      <c r="BR87" s="382">
        <f t="array" ref="BR87">IF($BI87=0, INDEX(LS_current!$D$4:$AY$139, MATCH('Staging Table'!$A87, LS_current!$B$4:$B$139, 0), MATCH(BR$4&amp;BR$5, LS_current!$D$2:$AY$2&amp;LS_current!$D$3:$AY$3, 0)),SUM(VLOOKUP($A87, LS_current!$B$4:$AY$139, LS_current!H$149, FALSE), VLOOKUP($A87, LS_current!$B$4:$AY$139,LS_current!H$149, FALSE))/2)</f>
        <v>2269.3745948701871</v>
      </c>
      <c r="BS87" s="382">
        <f t="array" ref="BS87">IF($BI87=0, INDEX(LS_current!$D$4:$AY$139, MATCH('Staging Table'!$A87, LS_current!$B$4:$B$139, 0), MATCH(BS$4&amp;BS$5, LS_current!$D$2:$AY$2&amp;LS_current!$D$3:$AY$3, 0)),SUM(VLOOKUP($A87, LS_current!$B$4:$AY$139, LS_current!I$149, FALSE), VLOOKUP($A87, LS_current!$B$4:$AY$139,LS_current!I$149, FALSE))/2)</f>
        <v>4208.7093177341485</v>
      </c>
      <c r="BT87" s="382">
        <f t="array" ref="BT87">IF($BI87=0, INDEX(LS_current!$D$4:$AY$139, MATCH('Staging Table'!$A87, LS_current!$B$4:$B$139, 0), MATCH(BT$4&amp;BT$5, LS_current!$D$2:$AY$2&amp;LS_current!$D$3:$AY$3, 0)),SUM(VLOOKUP($A87, LS_current!$B$4:$AY$139, LS_current!J$149, FALSE), VLOOKUP($A87, LS_current!$B$4:$AY$139,LS_current!J$149, FALSE))/2)</f>
        <v>3121.3723756917607</v>
      </c>
      <c r="BU87" s="382">
        <f t="array" ref="BU87">IF($BI87=0, INDEX(LS_current!$D$4:$AY$139, MATCH('Staging Table'!$A87, LS_current!$B$4:$B$139, 0), MATCH(BU$4&amp;BU$5, LS_current!$D$2:$AY$2&amp;LS_current!$D$3:$AY$3, 0)),SUM(VLOOKUP($A87, LS_current!$B$4:$AY$139, LS_current!K$149, FALSE), VLOOKUP($A87, LS_current!$B$4:$AY$139,LS_current!K$149, FALSE))/2)</f>
        <v>4920.3397843096736</v>
      </c>
      <c r="BV87" s="382">
        <f t="array" ref="BV87">IF($BI87=0, INDEX(LS_current!$D$4:$AY$139, MATCH('Staging Table'!$A87, LS_current!$B$4:$B$139, 0), MATCH(BV$4&amp;BV$5, LS_current!$D$2:$AY$2&amp;LS_current!$D$3:$AY$3, 0)),SUM(VLOOKUP($A87, LS_current!$B$4:$AY$139, LS_current!L$149, FALSE), VLOOKUP($A87, LS_current!$B$4:$AY$139,LS_current!L$149, FALSE))/2)</f>
        <v>3235.6315310490372</v>
      </c>
      <c r="BW87" s="382">
        <f t="array" ref="BW87">IF($BI87=0, INDEX(LS_current!$D$4:$AY$139, MATCH('Staging Table'!$A87, LS_current!$B$4:$B$139, 0), MATCH(BW$4&amp;BW$5, LS_current!$D$2:$AY$2&amp;LS_current!$D$3:$AY$3, 0)),SUM(VLOOKUP($A87, LS_current!$B$4:$AY$139, LS_current!M$149, FALSE), VLOOKUP($A87, LS_current!$B$4:$AY$139,LS_current!M$149, FALSE))/2)</f>
        <v>3651.9867877943416</v>
      </c>
      <c r="BX87" s="382">
        <f t="array" ref="BX87">IF($BI87=0, INDEX(LS_current!$D$4:$AY$139, MATCH('Staging Table'!$A87, LS_current!$B$4:$B$139, 0), MATCH(BX$4&amp;BX$5, LS_current!$D$2:$AY$2&amp;LS_current!$D$3:$AY$3, 0)),SUM(VLOOKUP($A87, LS_current!$B$4:$AY$139, LS_current!N$149, FALSE), VLOOKUP($A87, LS_current!$B$4:$AY$139,LS_current!N$149, FALSE))/2)</f>
        <v>-84.942371831737546</v>
      </c>
      <c r="BY87" s="382">
        <f t="array" ref="BY87">IF($BI87=0, INDEX(LS_current!$D$4:$AY$139, MATCH('Staging Table'!$A87, LS_current!$B$4:$B$139, 0), MATCH(BY$4&amp;BY$5, LS_current!$D$2:$AY$2&amp;LS_current!$D$3:$AY$3, 0)),SUM(VLOOKUP($A87, LS_current!$B$4:$AY$139, LS_current!O$149, FALSE), VLOOKUP($A87, LS_current!$B$4:$AY$139,LS_current!O$149, FALSE))/2)</f>
        <v>1817.9144559627639</v>
      </c>
      <c r="BZ87" s="382">
        <f t="array" ref="BZ87">IF($BI87=0, INDEX(LS_current!$D$4:$AY$139, MATCH('Staging Table'!$A87, LS_current!$B$4:$B$139, 0), MATCH(BZ$4&amp;BZ$5, LS_current!$D$2:$AY$2&amp;LS_current!$D$3:$AY$3, 0)),SUM(VLOOKUP($A87, LS_current!$B$4:$AY$139, LS_current!P$149, FALSE), VLOOKUP($A87, LS_current!$B$4:$AY$139,LS_current!P$149, FALSE))/2)</f>
        <v>-1724.7331409544022</v>
      </c>
      <c r="CA87" s="382">
        <f t="array" ref="CA87">IF($BI87=0, INDEX(LS_current!$D$4:$AY$139, MATCH('Staging Table'!$A87, LS_current!$B$4:$B$139, 0), MATCH(CA$4&amp;CA$5, LS_current!$D$2:$AY$2&amp;LS_current!$D$3:$AY$3, 0)),SUM(VLOOKUP($A87, LS_current!$B$4:$AY$139, LS_current!Q$149, FALSE), VLOOKUP($A87, LS_current!$B$4:$AY$139,LS_current!Q$149, FALSE))/2)</f>
        <v>697.41580631094985</v>
      </c>
      <c r="CB87" s="382">
        <f t="array" ref="CB87">IF($BI87=0, INDEX(LS_current!$D$4:$AY$139, MATCH('Staging Table'!$A87, LS_current!$B$4:$B$139, 0), MATCH(CB$4&amp;CB$5, LS_current!$D$2:$AY$2&amp;LS_current!$D$3:$AY$3, 0)),SUM(VLOOKUP($A87, LS_current!$B$4:$AY$139, LS_current!R$149, FALSE), VLOOKUP($A87, LS_current!$B$4:$AY$139,LS_current!R$149, FALSE))/2)</f>
        <v>-8578.7505112499639</v>
      </c>
      <c r="CC87" s="382">
        <f t="array" ref="CC87">IF($BI87=0, INDEX(LS_current!$D$4:$AY$139, MATCH('Staging Table'!$A87, LS_current!$B$4:$B$139, 0), MATCH(CC$4&amp;CC$5, LS_current!$D$2:$AY$2&amp;LS_current!$D$3:$AY$3, 0)),SUM(VLOOKUP($A87, LS_current!$B$4:$AY$139, LS_current!S$149, FALSE), VLOOKUP($A87, LS_current!$B$4:$AY$139,LS_current!S$149, FALSE))/2)</f>
        <v>-2641.7916127911158</v>
      </c>
      <c r="CD87" s="382">
        <f t="array" ref="CD87">IF($BI87=0, INDEX(LS_current!$D$4:$AY$139, MATCH('Staging Table'!$A87, LS_current!$B$4:$B$139, 0), MATCH(CD$4&amp;CD$5, LS_current!$D$2:$AY$2&amp;LS_current!$D$3:$AY$3, 0)),SUM(VLOOKUP($A87, LS_current!$B$4:$AY$139, LS_current!T$149, FALSE), VLOOKUP($A87, LS_current!$B$4:$AY$139,LS_current!T$149, FALSE))/2)</f>
        <v>-3056.300191428847</v>
      </c>
      <c r="CE87" s="382">
        <f t="array" ref="CE87">IF($BI87=0, INDEX(LS_current!$D$4:$AY$139, MATCH('Staging Table'!$A87, LS_current!$B$4:$B$139, 0), MATCH(CE$4&amp;CE$5, LS_current!$D$2:$AY$2&amp;LS_current!$D$3:$AY$3, 0)),SUM(VLOOKUP($A87, LS_current!$B$4:$AY$139, LS_current!U$149, FALSE), VLOOKUP($A87, LS_current!$B$4:$AY$139,LS_current!U$149, FALSE))/2)</f>
        <v>60.859116263052783</v>
      </c>
      <c r="CF87" s="382">
        <f t="array" ref="CF87">IF($BI87=0, INDEX(LS_current!$D$4:$AY$139, MATCH('Staging Table'!$A87, LS_current!$B$4:$B$139, 0), MATCH(CF$4&amp;CF$5, LS_current!$D$2:$AY$2&amp;LS_current!$D$3:$AY$3, 0)),SUM(VLOOKUP($A87, LS_current!$B$4:$AY$139, LS_current!V$149, FALSE), VLOOKUP($A87, LS_current!$B$4:$AY$139,LS_current!V$149, FALSE))/2)</f>
        <v>561.20169141973383</v>
      </c>
      <c r="CG87" s="382">
        <f t="array" ref="CG87">IF($BI87=0, INDEX(LS_current!$D$4:$AY$139, MATCH('Staging Table'!$A87, LS_current!$B$4:$B$139, 0), MATCH(CG$4&amp;CG$5, LS_current!$D$2:$AY$2&amp;LS_current!$D$3:$AY$3, 0)),SUM(VLOOKUP($A87, LS_current!$B$4:$AY$139, LS_current!W$149, FALSE), VLOOKUP($A87, LS_current!$B$4:$AY$139,LS_current!W$149, FALSE))/2)</f>
        <v>3422.387062417125</v>
      </c>
      <c r="CH87" s="382">
        <f t="array" ref="CH87">IF($BI87=0, INDEX(LS_current!$D$4:$AY$139, MATCH('Staging Table'!$A87, LS_current!$B$4:$B$139, 0), MATCH(CH$4&amp;CH$5, LS_current!$D$2:$AY$2&amp;LS_current!$D$3:$AY$3, 0)),SUM(VLOOKUP($A87, LS_current!$B$4:$AY$139, LS_current!X$149, FALSE), VLOOKUP($A87, LS_current!$B$4:$AY$139,LS_current!X$149, FALSE))/2)</f>
        <v>-2662.725404418059</v>
      </c>
      <c r="CI87" s="382">
        <f t="array" ref="CI87">IF($BI87=0, INDEX(LS_current!$D$4:$AY$139, MATCH('Staging Table'!$A87, LS_current!$B$4:$B$139, 0), MATCH(CI$4&amp;CI$5, LS_current!$D$2:$AY$2&amp;LS_current!$D$3:$AY$3, 0)),SUM(VLOOKUP($A87, LS_current!$B$4:$AY$139, LS_current!Y$149, FALSE), VLOOKUP($A87, LS_current!$B$4:$AY$139,LS_current!Y$149, FALSE))/2)</f>
        <v>1220.2631700248457</v>
      </c>
      <c r="CJ87" s="382">
        <f t="array" ref="CJ87">IF($BI87=0, INDEX(LS_current!$D$4:$AY$139, MATCH('Staging Table'!$A87, LS_current!$B$4:$B$139, 0), MATCH(CJ$4&amp;CJ$5, LS_current!$D$2:$AY$2&amp;LS_current!$D$3:$AY$3, 0)),SUM(VLOOKUP($A87, LS_current!$B$4:$AY$139, LS_current!Z$149, FALSE), VLOOKUP($A87, LS_current!$B$4:$AY$139,LS_current!Z$149, FALSE))/2)</f>
        <v>-3634.4778761570324</v>
      </c>
      <c r="CK87" s="382">
        <f t="array" ref="CK87">IF($BI87=0, INDEX(LS_current!$D$4:$AY$139, MATCH('Staging Table'!$A87, LS_current!$B$4:$B$139, 0), MATCH(CK$4&amp;CK$5, LS_current!$D$2:$AY$2&amp;LS_current!$D$3:$AY$3, 0)),SUM(VLOOKUP($A87, LS_current!$B$4:$AY$139, LS_current!AA$149, FALSE), VLOOKUP($A87, LS_current!$B$4:$AY$139,LS_current!AA$149, FALSE))/2)</f>
        <v>-198.10728662948713</v>
      </c>
      <c r="CL87" s="384">
        <f t="array" ref="CL87">INDEX(Demand_current!$D$4:$AY$138, MATCH($A87, Demand_current!$B$4:$B$138, 0), MATCH(CL$4&amp;CL$5,Demand_current!$D$2:$AY$2&amp;Demand_current!$D$3:$AY$3, 0))/1000</f>
        <v>0</v>
      </c>
      <c r="CM87" s="384">
        <f t="array" ref="CM87">INDEX(Demand_current!$D$4:$AY$138, MATCH($A87, Demand_current!$B$4:$B$138, 0), MATCH(CM$4&amp;CM$5,Demand_current!$D$2:$AY$2&amp;Demand_current!$D$3:$AY$3, 0))/1000</f>
        <v>0</v>
      </c>
      <c r="CN87" s="384">
        <f t="array" ref="CN87">INDEX(Demand_current!$D$4:$AY$138, MATCH($A87, Demand_current!$B$4:$B$138, 0), MATCH(CN$4&amp;CN$5,Demand_current!$D$2:$AY$2&amp;Demand_current!$D$3:$AY$3, 0))/1000</f>
        <v>0</v>
      </c>
      <c r="CO87" s="384">
        <f t="array" ref="CO87">INDEX(Demand_current!$D$4:$AY$138, MATCH($A87, Demand_current!$B$4:$B$138, 0), MATCH(CO$4&amp;CO$5,Demand_current!$D$2:$AY$2&amp;Demand_current!$D$3:$AY$3, 0))/1000</f>
        <v>26.468257211538464</v>
      </c>
      <c r="CP87" s="384">
        <f t="array" ref="CP87">INDEX(Demand_current!$D$4:$AY$138, MATCH($A87, Demand_current!$B$4:$B$138, 0), MATCH(CP$4&amp;CP$5,Demand_current!$D$2:$AY$2&amp;Demand_current!$D$3:$AY$3, 0))/1000</f>
        <v>11.814843749999998</v>
      </c>
      <c r="CQ87" s="384">
        <f t="array" ref="CQ87">INDEX(Demand_current!$D$4:$AY$138, MATCH($A87, Demand_current!$B$4:$B$138, 0), MATCH(CQ$4&amp;CQ$5,Demand_current!$D$2:$AY$2&amp;Demand_current!$D$3:$AY$3, 0))/1000</f>
        <v>20.45039120370371</v>
      </c>
      <c r="CR87" s="384">
        <f t="array" ref="CR87">INDEX(Demand_current!$D$4:$AY$138, MATCH($A87, Demand_current!$B$4:$B$138, 0), MATCH(CR$4&amp;CR$5,Demand_current!$D$2:$AY$2&amp;Demand_current!$D$3:$AY$3, 0))/1000</f>
        <v>11.645740000000004</v>
      </c>
      <c r="CS87" s="384">
        <f t="array" ref="CS87">INDEX(Demand_current!$D$4:$AY$138, MATCH($A87, Demand_current!$B$4:$B$138, 0), MATCH(CS$4&amp;CS$5,Demand_current!$D$2:$AY$2&amp;Demand_current!$D$3:$AY$3, 0))/1000</f>
        <v>14.463048076923076</v>
      </c>
      <c r="CT87" s="384">
        <f t="array" ref="CT87">INDEX(Demand_current!$D$4:$AY$138, MATCH($A87, Demand_current!$B$4:$B$138, 0), MATCH(CT$4&amp;CT$5,Demand_current!$D$2:$AY$2&amp;Demand_current!$D$3:$AY$3, 0))/1000</f>
        <v>6.2121947115384613</v>
      </c>
      <c r="CU87" s="384">
        <f t="array" ref="CU87">INDEX(Demand_current!$D$4:$AY$138, MATCH($A87, Demand_current!$B$4:$B$138, 0), MATCH(CU$4&amp;CU$5,Demand_current!$D$2:$AY$2&amp;Demand_current!$D$3:$AY$3, 0))/1000</f>
        <v>0</v>
      </c>
      <c r="CV87" s="384">
        <f t="array" ref="CV87">INDEX(Demand_current!$D$4:$AY$138, MATCH($A87, Demand_current!$B$4:$B$138, 0), MATCH(CV$4&amp;CV$5,Demand_current!$D$2:$AY$2&amp;Demand_current!$D$3:$AY$3, 0))/1000</f>
        <v>9.8013356481481431</v>
      </c>
      <c r="CW87" s="384">
        <f t="array" ref="CW87">INDEX(Demand_current!$D$4:$AY$138, MATCH($A87, Demand_current!$B$4:$B$138, 0), MATCH(CW$4&amp;CW$5,Demand_current!$D$2:$AY$2&amp;Demand_current!$D$3:$AY$3, 0))/1000</f>
        <v>4.090059895833333</v>
      </c>
      <c r="CX87" s="384">
        <f>IF(D87=0,IF(C87=0,MAX(0,DA87 - (VLOOKUP($A87,TOCA_current!$A$2:$AI$137,MATCH("RHWM 2018",TOCA_current!$A$2:$AI$2,0),FALSE)*$BH$2)), 0),0)</f>
        <v>0</v>
      </c>
      <c r="CY87" s="427">
        <f>VLOOKUP($A87,REP_current!$A$1:$D$135,MATCH("FY "&amp;$BH$1&amp; " Total Refund",REP_current!$A$1:$D$1,0),0)</f>
        <v>542621.00665827445</v>
      </c>
      <c r="CZ87" s="432">
        <f>MIN(VLOOKUP($A87,TOCA_current!$A$2:$AI$137,MATCH("TRL - NLSL - Existing Resource "&amp;$BH$1,TOCA_current!$A$2:$AI$2,0),FALSE)*$BH$2, VLOOKUP($A87,TOCA_current!$A$2:$AI$137,MATCH("RHWM 2018",TOCA_current!$A$2:$AI$2,0),FALSE)*$BH$2)</f>
        <v>391659.60000000003</v>
      </c>
      <c r="DA87" s="397">
        <f>SUM(BN87:CK87)+(BH87*RT1SC!$C$4*$BH$2)</f>
        <v>391658.97871400317</v>
      </c>
      <c r="DB87" s="432">
        <f>VLOOKUP($A87,TOCA_current!$A$2:$AI$137,MATCH("Above RHWM Not Served with LS "&amp;$BH$1,TOCA_current!$A$2:$AI$2,0),FALSE)*$BH$2</f>
        <v>0</v>
      </c>
      <c r="DC87" s="401">
        <f t="shared" si="27"/>
        <v>-0.62128599686548114</v>
      </c>
      <c r="DD87" s="397">
        <f>(VLOOKUP($A87,TOCA_current!$A$2:$AI$137,MATCH("RHWM 2018",TOCA_current!$A$2:$AI$2,0),FALSE)*$BH$2) - $CZ87</f>
        <v>11256.599999999919</v>
      </c>
      <c r="DE87" s="397">
        <f t="shared" si="28"/>
        <v>0</v>
      </c>
      <c r="DF87" s="397">
        <f t="shared" si="29"/>
        <v>0.62128599686548114</v>
      </c>
      <c r="DG87" s="397">
        <f t="shared" si="30"/>
        <v>0</v>
      </c>
      <c r="DH87" s="397">
        <f t="shared" si="31"/>
        <v>0.62128599686548114</v>
      </c>
    </row>
    <row r="88" spans="1:112">
      <c r="A88" s="274">
        <v>10258</v>
      </c>
      <c r="B88" s="275" t="s">
        <v>89</v>
      </c>
      <c r="C88" s="397">
        <v>0</v>
      </c>
      <c r="D88" s="397">
        <v>0</v>
      </c>
      <c r="E88" s="205">
        <f>VLOOKUP($A88,TOCA_previous!$A$2:$AI$137,MATCH(E$4,TOCA_previous!$A$2:$AI$2,0),FALSE)</f>
        <v>5.2893999999999997E-3</v>
      </c>
      <c r="F88" s="206">
        <f>VLOOKUP($A88,TOCA_previous!$A$2:$AI$137,MATCH(F$4,TOCA_previous!$A$2:$AI$2,0),FALSE)</f>
        <v>5.2893999999999997E-3</v>
      </c>
      <c r="G88" s="206">
        <f t="shared" si="16"/>
        <v>0</v>
      </c>
      <c r="H88" s="206">
        <f>VLOOKUP($A88,TOCA_previous!$A$2:$AI$137,MATCH(H$4,TOCA_previous!$A$2:$AI$2,0),FALSE)</f>
        <v>6.5000000000000002E-2</v>
      </c>
      <c r="I88" s="206">
        <f t="shared" si="17"/>
        <v>0</v>
      </c>
      <c r="J88" s="206">
        <f t="shared" si="18"/>
        <v>0</v>
      </c>
      <c r="K88" s="381">
        <f>VLOOKUP(A88, IRD!$A$5:$C$139, 3, FALSE)</f>
        <v>18387.022000000001</v>
      </c>
      <c r="L88" s="382">
        <f t="array" ref="L88">IF($G88=0, INDEX(LS_previous!$D$4:$AY$138, MATCH('Staging Table'!$A88, LS_previous!$B$4:$B$138, 0), MATCH(L$4&amp;L$5, LS_previous!$D$2:$AY$2&amp;LS_previous!$D$3:$AY$3, 0)),SUM(VLOOKUP($A88, LS_previous!$B$4:$AY$138, LS_previous!D$149, FALSE), VLOOKUP('Staging Table'!$A88, LS_previous!$B$4:$AY$138,LS_previous!AB$149, FALSE))/2)</f>
        <v>-2493.1405358086267</v>
      </c>
      <c r="M88" s="382">
        <f t="array" ref="M88">IF($G88=0, INDEX(LS_previous!$D$4:$AY$138, MATCH('Staging Table'!$A88, LS_previous!$B$4:$B$138, 0), MATCH(M$4&amp;M$5, LS_previous!$D$2:$AY$2&amp;LS_previous!$D$3:$AY$3, 0)),SUM(VLOOKUP($A88, LS_previous!$B$4:$AY$138, LS_previous!E$149, FALSE), VLOOKUP('Staging Table'!$A88, LS_previous!$B$4:$AY$138,LS_previous!AC$149, FALSE))/2)</f>
        <v>-1711.1393940842936</v>
      </c>
      <c r="N88" s="382">
        <f t="array" ref="N88">IF($G88=0, INDEX(LS_previous!$D$4:$AY$138, MATCH('Staging Table'!$A88, LS_previous!$B$4:$B$138, 0), MATCH(N$4&amp;N$5, LS_previous!$D$2:$AY$2&amp;LS_previous!$D$3:$AY$3, 0)),SUM(VLOOKUP($A88, LS_previous!$B$4:$AY$138, LS_previous!F$149, FALSE), VLOOKUP('Staging Table'!$A88, LS_previous!$B$4:$AY$138,LS_previous!AD$149, FALSE))/2)</f>
        <v>312.33027699647573</v>
      </c>
      <c r="O88" s="382">
        <f t="array" ref="O88">IF($G88=0, INDEX(LS_previous!$D$4:$AY$138, MATCH('Staging Table'!$A88, LS_previous!$B$4:$B$138, 0), MATCH(O$4&amp;O$5, LS_previous!$D$2:$AY$2&amp;LS_previous!$D$3:$AY$3, 0)),SUM(VLOOKUP($A88, LS_previous!$B$4:$AY$138, LS_previous!G$149, FALSE), VLOOKUP('Staging Table'!$A88, LS_previous!$B$4:$AY$138,LS_previous!AE$149, FALSE))/2)</f>
        <v>2913.1971608125314</v>
      </c>
      <c r="P88" s="382">
        <f t="array" ref="P88">IF($G88=0, INDEX(LS_previous!$D$4:$AY$138, MATCH('Staging Table'!$A88, LS_previous!$B$4:$B$138, 0), MATCH(P$4&amp;P$5, LS_previous!$D$2:$AY$2&amp;LS_previous!$D$3:$AY$3, 0)),SUM(VLOOKUP($A88, LS_previous!$B$4:$AY$138, LS_previous!H$149, FALSE), VLOOKUP('Staging Table'!$A88, LS_previous!$B$4:$AY$138,LS_previous!AF$149, FALSE))/2)</f>
        <v>5780.8429390609126</v>
      </c>
      <c r="Q88" s="382">
        <f t="array" ref="Q88">IF($G88=0, INDEX(LS_previous!$D$4:$AY$138, MATCH('Staging Table'!$A88, LS_previous!$B$4:$B$138, 0), MATCH(Q$4&amp;Q$5, LS_previous!$D$2:$AY$2&amp;LS_previous!$D$3:$AY$3, 0)),SUM(VLOOKUP($A88, LS_previous!$B$4:$AY$138, LS_previous!I$149, FALSE), VLOOKUP('Staging Table'!$A88, LS_previous!$B$4:$AY$138,LS_previous!AG$149, FALSE))/2)</f>
        <v>5831.9867599752561</v>
      </c>
      <c r="R88" s="382">
        <f t="array" ref="R88">IF($G88=0, INDEX(LS_previous!$D$4:$AY$138, MATCH('Staging Table'!$A88, LS_previous!$B$4:$B$138, 0), MATCH(R$4&amp;R$5, LS_previous!$D$2:$AY$2&amp;LS_previous!$D$3:$AY$3, 0)),SUM(VLOOKUP($A88, LS_previous!$B$4:$AY$138, LS_previous!J$149, FALSE), VLOOKUP('Staging Table'!$A88, LS_previous!$B$4:$AY$138,LS_previous!AH$149, FALSE))/2)</f>
        <v>8486.7481763076194</v>
      </c>
      <c r="S88" s="382">
        <f t="array" ref="S88">IF($G88=0, INDEX(LS_previous!$D$4:$AY$138, MATCH('Staging Table'!$A88, LS_previous!$B$4:$B$138, 0), MATCH(S$4&amp;S$5, LS_previous!$D$2:$AY$2&amp;LS_previous!$D$3:$AY$3, 0)),SUM(VLOOKUP($A88, LS_previous!$B$4:$AY$138, LS_previous!K$149, FALSE), VLOOKUP('Staging Table'!$A88, LS_previous!$B$4:$AY$138,LS_previous!AI$149, FALSE))/2)</f>
        <v>7675.024184295753</v>
      </c>
      <c r="T88" s="382">
        <f t="array" ref="T88">IF($G88=0, INDEX(LS_previous!$D$4:$AY$138, MATCH('Staging Table'!$A88, LS_previous!$B$4:$B$138, 0), MATCH(T$4&amp;T$5, LS_previous!$D$2:$AY$2&amp;LS_previous!$D$3:$AY$3, 0)),SUM(VLOOKUP($A88, LS_previous!$B$4:$AY$138, LS_previous!L$149, FALSE), VLOOKUP('Staging Table'!$A88, LS_previous!$B$4:$AY$138,LS_previous!AJ$149, FALSE))/2)</f>
        <v>6053.0775523498742</v>
      </c>
      <c r="U88" s="382">
        <f t="array" ref="U88">IF($G88=0, INDEX(LS_previous!$D$4:$AY$138, MATCH('Staging Table'!$A88, LS_previous!$B$4:$B$138, 0), MATCH(U$4&amp;U$5, LS_previous!$D$2:$AY$2&amp;LS_previous!$D$3:$AY$3, 0)),SUM(VLOOKUP($A88, LS_previous!$B$4:$AY$138, LS_previous!M$149, FALSE), VLOOKUP('Staging Table'!$A88, LS_previous!$B$4:$AY$138,LS_previous!AK$149, FALSE))/2)</f>
        <v>5577.9178058831039</v>
      </c>
      <c r="V88" s="382">
        <f t="array" ref="V88">IF($G88=0, INDEX(LS_previous!$D$4:$AY$138, MATCH('Staging Table'!$A88, LS_previous!$B$4:$B$138, 0), MATCH(V$4&amp;V$5, LS_previous!$D$2:$AY$2&amp;LS_previous!$D$3:$AY$3, 0)),SUM(VLOOKUP($A88, LS_previous!$B$4:$AY$138, LS_previous!N$149, FALSE), VLOOKUP('Staging Table'!$A88, LS_previous!$B$4:$AY$138,LS_previous!AL$149, FALSE))/2)</f>
        <v>1514.6738434954132</v>
      </c>
      <c r="W88" s="382">
        <f t="array" ref="W88">IF($G88=0, INDEX(LS_previous!$D$4:$AY$138, MATCH('Staging Table'!$A88, LS_previous!$B$4:$B$138, 0), MATCH(W$4&amp;W$5, LS_previous!$D$2:$AY$2&amp;LS_previous!$D$3:$AY$3, 0)),SUM(VLOOKUP($A88, LS_previous!$B$4:$AY$138, LS_previous!O$149, FALSE), VLOOKUP('Staging Table'!$A88, LS_previous!$B$4:$AY$138,LS_previous!AM$149, FALSE))/2)</f>
        <v>2614.648389472266</v>
      </c>
      <c r="X88" s="382">
        <f t="array" ref="X88">IF($G88=0, INDEX(LS_previous!$D$4:$AY$138, MATCH('Staging Table'!$A88, LS_previous!$B$4:$B$138, 0), MATCH(X$4&amp;X$5, LS_previous!$D$2:$AY$2&amp;LS_previous!$D$3:$AY$3, 0)),SUM(VLOOKUP($A88, LS_previous!$B$4:$AY$138, LS_previous!P$149, FALSE), VLOOKUP('Staging Table'!$A88, LS_previous!$B$4:$AY$138,LS_previous!AN$149, FALSE))/2)</f>
        <v>-410.81884807256574</v>
      </c>
      <c r="Y88" s="382">
        <f t="array" ref="Y88">IF($G88=0, INDEX(LS_previous!$D$4:$AY$138, MATCH('Staging Table'!$A88, LS_previous!$B$4:$B$138, 0), MATCH(Y$4&amp;Y$5, LS_previous!$D$2:$AY$2&amp;LS_previous!$D$3:$AY$3, 0)),SUM(VLOOKUP($A88, LS_previous!$B$4:$AY$138, LS_previous!Q$149, FALSE), VLOOKUP('Staging Table'!$A88, LS_previous!$B$4:$AY$138,LS_previous!AO$149, FALSE))/2)</f>
        <v>104.73354009786271</v>
      </c>
      <c r="Z88" s="382">
        <f t="array" ref="Z88">IF($G88=0, INDEX(LS_previous!$D$4:$AY$138, MATCH('Staging Table'!$A88, LS_previous!$B$4:$B$138, 0), MATCH(Z$4&amp;Z$5, LS_previous!$D$2:$AY$2&amp;LS_previous!$D$3:$AY$3, 0)),SUM(VLOOKUP($A88, LS_previous!$B$4:$AY$138, LS_previous!R$149, FALSE), VLOOKUP('Staging Table'!$A88, LS_previous!$B$4:$AY$138,LS_previous!AP$149, FALSE))/2)</f>
        <v>-10290.138371713205</v>
      </c>
      <c r="AA88" s="382">
        <f t="array" ref="AA88">IF($G88=0, INDEX(LS_previous!$D$4:$AY$138, MATCH('Staging Table'!$A88, LS_previous!$B$4:$B$138, 0), MATCH(AA$4&amp;AA$5, LS_previous!$D$2:$AY$2&amp;LS_previous!$D$3:$AY$3, 0)),SUM(VLOOKUP($A88, LS_previous!$B$4:$AY$138, LS_previous!S$149, FALSE), VLOOKUP('Staging Table'!$A88, LS_previous!$B$4:$AY$138,LS_previous!AQ$149, FALSE))/2)</f>
        <v>-4307.6883340428685</v>
      </c>
      <c r="AB88" s="382">
        <f t="array" ref="AB88">IF($G88=0, INDEX(LS_previous!$D$4:$AY$138, MATCH('Staging Table'!$A88, LS_previous!$B$4:$B$138, 0), MATCH(AB$4&amp;AB$5, LS_previous!$D$2:$AY$2&amp;LS_previous!$D$3:$AY$3, 0)),SUM(VLOOKUP($A88, LS_previous!$B$4:$AY$138, LS_previous!T$149, FALSE), VLOOKUP('Staging Table'!$A88, LS_previous!$B$4:$AY$138,LS_previous!AR$149, FALSE))/2)</f>
        <v>-5126.2792158436387</v>
      </c>
      <c r="AC88" s="382">
        <f t="array" ref="AC88">IF($G88=0, INDEX(LS_previous!$D$4:$AY$138, MATCH('Staging Table'!$A88, LS_previous!$B$4:$B$138, 0), MATCH(AC$4&amp;AC$5, LS_previous!$D$2:$AY$2&amp;LS_previous!$D$3:$AY$3, 0)),SUM(VLOOKUP($A88, LS_previous!$B$4:$AY$138, LS_previous!U$149, FALSE), VLOOKUP('Staging Table'!$A88, LS_previous!$B$4:$AY$138,LS_previous!AS$149, FALSE))/2)</f>
        <v>-2436.8582455556243</v>
      </c>
      <c r="AD88" s="382">
        <f t="array" ref="AD88">IF($G88=0, INDEX(LS_previous!$D$4:$AY$138, MATCH('Staging Table'!$A88, LS_previous!$B$4:$B$138, 0), MATCH(AD$4&amp;AD$5, LS_previous!$D$2:$AY$2&amp;LS_previous!$D$3:$AY$3, 0)),SUM(VLOOKUP($A88, LS_previous!$B$4:$AY$138, LS_previous!V$149, FALSE), VLOOKUP('Staging Table'!$A88, LS_previous!$B$4:$AY$138,LS_previous!AT$149, FALSE))/2)</f>
        <v>134.91961022514442</v>
      </c>
      <c r="AE88" s="382">
        <f t="array" ref="AE88">IF($G88=0, INDEX(LS_previous!$D$4:$AY$138, MATCH('Staging Table'!$A88, LS_previous!$B$4:$B$138, 0), MATCH(AE$4&amp;AE$5, LS_previous!$D$2:$AY$2&amp;LS_previous!$D$3:$AY$3, 0)),SUM(VLOOKUP($A88, LS_previous!$B$4:$AY$138, LS_previous!W$149, FALSE), VLOOKUP('Staging Table'!$A88, LS_previous!$B$4:$AY$138,LS_previous!AU$149, FALSE))/2)</f>
        <v>1125.1808779779312</v>
      </c>
      <c r="AF88" s="382">
        <f t="array" ref="AF88">IF($G88=0, INDEX(LS_previous!$D$4:$AY$138, MATCH('Staging Table'!$A88, LS_previous!$B$4:$B$138, 0), MATCH(AF$4&amp;AF$5, LS_previous!$D$2:$AY$2&amp;LS_previous!$D$3:$AY$3, 0)),SUM(VLOOKUP($A88, LS_previous!$B$4:$AY$138, LS_previous!X$149, FALSE), VLOOKUP('Staging Table'!$A88, LS_previous!$B$4:$AY$138,LS_previous!AV$149, FALSE))/2)</f>
        <v>-2042.3805533072773</v>
      </c>
      <c r="AG88" s="382">
        <f t="array" ref="AG88">IF($G88=0, INDEX(LS_previous!$D$4:$AY$138, MATCH('Staging Table'!$A88, LS_previous!$B$4:$B$138, 0), MATCH(AG$4&amp;AG$5, LS_previous!$D$2:$AY$2&amp;LS_previous!$D$3:$AY$3, 0)),SUM(VLOOKUP($A88, LS_previous!$B$4:$AY$138, LS_previous!Y$149, FALSE), VLOOKUP('Staging Table'!$A88, LS_previous!$B$4:$AY$138,LS_previous!AW$149, FALSE))/2)</f>
        <v>212.63499001124001</v>
      </c>
      <c r="AH88" s="382">
        <f t="array" ref="AH88">IF($G88=0, INDEX(LS_previous!$D$4:$AY$138, MATCH('Staging Table'!$A88, LS_previous!$B$4:$B$138, 0), MATCH(AH$4&amp;AH$5, LS_previous!$D$2:$AY$2&amp;LS_previous!$D$3:$AY$3, 0)),SUM(VLOOKUP($A88, LS_previous!$B$4:$AY$138, LS_previous!Z$149, FALSE), VLOOKUP('Staging Table'!$A88, LS_previous!$B$4:$AY$138,LS_previous!AX$149, FALSE))/2)</f>
        <v>-2108.1235525626289</v>
      </c>
      <c r="AI88" s="382">
        <f t="array" ref="AI88">IF($G88=0, INDEX(LS_previous!$D$4:$AY$138, MATCH('Staging Table'!$A88, LS_previous!$B$4:$B$138, 0), MATCH(AI$4&amp;AI$5, LS_previous!$D$2:$AY$2&amp;LS_previous!$D$3:$AY$3, 0)),SUM(VLOOKUP($A88, LS_previous!$B$4:$AY$138, LS_previous!AA$149, FALSE), VLOOKUP('Staging Table'!$A88, LS_previous!$B$4:$AY$138,LS_previous!AY$149, FALSE))/2)</f>
        <v>-1000.6422466945096</v>
      </c>
      <c r="AJ88" s="384">
        <f t="array" ref="AJ88">INDEX(Demand_previous!$D$4:$AY$138, MATCH('Staging Table'!$A88, Demand_previous!$B$4:$B$138, 0), MATCH(AJ$4&amp;AJ$5,Demand_previous!$D$2:$AY$2&amp;Demand_previous!$D$3:$AY$3, 0))/1000</f>
        <v>8.1623611111111192</v>
      </c>
      <c r="AK88" s="384">
        <f t="array" ref="AK88">INDEX(Demand_previous!$D$4:$AY$138, MATCH('Staging Table'!$A88, Demand_previous!$B$4:$B$138, 0), MATCH(AK$4&amp;AK$5,Demand_previous!$D$2:$AY$2&amp;Demand_previous!$D$3:$AY$3, 0))/1000</f>
        <v>5.8404791666666611</v>
      </c>
      <c r="AL88" s="384">
        <f t="array" ref="AL88">INDEX(Demand_previous!$D$4:$AY$138, MATCH('Staging Table'!$A88, Demand_previous!$B$4:$B$138, 0), MATCH(AL$4&amp;AL$5,Demand_previous!$D$2:$AY$2&amp;Demand_previous!$D$3:$AY$3, 0))/1000</f>
        <v>10.299045673076931</v>
      </c>
      <c r="AM88" s="384">
        <f t="array" ref="AM88">INDEX(Demand_previous!$D$4:$AY$138, MATCH('Staging Table'!$A88, Demand_previous!$B$4:$B$138, 0), MATCH(AM$4&amp;AM$5,Demand_previous!$D$2:$AY$2&amp;Demand_previous!$D$3:$AY$3, 0))/1000</f>
        <v>9.8200875000000032</v>
      </c>
      <c r="AN88" s="384">
        <f t="array" ref="AN88">INDEX(Demand_previous!$D$4:$AY$138, MATCH('Staging Table'!$A88, Demand_previous!$B$4:$B$138, 0), MATCH(AN$4&amp;AN$5,Demand_previous!$D$2:$AY$2&amp;Demand_previous!$D$3:$AY$3, 0))/1000</f>
        <v>6.3611024999999941</v>
      </c>
      <c r="AO88" s="384">
        <f t="array" ref="AO88">INDEX(Demand_previous!$D$4:$AY$138, MATCH('Staging Table'!$A88, Demand_previous!$B$4:$B$138, 0), MATCH(AO$4&amp;AO$5,Demand_previous!$D$2:$AY$2&amp;Demand_previous!$D$3:$AY$3, 0))/1000</f>
        <v>10.81746527777778</v>
      </c>
      <c r="AP88" s="384">
        <f t="array" ref="AP88">INDEX(Demand_previous!$D$4:$AY$138, MATCH('Staging Table'!$A88, Demand_previous!$B$4:$B$138, 0), MATCH(AP$4&amp;AP$5,Demand_previous!$D$2:$AY$2&amp;Demand_previous!$D$3:$AY$3, 0))/1000</f>
        <v>7.8152740384615313</v>
      </c>
      <c r="AQ88" s="384">
        <f t="array" ref="AQ88">INDEX(Demand_previous!$D$4:$AY$138, MATCH('Staging Table'!$A88, Demand_previous!$B$4:$B$138, 0), MATCH(AQ$4&amp;AQ$5,Demand_previous!$D$2:$AY$2&amp;Demand_previous!$D$3:$AY$3, 0))/1000</f>
        <v>3.1454050000000002</v>
      </c>
      <c r="AR88" s="384">
        <f t="array" ref="AR88">INDEX(Demand_previous!$D$4:$AY$138, MATCH('Staging Table'!$A88, Demand_previous!$B$4:$B$138, 0), MATCH(AR$4&amp;AR$5,Demand_previous!$D$2:$AY$2&amp;Demand_previous!$D$3:$AY$3, 0))/1000</f>
        <v>9.5335600961538489</v>
      </c>
      <c r="AS88" s="384">
        <f t="array" ref="AS88">INDEX(Demand_previous!$D$4:$AY$138, MATCH('Staging Table'!$A88, Demand_previous!$B$4:$B$138, 0), MATCH(AS$4&amp;AS$5,Demand_previous!$D$2:$AY$2&amp;Demand_previous!$D$3:$AY$3, 0))/1000</f>
        <v>6.708777499999993</v>
      </c>
      <c r="AT88" s="384">
        <f t="array" ref="AT88">INDEX(Demand_previous!$D$4:$AY$138, MATCH('Staging Table'!$A88, Demand_previous!$B$4:$B$138, 0), MATCH(AT$4&amp;AT$5,Demand_previous!$D$2:$AY$2&amp;Demand_previous!$D$3:$AY$3, 0))/1000</f>
        <v>5.7977083333333317</v>
      </c>
      <c r="AU88" s="384">
        <f t="array" ref="AU88">INDEX(Demand_previous!$D$4:$AY$138, MATCH('Staging Table'!$A88, Demand_previous!$B$4:$B$138, 0), MATCH(AU$4&amp;AU$5,Demand_previous!$D$2:$AY$2&amp;Demand_previous!$D$3:$AY$3, 0))/1000</f>
        <v>8.5505349999999982</v>
      </c>
      <c r="AV88" s="384">
        <f>IF($D88=0,IF(C88=0, MAX(AY88 - (VLOOKUP($A88,TOCA_previous!$A$2:$AI$137,MATCH("RHWM 2016",TOCA_previous!$A$2:$AI$2,0),FALSE)*$F$2*TOCA_previous!C85),0),0), 0)</f>
        <v>10739.139763692103</v>
      </c>
      <c r="AW88" s="427">
        <f>VLOOKUP($A88,REP_previous!$A$1:$D$135,MATCH("FY "&amp;$F$1&amp; " Total Refund",REP_previous!$A$1:$D$1,0),0)</f>
        <v>206603.5419347944</v>
      </c>
      <c r="AX88" s="398">
        <f>MIN(VLOOKUP($A88,TOCA_previous!$A$2:$AI$137,MATCH("TRL - NLSL - Exisiting Resource "&amp;$F$1,TOCA_previous!$A$2:$AI$2,0),FALSE)*$F$2,(VLOOKUP($A88,TOCA_previous!$A$2:$AI$137,MATCH("RHWM 2016",TOCA_previous!$A$2:$AI$2,0),FALSE)*$F$2))</f>
        <v>324445.82400000002</v>
      </c>
      <c r="AY88" s="384">
        <f>SUM(L88:AI88)+(F88*RT1SC!$C$3*$F$2)</f>
        <v>340859.4277636921</v>
      </c>
      <c r="AZ88" s="398">
        <f>VLOOKUP($A88,TOCA_previous!$A$2:$AI$137,MATCH("Above RHWM Not Served with LS "&amp;$F$1,TOCA_previous!$A$2:$AI$2,0),FALSE)*$F$2</f>
        <v>0</v>
      </c>
      <c r="BA88" s="206">
        <f t="shared" si="19"/>
        <v>16413.603763692081</v>
      </c>
      <c r="BB88" s="399">
        <f>(VLOOKUP($A88,TOCA_previous!$A$2:$AI$137,MATCH("RHWM 2016",TOCA_previous!$A$2:$AI$2,0),FALSE)*$F$2) - $AX88</f>
        <v>5674.4639999999781</v>
      </c>
      <c r="BC88" s="206">
        <f t="shared" si="20"/>
        <v>-5674.4639999999781</v>
      </c>
      <c r="BD88" s="400">
        <f t="shared" si="21"/>
        <v>0</v>
      </c>
      <c r="BE88" s="392">
        <f t="shared" si="22"/>
        <v>0</v>
      </c>
      <c r="BF88" s="399">
        <f t="shared" si="23"/>
        <v>-5674.4639999999781</v>
      </c>
      <c r="BG88" s="206">
        <f>VLOOKUP($A88,TOCA_current!$A$2:$AI$137,MATCH(BG$4,TOCA_current!$A$2:$AI$2,0),FALSE)</f>
        <v>5.3771000000000001E-3</v>
      </c>
      <c r="BH88" s="206">
        <f>VLOOKUP($A88,TOCA_current!$A$2:$AI$137,MATCH(BH$4,TOCA_current!$A$2:$AI$2,0),FALSE)</f>
        <v>5.3771000000000001E-3</v>
      </c>
      <c r="BI88" s="391">
        <f t="shared" si="24"/>
        <v>0</v>
      </c>
      <c r="BJ88" s="206">
        <f>VLOOKUP($A88,TOCA_current!A84:BG219,MATCH(BJ$4,TOCA_current!$A$2:$BG$2,0),FALSE)</f>
        <v>6.8016495728784501E-2</v>
      </c>
      <c r="BK88" s="206">
        <f t="shared" si="25"/>
        <v>0</v>
      </c>
      <c r="BL88" s="206">
        <f t="shared" si="26"/>
        <v>0</v>
      </c>
      <c r="BM88" s="381">
        <f>VLOOKUP($A88,IRD!$A$4:$G$139, 7, FALSE)</f>
        <v>18387.022000000001</v>
      </c>
      <c r="BN88" s="382">
        <f t="array" ref="BN88">IF($BI88=0, INDEX(LS_current!$D$4:$AY$139, MATCH('Staging Table'!$A88, LS_current!$B$4:$B$139, 0), MATCH(BN$4&amp;BN$5, LS_current!$D$2:$AY$2&amp;LS_current!$D$3:$AY$3, 0)),SUM(VLOOKUP($A88, LS_current!$B$4:$AY$139, LS_current!D$149, FALSE), VLOOKUP($A88, LS_current!$B$4:$AY$139,LS_current!D$149, FALSE))/2)</f>
        <v>-3567.8817992668446</v>
      </c>
      <c r="BO88" s="382">
        <f t="array" ref="BO88">IF($BI88=0, INDEX(LS_current!$D$4:$AY$139, MATCH('Staging Table'!$A88, LS_current!$B$4:$B$139, 0), MATCH(BO$4&amp;BO$5, LS_current!$D$2:$AY$2&amp;LS_current!$D$3:$AY$3, 0)),SUM(VLOOKUP($A88, LS_current!$B$4:$AY$139, LS_current!E$149, FALSE), VLOOKUP($A88, LS_current!$B$4:$AY$139,LS_current!E$149, FALSE))/2)</f>
        <v>-1952.6757328777348</v>
      </c>
      <c r="BP88" s="382">
        <f t="array" ref="BP88">IF($BI88=0, INDEX(LS_current!$D$4:$AY$139, MATCH('Staging Table'!$A88, LS_current!$B$4:$B$139, 0), MATCH(BP$4&amp;BP$5, LS_current!$D$2:$AY$2&amp;LS_current!$D$3:$AY$3, 0)),SUM(VLOOKUP($A88, LS_current!$B$4:$AY$139, LS_current!F$149, FALSE), VLOOKUP($A88, LS_current!$B$4:$AY$139,LS_current!F$149, FALSE))/2)</f>
        <v>-1096.1587365283194</v>
      </c>
      <c r="BQ88" s="382">
        <f t="array" ref="BQ88">IF($BI88=0, INDEX(LS_current!$D$4:$AY$139, MATCH('Staging Table'!$A88, LS_current!$B$4:$B$139, 0), MATCH(BQ$4&amp;BQ$5, LS_current!$D$2:$AY$2&amp;LS_current!$D$3:$AY$3, 0)),SUM(VLOOKUP($A88, LS_current!$B$4:$AY$139, LS_current!G$149, FALSE), VLOOKUP($A88, LS_current!$B$4:$AY$139,LS_current!G$149, FALSE))/2)</f>
        <v>2271.9729549138683</v>
      </c>
      <c r="BR88" s="382">
        <f t="array" ref="BR88">IF($BI88=0, INDEX(LS_current!$D$4:$AY$139, MATCH('Staging Table'!$A88, LS_current!$B$4:$B$139, 0), MATCH(BR$4&amp;BR$5, LS_current!$D$2:$AY$2&amp;LS_current!$D$3:$AY$3, 0)),SUM(VLOOKUP($A88, LS_current!$B$4:$AY$139, LS_current!H$149, FALSE), VLOOKUP($A88, LS_current!$B$4:$AY$139,LS_current!H$149, FALSE))/2)</f>
        <v>4166.885339734461</v>
      </c>
      <c r="BS88" s="382">
        <f t="array" ref="BS88">IF($BI88=0, INDEX(LS_current!$D$4:$AY$139, MATCH('Staging Table'!$A88, LS_current!$B$4:$B$139, 0), MATCH(BS$4&amp;BS$5, LS_current!$D$2:$AY$2&amp;LS_current!$D$3:$AY$3, 0)),SUM(VLOOKUP($A88, LS_current!$B$4:$AY$139, LS_current!I$149, FALSE), VLOOKUP($A88, LS_current!$B$4:$AY$139,LS_current!I$149, FALSE))/2)</f>
        <v>4938.8687876929234</v>
      </c>
      <c r="BT88" s="382">
        <f t="array" ref="BT88">IF($BI88=0, INDEX(LS_current!$D$4:$AY$139, MATCH('Staging Table'!$A88, LS_current!$B$4:$B$139, 0), MATCH(BT$4&amp;BT$5, LS_current!$D$2:$AY$2&amp;LS_current!$D$3:$AY$3, 0)),SUM(VLOOKUP($A88, LS_current!$B$4:$AY$139, LS_current!J$149, FALSE), VLOOKUP($A88, LS_current!$B$4:$AY$139,LS_current!J$149, FALSE))/2)</f>
        <v>7321.98848912412</v>
      </c>
      <c r="BU88" s="382">
        <f t="array" ref="BU88">IF($BI88=0, INDEX(LS_current!$D$4:$AY$139, MATCH('Staging Table'!$A88, LS_current!$B$4:$B$139, 0), MATCH(BU$4&amp;BU$5, LS_current!$D$2:$AY$2&amp;LS_current!$D$3:$AY$3, 0)),SUM(VLOOKUP($A88, LS_current!$B$4:$AY$139, LS_current!K$149, FALSE), VLOOKUP($A88, LS_current!$B$4:$AY$139,LS_current!K$149, FALSE))/2)</f>
        <v>6904.3965317590464</v>
      </c>
      <c r="BV88" s="382">
        <f t="array" ref="BV88">IF($BI88=0, INDEX(LS_current!$D$4:$AY$139, MATCH('Staging Table'!$A88, LS_current!$B$4:$B$139, 0), MATCH(BV$4&amp;BV$5, LS_current!$D$2:$AY$2&amp;LS_current!$D$3:$AY$3, 0)),SUM(VLOOKUP($A88, LS_current!$B$4:$AY$139, LS_current!L$149, FALSE), VLOOKUP($A88, LS_current!$B$4:$AY$139,LS_current!L$149, FALSE))/2)</f>
        <v>6263.839600134168</v>
      </c>
      <c r="BW88" s="382">
        <f t="array" ref="BW88">IF($BI88=0, INDEX(LS_current!$D$4:$AY$139, MATCH('Staging Table'!$A88, LS_current!$B$4:$B$139, 0), MATCH(BW$4&amp;BW$5, LS_current!$D$2:$AY$2&amp;LS_current!$D$3:$AY$3, 0)),SUM(VLOOKUP($A88, LS_current!$B$4:$AY$139, LS_current!M$149, FALSE), VLOOKUP($A88, LS_current!$B$4:$AY$139,LS_current!M$149, FALSE))/2)</f>
        <v>5813.4934538667831</v>
      </c>
      <c r="BX88" s="382">
        <f t="array" ref="BX88">IF($BI88=0, INDEX(LS_current!$D$4:$AY$139, MATCH('Staging Table'!$A88, LS_current!$B$4:$B$139, 0), MATCH(BX$4&amp;BX$5, LS_current!$D$2:$AY$2&amp;LS_current!$D$3:$AY$3, 0)),SUM(VLOOKUP($A88, LS_current!$B$4:$AY$139, LS_current!N$149, FALSE), VLOOKUP($A88, LS_current!$B$4:$AY$139,LS_current!N$149, FALSE))/2)</f>
        <v>1357.2344245831046</v>
      </c>
      <c r="BY88" s="382">
        <f t="array" ref="BY88">IF($BI88=0, INDEX(LS_current!$D$4:$AY$139, MATCH('Staging Table'!$A88, LS_current!$B$4:$B$139, 0), MATCH(BY$4&amp;BY$5, LS_current!$D$2:$AY$2&amp;LS_current!$D$3:$AY$3, 0)),SUM(VLOOKUP($A88, LS_current!$B$4:$AY$139, LS_current!O$149, FALSE), VLOOKUP($A88, LS_current!$B$4:$AY$139,LS_current!O$149, FALSE))/2)</f>
        <v>2877.9823549538487</v>
      </c>
      <c r="BZ88" s="382">
        <f t="array" ref="BZ88">IF($BI88=0, INDEX(LS_current!$D$4:$AY$139, MATCH('Staging Table'!$A88, LS_current!$B$4:$B$139, 0), MATCH(BZ$4&amp;BZ$5, LS_current!$D$2:$AY$2&amp;LS_current!$D$3:$AY$3, 0)),SUM(VLOOKUP($A88, LS_current!$B$4:$AY$139, LS_current!P$149, FALSE), VLOOKUP($A88, LS_current!$B$4:$AY$139,LS_current!P$149, FALSE))/2)</f>
        <v>-2969.8098998782079</v>
      </c>
      <c r="CA88" s="382">
        <f t="array" ref="CA88">IF($BI88=0, INDEX(LS_current!$D$4:$AY$139, MATCH('Staging Table'!$A88, LS_current!$B$4:$B$139, 0), MATCH(CA$4&amp;CA$5, LS_current!$D$2:$AY$2&amp;LS_current!$D$3:$AY$3, 0)),SUM(VLOOKUP($A88, LS_current!$B$4:$AY$139, LS_current!Q$149, FALSE), VLOOKUP($A88, LS_current!$B$4:$AY$139,LS_current!Q$149, FALSE))/2)</f>
        <v>-708.84117392090593</v>
      </c>
      <c r="CB88" s="382">
        <f t="array" ref="CB88">IF($BI88=0, INDEX(LS_current!$D$4:$AY$139, MATCH('Staging Table'!$A88, LS_current!$B$4:$B$139, 0), MATCH(CB$4&amp;CB$5, LS_current!$D$2:$AY$2&amp;LS_current!$D$3:$AY$3, 0)),SUM(VLOOKUP($A88, LS_current!$B$4:$AY$139, LS_current!R$149, FALSE), VLOOKUP($A88, LS_current!$B$4:$AY$139,LS_current!R$149, FALSE))/2)</f>
        <v>-11185.920324553379</v>
      </c>
      <c r="CC88" s="382">
        <f t="array" ref="CC88">IF($BI88=0, INDEX(LS_current!$D$4:$AY$139, MATCH('Staging Table'!$A88, LS_current!$B$4:$B$139, 0), MATCH(CC$4&amp;CC$5, LS_current!$D$2:$AY$2&amp;LS_current!$D$3:$AY$3, 0)),SUM(VLOOKUP($A88, LS_current!$B$4:$AY$139, LS_current!S$149, FALSE), VLOOKUP($A88, LS_current!$B$4:$AY$139,LS_current!S$149, FALSE))/2)</f>
        <v>-5286.0348550985764</v>
      </c>
      <c r="CD88" s="382">
        <f t="array" ref="CD88">IF($BI88=0, INDEX(LS_current!$D$4:$AY$139, MATCH('Staging Table'!$A88, LS_current!$B$4:$B$139, 0), MATCH(CD$4&amp;CD$5, LS_current!$D$2:$AY$2&amp;LS_current!$D$3:$AY$3, 0)),SUM(VLOOKUP($A88, LS_current!$B$4:$AY$139, LS_current!T$149, FALSE), VLOOKUP($A88, LS_current!$B$4:$AY$139,LS_current!T$149, FALSE))/2)</f>
        <v>-6064.4141878767987</v>
      </c>
      <c r="CE88" s="382">
        <f t="array" ref="CE88">IF($BI88=0, INDEX(LS_current!$D$4:$AY$139, MATCH('Staging Table'!$A88, LS_current!$B$4:$B$139, 0), MATCH(CE$4&amp;CE$5, LS_current!$D$2:$AY$2&amp;LS_current!$D$3:$AY$3, 0)),SUM(VLOOKUP($A88, LS_current!$B$4:$AY$139, LS_current!U$149, FALSE), VLOOKUP($A88, LS_current!$B$4:$AY$139,LS_current!U$149, FALSE))/2)</f>
        <v>-2391.1646921732172</v>
      </c>
      <c r="CF88" s="382">
        <f t="array" ref="CF88">IF($BI88=0, INDEX(LS_current!$D$4:$AY$139, MATCH('Staging Table'!$A88, LS_current!$B$4:$B$139, 0), MATCH(CF$4&amp;CF$5, LS_current!$D$2:$AY$2&amp;LS_current!$D$3:$AY$3, 0)),SUM(VLOOKUP($A88, LS_current!$B$4:$AY$139, LS_current!V$149, FALSE), VLOOKUP($A88, LS_current!$B$4:$AY$139,LS_current!V$149, FALSE))/2)</f>
        <v>217.3335685134989</v>
      </c>
      <c r="CG88" s="382">
        <f t="array" ref="CG88">IF($BI88=0, INDEX(LS_current!$D$4:$AY$139, MATCH('Staging Table'!$A88, LS_current!$B$4:$B$139, 0), MATCH(CG$4&amp;CG$5, LS_current!$D$2:$AY$2&amp;LS_current!$D$3:$AY$3, 0)),SUM(VLOOKUP($A88, LS_current!$B$4:$AY$139, LS_current!W$149, FALSE), VLOOKUP($A88, LS_current!$B$4:$AY$139,LS_current!W$149, FALSE))/2)</f>
        <v>1034.2969082190029</v>
      </c>
      <c r="CH88" s="382">
        <f t="array" ref="CH88">IF($BI88=0, INDEX(LS_current!$D$4:$AY$139, MATCH('Staging Table'!$A88, LS_current!$B$4:$B$139, 0), MATCH(CH$4&amp;CH$5, LS_current!$D$2:$AY$2&amp;LS_current!$D$3:$AY$3, 0)),SUM(VLOOKUP($A88, LS_current!$B$4:$AY$139, LS_current!X$149, FALSE), VLOOKUP($A88, LS_current!$B$4:$AY$139,LS_current!X$149, FALSE))/2)</f>
        <v>-3000.2312926259074</v>
      </c>
      <c r="CI88" s="382">
        <f t="array" ref="CI88">IF($BI88=0, INDEX(LS_current!$D$4:$AY$139, MATCH('Staging Table'!$A88, LS_current!$B$4:$B$139, 0), MATCH(CI$4&amp;CI$5, LS_current!$D$2:$AY$2&amp;LS_current!$D$3:$AY$3, 0)),SUM(VLOOKUP($A88, LS_current!$B$4:$AY$139, LS_current!Y$149, FALSE), VLOOKUP($A88, LS_current!$B$4:$AY$139,LS_current!Y$149, FALSE))/2)</f>
        <v>-183.08716298162472</v>
      </c>
      <c r="CJ88" s="382">
        <f t="array" ref="CJ88">IF($BI88=0, INDEX(LS_current!$D$4:$AY$139, MATCH('Staging Table'!$A88, LS_current!$B$4:$B$139, 0), MATCH(CJ$4&amp;CJ$5, LS_current!$D$2:$AY$2&amp;LS_current!$D$3:$AY$3, 0)),SUM(VLOOKUP($A88, LS_current!$B$4:$AY$139, LS_current!Z$149, FALSE), VLOOKUP($A88, LS_current!$B$4:$AY$139,LS_current!Z$149, FALSE))/2)</f>
        <v>-4505.3065453616819</v>
      </c>
      <c r="CK88" s="382">
        <f t="array" ref="CK88">IF($BI88=0, INDEX(LS_current!$D$4:$AY$139, MATCH('Staging Table'!$A88, LS_current!$B$4:$B$139, 0), MATCH(CK$4&amp;CK$5, LS_current!$D$2:$AY$2&amp;LS_current!$D$3:$AY$3, 0)),SUM(VLOOKUP($A88, LS_current!$B$4:$AY$139, LS_current!AA$149, FALSE), VLOOKUP($A88, LS_current!$B$4:$AY$139,LS_current!AA$149, FALSE))/2)</f>
        <v>-1704.2455348848889</v>
      </c>
      <c r="CL88" s="384">
        <f t="array" ref="CL88">INDEX(Demand_current!$D$4:$AY$138, MATCH($A88, Demand_current!$B$4:$B$138, 0), MATCH(CL$4&amp;CL$5,Demand_current!$D$2:$AY$2&amp;Demand_current!$D$3:$AY$3, 0))/1000</f>
        <v>6.5332211538461582</v>
      </c>
      <c r="CM88" s="384">
        <f t="array" ref="CM88">INDEX(Demand_current!$D$4:$AY$138, MATCH($A88, Demand_current!$B$4:$B$138, 0), MATCH(CM$4&amp;CM$5,Demand_current!$D$2:$AY$2&amp;Demand_current!$D$3:$AY$3, 0))/1000</f>
        <v>8.1703399999999959</v>
      </c>
      <c r="CN88" s="384">
        <f t="array" ref="CN88">INDEX(Demand_current!$D$4:$AY$138, MATCH($A88, Demand_current!$B$4:$B$138, 0), MATCH(CN$4&amp;CN$5,Demand_current!$D$2:$AY$2&amp;Demand_current!$D$3:$AY$3, 0))/1000</f>
        <v>7.6873675000000059</v>
      </c>
      <c r="CO88" s="384">
        <f t="array" ref="CO88">INDEX(Demand_current!$D$4:$AY$138, MATCH($A88, Demand_current!$B$4:$B$138, 0), MATCH(CO$4&amp;CO$5,Demand_current!$D$2:$AY$2&amp;Demand_current!$D$3:$AY$3, 0))/1000</f>
        <v>12.468737980769237</v>
      </c>
      <c r="CP88" s="384">
        <f t="array" ref="CP88">INDEX(Demand_current!$D$4:$AY$138, MATCH($A88, Demand_current!$B$4:$B$138, 0), MATCH(CP$4&amp;CP$5,Demand_current!$D$2:$AY$2&amp;Demand_current!$D$3:$AY$3, 0))/1000</f>
        <v>3.9088151041666634</v>
      </c>
      <c r="CQ88" s="384">
        <f t="array" ref="CQ88">INDEX(Demand_current!$D$4:$AY$138, MATCH($A88, Demand_current!$B$4:$B$138, 0), MATCH(CQ$4&amp;CQ$5,Demand_current!$D$2:$AY$2&amp;Demand_current!$D$3:$AY$3, 0))/1000</f>
        <v>10.81746527777778</v>
      </c>
      <c r="CR88" s="384">
        <f t="array" ref="CR88">INDEX(Demand_current!$D$4:$AY$138, MATCH($A88, Demand_current!$B$4:$B$138, 0), MATCH(CR$4&amp;CR$5,Demand_current!$D$2:$AY$2&amp;Demand_current!$D$3:$AY$3, 0))/1000</f>
        <v>6.0778049999999979</v>
      </c>
      <c r="CS88" s="384">
        <f t="array" ref="CS88">INDEX(Demand_current!$D$4:$AY$138, MATCH($A88, Demand_current!$B$4:$B$138, 0), MATCH(CS$4&amp;CS$5,Demand_current!$D$2:$AY$2&amp;Demand_current!$D$3:$AY$3, 0))/1000</f>
        <v>4.8034663461538436</v>
      </c>
      <c r="CT88" s="384">
        <f t="array" ref="CT88">INDEX(Demand_current!$D$4:$AY$138, MATCH($A88, Demand_current!$B$4:$B$138, 0), MATCH(CT$4&amp;CT$5,Demand_current!$D$2:$AY$2&amp;Demand_current!$D$3:$AY$3, 0))/1000</f>
        <v>9.5335600961538489</v>
      </c>
      <c r="CU88" s="384">
        <f t="array" ref="CU88">INDEX(Demand_current!$D$4:$AY$138, MATCH($A88, Demand_current!$B$4:$B$138, 0), MATCH(CU$4&amp;CU$5,Demand_current!$D$2:$AY$2&amp;Demand_current!$D$3:$AY$3, 0))/1000</f>
        <v>6.708777499999993</v>
      </c>
      <c r="CV88" s="384">
        <f t="array" ref="CV88">INDEX(Demand_current!$D$4:$AY$138, MATCH($A88, Demand_current!$B$4:$B$138, 0), MATCH(CV$4&amp;CV$5,Demand_current!$D$2:$AY$2&amp;Demand_current!$D$3:$AY$3, 0))/1000</f>
        <v>5.7977083333333317</v>
      </c>
      <c r="CW88" s="384">
        <f t="array" ref="CW88">INDEX(Demand_current!$D$4:$AY$138, MATCH($A88, Demand_current!$B$4:$B$138, 0), MATCH(CW$4&amp;CW$5,Demand_current!$D$2:$AY$2&amp;Demand_current!$D$3:$AY$3, 0))/1000</f>
        <v>6.8267656249999948</v>
      </c>
      <c r="CX88" s="384">
        <f>IF(D88=0,IF(C88=0,MAX(0,DA88 - (VLOOKUP($A88,TOCA_current!$A$2:$AI$137,MATCH("RHWM 2018",TOCA_current!$A$2:$AI$2,0),FALSE)*$BH$2)), 0),0)</f>
        <v>0</v>
      </c>
      <c r="CY88" s="427">
        <f>VLOOKUP($A88,REP_current!$A$1:$D$135,MATCH("FY "&amp;$BH$1&amp; " Total Refund",REP_current!$A$1:$D$1,0),0)</f>
        <v>213295.22609715705</v>
      </c>
      <c r="CZ88" s="432">
        <f>MIN(VLOOKUP($A88,TOCA_current!$A$2:$AI$137,MATCH("TRL - NLSL - Existing Resource "&amp;$BH$1,TOCA_current!$A$2:$AI$2,0),FALSE)*$BH$2, VLOOKUP($A88,TOCA_current!$A$2:$AI$137,MATCH("RHWM 2018",TOCA_current!$A$2:$AI$2,0),FALSE)*$BH$2)</f>
        <v>327124.68000000005</v>
      </c>
      <c r="DA88" s="397">
        <f>SUM(BN88:CK88)+(BH88*RT1SC!$C$4*$BH$2)</f>
        <v>325678.35177248268</v>
      </c>
      <c r="DB88" s="432">
        <f>VLOOKUP($A88,TOCA_current!$A$2:$AI$137,MATCH("Above RHWM Not Served with LS "&amp;$BH$1,TOCA_current!$A$2:$AI$2,0),FALSE)*$BH$2</f>
        <v>15181.080000000002</v>
      </c>
      <c r="DC88" s="401">
        <f t="shared" si="27"/>
        <v>-1446.3282275173697</v>
      </c>
      <c r="DD88" s="397">
        <f>(VLOOKUP($A88,TOCA_current!$A$2:$AI$137,MATCH("RHWM 2018",TOCA_current!$A$2:$AI$2,0),FALSE)*$BH$2) - $CZ88</f>
        <v>0</v>
      </c>
      <c r="DE88" s="397">
        <f t="shared" si="28"/>
        <v>0</v>
      </c>
      <c r="DF88" s="397">
        <f t="shared" si="29"/>
        <v>0</v>
      </c>
      <c r="DG88" s="397">
        <f t="shared" si="30"/>
        <v>0</v>
      </c>
      <c r="DH88" s="397">
        <f t="shared" si="31"/>
        <v>0</v>
      </c>
    </row>
    <row r="89" spans="1:112">
      <c r="A89" s="274">
        <v>10259</v>
      </c>
      <c r="B89" s="275" t="s">
        <v>90</v>
      </c>
      <c r="C89" s="397">
        <v>0</v>
      </c>
      <c r="D89" s="397">
        <v>0</v>
      </c>
      <c r="E89" s="205">
        <f>VLOOKUP($A89,TOCA_previous!$A$2:$AI$137,MATCH(E$4,TOCA_previous!$A$2:$AI$2,0),FALSE)</f>
        <v>3.8086000000000001E-3</v>
      </c>
      <c r="F89" s="206">
        <f>VLOOKUP($A89,TOCA_previous!$A$2:$AI$137,MATCH(F$4,TOCA_previous!$A$2:$AI$2,0),FALSE)</f>
        <v>3.8086000000000001E-3</v>
      </c>
      <c r="G89" s="206">
        <f t="shared" si="16"/>
        <v>0</v>
      </c>
      <c r="H89" s="206">
        <f>VLOOKUP($A89,TOCA_previous!$A$2:$AI$137,MATCH(H$4,TOCA_previous!$A$2:$AI$2,0),FALSE)</f>
        <v>6.5000000000000002E-2</v>
      </c>
      <c r="I89" s="206">
        <f t="shared" si="17"/>
        <v>0</v>
      </c>
      <c r="J89" s="206">
        <f t="shared" si="18"/>
        <v>0</v>
      </c>
      <c r="K89" s="381">
        <f>VLOOKUP(A89, IRD!$A$5:$C$139, 3, FALSE)</f>
        <v>0</v>
      </c>
      <c r="L89" s="382">
        <f t="array" ref="L89">IF($G89=0, INDEX(LS_previous!$D$4:$AY$138, MATCH('Staging Table'!$A89, LS_previous!$B$4:$B$138, 0), MATCH(L$4&amp;L$5, LS_previous!$D$2:$AY$2&amp;LS_previous!$D$3:$AY$3, 0)),SUM(VLOOKUP($A89, LS_previous!$B$4:$AY$138, LS_previous!D$149, FALSE), VLOOKUP('Staging Table'!$A89, LS_previous!$B$4:$AY$138,LS_previous!AB$149, FALSE))/2)</f>
        <v>-839.24992469481367</v>
      </c>
      <c r="M89" s="382">
        <f t="array" ref="M89">IF($G89=0, INDEX(LS_previous!$D$4:$AY$138, MATCH('Staging Table'!$A89, LS_previous!$B$4:$B$138, 0), MATCH(M$4&amp;M$5, LS_previous!$D$2:$AY$2&amp;LS_previous!$D$3:$AY$3, 0)),SUM(VLOOKUP($A89, LS_previous!$B$4:$AY$138, LS_previous!E$149, FALSE), VLOOKUP('Staging Table'!$A89, LS_previous!$B$4:$AY$138,LS_previous!AC$149, FALSE))/2)</f>
        <v>-366.34897045211983</v>
      </c>
      <c r="N89" s="382">
        <f t="array" ref="N89">IF($G89=0, INDEX(LS_previous!$D$4:$AY$138, MATCH('Staging Table'!$A89, LS_previous!$B$4:$B$138, 0), MATCH(N$4&amp;N$5, LS_previous!$D$2:$AY$2&amp;LS_previous!$D$3:$AY$3, 0)),SUM(VLOOKUP($A89, LS_previous!$B$4:$AY$138, LS_previous!F$149, FALSE), VLOOKUP('Staging Table'!$A89, LS_previous!$B$4:$AY$138,LS_previous!AD$149, FALSE))/2)</f>
        <v>-1365.52610727705</v>
      </c>
      <c r="O89" s="382">
        <f t="array" ref="O89">IF($G89=0, INDEX(LS_previous!$D$4:$AY$138, MATCH('Staging Table'!$A89, LS_previous!$B$4:$B$138, 0), MATCH(O$4&amp;O$5, LS_previous!$D$2:$AY$2&amp;LS_previous!$D$3:$AY$3, 0)),SUM(VLOOKUP($A89, LS_previous!$B$4:$AY$138, LS_previous!G$149, FALSE), VLOOKUP('Staging Table'!$A89, LS_previous!$B$4:$AY$138,LS_previous!AE$149, FALSE))/2)</f>
        <v>517.59161883590059</v>
      </c>
      <c r="P89" s="382">
        <f t="array" ref="P89">IF($G89=0, INDEX(LS_previous!$D$4:$AY$138, MATCH('Staging Table'!$A89, LS_previous!$B$4:$B$138, 0), MATCH(P$4&amp;P$5, LS_previous!$D$2:$AY$2&amp;LS_previous!$D$3:$AY$3, 0)),SUM(VLOOKUP($A89, LS_previous!$B$4:$AY$138, LS_previous!H$149, FALSE), VLOOKUP('Staging Table'!$A89, LS_previous!$B$4:$AY$138,LS_previous!AF$149, FALSE))/2)</f>
        <v>1582.00795347438</v>
      </c>
      <c r="Q89" s="382">
        <f t="array" ref="Q89">IF($G89=0, INDEX(LS_previous!$D$4:$AY$138, MATCH('Staging Table'!$A89, LS_previous!$B$4:$B$138, 0), MATCH(Q$4&amp;Q$5, LS_previous!$D$2:$AY$2&amp;LS_previous!$D$3:$AY$3, 0)),SUM(VLOOKUP($A89, LS_previous!$B$4:$AY$138, LS_previous!I$149, FALSE), VLOOKUP('Staging Table'!$A89, LS_previous!$B$4:$AY$138,LS_previous!AG$149, FALSE))/2)</f>
        <v>2089.5283513520917</v>
      </c>
      <c r="R89" s="382">
        <f t="array" ref="R89">IF($G89=0, INDEX(LS_previous!$D$4:$AY$138, MATCH('Staging Table'!$A89, LS_previous!$B$4:$B$138, 0), MATCH(R$4&amp;R$5, LS_previous!$D$2:$AY$2&amp;LS_previous!$D$3:$AY$3, 0)),SUM(VLOOKUP($A89, LS_previous!$B$4:$AY$138, LS_previous!J$149, FALSE), VLOOKUP('Staging Table'!$A89, LS_previous!$B$4:$AY$138,LS_previous!AH$149, FALSE))/2)</f>
        <v>2949.6745617433353</v>
      </c>
      <c r="S89" s="382">
        <f t="array" ref="S89">IF($G89=0, INDEX(LS_previous!$D$4:$AY$138, MATCH('Staging Table'!$A89, LS_previous!$B$4:$B$138, 0), MATCH(S$4&amp;S$5, LS_previous!$D$2:$AY$2&amp;LS_previous!$D$3:$AY$3, 0)),SUM(VLOOKUP($A89, LS_previous!$B$4:$AY$138, LS_previous!K$149, FALSE), VLOOKUP('Staging Table'!$A89, LS_previous!$B$4:$AY$138,LS_previous!AI$149, FALSE))/2)</f>
        <v>2860.8262260575493</v>
      </c>
      <c r="T89" s="382">
        <f t="array" ref="T89">IF($G89=0, INDEX(LS_previous!$D$4:$AY$138, MATCH('Staging Table'!$A89, LS_previous!$B$4:$B$138, 0), MATCH(T$4&amp;T$5, LS_previous!$D$2:$AY$2&amp;LS_previous!$D$3:$AY$3, 0)),SUM(VLOOKUP($A89, LS_previous!$B$4:$AY$138, LS_previous!L$149, FALSE), VLOOKUP('Staging Table'!$A89, LS_previous!$B$4:$AY$138,LS_previous!AJ$149, FALSE))/2)</f>
        <v>2087.4104616553359</v>
      </c>
      <c r="U89" s="382">
        <f t="array" ref="U89">IF($G89=0, INDEX(LS_previous!$D$4:$AY$138, MATCH('Staging Table'!$A89, LS_previous!$B$4:$B$138, 0), MATCH(U$4&amp;U$5, LS_previous!$D$2:$AY$2&amp;LS_previous!$D$3:$AY$3, 0)),SUM(VLOOKUP($A89, LS_previous!$B$4:$AY$138, LS_previous!M$149, FALSE), VLOOKUP('Staging Table'!$A89, LS_previous!$B$4:$AY$138,LS_previous!AK$149, FALSE))/2)</f>
        <v>2026.1137864949478</v>
      </c>
      <c r="V89" s="382">
        <f t="array" ref="V89">IF($G89=0, INDEX(LS_previous!$D$4:$AY$138, MATCH('Staging Table'!$A89, LS_previous!$B$4:$B$138, 0), MATCH(V$4&amp;V$5, LS_previous!$D$2:$AY$2&amp;LS_previous!$D$3:$AY$3, 0)),SUM(VLOOKUP($A89, LS_previous!$B$4:$AY$138, LS_previous!N$149, FALSE), VLOOKUP('Staging Table'!$A89, LS_previous!$B$4:$AY$138,LS_previous!AL$149, FALSE))/2)</f>
        <v>-87.288272594882073</v>
      </c>
      <c r="W89" s="382">
        <f t="array" ref="W89">IF($G89=0, INDEX(LS_previous!$D$4:$AY$138, MATCH('Staging Table'!$A89, LS_previous!$B$4:$B$138, 0), MATCH(W$4&amp;W$5, LS_previous!$D$2:$AY$2&amp;LS_previous!$D$3:$AY$3, 0)),SUM(VLOOKUP($A89, LS_previous!$B$4:$AY$138, LS_previous!O$149, FALSE), VLOOKUP('Staging Table'!$A89, LS_previous!$B$4:$AY$138,LS_previous!AM$149, FALSE))/2)</f>
        <v>596.50796709344559</v>
      </c>
      <c r="X89" s="382">
        <f t="array" ref="X89">IF($G89=0, INDEX(LS_previous!$D$4:$AY$138, MATCH('Staging Table'!$A89, LS_previous!$B$4:$B$138, 0), MATCH(X$4&amp;X$5, LS_previous!$D$2:$AY$2&amp;LS_previous!$D$3:$AY$3, 0)),SUM(VLOOKUP($A89, LS_previous!$B$4:$AY$138, LS_previous!P$149, FALSE), VLOOKUP('Staging Table'!$A89, LS_previous!$B$4:$AY$138,LS_previous!AN$149, FALSE))/2)</f>
        <v>352.62691750119666</v>
      </c>
      <c r="Y89" s="382">
        <f t="array" ref="Y89">IF($G89=0, INDEX(LS_previous!$D$4:$AY$138, MATCH('Staging Table'!$A89, LS_previous!$B$4:$B$138, 0), MATCH(Y$4&amp;Y$5, LS_previous!$D$2:$AY$2&amp;LS_previous!$D$3:$AY$3, 0)),SUM(VLOOKUP($A89, LS_previous!$B$4:$AY$138, LS_previous!Q$149, FALSE), VLOOKUP('Staging Table'!$A89, LS_previous!$B$4:$AY$138,LS_previous!AO$149, FALSE))/2)</f>
        <v>457.49477615924752</v>
      </c>
      <c r="Z89" s="382">
        <f t="array" ref="Z89">IF($G89=0, INDEX(LS_previous!$D$4:$AY$138, MATCH('Staging Table'!$A89, LS_previous!$B$4:$B$138, 0), MATCH(Z$4&amp;Z$5, LS_previous!$D$2:$AY$2&amp;LS_previous!$D$3:$AY$3, 0)),SUM(VLOOKUP($A89, LS_previous!$B$4:$AY$138, LS_previous!R$149, FALSE), VLOOKUP('Staging Table'!$A89, LS_previous!$B$4:$AY$138,LS_previous!AP$149, FALSE))/2)</f>
        <v>-6275.4959717372312</v>
      </c>
      <c r="AA89" s="382">
        <f t="array" ref="AA89">IF($G89=0, INDEX(LS_previous!$D$4:$AY$138, MATCH('Staging Table'!$A89, LS_previous!$B$4:$B$138, 0), MATCH(AA$4&amp;AA$5, LS_previous!$D$2:$AY$2&amp;LS_previous!$D$3:$AY$3, 0)),SUM(VLOOKUP($A89, LS_previous!$B$4:$AY$138, LS_previous!S$149, FALSE), VLOOKUP('Staging Table'!$A89, LS_previous!$B$4:$AY$138,LS_previous!AQ$149, FALSE))/2)</f>
        <v>-2341.5492327741658</v>
      </c>
      <c r="AB89" s="382">
        <f t="array" ref="AB89">IF($G89=0, INDEX(LS_previous!$D$4:$AY$138, MATCH('Staging Table'!$A89, LS_previous!$B$4:$B$138, 0), MATCH(AB$4&amp;AB$5, LS_previous!$D$2:$AY$2&amp;LS_previous!$D$3:$AY$3, 0)),SUM(VLOOKUP($A89, LS_previous!$B$4:$AY$138, LS_previous!T$149, FALSE), VLOOKUP('Staging Table'!$A89, LS_previous!$B$4:$AY$138,LS_previous!AR$149, FALSE))/2)</f>
        <v>-2239.5159156165337</v>
      </c>
      <c r="AC89" s="382">
        <f t="array" ref="AC89">IF($G89=0, INDEX(LS_previous!$D$4:$AY$138, MATCH('Staging Table'!$A89, LS_previous!$B$4:$B$138, 0), MATCH(AC$4&amp;AC$5, LS_previous!$D$2:$AY$2&amp;LS_previous!$D$3:$AY$3, 0)),SUM(VLOOKUP($A89, LS_previous!$B$4:$AY$138, LS_previous!U$149, FALSE), VLOOKUP('Staging Table'!$A89, LS_previous!$B$4:$AY$138,LS_previous!AS$149, FALSE))/2)</f>
        <v>-759.89036624629443</v>
      </c>
      <c r="AD89" s="382">
        <f t="array" ref="AD89">IF($G89=0, INDEX(LS_previous!$D$4:$AY$138, MATCH('Staging Table'!$A89, LS_previous!$B$4:$B$138, 0), MATCH(AD$4&amp;AD$5, LS_previous!$D$2:$AY$2&amp;LS_previous!$D$3:$AY$3, 0)),SUM(VLOOKUP($A89, LS_previous!$B$4:$AY$138, LS_previous!V$149, FALSE), VLOOKUP('Staging Table'!$A89, LS_previous!$B$4:$AY$138,LS_previous!AT$149, FALSE))/2)</f>
        <v>131.41265272119381</v>
      </c>
      <c r="AE89" s="382">
        <f t="array" ref="AE89">IF($G89=0, INDEX(LS_previous!$D$4:$AY$138, MATCH('Staging Table'!$A89, LS_previous!$B$4:$B$138, 0), MATCH(AE$4&amp;AE$5, LS_previous!$D$2:$AY$2&amp;LS_previous!$D$3:$AY$3, 0)),SUM(VLOOKUP($A89, LS_previous!$B$4:$AY$138, LS_previous!W$149, FALSE), VLOOKUP('Staging Table'!$A89, LS_previous!$B$4:$AY$138,LS_previous!AU$149, FALSE))/2)</f>
        <v>1141.6135953542462</v>
      </c>
      <c r="AF89" s="382">
        <f t="array" ref="AF89">IF($G89=0, INDEX(LS_previous!$D$4:$AY$138, MATCH('Staging Table'!$A89, LS_previous!$B$4:$B$138, 0), MATCH(AF$4&amp;AF$5, LS_previous!$D$2:$AY$2&amp;LS_previous!$D$3:$AY$3, 0)),SUM(VLOOKUP($A89, LS_previous!$B$4:$AY$138, LS_previous!X$149, FALSE), VLOOKUP('Staging Table'!$A89, LS_previous!$B$4:$AY$138,LS_previous!AV$149, FALSE))/2)</f>
        <v>-1162.547173011324</v>
      </c>
      <c r="AG89" s="382">
        <f t="array" ref="AG89">IF($G89=0, INDEX(LS_previous!$D$4:$AY$138, MATCH('Staging Table'!$A89, LS_previous!$B$4:$B$138, 0), MATCH(AG$4&amp;AG$5, LS_previous!$D$2:$AY$2&amp;LS_previous!$D$3:$AY$3, 0)),SUM(VLOOKUP($A89, LS_previous!$B$4:$AY$138, LS_previous!Y$149, FALSE), VLOOKUP('Staging Table'!$A89, LS_previous!$B$4:$AY$138,LS_previous!AW$149, FALSE))/2)</f>
        <v>311.23823143585287</v>
      </c>
      <c r="AH89" s="382">
        <f t="array" ref="AH89">IF($G89=0, INDEX(LS_previous!$D$4:$AY$138, MATCH('Staging Table'!$A89, LS_previous!$B$4:$B$138, 0), MATCH(AH$4&amp;AH$5, LS_previous!$D$2:$AY$2&amp;LS_previous!$D$3:$AY$3, 0)),SUM(VLOOKUP($A89, LS_previous!$B$4:$AY$138, LS_previous!Z$149, FALSE), VLOOKUP('Staging Table'!$A89, LS_previous!$B$4:$AY$138,LS_previous!AX$149, FALSE))/2)</f>
        <v>-863.67574841948954</v>
      </c>
      <c r="AI89" s="382">
        <f t="array" ref="AI89">IF($G89=0, INDEX(LS_previous!$D$4:$AY$138, MATCH('Staging Table'!$A89, LS_previous!$B$4:$B$138, 0), MATCH(AI$4&amp;AI$5, LS_previous!$D$2:$AY$2&amp;LS_previous!$D$3:$AY$3, 0)),SUM(VLOOKUP($A89, LS_previous!$B$4:$AY$138, LS_previous!AA$149, FALSE), VLOOKUP('Staging Table'!$A89, LS_previous!$B$4:$AY$138,LS_previous!AY$149, FALSE))/2)</f>
        <v>-112.37969946699286</v>
      </c>
      <c r="AJ89" s="384">
        <f t="array" ref="AJ89">INDEX(Demand_previous!$D$4:$AY$138, MATCH('Staging Table'!$A89, Demand_previous!$B$4:$B$138, 0), MATCH(AJ$4&amp;AJ$5,Demand_previous!$D$2:$AY$2&amp;Demand_previous!$D$3:$AY$3, 0))/1000</f>
        <v>4.4450115740740745</v>
      </c>
      <c r="AK89" s="384">
        <f t="array" ref="AK89">INDEX(Demand_previous!$D$4:$AY$138, MATCH('Staging Table'!$A89, Demand_previous!$B$4:$B$138, 0), MATCH(AK$4&amp;AK$5,Demand_previous!$D$2:$AY$2&amp;Demand_previous!$D$3:$AY$3, 0))/1000</f>
        <v>4.8451458333333299</v>
      </c>
      <c r="AL89" s="384">
        <f t="array" ref="AL89">INDEX(Demand_previous!$D$4:$AY$138, MATCH('Staging Table'!$A89, Demand_previous!$B$4:$B$138, 0), MATCH(AL$4&amp;AL$5,Demand_previous!$D$2:$AY$2&amp;Demand_previous!$D$3:$AY$3, 0))/1000</f>
        <v>6.6814615384615319</v>
      </c>
      <c r="AM89" s="384">
        <f t="array" ref="AM89">INDEX(Demand_previous!$D$4:$AY$138, MATCH('Staging Table'!$A89, Demand_previous!$B$4:$B$138, 0), MATCH(AM$4&amp;AM$5,Demand_previous!$D$2:$AY$2&amp;Demand_previous!$D$3:$AY$3, 0))/1000</f>
        <v>6.2710899999999983</v>
      </c>
      <c r="AN89" s="384">
        <f t="array" ref="AN89">INDEX(Demand_previous!$D$4:$AY$138, MATCH('Staging Table'!$A89, Demand_previous!$B$4:$B$138, 0), MATCH(AN$4&amp;AN$5,Demand_previous!$D$2:$AY$2&amp;Demand_previous!$D$3:$AY$3, 0))/1000</f>
        <v>4.2866974999999945</v>
      </c>
      <c r="AO89" s="384">
        <f t="array" ref="AO89">INDEX(Demand_previous!$D$4:$AY$138, MATCH('Staging Table'!$A89, Demand_previous!$B$4:$B$138, 0), MATCH(AO$4&amp;AO$5,Demand_previous!$D$2:$AY$2&amp;Demand_previous!$D$3:$AY$3, 0))/1000</f>
        <v>6.4623750000000015</v>
      </c>
      <c r="AP89" s="384">
        <f t="array" ref="AP89">INDEX(Demand_previous!$D$4:$AY$138, MATCH('Staging Table'!$A89, Demand_previous!$B$4:$B$138, 0), MATCH(AP$4&amp;AP$5,Demand_previous!$D$2:$AY$2&amp;Demand_previous!$D$3:$AY$3, 0))/1000</f>
        <v>5.0523581730769189</v>
      </c>
      <c r="AQ89" s="384">
        <f t="array" ref="AQ89">INDEX(Demand_previous!$D$4:$AY$138, MATCH('Staging Table'!$A89, Demand_previous!$B$4:$B$138, 0), MATCH(AQ$4&amp;AQ$5,Demand_previous!$D$2:$AY$2&amp;Demand_previous!$D$3:$AY$3, 0))/1000</f>
        <v>4.8954850000000034</v>
      </c>
      <c r="AR89" s="384">
        <f t="array" ref="AR89">INDEX(Demand_previous!$D$4:$AY$138, MATCH('Staging Table'!$A89, Demand_previous!$B$4:$B$138, 0), MATCH(AR$4&amp;AR$5,Demand_previous!$D$2:$AY$2&amp;Demand_previous!$D$3:$AY$3, 0))/1000</f>
        <v>6.5573365384615396</v>
      </c>
      <c r="AS89" s="384">
        <f t="array" ref="AS89">INDEX(Demand_previous!$D$4:$AY$138, MATCH('Staging Table'!$A89, Demand_previous!$B$4:$B$138, 0), MATCH(AS$4&amp;AS$5,Demand_previous!$D$2:$AY$2&amp;Demand_previous!$D$3:$AY$3, 0))/1000</f>
        <v>5.0609299999999973</v>
      </c>
      <c r="AT89" s="384">
        <f t="array" ref="AT89">INDEX(Demand_previous!$D$4:$AY$138, MATCH('Staging Table'!$A89, Demand_previous!$B$4:$B$138, 0), MATCH(AT$4&amp;AT$5,Demand_previous!$D$2:$AY$2&amp;Demand_previous!$D$3:$AY$3, 0))/1000</f>
        <v>5.7735416666666666</v>
      </c>
      <c r="AU89" s="384">
        <f t="array" ref="AU89">INDEX(Demand_previous!$D$4:$AY$138, MATCH('Staging Table'!$A89, Demand_previous!$B$4:$B$138, 0), MATCH(AU$4&amp;AU$5,Demand_previous!$D$2:$AY$2&amp;Demand_previous!$D$3:$AY$3, 0))/1000</f>
        <v>7.6168675000000032</v>
      </c>
      <c r="AV89" s="384">
        <f>IF($D89=0,IF(C89=0, MAX(AY89 - (VLOOKUP($A89,TOCA_previous!$A$2:$AI$137,MATCH("RHWM 2016",TOCA_previous!$A$2:$AI$2,0),FALSE)*$F$2*TOCA_previous!C86),0),0), 0)</f>
        <v>0</v>
      </c>
      <c r="AW89" s="427">
        <f>VLOOKUP($A89,REP_previous!$A$1:$D$135,MATCH("FY "&amp;$F$1&amp; " Total Refund",REP_previous!$A$1:$D$1,0),0)</f>
        <v>148763.61209453965</v>
      </c>
      <c r="AX89" s="398">
        <f>MIN(VLOOKUP($A89,TOCA_previous!$A$2:$AI$137,MATCH("TRL - NLSL - Exisiting Resource "&amp;$F$1,TOCA_previous!$A$2:$AI$2,0),FALSE)*$F$2,(VLOOKUP($A89,TOCA_previous!$A$2:$AI$137,MATCH("RHWM 2016",TOCA_previous!$A$2:$AI$2,0),FALSE)*$F$2))</f>
        <v>233619.264</v>
      </c>
      <c r="AY89" s="384">
        <f>SUM(L89:AI89)+(F89*RT1SC!$C$3*$F$2)</f>
        <v>234307.88954989181</v>
      </c>
      <c r="AZ89" s="398">
        <f>VLOOKUP($A89,TOCA_previous!$A$2:$AI$137,MATCH("Above RHWM Not Served with LS "&amp;$F$1,TOCA_previous!$A$2:$AI$2,0),FALSE)*$F$2</f>
        <v>0</v>
      </c>
      <c r="BA89" s="206">
        <f t="shared" si="19"/>
        <v>688.62554989181808</v>
      </c>
      <c r="BB89" s="399">
        <f>(VLOOKUP($A89,TOCA_previous!$A$2:$AI$137,MATCH("RHWM 2016",TOCA_previous!$A$2:$AI$2,0),FALSE)*$F$2) - $AX89</f>
        <v>1106.7840000000142</v>
      </c>
      <c r="BC89" s="206">
        <f t="shared" si="20"/>
        <v>-688.62554989181808</v>
      </c>
      <c r="BD89" s="400">
        <f t="shared" si="21"/>
        <v>0</v>
      </c>
      <c r="BE89" s="392">
        <f t="shared" si="22"/>
        <v>0</v>
      </c>
      <c r="BF89" s="399">
        <f t="shared" si="23"/>
        <v>-688.62554989181808</v>
      </c>
      <c r="BG89" s="206">
        <f>VLOOKUP($A89,TOCA_current!$A$2:$AI$137,MATCH(BG$4,TOCA_current!$A$2:$AI$2,0),FALSE)</f>
        <v>3.8233E-3</v>
      </c>
      <c r="BH89" s="206">
        <f>VLOOKUP($A89,TOCA_current!$A$2:$AI$137,MATCH(BH$4,TOCA_current!$A$2:$AI$2,0),FALSE)</f>
        <v>3.8233E-3</v>
      </c>
      <c r="BI89" s="391">
        <f t="shared" si="24"/>
        <v>0</v>
      </c>
      <c r="BJ89" s="206">
        <f>VLOOKUP($A89,TOCA_current!A85:BG220,MATCH(BJ$4,TOCA_current!$A$2:$BG$2,0),FALSE)</f>
        <v>6.6718514612835192E-2</v>
      </c>
      <c r="BK89" s="206">
        <f t="shared" si="25"/>
        <v>0</v>
      </c>
      <c r="BL89" s="206">
        <f t="shared" si="26"/>
        <v>0</v>
      </c>
      <c r="BM89" s="381">
        <f>VLOOKUP($A89,IRD!$A$4:$G$139, 7, FALSE)</f>
        <v>0</v>
      </c>
      <c r="BN89" s="382">
        <f t="array" ref="BN89">IF($BI89=0, INDEX(LS_current!$D$4:$AY$139, MATCH('Staging Table'!$A89, LS_current!$B$4:$B$139, 0), MATCH(BN$4&amp;BN$5, LS_current!$D$2:$AY$2&amp;LS_current!$D$3:$AY$3, 0)),SUM(VLOOKUP($A89, LS_current!$B$4:$AY$139, LS_current!D$149, FALSE), VLOOKUP($A89, LS_current!$B$4:$AY$139,LS_current!D$149, FALSE))/2)</f>
        <v>-946.26038872941353</v>
      </c>
      <c r="BO89" s="382">
        <f t="array" ref="BO89">IF($BI89=0, INDEX(LS_current!$D$4:$AY$139, MATCH('Staging Table'!$A89, LS_current!$B$4:$B$139, 0), MATCH(BO$4&amp;BO$5, LS_current!$D$2:$AY$2&amp;LS_current!$D$3:$AY$3, 0)),SUM(VLOOKUP($A89, LS_current!$B$4:$AY$139, LS_current!E$149, FALSE), VLOOKUP($A89, LS_current!$B$4:$AY$139,LS_current!E$149, FALSE))/2)</f>
        <v>-51.562028214361817</v>
      </c>
      <c r="BP89" s="382">
        <f t="array" ref="BP89">IF($BI89=0, INDEX(LS_current!$D$4:$AY$139, MATCH('Staging Table'!$A89, LS_current!$B$4:$B$139, 0), MATCH(BP$4&amp;BP$5, LS_current!$D$2:$AY$2&amp;LS_current!$D$3:$AY$3, 0)),SUM(VLOOKUP($A89, LS_current!$B$4:$AY$139, LS_current!F$149, FALSE), VLOOKUP($A89, LS_current!$B$4:$AY$139,LS_current!F$149, FALSE))/2)</f>
        <v>-1703.6569783282284</v>
      </c>
      <c r="BQ89" s="382">
        <f t="array" ref="BQ89">IF($BI89=0, INDEX(LS_current!$D$4:$AY$139, MATCH('Staging Table'!$A89, LS_current!$B$4:$B$139, 0), MATCH(BQ$4&amp;BQ$5, LS_current!$D$2:$AY$2&amp;LS_current!$D$3:$AY$3, 0)),SUM(VLOOKUP($A89, LS_current!$B$4:$AY$139, LS_current!G$149, FALSE), VLOOKUP($A89, LS_current!$B$4:$AY$139,LS_current!G$149, FALSE))/2)</f>
        <v>560.2863865321815</v>
      </c>
      <c r="BR89" s="382">
        <f t="array" ref="BR89">IF($BI89=0, INDEX(LS_current!$D$4:$AY$139, MATCH('Staging Table'!$A89, LS_current!$B$4:$B$139, 0), MATCH(BR$4&amp;BR$5, LS_current!$D$2:$AY$2&amp;LS_current!$D$3:$AY$3, 0)),SUM(VLOOKUP($A89, LS_current!$B$4:$AY$139, LS_current!H$149, FALSE), VLOOKUP($A89, LS_current!$B$4:$AY$139,LS_current!H$149, FALSE))/2)</f>
        <v>1091.8198153850153</v>
      </c>
      <c r="BS89" s="382">
        <f t="array" ref="BS89">IF($BI89=0, INDEX(LS_current!$D$4:$AY$139, MATCH('Staging Table'!$A89, LS_current!$B$4:$B$139, 0), MATCH(BS$4&amp;BS$5, LS_current!$D$2:$AY$2&amp;LS_current!$D$3:$AY$3, 0)),SUM(VLOOKUP($A89, LS_current!$B$4:$AY$139, LS_current!I$149, FALSE), VLOOKUP($A89, LS_current!$B$4:$AY$139,LS_current!I$149, FALSE))/2)</f>
        <v>1980.2880978569046</v>
      </c>
      <c r="BT89" s="382">
        <f t="array" ref="BT89">IF($BI89=0, INDEX(LS_current!$D$4:$AY$139, MATCH('Staging Table'!$A89, LS_current!$B$4:$B$139, 0), MATCH(BT$4&amp;BT$5, LS_current!$D$2:$AY$2&amp;LS_current!$D$3:$AY$3, 0)),SUM(VLOOKUP($A89, LS_current!$B$4:$AY$139, LS_current!J$149, FALSE), VLOOKUP($A89, LS_current!$B$4:$AY$139,LS_current!J$149, FALSE))/2)</f>
        <v>2776.5187578375426</v>
      </c>
      <c r="BU89" s="382">
        <f t="array" ref="BU89">IF($BI89=0, INDEX(LS_current!$D$4:$AY$139, MATCH('Staging Table'!$A89, LS_current!$B$4:$B$139, 0), MATCH(BU$4&amp;BU$5, LS_current!$D$2:$AY$2&amp;LS_current!$D$3:$AY$3, 0)),SUM(VLOOKUP($A89, LS_current!$B$4:$AY$139, LS_current!K$149, FALSE), VLOOKUP($A89, LS_current!$B$4:$AY$139,LS_current!K$149, FALSE))/2)</f>
        <v>2805.8081394012306</v>
      </c>
      <c r="BV89" s="382">
        <f t="array" ref="BV89">IF($BI89=0, INDEX(LS_current!$D$4:$AY$139, MATCH('Staging Table'!$A89, LS_current!$B$4:$B$139, 0), MATCH(BV$4&amp;BV$5, LS_current!$D$2:$AY$2&amp;LS_current!$D$3:$AY$3, 0)),SUM(VLOOKUP($A89, LS_current!$B$4:$AY$139, LS_current!L$149, FALSE), VLOOKUP($A89, LS_current!$B$4:$AY$139,LS_current!L$149, FALSE))/2)</f>
        <v>2841.0688968389986</v>
      </c>
      <c r="BW89" s="382">
        <f t="array" ref="BW89">IF($BI89=0, INDEX(LS_current!$D$4:$AY$139, MATCH('Staging Table'!$A89, LS_current!$B$4:$B$139, 0), MATCH(BW$4&amp;BW$5, LS_current!$D$2:$AY$2&amp;LS_current!$D$3:$AY$3, 0)),SUM(VLOOKUP($A89, LS_current!$B$4:$AY$139, LS_current!M$149, FALSE), VLOOKUP($A89, LS_current!$B$4:$AY$139,LS_current!M$149, FALSE))/2)</f>
        <v>2626.6778076972469</v>
      </c>
      <c r="BX89" s="382">
        <f t="array" ref="BX89">IF($BI89=0, INDEX(LS_current!$D$4:$AY$139, MATCH('Staging Table'!$A89, LS_current!$B$4:$B$139, 0), MATCH(BX$4&amp;BX$5, LS_current!$D$2:$AY$2&amp;LS_current!$D$3:$AY$3, 0)),SUM(VLOOKUP($A89, LS_current!$B$4:$AY$139, LS_current!N$149, FALSE), VLOOKUP($A89, LS_current!$B$4:$AY$139,LS_current!N$149, FALSE))/2)</f>
        <v>483.88212958817712</v>
      </c>
      <c r="BY89" s="382">
        <f t="array" ref="BY89">IF($BI89=0, INDEX(LS_current!$D$4:$AY$139, MATCH('Staging Table'!$A89, LS_current!$B$4:$B$139, 0), MATCH(BY$4&amp;BY$5, LS_current!$D$2:$AY$2&amp;LS_current!$D$3:$AY$3, 0)),SUM(VLOOKUP($A89, LS_current!$B$4:$AY$139, LS_current!O$149, FALSE), VLOOKUP($A89, LS_current!$B$4:$AY$139,LS_current!O$149, FALSE))/2)</f>
        <v>1258.7654057196351</v>
      </c>
      <c r="BZ89" s="382">
        <f t="array" ref="BZ89">IF($BI89=0, INDEX(LS_current!$D$4:$AY$139, MATCH('Staging Table'!$A89, LS_current!$B$4:$B$139, 0), MATCH(BZ$4&amp;BZ$5, LS_current!$D$2:$AY$2&amp;LS_current!$D$3:$AY$3, 0)),SUM(VLOOKUP($A89, LS_current!$B$4:$AY$139, LS_current!P$149, FALSE), VLOOKUP($A89, LS_current!$B$4:$AY$139,LS_current!P$149, FALSE))/2)</f>
        <v>-848.63455637878178</v>
      </c>
      <c r="CA89" s="382">
        <f t="array" ref="CA89">IF($BI89=0, INDEX(LS_current!$D$4:$AY$139, MATCH('Staging Table'!$A89, LS_current!$B$4:$B$139, 0), MATCH(CA$4&amp;CA$5, LS_current!$D$2:$AY$2&amp;LS_current!$D$3:$AY$3, 0)),SUM(VLOOKUP($A89, LS_current!$B$4:$AY$139, LS_current!Q$149, FALSE), VLOOKUP($A89, LS_current!$B$4:$AY$139,LS_current!Q$149, FALSE))/2)</f>
        <v>349.90188708564256</v>
      </c>
      <c r="CB89" s="382">
        <f t="array" ref="CB89">IF($BI89=0, INDEX(LS_current!$D$4:$AY$139, MATCH('Staging Table'!$A89, LS_current!$B$4:$B$139, 0), MATCH(CB$4&amp;CB$5, LS_current!$D$2:$AY$2&amp;LS_current!$D$3:$AY$3, 0)),SUM(VLOOKUP($A89, LS_current!$B$4:$AY$139, LS_current!R$149, FALSE), VLOOKUP($A89, LS_current!$B$4:$AY$139,LS_current!R$149, FALSE))/2)</f>
        <v>-6194.6107562189518</v>
      </c>
      <c r="CC89" s="382">
        <f t="array" ref="CC89">IF($BI89=0, INDEX(LS_current!$D$4:$AY$139, MATCH('Staging Table'!$A89, LS_current!$B$4:$B$139, 0), MATCH(CC$4&amp;CC$5, LS_current!$D$2:$AY$2&amp;LS_current!$D$3:$AY$3, 0)),SUM(VLOOKUP($A89, LS_current!$B$4:$AY$139, LS_current!S$149, FALSE), VLOOKUP($A89, LS_current!$B$4:$AY$139,LS_current!S$149, FALSE))/2)</f>
        <v>-2519.0520433502033</v>
      </c>
      <c r="CD89" s="382">
        <f t="array" ref="CD89">IF($BI89=0, INDEX(LS_current!$D$4:$AY$139, MATCH('Staging Table'!$A89, LS_current!$B$4:$B$139, 0), MATCH(CD$4&amp;CD$5, LS_current!$D$2:$AY$2&amp;LS_current!$D$3:$AY$3, 0)),SUM(VLOOKUP($A89, LS_current!$B$4:$AY$139, LS_current!T$149, FALSE), VLOOKUP($A89, LS_current!$B$4:$AY$139,LS_current!T$149, FALSE))/2)</f>
        <v>-2228.4538044688343</v>
      </c>
      <c r="CE89" s="382">
        <f t="array" ref="CE89">IF($BI89=0, INDEX(LS_current!$D$4:$AY$139, MATCH('Staging Table'!$A89, LS_current!$B$4:$B$139, 0), MATCH(CE$4&amp;CE$5, LS_current!$D$2:$AY$2&amp;LS_current!$D$3:$AY$3, 0)),SUM(VLOOKUP($A89, LS_current!$B$4:$AY$139, LS_current!U$149, FALSE), VLOOKUP($A89, LS_current!$B$4:$AY$139,LS_current!U$149, FALSE))/2)</f>
        <v>-259.12731542761958</v>
      </c>
      <c r="CF89" s="382">
        <f t="array" ref="CF89">IF($BI89=0, INDEX(LS_current!$D$4:$AY$139, MATCH('Staging Table'!$A89, LS_current!$B$4:$B$139, 0), MATCH(CF$4&amp;CF$5, LS_current!$D$2:$AY$2&amp;LS_current!$D$3:$AY$3, 0)),SUM(VLOOKUP($A89, LS_current!$B$4:$AY$139, LS_current!V$149, FALSE), VLOOKUP($A89, LS_current!$B$4:$AY$139,LS_current!V$149, FALSE))/2)</f>
        <v>836.84015130789157</v>
      </c>
      <c r="CG89" s="382">
        <f t="array" ref="CG89">IF($BI89=0, INDEX(LS_current!$D$4:$AY$139, MATCH('Staging Table'!$A89, LS_current!$B$4:$B$139, 0), MATCH(CG$4&amp;CG$5, LS_current!$D$2:$AY$2&amp;LS_current!$D$3:$AY$3, 0)),SUM(VLOOKUP($A89, LS_current!$B$4:$AY$139, LS_current!W$149, FALSE), VLOOKUP($A89, LS_current!$B$4:$AY$139,LS_current!W$149, FALSE))/2)</f>
        <v>1583.2494099223968</v>
      </c>
      <c r="CH89" s="382">
        <f t="array" ref="CH89">IF($BI89=0, INDEX(LS_current!$D$4:$AY$139, MATCH('Staging Table'!$A89, LS_current!$B$4:$B$139, 0), MATCH(CH$4&amp;CH$5, LS_current!$D$2:$AY$2&amp;LS_current!$D$3:$AY$3, 0)),SUM(VLOOKUP($A89, LS_current!$B$4:$AY$139, LS_current!X$149, FALSE), VLOOKUP($A89, LS_current!$B$4:$AY$139,LS_current!X$149, FALSE))/2)</f>
        <v>-1146.6314654175367</v>
      </c>
      <c r="CI89" s="382">
        <f t="array" ref="CI89">IF($BI89=0, INDEX(LS_current!$D$4:$AY$139, MATCH('Staging Table'!$A89, LS_current!$B$4:$B$139, 0), MATCH(CI$4&amp;CI$5, LS_current!$D$2:$AY$2&amp;LS_current!$D$3:$AY$3, 0)),SUM(VLOOKUP($A89, LS_current!$B$4:$AY$139, LS_current!Y$149, FALSE), VLOOKUP($A89, LS_current!$B$4:$AY$139,LS_current!Y$149, FALSE))/2)</f>
        <v>498.02476271082105</v>
      </c>
      <c r="CJ89" s="382">
        <f t="array" ref="CJ89">IF($BI89=0, INDEX(LS_current!$D$4:$AY$139, MATCH('Staging Table'!$A89, LS_current!$B$4:$B$139, 0), MATCH(CJ$4&amp;CJ$5, LS_current!$D$2:$AY$2&amp;LS_current!$D$3:$AY$3, 0)),SUM(VLOOKUP($A89, LS_current!$B$4:$AY$139, LS_current!Z$149, FALSE), VLOOKUP($A89, LS_current!$B$4:$AY$139,LS_current!Z$149, FALSE))/2)</f>
        <v>-1966.4139005749057</v>
      </c>
      <c r="CK89" s="382">
        <f t="array" ref="CK89">IF($BI89=0, INDEX(LS_current!$D$4:$AY$139, MATCH('Staging Table'!$A89, LS_current!$B$4:$B$139, 0), MATCH(CK$4&amp;CK$5, LS_current!$D$2:$AY$2&amp;LS_current!$D$3:$AY$3, 0)),SUM(VLOOKUP($A89, LS_current!$B$4:$AY$139, LS_current!AA$149, FALSE), VLOOKUP($A89, LS_current!$B$4:$AY$139,LS_current!AA$149, FALSE))/2)</f>
        <v>-118.36829274616139</v>
      </c>
      <c r="CL89" s="384">
        <f t="array" ref="CL89">INDEX(Demand_current!$D$4:$AY$138, MATCH($A89, Demand_current!$B$4:$B$138, 0), MATCH(CL$4&amp;CL$5,Demand_current!$D$2:$AY$2&amp;Demand_current!$D$3:$AY$3, 0))/1000</f>
        <v>3.4911658653846178</v>
      </c>
      <c r="CM89" s="384">
        <f t="array" ref="CM89">INDEX(Demand_current!$D$4:$AY$138, MATCH($A89, Demand_current!$B$4:$B$138, 0), MATCH(CM$4&amp;CM$5,Demand_current!$D$2:$AY$2&amp;Demand_current!$D$3:$AY$3, 0))/1000</f>
        <v>6.1219399999999951</v>
      </c>
      <c r="CN89" s="384">
        <f t="array" ref="CN89">INDEX(Demand_current!$D$4:$AY$138, MATCH($A89, Demand_current!$B$4:$B$138, 0), MATCH(CN$4&amp;CN$5,Demand_current!$D$2:$AY$2&amp;Demand_current!$D$3:$AY$3, 0))/1000</f>
        <v>5.2652799999999953</v>
      </c>
      <c r="CO89" s="384">
        <f t="array" ref="CO89">INDEX(Demand_current!$D$4:$AY$138, MATCH($A89, Demand_current!$B$4:$B$138, 0), MATCH(CO$4&amp;CO$5,Demand_current!$D$2:$AY$2&amp;Demand_current!$D$3:$AY$3, 0))/1000</f>
        <v>7.6491249999999953</v>
      </c>
      <c r="CP89" s="384">
        <f t="array" ref="CP89">INDEX(Demand_current!$D$4:$AY$138, MATCH($A89, Demand_current!$B$4:$B$138, 0), MATCH(CP$4&amp;CP$5,Demand_current!$D$2:$AY$2&amp;Demand_current!$D$3:$AY$3, 0))/1000</f>
        <v>2.9818515624999931</v>
      </c>
      <c r="CQ89" s="384">
        <f t="array" ref="CQ89">INDEX(Demand_current!$D$4:$AY$138, MATCH($A89, Demand_current!$B$4:$B$138, 0), MATCH(CQ$4&amp;CQ$5,Demand_current!$D$2:$AY$2&amp;Demand_current!$D$3:$AY$3, 0))/1000</f>
        <v>6.4623750000000015</v>
      </c>
      <c r="CR89" s="384">
        <f t="array" ref="CR89">INDEX(Demand_current!$D$4:$AY$138, MATCH($A89, Demand_current!$B$4:$B$138, 0), MATCH(CR$4&amp;CR$5,Demand_current!$D$2:$AY$2&amp;Demand_current!$D$3:$AY$3, 0))/1000</f>
        <v>4.0550124999999975</v>
      </c>
      <c r="CS89" s="384">
        <f t="array" ref="CS89">INDEX(Demand_current!$D$4:$AY$138, MATCH($A89, Demand_current!$B$4:$B$138, 0), MATCH(CS$4&amp;CS$5,Demand_current!$D$2:$AY$2&amp;Demand_current!$D$3:$AY$3, 0))/1000</f>
        <v>5.8689663461538464</v>
      </c>
      <c r="CT89" s="384">
        <f t="array" ref="CT89">INDEX(Demand_current!$D$4:$AY$138, MATCH($A89, Demand_current!$B$4:$B$138, 0), MATCH(CT$4&amp;CT$5,Demand_current!$D$2:$AY$2&amp;Demand_current!$D$3:$AY$3, 0))/1000</f>
        <v>6.5573365384615396</v>
      </c>
      <c r="CU89" s="384">
        <f t="array" ref="CU89">INDEX(Demand_current!$D$4:$AY$138, MATCH($A89, Demand_current!$B$4:$B$138, 0), MATCH(CU$4&amp;CU$5,Demand_current!$D$2:$AY$2&amp;Demand_current!$D$3:$AY$3, 0))/1000</f>
        <v>5.0609299999999973</v>
      </c>
      <c r="CV89" s="384">
        <f t="array" ref="CV89">INDEX(Demand_current!$D$4:$AY$138, MATCH($A89, Demand_current!$B$4:$B$138, 0), MATCH(CV$4&amp;CV$5,Demand_current!$D$2:$AY$2&amp;Demand_current!$D$3:$AY$3, 0))/1000</f>
        <v>5.7735416666666666</v>
      </c>
      <c r="CW89" s="384">
        <f t="array" ref="CW89">INDEX(Demand_current!$D$4:$AY$138, MATCH($A89, Demand_current!$B$4:$B$138, 0), MATCH(CW$4&amp;CW$5,Demand_current!$D$2:$AY$2&amp;Demand_current!$D$3:$AY$3, 0))/1000</f>
        <v>6.6365703125000035</v>
      </c>
      <c r="CX89" s="384">
        <f>IF(D89=0,IF(C89=0,MAX(0,DA89 - (VLOOKUP($A89,TOCA_current!$A$2:$AI$137,MATCH("RHWM 2018",TOCA_current!$A$2:$AI$2,0),FALSE)*$BH$2)), 0),0)</f>
        <v>1712.372393396683</v>
      </c>
      <c r="CY89" s="427">
        <f>VLOOKUP($A89,REP_current!$A$1:$D$135,MATCH("FY "&amp;$BH$1&amp; " Total Refund",REP_current!$A$1:$D$1,0),0)</f>
        <v>151660.12124328365</v>
      </c>
      <c r="CZ89" s="432">
        <f>MIN(VLOOKUP($A89,TOCA_current!$A$2:$AI$137,MATCH("TRL - NLSL - Existing Resource "&amp;$BH$1,TOCA_current!$A$2:$AI$2,0),FALSE)*$BH$2, VLOOKUP($A89,TOCA_current!$A$2:$AI$137,MATCH("RHWM 2018",TOCA_current!$A$2:$AI$2,0),FALSE)*$BH$2)</f>
        <v>232595.52</v>
      </c>
      <c r="DA89" s="397">
        <f>SUM(BN89:CK89)+(BH89*RT1SC!$C$4*$BH$2)</f>
        <v>234307.89239339667</v>
      </c>
      <c r="DB89" s="432">
        <f>VLOOKUP($A89,TOCA_current!$A$2:$AI$137,MATCH("Above RHWM Not Served with LS "&amp;$BH$1,TOCA_current!$A$2:$AI$2,0),FALSE)*$BH$2</f>
        <v>0</v>
      </c>
      <c r="DC89" s="401">
        <f t="shared" si="27"/>
        <v>1712.372393396683</v>
      </c>
      <c r="DD89" s="397">
        <f>(VLOOKUP($A89,TOCA_current!$A$2:$AI$137,MATCH("RHWM 2018",TOCA_current!$A$2:$AI$2,0),FALSE)*$BH$2) - $CZ89</f>
        <v>0</v>
      </c>
      <c r="DE89" s="397">
        <f t="shared" si="28"/>
        <v>0</v>
      </c>
      <c r="DF89" s="397">
        <f t="shared" si="29"/>
        <v>0</v>
      </c>
      <c r="DG89" s="397">
        <f t="shared" si="30"/>
        <v>0</v>
      </c>
      <c r="DH89" s="397">
        <f t="shared" si="31"/>
        <v>0</v>
      </c>
    </row>
    <row r="90" spans="1:112">
      <c r="A90" s="274">
        <v>10260</v>
      </c>
      <c r="B90" s="275" t="s">
        <v>91</v>
      </c>
      <c r="C90" s="397">
        <v>0</v>
      </c>
      <c r="D90" s="397">
        <v>0</v>
      </c>
      <c r="E90" s="205">
        <f>VLOOKUP($A90,TOCA_previous!$A$2:$AI$137,MATCH(E$4,TOCA_previous!$A$2:$AI$2,0),FALSE)</f>
        <v>3.6743000000000001E-3</v>
      </c>
      <c r="F90" s="206">
        <f>VLOOKUP($A90,TOCA_previous!$A$2:$AI$137,MATCH(F$4,TOCA_previous!$A$2:$AI$2,0),FALSE)</f>
        <v>3.6743000000000001E-3</v>
      </c>
      <c r="G90" s="206">
        <f t="shared" si="16"/>
        <v>0</v>
      </c>
      <c r="H90" s="206">
        <f>VLOOKUP($A90,TOCA_previous!$A$2:$AI$137,MATCH(H$4,TOCA_previous!$A$2:$AI$2,0),FALSE)</f>
        <v>0</v>
      </c>
      <c r="I90" s="206">
        <f t="shared" si="17"/>
        <v>0</v>
      </c>
      <c r="J90" s="206">
        <f t="shared" si="18"/>
        <v>0</v>
      </c>
      <c r="K90" s="381">
        <f>VLOOKUP(A90, IRD!$A$5:$C$139, 3, FALSE)</f>
        <v>0</v>
      </c>
      <c r="L90" s="382">
        <f t="array" ref="L90">IF($G90=0, INDEX(LS_previous!$D$4:$AY$138, MATCH('Staging Table'!$A90, LS_previous!$B$4:$B$138, 0), MATCH(L$4&amp;L$5, LS_previous!$D$2:$AY$2&amp;LS_previous!$D$3:$AY$3, 0)),SUM(VLOOKUP($A90, LS_previous!$B$4:$AY$138, LS_previous!D$149, FALSE), VLOOKUP('Staging Table'!$A90, LS_previous!$B$4:$AY$138,LS_previous!AB$149, FALSE))/2)</f>
        <v>1534.4629716940217</v>
      </c>
      <c r="M90" s="382">
        <f t="array" ref="M90">IF($G90=0, INDEX(LS_previous!$D$4:$AY$138, MATCH('Staging Table'!$A90, LS_previous!$B$4:$B$138, 0), MATCH(M$4&amp;M$5, LS_previous!$D$2:$AY$2&amp;LS_previous!$D$3:$AY$3, 0)),SUM(VLOOKUP($A90, LS_previous!$B$4:$AY$138, LS_previous!E$149, FALSE), VLOOKUP('Staging Table'!$A90, LS_previous!$B$4:$AY$138,LS_previous!AC$149, FALSE))/2)</f>
        <v>769.64820775817225</v>
      </c>
      <c r="N90" s="382">
        <f t="array" ref="N90">IF($G90=0, INDEX(LS_previous!$D$4:$AY$138, MATCH('Staging Table'!$A90, LS_previous!$B$4:$B$138, 0), MATCH(N$4&amp;N$5, LS_previous!$D$2:$AY$2&amp;LS_previous!$D$3:$AY$3, 0)),SUM(VLOOKUP($A90, LS_previous!$B$4:$AY$138, LS_previous!F$149, FALSE), VLOOKUP('Staging Table'!$A90, LS_previous!$B$4:$AY$138,LS_previous!AD$149, FALSE))/2)</f>
        <v>-751.13159107495449</v>
      </c>
      <c r="O90" s="382">
        <f t="array" ref="O90">IF($G90=0, INDEX(LS_previous!$D$4:$AY$138, MATCH('Staging Table'!$A90, LS_previous!$B$4:$B$138, 0), MATCH(O$4&amp;O$5, LS_previous!$D$2:$AY$2&amp;LS_previous!$D$3:$AY$3, 0)),SUM(VLOOKUP($A90, LS_previous!$B$4:$AY$138, LS_previous!G$149, FALSE), VLOOKUP('Staging Table'!$A90, LS_previous!$B$4:$AY$138,LS_previous!AE$149, FALSE))/2)</f>
        <v>596.40506826359979</v>
      </c>
      <c r="P90" s="382">
        <f t="array" ref="P90">IF($G90=0, INDEX(LS_previous!$D$4:$AY$138, MATCH('Staging Table'!$A90, LS_previous!$B$4:$B$138, 0), MATCH(P$4&amp;P$5, LS_previous!$D$2:$AY$2&amp;LS_previous!$D$3:$AY$3, 0)),SUM(VLOOKUP($A90, LS_previous!$B$4:$AY$138, LS_previous!H$149, FALSE), VLOOKUP('Staging Table'!$A90, LS_previous!$B$4:$AY$138,LS_previous!AF$149, FALSE))/2)</f>
        <v>1788.8910389253015</v>
      </c>
      <c r="Q90" s="382">
        <f t="array" ref="Q90">IF($G90=0, INDEX(LS_previous!$D$4:$AY$138, MATCH('Staging Table'!$A90, LS_previous!$B$4:$B$138, 0), MATCH(Q$4&amp;Q$5, LS_previous!$D$2:$AY$2&amp;LS_previous!$D$3:$AY$3, 0)),SUM(VLOOKUP($A90, LS_previous!$B$4:$AY$138, LS_previous!I$149, FALSE), VLOOKUP('Staging Table'!$A90, LS_previous!$B$4:$AY$138,LS_previous!AG$149, FALSE))/2)</f>
        <v>1908.5715409265849</v>
      </c>
      <c r="R90" s="382">
        <f t="array" ref="R90">IF($G90=0, INDEX(LS_previous!$D$4:$AY$138, MATCH('Staging Table'!$A90, LS_previous!$B$4:$B$138, 0), MATCH(R$4&amp;R$5, LS_previous!$D$2:$AY$2&amp;LS_previous!$D$3:$AY$3, 0)),SUM(VLOOKUP($A90, LS_previous!$B$4:$AY$138, LS_previous!J$149, FALSE), VLOOKUP('Staging Table'!$A90, LS_previous!$B$4:$AY$138,LS_previous!AH$149, FALSE))/2)</f>
        <v>4003.4181742933197</v>
      </c>
      <c r="S90" s="382">
        <f t="array" ref="S90">IF($G90=0, INDEX(LS_previous!$D$4:$AY$138, MATCH('Staging Table'!$A90, LS_previous!$B$4:$B$138, 0), MATCH(S$4&amp;S$5, LS_previous!$D$2:$AY$2&amp;LS_previous!$D$3:$AY$3, 0)),SUM(VLOOKUP($A90, LS_previous!$B$4:$AY$138, LS_previous!K$149, FALSE), VLOOKUP('Staging Table'!$A90, LS_previous!$B$4:$AY$138,LS_previous!AI$149, FALSE))/2)</f>
        <v>3113.9816619763824</v>
      </c>
      <c r="T90" s="382">
        <f t="array" ref="T90">IF($G90=0, INDEX(LS_previous!$D$4:$AY$138, MATCH('Staging Table'!$A90, LS_previous!$B$4:$B$138, 0), MATCH(T$4&amp;T$5, LS_previous!$D$2:$AY$2&amp;LS_previous!$D$3:$AY$3, 0)),SUM(VLOOKUP($A90, LS_previous!$B$4:$AY$138, LS_previous!L$149, FALSE), VLOOKUP('Staging Table'!$A90, LS_previous!$B$4:$AY$138,LS_previous!AJ$149, FALSE))/2)</f>
        <v>2913.4265207583358</v>
      </c>
      <c r="U90" s="382">
        <f t="array" ref="U90">IF($G90=0, INDEX(LS_previous!$D$4:$AY$138, MATCH('Staging Table'!$A90, LS_previous!$B$4:$B$138, 0), MATCH(U$4&amp;U$5, LS_previous!$D$2:$AY$2&amp;LS_previous!$D$3:$AY$3, 0)),SUM(VLOOKUP($A90, LS_previous!$B$4:$AY$138, LS_previous!M$149, FALSE), VLOOKUP('Staging Table'!$A90, LS_previous!$B$4:$AY$138,LS_previous!AK$149, FALSE))/2)</f>
        <v>2196.2276287397963</v>
      </c>
      <c r="V90" s="382">
        <f t="array" ref="V90">IF($G90=0, INDEX(LS_previous!$D$4:$AY$138, MATCH('Staging Table'!$A90, LS_previous!$B$4:$B$138, 0), MATCH(V$4&amp;V$5, LS_previous!$D$2:$AY$2&amp;LS_previous!$D$3:$AY$3, 0)),SUM(VLOOKUP($A90, LS_previous!$B$4:$AY$138, LS_previous!N$149, FALSE), VLOOKUP('Staging Table'!$A90, LS_previous!$B$4:$AY$138,LS_previous!AL$149, FALSE))/2)</f>
        <v>1069.9254003582992</v>
      </c>
      <c r="W90" s="382">
        <f t="array" ref="W90">IF($G90=0, INDEX(LS_previous!$D$4:$AY$138, MATCH('Staging Table'!$A90, LS_previous!$B$4:$B$138, 0), MATCH(W$4&amp;W$5, LS_previous!$D$2:$AY$2&amp;LS_previous!$D$3:$AY$3, 0)),SUM(VLOOKUP($A90, LS_previous!$B$4:$AY$138, LS_previous!O$149, FALSE), VLOOKUP('Staging Table'!$A90, LS_previous!$B$4:$AY$138,LS_previous!AM$149, FALSE))/2)</f>
        <v>956.98969019887772</v>
      </c>
      <c r="X90" s="382">
        <f t="array" ref="X90">IF($G90=0, INDEX(LS_previous!$D$4:$AY$138, MATCH('Staging Table'!$A90, LS_previous!$B$4:$B$138, 0), MATCH(X$4&amp;X$5, LS_previous!$D$2:$AY$2&amp;LS_previous!$D$3:$AY$3, 0)),SUM(VLOOKUP($A90, LS_previous!$B$4:$AY$138, LS_previous!P$149, FALSE), VLOOKUP('Staging Table'!$A90, LS_previous!$B$4:$AY$138,LS_previous!AN$149, FALSE))/2)</f>
        <v>1631.9369966587838</v>
      </c>
      <c r="Y90" s="382">
        <f t="array" ref="Y90">IF($G90=0, INDEX(LS_previous!$D$4:$AY$138, MATCH('Staging Table'!$A90, LS_previous!$B$4:$B$138, 0), MATCH(Y$4&amp;Y$5, LS_previous!$D$2:$AY$2&amp;LS_previous!$D$3:$AY$3, 0)),SUM(VLOOKUP($A90, LS_previous!$B$4:$AY$138, LS_previous!Q$149, FALSE), VLOOKUP('Staging Table'!$A90, LS_previous!$B$4:$AY$138,LS_previous!AO$149, FALSE))/2)</f>
        <v>933.71118614239367</v>
      </c>
      <c r="Z90" s="382">
        <f t="array" ref="Z90">IF($G90=0, INDEX(LS_previous!$D$4:$AY$138, MATCH('Staging Table'!$A90, LS_previous!$B$4:$B$138, 0), MATCH(Z$4&amp;Z$5, LS_previous!$D$2:$AY$2&amp;LS_previous!$D$3:$AY$3, 0)),SUM(VLOOKUP($A90, LS_previous!$B$4:$AY$138, LS_previous!R$149, FALSE), VLOOKUP('Staging Table'!$A90, LS_previous!$B$4:$AY$138,LS_previous!AP$149, FALSE))/2)</f>
        <v>-5060.1927427280643</v>
      </c>
      <c r="AA90" s="382">
        <f t="array" ref="AA90">IF($G90=0, INDEX(LS_previous!$D$4:$AY$138, MATCH('Staging Table'!$A90, LS_previous!$B$4:$B$138, 0), MATCH(AA$4&amp;AA$5, LS_previous!$D$2:$AY$2&amp;LS_previous!$D$3:$AY$3, 0)),SUM(VLOOKUP($A90, LS_previous!$B$4:$AY$138, LS_previous!S$149, FALSE), VLOOKUP('Staging Table'!$A90, LS_previous!$B$4:$AY$138,LS_previous!AQ$149, FALSE))/2)</f>
        <v>-2087.4064700105337</v>
      </c>
      <c r="AB90" s="382">
        <f t="array" ref="AB90">IF($G90=0, INDEX(LS_previous!$D$4:$AY$138, MATCH('Staging Table'!$A90, LS_previous!$B$4:$B$138, 0), MATCH(AB$4&amp;AB$5, LS_previous!$D$2:$AY$2&amp;LS_previous!$D$3:$AY$3, 0)),SUM(VLOOKUP($A90, LS_previous!$B$4:$AY$138, LS_previous!T$149, FALSE), VLOOKUP('Staging Table'!$A90, LS_previous!$B$4:$AY$138,LS_previous!AR$149, FALSE))/2)</f>
        <v>-1079.1473118074427</v>
      </c>
      <c r="AC90" s="382">
        <f t="array" ref="AC90">IF($G90=0, INDEX(LS_previous!$D$4:$AY$138, MATCH('Staging Table'!$A90, LS_previous!$B$4:$B$138, 0), MATCH(AC$4&amp;AC$5, LS_previous!$D$2:$AY$2&amp;LS_previous!$D$3:$AY$3, 0)),SUM(VLOOKUP($A90, LS_previous!$B$4:$AY$138, LS_previous!U$149, FALSE), VLOOKUP('Staging Table'!$A90, LS_previous!$B$4:$AY$138,LS_previous!AS$149, FALSE))/2)</f>
        <v>-432.03035490698949</v>
      </c>
      <c r="AD90" s="382">
        <f t="array" ref="AD90">IF($G90=0, INDEX(LS_previous!$D$4:$AY$138, MATCH('Staging Table'!$A90, LS_previous!$B$4:$B$138, 0), MATCH(AD$4&amp;AD$5, LS_previous!$D$2:$AY$2&amp;LS_previous!$D$3:$AY$3, 0)),SUM(VLOOKUP($A90, LS_previous!$B$4:$AY$138, LS_previous!V$149, FALSE), VLOOKUP('Staging Table'!$A90, LS_previous!$B$4:$AY$138,LS_previous!AT$149, FALSE))/2)</f>
        <v>1801.7030745926277</v>
      </c>
      <c r="AE90" s="382">
        <f t="array" ref="AE90">IF($G90=0, INDEX(LS_previous!$D$4:$AY$138, MATCH('Staging Table'!$A90, LS_previous!$B$4:$B$138, 0), MATCH(AE$4&amp;AE$5, LS_previous!$D$2:$AY$2&amp;LS_previous!$D$3:$AY$3, 0)),SUM(VLOOKUP($A90, LS_previous!$B$4:$AY$138, LS_previous!W$149, FALSE), VLOOKUP('Staging Table'!$A90, LS_previous!$B$4:$AY$138,LS_previous!AU$149, FALSE))/2)</f>
        <v>1674.851340521479</v>
      </c>
      <c r="AF90" s="382">
        <f t="array" ref="AF90">IF($G90=0, INDEX(LS_previous!$D$4:$AY$138, MATCH('Staging Table'!$A90, LS_previous!$B$4:$B$138, 0), MATCH(AF$4&amp;AF$5, LS_previous!$D$2:$AY$2&amp;LS_previous!$D$3:$AY$3, 0)),SUM(VLOOKUP($A90, LS_previous!$B$4:$AY$138, LS_previous!X$149, FALSE), VLOOKUP('Staging Table'!$A90, LS_previous!$B$4:$AY$138,LS_previous!AV$149, FALSE))/2)</f>
        <v>632.53779604171905</v>
      </c>
      <c r="AG90" s="382">
        <f t="array" ref="AG90">IF($G90=0, INDEX(LS_previous!$D$4:$AY$138, MATCH('Staging Table'!$A90, LS_previous!$B$4:$B$138, 0), MATCH(AG$4&amp;AG$5, LS_previous!$D$2:$AY$2&amp;LS_previous!$D$3:$AY$3, 0)),SUM(VLOOKUP($A90, LS_previous!$B$4:$AY$138, LS_previous!Y$149, FALSE), VLOOKUP('Staging Table'!$A90, LS_previous!$B$4:$AY$138,LS_previous!AW$149, FALSE))/2)</f>
        <v>955.18576717553788</v>
      </c>
      <c r="AH90" s="382">
        <f t="array" ref="AH90">IF($G90=0, INDEX(LS_previous!$D$4:$AY$138, MATCH('Staging Table'!$A90, LS_previous!$B$4:$B$138, 0), MATCH(AH$4&amp;AH$5, LS_previous!$D$2:$AY$2&amp;LS_previous!$D$3:$AY$3, 0)),SUM(VLOOKUP($A90, LS_previous!$B$4:$AY$138, LS_previous!Z$149, FALSE), VLOOKUP('Staging Table'!$A90, LS_previous!$B$4:$AY$138,LS_previous!AX$149, FALSE))/2)</f>
        <v>693.96677805027321</v>
      </c>
      <c r="AI90" s="382">
        <f t="array" ref="AI90">IF($G90=0, INDEX(LS_previous!$D$4:$AY$138, MATCH('Staging Table'!$A90, LS_previous!$B$4:$B$138, 0), MATCH(AI$4&amp;AI$5, LS_previous!$D$2:$AY$2&amp;LS_previous!$D$3:$AY$3, 0)),SUM(VLOOKUP($A90, LS_previous!$B$4:$AY$138, LS_previous!AA$149, FALSE), VLOOKUP('Staging Table'!$A90, LS_previous!$B$4:$AY$138,LS_previous!AY$149, FALSE))/2)</f>
        <v>574.5172490018449</v>
      </c>
      <c r="AJ90" s="384">
        <f t="array" ref="AJ90">INDEX(Demand_previous!$D$4:$AY$138, MATCH('Staging Table'!$A90, Demand_previous!$B$4:$B$138, 0), MATCH(AJ$4&amp;AJ$5,Demand_previous!$D$2:$AY$2&amp;Demand_previous!$D$3:$AY$3, 0))/1000</f>
        <v>4.245314814814817</v>
      </c>
      <c r="AK90" s="384">
        <f t="array" ref="AK90">INDEX(Demand_previous!$D$4:$AY$138, MATCH('Staging Table'!$A90, Demand_previous!$B$4:$B$138, 0), MATCH(AK$4&amp;AK$5,Demand_previous!$D$2:$AY$2&amp;Demand_previous!$D$3:$AY$3, 0))/1000</f>
        <v>1.5481223958333334</v>
      </c>
      <c r="AL90" s="384">
        <f t="array" ref="AL90">INDEX(Demand_previous!$D$4:$AY$138, MATCH('Staging Table'!$A90, Demand_previous!$B$4:$B$138, 0), MATCH(AL$4&amp;AL$5,Demand_previous!$D$2:$AY$2&amp;Demand_previous!$D$3:$AY$3, 0))/1000</f>
        <v>6.2514927884615368</v>
      </c>
      <c r="AM90" s="384">
        <f t="array" ref="AM90">INDEX(Demand_previous!$D$4:$AY$138, MATCH('Staging Table'!$A90, Demand_previous!$B$4:$B$138, 0), MATCH(AM$4&amp;AM$5,Demand_previous!$D$2:$AY$2&amp;Demand_previous!$D$3:$AY$3, 0))/1000</f>
        <v>3.5471100000000018</v>
      </c>
      <c r="AN90" s="384">
        <f t="array" ref="AN90">INDEX(Demand_previous!$D$4:$AY$138, MATCH('Staging Table'!$A90, Demand_previous!$B$4:$B$138, 0), MATCH(AN$4&amp;AN$5,Demand_previous!$D$2:$AY$2&amp;Demand_previous!$D$3:$AY$3, 0))/1000</f>
        <v>3.1689249999999998</v>
      </c>
      <c r="AO90" s="384">
        <f t="array" ref="AO90">INDEX(Demand_previous!$D$4:$AY$138, MATCH('Staging Table'!$A90, Demand_previous!$B$4:$B$138, 0), MATCH(AO$4&amp;AO$5,Demand_previous!$D$2:$AY$2&amp;Demand_previous!$D$3:$AY$3, 0))/1000</f>
        <v>4.2533055555555599</v>
      </c>
      <c r="AP90" s="384">
        <f t="array" ref="AP90">INDEX(Demand_previous!$D$4:$AY$138, MATCH('Staging Table'!$A90, Demand_previous!$B$4:$B$138, 0), MATCH(AP$4&amp;AP$5,Demand_previous!$D$2:$AY$2&amp;Demand_previous!$D$3:$AY$3, 0))/1000</f>
        <v>3.8164206730769252</v>
      </c>
      <c r="AQ90" s="384">
        <f t="array" ref="AQ90">INDEX(Demand_previous!$D$4:$AY$138, MATCH('Staging Table'!$A90, Demand_previous!$B$4:$B$138, 0), MATCH(AQ$4&amp;AQ$5,Demand_previous!$D$2:$AY$2&amp;Demand_previous!$D$3:$AY$3, 0))/1000</f>
        <v>1.4019549999999987</v>
      </c>
      <c r="AR90" s="384">
        <f t="array" ref="AR90">INDEX(Demand_previous!$D$4:$AY$138, MATCH('Staging Table'!$A90, Demand_previous!$B$4:$B$138, 0), MATCH(AR$4&amp;AR$5,Demand_previous!$D$2:$AY$2&amp;Demand_previous!$D$3:$AY$3, 0))/1000</f>
        <v>3.9111225961538496</v>
      </c>
      <c r="AS90" s="384">
        <f t="array" ref="AS90">INDEX(Demand_previous!$D$4:$AY$138, MATCH('Staging Table'!$A90, Demand_previous!$B$4:$B$138, 0), MATCH(AS$4&amp;AS$5,Demand_previous!$D$2:$AY$2&amp;Demand_previous!$D$3:$AY$3, 0))/1000</f>
        <v>3.9317149999999952</v>
      </c>
      <c r="AT90" s="384">
        <f t="array" ref="AT90">INDEX(Demand_previous!$D$4:$AY$138, MATCH('Staging Table'!$A90, Demand_previous!$B$4:$B$138, 0), MATCH(AT$4&amp;AT$5,Demand_previous!$D$2:$AY$2&amp;Demand_previous!$D$3:$AY$3, 0))/1000</f>
        <v>4.8043611111111053</v>
      </c>
      <c r="AU90" s="384">
        <f t="array" ref="AU90">INDEX(Demand_previous!$D$4:$AY$138, MATCH('Staging Table'!$A90, Demand_previous!$B$4:$B$138, 0), MATCH(AU$4&amp;AU$5,Demand_previous!$D$2:$AY$2&amp;Demand_previous!$D$3:$AY$3, 0))/1000</f>
        <v>4.663520000000001</v>
      </c>
      <c r="AV90" s="384">
        <f>IF($D90=0,IF(C90=0, MAX(AY90 - (VLOOKUP($A90,TOCA_previous!$A$2:$AI$137,MATCH("RHWM 2016",TOCA_previous!$A$2:$AI$2,0),FALSE)*$F$2*TOCA_previous!C87),0),0), 0)</f>
        <v>17089.923530501372</v>
      </c>
      <c r="AW90" s="427">
        <f>VLOOKUP($A90,REP_previous!$A$1:$D$135,MATCH("FY "&amp;$F$1&amp; " Total Refund",REP_previous!$A$1:$D$1,0),0)</f>
        <v>143517.8648109455</v>
      </c>
      <c r="AX90" s="398">
        <f>MIN(VLOOKUP($A90,TOCA_previous!$A$2:$AI$137,MATCH("TRL - NLSL - Exisiting Resource "&amp;$F$1,TOCA_previous!$A$2:$AI$2,0),FALSE)*$F$2,(VLOOKUP($A90,TOCA_previous!$A$2:$AI$137,MATCH("RHWM 2016",TOCA_previous!$A$2:$AI$2,0),FALSE)*$F$2))</f>
        <v>225379.872</v>
      </c>
      <c r="AY90" s="384">
        <f>SUM(L90:AI90)+(F90*RT1SC!$C$3*$F$2)</f>
        <v>245719.87553050136</v>
      </c>
      <c r="AZ90" s="398">
        <f>VLOOKUP($A90,TOCA_previous!$A$2:$AI$137,MATCH("Above RHWM Not Served with LS "&amp;$F$1,TOCA_previous!$A$2:$AI$2,0),FALSE)*$F$2</f>
        <v>0</v>
      </c>
      <c r="BA90" s="206">
        <f t="shared" si="19"/>
        <v>20340.003530501359</v>
      </c>
      <c r="BB90" s="399">
        <f>(VLOOKUP($A90,TOCA_previous!$A$2:$AI$137,MATCH("RHWM 2016",TOCA_previous!$A$2:$AI$2,0),FALSE)*$F$2) - $AX90</f>
        <v>3250.0799999999872</v>
      </c>
      <c r="BC90" s="206">
        <f t="shared" si="20"/>
        <v>-3250.0799999999872</v>
      </c>
      <c r="BD90" s="400">
        <f t="shared" si="21"/>
        <v>0</v>
      </c>
      <c r="BE90" s="392">
        <f t="shared" si="22"/>
        <v>0</v>
      </c>
      <c r="BF90" s="399">
        <f t="shared" si="23"/>
        <v>-3250.0799999999872</v>
      </c>
      <c r="BG90" s="206">
        <f>VLOOKUP($A90,TOCA_current!$A$2:$AI$137,MATCH(BG$4,TOCA_current!$A$2:$AI$2,0),FALSE)</f>
        <v>3.7241000000000002E-3</v>
      </c>
      <c r="BH90" s="206">
        <f>VLOOKUP($A90,TOCA_current!$A$2:$AI$137,MATCH(BH$4,TOCA_current!$A$2:$AI$2,0),FALSE)</f>
        <v>3.7241000000000002E-3</v>
      </c>
      <c r="BI90" s="391">
        <f t="shared" si="24"/>
        <v>0</v>
      </c>
      <c r="BJ90" s="206">
        <f>VLOOKUP($A90,TOCA_current!A86:BG221,MATCH(BJ$4,TOCA_current!$A$2:$BG$2,0),FALSE)</f>
        <v>0</v>
      </c>
      <c r="BK90" s="206">
        <f t="shared" si="25"/>
        <v>0</v>
      </c>
      <c r="BL90" s="206">
        <f t="shared" si="26"/>
        <v>0</v>
      </c>
      <c r="BM90" s="381">
        <f>VLOOKUP($A90,IRD!$A$4:$G$139, 7, FALSE)</f>
        <v>0</v>
      </c>
      <c r="BN90" s="382">
        <f t="array" ref="BN90">IF($BI90=0, INDEX(LS_current!$D$4:$AY$139, MATCH('Staging Table'!$A90, LS_current!$B$4:$B$139, 0), MATCH(BN$4&amp;BN$5, LS_current!$D$2:$AY$2&amp;LS_current!$D$3:$AY$3, 0)),SUM(VLOOKUP($A90, LS_current!$B$4:$AY$139, LS_current!D$149, FALSE), VLOOKUP($A90, LS_current!$B$4:$AY$139,LS_current!D$149, FALSE))/2)</f>
        <v>1322.6012264883175</v>
      </c>
      <c r="BO90" s="382">
        <f t="array" ref="BO90">IF($BI90=0, INDEX(LS_current!$D$4:$AY$139, MATCH('Staging Table'!$A90, LS_current!$B$4:$B$139, 0), MATCH(BO$4&amp;BO$5, LS_current!$D$2:$AY$2&amp;LS_current!$D$3:$AY$3, 0)),SUM(VLOOKUP($A90, LS_current!$B$4:$AY$139, LS_current!E$149, FALSE), VLOOKUP($A90, LS_current!$B$4:$AY$139,LS_current!E$149, FALSE))/2)</f>
        <v>1014.9510625969433</v>
      </c>
      <c r="BP90" s="382">
        <f t="array" ref="BP90">IF($BI90=0, INDEX(LS_current!$D$4:$AY$139, MATCH('Staging Table'!$A90, LS_current!$B$4:$B$139, 0), MATCH(BP$4&amp;BP$5, LS_current!$D$2:$AY$2&amp;LS_current!$D$3:$AY$3, 0)),SUM(VLOOKUP($A90, LS_current!$B$4:$AY$139, LS_current!F$149, FALSE), VLOOKUP($A90, LS_current!$B$4:$AY$139,LS_current!F$149, FALSE))/2)</f>
        <v>-1207.4005570298323</v>
      </c>
      <c r="BQ90" s="382">
        <f t="array" ref="BQ90">IF($BI90=0, INDEX(LS_current!$D$4:$AY$139, MATCH('Staging Table'!$A90, LS_current!$B$4:$B$139, 0), MATCH(BQ$4&amp;BQ$5, LS_current!$D$2:$AY$2&amp;LS_current!$D$3:$AY$3, 0)),SUM(VLOOKUP($A90, LS_current!$B$4:$AY$139, LS_current!G$149, FALSE), VLOOKUP($A90, LS_current!$B$4:$AY$139,LS_current!G$149, FALSE))/2)</f>
        <v>561.24563792652953</v>
      </c>
      <c r="BR90" s="382">
        <f t="array" ref="BR90">IF($BI90=0, INDEX(LS_current!$D$4:$AY$139, MATCH('Staging Table'!$A90, LS_current!$B$4:$B$139, 0), MATCH(BR$4&amp;BR$5, LS_current!$D$2:$AY$2&amp;LS_current!$D$3:$AY$3, 0)),SUM(VLOOKUP($A90, LS_current!$B$4:$AY$139, LS_current!H$149, FALSE), VLOOKUP($A90, LS_current!$B$4:$AY$139,LS_current!H$149, FALSE))/2)</f>
        <v>1188.9489664884586</v>
      </c>
      <c r="BS90" s="382">
        <f t="array" ref="BS90">IF($BI90=0, INDEX(LS_current!$D$4:$AY$139, MATCH('Staging Table'!$A90, LS_current!$B$4:$B$139, 0), MATCH(BS$4&amp;BS$5, LS_current!$D$2:$AY$2&amp;LS_current!$D$3:$AY$3, 0)),SUM(VLOOKUP($A90, LS_current!$B$4:$AY$139, LS_current!I$149, FALSE), VLOOKUP($A90, LS_current!$B$4:$AY$139,LS_current!I$149, FALSE))/2)</f>
        <v>1726.291134263306</v>
      </c>
      <c r="BT90" s="382">
        <f t="array" ref="BT90">IF($BI90=0, INDEX(LS_current!$D$4:$AY$139, MATCH('Staging Table'!$A90, LS_current!$B$4:$B$139, 0), MATCH(BT$4&amp;BT$5, LS_current!$D$2:$AY$2&amp;LS_current!$D$3:$AY$3, 0)),SUM(VLOOKUP($A90, LS_current!$B$4:$AY$139, LS_current!J$149, FALSE), VLOOKUP($A90, LS_current!$B$4:$AY$139,LS_current!J$149, FALSE))/2)</f>
        <v>3728.7199509488637</v>
      </c>
      <c r="BU90" s="382">
        <f t="array" ref="BU90">IF($BI90=0, INDEX(LS_current!$D$4:$AY$139, MATCH('Staging Table'!$A90, LS_current!$B$4:$B$139, 0), MATCH(BU$4&amp;BU$5, LS_current!$D$2:$AY$2&amp;LS_current!$D$3:$AY$3, 0)),SUM(VLOOKUP($A90, LS_current!$B$4:$AY$139, LS_current!K$149, FALSE), VLOOKUP($A90, LS_current!$B$4:$AY$139,LS_current!K$149, FALSE))/2)</f>
        <v>2994.3120629937803</v>
      </c>
      <c r="BV90" s="382">
        <f t="array" ref="BV90">IF($BI90=0, INDEX(LS_current!$D$4:$AY$139, MATCH('Staging Table'!$A90, LS_current!$B$4:$B$139, 0), MATCH(BV$4&amp;BV$5, LS_current!$D$2:$AY$2&amp;LS_current!$D$3:$AY$3, 0)),SUM(VLOOKUP($A90, LS_current!$B$4:$AY$139, LS_current!L$149, FALSE), VLOOKUP($A90, LS_current!$B$4:$AY$139,LS_current!L$149, FALSE))/2)</f>
        <v>3550.2783045060842</v>
      </c>
      <c r="BW90" s="382">
        <f t="array" ref="BW90">IF($BI90=0, INDEX(LS_current!$D$4:$AY$139, MATCH('Staging Table'!$A90, LS_current!$B$4:$B$139, 0), MATCH(BW$4&amp;BW$5, LS_current!$D$2:$AY$2&amp;LS_current!$D$3:$AY$3, 0)),SUM(VLOOKUP($A90, LS_current!$B$4:$AY$139, LS_current!M$149, FALSE), VLOOKUP($A90, LS_current!$B$4:$AY$139,LS_current!M$149, FALSE))/2)</f>
        <v>2723.002406937806</v>
      </c>
      <c r="BX90" s="382">
        <f t="array" ref="BX90">IF($BI90=0, INDEX(LS_current!$D$4:$AY$139, MATCH('Staging Table'!$A90, LS_current!$B$4:$B$139, 0), MATCH(BX$4&amp;BX$5, LS_current!$D$2:$AY$2&amp;LS_current!$D$3:$AY$3, 0)),SUM(VLOOKUP($A90, LS_current!$B$4:$AY$139, LS_current!N$149, FALSE), VLOOKUP($A90, LS_current!$B$4:$AY$139,LS_current!N$149, FALSE))/2)</f>
        <v>1514.0080592679951</v>
      </c>
      <c r="BY90" s="382">
        <f t="array" ref="BY90">IF($BI90=0, INDEX(LS_current!$D$4:$AY$139, MATCH('Staging Table'!$A90, LS_current!$B$4:$B$139, 0), MATCH(BY$4&amp;BY$5, LS_current!$D$2:$AY$2&amp;LS_current!$D$3:$AY$3, 0)),SUM(VLOOKUP($A90, LS_current!$B$4:$AY$139, LS_current!O$149, FALSE), VLOOKUP($A90, LS_current!$B$4:$AY$139,LS_current!O$149, FALSE))/2)</f>
        <v>1533.7205697278496</v>
      </c>
      <c r="BZ90" s="382">
        <f t="array" ref="BZ90">IF($BI90=0, INDEX(LS_current!$D$4:$AY$139, MATCH('Staging Table'!$A90, LS_current!$B$4:$B$139, 0), MATCH(BZ$4&amp;BZ$5, LS_current!$D$2:$AY$2&amp;LS_current!$D$3:$AY$3, 0)),SUM(VLOOKUP($A90, LS_current!$B$4:$AY$139, LS_current!P$149, FALSE), VLOOKUP($A90, LS_current!$B$4:$AY$139,LS_current!P$149, FALSE))/2)</f>
        <v>368.49820824674498</v>
      </c>
      <c r="CA90" s="382">
        <f t="array" ref="CA90">IF($BI90=0, INDEX(LS_current!$D$4:$AY$139, MATCH('Staging Table'!$A90, LS_current!$B$4:$B$139, 0), MATCH(CA$4&amp;CA$5, LS_current!$D$2:$AY$2&amp;LS_current!$D$3:$AY$3, 0)),SUM(VLOOKUP($A90, LS_current!$B$4:$AY$139, LS_current!Q$149, FALSE), VLOOKUP($A90, LS_current!$B$4:$AY$139,LS_current!Q$149, FALSE))/2)</f>
        <v>771.89914081961615</v>
      </c>
      <c r="CB90" s="382">
        <f t="array" ref="CB90">IF($BI90=0, INDEX(LS_current!$D$4:$AY$139, MATCH('Staging Table'!$A90, LS_current!$B$4:$B$139, 0), MATCH(CB$4&amp;CB$5, LS_current!$D$2:$AY$2&amp;LS_current!$D$3:$AY$3, 0)),SUM(VLOOKUP($A90, LS_current!$B$4:$AY$139, LS_current!R$149, FALSE), VLOOKUP($A90, LS_current!$B$4:$AY$139,LS_current!R$149, FALSE))/2)</f>
        <v>-5134.1879272971</v>
      </c>
      <c r="CC90" s="382">
        <f t="array" ref="CC90">IF($BI90=0, INDEX(LS_current!$D$4:$AY$139, MATCH('Staging Table'!$A90, LS_current!$B$4:$B$139, 0), MATCH(CC$4&amp;CC$5, LS_current!$D$2:$AY$2&amp;LS_current!$D$3:$AY$3, 0)),SUM(VLOOKUP($A90, LS_current!$B$4:$AY$139, LS_current!S$149, FALSE), VLOOKUP($A90, LS_current!$B$4:$AY$139,LS_current!S$149, FALSE))/2)</f>
        <v>-2345.1520856172665</v>
      </c>
      <c r="CD90" s="382">
        <f t="array" ref="CD90">IF($BI90=0, INDEX(LS_current!$D$4:$AY$139, MATCH('Staging Table'!$A90, LS_current!$B$4:$B$139, 0), MATCH(CD$4&amp;CD$5, LS_current!$D$2:$AY$2&amp;LS_current!$D$3:$AY$3, 0)),SUM(VLOOKUP($A90, LS_current!$B$4:$AY$139, LS_current!T$149, FALSE), VLOOKUP($A90, LS_current!$B$4:$AY$139,LS_current!T$149, FALSE))/2)</f>
        <v>-1191.5906201246016</v>
      </c>
      <c r="CE90" s="382">
        <f t="array" ref="CE90">IF($BI90=0, INDEX(LS_current!$D$4:$AY$139, MATCH('Staging Table'!$A90, LS_current!$B$4:$B$139, 0), MATCH(CE$4&amp;CE$5, LS_current!$D$2:$AY$2&amp;LS_current!$D$3:$AY$3, 0)),SUM(VLOOKUP($A90, LS_current!$B$4:$AY$139, LS_current!U$149, FALSE), VLOOKUP($A90, LS_current!$B$4:$AY$139,LS_current!U$149, FALSE))/2)</f>
        <v>-14.004012445792796</v>
      </c>
      <c r="CF90" s="382">
        <f t="array" ref="CF90">IF($BI90=0, INDEX(LS_current!$D$4:$AY$139, MATCH('Staging Table'!$A90, LS_current!$B$4:$B$139, 0), MATCH(CF$4&amp;CF$5, LS_current!$D$2:$AY$2&amp;LS_current!$D$3:$AY$3, 0)),SUM(VLOOKUP($A90, LS_current!$B$4:$AY$139, LS_current!V$149, FALSE), VLOOKUP($A90, LS_current!$B$4:$AY$139,LS_current!V$149, FALSE))/2)</f>
        <v>2374.2184052744269</v>
      </c>
      <c r="CG90" s="382">
        <f t="array" ref="CG90">IF($BI90=0, INDEX(LS_current!$D$4:$AY$139, MATCH('Staging Table'!$A90, LS_current!$B$4:$B$139, 0), MATCH(CG$4&amp;CG$5, LS_current!$D$2:$AY$2&amp;LS_current!$D$3:$AY$3, 0)),SUM(VLOOKUP($A90, LS_current!$B$4:$AY$139, LS_current!W$149, FALSE), VLOOKUP($A90, LS_current!$B$4:$AY$139,LS_current!W$149, FALSE))/2)</f>
        <v>2043.7011074181974</v>
      </c>
      <c r="CH90" s="382">
        <f t="array" ref="CH90">IF($BI90=0, INDEX(LS_current!$D$4:$AY$139, MATCH('Staging Table'!$A90, LS_current!$B$4:$B$139, 0), MATCH(CH$4&amp;CH$5, LS_current!$D$2:$AY$2&amp;LS_current!$D$3:$AY$3, 0)),SUM(VLOOKUP($A90, LS_current!$B$4:$AY$139, LS_current!X$149, FALSE), VLOOKUP($A90, LS_current!$B$4:$AY$139,LS_current!X$149, FALSE))/2)</f>
        <v>525.45004729907305</v>
      </c>
      <c r="CI90" s="382">
        <f t="array" ref="CI90">IF($BI90=0, INDEX(LS_current!$D$4:$AY$139, MATCH('Staging Table'!$A90, LS_current!$B$4:$B$139, 0), MATCH(CI$4&amp;CI$5, LS_current!$D$2:$AY$2&amp;LS_current!$D$3:$AY$3, 0)),SUM(VLOOKUP($A90, LS_current!$B$4:$AY$139, LS_current!Y$149, FALSE), VLOOKUP($A90, LS_current!$B$4:$AY$139,LS_current!Y$149, FALSE))/2)</f>
        <v>1074.8068808912103</v>
      </c>
      <c r="CJ90" s="382">
        <f t="array" ref="CJ90">IF($BI90=0, INDEX(LS_current!$D$4:$AY$139, MATCH('Staging Table'!$A90, LS_current!$B$4:$B$139, 0), MATCH(CJ$4&amp;CJ$5, LS_current!$D$2:$AY$2&amp;LS_current!$D$3:$AY$3, 0)),SUM(VLOOKUP($A90, LS_current!$B$4:$AY$139, LS_current!Z$149, FALSE), VLOOKUP($A90, LS_current!$B$4:$AY$139,LS_current!Z$149, FALSE))/2)</f>
        <v>-475.87837491983555</v>
      </c>
      <c r="CK90" s="382">
        <f t="array" ref="CK90">IF($BI90=0, INDEX(LS_current!$D$4:$AY$139, MATCH('Staging Table'!$A90, LS_current!$B$4:$B$139, 0), MATCH(CK$4&amp;CK$5, LS_current!$D$2:$AY$2&amp;LS_current!$D$3:$AY$3, 0)),SUM(VLOOKUP($A90, LS_current!$B$4:$AY$139, LS_current!AA$149, FALSE), VLOOKUP($A90, LS_current!$B$4:$AY$139,LS_current!AA$149, FALSE))/2)</f>
        <v>508.9220505542371</v>
      </c>
      <c r="CL90" s="384">
        <f t="array" ref="CL90">INDEX(Demand_current!$D$4:$AY$138, MATCH($A90, Demand_current!$B$4:$B$138, 0), MATCH(CL$4&amp;CL$5,Demand_current!$D$2:$AY$2&amp;Demand_current!$D$3:$AY$3, 0))/1000</f>
        <v>3.1164038461538492</v>
      </c>
      <c r="CM90" s="384">
        <f t="array" ref="CM90">INDEX(Demand_current!$D$4:$AY$138, MATCH($A90, Demand_current!$B$4:$B$138, 0), MATCH(CM$4&amp;CM$5,Demand_current!$D$2:$AY$2&amp;Demand_current!$D$3:$AY$3, 0))/1000</f>
        <v>2.8388775000000042</v>
      </c>
      <c r="CN90" s="384">
        <f t="array" ref="CN90">INDEX(Demand_current!$D$4:$AY$138, MATCH($A90, Demand_current!$B$4:$B$138, 0), MATCH(CN$4&amp;CN$5,Demand_current!$D$2:$AY$2&amp;Demand_current!$D$3:$AY$3, 0))/1000</f>
        <v>4.8599925000000006</v>
      </c>
      <c r="CO90" s="384">
        <f t="array" ref="CO90">INDEX(Demand_current!$D$4:$AY$138, MATCH($A90, Demand_current!$B$4:$B$138, 0), MATCH(CO$4&amp;CO$5,Demand_current!$D$2:$AY$2&amp;Demand_current!$D$3:$AY$3, 0))/1000</f>
        <v>4.9878750000000007</v>
      </c>
      <c r="CP90" s="384">
        <f t="array" ref="CP90">INDEX(Demand_current!$D$4:$AY$138, MATCH($A90, Demand_current!$B$4:$B$138, 0), MATCH(CP$4&amp;CP$5,Demand_current!$D$2:$AY$2&amp;Demand_current!$D$3:$AY$3, 0))/1000</f>
        <v>1.8163802083333334</v>
      </c>
      <c r="CQ90" s="384">
        <f t="array" ref="CQ90">INDEX(Demand_current!$D$4:$AY$138, MATCH($A90, Demand_current!$B$4:$B$138, 0), MATCH(CQ$4&amp;CQ$5,Demand_current!$D$2:$AY$2&amp;Demand_current!$D$3:$AY$3, 0))/1000</f>
        <v>4.2533055555555599</v>
      </c>
      <c r="CR90" s="384">
        <f t="array" ref="CR90">INDEX(Demand_current!$D$4:$AY$138, MATCH($A90, Demand_current!$B$4:$B$138, 0), MATCH(CR$4&amp;CR$5,Demand_current!$D$2:$AY$2&amp;Demand_current!$D$3:$AY$3, 0))/1000</f>
        <v>2.7300375000000003</v>
      </c>
      <c r="CS90" s="384">
        <f t="array" ref="CS90">INDEX(Demand_current!$D$4:$AY$138, MATCH($A90, Demand_current!$B$4:$B$138, 0), MATCH(CS$4&amp;CS$5,Demand_current!$D$2:$AY$2&amp;Demand_current!$D$3:$AY$3, 0))/1000</f>
        <v>2.4366874999999992</v>
      </c>
      <c r="CT90" s="384">
        <f t="array" ref="CT90">INDEX(Demand_current!$D$4:$AY$138, MATCH($A90, Demand_current!$B$4:$B$138, 0), MATCH(CT$4&amp;CT$5,Demand_current!$D$2:$AY$2&amp;Demand_current!$D$3:$AY$3, 0))/1000</f>
        <v>3.9111225961538496</v>
      </c>
      <c r="CU90" s="384">
        <f t="array" ref="CU90">INDEX(Demand_current!$D$4:$AY$138, MATCH($A90, Demand_current!$B$4:$B$138, 0), MATCH(CU$4&amp;CU$5,Demand_current!$D$2:$AY$2&amp;Demand_current!$D$3:$AY$3, 0))/1000</f>
        <v>3.9317149999999952</v>
      </c>
      <c r="CV90" s="384">
        <f t="array" ref="CV90">INDEX(Demand_current!$D$4:$AY$138, MATCH($A90, Demand_current!$B$4:$B$138, 0), MATCH(CV$4&amp;CV$5,Demand_current!$D$2:$AY$2&amp;Demand_current!$D$3:$AY$3, 0))/1000</f>
        <v>4.8043611111111053</v>
      </c>
      <c r="CW90" s="384">
        <f t="array" ref="CW90">INDEX(Demand_current!$D$4:$AY$138, MATCH($A90, Demand_current!$B$4:$B$138, 0), MATCH(CW$4&amp;CW$5,Demand_current!$D$2:$AY$2&amp;Demand_current!$D$3:$AY$3, 0))/1000</f>
        <v>3.5587083333333345</v>
      </c>
      <c r="CX90" s="384">
        <f>IF(D90=0,IF(C90=0,MAX(0,DA90 - (VLOOKUP($A90,TOCA_current!$A$2:$AI$137,MATCH("RHWM 2018",TOCA_current!$A$2:$AI$2,0),FALSE)*$BH$2)), 0),0)</f>
        <v>19159.998305351008</v>
      </c>
      <c r="CY90" s="427">
        <f>VLOOKUP($A90,REP_current!$A$1:$D$135,MATCH("FY "&amp;$BH$1&amp; " Total Refund",REP_current!$A$1:$D$1,0),0)</f>
        <v>147725.12162846563</v>
      </c>
      <c r="CZ90" s="432">
        <f>MIN(VLOOKUP($A90,TOCA_current!$A$2:$AI$137,MATCH("TRL - NLSL - Existing Resource "&amp;$BH$1,TOCA_current!$A$2:$AI$2,0),FALSE)*$BH$2, VLOOKUP($A90,TOCA_current!$A$2:$AI$137,MATCH("RHWM 2018",TOCA_current!$A$2:$AI$2,0),FALSE)*$BH$2)</f>
        <v>226559.88</v>
      </c>
      <c r="DA90" s="397">
        <f>SUM(BN90:CK90)+(BH90*RT1SC!$C$4*$BH$2)</f>
        <v>245719.87830535101</v>
      </c>
      <c r="DB90" s="432">
        <f>VLOOKUP($A90,TOCA_current!$A$2:$AI$137,MATCH("Above RHWM Not Served with LS "&amp;$BH$1,TOCA_current!$A$2:$AI$2,0),FALSE)*$BH$2</f>
        <v>0</v>
      </c>
      <c r="DC90" s="401">
        <f t="shared" si="27"/>
        <v>19159.998305351008</v>
      </c>
      <c r="DD90" s="397">
        <f>(VLOOKUP($A90,TOCA_current!$A$2:$AI$137,MATCH("RHWM 2018",TOCA_current!$A$2:$AI$2,0),FALSE)*$BH$2) - $CZ90</f>
        <v>0</v>
      </c>
      <c r="DE90" s="397">
        <f t="shared" si="28"/>
        <v>0</v>
      </c>
      <c r="DF90" s="397">
        <f t="shared" si="29"/>
        <v>0</v>
      </c>
      <c r="DG90" s="397">
        <f t="shared" si="30"/>
        <v>0</v>
      </c>
      <c r="DH90" s="397">
        <f t="shared" si="31"/>
        <v>0</v>
      </c>
    </row>
    <row r="91" spans="1:112">
      <c r="A91" s="274">
        <v>10273</v>
      </c>
      <c r="B91" s="275" t="s">
        <v>92</v>
      </c>
      <c r="C91" s="397">
        <v>0</v>
      </c>
      <c r="D91" s="397">
        <v>0</v>
      </c>
      <c r="E91" s="205">
        <f>VLOOKUP($A91,TOCA_previous!$A$2:$AI$137,MATCH(E$4,TOCA_previous!$A$2:$AI$2,0),FALSE)</f>
        <v>8.34E-4</v>
      </c>
      <c r="F91" s="206">
        <f>VLOOKUP($A91,TOCA_previous!$A$2:$AI$137,MATCH(F$4,TOCA_previous!$A$2:$AI$2,0),FALSE)</f>
        <v>8.34E-4</v>
      </c>
      <c r="G91" s="206">
        <f t="shared" si="16"/>
        <v>0</v>
      </c>
      <c r="H91" s="206">
        <f>VLOOKUP($A91,TOCA_previous!$A$2:$AI$137,MATCH(H$4,TOCA_previous!$A$2:$AI$2,0),FALSE)</f>
        <v>8.2600000000000007E-2</v>
      </c>
      <c r="I91" s="206">
        <f t="shared" si="17"/>
        <v>0</v>
      </c>
      <c r="J91" s="206">
        <f t="shared" si="18"/>
        <v>0</v>
      </c>
      <c r="K91" s="381">
        <f>VLOOKUP(A91, IRD!$A$5:$C$139, 3, FALSE)</f>
        <v>9522.0249999999996</v>
      </c>
      <c r="L91" s="382">
        <f t="array" ref="L91">IF($G91=0, INDEX(LS_previous!$D$4:$AY$138, MATCH('Staging Table'!$A91, LS_previous!$B$4:$B$138, 0), MATCH(L$4&amp;L$5, LS_previous!$D$2:$AY$2&amp;LS_previous!$D$3:$AY$3, 0)),SUM(VLOOKUP($A91, LS_previous!$B$4:$AY$138, LS_previous!D$149, FALSE), VLOOKUP('Staging Table'!$A91, LS_previous!$B$4:$AY$138,LS_previous!AB$149, FALSE))/2)</f>
        <v>11.489943497486365</v>
      </c>
      <c r="M91" s="382">
        <f t="array" ref="M91">IF($G91=0, INDEX(LS_previous!$D$4:$AY$138, MATCH('Staging Table'!$A91, LS_previous!$B$4:$B$138, 0), MATCH(M$4&amp;M$5, LS_previous!$D$2:$AY$2&amp;LS_previous!$D$3:$AY$3, 0)),SUM(VLOOKUP($A91, LS_previous!$B$4:$AY$138, LS_previous!E$149, FALSE), VLOOKUP('Staging Table'!$A91, LS_previous!$B$4:$AY$138,LS_previous!AC$149, FALSE))/2)</f>
        <v>117.21259771121458</v>
      </c>
      <c r="N91" s="382">
        <f t="array" ref="N91">IF($G91=0, INDEX(LS_previous!$D$4:$AY$138, MATCH('Staging Table'!$A91, LS_previous!$B$4:$B$138, 0), MATCH(N$4&amp;N$5, LS_previous!$D$2:$AY$2&amp;LS_previous!$D$3:$AY$3, 0)),SUM(VLOOKUP($A91, LS_previous!$B$4:$AY$138, LS_previous!F$149, FALSE), VLOOKUP('Staging Table'!$A91, LS_previous!$B$4:$AY$138,LS_previous!AD$149, FALSE))/2)</f>
        <v>-1054.3249650971645</v>
      </c>
      <c r="O91" s="382">
        <f t="array" ref="O91">IF($G91=0, INDEX(LS_previous!$D$4:$AY$138, MATCH('Staging Table'!$A91, LS_previous!$B$4:$B$138, 0), MATCH(O$4&amp;O$5, LS_previous!$D$2:$AY$2&amp;LS_previous!$D$3:$AY$3, 0)),SUM(VLOOKUP($A91, LS_previous!$B$4:$AY$138, LS_previous!G$149, FALSE), VLOOKUP('Staging Table'!$A91, LS_previous!$B$4:$AY$138,LS_previous!AE$149, FALSE))/2)</f>
        <v>-298.19941193374439</v>
      </c>
      <c r="P91" s="382">
        <f t="array" ref="P91">IF($G91=0, INDEX(LS_previous!$D$4:$AY$138, MATCH('Staging Table'!$A91, LS_previous!$B$4:$B$138, 0), MATCH(P$4&amp;P$5, LS_previous!$D$2:$AY$2&amp;LS_previous!$D$3:$AY$3, 0)),SUM(VLOOKUP($A91, LS_previous!$B$4:$AY$138, LS_previous!H$149, FALSE), VLOOKUP('Staging Table'!$A91, LS_previous!$B$4:$AY$138,LS_previous!AF$149, FALSE))/2)</f>
        <v>-651.94045544356641</v>
      </c>
      <c r="Q91" s="382">
        <f t="array" ref="Q91">IF($G91=0, INDEX(LS_previous!$D$4:$AY$138, MATCH('Staging Table'!$A91, LS_previous!$B$4:$B$138, 0), MATCH(Q$4&amp;Q$5, LS_previous!$D$2:$AY$2&amp;LS_previous!$D$3:$AY$3, 0)),SUM(VLOOKUP($A91, LS_previous!$B$4:$AY$138, LS_previous!I$149, FALSE), VLOOKUP('Staging Table'!$A91, LS_previous!$B$4:$AY$138,LS_previous!AG$149, FALSE))/2)</f>
        <v>-115.64587196669527</v>
      </c>
      <c r="R91" s="382">
        <f t="array" ref="R91">IF($G91=0, INDEX(LS_previous!$D$4:$AY$138, MATCH('Staging Table'!$A91, LS_previous!$B$4:$B$138, 0), MATCH(R$4&amp;R$5, LS_previous!$D$2:$AY$2&amp;LS_previous!$D$3:$AY$3, 0)),SUM(VLOOKUP($A91, LS_previous!$B$4:$AY$138, LS_previous!J$149, FALSE), VLOOKUP('Staging Table'!$A91, LS_previous!$B$4:$AY$138,LS_previous!AH$149, FALSE))/2)</f>
        <v>-241.36854852335773</v>
      </c>
      <c r="S91" s="382">
        <f t="array" ref="S91">IF($G91=0, INDEX(LS_previous!$D$4:$AY$138, MATCH('Staging Table'!$A91, LS_previous!$B$4:$B$138, 0), MATCH(S$4&amp;S$5, LS_previous!$D$2:$AY$2&amp;LS_previous!$D$3:$AY$3, 0)),SUM(VLOOKUP($A91, LS_previous!$B$4:$AY$138, LS_previous!K$149, FALSE), VLOOKUP('Staging Table'!$A91, LS_previous!$B$4:$AY$138,LS_previous!AI$149, FALSE))/2)</f>
        <v>56.163940012602325</v>
      </c>
      <c r="T91" s="382">
        <f t="array" ref="T91">IF($G91=0, INDEX(LS_previous!$D$4:$AY$138, MATCH('Staging Table'!$A91, LS_previous!$B$4:$B$138, 0), MATCH(T$4&amp;T$5, LS_previous!$D$2:$AY$2&amp;LS_previous!$D$3:$AY$3, 0)),SUM(VLOOKUP($A91, LS_previous!$B$4:$AY$138, LS_previous!L$149, FALSE), VLOOKUP('Staging Table'!$A91, LS_previous!$B$4:$AY$138,LS_previous!AJ$149, FALSE))/2)</f>
        <v>-597.73761423605788</v>
      </c>
      <c r="U91" s="382">
        <f t="array" ref="U91">IF($G91=0, INDEX(LS_previous!$D$4:$AY$138, MATCH('Staging Table'!$A91, LS_previous!$B$4:$B$138, 0), MATCH(U$4&amp;U$5, LS_previous!$D$2:$AY$2&amp;LS_previous!$D$3:$AY$3, 0)),SUM(VLOOKUP($A91, LS_previous!$B$4:$AY$138, LS_previous!M$149, FALSE), VLOOKUP('Staging Table'!$A91, LS_previous!$B$4:$AY$138,LS_previous!AK$149, FALSE))/2)</f>
        <v>-142.11287886971945</v>
      </c>
      <c r="V91" s="382">
        <f t="array" ref="V91">IF($G91=0, INDEX(LS_previous!$D$4:$AY$138, MATCH('Staging Table'!$A91, LS_previous!$B$4:$B$138, 0), MATCH(V$4&amp;V$5, LS_previous!$D$2:$AY$2&amp;LS_previous!$D$3:$AY$3, 0)),SUM(VLOOKUP($A91, LS_previous!$B$4:$AY$138, LS_previous!N$149, FALSE), VLOOKUP('Staging Table'!$A91, LS_previous!$B$4:$AY$138,LS_previous!AL$149, FALSE))/2)</f>
        <v>-1109.0597166266166</v>
      </c>
      <c r="W91" s="382">
        <f t="array" ref="W91">IF($G91=0, INDEX(LS_previous!$D$4:$AY$138, MATCH('Staging Table'!$A91, LS_previous!$B$4:$B$138, 0), MATCH(W$4&amp;W$5, LS_previous!$D$2:$AY$2&amp;LS_previous!$D$3:$AY$3, 0)),SUM(VLOOKUP($A91, LS_previous!$B$4:$AY$138, LS_previous!O$149, FALSE), VLOOKUP('Staging Table'!$A91, LS_previous!$B$4:$AY$138,LS_previous!AM$149, FALSE))/2)</f>
        <v>-410.03456195034028</v>
      </c>
      <c r="X91" s="382">
        <f t="array" ref="X91">IF($G91=0, INDEX(LS_previous!$D$4:$AY$138, MATCH('Staging Table'!$A91, LS_previous!$B$4:$B$138, 0), MATCH(X$4&amp;X$5, LS_previous!$D$2:$AY$2&amp;LS_previous!$D$3:$AY$3, 0)),SUM(VLOOKUP($A91, LS_previous!$B$4:$AY$138, LS_previous!P$149, FALSE), VLOOKUP('Staging Table'!$A91, LS_previous!$B$4:$AY$138,LS_previous!AN$149, FALSE))/2)</f>
        <v>61.970200912670407</v>
      </c>
      <c r="Y91" s="382">
        <f t="array" ref="Y91">IF($G91=0, INDEX(LS_previous!$D$4:$AY$138, MATCH('Staging Table'!$A91, LS_previous!$B$4:$B$138, 0), MATCH(Y$4&amp;Y$5, LS_previous!$D$2:$AY$2&amp;LS_previous!$D$3:$AY$3, 0)),SUM(VLOOKUP($A91, LS_previous!$B$4:$AY$138, LS_previous!Q$149, FALSE), VLOOKUP('Staging Table'!$A91, LS_previous!$B$4:$AY$138,LS_previous!AO$149, FALSE))/2)</f>
        <v>147.08637434144089</v>
      </c>
      <c r="Z91" s="382">
        <f t="array" ref="Z91">IF($G91=0, INDEX(LS_previous!$D$4:$AY$138, MATCH('Staging Table'!$A91, LS_previous!$B$4:$B$138, 0), MATCH(Z$4&amp;Z$5, LS_previous!$D$2:$AY$2&amp;LS_previous!$D$3:$AY$3, 0)),SUM(VLOOKUP($A91, LS_previous!$B$4:$AY$138, LS_previous!R$149, FALSE), VLOOKUP('Staging Table'!$A91, LS_previous!$B$4:$AY$138,LS_previous!AP$149, FALSE))/2)</f>
        <v>-386.18361424902878</v>
      </c>
      <c r="AA91" s="382">
        <f t="array" ref="AA91">IF($G91=0, INDEX(LS_previous!$D$4:$AY$138, MATCH('Staging Table'!$A91, LS_previous!$B$4:$B$138, 0), MATCH(AA$4&amp;AA$5, LS_previous!$D$2:$AY$2&amp;LS_previous!$D$3:$AY$3, 0)),SUM(VLOOKUP($A91, LS_previous!$B$4:$AY$138, LS_previous!S$149, FALSE), VLOOKUP('Staging Table'!$A91, LS_previous!$B$4:$AY$138,LS_previous!AQ$149, FALSE))/2)</f>
        <v>126.45246727573021</v>
      </c>
      <c r="AB91" s="382">
        <f t="array" ref="AB91">IF($G91=0, INDEX(LS_previous!$D$4:$AY$138, MATCH('Staging Table'!$A91, LS_previous!$B$4:$B$138, 0), MATCH(AB$4&amp;AB$5, LS_previous!$D$2:$AY$2&amp;LS_previous!$D$3:$AY$3, 0)),SUM(VLOOKUP($A91, LS_previous!$B$4:$AY$138, LS_previous!T$149, FALSE), VLOOKUP('Staging Table'!$A91, LS_previous!$B$4:$AY$138,LS_previous!AR$149, FALSE))/2)</f>
        <v>970.0805586241172</v>
      </c>
      <c r="AC91" s="382">
        <f t="array" ref="AC91">IF($G91=0, INDEX(LS_previous!$D$4:$AY$138, MATCH('Staging Table'!$A91, LS_previous!$B$4:$B$138, 0), MATCH(AC$4&amp;AC$5, LS_previous!$D$2:$AY$2&amp;LS_previous!$D$3:$AY$3, 0)),SUM(VLOOKUP($A91, LS_previous!$B$4:$AY$138, LS_previous!U$149, FALSE), VLOOKUP('Staging Table'!$A91, LS_previous!$B$4:$AY$138,LS_previous!AS$149, FALSE))/2)</f>
        <v>1011.0867665154096</v>
      </c>
      <c r="AD91" s="382">
        <f t="array" ref="AD91">IF($G91=0, INDEX(LS_previous!$D$4:$AY$138, MATCH('Staging Table'!$A91, LS_previous!$B$4:$B$138, 0), MATCH(AD$4&amp;AD$5, LS_previous!$D$2:$AY$2&amp;LS_previous!$D$3:$AY$3, 0)),SUM(VLOOKUP($A91, LS_previous!$B$4:$AY$138, LS_previous!V$149, FALSE), VLOOKUP('Staging Table'!$A91, LS_previous!$B$4:$AY$138,LS_previous!AT$149, FALSE))/2)</f>
        <v>1994.3712305228896</v>
      </c>
      <c r="AE91" s="382">
        <f t="array" ref="AE91">IF($G91=0, INDEX(LS_previous!$D$4:$AY$138, MATCH('Staging Table'!$A91, LS_previous!$B$4:$B$138, 0), MATCH(AE$4&amp;AE$5, LS_previous!$D$2:$AY$2&amp;LS_previous!$D$3:$AY$3, 0)),SUM(VLOOKUP($A91, LS_previous!$B$4:$AY$138, LS_previous!W$149, FALSE), VLOOKUP('Staging Table'!$A91, LS_previous!$B$4:$AY$138,LS_previous!AU$149, FALSE))/2)</f>
        <v>1822.1766778147983</v>
      </c>
      <c r="AF91" s="382">
        <f t="array" ref="AF91">IF($G91=0, INDEX(LS_previous!$D$4:$AY$138, MATCH('Staging Table'!$A91, LS_previous!$B$4:$B$138, 0), MATCH(AF$4&amp;AF$5, LS_previous!$D$2:$AY$2&amp;LS_previous!$D$3:$AY$3, 0)),SUM(VLOOKUP($A91, LS_previous!$B$4:$AY$138, LS_previous!X$149, FALSE), VLOOKUP('Staging Table'!$A91, LS_previous!$B$4:$AY$138,LS_previous!AV$149, FALSE))/2)</f>
        <v>1699.7994073697828</v>
      </c>
      <c r="AG91" s="382">
        <f t="array" ref="AG91">IF($G91=0, INDEX(LS_previous!$D$4:$AY$138, MATCH('Staging Table'!$A91, LS_previous!$B$4:$B$138, 0), MATCH(AG$4&amp;AG$5, LS_previous!$D$2:$AY$2&amp;LS_previous!$D$3:$AY$3, 0)),SUM(VLOOKUP($A91, LS_previous!$B$4:$AY$138, LS_previous!Y$149, FALSE), VLOOKUP('Staging Table'!$A91, LS_previous!$B$4:$AY$138,LS_previous!AW$149, FALSE))/2)</f>
        <v>1452.5157222122305</v>
      </c>
      <c r="AH91" s="382">
        <f t="array" ref="AH91">IF($G91=0, INDEX(LS_previous!$D$4:$AY$138, MATCH('Staging Table'!$A91, LS_previous!$B$4:$B$138, 0), MATCH(AH$4&amp;AH$5, LS_previous!$D$2:$AY$2&amp;LS_previous!$D$3:$AY$3, 0)),SUM(VLOOKUP($A91, LS_previous!$B$4:$AY$138, LS_previous!Z$149, FALSE), VLOOKUP('Staging Table'!$A91, LS_previous!$B$4:$AY$138,LS_previous!AX$149, FALSE))/2)</f>
        <v>1124.2111937767545</v>
      </c>
      <c r="AI91" s="382">
        <f t="array" ref="AI91">IF($G91=0, INDEX(LS_previous!$D$4:$AY$138, MATCH('Staging Table'!$A91, LS_previous!$B$4:$B$138, 0), MATCH(AI$4&amp;AI$5, LS_previous!$D$2:$AY$2&amp;LS_previous!$D$3:$AY$3, 0)),SUM(VLOOKUP($A91, LS_previous!$B$4:$AY$138, LS_previous!AA$149, FALSE), VLOOKUP('Staging Table'!$A91, LS_previous!$B$4:$AY$138,LS_previous!AY$149, FALSE))/2)</f>
        <v>1158.9305329634324</v>
      </c>
      <c r="AJ91" s="384">
        <f t="array" ref="AJ91">INDEX(Demand_previous!$D$4:$AY$138, MATCH('Staging Table'!$A91, Demand_previous!$B$4:$B$138, 0), MATCH(AJ$4&amp;AJ$5,Demand_previous!$D$2:$AY$2&amp;Demand_previous!$D$3:$AY$3, 0))/1000</f>
        <v>1.0543379629629634</v>
      </c>
      <c r="AK91" s="384">
        <f t="array" ref="AK91">INDEX(Demand_previous!$D$4:$AY$138, MATCH('Staging Table'!$A91, Demand_previous!$B$4:$B$138, 0), MATCH(AK$4&amp;AK$5,Demand_previous!$D$2:$AY$2&amp;Demand_previous!$D$3:$AY$3, 0))/1000</f>
        <v>0.31119010416666804</v>
      </c>
      <c r="AL91" s="384">
        <f t="array" ref="AL91">INDEX(Demand_previous!$D$4:$AY$138, MATCH('Staging Table'!$A91, Demand_previous!$B$4:$B$138, 0), MATCH(AL$4&amp;AL$5,Demand_previous!$D$2:$AY$2&amp;Demand_previous!$D$3:$AY$3, 0))/1000</f>
        <v>2.229098557692307</v>
      </c>
      <c r="AM91" s="384">
        <f t="array" ref="AM91">INDEX(Demand_previous!$D$4:$AY$138, MATCH('Staging Table'!$A91, Demand_previous!$B$4:$B$138, 0), MATCH(AM$4&amp;AM$5,Demand_previous!$D$2:$AY$2&amp;Demand_previous!$D$3:$AY$3, 0))/1000</f>
        <v>0.58246000000000198</v>
      </c>
      <c r="AN91" s="384">
        <f t="array" ref="AN91">INDEX(Demand_previous!$D$4:$AY$138, MATCH('Staging Table'!$A91, Demand_previous!$B$4:$B$138, 0), MATCH(AN$4&amp;AN$5,Demand_previous!$D$2:$AY$2&amp;Demand_previous!$D$3:$AY$3, 0))/1000</f>
        <v>1.0925025000000002</v>
      </c>
      <c r="AO91" s="384">
        <f t="array" ref="AO91">INDEX(Demand_previous!$D$4:$AY$138, MATCH('Staging Table'!$A91, Demand_previous!$B$4:$B$138, 0), MATCH(AO$4&amp;AO$5,Demand_previous!$D$2:$AY$2&amp;Demand_previous!$D$3:$AY$3, 0))/1000</f>
        <v>0.63172453703703713</v>
      </c>
      <c r="AP91" s="384">
        <f t="array" ref="AP91">INDEX(Demand_previous!$D$4:$AY$138, MATCH('Staging Table'!$A91, Demand_previous!$B$4:$B$138, 0), MATCH(AP$4&amp;AP$5,Demand_previous!$D$2:$AY$2&amp;Demand_previous!$D$3:$AY$3, 0))/1000</f>
        <v>0.52373076923077111</v>
      </c>
      <c r="AQ91" s="384">
        <f t="array" ref="AQ91">INDEX(Demand_previous!$D$4:$AY$138, MATCH('Staging Table'!$A91, Demand_previous!$B$4:$B$138, 0), MATCH(AQ$4&amp;AQ$5,Demand_previous!$D$2:$AY$2&amp;Demand_previous!$D$3:$AY$3, 0))/1000</f>
        <v>5.4520000000000124E-2</v>
      </c>
      <c r="AR91" s="384">
        <f t="array" ref="AR91">INDEX(Demand_previous!$D$4:$AY$138, MATCH('Staging Table'!$A91, Demand_previous!$B$4:$B$138, 0), MATCH(AR$4&amp;AR$5,Demand_previous!$D$2:$AY$2&amp;Demand_previous!$D$3:$AY$3, 0))/1000</f>
        <v>1.4048605769230782</v>
      </c>
      <c r="AS91" s="384">
        <f t="array" ref="AS91">INDEX(Demand_previous!$D$4:$AY$138, MATCH('Staging Table'!$A91, Demand_previous!$B$4:$B$138, 0), MATCH(AS$4&amp;AS$5,Demand_previous!$D$2:$AY$2&amp;Demand_previous!$D$3:$AY$3, 0))/1000</f>
        <v>0.38528249999999908</v>
      </c>
      <c r="AT91" s="384">
        <f t="array" ref="AT91">INDEX(Demand_previous!$D$4:$AY$138, MATCH('Staging Table'!$A91, Demand_previous!$B$4:$B$138, 0), MATCH(AT$4&amp;AT$5,Demand_previous!$D$2:$AY$2&amp;Demand_previous!$D$3:$AY$3, 0))/1000</f>
        <v>1.8480879629629636</v>
      </c>
      <c r="AU91" s="384">
        <f t="array" ref="AU91">INDEX(Demand_previous!$D$4:$AY$138, MATCH('Staging Table'!$A91, Demand_previous!$B$4:$B$138, 0), MATCH(AU$4&amp;AU$5,Demand_previous!$D$2:$AY$2&amp;Demand_previous!$D$3:$AY$3, 0))/1000</f>
        <v>1.1027300000000015</v>
      </c>
      <c r="AV91" s="384">
        <f>IF($D91=0,IF(C91=0, MAX(AY91 - (VLOOKUP($A91,TOCA_previous!$A$2:$AI$137,MATCH("RHWM 2016",TOCA_previous!$A$2:$AI$2,0),FALSE)*$F$2*TOCA_previous!C88),0),0), 0)</f>
        <v>6745.9991204142716</v>
      </c>
      <c r="AW91" s="427">
        <f>VLOOKUP($A91,REP_previous!$A$1:$D$135,MATCH("FY "&amp;$F$1&amp; " Total Refund",REP_previous!$A$1:$D$1,0),0)</f>
        <v>67917.49914179706</v>
      </c>
      <c r="AX91" s="398">
        <f>MIN(VLOOKUP($A91,TOCA_previous!$A$2:$AI$137,MATCH("TRL - NLSL - Exisiting Resource "&amp;$F$1,TOCA_previous!$A$2:$AI$2,0),FALSE)*$F$2,(VLOOKUP($A91,TOCA_previous!$A$2:$AI$137,MATCH("RHWM 2016",TOCA_previous!$A$2:$AI$2,0),FALSE)*$F$2))</f>
        <v>51158.015999999996</v>
      </c>
      <c r="AY91" s="384">
        <f>SUM(L91:AI91)+(F91*RT1SC!$C$3*$F$2)</f>
        <v>57904.015120414268</v>
      </c>
      <c r="AZ91" s="398">
        <f>VLOOKUP($A91,TOCA_previous!$A$2:$AI$137,MATCH("Above RHWM Not Served with LS "&amp;$F$1,TOCA_previous!$A$2:$AI$2,0),FALSE)*$F$2</f>
        <v>9205.6319999999996</v>
      </c>
      <c r="BA91" s="206">
        <f t="shared" si="19"/>
        <v>6745.9991204142716</v>
      </c>
      <c r="BB91" s="399">
        <f>(VLOOKUP($A91,TOCA_previous!$A$2:$AI$137,MATCH("RHWM 2016",TOCA_previous!$A$2:$AI$2,0),FALSE)*$F$2) - $AX91</f>
        <v>0</v>
      </c>
      <c r="BC91" s="206">
        <f t="shared" si="20"/>
        <v>0</v>
      </c>
      <c r="BD91" s="400">
        <f t="shared" si="21"/>
        <v>0</v>
      </c>
      <c r="BE91" s="392">
        <f t="shared" si="22"/>
        <v>0</v>
      </c>
      <c r="BF91" s="399">
        <f t="shared" si="23"/>
        <v>0</v>
      </c>
      <c r="BG91" s="206">
        <f>VLOOKUP($A91,TOCA_current!$A$2:$AI$137,MATCH(BG$4,TOCA_current!$A$2:$AI$2,0),FALSE)</f>
        <v>8.3330000000000003E-4</v>
      </c>
      <c r="BH91" s="206">
        <f>VLOOKUP($A91,TOCA_current!$A$2:$AI$137,MATCH(BH$4,TOCA_current!$A$2:$AI$2,0),FALSE)</f>
        <v>8.3330000000000003E-4</v>
      </c>
      <c r="BI91" s="391">
        <f t="shared" si="24"/>
        <v>0</v>
      </c>
      <c r="BJ91" s="206">
        <f>VLOOKUP($A91,TOCA_current!A87:BG222,MATCH(BJ$4,TOCA_current!$A$2:$BG$2,0),FALSE)</f>
        <v>9.6212199758078459E-2</v>
      </c>
      <c r="BK91" s="206">
        <f t="shared" si="25"/>
        <v>0</v>
      </c>
      <c r="BL91" s="206">
        <f t="shared" si="26"/>
        <v>0</v>
      </c>
      <c r="BM91" s="381">
        <f>VLOOKUP($A91,IRD!$A$4:$G$139, 7, FALSE)</f>
        <v>9522.0249999999996</v>
      </c>
      <c r="BN91" s="382">
        <f t="array" ref="BN91">IF($BI91=0, INDEX(LS_current!$D$4:$AY$139, MATCH('Staging Table'!$A91, LS_current!$B$4:$B$139, 0), MATCH(BN$4&amp;BN$5, LS_current!$D$2:$AY$2&amp;LS_current!$D$3:$AY$3, 0)),SUM(VLOOKUP($A91, LS_current!$B$4:$AY$139, LS_current!D$149, FALSE), VLOOKUP($A91, LS_current!$B$4:$AY$139,LS_current!D$149, FALSE))/2)</f>
        <v>-448.72736150137916</v>
      </c>
      <c r="BO91" s="382">
        <f t="array" ref="BO91">IF($BI91=0, INDEX(LS_current!$D$4:$AY$139, MATCH('Staging Table'!$A91, LS_current!$B$4:$B$139, 0), MATCH(BO$4&amp;BO$5, LS_current!$D$2:$AY$2&amp;LS_current!$D$3:$AY$3, 0)),SUM(VLOOKUP($A91, LS_current!$B$4:$AY$139, LS_current!E$149, FALSE), VLOOKUP($A91, LS_current!$B$4:$AY$139,LS_current!E$149, FALSE))/2)</f>
        <v>-191.23214589779172</v>
      </c>
      <c r="BP91" s="382">
        <f t="array" ref="BP91">IF($BI91=0, INDEX(LS_current!$D$4:$AY$139, MATCH('Staging Table'!$A91, LS_current!$B$4:$B$139, 0), MATCH(BP$4&amp;BP$5, LS_current!$D$2:$AY$2&amp;LS_current!$D$3:$AY$3, 0)),SUM(VLOOKUP($A91, LS_current!$B$4:$AY$139, LS_current!F$149, FALSE), VLOOKUP($A91, LS_current!$B$4:$AY$139,LS_current!F$149, FALSE))/2)</f>
        <v>-1578.4259694350205</v>
      </c>
      <c r="BQ91" s="382">
        <f t="array" ref="BQ91">IF($BI91=0, INDEX(LS_current!$D$4:$AY$139, MATCH('Staging Table'!$A91, LS_current!$B$4:$B$139, 0), MATCH(BQ$4&amp;BQ$5, LS_current!$D$2:$AY$2&amp;LS_current!$D$3:$AY$3, 0)),SUM(VLOOKUP($A91, LS_current!$B$4:$AY$139, LS_current!G$149, FALSE), VLOOKUP($A91, LS_current!$B$4:$AY$139,LS_current!G$149, FALSE))/2)</f>
        <v>-622.8807821261039</v>
      </c>
      <c r="BR91" s="382">
        <f t="array" ref="BR91">IF($BI91=0, INDEX(LS_current!$D$4:$AY$139, MATCH('Staging Table'!$A91, LS_current!$B$4:$B$139, 0), MATCH(BR$4&amp;BR$5, LS_current!$D$2:$AY$2&amp;LS_current!$D$3:$AY$3, 0)),SUM(VLOOKUP($A91, LS_current!$B$4:$AY$139, LS_current!H$149, FALSE), VLOOKUP($A91, LS_current!$B$4:$AY$139,LS_current!H$149, FALSE))/2)</f>
        <v>-1176.1352027671562</v>
      </c>
      <c r="BS91" s="382">
        <f t="array" ref="BS91">IF($BI91=0, INDEX(LS_current!$D$4:$AY$139, MATCH('Staging Table'!$A91, LS_current!$B$4:$B$139, 0), MATCH(BS$4&amp;BS$5, LS_current!$D$2:$AY$2&amp;LS_current!$D$3:$AY$3, 0)),SUM(VLOOKUP($A91, LS_current!$B$4:$AY$139, LS_current!I$149, FALSE), VLOOKUP($A91, LS_current!$B$4:$AY$139,LS_current!I$149, FALSE))/2)</f>
        <v>-532.81088142595172</v>
      </c>
      <c r="BT91" s="382">
        <f t="array" ref="BT91">IF($BI91=0, INDEX(LS_current!$D$4:$AY$139, MATCH('Staging Table'!$A91, LS_current!$B$4:$B$139, 0), MATCH(BT$4&amp;BT$5, LS_current!$D$2:$AY$2&amp;LS_current!$D$3:$AY$3, 0)),SUM(VLOOKUP($A91, LS_current!$B$4:$AY$139, LS_current!J$149, FALSE), VLOOKUP($A91, LS_current!$B$4:$AY$139,LS_current!J$149, FALSE))/2)</f>
        <v>-749.7136675369386</v>
      </c>
      <c r="BU91" s="382">
        <f t="array" ref="BU91">IF($BI91=0, INDEX(LS_current!$D$4:$AY$139, MATCH('Staging Table'!$A91, LS_current!$B$4:$B$139, 0), MATCH(BU$4&amp;BU$5, LS_current!$D$2:$AY$2&amp;LS_current!$D$3:$AY$3, 0)),SUM(VLOOKUP($A91, LS_current!$B$4:$AY$139, LS_current!K$149, FALSE), VLOOKUP($A91, LS_current!$B$4:$AY$139,LS_current!K$149, FALSE))/2)</f>
        <v>-298.82094989588973</v>
      </c>
      <c r="BV91" s="382">
        <f t="array" ref="BV91">IF($BI91=0, INDEX(LS_current!$D$4:$AY$139, MATCH('Staging Table'!$A91, LS_current!$B$4:$B$139, 0), MATCH(BV$4&amp;BV$5, LS_current!$D$2:$AY$2&amp;LS_current!$D$3:$AY$3, 0)),SUM(VLOOKUP($A91, LS_current!$B$4:$AY$139, LS_current!L$149, FALSE), VLOOKUP($A91, LS_current!$B$4:$AY$139,LS_current!L$149, FALSE))/2)</f>
        <v>-835.70308980829736</v>
      </c>
      <c r="BW91" s="382">
        <f t="array" ref="BW91">IF($BI91=0, INDEX(LS_current!$D$4:$AY$139, MATCH('Staging Table'!$A91, LS_current!$B$4:$B$139, 0), MATCH(BW$4&amp;BW$5, LS_current!$D$2:$AY$2&amp;LS_current!$D$3:$AY$3, 0)),SUM(VLOOKUP($A91, LS_current!$B$4:$AY$139, LS_current!M$149, FALSE), VLOOKUP($A91, LS_current!$B$4:$AY$139,LS_current!M$149, FALSE))/2)</f>
        <v>-318.70177567700262</v>
      </c>
      <c r="BX91" s="382">
        <f t="array" ref="BX91">IF($BI91=0, INDEX(LS_current!$D$4:$AY$139, MATCH('Staging Table'!$A91, LS_current!$B$4:$B$139, 0), MATCH(BX$4&amp;BX$5, LS_current!$D$2:$AY$2&amp;LS_current!$D$3:$AY$3, 0)),SUM(VLOOKUP($A91, LS_current!$B$4:$AY$139, LS_current!N$149, FALSE), VLOOKUP($A91, LS_current!$B$4:$AY$139,LS_current!N$149, FALSE))/2)</f>
        <v>-1455.6268609092072</v>
      </c>
      <c r="BY91" s="382">
        <f t="array" ref="BY91">IF($BI91=0, INDEX(LS_current!$D$4:$AY$139, MATCH('Staging Table'!$A91, LS_current!$B$4:$B$139, 0), MATCH(BY$4&amp;BY$5, LS_current!$D$2:$AY$2&amp;LS_current!$D$3:$AY$3, 0)),SUM(VLOOKUP($A91, LS_current!$B$4:$AY$139, LS_current!O$149, FALSE), VLOOKUP($A91, LS_current!$B$4:$AY$139,LS_current!O$149, FALSE))/2)</f>
        <v>-606.18288879079023</v>
      </c>
      <c r="BZ91" s="382">
        <f t="array" ref="BZ91">IF($BI91=0, INDEX(LS_current!$D$4:$AY$139, MATCH('Staging Table'!$A91, LS_current!$B$4:$B$139, 0), MATCH(BZ$4&amp;BZ$5, LS_current!$D$2:$AY$2&amp;LS_current!$D$3:$AY$3, 0)),SUM(VLOOKUP($A91, LS_current!$B$4:$AY$139, LS_current!P$149, FALSE), VLOOKUP($A91, LS_current!$B$4:$AY$139,LS_current!P$149, FALSE))/2)</f>
        <v>-620.40992099245136</v>
      </c>
      <c r="CA91" s="382">
        <f t="array" ref="CA91">IF($BI91=0, INDEX(LS_current!$D$4:$AY$139, MATCH('Staging Table'!$A91, LS_current!$B$4:$B$139, 0), MATCH(CA$4&amp;CA$5, LS_current!$D$2:$AY$2&amp;LS_current!$D$3:$AY$3, 0)),SUM(VLOOKUP($A91, LS_current!$B$4:$AY$139, LS_current!Q$149, FALSE), VLOOKUP($A91, LS_current!$B$4:$AY$139,LS_current!Q$149, FALSE))/2)</f>
        <v>-244.93910621492819</v>
      </c>
      <c r="CB91" s="382">
        <f t="array" ref="CB91">IF($BI91=0, INDEX(LS_current!$D$4:$AY$139, MATCH('Staging Table'!$A91, LS_current!$B$4:$B$139, 0), MATCH(CB$4&amp;CB$5, LS_current!$D$2:$AY$2&amp;LS_current!$D$3:$AY$3, 0)),SUM(VLOOKUP($A91, LS_current!$B$4:$AY$139, LS_current!R$149, FALSE), VLOOKUP($A91, LS_current!$B$4:$AY$139,LS_current!R$149, FALSE))/2)</f>
        <v>-834.01632803004031</v>
      </c>
      <c r="CC91" s="382">
        <f t="array" ref="CC91">IF($BI91=0, INDEX(LS_current!$D$4:$AY$139, MATCH('Staging Table'!$A91, LS_current!$B$4:$B$139, 0), MATCH(CC$4&amp;CC$5, LS_current!$D$2:$AY$2&amp;LS_current!$D$3:$AY$3, 0)),SUM(VLOOKUP($A91, LS_current!$B$4:$AY$139, LS_current!S$149, FALSE), VLOOKUP($A91, LS_current!$B$4:$AY$139,LS_current!S$149, FALSE))/2)</f>
        <v>-253.1632165207343</v>
      </c>
      <c r="CD91" s="382">
        <f t="array" ref="CD91">IF($BI91=0, INDEX(LS_current!$D$4:$AY$139, MATCH('Staging Table'!$A91, LS_current!$B$4:$B$139, 0), MATCH(CD$4&amp;CD$5, LS_current!$D$2:$AY$2&amp;LS_current!$D$3:$AY$3, 0)),SUM(VLOOKUP($A91, LS_current!$B$4:$AY$139, LS_current!T$149, FALSE), VLOOKUP($A91, LS_current!$B$4:$AY$139,LS_current!T$149, FALSE))/2)</f>
        <v>520.54492122933607</v>
      </c>
      <c r="CE91" s="382">
        <f t="array" ref="CE91">IF($BI91=0, INDEX(LS_current!$D$4:$AY$139, MATCH('Staging Table'!$A91, LS_current!$B$4:$B$139, 0), MATCH(CE$4&amp;CE$5, LS_current!$D$2:$AY$2&amp;LS_current!$D$3:$AY$3, 0)),SUM(VLOOKUP($A91, LS_current!$B$4:$AY$139, LS_current!U$149, FALSE), VLOOKUP($A91, LS_current!$B$4:$AY$139,LS_current!U$149, FALSE))/2)</f>
        <v>787.72731275446949</v>
      </c>
      <c r="CF91" s="382">
        <f t="array" ref="CF91">IF($BI91=0, INDEX(LS_current!$D$4:$AY$139, MATCH('Staging Table'!$A91, LS_current!$B$4:$B$139, 0), MATCH(CF$4&amp;CF$5, LS_current!$D$2:$AY$2&amp;LS_current!$D$3:$AY$3, 0)),SUM(VLOOKUP($A91, LS_current!$B$4:$AY$139, LS_current!V$149, FALSE), VLOOKUP($A91, LS_current!$B$4:$AY$139,LS_current!V$149, FALSE))/2)</f>
        <v>1713.1314029202167</v>
      </c>
      <c r="CG91" s="382">
        <f t="array" ref="CG91">IF($BI91=0, INDEX(LS_current!$D$4:$AY$139, MATCH('Staging Table'!$A91, LS_current!$B$4:$B$139, 0), MATCH(CG$4&amp;CG$5, LS_current!$D$2:$AY$2&amp;LS_current!$D$3:$AY$3, 0)),SUM(VLOOKUP($A91, LS_current!$B$4:$AY$139, LS_current!W$149, FALSE), VLOOKUP($A91, LS_current!$B$4:$AY$139,LS_current!W$149, FALSE))/2)</f>
        <v>1540.2442154914165</v>
      </c>
      <c r="CH91" s="382">
        <f t="array" ref="CH91">IF($BI91=0, INDEX(LS_current!$D$4:$AY$139, MATCH('Staging Table'!$A91, LS_current!$B$4:$B$139, 0), MATCH(CH$4&amp;CH$5, LS_current!$D$2:$AY$2&amp;LS_current!$D$3:$AY$3, 0)),SUM(VLOOKUP($A91, LS_current!$B$4:$AY$139, LS_current!X$149, FALSE), VLOOKUP($A91, LS_current!$B$4:$AY$139,LS_current!X$149, FALSE))/2)</f>
        <v>1233.3485408593529</v>
      </c>
      <c r="CI91" s="382">
        <f t="array" ref="CI91">IF($BI91=0, INDEX(LS_current!$D$4:$AY$139, MATCH('Staging Table'!$A91, LS_current!$B$4:$B$139, 0), MATCH(CI$4&amp;CI$5, LS_current!$D$2:$AY$2&amp;LS_current!$D$3:$AY$3, 0)),SUM(VLOOKUP($A91, LS_current!$B$4:$AY$139, LS_current!Y$149, FALSE), VLOOKUP($A91, LS_current!$B$4:$AY$139,LS_current!Y$149, FALSE))/2)</f>
        <v>1150.9551917367005</v>
      </c>
      <c r="CJ91" s="382">
        <f t="array" ref="CJ91">IF($BI91=0, INDEX(LS_current!$D$4:$AY$139, MATCH('Staging Table'!$A91, LS_current!$B$4:$B$139, 0), MATCH(CJ$4&amp;CJ$5, LS_current!$D$2:$AY$2&amp;LS_current!$D$3:$AY$3, 0)),SUM(VLOOKUP($A91, LS_current!$B$4:$AY$139, LS_current!Z$149, FALSE), VLOOKUP($A91, LS_current!$B$4:$AY$139,LS_current!Z$149, FALSE))/2)</f>
        <v>481.46966906884973</v>
      </c>
      <c r="CK91" s="382">
        <f t="array" ref="CK91">IF($BI91=0, INDEX(LS_current!$D$4:$AY$139, MATCH('Staging Table'!$A91, LS_current!$B$4:$B$139, 0), MATCH(CK$4&amp;CK$5, LS_current!$D$2:$AY$2&amp;LS_current!$D$3:$AY$3, 0)),SUM(VLOOKUP($A91, LS_current!$B$4:$AY$139, LS_current!AA$149, FALSE), VLOOKUP($A91, LS_current!$B$4:$AY$139,LS_current!AA$149, FALSE))/2)</f>
        <v>771.44872810258767</v>
      </c>
      <c r="CL91" s="384">
        <f t="array" ref="CL91">INDEX(Demand_current!$D$4:$AY$138, MATCH($A91, Demand_current!$B$4:$B$138, 0), MATCH(CL$4&amp;CL$5,Demand_current!$D$2:$AY$2&amp;Demand_current!$D$3:$AY$3, 0))/1000</f>
        <v>0.78777403846153993</v>
      </c>
      <c r="CM91" s="384">
        <f t="array" ref="CM91">INDEX(Demand_current!$D$4:$AY$138, MATCH($A91, Demand_current!$B$4:$B$138, 0), MATCH(CM$4&amp;CM$5,Demand_current!$D$2:$AY$2&amp;Demand_current!$D$3:$AY$3, 0))/1000</f>
        <v>0.55402250000000119</v>
      </c>
      <c r="CN91" s="384">
        <f t="array" ref="CN91">INDEX(Demand_current!$D$4:$AY$138, MATCH($A91, Demand_current!$B$4:$B$138, 0), MATCH(CN$4&amp;CN$5,Demand_current!$D$2:$AY$2&amp;Demand_current!$D$3:$AY$3, 0))/1000</f>
        <v>1.9730624999999993</v>
      </c>
      <c r="CO91" s="384">
        <f t="array" ref="CO91">INDEX(Demand_current!$D$4:$AY$138, MATCH($A91, Demand_current!$B$4:$B$138, 0), MATCH(CO$4&amp;CO$5,Demand_current!$D$2:$AY$2&amp;Demand_current!$D$3:$AY$3, 0))/1000</f>
        <v>0.83921153846153995</v>
      </c>
      <c r="CP91" s="384">
        <f t="array" ref="CP91">INDEX(Demand_current!$D$4:$AY$138, MATCH($A91, Demand_current!$B$4:$B$138, 0), MATCH(CP$4&amp;CP$5,Demand_current!$D$2:$AY$2&amp;Demand_current!$D$3:$AY$3, 0))/1000</f>
        <v>0.87298177083333339</v>
      </c>
      <c r="CQ91" s="384">
        <f t="array" ref="CQ91">INDEX(Demand_current!$D$4:$AY$138, MATCH($A91, Demand_current!$B$4:$B$138, 0), MATCH(CQ$4&amp;CQ$5,Demand_current!$D$2:$AY$2&amp;Demand_current!$D$3:$AY$3, 0))/1000</f>
        <v>0.63172453703703713</v>
      </c>
      <c r="CR91" s="384">
        <f t="array" ref="CR91">INDEX(Demand_current!$D$4:$AY$138, MATCH($A91, Demand_current!$B$4:$B$138, 0), MATCH(CR$4&amp;CR$5,Demand_current!$D$2:$AY$2&amp;Demand_current!$D$3:$AY$3, 0))/1000</f>
        <v>0.26488000000000161</v>
      </c>
      <c r="CS91" s="384">
        <f t="array" ref="CS91">INDEX(Demand_current!$D$4:$AY$138, MATCH($A91, Demand_current!$B$4:$B$138, 0), MATCH(CS$4&amp;CS$5,Demand_current!$D$2:$AY$2&amp;Demand_current!$D$3:$AY$3, 0))/1000</f>
        <v>0.40300000000000047</v>
      </c>
      <c r="CT91" s="384">
        <f t="array" ref="CT91">INDEX(Demand_current!$D$4:$AY$138, MATCH($A91, Demand_current!$B$4:$B$138, 0), MATCH(CT$4&amp;CT$5,Demand_current!$D$2:$AY$2&amp;Demand_current!$D$3:$AY$3, 0))/1000</f>
        <v>1.4048605769230782</v>
      </c>
      <c r="CU91" s="384">
        <f t="array" ref="CU91">INDEX(Demand_current!$D$4:$AY$138, MATCH($A91, Demand_current!$B$4:$B$138, 0), MATCH(CU$4&amp;CU$5,Demand_current!$D$2:$AY$2&amp;Demand_current!$D$3:$AY$3, 0))/1000</f>
        <v>0.38528249999999908</v>
      </c>
      <c r="CV91" s="384">
        <f t="array" ref="CV91">INDEX(Demand_current!$D$4:$AY$138, MATCH($A91, Demand_current!$B$4:$B$138, 0), MATCH(CV$4&amp;CV$5,Demand_current!$D$2:$AY$2&amp;Demand_current!$D$3:$AY$3, 0))/1000</f>
        <v>1.8480879629629636</v>
      </c>
      <c r="CW91" s="384">
        <f t="array" ref="CW91">INDEX(Demand_current!$D$4:$AY$138, MATCH($A91, Demand_current!$B$4:$B$138, 0), MATCH(CW$4&amp;CW$5,Demand_current!$D$2:$AY$2&amp;Demand_current!$D$3:$AY$3, 0))/1000</f>
        <v>0.70759375000000135</v>
      </c>
      <c r="CX91" s="384">
        <f>IF(D91=0,IF(C91=0,MAX(0,DA91 - (VLOOKUP($A91,TOCA_current!$A$2:$AI$137,MATCH("RHWM 2018",TOCA_current!$A$2:$AI$2,0),FALSE)*$BH$2)), 0),0)</f>
        <v>0</v>
      </c>
      <c r="CY91" s="427">
        <f>VLOOKUP($A91,REP_current!$A$1:$D$135,MATCH("FY "&amp;$BH$1&amp; " Total Refund",REP_current!$A$1:$D$1,0),0)</f>
        <v>68396.315801605931</v>
      </c>
      <c r="CZ91" s="432">
        <f>MIN(VLOOKUP($A91,TOCA_current!$A$2:$AI$137,MATCH("TRL - NLSL - Existing Resource "&amp;$BH$1,TOCA_current!$A$2:$AI$2,0),FALSE)*$BH$2, VLOOKUP($A91,TOCA_current!$A$2:$AI$137,MATCH("RHWM 2018",TOCA_current!$A$2:$AI$2,0),FALSE)*$BH$2)</f>
        <v>50694.12</v>
      </c>
      <c r="DA91" s="397">
        <f>SUM(BN91:CK91)+(BH91*RT1SC!$C$4*$BH$2)</f>
        <v>48126.727739601251</v>
      </c>
      <c r="DB91" s="432">
        <f>VLOOKUP($A91,TOCA_current!$A$2:$AI$137,MATCH("Above RHWM Not Served with LS "&amp;$BH$1,TOCA_current!$A$2:$AI$2,0),FALSE)*$BH$2</f>
        <v>18982.919999999998</v>
      </c>
      <c r="DC91" s="401">
        <f t="shared" si="27"/>
        <v>-2567.3922603987521</v>
      </c>
      <c r="DD91" s="397">
        <f>(VLOOKUP($A91,TOCA_current!$A$2:$AI$137,MATCH("RHWM 2018",TOCA_current!$A$2:$AI$2,0),FALSE)*$BH$2) - $CZ91</f>
        <v>0</v>
      </c>
      <c r="DE91" s="397">
        <f t="shared" si="28"/>
        <v>0</v>
      </c>
      <c r="DF91" s="397">
        <f t="shared" si="29"/>
        <v>0</v>
      </c>
      <c r="DG91" s="397">
        <f t="shared" si="30"/>
        <v>0</v>
      </c>
      <c r="DH91" s="397">
        <f t="shared" si="31"/>
        <v>0</v>
      </c>
    </row>
    <row r="92" spans="1:112">
      <c r="A92" s="274">
        <v>10278</v>
      </c>
      <c r="B92" s="275" t="s">
        <v>93</v>
      </c>
      <c r="C92" s="397">
        <v>1</v>
      </c>
      <c r="D92" s="397">
        <v>0</v>
      </c>
      <c r="E92" s="205">
        <f>VLOOKUP($A92,TOCA_previous!$A$2:$AI$137,MATCH(E$4,TOCA_previous!$A$2:$AI$2,0),FALSE)</f>
        <v>5.0946999999999997E-3</v>
      </c>
      <c r="F92" s="206">
        <f>VLOOKUP($A92,TOCA_previous!$A$2:$AI$137,MATCH(F$4,TOCA_previous!$A$2:$AI$2,0),FALSE)</f>
        <v>5.0946999999999997E-3</v>
      </c>
      <c r="G92" s="206">
        <f t="shared" si="16"/>
        <v>0</v>
      </c>
      <c r="H92" s="206">
        <f>VLOOKUP($A92,TOCA_previous!$A$2:$AI$137,MATCH(H$4,TOCA_previous!$A$2:$AI$2,0),FALSE)</f>
        <v>7.3069999999999996E-2</v>
      </c>
      <c r="I92" s="206">
        <f t="shared" si="17"/>
        <v>7.3069999999999996E-2</v>
      </c>
      <c r="J92" s="206">
        <f t="shared" si="18"/>
        <v>5.0946999999999997E-3</v>
      </c>
      <c r="K92" s="381">
        <f>VLOOKUP(A92, IRD!$A$5:$C$139, 3, FALSE)</f>
        <v>0</v>
      </c>
      <c r="L92" s="382">
        <f t="array" ref="L92">IF($G92=0, INDEX(LS_previous!$D$4:$AY$138, MATCH('Staging Table'!$A92, LS_previous!$B$4:$B$138, 0), MATCH(L$4&amp;L$5, LS_previous!$D$2:$AY$2&amp;LS_previous!$D$3:$AY$3, 0)),SUM(VLOOKUP($A92, LS_previous!$B$4:$AY$138, LS_previous!D$149, FALSE), VLOOKUP('Staging Table'!$A92, LS_previous!$B$4:$AY$138,LS_previous!AB$149, FALSE))/2)</f>
        <v>0</v>
      </c>
      <c r="M92" s="382">
        <f t="array" ref="M92">IF($G92=0, INDEX(LS_previous!$D$4:$AY$138, MATCH('Staging Table'!$A92, LS_previous!$B$4:$B$138, 0), MATCH(M$4&amp;M$5, LS_previous!$D$2:$AY$2&amp;LS_previous!$D$3:$AY$3, 0)),SUM(VLOOKUP($A92, LS_previous!$B$4:$AY$138, LS_previous!E$149, FALSE), VLOOKUP('Staging Table'!$A92, LS_previous!$B$4:$AY$138,LS_previous!AC$149, FALSE))/2)</f>
        <v>0</v>
      </c>
      <c r="N92" s="382">
        <f t="array" ref="N92">IF($G92=0, INDEX(LS_previous!$D$4:$AY$138, MATCH('Staging Table'!$A92, LS_previous!$B$4:$B$138, 0), MATCH(N$4&amp;N$5, LS_previous!$D$2:$AY$2&amp;LS_previous!$D$3:$AY$3, 0)),SUM(VLOOKUP($A92, LS_previous!$B$4:$AY$138, LS_previous!F$149, FALSE), VLOOKUP('Staging Table'!$A92, LS_previous!$B$4:$AY$138,LS_previous!AD$149, FALSE))/2)</f>
        <v>0</v>
      </c>
      <c r="O92" s="382">
        <f t="array" ref="O92">IF($G92=0, INDEX(LS_previous!$D$4:$AY$138, MATCH('Staging Table'!$A92, LS_previous!$B$4:$B$138, 0), MATCH(O$4&amp;O$5, LS_previous!$D$2:$AY$2&amp;LS_previous!$D$3:$AY$3, 0)),SUM(VLOOKUP($A92, LS_previous!$B$4:$AY$138, LS_previous!G$149, FALSE), VLOOKUP('Staging Table'!$A92, LS_previous!$B$4:$AY$138,LS_previous!AE$149, FALSE))/2)</f>
        <v>0</v>
      </c>
      <c r="P92" s="382">
        <f t="array" ref="P92">IF($G92=0, INDEX(LS_previous!$D$4:$AY$138, MATCH('Staging Table'!$A92, LS_previous!$B$4:$B$138, 0), MATCH(P$4&amp;P$5, LS_previous!$D$2:$AY$2&amp;LS_previous!$D$3:$AY$3, 0)),SUM(VLOOKUP($A92, LS_previous!$B$4:$AY$138, LS_previous!H$149, FALSE), VLOOKUP('Staging Table'!$A92, LS_previous!$B$4:$AY$138,LS_previous!AF$149, FALSE))/2)</f>
        <v>0</v>
      </c>
      <c r="Q92" s="382">
        <f t="array" ref="Q92">IF($G92=0, INDEX(LS_previous!$D$4:$AY$138, MATCH('Staging Table'!$A92, LS_previous!$B$4:$B$138, 0), MATCH(Q$4&amp;Q$5, LS_previous!$D$2:$AY$2&amp;LS_previous!$D$3:$AY$3, 0)),SUM(VLOOKUP($A92, LS_previous!$B$4:$AY$138, LS_previous!I$149, FALSE), VLOOKUP('Staging Table'!$A92, LS_previous!$B$4:$AY$138,LS_previous!AG$149, FALSE))/2)</f>
        <v>0</v>
      </c>
      <c r="R92" s="382">
        <f t="array" ref="R92">IF($G92=0, INDEX(LS_previous!$D$4:$AY$138, MATCH('Staging Table'!$A92, LS_previous!$B$4:$B$138, 0), MATCH(R$4&amp;R$5, LS_previous!$D$2:$AY$2&amp;LS_previous!$D$3:$AY$3, 0)),SUM(VLOOKUP($A92, LS_previous!$B$4:$AY$138, LS_previous!J$149, FALSE), VLOOKUP('Staging Table'!$A92, LS_previous!$B$4:$AY$138,LS_previous!AH$149, FALSE))/2)</f>
        <v>0</v>
      </c>
      <c r="S92" s="382">
        <f t="array" ref="S92">IF($G92=0, INDEX(LS_previous!$D$4:$AY$138, MATCH('Staging Table'!$A92, LS_previous!$B$4:$B$138, 0), MATCH(S$4&amp;S$5, LS_previous!$D$2:$AY$2&amp;LS_previous!$D$3:$AY$3, 0)),SUM(VLOOKUP($A92, LS_previous!$B$4:$AY$138, LS_previous!K$149, FALSE), VLOOKUP('Staging Table'!$A92, LS_previous!$B$4:$AY$138,LS_previous!AI$149, FALSE))/2)</f>
        <v>0</v>
      </c>
      <c r="T92" s="382">
        <f t="array" ref="T92">IF($G92=0, INDEX(LS_previous!$D$4:$AY$138, MATCH('Staging Table'!$A92, LS_previous!$B$4:$B$138, 0), MATCH(T$4&amp;T$5, LS_previous!$D$2:$AY$2&amp;LS_previous!$D$3:$AY$3, 0)),SUM(VLOOKUP($A92, LS_previous!$B$4:$AY$138, LS_previous!L$149, FALSE), VLOOKUP('Staging Table'!$A92, LS_previous!$B$4:$AY$138,LS_previous!AJ$149, FALSE))/2)</f>
        <v>0</v>
      </c>
      <c r="U92" s="382">
        <f t="array" ref="U92">IF($G92=0, INDEX(LS_previous!$D$4:$AY$138, MATCH('Staging Table'!$A92, LS_previous!$B$4:$B$138, 0), MATCH(U$4&amp;U$5, LS_previous!$D$2:$AY$2&amp;LS_previous!$D$3:$AY$3, 0)),SUM(VLOOKUP($A92, LS_previous!$B$4:$AY$138, LS_previous!M$149, FALSE), VLOOKUP('Staging Table'!$A92, LS_previous!$B$4:$AY$138,LS_previous!AK$149, FALSE))/2)</f>
        <v>0</v>
      </c>
      <c r="V92" s="382">
        <f t="array" ref="V92">IF($G92=0, INDEX(LS_previous!$D$4:$AY$138, MATCH('Staging Table'!$A92, LS_previous!$B$4:$B$138, 0), MATCH(V$4&amp;V$5, LS_previous!$D$2:$AY$2&amp;LS_previous!$D$3:$AY$3, 0)),SUM(VLOOKUP($A92, LS_previous!$B$4:$AY$138, LS_previous!N$149, FALSE), VLOOKUP('Staging Table'!$A92, LS_previous!$B$4:$AY$138,LS_previous!AL$149, FALSE))/2)</f>
        <v>0</v>
      </c>
      <c r="W92" s="382">
        <f t="array" ref="W92">IF($G92=0, INDEX(LS_previous!$D$4:$AY$138, MATCH('Staging Table'!$A92, LS_previous!$B$4:$B$138, 0), MATCH(W$4&amp;W$5, LS_previous!$D$2:$AY$2&amp;LS_previous!$D$3:$AY$3, 0)),SUM(VLOOKUP($A92, LS_previous!$B$4:$AY$138, LS_previous!O$149, FALSE), VLOOKUP('Staging Table'!$A92, LS_previous!$B$4:$AY$138,LS_previous!AM$149, FALSE))/2)</f>
        <v>0</v>
      </c>
      <c r="X92" s="382">
        <f t="array" ref="X92">IF($G92=0, INDEX(LS_previous!$D$4:$AY$138, MATCH('Staging Table'!$A92, LS_previous!$B$4:$B$138, 0), MATCH(X$4&amp;X$5, LS_previous!$D$2:$AY$2&amp;LS_previous!$D$3:$AY$3, 0)),SUM(VLOOKUP($A92, LS_previous!$B$4:$AY$138, LS_previous!P$149, FALSE), VLOOKUP('Staging Table'!$A92, LS_previous!$B$4:$AY$138,LS_previous!AN$149, FALSE))/2)</f>
        <v>0</v>
      </c>
      <c r="Y92" s="382">
        <f t="array" ref="Y92">IF($G92=0, INDEX(LS_previous!$D$4:$AY$138, MATCH('Staging Table'!$A92, LS_previous!$B$4:$B$138, 0), MATCH(Y$4&amp;Y$5, LS_previous!$D$2:$AY$2&amp;LS_previous!$D$3:$AY$3, 0)),SUM(VLOOKUP($A92, LS_previous!$B$4:$AY$138, LS_previous!Q$149, FALSE), VLOOKUP('Staging Table'!$A92, LS_previous!$B$4:$AY$138,LS_previous!AO$149, FALSE))/2)</f>
        <v>0</v>
      </c>
      <c r="Z92" s="382">
        <f t="array" ref="Z92">IF($G92=0, INDEX(LS_previous!$D$4:$AY$138, MATCH('Staging Table'!$A92, LS_previous!$B$4:$B$138, 0), MATCH(Z$4&amp;Z$5, LS_previous!$D$2:$AY$2&amp;LS_previous!$D$3:$AY$3, 0)),SUM(VLOOKUP($A92, LS_previous!$B$4:$AY$138, LS_previous!R$149, FALSE), VLOOKUP('Staging Table'!$A92, LS_previous!$B$4:$AY$138,LS_previous!AP$149, FALSE))/2)</f>
        <v>0</v>
      </c>
      <c r="AA92" s="382">
        <f t="array" ref="AA92">IF($G92=0, INDEX(LS_previous!$D$4:$AY$138, MATCH('Staging Table'!$A92, LS_previous!$B$4:$B$138, 0), MATCH(AA$4&amp;AA$5, LS_previous!$D$2:$AY$2&amp;LS_previous!$D$3:$AY$3, 0)),SUM(VLOOKUP($A92, LS_previous!$B$4:$AY$138, LS_previous!S$149, FALSE), VLOOKUP('Staging Table'!$A92, LS_previous!$B$4:$AY$138,LS_previous!AQ$149, FALSE))/2)</f>
        <v>0</v>
      </c>
      <c r="AB92" s="382">
        <f t="array" ref="AB92">IF($G92=0, INDEX(LS_previous!$D$4:$AY$138, MATCH('Staging Table'!$A92, LS_previous!$B$4:$B$138, 0), MATCH(AB$4&amp;AB$5, LS_previous!$D$2:$AY$2&amp;LS_previous!$D$3:$AY$3, 0)),SUM(VLOOKUP($A92, LS_previous!$B$4:$AY$138, LS_previous!T$149, FALSE), VLOOKUP('Staging Table'!$A92, LS_previous!$B$4:$AY$138,LS_previous!AR$149, FALSE))/2)</f>
        <v>0</v>
      </c>
      <c r="AC92" s="382">
        <f t="array" ref="AC92">IF($G92=0, INDEX(LS_previous!$D$4:$AY$138, MATCH('Staging Table'!$A92, LS_previous!$B$4:$B$138, 0), MATCH(AC$4&amp;AC$5, LS_previous!$D$2:$AY$2&amp;LS_previous!$D$3:$AY$3, 0)),SUM(VLOOKUP($A92, LS_previous!$B$4:$AY$138, LS_previous!U$149, FALSE), VLOOKUP('Staging Table'!$A92, LS_previous!$B$4:$AY$138,LS_previous!AS$149, FALSE))/2)</f>
        <v>0</v>
      </c>
      <c r="AD92" s="382">
        <f t="array" ref="AD92">IF($G92=0, INDEX(LS_previous!$D$4:$AY$138, MATCH('Staging Table'!$A92, LS_previous!$B$4:$B$138, 0), MATCH(AD$4&amp;AD$5, LS_previous!$D$2:$AY$2&amp;LS_previous!$D$3:$AY$3, 0)),SUM(VLOOKUP($A92, LS_previous!$B$4:$AY$138, LS_previous!V$149, FALSE), VLOOKUP('Staging Table'!$A92, LS_previous!$B$4:$AY$138,LS_previous!AT$149, FALSE))/2)</f>
        <v>0</v>
      </c>
      <c r="AE92" s="382">
        <f t="array" ref="AE92">IF($G92=0, INDEX(LS_previous!$D$4:$AY$138, MATCH('Staging Table'!$A92, LS_previous!$B$4:$B$138, 0), MATCH(AE$4&amp;AE$5, LS_previous!$D$2:$AY$2&amp;LS_previous!$D$3:$AY$3, 0)),SUM(VLOOKUP($A92, LS_previous!$B$4:$AY$138, LS_previous!W$149, FALSE), VLOOKUP('Staging Table'!$A92, LS_previous!$B$4:$AY$138,LS_previous!AU$149, FALSE))/2)</f>
        <v>0</v>
      </c>
      <c r="AF92" s="382">
        <f t="array" ref="AF92">IF($G92=0, INDEX(LS_previous!$D$4:$AY$138, MATCH('Staging Table'!$A92, LS_previous!$B$4:$B$138, 0), MATCH(AF$4&amp;AF$5, LS_previous!$D$2:$AY$2&amp;LS_previous!$D$3:$AY$3, 0)),SUM(VLOOKUP($A92, LS_previous!$B$4:$AY$138, LS_previous!X$149, FALSE), VLOOKUP('Staging Table'!$A92, LS_previous!$B$4:$AY$138,LS_previous!AV$149, FALSE))/2)</f>
        <v>0</v>
      </c>
      <c r="AG92" s="382">
        <f t="array" ref="AG92">IF($G92=0, INDEX(LS_previous!$D$4:$AY$138, MATCH('Staging Table'!$A92, LS_previous!$B$4:$B$138, 0), MATCH(AG$4&amp;AG$5, LS_previous!$D$2:$AY$2&amp;LS_previous!$D$3:$AY$3, 0)),SUM(VLOOKUP($A92, LS_previous!$B$4:$AY$138, LS_previous!Y$149, FALSE), VLOOKUP('Staging Table'!$A92, LS_previous!$B$4:$AY$138,LS_previous!AW$149, FALSE))/2)</f>
        <v>0</v>
      </c>
      <c r="AH92" s="382">
        <f t="array" ref="AH92">IF($G92=0, INDEX(LS_previous!$D$4:$AY$138, MATCH('Staging Table'!$A92, LS_previous!$B$4:$B$138, 0), MATCH(AH$4&amp;AH$5, LS_previous!$D$2:$AY$2&amp;LS_previous!$D$3:$AY$3, 0)),SUM(VLOOKUP($A92, LS_previous!$B$4:$AY$138, LS_previous!Z$149, FALSE), VLOOKUP('Staging Table'!$A92, LS_previous!$B$4:$AY$138,LS_previous!AX$149, FALSE))/2)</f>
        <v>0</v>
      </c>
      <c r="AI92" s="382">
        <f t="array" ref="AI92">IF($G92=0, INDEX(LS_previous!$D$4:$AY$138, MATCH('Staging Table'!$A92, LS_previous!$B$4:$B$138, 0), MATCH(AI$4&amp;AI$5, LS_previous!$D$2:$AY$2&amp;LS_previous!$D$3:$AY$3, 0)),SUM(VLOOKUP($A92, LS_previous!$B$4:$AY$138, LS_previous!AA$149, FALSE), VLOOKUP('Staging Table'!$A92, LS_previous!$B$4:$AY$138,LS_previous!AY$149, FALSE))/2)</f>
        <v>0</v>
      </c>
      <c r="AJ92" s="384">
        <f t="array" ref="AJ92">INDEX(Demand_previous!$D$4:$AY$138, MATCH('Staging Table'!$A92, Demand_previous!$B$4:$B$138, 0), MATCH(AJ$4&amp;AJ$5,Demand_previous!$D$2:$AY$2&amp;Demand_previous!$D$3:$AY$3, 0))/1000</f>
        <v>0</v>
      </c>
      <c r="AK92" s="384">
        <f t="array" ref="AK92">INDEX(Demand_previous!$D$4:$AY$138, MATCH('Staging Table'!$A92, Demand_previous!$B$4:$B$138, 0), MATCH(AK$4&amp;AK$5,Demand_previous!$D$2:$AY$2&amp;Demand_previous!$D$3:$AY$3, 0))/1000</f>
        <v>0</v>
      </c>
      <c r="AL92" s="384">
        <f t="array" ref="AL92">INDEX(Demand_previous!$D$4:$AY$138, MATCH('Staging Table'!$A92, Demand_previous!$B$4:$B$138, 0), MATCH(AL$4&amp;AL$5,Demand_previous!$D$2:$AY$2&amp;Demand_previous!$D$3:$AY$3, 0))/1000</f>
        <v>0</v>
      </c>
      <c r="AM92" s="384">
        <f t="array" ref="AM92">INDEX(Demand_previous!$D$4:$AY$138, MATCH('Staging Table'!$A92, Demand_previous!$B$4:$B$138, 0), MATCH(AM$4&amp;AM$5,Demand_previous!$D$2:$AY$2&amp;Demand_previous!$D$3:$AY$3, 0))/1000</f>
        <v>0</v>
      </c>
      <c r="AN92" s="384">
        <f t="array" ref="AN92">INDEX(Demand_previous!$D$4:$AY$138, MATCH('Staging Table'!$A92, Demand_previous!$B$4:$B$138, 0), MATCH(AN$4&amp;AN$5,Demand_previous!$D$2:$AY$2&amp;Demand_previous!$D$3:$AY$3, 0))/1000</f>
        <v>0</v>
      </c>
      <c r="AO92" s="384">
        <f t="array" ref="AO92">INDEX(Demand_previous!$D$4:$AY$138, MATCH('Staging Table'!$A92, Demand_previous!$B$4:$B$138, 0), MATCH(AO$4&amp;AO$5,Demand_previous!$D$2:$AY$2&amp;Demand_previous!$D$3:$AY$3, 0))/1000</f>
        <v>0</v>
      </c>
      <c r="AP92" s="384">
        <f t="array" ref="AP92">INDEX(Demand_previous!$D$4:$AY$138, MATCH('Staging Table'!$A92, Demand_previous!$B$4:$B$138, 0), MATCH(AP$4&amp;AP$5,Demand_previous!$D$2:$AY$2&amp;Demand_previous!$D$3:$AY$3, 0))/1000</f>
        <v>0</v>
      </c>
      <c r="AQ92" s="384">
        <f t="array" ref="AQ92">INDEX(Demand_previous!$D$4:$AY$138, MATCH('Staging Table'!$A92, Demand_previous!$B$4:$B$138, 0), MATCH(AQ$4&amp;AQ$5,Demand_previous!$D$2:$AY$2&amp;Demand_previous!$D$3:$AY$3, 0))/1000</f>
        <v>0</v>
      </c>
      <c r="AR92" s="384">
        <f t="array" ref="AR92">INDEX(Demand_previous!$D$4:$AY$138, MATCH('Staging Table'!$A92, Demand_previous!$B$4:$B$138, 0), MATCH(AR$4&amp;AR$5,Demand_previous!$D$2:$AY$2&amp;Demand_previous!$D$3:$AY$3, 0))/1000</f>
        <v>0</v>
      </c>
      <c r="AS92" s="384">
        <f t="array" ref="AS92">INDEX(Demand_previous!$D$4:$AY$138, MATCH('Staging Table'!$A92, Demand_previous!$B$4:$B$138, 0), MATCH(AS$4&amp;AS$5,Demand_previous!$D$2:$AY$2&amp;Demand_previous!$D$3:$AY$3, 0))/1000</f>
        <v>0</v>
      </c>
      <c r="AT92" s="384">
        <f t="array" ref="AT92">INDEX(Demand_previous!$D$4:$AY$138, MATCH('Staging Table'!$A92, Demand_previous!$B$4:$B$138, 0), MATCH(AT$4&amp;AT$5,Demand_previous!$D$2:$AY$2&amp;Demand_previous!$D$3:$AY$3, 0))/1000</f>
        <v>0</v>
      </c>
      <c r="AU92" s="384">
        <f t="array" ref="AU92">INDEX(Demand_previous!$D$4:$AY$138, MATCH('Staging Table'!$A92, Demand_previous!$B$4:$B$138, 0), MATCH(AU$4&amp;AU$5,Demand_previous!$D$2:$AY$2&amp;Demand_previous!$D$3:$AY$3, 0))/1000</f>
        <v>0</v>
      </c>
      <c r="AV92" s="384">
        <f>IF($D92=0,IF(C92=0, MAX(AY92 - (VLOOKUP($A92,TOCA_previous!$A$2:$AI$137,MATCH("RHWM 2016",TOCA_previous!$A$2:$AI$2,0),FALSE)*$F$2*TOCA_previous!C89),0),0), 0)</f>
        <v>0</v>
      </c>
      <c r="AW92" s="427">
        <f>VLOOKUP($A92,REP_previous!$A$1:$D$135,MATCH("FY "&amp;$F$1&amp; " Total Refund",REP_previous!$A$1:$D$1,0),0)</f>
        <v>333903.3096716163</v>
      </c>
      <c r="AX92" s="398">
        <f>MIN(VLOOKUP($A92,TOCA_previous!$A$2:$AI$137,MATCH("TRL - NLSL - Exisiting Resource "&amp;$F$1,TOCA_previous!$A$2:$AI$2,0),FALSE)*$F$2,(VLOOKUP($A92,TOCA_previous!$A$2:$AI$137,MATCH("RHWM 2016",TOCA_previous!$A$2:$AI$2,0),FALSE)*$F$2))</f>
        <v>312508.36799999996</v>
      </c>
      <c r="AY92" s="384">
        <f>SUM(L92:AI92)+(F92*RT1SC!$C$3*$F$2)</f>
        <v>312505.93614520796</v>
      </c>
      <c r="AZ92" s="398">
        <f>VLOOKUP($A92,TOCA_previous!$A$2:$AI$137,MATCH("Above RHWM Not Served with LS "&amp;$F$1,TOCA_previous!$A$2:$AI$2,0),FALSE)*$F$2</f>
        <v>13711.823999999999</v>
      </c>
      <c r="BA92" s="206">
        <f t="shared" si="19"/>
        <v>-2.4318547919974662</v>
      </c>
      <c r="BB92" s="399">
        <f>(VLOOKUP($A92,TOCA_previous!$A$2:$AI$137,MATCH("RHWM 2016",TOCA_previous!$A$2:$AI$2,0),FALSE)*$F$2) - $AX92</f>
        <v>0</v>
      </c>
      <c r="BC92" s="206">
        <f t="shared" si="20"/>
        <v>0</v>
      </c>
      <c r="BD92" s="400">
        <f t="shared" si="21"/>
        <v>0</v>
      </c>
      <c r="BE92" s="392">
        <f t="shared" si="22"/>
        <v>0</v>
      </c>
      <c r="BF92" s="399">
        <f t="shared" si="23"/>
        <v>0</v>
      </c>
      <c r="BG92" s="206">
        <f>VLOOKUP($A92,TOCA_current!$A$2:$AI$137,MATCH(BG$4,TOCA_current!$A$2:$AI$2,0),FALSE)</f>
        <v>4.7860000000000003E-3</v>
      </c>
      <c r="BH92" s="206">
        <f>VLOOKUP($A92,TOCA_current!$A$2:$AI$137,MATCH(BH$4,TOCA_current!$A$2:$AI$2,0),FALSE)</f>
        <v>4.7860000000000003E-3</v>
      </c>
      <c r="BI92" s="391">
        <f t="shared" si="24"/>
        <v>0</v>
      </c>
      <c r="BJ92" s="206">
        <f>VLOOKUP($A92,TOCA_current!A88:BG223,MATCH(BJ$4,TOCA_current!$A$2:$BG$2,0),FALSE)</f>
        <v>7.0000000000000007E-2</v>
      </c>
      <c r="BK92" s="206">
        <f t="shared" si="25"/>
        <v>7.0000000000000007E-2</v>
      </c>
      <c r="BL92" s="206">
        <f t="shared" si="26"/>
        <v>4.7860000000000003E-3</v>
      </c>
      <c r="BM92" s="381">
        <f>VLOOKUP($A92,IRD!$A$4:$G$139, 7, FALSE)</f>
        <v>0</v>
      </c>
      <c r="BN92" s="382">
        <f t="array" ref="BN92">IF($BI92=0, INDEX(LS_current!$D$4:$AY$139, MATCH('Staging Table'!$A92, LS_current!$B$4:$B$139, 0), MATCH(BN$4&amp;BN$5, LS_current!$D$2:$AY$2&amp;LS_current!$D$3:$AY$3, 0)),SUM(VLOOKUP($A92, LS_current!$B$4:$AY$139, LS_current!D$149, FALSE), VLOOKUP($A92, LS_current!$B$4:$AY$139,LS_current!D$149, FALSE))/2)</f>
        <v>0</v>
      </c>
      <c r="BO92" s="382">
        <f t="array" ref="BO92">IF($BI92=0, INDEX(LS_current!$D$4:$AY$139, MATCH('Staging Table'!$A92, LS_current!$B$4:$B$139, 0), MATCH(BO$4&amp;BO$5, LS_current!$D$2:$AY$2&amp;LS_current!$D$3:$AY$3, 0)),SUM(VLOOKUP($A92, LS_current!$B$4:$AY$139, LS_current!E$149, FALSE), VLOOKUP($A92, LS_current!$B$4:$AY$139,LS_current!E$149, FALSE))/2)</f>
        <v>0</v>
      </c>
      <c r="BP92" s="382">
        <f t="array" ref="BP92">IF($BI92=0, INDEX(LS_current!$D$4:$AY$139, MATCH('Staging Table'!$A92, LS_current!$B$4:$B$139, 0), MATCH(BP$4&amp;BP$5, LS_current!$D$2:$AY$2&amp;LS_current!$D$3:$AY$3, 0)),SUM(VLOOKUP($A92, LS_current!$B$4:$AY$139, LS_current!F$149, FALSE), VLOOKUP($A92, LS_current!$B$4:$AY$139,LS_current!F$149, FALSE))/2)</f>
        <v>0</v>
      </c>
      <c r="BQ92" s="382">
        <f t="array" ref="BQ92">IF($BI92=0, INDEX(LS_current!$D$4:$AY$139, MATCH('Staging Table'!$A92, LS_current!$B$4:$B$139, 0), MATCH(BQ$4&amp;BQ$5, LS_current!$D$2:$AY$2&amp;LS_current!$D$3:$AY$3, 0)),SUM(VLOOKUP($A92, LS_current!$B$4:$AY$139, LS_current!G$149, FALSE), VLOOKUP($A92, LS_current!$B$4:$AY$139,LS_current!G$149, FALSE))/2)</f>
        <v>0</v>
      </c>
      <c r="BR92" s="382">
        <f t="array" ref="BR92">IF($BI92=0, INDEX(LS_current!$D$4:$AY$139, MATCH('Staging Table'!$A92, LS_current!$B$4:$B$139, 0), MATCH(BR$4&amp;BR$5, LS_current!$D$2:$AY$2&amp;LS_current!$D$3:$AY$3, 0)),SUM(VLOOKUP($A92, LS_current!$B$4:$AY$139, LS_current!H$149, FALSE), VLOOKUP($A92, LS_current!$B$4:$AY$139,LS_current!H$149, FALSE))/2)</f>
        <v>0</v>
      </c>
      <c r="BS92" s="382">
        <f t="array" ref="BS92">IF($BI92=0, INDEX(LS_current!$D$4:$AY$139, MATCH('Staging Table'!$A92, LS_current!$B$4:$B$139, 0), MATCH(BS$4&amp;BS$5, LS_current!$D$2:$AY$2&amp;LS_current!$D$3:$AY$3, 0)),SUM(VLOOKUP($A92, LS_current!$B$4:$AY$139, LS_current!I$149, FALSE), VLOOKUP($A92, LS_current!$B$4:$AY$139,LS_current!I$149, FALSE))/2)</f>
        <v>0</v>
      </c>
      <c r="BT92" s="382">
        <f t="array" ref="BT92">IF($BI92=0, INDEX(LS_current!$D$4:$AY$139, MATCH('Staging Table'!$A92, LS_current!$B$4:$B$139, 0), MATCH(BT$4&amp;BT$5, LS_current!$D$2:$AY$2&amp;LS_current!$D$3:$AY$3, 0)),SUM(VLOOKUP($A92, LS_current!$B$4:$AY$139, LS_current!J$149, FALSE), VLOOKUP($A92, LS_current!$B$4:$AY$139,LS_current!J$149, FALSE))/2)</f>
        <v>0</v>
      </c>
      <c r="BU92" s="382">
        <f t="array" ref="BU92">IF($BI92=0, INDEX(LS_current!$D$4:$AY$139, MATCH('Staging Table'!$A92, LS_current!$B$4:$B$139, 0), MATCH(BU$4&amp;BU$5, LS_current!$D$2:$AY$2&amp;LS_current!$D$3:$AY$3, 0)),SUM(VLOOKUP($A92, LS_current!$B$4:$AY$139, LS_current!K$149, FALSE), VLOOKUP($A92, LS_current!$B$4:$AY$139,LS_current!K$149, FALSE))/2)</f>
        <v>0</v>
      </c>
      <c r="BV92" s="382">
        <f t="array" ref="BV92">IF($BI92=0, INDEX(LS_current!$D$4:$AY$139, MATCH('Staging Table'!$A92, LS_current!$B$4:$B$139, 0), MATCH(BV$4&amp;BV$5, LS_current!$D$2:$AY$2&amp;LS_current!$D$3:$AY$3, 0)),SUM(VLOOKUP($A92, LS_current!$B$4:$AY$139, LS_current!L$149, FALSE), VLOOKUP($A92, LS_current!$B$4:$AY$139,LS_current!L$149, FALSE))/2)</f>
        <v>0</v>
      </c>
      <c r="BW92" s="382">
        <f t="array" ref="BW92">IF($BI92=0, INDEX(LS_current!$D$4:$AY$139, MATCH('Staging Table'!$A92, LS_current!$B$4:$B$139, 0), MATCH(BW$4&amp;BW$5, LS_current!$D$2:$AY$2&amp;LS_current!$D$3:$AY$3, 0)),SUM(VLOOKUP($A92, LS_current!$B$4:$AY$139, LS_current!M$149, FALSE), VLOOKUP($A92, LS_current!$B$4:$AY$139,LS_current!M$149, FALSE))/2)</f>
        <v>0</v>
      </c>
      <c r="BX92" s="382">
        <f t="array" ref="BX92">IF($BI92=0, INDEX(LS_current!$D$4:$AY$139, MATCH('Staging Table'!$A92, LS_current!$B$4:$B$139, 0), MATCH(BX$4&amp;BX$5, LS_current!$D$2:$AY$2&amp;LS_current!$D$3:$AY$3, 0)),SUM(VLOOKUP($A92, LS_current!$B$4:$AY$139, LS_current!N$149, FALSE), VLOOKUP($A92, LS_current!$B$4:$AY$139,LS_current!N$149, FALSE))/2)</f>
        <v>0</v>
      </c>
      <c r="BY92" s="382">
        <f t="array" ref="BY92">IF($BI92=0, INDEX(LS_current!$D$4:$AY$139, MATCH('Staging Table'!$A92, LS_current!$B$4:$B$139, 0), MATCH(BY$4&amp;BY$5, LS_current!$D$2:$AY$2&amp;LS_current!$D$3:$AY$3, 0)),SUM(VLOOKUP($A92, LS_current!$B$4:$AY$139, LS_current!O$149, FALSE), VLOOKUP($A92, LS_current!$B$4:$AY$139,LS_current!O$149, FALSE))/2)</f>
        <v>0</v>
      </c>
      <c r="BZ92" s="382">
        <f t="array" ref="BZ92">IF($BI92=0, INDEX(LS_current!$D$4:$AY$139, MATCH('Staging Table'!$A92, LS_current!$B$4:$B$139, 0), MATCH(BZ$4&amp;BZ$5, LS_current!$D$2:$AY$2&amp;LS_current!$D$3:$AY$3, 0)),SUM(VLOOKUP($A92, LS_current!$B$4:$AY$139, LS_current!P$149, FALSE), VLOOKUP($A92, LS_current!$B$4:$AY$139,LS_current!P$149, FALSE))/2)</f>
        <v>0</v>
      </c>
      <c r="CA92" s="382">
        <f t="array" ref="CA92">IF($BI92=0, INDEX(LS_current!$D$4:$AY$139, MATCH('Staging Table'!$A92, LS_current!$B$4:$B$139, 0), MATCH(CA$4&amp;CA$5, LS_current!$D$2:$AY$2&amp;LS_current!$D$3:$AY$3, 0)),SUM(VLOOKUP($A92, LS_current!$B$4:$AY$139, LS_current!Q$149, FALSE), VLOOKUP($A92, LS_current!$B$4:$AY$139,LS_current!Q$149, FALSE))/2)</f>
        <v>0</v>
      </c>
      <c r="CB92" s="382">
        <f t="array" ref="CB92">IF($BI92=0, INDEX(LS_current!$D$4:$AY$139, MATCH('Staging Table'!$A92, LS_current!$B$4:$B$139, 0), MATCH(CB$4&amp;CB$5, LS_current!$D$2:$AY$2&amp;LS_current!$D$3:$AY$3, 0)),SUM(VLOOKUP($A92, LS_current!$B$4:$AY$139, LS_current!R$149, FALSE), VLOOKUP($A92, LS_current!$B$4:$AY$139,LS_current!R$149, FALSE))/2)</f>
        <v>0</v>
      </c>
      <c r="CC92" s="382">
        <f t="array" ref="CC92">IF($BI92=0, INDEX(LS_current!$D$4:$AY$139, MATCH('Staging Table'!$A92, LS_current!$B$4:$B$139, 0), MATCH(CC$4&amp;CC$5, LS_current!$D$2:$AY$2&amp;LS_current!$D$3:$AY$3, 0)),SUM(VLOOKUP($A92, LS_current!$B$4:$AY$139, LS_current!S$149, FALSE), VLOOKUP($A92, LS_current!$B$4:$AY$139,LS_current!S$149, FALSE))/2)</f>
        <v>0</v>
      </c>
      <c r="CD92" s="382">
        <f t="array" ref="CD92">IF($BI92=0, INDEX(LS_current!$D$4:$AY$139, MATCH('Staging Table'!$A92, LS_current!$B$4:$B$139, 0), MATCH(CD$4&amp;CD$5, LS_current!$D$2:$AY$2&amp;LS_current!$D$3:$AY$3, 0)),SUM(VLOOKUP($A92, LS_current!$B$4:$AY$139, LS_current!T$149, FALSE), VLOOKUP($A92, LS_current!$B$4:$AY$139,LS_current!T$149, FALSE))/2)</f>
        <v>0</v>
      </c>
      <c r="CE92" s="382">
        <f t="array" ref="CE92">IF($BI92=0, INDEX(LS_current!$D$4:$AY$139, MATCH('Staging Table'!$A92, LS_current!$B$4:$B$139, 0), MATCH(CE$4&amp;CE$5, LS_current!$D$2:$AY$2&amp;LS_current!$D$3:$AY$3, 0)),SUM(VLOOKUP($A92, LS_current!$B$4:$AY$139, LS_current!U$149, FALSE), VLOOKUP($A92, LS_current!$B$4:$AY$139,LS_current!U$149, FALSE))/2)</f>
        <v>0</v>
      </c>
      <c r="CF92" s="382">
        <f t="array" ref="CF92">IF($BI92=0, INDEX(LS_current!$D$4:$AY$139, MATCH('Staging Table'!$A92, LS_current!$B$4:$B$139, 0), MATCH(CF$4&amp;CF$5, LS_current!$D$2:$AY$2&amp;LS_current!$D$3:$AY$3, 0)),SUM(VLOOKUP($A92, LS_current!$B$4:$AY$139, LS_current!V$149, FALSE), VLOOKUP($A92, LS_current!$B$4:$AY$139,LS_current!V$149, FALSE))/2)</f>
        <v>0</v>
      </c>
      <c r="CG92" s="382">
        <f t="array" ref="CG92">IF($BI92=0, INDEX(LS_current!$D$4:$AY$139, MATCH('Staging Table'!$A92, LS_current!$B$4:$B$139, 0), MATCH(CG$4&amp;CG$5, LS_current!$D$2:$AY$2&amp;LS_current!$D$3:$AY$3, 0)),SUM(VLOOKUP($A92, LS_current!$B$4:$AY$139, LS_current!W$149, FALSE), VLOOKUP($A92, LS_current!$B$4:$AY$139,LS_current!W$149, FALSE))/2)</f>
        <v>0</v>
      </c>
      <c r="CH92" s="382">
        <f t="array" ref="CH92">IF($BI92=0, INDEX(LS_current!$D$4:$AY$139, MATCH('Staging Table'!$A92, LS_current!$B$4:$B$139, 0), MATCH(CH$4&amp;CH$5, LS_current!$D$2:$AY$2&amp;LS_current!$D$3:$AY$3, 0)),SUM(VLOOKUP($A92, LS_current!$B$4:$AY$139, LS_current!X$149, FALSE), VLOOKUP($A92, LS_current!$B$4:$AY$139,LS_current!X$149, FALSE))/2)</f>
        <v>0</v>
      </c>
      <c r="CI92" s="382">
        <f t="array" ref="CI92">IF($BI92=0, INDEX(LS_current!$D$4:$AY$139, MATCH('Staging Table'!$A92, LS_current!$B$4:$B$139, 0), MATCH(CI$4&amp;CI$5, LS_current!$D$2:$AY$2&amp;LS_current!$D$3:$AY$3, 0)),SUM(VLOOKUP($A92, LS_current!$B$4:$AY$139, LS_current!Y$149, FALSE), VLOOKUP($A92, LS_current!$B$4:$AY$139,LS_current!Y$149, FALSE))/2)</f>
        <v>0</v>
      </c>
      <c r="CJ92" s="382">
        <f t="array" ref="CJ92">IF($BI92=0, INDEX(LS_current!$D$4:$AY$139, MATCH('Staging Table'!$A92, LS_current!$B$4:$B$139, 0), MATCH(CJ$4&amp;CJ$5, LS_current!$D$2:$AY$2&amp;LS_current!$D$3:$AY$3, 0)),SUM(VLOOKUP($A92, LS_current!$B$4:$AY$139, LS_current!Z$149, FALSE), VLOOKUP($A92, LS_current!$B$4:$AY$139,LS_current!Z$149, FALSE))/2)</f>
        <v>0</v>
      </c>
      <c r="CK92" s="382">
        <f t="array" ref="CK92">IF($BI92=0, INDEX(LS_current!$D$4:$AY$139, MATCH('Staging Table'!$A92, LS_current!$B$4:$B$139, 0), MATCH(CK$4&amp;CK$5, LS_current!$D$2:$AY$2&amp;LS_current!$D$3:$AY$3, 0)),SUM(VLOOKUP($A92, LS_current!$B$4:$AY$139, LS_current!AA$149, FALSE), VLOOKUP($A92, LS_current!$B$4:$AY$139,LS_current!AA$149, FALSE))/2)</f>
        <v>0</v>
      </c>
      <c r="CL92" s="384">
        <f t="array" ref="CL92">INDEX(Demand_current!$D$4:$AY$138, MATCH($A92, Demand_current!$B$4:$B$138, 0), MATCH(CL$4&amp;CL$5,Demand_current!$D$2:$AY$2&amp;Demand_current!$D$3:$AY$3, 0))/1000</f>
        <v>0</v>
      </c>
      <c r="CM92" s="384">
        <f t="array" ref="CM92">INDEX(Demand_current!$D$4:$AY$138, MATCH($A92, Demand_current!$B$4:$B$138, 0), MATCH(CM$4&amp;CM$5,Demand_current!$D$2:$AY$2&amp;Demand_current!$D$3:$AY$3, 0))/1000</f>
        <v>0</v>
      </c>
      <c r="CN92" s="384">
        <f t="array" ref="CN92">INDEX(Demand_current!$D$4:$AY$138, MATCH($A92, Demand_current!$B$4:$B$138, 0), MATCH(CN$4&amp;CN$5,Demand_current!$D$2:$AY$2&amp;Demand_current!$D$3:$AY$3, 0))/1000</f>
        <v>0</v>
      </c>
      <c r="CO92" s="384">
        <f t="array" ref="CO92">INDEX(Demand_current!$D$4:$AY$138, MATCH($A92, Demand_current!$B$4:$B$138, 0), MATCH(CO$4&amp;CO$5,Demand_current!$D$2:$AY$2&amp;Demand_current!$D$3:$AY$3, 0))/1000</f>
        <v>0</v>
      </c>
      <c r="CP92" s="384">
        <f t="array" ref="CP92">INDEX(Demand_current!$D$4:$AY$138, MATCH($A92, Demand_current!$B$4:$B$138, 0), MATCH(CP$4&amp;CP$5,Demand_current!$D$2:$AY$2&amp;Demand_current!$D$3:$AY$3, 0))/1000</f>
        <v>0</v>
      </c>
      <c r="CQ92" s="384">
        <f t="array" ref="CQ92">INDEX(Demand_current!$D$4:$AY$138, MATCH($A92, Demand_current!$B$4:$B$138, 0), MATCH(CQ$4&amp;CQ$5,Demand_current!$D$2:$AY$2&amp;Demand_current!$D$3:$AY$3, 0))/1000</f>
        <v>0</v>
      </c>
      <c r="CR92" s="384">
        <f t="array" ref="CR92">INDEX(Demand_current!$D$4:$AY$138, MATCH($A92, Demand_current!$B$4:$B$138, 0), MATCH(CR$4&amp;CR$5,Demand_current!$D$2:$AY$2&amp;Demand_current!$D$3:$AY$3, 0))/1000</f>
        <v>0</v>
      </c>
      <c r="CS92" s="384">
        <f t="array" ref="CS92">INDEX(Demand_current!$D$4:$AY$138, MATCH($A92, Demand_current!$B$4:$B$138, 0), MATCH(CS$4&amp;CS$5,Demand_current!$D$2:$AY$2&amp;Demand_current!$D$3:$AY$3, 0))/1000</f>
        <v>0</v>
      </c>
      <c r="CT92" s="384">
        <f t="array" ref="CT92">INDEX(Demand_current!$D$4:$AY$138, MATCH($A92, Demand_current!$B$4:$B$138, 0), MATCH(CT$4&amp;CT$5,Demand_current!$D$2:$AY$2&amp;Demand_current!$D$3:$AY$3, 0))/1000</f>
        <v>0</v>
      </c>
      <c r="CU92" s="384">
        <f t="array" ref="CU92">INDEX(Demand_current!$D$4:$AY$138, MATCH($A92, Demand_current!$B$4:$B$138, 0), MATCH(CU$4&amp;CU$5,Demand_current!$D$2:$AY$2&amp;Demand_current!$D$3:$AY$3, 0))/1000</f>
        <v>0</v>
      </c>
      <c r="CV92" s="384">
        <f t="array" ref="CV92">INDEX(Demand_current!$D$4:$AY$138, MATCH($A92, Demand_current!$B$4:$B$138, 0), MATCH(CV$4&amp;CV$5,Demand_current!$D$2:$AY$2&amp;Demand_current!$D$3:$AY$3, 0))/1000</f>
        <v>0</v>
      </c>
      <c r="CW92" s="384">
        <f t="array" ref="CW92">INDEX(Demand_current!$D$4:$AY$138, MATCH($A92, Demand_current!$B$4:$B$138, 0), MATCH(CW$4&amp;CW$5,Demand_current!$D$2:$AY$2&amp;Demand_current!$D$3:$AY$3, 0))/1000</f>
        <v>0</v>
      </c>
      <c r="CX92" s="384">
        <f>IF(D92=0,IF(C92=0,MAX(0,DA92 - (VLOOKUP($A92,TOCA_current!$A$2:$AI$137,MATCH("RHWM 2018",TOCA_current!$A$2:$AI$2,0),FALSE)*$BH$2)), 0),0)</f>
        <v>0</v>
      </c>
      <c r="CY92" s="427">
        <f>VLOOKUP($A92,REP_current!$A$1:$D$135,MATCH("FY "&amp;$BH$1&amp; " Total Refund",REP_current!$A$1:$D$1,0),0)</f>
        <v>324752.59868186503</v>
      </c>
      <c r="CZ92" s="432">
        <f>MIN(VLOOKUP($A92,TOCA_current!$A$2:$AI$137,MATCH("TRL - NLSL - Existing Resource "&amp;$BH$1,TOCA_current!$A$2:$AI$2,0),FALSE)*$BH$2, VLOOKUP($A92,TOCA_current!$A$2:$AI$137,MATCH("RHWM 2018",TOCA_current!$A$2:$AI$2,0),FALSE)*$BH$2)</f>
        <v>291164.88</v>
      </c>
      <c r="DA92" s="397">
        <f>SUM(BN92:CK92)+(BH92*RT1SC!$C$4*$BH$2)</f>
        <v>291165.16869456001</v>
      </c>
      <c r="DB92" s="432">
        <f>VLOOKUP($A92,TOCA_current!$A$2:$AI$137,MATCH("Above RHWM Not Served with LS "&amp;$BH$1,TOCA_current!$A$2:$AI$2,0),FALSE)*$BH$2</f>
        <v>0</v>
      </c>
      <c r="DC92" s="401">
        <f t="shared" si="27"/>
        <v>0.28869456000393257</v>
      </c>
      <c r="DD92" s="397">
        <f>(VLOOKUP($A92,TOCA_current!$A$2:$AI$137,MATCH("RHWM 2018",TOCA_current!$A$2:$AI$2,0),FALSE)*$BH$2) - $CZ92</f>
        <v>18509.880000000005</v>
      </c>
      <c r="DE92" s="397">
        <f t="shared" si="28"/>
        <v>-0.28869456000393257</v>
      </c>
      <c r="DF92" s="397">
        <f t="shared" si="29"/>
        <v>0</v>
      </c>
      <c r="DG92" s="397">
        <f t="shared" si="30"/>
        <v>0</v>
      </c>
      <c r="DH92" s="397">
        <f t="shared" si="31"/>
        <v>-0.28869456000393257</v>
      </c>
    </row>
    <row r="93" spans="1:112">
      <c r="A93" s="274">
        <v>10279</v>
      </c>
      <c r="B93" s="275" t="s">
        <v>94</v>
      </c>
      <c r="C93" s="397">
        <v>0</v>
      </c>
      <c r="D93" s="397">
        <v>0</v>
      </c>
      <c r="E93" s="205">
        <f>VLOOKUP($A93,TOCA_previous!$A$2:$AI$137,MATCH(E$4,TOCA_previous!$A$2:$AI$2,0),FALSE)</f>
        <v>9.1841000000000006E-3</v>
      </c>
      <c r="F93" s="206">
        <f>VLOOKUP($A93,TOCA_previous!$A$2:$AI$137,MATCH(F$4,TOCA_previous!$A$2:$AI$2,0),FALSE)</f>
        <v>9.1841000000000006E-3</v>
      </c>
      <c r="G93" s="206">
        <f t="shared" si="16"/>
        <v>0</v>
      </c>
      <c r="H93" s="206">
        <f>VLOOKUP($A93,TOCA_previous!$A$2:$AI$137,MATCH(H$4,TOCA_previous!$A$2:$AI$2,0),FALSE)</f>
        <v>0</v>
      </c>
      <c r="I93" s="206">
        <f t="shared" si="17"/>
        <v>0</v>
      </c>
      <c r="J93" s="206">
        <f t="shared" si="18"/>
        <v>0</v>
      </c>
      <c r="K93" s="381">
        <f>VLOOKUP(A93, IRD!$A$5:$C$139, 3, FALSE)</f>
        <v>0</v>
      </c>
      <c r="L93" s="382">
        <f t="array" ref="L93">IF($G93=0, INDEX(LS_previous!$D$4:$AY$138, MATCH('Staging Table'!$A93, LS_previous!$B$4:$B$138, 0), MATCH(L$4&amp;L$5, LS_previous!$D$2:$AY$2&amp;LS_previous!$D$3:$AY$3, 0)),SUM(VLOOKUP($A93, LS_previous!$B$4:$AY$138, LS_previous!D$149, FALSE), VLOOKUP('Staging Table'!$A93, LS_previous!$B$4:$AY$138,LS_previous!AB$149, FALSE))/2)</f>
        <v>-1702.6055310848133</v>
      </c>
      <c r="M93" s="382">
        <f t="array" ref="M93">IF($G93=0, INDEX(LS_previous!$D$4:$AY$138, MATCH('Staging Table'!$A93, LS_previous!$B$4:$B$138, 0), MATCH(M$4&amp;M$5, LS_previous!$D$2:$AY$2&amp;LS_previous!$D$3:$AY$3, 0)),SUM(VLOOKUP($A93, LS_previous!$B$4:$AY$138, LS_previous!E$149, FALSE), VLOOKUP('Staging Table'!$A93, LS_previous!$B$4:$AY$138,LS_previous!AC$149, FALSE))/2)</f>
        <v>2644.3734378172248</v>
      </c>
      <c r="N93" s="382">
        <f t="array" ref="N93">IF($G93=0, INDEX(LS_previous!$D$4:$AY$138, MATCH('Staging Table'!$A93, LS_previous!$B$4:$B$138, 0), MATCH(N$4&amp;N$5, LS_previous!$D$2:$AY$2&amp;LS_previous!$D$3:$AY$3, 0)),SUM(VLOOKUP($A93, LS_previous!$B$4:$AY$138, LS_previous!F$149, FALSE), VLOOKUP('Staging Table'!$A93, LS_previous!$B$4:$AY$138,LS_previous!AD$149, FALSE))/2)</f>
        <v>-3745.0376928643454</v>
      </c>
      <c r="O93" s="382">
        <f t="array" ref="O93">IF($G93=0, INDEX(LS_previous!$D$4:$AY$138, MATCH('Staging Table'!$A93, LS_previous!$B$4:$B$138, 0), MATCH(O$4&amp;O$5, LS_previous!$D$2:$AY$2&amp;LS_previous!$D$3:$AY$3, 0)),SUM(VLOOKUP($A93, LS_previous!$B$4:$AY$138, LS_previous!G$149, FALSE), VLOOKUP('Staging Table'!$A93, LS_previous!$B$4:$AY$138,LS_previous!AE$149, FALSE))/2)</f>
        <v>892.00912740922649</v>
      </c>
      <c r="P93" s="382">
        <f t="array" ref="P93">IF($G93=0, INDEX(LS_previous!$D$4:$AY$138, MATCH('Staging Table'!$A93, LS_previous!$B$4:$B$138, 0), MATCH(P$4&amp;P$5, LS_previous!$D$2:$AY$2&amp;LS_previous!$D$3:$AY$3, 0)),SUM(VLOOKUP($A93, LS_previous!$B$4:$AY$138, LS_previous!H$149, FALSE), VLOOKUP('Staging Table'!$A93, LS_previous!$B$4:$AY$138,LS_previous!AF$149, FALSE))/2)</f>
        <v>1656.2174609841022</v>
      </c>
      <c r="Q93" s="382">
        <f t="array" ref="Q93">IF($G93=0, INDEX(LS_previous!$D$4:$AY$138, MATCH('Staging Table'!$A93, LS_previous!$B$4:$B$138, 0), MATCH(Q$4&amp;Q$5, LS_previous!$D$2:$AY$2&amp;LS_previous!$D$3:$AY$3, 0)),SUM(VLOOKUP($A93, LS_previous!$B$4:$AY$138, LS_previous!I$149, FALSE), VLOOKUP('Staging Table'!$A93, LS_previous!$B$4:$AY$138,LS_previous!AG$149, FALSE))/2)</f>
        <v>5828.5992623149541</v>
      </c>
      <c r="R93" s="382">
        <f t="array" ref="R93">IF($G93=0, INDEX(LS_previous!$D$4:$AY$138, MATCH('Staging Table'!$A93, LS_previous!$B$4:$B$138, 0), MATCH(R$4&amp;R$5, LS_previous!$D$2:$AY$2&amp;LS_previous!$D$3:$AY$3, 0)),SUM(VLOOKUP($A93, LS_previous!$B$4:$AY$138, LS_previous!J$149, FALSE), VLOOKUP('Staging Table'!$A93, LS_previous!$B$4:$AY$138,LS_previous!AH$149, FALSE))/2)</f>
        <v>2864.948412358066</v>
      </c>
      <c r="S93" s="382">
        <f t="array" ref="S93">IF($G93=0, INDEX(LS_previous!$D$4:$AY$138, MATCH('Staging Table'!$A93, LS_previous!$B$4:$B$138, 0), MATCH(S$4&amp;S$5, LS_previous!$D$2:$AY$2&amp;LS_previous!$D$3:$AY$3, 0)),SUM(VLOOKUP($A93, LS_previous!$B$4:$AY$138, LS_previous!K$149, FALSE), VLOOKUP('Staging Table'!$A93, LS_previous!$B$4:$AY$138,LS_previous!AI$149, FALSE))/2)</f>
        <v>4296.1025426495689</v>
      </c>
      <c r="T93" s="382">
        <f t="array" ref="T93">IF($G93=0, INDEX(LS_previous!$D$4:$AY$138, MATCH('Staging Table'!$A93, LS_previous!$B$4:$B$138, 0), MATCH(T$4&amp;T$5, LS_previous!$D$2:$AY$2&amp;LS_previous!$D$3:$AY$3, 0)),SUM(VLOOKUP($A93, LS_previous!$B$4:$AY$138, LS_previous!L$149, FALSE), VLOOKUP('Staging Table'!$A93, LS_previous!$B$4:$AY$138,LS_previous!AJ$149, FALSE))/2)</f>
        <v>635.08383836285429</v>
      </c>
      <c r="U93" s="382">
        <f t="array" ref="U93">IF($G93=0, INDEX(LS_previous!$D$4:$AY$138, MATCH('Staging Table'!$A93, LS_previous!$B$4:$B$138, 0), MATCH(U$4&amp;U$5, LS_previous!$D$2:$AY$2&amp;LS_previous!$D$3:$AY$3, 0)),SUM(VLOOKUP($A93, LS_previous!$B$4:$AY$138, LS_previous!M$149, FALSE), VLOOKUP('Staging Table'!$A93, LS_previous!$B$4:$AY$138,LS_previous!AK$149, FALSE))/2)</f>
        <v>2299.7493807825067</v>
      </c>
      <c r="V93" s="382">
        <f t="array" ref="V93">IF($G93=0, INDEX(LS_previous!$D$4:$AY$138, MATCH('Staging Table'!$A93, LS_previous!$B$4:$B$138, 0), MATCH(V$4&amp;V$5, LS_previous!$D$2:$AY$2&amp;LS_previous!$D$3:$AY$3, 0)),SUM(VLOOKUP($A93, LS_previous!$B$4:$AY$138, LS_previous!N$149, FALSE), VLOOKUP('Staging Table'!$A93, LS_previous!$B$4:$AY$138,LS_previous!AL$149, FALSE))/2)</f>
        <v>-2878.7336721468964</v>
      </c>
      <c r="W93" s="382">
        <f t="array" ref="W93">IF($G93=0, INDEX(LS_previous!$D$4:$AY$138, MATCH('Staging Table'!$A93, LS_previous!$B$4:$B$138, 0), MATCH(W$4&amp;W$5, LS_previous!$D$2:$AY$2&amp;LS_previous!$D$3:$AY$3, 0)),SUM(VLOOKUP($A93, LS_previous!$B$4:$AY$138, LS_previous!O$149, FALSE), VLOOKUP('Staging Table'!$A93, LS_previous!$B$4:$AY$138,LS_previous!AM$149, FALSE))/2)</f>
        <v>-832.29258058527557</v>
      </c>
      <c r="X93" s="382">
        <f t="array" ref="X93">IF($G93=0, INDEX(LS_previous!$D$4:$AY$138, MATCH('Staging Table'!$A93, LS_previous!$B$4:$B$138, 0), MATCH(X$4&amp;X$5, LS_previous!$D$2:$AY$2&amp;LS_previous!$D$3:$AY$3, 0)),SUM(VLOOKUP($A93, LS_previous!$B$4:$AY$138, LS_previous!P$149, FALSE), VLOOKUP('Staging Table'!$A93, LS_previous!$B$4:$AY$138,LS_previous!AN$149, FALSE))/2)</f>
        <v>-373.56814364262027</v>
      </c>
      <c r="Y93" s="382">
        <f t="array" ref="Y93">IF($G93=0, INDEX(LS_previous!$D$4:$AY$138, MATCH('Staging Table'!$A93, LS_previous!$B$4:$B$138, 0), MATCH(Y$4&amp;Y$5, LS_previous!$D$2:$AY$2&amp;LS_previous!$D$3:$AY$3, 0)),SUM(VLOOKUP($A93, LS_previous!$B$4:$AY$138, LS_previous!Q$149, FALSE), VLOOKUP('Staging Table'!$A93, LS_previous!$B$4:$AY$138,LS_previous!AO$149, FALSE))/2)</f>
        <v>2305.3126505866021</v>
      </c>
      <c r="Z93" s="382">
        <f t="array" ref="Z93">IF($G93=0, INDEX(LS_previous!$D$4:$AY$138, MATCH('Staging Table'!$A93, LS_previous!$B$4:$B$138, 0), MATCH(Z$4&amp;Z$5, LS_previous!$D$2:$AY$2&amp;LS_previous!$D$3:$AY$3, 0)),SUM(VLOOKUP($A93, LS_previous!$B$4:$AY$138, LS_previous!R$149, FALSE), VLOOKUP('Staging Table'!$A93, LS_previous!$B$4:$AY$138,LS_previous!AP$149, FALSE))/2)</f>
        <v>-15213.593012979029</v>
      </c>
      <c r="AA93" s="382">
        <f t="array" ref="AA93">IF($G93=0, INDEX(LS_previous!$D$4:$AY$138, MATCH('Staging Table'!$A93, LS_previous!$B$4:$B$138, 0), MATCH(AA$4&amp;AA$5, LS_previous!$D$2:$AY$2&amp;LS_previous!$D$3:$AY$3, 0)),SUM(VLOOKUP($A93, LS_previous!$B$4:$AY$138, LS_previous!S$149, FALSE), VLOOKUP('Staging Table'!$A93, LS_previous!$B$4:$AY$138,LS_previous!AQ$149, FALSE))/2)</f>
        <v>-5474.0814541882064</v>
      </c>
      <c r="AB93" s="382">
        <f t="array" ref="AB93">IF($G93=0, INDEX(LS_previous!$D$4:$AY$138, MATCH('Staging Table'!$A93, LS_previous!$B$4:$B$138, 0), MATCH(AB$4&amp;AB$5, LS_previous!$D$2:$AY$2&amp;LS_previous!$D$3:$AY$3, 0)),SUM(VLOOKUP($A93, LS_previous!$B$4:$AY$138, LS_previous!T$149, FALSE), VLOOKUP('Staging Table'!$A93, LS_previous!$B$4:$AY$138,LS_previous!AR$149, FALSE))/2)</f>
        <v>-6923.1037263072503</v>
      </c>
      <c r="AC93" s="382">
        <f t="array" ref="AC93">IF($G93=0, INDEX(LS_previous!$D$4:$AY$138, MATCH('Staging Table'!$A93, LS_previous!$B$4:$B$138, 0), MATCH(AC$4&amp;AC$5, LS_previous!$D$2:$AY$2&amp;LS_previous!$D$3:$AY$3, 0)),SUM(VLOOKUP($A93, LS_previous!$B$4:$AY$138, LS_previous!U$149, FALSE), VLOOKUP('Staging Table'!$A93, LS_previous!$B$4:$AY$138,LS_previous!AS$149, FALSE))/2)</f>
        <v>-2482.4125743954755</v>
      </c>
      <c r="AD93" s="382">
        <f t="array" ref="AD93">IF($G93=0, INDEX(LS_previous!$D$4:$AY$138, MATCH('Staging Table'!$A93, LS_previous!$B$4:$B$138, 0), MATCH(AD$4&amp;AD$5, LS_previous!$D$2:$AY$2&amp;LS_previous!$D$3:$AY$3, 0)),SUM(VLOOKUP($A93, LS_previous!$B$4:$AY$138, LS_previous!V$149, FALSE), VLOOKUP('Staging Table'!$A93, LS_previous!$B$4:$AY$138,LS_previous!AT$149, FALSE))/2)</f>
        <v>-2940.8616240464471</v>
      </c>
      <c r="AE93" s="382">
        <f t="array" ref="AE93">IF($G93=0, INDEX(LS_previous!$D$4:$AY$138, MATCH('Staging Table'!$A93, LS_previous!$B$4:$B$138, 0), MATCH(AE$4&amp;AE$5, LS_previous!$D$2:$AY$2&amp;LS_previous!$D$3:$AY$3, 0)),SUM(VLOOKUP($A93, LS_previous!$B$4:$AY$138, LS_previous!W$149, FALSE), VLOOKUP('Staging Table'!$A93, LS_previous!$B$4:$AY$138,LS_previous!AU$149, FALSE))/2)</f>
        <v>3762.7652681281652</v>
      </c>
      <c r="AF93" s="382">
        <f t="array" ref="AF93">IF($G93=0, INDEX(LS_previous!$D$4:$AY$138, MATCH('Staging Table'!$A93, LS_previous!$B$4:$B$138, 0), MATCH(AF$4&amp;AF$5, LS_previous!$D$2:$AY$2&amp;LS_previous!$D$3:$AY$3, 0)),SUM(VLOOKUP($A93, LS_previous!$B$4:$AY$138, LS_previous!X$149, FALSE), VLOOKUP('Staging Table'!$A93, LS_previous!$B$4:$AY$138,LS_previous!AV$149, FALSE))/2)</f>
        <v>-2904.3836558455405</v>
      </c>
      <c r="AG93" s="382">
        <f t="array" ref="AG93">IF($G93=0, INDEX(LS_previous!$D$4:$AY$138, MATCH('Staging Table'!$A93, LS_previous!$B$4:$B$138, 0), MATCH(AG$4&amp;AG$5, LS_previous!$D$2:$AY$2&amp;LS_previous!$D$3:$AY$3, 0)),SUM(VLOOKUP($A93, LS_previous!$B$4:$AY$138, LS_previous!Y$149, FALSE), VLOOKUP('Staging Table'!$A93, LS_previous!$B$4:$AY$138,LS_previous!AW$149, FALSE))/2)</f>
        <v>764.71645356036606</v>
      </c>
      <c r="AH93" s="382">
        <f t="array" ref="AH93">IF($G93=0, INDEX(LS_previous!$D$4:$AY$138, MATCH('Staging Table'!$A93, LS_previous!$B$4:$B$138, 0), MATCH(AH$4&amp;AH$5, LS_previous!$D$2:$AY$2&amp;LS_previous!$D$3:$AY$3, 0)),SUM(VLOOKUP($A93, LS_previous!$B$4:$AY$138, LS_previous!Z$149, FALSE), VLOOKUP('Staging Table'!$A93, LS_previous!$B$4:$AY$138,LS_previous!AX$149, FALSE))/2)</f>
        <v>-1447.4148201857461</v>
      </c>
      <c r="AI93" s="382">
        <f t="array" ref="AI93">IF($G93=0, INDEX(LS_previous!$D$4:$AY$138, MATCH('Staging Table'!$A93, LS_previous!$B$4:$B$138, 0), MATCH(AI$4&amp;AI$5, LS_previous!$D$2:$AY$2&amp;LS_previous!$D$3:$AY$3, 0)),SUM(VLOOKUP($A93, LS_previous!$B$4:$AY$138, LS_previous!AA$149, FALSE), VLOOKUP('Staging Table'!$A93, LS_previous!$B$4:$AY$138,LS_previous!AY$149, FALSE))/2)</f>
        <v>2376.6012477091808</v>
      </c>
      <c r="AJ93" s="384">
        <f t="array" ref="AJ93">INDEX(Demand_previous!$D$4:$AY$138, MATCH('Staging Table'!$A93, Demand_previous!$B$4:$B$138, 0), MATCH(AJ$4&amp;AJ$5,Demand_previous!$D$2:$AY$2&amp;Demand_previous!$D$3:$AY$3, 0))/1000</f>
        <v>0</v>
      </c>
      <c r="AK93" s="384">
        <f t="array" ref="AK93">INDEX(Demand_previous!$D$4:$AY$138, MATCH('Staging Table'!$A93, Demand_previous!$B$4:$B$138, 0), MATCH(AK$4&amp;AK$5,Demand_previous!$D$2:$AY$2&amp;Demand_previous!$D$3:$AY$3, 0))/1000</f>
        <v>0</v>
      </c>
      <c r="AL93" s="384">
        <f t="array" ref="AL93">INDEX(Demand_previous!$D$4:$AY$138, MATCH('Staging Table'!$A93, Demand_previous!$B$4:$B$138, 0), MATCH(AL$4&amp;AL$5,Demand_previous!$D$2:$AY$2&amp;Demand_previous!$D$3:$AY$3, 0))/1000</f>
        <v>0</v>
      </c>
      <c r="AM93" s="384">
        <f t="array" ref="AM93">INDEX(Demand_previous!$D$4:$AY$138, MATCH('Staging Table'!$A93, Demand_previous!$B$4:$B$138, 0), MATCH(AM$4&amp;AM$5,Demand_previous!$D$2:$AY$2&amp;Demand_previous!$D$3:$AY$3, 0))/1000</f>
        <v>0</v>
      </c>
      <c r="AN93" s="384">
        <f t="array" ref="AN93">INDEX(Demand_previous!$D$4:$AY$138, MATCH('Staging Table'!$A93, Demand_previous!$B$4:$B$138, 0), MATCH(AN$4&amp;AN$5,Demand_previous!$D$2:$AY$2&amp;Demand_previous!$D$3:$AY$3, 0))/1000</f>
        <v>0</v>
      </c>
      <c r="AO93" s="384">
        <f t="array" ref="AO93">INDEX(Demand_previous!$D$4:$AY$138, MATCH('Staging Table'!$A93, Demand_previous!$B$4:$B$138, 0), MATCH(AO$4&amp;AO$5,Demand_previous!$D$2:$AY$2&amp;Demand_previous!$D$3:$AY$3, 0))/1000</f>
        <v>0</v>
      </c>
      <c r="AP93" s="384">
        <f t="array" ref="AP93">INDEX(Demand_previous!$D$4:$AY$138, MATCH('Staging Table'!$A93, Demand_previous!$B$4:$B$138, 0), MATCH(AP$4&amp;AP$5,Demand_previous!$D$2:$AY$2&amp;Demand_previous!$D$3:$AY$3, 0))/1000</f>
        <v>0</v>
      </c>
      <c r="AQ93" s="384">
        <f t="array" ref="AQ93">INDEX(Demand_previous!$D$4:$AY$138, MATCH('Staging Table'!$A93, Demand_previous!$B$4:$B$138, 0), MATCH(AQ$4&amp;AQ$5,Demand_previous!$D$2:$AY$2&amp;Demand_previous!$D$3:$AY$3, 0))/1000</f>
        <v>0</v>
      </c>
      <c r="AR93" s="384">
        <f t="array" ref="AR93">INDEX(Demand_previous!$D$4:$AY$138, MATCH('Staging Table'!$A93, Demand_previous!$B$4:$B$138, 0), MATCH(AR$4&amp;AR$5,Demand_previous!$D$2:$AY$2&amp;Demand_previous!$D$3:$AY$3, 0))/1000</f>
        <v>0</v>
      </c>
      <c r="AS93" s="384">
        <f t="array" ref="AS93">INDEX(Demand_previous!$D$4:$AY$138, MATCH('Staging Table'!$A93, Demand_previous!$B$4:$B$138, 0), MATCH(AS$4&amp;AS$5,Demand_previous!$D$2:$AY$2&amp;Demand_previous!$D$3:$AY$3, 0))/1000</f>
        <v>0</v>
      </c>
      <c r="AT93" s="384">
        <f t="array" ref="AT93">INDEX(Demand_previous!$D$4:$AY$138, MATCH('Staging Table'!$A93, Demand_previous!$B$4:$B$138, 0), MATCH(AT$4&amp;AT$5,Demand_previous!$D$2:$AY$2&amp;Demand_previous!$D$3:$AY$3, 0))/1000</f>
        <v>0</v>
      </c>
      <c r="AU93" s="384">
        <f t="array" ref="AU93">INDEX(Demand_previous!$D$4:$AY$138, MATCH('Staging Table'!$A93, Demand_previous!$B$4:$B$138, 0), MATCH(AU$4&amp;AU$5,Demand_previous!$D$2:$AY$2&amp;Demand_previous!$D$3:$AY$3, 0))/1000</f>
        <v>0</v>
      </c>
      <c r="AV93" s="384">
        <f>IF($D93=0,IF(C93=0, MAX(AY93 - (VLOOKUP($A93,TOCA_previous!$A$2:$AI$137,MATCH("RHWM 2016",TOCA_previous!$A$2:$AI$2,0),FALSE)*$F$2*TOCA_previous!C90),0),0), 0)</f>
        <v>0</v>
      </c>
      <c r="AW93" s="427">
        <f>VLOOKUP($A93,REP_previous!$A$1:$D$135,MATCH("FY "&amp;$F$1&amp; " Total Refund",REP_previous!$A$1:$D$1,0),0)</f>
        <v>527915.79716399661</v>
      </c>
      <c r="AX93" s="398">
        <f>MIN(VLOOKUP($A93,TOCA_previous!$A$2:$AI$137,MATCH("TRL - NLSL - Exisiting Resource "&amp;$F$1,TOCA_previous!$A$2:$AI$2,0),FALSE)*$F$2,(VLOOKUP($A93,TOCA_previous!$A$2:$AI$137,MATCH("RHWM 2016",TOCA_previous!$A$2:$AI$2,0),FALSE)*$F$2))</f>
        <v>563344.272</v>
      </c>
      <c r="AY93" s="384">
        <f>SUM(L93:AI93)+(F93*RT1SC!$C$3*$F$2)</f>
        <v>546755.74532601528</v>
      </c>
      <c r="AZ93" s="398">
        <f>VLOOKUP($A93,TOCA_previous!$A$2:$AI$137,MATCH("Above RHWM Not Served with LS "&amp;$F$1,TOCA_previous!$A$2:$AI$2,0),FALSE)*$F$2</f>
        <v>133314.76800000001</v>
      </c>
      <c r="BA93" s="206">
        <f t="shared" si="19"/>
        <v>-16588.526673984714</v>
      </c>
      <c r="BB93" s="399">
        <f>(VLOOKUP($A93,TOCA_previous!$A$2:$AI$137,MATCH("RHWM 2016",TOCA_previous!$A$2:$AI$2,0),FALSE)*$F$2) - $AX93</f>
        <v>0</v>
      </c>
      <c r="BC93" s="206">
        <f t="shared" si="20"/>
        <v>0</v>
      </c>
      <c r="BD93" s="400">
        <f t="shared" si="21"/>
        <v>0</v>
      </c>
      <c r="BE93" s="392">
        <f t="shared" si="22"/>
        <v>0</v>
      </c>
      <c r="BF93" s="399">
        <f t="shared" si="23"/>
        <v>0</v>
      </c>
      <c r="BG93" s="206">
        <f>VLOOKUP($A93,TOCA_current!$A$2:$AI$137,MATCH(BG$4,TOCA_current!$A$2:$AI$2,0),FALSE)</f>
        <v>9.1759000000000007E-3</v>
      </c>
      <c r="BH93" s="206">
        <f>VLOOKUP($A93,TOCA_current!$A$2:$AI$137,MATCH(BH$4,TOCA_current!$A$2:$AI$2,0),FALSE)</f>
        <v>9.1759000000000007E-3</v>
      </c>
      <c r="BI93" s="391">
        <f t="shared" si="24"/>
        <v>0</v>
      </c>
      <c r="BJ93" s="206">
        <f>VLOOKUP($A93,TOCA_current!A89:BG224,MATCH(BJ$4,TOCA_current!$A$2:$BG$2,0),FALSE)</f>
        <v>0</v>
      </c>
      <c r="BK93" s="206">
        <f t="shared" si="25"/>
        <v>0</v>
      </c>
      <c r="BL93" s="206">
        <f t="shared" si="26"/>
        <v>0</v>
      </c>
      <c r="BM93" s="381">
        <f>VLOOKUP($A93,IRD!$A$4:$G$139, 7, FALSE)</f>
        <v>0</v>
      </c>
      <c r="BN93" s="382">
        <f t="array" ref="BN93">IF($BI93=0, INDEX(LS_current!$D$4:$AY$139, MATCH('Staging Table'!$A93, LS_current!$B$4:$B$139, 0), MATCH(BN$4&amp;BN$5, LS_current!$D$2:$AY$2&amp;LS_current!$D$3:$AY$3, 0)),SUM(VLOOKUP($A93, LS_current!$B$4:$AY$139, LS_current!D$149, FALSE), VLOOKUP($A93, LS_current!$B$4:$AY$139,LS_current!D$149, FALSE))/2)</f>
        <v>1512.8280607218294</v>
      </c>
      <c r="BO93" s="382">
        <f t="array" ref="BO93">IF($BI93=0, INDEX(LS_current!$D$4:$AY$139, MATCH('Staging Table'!$A93, LS_current!$B$4:$B$139, 0), MATCH(BO$4&amp;BO$5, LS_current!$D$2:$AY$2&amp;LS_current!$D$3:$AY$3, 0)),SUM(VLOOKUP($A93, LS_current!$B$4:$AY$139, LS_current!E$149, FALSE), VLOOKUP($A93, LS_current!$B$4:$AY$139,LS_current!E$149, FALSE))/2)</f>
        <v>5674.4555153683523</v>
      </c>
      <c r="BP93" s="382">
        <f t="array" ref="BP93">IF($BI93=0, INDEX(LS_current!$D$4:$AY$139, MATCH('Staging Table'!$A93, LS_current!$B$4:$B$139, 0), MATCH(BP$4&amp;BP$5, LS_current!$D$2:$AY$2&amp;LS_current!$D$3:$AY$3, 0)),SUM(VLOOKUP($A93, LS_current!$B$4:$AY$139, LS_current!F$149, FALSE), VLOOKUP($A93, LS_current!$B$4:$AY$139,LS_current!F$149, FALSE))/2)</f>
        <v>-1665.4613174592596</v>
      </c>
      <c r="BQ93" s="382">
        <f t="array" ref="BQ93">IF($BI93=0, INDEX(LS_current!$D$4:$AY$139, MATCH('Staging Table'!$A93, LS_current!$B$4:$B$139, 0), MATCH(BQ$4&amp;BQ$5, LS_current!$D$2:$AY$2&amp;LS_current!$D$3:$AY$3, 0)),SUM(VLOOKUP($A93, LS_current!$B$4:$AY$139, LS_current!G$149, FALSE), VLOOKUP($A93, LS_current!$B$4:$AY$139,LS_current!G$149, FALSE))/2)</f>
        <v>3721.5215980908179</v>
      </c>
      <c r="BR93" s="382">
        <f t="array" ref="BR93">IF($BI93=0, INDEX(LS_current!$D$4:$AY$139, MATCH('Staging Table'!$A93, LS_current!$B$4:$B$139, 0), MATCH(BR$4&amp;BR$5, LS_current!$D$2:$AY$2&amp;LS_current!$D$3:$AY$3, 0)),SUM(VLOOKUP($A93, LS_current!$B$4:$AY$139, LS_current!H$149, FALSE), VLOOKUP($A93, LS_current!$B$4:$AY$139,LS_current!H$149, FALSE))/2)</f>
        <v>3851.0816904222374</v>
      </c>
      <c r="BS93" s="382">
        <f t="array" ref="BS93">IF($BI93=0, INDEX(LS_current!$D$4:$AY$139, MATCH('Staging Table'!$A93, LS_current!$B$4:$B$139, 0), MATCH(BS$4&amp;BS$5, LS_current!$D$2:$AY$2&amp;LS_current!$D$3:$AY$3, 0)),SUM(VLOOKUP($A93, LS_current!$B$4:$AY$139, LS_current!I$149, FALSE), VLOOKUP($A93, LS_current!$B$4:$AY$139,LS_current!I$149, FALSE))/2)</f>
        <v>7977.9940104687485</v>
      </c>
      <c r="BT93" s="382">
        <f t="array" ref="BT93">IF($BI93=0, INDEX(LS_current!$D$4:$AY$139, MATCH('Staging Table'!$A93, LS_current!$B$4:$B$139, 0), MATCH(BT$4&amp;BT$5, LS_current!$D$2:$AY$2&amp;LS_current!$D$3:$AY$3, 0)),SUM(VLOOKUP($A93, LS_current!$B$4:$AY$139, LS_current!J$149, FALSE), VLOOKUP($A93, LS_current!$B$4:$AY$139,LS_current!J$149, FALSE))/2)</f>
        <v>5434.0178642119354</v>
      </c>
      <c r="BU93" s="382">
        <f t="array" ref="BU93">IF($BI93=0, INDEX(LS_current!$D$4:$AY$139, MATCH('Staging Table'!$A93, LS_current!$B$4:$B$139, 0), MATCH(BU$4&amp;BU$5, LS_current!$D$2:$AY$2&amp;LS_current!$D$3:$AY$3, 0)),SUM(VLOOKUP($A93, LS_current!$B$4:$AY$139, LS_current!K$149, FALSE), VLOOKUP($A93, LS_current!$B$4:$AY$139,LS_current!K$149, FALSE))/2)</f>
        <v>6930.1545262814179</v>
      </c>
      <c r="BV93" s="382">
        <f t="array" ref="BV93">IF($BI93=0, INDEX(LS_current!$D$4:$AY$139, MATCH('Staging Table'!$A93, LS_current!$B$4:$B$139, 0), MATCH(BV$4&amp;BV$5, LS_current!$D$2:$AY$2&amp;LS_current!$D$3:$AY$3, 0)),SUM(VLOOKUP($A93, LS_current!$B$4:$AY$139, LS_current!L$149, FALSE), VLOOKUP($A93, LS_current!$B$4:$AY$139,LS_current!L$149, FALSE))/2)</f>
        <v>5665.1316178183697</v>
      </c>
      <c r="BW93" s="382">
        <f t="array" ref="BW93">IF($BI93=0, INDEX(LS_current!$D$4:$AY$139, MATCH('Staging Table'!$A93, LS_current!$B$4:$B$139, 0), MATCH(BW$4&amp;BW$5, LS_current!$D$2:$AY$2&amp;LS_current!$D$3:$AY$3, 0)),SUM(VLOOKUP($A93, LS_current!$B$4:$AY$139, LS_current!M$149, FALSE), VLOOKUP($A93, LS_current!$B$4:$AY$139,LS_current!M$149, FALSE))/2)</f>
        <v>6078.2922805296912</v>
      </c>
      <c r="BX93" s="382">
        <f t="array" ref="BX93">IF($BI93=0, INDEX(LS_current!$D$4:$AY$139, MATCH('Staging Table'!$A93, LS_current!$B$4:$B$139, 0), MATCH(BX$4&amp;BX$5, LS_current!$D$2:$AY$2&amp;LS_current!$D$3:$AY$3, 0)),SUM(VLOOKUP($A93, LS_current!$B$4:$AY$139, LS_current!N$149, FALSE), VLOOKUP($A93, LS_current!$B$4:$AY$139,LS_current!N$149, FALSE))/2)</f>
        <v>1846.3207626103467</v>
      </c>
      <c r="BY93" s="382">
        <f t="array" ref="BY93">IF($BI93=0, INDEX(LS_current!$D$4:$AY$139, MATCH('Staging Table'!$A93, LS_current!$B$4:$B$139, 0), MATCH(BY$4&amp;BY$5, LS_current!$D$2:$AY$2&amp;LS_current!$D$3:$AY$3, 0)),SUM(VLOOKUP($A93, LS_current!$B$4:$AY$139, LS_current!O$149, FALSE), VLOOKUP($A93, LS_current!$B$4:$AY$139,LS_current!O$149, FALSE))/2)</f>
        <v>3156.5778848488972</v>
      </c>
      <c r="BZ93" s="382">
        <f t="array" ref="BZ93">IF($BI93=0, INDEX(LS_current!$D$4:$AY$139, MATCH('Staging Table'!$A93, LS_current!$B$4:$B$139, 0), MATCH(BZ$4&amp;BZ$5, LS_current!$D$2:$AY$2&amp;LS_current!$D$3:$AY$3, 0)),SUM(VLOOKUP($A93, LS_current!$B$4:$AY$139, LS_current!P$149, FALSE), VLOOKUP($A93, LS_current!$B$4:$AY$139,LS_current!P$149, FALSE))/2)</f>
        <v>79.030762828948355</v>
      </c>
      <c r="CA93" s="382">
        <f t="array" ref="CA93">IF($BI93=0, INDEX(LS_current!$D$4:$AY$139, MATCH('Staging Table'!$A93, LS_current!$B$4:$B$139, 0), MATCH(CA$4&amp;CA$5, LS_current!$D$2:$AY$2&amp;LS_current!$D$3:$AY$3, 0)),SUM(VLOOKUP($A93, LS_current!$B$4:$AY$139, LS_current!Q$149, FALSE), VLOOKUP($A93, LS_current!$B$4:$AY$139,LS_current!Q$149, FALSE))/2)</f>
        <v>4256.8409038550835</v>
      </c>
      <c r="CB93" s="382">
        <f t="array" ref="CB93">IF($BI93=0, INDEX(LS_current!$D$4:$AY$139, MATCH('Staging Table'!$A93, LS_current!$B$4:$B$139, 0), MATCH(CB$4&amp;CB$5, LS_current!$D$2:$AY$2&amp;LS_current!$D$3:$AY$3, 0)),SUM(VLOOKUP($A93, LS_current!$B$4:$AY$139, LS_current!R$149, FALSE), VLOOKUP($A93, LS_current!$B$4:$AY$139,LS_current!R$149, FALSE))/2)</f>
        <v>-11977.54184983901</v>
      </c>
      <c r="CC93" s="382">
        <f t="array" ref="CC93">IF($BI93=0, INDEX(LS_current!$D$4:$AY$139, MATCH('Staging Table'!$A93, LS_current!$B$4:$B$139, 0), MATCH(CC$4&amp;CC$5, LS_current!$D$2:$AY$2&amp;LS_current!$D$3:$AY$3, 0)),SUM(VLOOKUP($A93, LS_current!$B$4:$AY$139, LS_current!S$149, FALSE), VLOOKUP($A93, LS_current!$B$4:$AY$139,LS_current!S$149, FALSE))/2)</f>
        <v>-3110.9917324764319</v>
      </c>
      <c r="CD93" s="382">
        <f t="array" ref="CD93">IF($BI93=0, INDEX(LS_current!$D$4:$AY$139, MATCH('Staging Table'!$A93, LS_current!$B$4:$B$139, 0), MATCH(CD$4&amp;CD$5, LS_current!$D$2:$AY$2&amp;LS_current!$D$3:$AY$3, 0)),SUM(VLOOKUP($A93, LS_current!$B$4:$AY$139, LS_current!T$149, FALSE), VLOOKUP($A93, LS_current!$B$4:$AY$139,LS_current!T$149, FALSE))/2)</f>
        <v>-3648.0234004460981</v>
      </c>
      <c r="CE93" s="382">
        <f t="array" ref="CE93">IF($BI93=0, INDEX(LS_current!$D$4:$AY$139, MATCH('Staging Table'!$A93, LS_current!$B$4:$B$139, 0), MATCH(CE$4&amp;CE$5, LS_current!$D$2:$AY$2&amp;LS_current!$D$3:$AY$3, 0)),SUM(VLOOKUP($A93, LS_current!$B$4:$AY$139, LS_current!U$149, FALSE), VLOOKUP($A93, LS_current!$B$4:$AY$139,LS_current!U$149, FALSE))/2)</f>
        <v>1068.466185171892</v>
      </c>
      <c r="CF93" s="382">
        <f t="array" ref="CF93">IF($BI93=0, INDEX(LS_current!$D$4:$AY$139, MATCH('Staging Table'!$A93, LS_current!$B$4:$B$139, 0), MATCH(CF$4&amp;CF$5, LS_current!$D$2:$AY$2&amp;LS_current!$D$3:$AY$3, 0)),SUM(VLOOKUP($A93, LS_current!$B$4:$AY$139, LS_current!V$149, FALSE), VLOOKUP($A93, LS_current!$B$4:$AY$139,LS_current!V$149, FALSE))/2)</f>
        <v>1871.0058268998146</v>
      </c>
      <c r="CG93" s="382">
        <f t="array" ref="CG93">IF($BI93=0, INDEX(LS_current!$D$4:$AY$139, MATCH('Staging Table'!$A93, LS_current!$B$4:$B$139, 0), MATCH(CG$4&amp;CG$5, LS_current!$D$2:$AY$2&amp;LS_current!$D$3:$AY$3, 0)),SUM(VLOOKUP($A93, LS_current!$B$4:$AY$139, LS_current!W$149, FALSE), VLOOKUP($A93, LS_current!$B$4:$AY$139,LS_current!W$149, FALSE))/2)</f>
        <v>7459.2651093576005</v>
      </c>
      <c r="CH93" s="382">
        <f t="array" ref="CH93">IF($BI93=0, INDEX(LS_current!$D$4:$AY$139, MATCH('Staging Table'!$A93, LS_current!$B$4:$B$139, 0), MATCH(CH$4&amp;CH$5, LS_current!$D$2:$AY$2&amp;LS_current!$D$3:$AY$3, 0)),SUM(VLOOKUP($A93, LS_current!$B$4:$AY$139, LS_current!X$149, FALSE), VLOOKUP($A93, LS_current!$B$4:$AY$139,LS_current!X$149, FALSE))/2)</f>
        <v>500.71183531901625</v>
      </c>
      <c r="CI93" s="382">
        <f t="array" ref="CI93">IF($BI93=0, INDEX(LS_current!$D$4:$AY$139, MATCH('Staging Table'!$A93, LS_current!$B$4:$B$139, 0), MATCH(CI$4&amp;CI$5, LS_current!$D$2:$AY$2&amp;LS_current!$D$3:$AY$3, 0)),SUM(VLOOKUP($A93, LS_current!$B$4:$AY$139, LS_current!Y$149, FALSE), VLOOKUP($A93, LS_current!$B$4:$AY$139,LS_current!Y$149, FALSE))/2)</f>
        <v>3612.5226460539907</v>
      </c>
      <c r="CJ93" s="382">
        <f t="array" ref="CJ93">IF($BI93=0, INDEX(LS_current!$D$4:$AY$139, MATCH('Staging Table'!$A93, LS_current!$B$4:$B$139, 0), MATCH(CJ$4&amp;CJ$5, LS_current!$D$2:$AY$2&amp;LS_current!$D$3:$AY$3, 0)),SUM(VLOOKUP($A93, LS_current!$B$4:$AY$139, LS_current!Z$149, FALSE), VLOOKUP($A93, LS_current!$B$4:$AY$139,LS_current!Z$149, FALSE))/2)</f>
        <v>-874.58804595121546</v>
      </c>
      <c r="CK93" s="382">
        <f t="array" ref="CK93">IF($BI93=0, INDEX(LS_current!$D$4:$AY$139, MATCH('Staging Table'!$A93, LS_current!$B$4:$B$139, 0), MATCH(CK$4&amp;CK$5, LS_current!$D$2:$AY$2&amp;LS_current!$D$3:$AY$3, 0)),SUM(VLOOKUP($A93, LS_current!$B$4:$AY$139, LS_current!AA$149, FALSE), VLOOKUP($A93, LS_current!$B$4:$AY$139,LS_current!AA$149, FALSE))/2)</f>
        <v>4694.4866855832661</v>
      </c>
      <c r="CL93" s="384">
        <f t="array" ref="CL93">INDEX(Demand_current!$D$4:$AY$138, MATCH($A93, Demand_current!$B$4:$B$138, 0), MATCH(CL$4&amp;CL$5,Demand_current!$D$2:$AY$2&amp;Demand_current!$D$3:$AY$3, 0))/1000</f>
        <v>0</v>
      </c>
      <c r="CM93" s="384">
        <f t="array" ref="CM93">INDEX(Demand_current!$D$4:$AY$138, MATCH($A93, Demand_current!$B$4:$B$138, 0), MATCH(CM$4&amp;CM$5,Demand_current!$D$2:$AY$2&amp;Demand_current!$D$3:$AY$3, 0))/1000</f>
        <v>0</v>
      </c>
      <c r="CN93" s="384">
        <f t="array" ref="CN93">INDEX(Demand_current!$D$4:$AY$138, MATCH($A93, Demand_current!$B$4:$B$138, 0), MATCH(CN$4&amp;CN$5,Demand_current!$D$2:$AY$2&amp;Demand_current!$D$3:$AY$3, 0))/1000</f>
        <v>0</v>
      </c>
      <c r="CO93" s="384">
        <f t="array" ref="CO93">INDEX(Demand_current!$D$4:$AY$138, MATCH($A93, Demand_current!$B$4:$B$138, 0), MATCH(CO$4&amp;CO$5,Demand_current!$D$2:$AY$2&amp;Demand_current!$D$3:$AY$3, 0))/1000</f>
        <v>0</v>
      </c>
      <c r="CP93" s="384">
        <f t="array" ref="CP93">INDEX(Demand_current!$D$4:$AY$138, MATCH($A93, Demand_current!$B$4:$B$138, 0), MATCH(CP$4&amp;CP$5,Demand_current!$D$2:$AY$2&amp;Demand_current!$D$3:$AY$3, 0))/1000</f>
        <v>0</v>
      </c>
      <c r="CQ93" s="384">
        <f t="array" ref="CQ93">INDEX(Demand_current!$D$4:$AY$138, MATCH($A93, Demand_current!$B$4:$B$138, 0), MATCH(CQ$4&amp;CQ$5,Demand_current!$D$2:$AY$2&amp;Demand_current!$D$3:$AY$3, 0))/1000</f>
        <v>0</v>
      </c>
      <c r="CR93" s="384">
        <f t="array" ref="CR93">INDEX(Demand_current!$D$4:$AY$138, MATCH($A93, Demand_current!$B$4:$B$138, 0), MATCH(CR$4&amp;CR$5,Demand_current!$D$2:$AY$2&amp;Demand_current!$D$3:$AY$3, 0))/1000</f>
        <v>0</v>
      </c>
      <c r="CS93" s="384">
        <f t="array" ref="CS93">INDEX(Demand_current!$D$4:$AY$138, MATCH($A93, Demand_current!$B$4:$B$138, 0), MATCH(CS$4&amp;CS$5,Demand_current!$D$2:$AY$2&amp;Demand_current!$D$3:$AY$3, 0))/1000</f>
        <v>0</v>
      </c>
      <c r="CT93" s="384">
        <f t="array" ref="CT93">INDEX(Demand_current!$D$4:$AY$138, MATCH($A93, Demand_current!$B$4:$B$138, 0), MATCH(CT$4&amp;CT$5,Demand_current!$D$2:$AY$2&amp;Demand_current!$D$3:$AY$3, 0))/1000</f>
        <v>0</v>
      </c>
      <c r="CU93" s="384">
        <f t="array" ref="CU93">INDEX(Demand_current!$D$4:$AY$138, MATCH($A93, Demand_current!$B$4:$B$138, 0), MATCH(CU$4&amp;CU$5,Demand_current!$D$2:$AY$2&amp;Demand_current!$D$3:$AY$3, 0))/1000</f>
        <v>0</v>
      </c>
      <c r="CV93" s="384">
        <f t="array" ref="CV93">INDEX(Demand_current!$D$4:$AY$138, MATCH($A93, Demand_current!$B$4:$B$138, 0), MATCH(CV$4&amp;CV$5,Demand_current!$D$2:$AY$2&amp;Demand_current!$D$3:$AY$3, 0))/1000</f>
        <v>0</v>
      </c>
      <c r="CW93" s="384">
        <f t="array" ref="CW93">INDEX(Demand_current!$D$4:$AY$138, MATCH($A93, Demand_current!$B$4:$B$138, 0), MATCH(CW$4&amp;CW$5,Demand_current!$D$2:$AY$2&amp;Demand_current!$D$3:$AY$3, 0))/1000</f>
        <v>0</v>
      </c>
      <c r="CX93" s="384">
        <f>IF(D93=0,IF(C93=0,MAX(0,DA93 - (VLOOKUP($A93,TOCA_current!$A$2:$AI$137,MATCH("RHWM 2018",TOCA_current!$A$2:$AI$2,0),FALSE)*$BH$2)), 0),0)</f>
        <v>54115.960144134238</v>
      </c>
      <c r="CY93" s="427">
        <f>VLOOKUP($A93,REP_current!$A$1:$D$135,MATCH("FY "&amp;$BH$1&amp; " Total Refund",REP_current!$A$1:$D$1,0),0)</f>
        <v>533169.08164215623</v>
      </c>
      <c r="CZ93" s="432">
        <f>MIN(VLOOKUP($A93,TOCA_current!$A$2:$AI$137,MATCH("TRL - NLSL - Existing Resource "&amp;$BH$1,TOCA_current!$A$2:$AI$2,0),FALSE)*$BH$2, VLOOKUP($A93,TOCA_current!$A$2:$AI$137,MATCH("RHWM 2018",TOCA_current!$A$2:$AI$2,0),FALSE)*$BH$2)</f>
        <v>558231</v>
      </c>
      <c r="DA93" s="397">
        <f>SUM(BN93:CK93)+(BH93*RT1SC!$C$4*$BH$2)</f>
        <v>612346.96014413424</v>
      </c>
      <c r="DB93" s="432">
        <f>VLOOKUP($A93,TOCA_current!$A$2:$AI$137,MATCH("Above RHWM Not Served with LS "&amp;$BH$1,TOCA_current!$A$2:$AI$2,0),FALSE)*$BH$2</f>
        <v>67723.56</v>
      </c>
      <c r="DC93" s="401">
        <f t="shared" si="27"/>
        <v>54115.960144134238</v>
      </c>
      <c r="DD93" s="397">
        <f>(VLOOKUP($A93,TOCA_current!$A$2:$AI$137,MATCH("RHWM 2018",TOCA_current!$A$2:$AI$2,0),FALSE)*$BH$2) - $CZ93</f>
        <v>0</v>
      </c>
      <c r="DE93" s="397">
        <f t="shared" si="28"/>
        <v>0</v>
      </c>
      <c r="DF93" s="397">
        <f t="shared" si="29"/>
        <v>0</v>
      </c>
      <c r="DG93" s="397">
        <f t="shared" si="30"/>
        <v>0</v>
      </c>
      <c r="DH93" s="397">
        <f t="shared" si="31"/>
        <v>0</v>
      </c>
    </row>
    <row r="94" spans="1:112">
      <c r="A94" s="274">
        <v>10284</v>
      </c>
      <c r="B94" s="275" t="s">
        <v>95</v>
      </c>
      <c r="C94" s="397">
        <v>0</v>
      </c>
      <c r="D94" s="397">
        <v>0</v>
      </c>
      <c r="E94" s="205">
        <f>VLOOKUP($A94,TOCA_previous!$A$2:$AI$137,MATCH(E$4,TOCA_previous!$A$2:$AI$2,0),FALSE)</f>
        <v>1.3990000000000001E-3</v>
      </c>
      <c r="F94" s="206">
        <f>VLOOKUP($A94,TOCA_previous!$A$2:$AI$137,MATCH(F$4,TOCA_previous!$A$2:$AI$2,0),FALSE)</f>
        <v>1.3990000000000001E-3</v>
      </c>
      <c r="G94" s="206">
        <f t="shared" si="16"/>
        <v>0</v>
      </c>
      <c r="H94" s="206">
        <f>VLOOKUP($A94,TOCA_previous!$A$2:$AI$137,MATCH(H$4,TOCA_previous!$A$2:$AI$2,0),FALSE)</f>
        <v>5.5E-2</v>
      </c>
      <c r="I94" s="206">
        <f t="shared" si="17"/>
        <v>0</v>
      </c>
      <c r="J94" s="206">
        <f t="shared" si="18"/>
        <v>0</v>
      </c>
      <c r="K94" s="381">
        <f>VLOOKUP(A94, IRD!$A$5:$C$139, 3, FALSE)</f>
        <v>0</v>
      </c>
      <c r="L94" s="382">
        <f t="array" ref="L94">IF($G94=0, INDEX(LS_previous!$D$4:$AY$138, MATCH('Staging Table'!$A94, LS_previous!$B$4:$B$138, 0), MATCH(L$4&amp;L$5, LS_previous!$D$2:$AY$2&amp;LS_previous!$D$3:$AY$3, 0)),SUM(VLOOKUP($A94, LS_previous!$B$4:$AY$138, LS_previous!D$149, FALSE), VLOOKUP('Staging Table'!$A94, LS_previous!$B$4:$AY$138,LS_previous!AB$149, FALSE))/2)</f>
        <v>-310.80897727460069</v>
      </c>
      <c r="M94" s="382">
        <f t="array" ref="M94">IF($G94=0, INDEX(LS_previous!$D$4:$AY$138, MATCH('Staging Table'!$A94, LS_previous!$B$4:$B$138, 0), MATCH(M$4&amp;M$5, LS_previous!$D$2:$AY$2&amp;LS_previous!$D$3:$AY$3, 0)),SUM(VLOOKUP($A94, LS_previous!$B$4:$AY$138, LS_previous!E$149, FALSE), VLOOKUP('Staging Table'!$A94, LS_previous!$B$4:$AY$138,LS_previous!AC$149, FALSE))/2)</f>
        <v>263.42880479375162</v>
      </c>
      <c r="N94" s="382">
        <f t="array" ref="N94">IF($G94=0, INDEX(LS_previous!$D$4:$AY$138, MATCH('Staging Table'!$A94, LS_previous!$B$4:$B$138, 0), MATCH(N$4&amp;N$5, LS_previous!$D$2:$AY$2&amp;LS_previous!$D$3:$AY$3, 0)),SUM(VLOOKUP($A94, LS_previous!$B$4:$AY$138, LS_previous!F$149, FALSE), VLOOKUP('Staging Table'!$A94, LS_previous!$B$4:$AY$138,LS_previous!AD$149, FALSE))/2)</f>
        <v>302.65783792454022</v>
      </c>
      <c r="O94" s="382">
        <f t="array" ref="O94">IF($G94=0, INDEX(LS_previous!$D$4:$AY$138, MATCH('Staging Table'!$A94, LS_previous!$B$4:$B$138, 0), MATCH(O$4&amp;O$5, LS_previous!$D$2:$AY$2&amp;LS_previous!$D$3:$AY$3, 0)),SUM(VLOOKUP($A94, LS_previous!$B$4:$AY$138, LS_previous!G$149, FALSE), VLOOKUP('Staging Table'!$A94, LS_previous!$B$4:$AY$138,LS_previous!AE$149, FALSE))/2)</f>
        <v>699.27527662433022</v>
      </c>
      <c r="P94" s="382">
        <f t="array" ref="P94">IF($G94=0, INDEX(LS_previous!$D$4:$AY$138, MATCH('Staging Table'!$A94, LS_previous!$B$4:$B$138, 0), MATCH(P$4&amp;P$5, LS_previous!$D$2:$AY$2&amp;LS_previous!$D$3:$AY$3, 0)),SUM(VLOOKUP($A94, LS_previous!$B$4:$AY$138, LS_previous!H$149, FALSE), VLOOKUP('Staging Table'!$A94, LS_previous!$B$4:$AY$138,LS_previous!AF$149, FALSE))/2)</f>
        <v>900.31195423794998</v>
      </c>
      <c r="Q94" s="382">
        <f t="array" ref="Q94">IF($G94=0, INDEX(LS_previous!$D$4:$AY$138, MATCH('Staging Table'!$A94, LS_previous!$B$4:$B$138, 0), MATCH(Q$4&amp;Q$5, LS_previous!$D$2:$AY$2&amp;LS_previous!$D$3:$AY$3, 0)),SUM(VLOOKUP($A94, LS_previous!$B$4:$AY$138, LS_previous!I$149, FALSE), VLOOKUP('Staging Table'!$A94, LS_previous!$B$4:$AY$138,LS_previous!AG$149, FALSE))/2)</f>
        <v>1310.2610073364431</v>
      </c>
      <c r="R94" s="382">
        <f t="array" ref="R94">IF($G94=0, INDEX(LS_previous!$D$4:$AY$138, MATCH('Staging Table'!$A94, LS_previous!$B$4:$B$138, 0), MATCH(R$4&amp;R$5, LS_previous!$D$2:$AY$2&amp;LS_previous!$D$3:$AY$3, 0)),SUM(VLOOKUP($A94, LS_previous!$B$4:$AY$138, LS_previous!J$149, FALSE), VLOOKUP('Staging Table'!$A94, LS_previous!$B$4:$AY$138,LS_previous!AH$149, FALSE))/2)</f>
        <v>1920.0525163259263</v>
      </c>
      <c r="S94" s="382">
        <f t="array" ref="S94">IF($G94=0, INDEX(LS_previous!$D$4:$AY$138, MATCH('Staging Table'!$A94, LS_previous!$B$4:$B$138, 0), MATCH(S$4&amp;S$5, LS_previous!$D$2:$AY$2&amp;LS_previous!$D$3:$AY$3, 0)),SUM(VLOOKUP($A94, LS_previous!$B$4:$AY$138, LS_previous!K$149, FALSE), VLOOKUP('Staging Table'!$A94, LS_previous!$B$4:$AY$138,LS_previous!AI$149, FALSE))/2)</f>
        <v>1638.8176943376861</v>
      </c>
      <c r="T94" s="382">
        <f t="array" ref="T94">IF($G94=0, INDEX(LS_previous!$D$4:$AY$138, MATCH('Staging Table'!$A94, LS_previous!$B$4:$B$138, 0), MATCH(T$4&amp;T$5, LS_previous!$D$2:$AY$2&amp;LS_previous!$D$3:$AY$3, 0)),SUM(VLOOKUP($A94, LS_previous!$B$4:$AY$138, LS_previous!L$149, FALSE), VLOOKUP('Staging Table'!$A94, LS_previous!$B$4:$AY$138,LS_previous!AJ$149, FALSE))/2)</f>
        <v>1526.3962622107369</v>
      </c>
      <c r="U94" s="382">
        <f t="array" ref="U94">IF($G94=0, INDEX(LS_previous!$D$4:$AY$138, MATCH('Staging Table'!$A94, LS_previous!$B$4:$B$138, 0), MATCH(U$4&amp;U$5, LS_previous!$D$2:$AY$2&amp;LS_previous!$D$3:$AY$3, 0)),SUM(VLOOKUP($A94, LS_previous!$B$4:$AY$138, LS_previous!M$149, FALSE), VLOOKUP('Staging Table'!$A94, LS_previous!$B$4:$AY$138,LS_previous!AK$149, FALSE))/2)</f>
        <v>1296.652122855231</v>
      </c>
      <c r="V94" s="382">
        <f t="array" ref="V94">IF($G94=0, INDEX(LS_previous!$D$4:$AY$138, MATCH('Staging Table'!$A94, LS_previous!$B$4:$B$138, 0), MATCH(V$4&amp;V$5, LS_previous!$D$2:$AY$2&amp;LS_previous!$D$3:$AY$3, 0)),SUM(VLOOKUP($A94, LS_previous!$B$4:$AY$138, LS_previous!N$149, FALSE), VLOOKUP('Staging Table'!$A94, LS_previous!$B$4:$AY$138,LS_previous!AL$149, FALSE))/2)</f>
        <v>456.50556767309718</v>
      </c>
      <c r="W94" s="382">
        <f t="array" ref="W94">IF($G94=0, INDEX(LS_previous!$D$4:$AY$138, MATCH('Staging Table'!$A94, LS_previous!$B$4:$B$138, 0), MATCH(W$4&amp;W$5, LS_previous!$D$2:$AY$2&amp;LS_previous!$D$3:$AY$3, 0)),SUM(VLOOKUP($A94, LS_previous!$B$4:$AY$138, LS_previous!O$149, FALSE), VLOOKUP('Staging Table'!$A94, LS_previous!$B$4:$AY$138,LS_previous!AM$149, FALSE))/2)</f>
        <v>452.09579356291806</v>
      </c>
      <c r="X94" s="382">
        <f t="array" ref="X94">IF($G94=0, INDEX(LS_previous!$D$4:$AY$138, MATCH('Staging Table'!$A94, LS_previous!$B$4:$B$138, 0), MATCH(X$4&amp;X$5, LS_previous!$D$2:$AY$2&amp;LS_previous!$D$3:$AY$3, 0)),SUM(VLOOKUP($A94, LS_previous!$B$4:$AY$138, LS_previous!P$149, FALSE), VLOOKUP('Staging Table'!$A94, LS_previous!$B$4:$AY$138,LS_previous!AN$149, FALSE))/2)</f>
        <v>304.04889097940759</v>
      </c>
      <c r="Y94" s="382">
        <f t="array" ref="Y94">IF($G94=0, INDEX(LS_previous!$D$4:$AY$138, MATCH('Staging Table'!$A94, LS_previous!$B$4:$B$138, 0), MATCH(Y$4&amp;Y$5, LS_previous!$D$2:$AY$2&amp;LS_previous!$D$3:$AY$3, 0)),SUM(VLOOKUP($A94, LS_previous!$B$4:$AY$138, LS_previous!Q$149, FALSE), VLOOKUP('Staging Table'!$A94, LS_previous!$B$4:$AY$138,LS_previous!AO$149, FALSE))/2)</f>
        <v>652.35928022023472</v>
      </c>
      <c r="Z94" s="382">
        <f t="array" ref="Z94">IF($G94=0, INDEX(LS_previous!$D$4:$AY$138, MATCH('Staging Table'!$A94, LS_previous!$B$4:$B$138, 0), MATCH(Z$4&amp;Z$5, LS_previous!$D$2:$AY$2&amp;LS_previous!$D$3:$AY$3, 0)),SUM(VLOOKUP($A94, LS_previous!$B$4:$AY$138, LS_previous!R$149, FALSE), VLOOKUP('Staging Table'!$A94, LS_previous!$B$4:$AY$138,LS_previous!AP$149, FALSE))/2)</f>
        <v>-2774.5203840939948</v>
      </c>
      <c r="AA94" s="382">
        <f t="array" ref="AA94">IF($G94=0, INDEX(LS_previous!$D$4:$AY$138, MATCH('Staging Table'!$A94, LS_previous!$B$4:$B$138, 0), MATCH(AA$4&amp;AA$5, LS_previous!$D$2:$AY$2&amp;LS_previous!$D$3:$AY$3, 0)),SUM(VLOOKUP($A94, LS_previous!$B$4:$AY$138, LS_previous!S$149, FALSE), VLOOKUP('Staging Table'!$A94, LS_previous!$B$4:$AY$138,LS_previous!AQ$149, FALSE))/2)</f>
        <v>-1084.0660015362751</v>
      </c>
      <c r="AB94" s="382">
        <f t="array" ref="AB94">IF($G94=0, INDEX(LS_previous!$D$4:$AY$138, MATCH('Staging Table'!$A94, LS_previous!$B$4:$B$138, 0), MATCH(AB$4&amp;AB$5, LS_previous!$D$2:$AY$2&amp;LS_previous!$D$3:$AY$3, 0)),SUM(VLOOKUP($A94, LS_previous!$B$4:$AY$138, LS_previous!T$149, FALSE), VLOOKUP('Staging Table'!$A94, LS_previous!$B$4:$AY$138,LS_previous!AR$149, FALSE))/2)</f>
        <v>-1771.965571324773</v>
      </c>
      <c r="AC94" s="382">
        <f t="array" ref="AC94">IF($G94=0, INDEX(LS_previous!$D$4:$AY$138, MATCH('Staging Table'!$A94, LS_previous!$B$4:$B$138, 0), MATCH(AC$4&amp;AC$5, LS_previous!$D$2:$AY$2&amp;LS_previous!$D$3:$AY$3, 0)),SUM(VLOOKUP($A94, LS_previous!$B$4:$AY$138, LS_previous!U$149, FALSE), VLOOKUP('Staging Table'!$A94, LS_previous!$B$4:$AY$138,LS_previous!AS$149, FALSE))/2)</f>
        <v>-828.79818662463049</v>
      </c>
      <c r="AD94" s="382">
        <f t="array" ref="AD94">IF($G94=0, INDEX(LS_previous!$D$4:$AY$138, MATCH('Staging Table'!$A94, LS_previous!$B$4:$B$138, 0), MATCH(AD$4&amp;AD$5, LS_previous!$D$2:$AY$2&amp;LS_previous!$D$3:$AY$3, 0)),SUM(VLOOKUP($A94, LS_previous!$B$4:$AY$138, LS_previous!V$149, FALSE), VLOOKUP('Staging Table'!$A94, LS_previous!$B$4:$AY$138,LS_previous!AT$149, FALSE))/2)</f>
        <v>-1569.2086492787507</v>
      </c>
      <c r="AE94" s="382">
        <f t="array" ref="AE94">IF($G94=0, INDEX(LS_previous!$D$4:$AY$138, MATCH('Staging Table'!$A94, LS_previous!$B$4:$B$138, 0), MATCH(AE$4&amp;AE$5, LS_previous!$D$2:$AY$2&amp;LS_previous!$D$3:$AY$3, 0)),SUM(VLOOKUP($A94, LS_previous!$B$4:$AY$138, LS_previous!W$149, FALSE), VLOOKUP('Staging Table'!$A94, LS_previous!$B$4:$AY$138,LS_previous!AU$149, FALSE))/2)</f>
        <v>-299.21278026030814</v>
      </c>
      <c r="AF94" s="382">
        <f t="array" ref="AF94">IF($G94=0, INDEX(LS_previous!$D$4:$AY$138, MATCH('Staging Table'!$A94, LS_previous!$B$4:$B$138, 0), MATCH(AF$4&amp;AF$5, LS_previous!$D$2:$AY$2&amp;LS_previous!$D$3:$AY$3, 0)),SUM(VLOOKUP($A94, LS_previous!$B$4:$AY$138, LS_previous!X$149, FALSE), VLOOKUP('Staging Table'!$A94, LS_previous!$B$4:$AY$138,LS_previous!AV$149, FALSE))/2)</f>
        <v>-1672.6282219300647</v>
      </c>
      <c r="AG94" s="382">
        <f t="array" ref="AG94">IF($G94=0, INDEX(LS_previous!$D$4:$AY$138, MATCH('Staging Table'!$A94, LS_previous!$B$4:$B$138, 0), MATCH(AG$4&amp;AG$5, LS_previous!$D$2:$AY$2&amp;LS_previous!$D$3:$AY$3, 0)),SUM(VLOOKUP($A94, LS_previous!$B$4:$AY$138, LS_previous!Y$149, FALSE), VLOOKUP('Staging Table'!$A94, LS_previous!$B$4:$AY$138,LS_previous!AW$149, FALSE))/2)</f>
        <v>-599.81393000610274</v>
      </c>
      <c r="AH94" s="382">
        <f t="array" ref="AH94">IF($G94=0, INDEX(LS_previous!$D$4:$AY$138, MATCH('Staging Table'!$A94, LS_previous!$B$4:$B$138, 0), MATCH(AH$4&amp;AH$5, LS_previous!$D$2:$AY$2&amp;LS_previous!$D$3:$AY$3, 0)),SUM(VLOOKUP($A94, LS_previous!$B$4:$AY$138, LS_previous!Z$149, FALSE), VLOOKUP('Staging Table'!$A94, LS_previous!$B$4:$AY$138,LS_previous!AX$149, FALSE))/2)</f>
        <v>-808.33047230973716</v>
      </c>
      <c r="AI94" s="382">
        <f t="array" ref="AI94">IF($G94=0, INDEX(LS_previous!$D$4:$AY$138, MATCH('Staging Table'!$A94, LS_previous!$B$4:$B$138, 0), MATCH(AI$4&amp;AI$5, LS_previous!$D$2:$AY$2&amp;LS_previous!$D$3:$AY$3, 0)),SUM(VLOOKUP($A94, LS_previous!$B$4:$AY$138, LS_previous!AA$149, FALSE), VLOOKUP('Staging Table'!$A94, LS_previous!$B$4:$AY$138,LS_previous!AY$149, FALSE))/2)</f>
        <v>-161.66330981313968</v>
      </c>
      <c r="AJ94" s="384">
        <f t="array" ref="AJ94">INDEX(Demand_previous!$D$4:$AY$138, MATCH('Staging Table'!$A94, Demand_previous!$B$4:$B$138, 0), MATCH(AJ$4&amp;AJ$5,Demand_previous!$D$2:$AY$2&amp;Demand_previous!$D$3:$AY$3, 0))/1000</f>
        <v>1.2281620370370367</v>
      </c>
      <c r="AK94" s="384">
        <f t="array" ref="AK94">INDEX(Demand_previous!$D$4:$AY$138, MATCH('Staging Table'!$A94, Demand_previous!$B$4:$B$138, 0), MATCH(AK$4&amp;AK$5,Demand_previous!$D$2:$AY$2&amp;Demand_previous!$D$3:$AY$3, 0))/1000</f>
        <v>5.7583333333332654E-2</v>
      </c>
      <c r="AL94" s="384">
        <f t="array" ref="AL94">INDEX(Demand_previous!$D$4:$AY$138, MATCH('Staging Table'!$A94, Demand_previous!$B$4:$B$138, 0), MATCH(AL$4&amp;AL$5,Demand_previous!$D$2:$AY$2&amp;Demand_previous!$D$3:$AY$3, 0))/1000</f>
        <v>4.5646682692307694</v>
      </c>
      <c r="AM94" s="384">
        <f t="array" ref="AM94">INDEX(Demand_previous!$D$4:$AY$138, MATCH('Staging Table'!$A94, Demand_previous!$B$4:$B$138, 0), MATCH(AM$4&amp;AM$5,Demand_previous!$D$2:$AY$2&amp;Demand_previous!$D$3:$AY$3, 0))/1000</f>
        <v>2.2516925000000008</v>
      </c>
      <c r="AN94" s="384">
        <f t="array" ref="AN94">INDEX(Demand_previous!$D$4:$AY$138, MATCH('Staging Table'!$A94, Demand_previous!$B$4:$B$138, 0), MATCH(AN$4&amp;AN$5,Demand_previous!$D$2:$AY$2&amp;Demand_previous!$D$3:$AY$3, 0))/1000</f>
        <v>2.1186024999999997</v>
      </c>
      <c r="AO94" s="384">
        <f t="array" ref="AO94">INDEX(Demand_previous!$D$4:$AY$138, MATCH('Staging Table'!$A94, Demand_previous!$B$4:$B$138, 0), MATCH(AO$4&amp;AO$5,Demand_previous!$D$2:$AY$2&amp;Demand_previous!$D$3:$AY$3, 0))/1000</f>
        <v>2.9334490740740726</v>
      </c>
      <c r="AP94" s="384">
        <f t="array" ref="AP94">INDEX(Demand_previous!$D$4:$AY$138, MATCH('Staging Table'!$A94, Demand_previous!$B$4:$B$138, 0), MATCH(AP$4&amp;AP$5,Demand_previous!$D$2:$AY$2&amp;Demand_previous!$D$3:$AY$3, 0))/1000</f>
        <v>2.7206923076923077</v>
      </c>
      <c r="AQ94" s="384">
        <f t="array" ref="AQ94">INDEX(Demand_previous!$D$4:$AY$138, MATCH('Staging Table'!$A94, Demand_previous!$B$4:$B$138, 0), MATCH(AQ$4&amp;AQ$5,Demand_previous!$D$2:$AY$2&amp;Demand_previous!$D$3:$AY$3, 0))/1000</f>
        <v>0</v>
      </c>
      <c r="AR94" s="384">
        <f t="array" ref="AR94">INDEX(Demand_previous!$D$4:$AY$138, MATCH('Staging Table'!$A94, Demand_previous!$B$4:$B$138, 0), MATCH(AR$4&amp;AR$5,Demand_previous!$D$2:$AY$2&amp;Demand_previous!$D$3:$AY$3, 0))/1000</f>
        <v>0</v>
      </c>
      <c r="AS94" s="384">
        <f t="array" ref="AS94">INDEX(Demand_previous!$D$4:$AY$138, MATCH('Staging Table'!$A94, Demand_previous!$B$4:$B$138, 0), MATCH(AS$4&amp;AS$5,Demand_previous!$D$2:$AY$2&amp;Demand_previous!$D$3:$AY$3, 0))/1000</f>
        <v>0.86269499999999999</v>
      </c>
      <c r="AT94" s="384">
        <f t="array" ref="AT94">INDEX(Demand_previous!$D$4:$AY$138, MATCH('Staging Table'!$A94, Demand_previous!$B$4:$B$138, 0), MATCH(AT$4&amp;AT$5,Demand_previous!$D$2:$AY$2&amp;Demand_previous!$D$3:$AY$3, 0))/1000</f>
        <v>1.2648587962962963</v>
      </c>
      <c r="AU94" s="384">
        <f t="array" ref="AU94">INDEX(Demand_previous!$D$4:$AY$138, MATCH('Staging Table'!$A94, Demand_previous!$B$4:$B$138, 0), MATCH(AU$4&amp;AU$5,Demand_previous!$D$2:$AY$2&amp;Demand_previous!$D$3:$AY$3, 0))/1000</f>
        <v>0</v>
      </c>
      <c r="AV94" s="384">
        <f>IF($D94=0,IF(C94=0, MAX(AY94 - (VLOOKUP($A94,TOCA_previous!$A$2:$AI$137,MATCH("RHWM 2016",TOCA_previous!$A$2:$AI$2,0),FALSE)*$F$2*TOCA_previous!C91),0),0), 0)</f>
        <v>0</v>
      </c>
      <c r="AW94" s="427">
        <f>VLOOKUP($A94,REP_previous!$A$1:$D$135,MATCH("FY "&amp;$F$1&amp; " Total Refund",REP_previous!$A$1:$D$1,0),0)</f>
        <v>54644.828367447612</v>
      </c>
      <c r="AX94" s="398">
        <f>MIN(VLOOKUP($A94,TOCA_previous!$A$2:$AI$137,MATCH("TRL - NLSL - Exisiting Resource "&amp;$F$1,TOCA_previous!$A$2:$AI$2,0),FALSE)*$F$2,(VLOOKUP($A94,TOCA_previous!$A$2:$AI$137,MATCH("RHWM 2016",TOCA_previous!$A$2:$AI$2,0),FALSE)*$F$2))</f>
        <v>85810.896000000008</v>
      </c>
      <c r="AY94" s="384">
        <f>SUM(L94:AI94)+(F94*RT1SC!$C$3*$F$2)</f>
        <v>85655.693201989881</v>
      </c>
      <c r="AZ94" s="398">
        <f>VLOOKUP($A94,TOCA_previous!$A$2:$AI$137,MATCH("Above RHWM Not Served with LS "&amp;$F$1,TOCA_previous!$A$2:$AI$2,0),FALSE)*$F$2</f>
        <v>0</v>
      </c>
      <c r="BA94" s="206">
        <f t="shared" si="19"/>
        <v>-155.20279801012657</v>
      </c>
      <c r="BB94" s="399">
        <f>(VLOOKUP($A94,TOCA_previous!$A$2:$AI$137,MATCH("RHWM 2016",TOCA_previous!$A$2:$AI$2,0),FALSE)*$F$2) - $AX94</f>
        <v>2547.359999999986</v>
      </c>
      <c r="BC94" s="206">
        <f t="shared" si="20"/>
        <v>0</v>
      </c>
      <c r="BD94" s="400">
        <f t="shared" si="21"/>
        <v>155.20279801012657</v>
      </c>
      <c r="BE94" s="392">
        <f t="shared" si="22"/>
        <v>0</v>
      </c>
      <c r="BF94" s="399">
        <f t="shared" si="23"/>
        <v>155.20279801012657</v>
      </c>
      <c r="BG94" s="206">
        <f>VLOOKUP($A94,TOCA_current!$A$2:$AI$137,MATCH(BG$4,TOCA_current!$A$2:$AI$2,0),FALSE)</f>
        <v>1.408E-3</v>
      </c>
      <c r="BH94" s="206">
        <f>VLOOKUP($A94,TOCA_current!$A$2:$AI$137,MATCH(BH$4,TOCA_current!$A$2:$AI$2,0),FALSE)</f>
        <v>1.408E-3</v>
      </c>
      <c r="BI94" s="391">
        <f t="shared" si="24"/>
        <v>0</v>
      </c>
      <c r="BJ94" s="206">
        <f>VLOOKUP($A94,TOCA_current!A90:BG225,MATCH(BJ$4,TOCA_current!$A$2:$BG$2,0),FALSE)</f>
        <v>5.5E-2</v>
      </c>
      <c r="BK94" s="206">
        <f t="shared" si="25"/>
        <v>0</v>
      </c>
      <c r="BL94" s="206">
        <f t="shared" si="26"/>
        <v>0</v>
      </c>
      <c r="BM94" s="381">
        <f>VLOOKUP($A94,IRD!$A$4:$G$139, 7, FALSE)</f>
        <v>0</v>
      </c>
      <c r="BN94" s="382">
        <f t="array" ref="BN94">IF($BI94=0, INDEX(LS_current!$D$4:$AY$139, MATCH('Staging Table'!$A94, LS_current!$B$4:$B$139, 0), MATCH(BN$4&amp;BN$5, LS_current!$D$2:$AY$2&amp;LS_current!$D$3:$AY$3, 0)),SUM(VLOOKUP($A94, LS_current!$B$4:$AY$139, LS_current!D$149, FALSE), VLOOKUP($A94, LS_current!$B$4:$AY$139,LS_current!D$149, FALSE))/2)</f>
        <v>-361.09653857427202</v>
      </c>
      <c r="BO94" s="382">
        <f t="array" ref="BO94">IF($BI94=0, INDEX(LS_current!$D$4:$AY$139, MATCH('Staging Table'!$A94, LS_current!$B$4:$B$139, 0), MATCH(BO$4&amp;BO$5, LS_current!$D$2:$AY$2&amp;LS_current!$D$3:$AY$3, 0)),SUM(VLOOKUP($A94, LS_current!$B$4:$AY$139, LS_current!E$149, FALSE), VLOOKUP($A94, LS_current!$B$4:$AY$139,LS_current!E$149, FALSE))/2)</f>
        <v>373.15696912985595</v>
      </c>
      <c r="BP94" s="382">
        <f t="array" ref="BP94">IF($BI94=0, INDEX(LS_current!$D$4:$AY$139, MATCH('Staging Table'!$A94, LS_current!$B$4:$B$139, 0), MATCH(BP$4&amp;BP$5, LS_current!$D$2:$AY$2&amp;LS_current!$D$3:$AY$3, 0)),SUM(VLOOKUP($A94, LS_current!$B$4:$AY$139, LS_current!F$149, FALSE), VLOOKUP($A94, LS_current!$B$4:$AY$139,LS_current!F$149, FALSE))/2)</f>
        <v>165.30679447436887</v>
      </c>
      <c r="BQ94" s="382">
        <f t="array" ref="BQ94">IF($BI94=0, INDEX(LS_current!$D$4:$AY$139, MATCH('Staging Table'!$A94, LS_current!$B$4:$B$139, 0), MATCH(BQ$4&amp;BQ$5, LS_current!$D$2:$AY$2&amp;LS_current!$D$3:$AY$3, 0)),SUM(VLOOKUP($A94, LS_current!$B$4:$AY$139, LS_current!G$149, FALSE), VLOOKUP($A94, LS_current!$B$4:$AY$139,LS_current!G$149, FALSE))/2)</f>
        <v>707.24088343507265</v>
      </c>
      <c r="BR94" s="382">
        <f t="array" ref="BR94">IF($BI94=0, INDEX(LS_current!$D$4:$AY$139, MATCH('Staging Table'!$A94, LS_current!$B$4:$B$139, 0), MATCH(BR$4&amp;BR$5, LS_current!$D$2:$AY$2&amp;LS_current!$D$3:$AY$3, 0)),SUM(VLOOKUP($A94, LS_current!$B$4:$AY$139, LS_current!H$149, FALSE), VLOOKUP($A94, LS_current!$B$4:$AY$139,LS_current!H$149, FALSE))/2)</f>
        <v>707.4117262736645</v>
      </c>
      <c r="BS94" s="382">
        <f t="array" ref="BS94">IF($BI94=0, INDEX(LS_current!$D$4:$AY$139, MATCH('Staging Table'!$A94, LS_current!$B$4:$B$139, 0), MATCH(BS$4&amp;BS$5, LS_current!$D$2:$AY$2&amp;LS_current!$D$3:$AY$3, 0)),SUM(VLOOKUP($A94, LS_current!$B$4:$AY$139, LS_current!I$149, FALSE), VLOOKUP($A94, LS_current!$B$4:$AY$139,LS_current!I$149, FALSE))/2)</f>
        <v>1262.3619026188167</v>
      </c>
      <c r="BT94" s="382">
        <f t="array" ref="BT94">IF($BI94=0, INDEX(LS_current!$D$4:$AY$139, MATCH('Staging Table'!$A94, LS_current!$B$4:$B$139, 0), MATCH(BT$4&amp;BT$5, LS_current!$D$2:$AY$2&amp;LS_current!$D$3:$AY$3, 0)),SUM(VLOOKUP($A94, LS_current!$B$4:$AY$139, LS_current!J$149, FALSE), VLOOKUP($A94, LS_current!$B$4:$AY$139,LS_current!J$149, FALSE))/2)</f>
        <v>1845.5667106780156</v>
      </c>
      <c r="BU94" s="382">
        <f t="array" ref="BU94">IF($BI94=0, INDEX(LS_current!$D$4:$AY$139, MATCH('Staging Table'!$A94, LS_current!$B$4:$B$139, 0), MATCH(BU$4&amp;BU$5, LS_current!$D$2:$AY$2&amp;LS_current!$D$3:$AY$3, 0)),SUM(VLOOKUP($A94, LS_current!$B$4:$AY$139, LS_current!K$149, FALSE), VLOOKUP($A94, LS_current!$B$4:$AY$139,LS_current!K$149, FALSE))/2)</f>
        <v>1611.8770199767041</v>
      </c>
      <c r="BV94" s="382">
        <f t="array" ref="BV94">IF($BI94=0, INDEX(LS_current!$D$4:$AY$139, MATCH('Staging Table'!$A94, LS_current!$B$4:$B$139, 0), MATCH(BV$4&amp;BV$5, LS_current!$D$2:$AY$2&amp;LS_current!$D$3:$AY$3, 0)),SUM(VLOOKUP($A94, LS_current!$B$4:$AY$139, LS_current!L$149, FALSE), VLOOKUP($A94, LS_current!$B$4:$AY$139,LS_current!L$149, FALSE))/2)</f>
        <v>1794.1145040800639</v>
      </c>
      <c r="BW94" s="382">
        <f t="array" ref="BW94">IF($BI94=0, INDEX(LS_current!$D$4:$AY$139, MATCH('Staging Table'!$A94, LS_current!$B$4:$B$139, 0), MATCH(BW$4&amp;BW$5, LS_current!$D$2:$AY$2&amp;LS_current!$D$3:$AY$3, 0)),SUM(VLOOKUP($A94, LS_current!$B$4:$AY$139, LS_current!M$149, FALSE), VLOOKUP($A94, LS_current!$B$4:$AY$139,LS_current!M$149, FALSE))/2)</f>
        <v>1511.9372365855997</v>
      </c>
      <c r="BX94" s="382">
        <f t="array" ref="BX94">IF($BI94=0, INDEX(LS_current!$D$4:$AY$139, MATCH('Staging Table'!$A94, LS_current!$B$4:$B$139, 0), MATCH(BX$4&amp;BX$5, LS_current!$D$2:$AY$2&amp;LS_current!$D$3:$AY$3, 0)),SUM(VLOOKUP($A94, LS_current!$B$4:$AY$139, LS_current!N$149, FALSE), VLOOKUP($A94, LS_current!$B$4:$AY$139,LS_current!N$149, FALSE))/2)</f>
        <v>655.50144970579186</v>
      </c>
      <c r="BY94" s="382">
        <f t="array" ref="BY94">IF($BI94=0, INDEX(LS_current!$D$4:$AY$139, MATCH('Staging Table'!$A94, LS_current!$B$4:$B$139, 0), MATCH(BY$4&amp;BY$5, LS_current!$D$2:$AY$2&amp;LS_current!$D$3:$AY$3, 0)),SUM(VLOOKUP($A94, LS_current!$B$4:$AY$139, LS_current!O$149, FALSE), VLOOKUP($A94, LS_current!$B$4:$AY$139,LS_current!O$149, FALSE))/2)</f>
        <v>689.0760269801599</v>
      </c>
      <c r="BZ94" s="382">
        <f t="array" ref="BZ94">IF($BI94=0, INDEX(LS_current!$D$4:$AY$139, MATCH('Staging Table'!$A94, LS_current!$B$4:$B$139, 0), MATCH(BZ$4&amp;BZ$5, LS_current!$D$2:$AY$2&amp;LS_current!$D$3:$AY$3, 0)),SUM(VLOOKUP($A94, LS_current!$B$4:$AY$139, LS_current!P$149, FALSE), VLOOKUP($A94, LS_current!$B$4:$AY$139,LS_current!P$149, FALSE))/2)</f>
        <v>-147.77291726553631</v>
      </c>
      <c r="CA94" s="382">
        <f t="array" ref="CA94">IF($BI94=0, INDEX(LS_current!$D$4:$AY$139, MATCH('Staging Table'!$A94, LS_current!$B$4:$B$139, 0), MATCH(CA$4&amp;CA$5, LS_current!$D$2:$AY$2&amp;LS_current!$D$3:$AY$3, 0)),SUM(VLOOKUP($A94, LS_current!$B$4:$AY$139, LS_current!Q$149, FALSE), VLOOKUP($A94, LS_current!$B$4:$AY$139,LS_current!Q$149, FALSE))/2)</f>
        <v>606.97359216294399</v>
      </c>
      <c r="CB94" s="382">
        <f t="array" ref="CB94">IF($BI94=0, INDEX(LS_current!$D$4:$AY$139, MATCH('Staging Table'!$A94, LS_current!$B$4:$B$139, 0), MATCH(CB$4&amp;CB$5, LS_current!$D$2:$AY$2&amp;LS_current!$D$3:$AY$3, 0)),SUM(VLOOKUP($A94, LS_current!$B$4:$AY$139, LS_current!R$149, FALSE), VLOOKUP($A94, LS_current!$B$4:$AY$139,LS_current!R$149, FALSE))/2)</f>
        <v>-2760.1760879230733</v>
      </c>
      <c r="CC94" s="382">
        <f t="array" ref="CC94">IF($BI94=0, INDEX(LS_current!$D$4:$AY$139, MATCH('Staging Table'!$A94, LS_current!$B$4:$B$139, 0), MATCH(CC$4&amp;CC$5, LS_current!$D$2:$AY$2&amp;LS_current!$D$3:$AY$3, 0)),SUM(VLOOKUP($A94, LS_current!$B$4:$AY$139, LS_current!S$149, FALSE), VLOOKUP($A94, LS_current!$B$4:$AY$139,LS_current!S$149, FALSE))/2)</f>
        <v>-1158.0111097578233</v>
      </c>
      <c r="CD94" s="382">
        <f t="array" ref="CD94">IF($BI94=0, INDEX(LS_current!$D$4:$AY$139, MATCH('Staging Table'!$A94, LS_current!$B$4:$B$139, 0), MATCH(CD$4&amp;CD$5, LS_current!$D$2:$AY$2&amp;LS_current!$D$3:$AY$3, 0)),SUM(VLOOKUP($A94, LS_current!$B$4:$AY$139, LS_current!T$149, FALSE), VLOOKUP($A94, LS_current!$B$4:$AY$139,LS_current!T$149, FALSE))/2)</f>
        <v>-1780.3466487568639</v>
      </c>
      <c r="CE94" s="382">
        <f t="array" ref="CE94">IF($BI94=0, INDEX(LS_current!$D$4:$AY$139, MATCH('Staging Table'!$A94, LS_current!$B$4:$B$139, 0), MATCH(CE$4&amp;CE$5, LS_current!$D$2:$AY$2&amp;LS_current!$D$3:$AY$3, 0)),SUM(VLOOKUP($A94, LS_current!$B$4:$AY$139, LS_current!U$149, FALSE), VLOOKUP($A94, LS_current!$B$4:$AY$139,LS_current!U$149, FALSE))/2)</f>
        <v>-651.43275200012795</v>
      </c>
      <c r="CF94" s="382">
        <f t="array" ref="CF94">IF($BI94=0, INDEX(LS_current!$D$4:$AY$139, MATCH('Staging Table'!$A94, LS_current!$B$4:$B$139, 0), MATCH(CF$4&amp;CF$5, LS_current!$D$2:$AY$2&amp;LS_current!$D$3:$AY$3, 0)),SUM(VLOOKUP($A94, LS_current!$B$4:$AY$139, LS_current!V$149, FALSE), VLOOKUP($A94, LS_current!$B$4:$AY$139,LS_current!V$149, FALSE))/2)</f>
        <v>-1321.0067659766396</v>
      </c>
      <c r="CG94" s="382">
        <f t="array" ref="CG94">IF($BI94=0, INDEX(LS_current!$D$4:$AY$139, MATCH('Staging Table'!$A94, LS_current!$B$4:$B$139, 0), MATCH(CG$4&amp;CG$5, LS_current!$D$2:$AY$2&amp;LS_current!$D$3:$AY$3, 0)),SUM(VLOOKUP($A94, LS_current!$B$4:$AY$139, LS_current!W$149, FALSE), VLOOKUP($A94, LS_current!$B$4:$AY$139,LS_current!W$149, FALSE))/2)</f>
        <v>-142.77128703718381</v>
      </c>
      <c r="CH94" s="382">
        <f t="array" ref="CH94">IF($BI94=0, INDEX(LS_current!$D$4:$AY$139, MATCH('Staging Table'!$A94, LS_current!$B$4:$B$139, 0), MATCH(CH$4&amp;CH$5, LS_current!$D$2:$AY$2&amp;LS_current!$D$3:$AY$3, 0)),SUM(VLOOKUP($A94, LS_current!$B$4:$AY$139, LS_current!X$149, FALSE), VLOOKUP($A94, LS_current!$B$4:$AY$139,LS_current!X$149, FALSE))/2)</f>
        <v>-1679.1584063002883</v>
      </c>
      <c r="CI94" s="382">
        <f t="array" ref="CI94">IF($BI94=0, INDEX(LS_current!$D$4:$AY$139, MATCH('Staging Table'!$A94, LS_current!$B$4:$B$139, 0), MATCH(CI$4&amp;CI$5, LS_current!$D$2:$AY$2&amp;LS_current!$D$3:$AY$3, 0)),SUM(VLOOKUP($A94, LS_current!$B$4:$AY$139, LS_current!Y$149, FALSE), VLOOKUP($A94, LS_current!$B$4:$AY$139,LS_current!Y$149, FALSE))/2)</f>
        <v>-537.32558062489602</v>
      </c>
      <c r="CJ94" s="382">
        <f t="array" ref="CJ94">IF($BI94=0, INDEX(LS_current!$D$4:$AY$139, MATCH('Staging Table'!$A94, LS_current!$B$4:$B$139, 0), MATCH(CJ$4&amp;CJ$5, LS_current!$D$2:$AY$2&amp;LS_current!$D$3:$AY$3, 0)),SUM(VLOOKUP($A94, LS_current!$B$4:$AY$139, LS_current!Z$149, FALSE), VLOOKUP($A94, LS_current!$B$4:$AY$139,LS_current!Z$149, FALSE))/2)</f>
        <v>-1224.1091705880954</v>
      </c>
      <c r="CK94" s="382">
        <f t="array" ref="CK94">IF($BI94=0, INDEX(LS_current!$D$4:$AY$139, MATCH('Staging Table'!$A94, LS_current!$B$4:$B$139, 0), MATCH(CK$4&amp;CK$5, LS_current!$D$2:$AY$2&amp;LS_current!$D$3:$AY$3, 0)),SUM(VLOOKUP($A94, LS_current!$B$4:$AY$139, LS_current!AA$149, FALSE), VLOOKUP($A94, LS_current!$B$4:$AY$139,LS_current!AA$149, FALSE))/2)</f>
        <v>-169.90945329599981</v>
      </c>
      <c r="CL94" s="384">
        <f t="array" ref="CL94">INDEX(Demand_current!$D$4:$AY$138, MATCH($A94, Demand_current!$B$4:$B$138, 0), MATCH(CL$4&amp;CL$5,Demand_current!$D$2:$AY$2&amp;Demand_current!$D$3:$AY$3, 0))/1000</f>
        <v>0.87801442307692223</v>
      </c>
      <c r="CM94" s="384">
        <f t="array" ref="CM94">INDEX(Demand_current!$D$4:$AY$138, MATCH($A94, Demand_current!$B$4:$B$138, 0), MATCH(CM$4&amp;CM$5,Demand_current!$D$2:$AY$2&amp;Demand_current!$D$3:$AY$3, 0))/1000</f>
        <v>0.61035999999999913</v>
      </c>
      <c r="CN94" s="384">
        <f t="array" ref="CN94">INDEX(Demand_current!$D$4:$AY$138, MATCH($A94, Demand_current!$B$4:$B$138, 0), MATCH(CN$4&amp;CN$5,Demand_current!$D$2:$AY$2&amp;Demand_current!$D$3:$AY$3, 0))/1000</f>
        <v>4.0137749999999999</v>
      </c>
      <c r="CO94" s="384">
        <f t="array" ref="CO94">INDEX(Demand_current!$D$4:$AY$138, MATCH($A94, Demand_current!$B$4:$B$138, 0), MATCH(CO$4&amp;CO$5,Demand_current!$D$2:$AY$2&amp;Demand_current!$D$3:$AY$3, 0))/1000</f>
        <v>2.8383197115384622</v>
      </c>
      <c r="CP94" s="384">
        <f t="array" ref="CP94">INDEX(Demand_current!$D$4:$AY$138, MATCH($A94, Demand_current!$B$4:$B$138, 0), MATCH(CP$4&amp;CP$5,Demand_current!$D$2:$AY$2&amp;Demand_current!$D$3:$AY$3, 0))/1000</f>
        <v>1.5601692708333328</v>
      </c>
      <c r="CQ94" s="384">
        <f t="array" ref="CQ94">INDEX(Demand_current!$D$4:$AY$138, MATCH($A94, Demand_current!$B$4:$B$138, 0), MATCH(CQ$4&amp;CQ$5,Demand_current!$D$2:$AY$2&amp;Demand_current!$D$3:$AY$3, 0))/1000</f>
        <v>2.9334490740740726</v>
      </c>
      <c r="CR94" s="384">
        <f t="array" ref="CR94">INDEX(Demand_current!$D$4:$AY$138, MATCH($A94, Demand_current!$B$4:$B$138, 0), MATCH(CR$4&amp;CR$5,Demand_current!$D$2:$AY$2&amp;Demand_current!$D$3:$AY$3, 0))/1000</f>
        <v>2.3375600000000007</v>
      </c>
      <c r="CS94" s="384">
        <f t="array" ref="CS94">INDEX(Demand_current!$D$4:$AY$138, MATCH($A94, Demand_current!$B$4:$B$138, 0), MATCH(CS$4&amp;CS$5,Demand_current!$D$2:$AY$2&amp;Demand_current!$D$3:$AY$3, 0))/1000</f>
        <v>0</v>
      </c>
      <c r="CT94" s="384">
        <f t="array" ref="CT94">INDEX(Demand_current!$D$4:$AY$138, MATCH($A94, Demand_current!$B$4:$B$138, 0), MATCH(CT$4&amp;CT$5,Demand_current!$D$2:$AY$2&amp;Demand_current!$D$3:$AY$3, 0))/1000</f>
        <v>0</v>
      </c>
      <c r="CU94" s="384">
        <f t="array" ref="CU94">INDEX(Demand_current!$D$4:$AY$138, MATCH($A94, Demand_current!$B$4:$B$138, 0), MATCH(CU$4&amp;CU$5,Demand_current!$D$2:$AY$2&amp;Demand_current!$D$3:$AY$3, 0))/1000</f>
        <v>0.86269499999999999</v>
      </c>
      <c r="CV94" s="384">
        <f t="array" ref="CV94">INDEX(Demand_current!$D$4:$AY$138, MATCH($A94, Demand_current!$B$4:$B$138, 0), MATCH(CV$4&amp;CV$5,Demand_current!$D$2:$AY$2&amp;Demand_current!$D$3:$AY$3, 0))/1000</f>
        <v>1.2648587962962963</v>
      </c>
      <c r="CW94" s="384">
        <f t="array" ref="CW94">INDEX(Demand_current!$D$4:$AY$138, MATCH($A94, Demand_current!$B$4:$B$138, 0), MATCH(CW$4&amp;CW$5,Demand_current!$D$2:$AY$2&amp;Demand_current!$D$3:$AY$3, 0))/1000</f>
        <v>0</v>
      </c>
      <c r="CX94" s="384">
        <f>IF(D94=0,IF(C94=0,MAX(0,DA94 - (VLOOKUP($A94,TOCA_current!$A$2:$AI$137,MATCH("RHWM 2018",TOCA_current!$A$2:$AI$2,0),FALSE)*$BH$2)), 0),0)</f>
        <v>0</v>
      </c>
      <c r="CY94" s="427">
        <f>VLOOKUP($A94,REP_current!$A$1:$D$135,MATCH("FY "&amp;$BH$1&amp; " Total Refund",REP_current!$A$1:$D$1,0),0)</f>
        <v>55851.607436126746</v>
      </c>
      <c r="CZ94" s="432">
        <f>MIN(VLOOKUP($A94,TOCA_current!$A$2:$AI$137,MATCH("TRL - NLSL - Existing Resource "&amp;$BH$1,TOCA_current!$A$2:$AI$2,0),FALSE)*$BH$2, VLOOKUP($A94,TOCA_current!$A$2:$AI$137,MATCH("RHWM 2018",TOCA_current!$A$2:$AI$2,0),FALSE)*$BH$2)</f>
        <v>85655.28</v>
      </c>
      <c r="DA94" s="397">
        <f>SUM(BN94:CK94)+(BH94*RT1SC!$C$4*$BH$2)</f>
        <v>85655.694249680251</v>
      </c>
      <c r="DB94" s="432">
        <f>VLOOKUP($A94,TOCA_current!$A$2:$AI$137,MATCH("Above RHWM Not Served with LS "&amp;$BH$1,TOCA_current!$A$2:$AI$2,0),FALSE)*$BH$2</f>
        <v>0</v>
      </c>
      <c r="DC94" s="401">
        <f t="shared" si="27"/>
        <v>0.4142496802523965</v>
      </c>
      <c r="DD94" s="397">
        <f>(VLOOKUP($A94,TOCA_current!$A$2:$AI$137,MATCH("RHWM 2018",TOCA_current!$A$2:$AI$2,0),FALSE)*$BH$2) - $CZ94</f>
        <v>1900.9199999999983</v>
      </c>
      <c r="DE94" s="397">
        <f t="shared" si="28"/>
        <v>-0.4142496802523965</v>
      </c>
      <c r="DF94" s="397">
        <f t="shared" si="29"/>
        <v>0</v>
      </c>
      <c r="DG94" s="397">
        <f t="shared" si="30"/>
        <v>0</v>
      </c>
      <c r="DH94" s="397">
        <f t="shared" si="31"/>
        <v>-0.4142496802523965</v>
      </c>
    </row>
    <row r="95" spans="1:112">
      <c r="A95" s="274">
        <v>10285</v>
      </c>
      <c r="B95" s="275" t="s">
        <v>96</v>
      </c>
      <c r="C95" s="397">
        <v>1</v>
      </c>
      <c r="D95" s="397">
        <v>0</v>
      </c>
      <c r="E95" s="205">
        <f>VLOOKUP($A95,TOCA_previous!$A$2:$AI$137,MATCH(E$4,TOCA_previous!$A$2:$AI$2,0),FALSE)</f>
        <v>9.2449999999999997E-4</v>
      </c>
      <c r="F95" s="206">
        <f>VLOOKUP($A95,TOCA_previous!$A$2:$AI$137,MATCH(F$4,TOCA_previous!$A$2:$AI$2,0),FALSE)</f>
        <v>9.2449999999999997E-4</v>
      </c>
      <c r="G95" s="206">
        <f t="shared" si="16"/>
        <v>0</v>
      </c>
      <c r="H95" s="206">
        <f>VLOOKUP($A95,TOCA_previous!$A$2:$AI$137,MATCH(H$4,TOCA_previous!$A$2:$AI$2,0),FALSE)</f>
        <v>7.0000000000000007E-2</v>
      </c>
      <c r="I95" s="206">
        <f t="shared" si="17"/>
        <v>7.0000000000000007E-2</v>
      </c>
      <c r="J95" s="206">
        <f t="shared" si="18"/>
        <v>9.2449999999999997E-4</v>
      </c>
      <c r="K95" s="381">
        <f>VLOOKUP(A95, IRD!$A$5:$C$139, 3, FALSE)</f>
        <v>0</v>
      </c>
      <c r="L95" s="382">
        <f t="array" ref="L95">IF($G95=0, INDEX(LS_previous!$D$4:$AY$138, MATCH('Staging Table'!$A95, LS_previous!$B$4:$B$138, 0), MATCH(L$4&amp;L$5, LS_previous!$D$2:$AY$2&amp;LS_previous!$D$3:$AY$3, 0)),SUM(VLOOKUP($A95, LS_previous!$B$4:$AY$138, LS_previous!D$149, FALSE), VLOOKUP('Staging Table'!$A95, LS_previous!$B$4:$AY$138,LS_previous!AB$149, FALSE))/2)</f>
        <v>0</v>
      </c>
      <c r="M95" s="382">
        <f t="array" ref="M95">IF($G95=0, INDEX(LS_previous!$D$4:$AY$138, MATCH('Staging Table'!$A95, LS_previous!$B$4:$B$138, 0), MATCH(M$4&amp;M$5, LS_previous!$D$2:$AY$2&amp;LS_previous!$D$3:$AY$3, 0)),SUM(VLOOKUP($A95, LS_previous!$B$4:$AY$138, LS_previous!E$149, FALSE), VLOOKUP('Staging Table'!$A95, LS_previous!$B$4:$AY$138,LS_previous!AC$149, FALSE))/2)</f>
        <v>0</v>
      </c>
      <c r="N95" s="382">
        <f t="array" ref="N95">IF($G95=0, INDEX(LS_previous!$D$4:$AY$138, MATCH('Staging Table'!$A95, LS_previous!$B$4:$B$138, 0), MATCH(N$4&amp;N$5, LS_previous!$D$2:$AY$2&amp;LS_previous!$D$3:$AY$3, 0)),SUM(VLOOKUP($A95, LS_previous!$B$4:$AY$138, LS_previous!F$149, FALSE), VLOOKUP('Staging Table'!$A95, LS_previous!$B$4:$AY$138,LS_previous!AD$149, FALSE))/2)</f>
        <v>0</v>
      </c>
      <c r="O95" s="382">
        <f t="array" ref="O95">IF($G95=0, INDEX(LS_previous!$D$4:$AY$138, MATCH('Staging Table'!$A95, LS_previous!$B$4:$B$138, 0), MATCH(O$4&amp;O$5, LS_previous!$D$2:$AY$2&amp;LS_previous!$D$3:$AY$3, 0)),SUM(VLOOKUP($A95, LS_previous!$B$4:$AY$138, LS_previous!G$149, FALSE), VLOOKUP('Staging Table'!$A95, LS_previous!$B$4:$AY$138,LS_previous!AE$149, FALSE))/2)</f>
        <v>0</v>
      </c>
      <c r="P95" s="382">
        <f t="array" ref="P95">IF($G95=0, INDEX(LS_previous!$D$4:$AY$138, MATCH('Staging Table'!$A95, LS_previous!$B$4:$B$138, 0), MATCH(P$4&amp;P$5, LS_previous!$D$2:$AY$2&amp;LS_previous!$D$3:$AY$3, 0)),SUM(VLOOKUP($A95, LS_previous!$B$4:$AY$138, LS_previous!H$149, FALSE), VLOOKUP('Staging Table'!$A95, LS_previous!$B$4:$AY$138,LS_previous!AF$149, FALSE))/2)</f>
        <v>0</v>
      </c>
      <c r="Q95" s="382">
        <f t="array" ref="Q95">IF($G95=0, INDEX(LS_previous!$D$4:$AY$138, MATCH('Staging Table'!$A95, LS_previous!$B$4:$B$138, 0), MATCH(Q$4&amp;Q$5, LS_previous!$D$2:$AY$2&amp;LS_previous!$D$3:$AY$3, 0)),SUM(VLOOKUP($A95, LS_previous!$B$4:$AY$138, LS_previous!I$149, FALSE), VLOOKUP('Staging Table'!$A95, LS_previous!$B$4:$AY$138,LS_previous!AG$149, FALSE))/2)</f>
        <v>0</v>
      </c>
      <c r="R95" s="382">
        <f t="array" ref="R95">IF($G95=0, INDEX(LS_previous!$D$4:$AY$138, MATCH('Staging Table'!$A95, LS_previous!$B$4:$B$138, 0), MATCH(R$4&amp;R$5, LS_previous!$D$2:$AY$2&amp;LS_previous!$D$3:$AY$3, 0)),SUM(VLOOKUP($A95, LS_previous!$B$4:$AY$138, LS_previous!J$149, FALSE), VLOOKUP('Staging Table'!$A95, LS_previous!$B$4:$AY$138,LS_previous!AH$149, FALSE))/2)</f>
        <v>0</v>
      </c>
      <c r="S95" s="382">
        <f t="array" ref="S95">IF($G95=0, INDEX(LS_previous!$D$4:$AY$138, MATCH('Staging Table'!$A95, LS_previous!$B$4:$B$138, 0), MATCH(S$4&amp;S$5, LS_previous!$D$2:$AY$2&amp;LS_previous!$D$3:$AY$3, 0)),SUM(VLOOKUP($A95, LS_previous!$B$4:$AY$138, LS_previous!K$149, FALSE), VLOOKUP('Staging Table'!$A95, LS_previous!$B$4:$AY$138,LS_previous!AI$149, FALSE))/2)</f>
        <v>0</v>
      </c>
      <c r="T95" s="382">
        <f t="array" ref="T95">IF($G95=0, INDEX(LS_previous!$D$4:$AY$138, MATCH('Staging Table'!$A95, LS_previous!$B$4:$B$138, 0), MATCH(T$4&amp;T$5, LS_previous!$D$2:$AY$2&amp;LS_previous!$D$3:$AY$3, 0)),SUM(VLOOKUP($A95, LS_previous!$B$4:$AY$138, LS_previous!L$149, FALSE), VLOOKUP('Staging Table'!$A95, LS_previous!$B$4:$AY$138,LS_previous!AJ$149, FALSE))/2)</f>
        <v>0</v>
      </c>
      <c r="U95" s="382">
        <f t="array" ref="U95">IF($G95=0, INDEX(LS_previous!$D$4:$AY$138, MATCH('Staging Table'!$A95, LS_previous!$B$4:$B$138, 0), MATCH(U$4&amp;U$5, LS_previous!$D$2:$AY$2&amp;LS_previous!$D$3:$AY$3, 0)),SUM(VLOOKUP($A95, LS_previous!$B$4:$AY$138, LS_previous!M$149, FALSE), VLOOKUP('Staging Table'!$A95, LS_previous!$B$4:$AY$138,LS_previous!AK$149, FALSE))/2)</f>
        <v>0</v>
      </c>
      <c r="V95" s="382">
        <f t="array" ref="V95">IF($G95=0, INDEX(LS_previous!$D$4:$AY$138, MATCH('Staging Table'!$A95, LS_previous!$B$4:$B$138, 0), MATCH(V$4&amp;V$5, LS_previous!$D$2:$AY$2&amp;LS_previous!$D$3:$AY$3, 0)),SUM(VLOOKUP($A95, LS_previous!$B$4:$AY$138, LS_previous!N$149, FALSE), VLOOKUP('Staging Table'!$A95, LS_previous!$B$4:$AY$138,LS_previous!AL$149, FALSE))/2)</f>
        <v>0</v>
      </c>
      <c r="W95" s="382">
        <f t="array" ref="W95">IF($G95=0, INDEX(LS_previous!$D$4:$AY$138, MATCH('Staging Table'!$A95, LS_previous!$B$4:$B$138, 0), MATCH(W$4&amp;W$5, LS_previous!$D$2:$AY$2&amp;LS_previous!$D$3:$AY$3, 0)),SUM(VLOOKUP($A95, LS_previous!$B$4:$AY$138, LS_previous!O$149, FALSE), VLOOKUP('Staging Table'!$A95, LS_previous!$B$4:$AY$138,LS_previous!AM$149, FALSE))/2)</f>
        <v>0</v>
      </c>
      <c r="X95" s="382">
        <f t="array" ref="X95">IF($G95=0, INDEX(LS_previous!$D$4:$AY$138, MATCH('Staging Table'!$A95, LS_previous!$B$4:$B$138, 0), MATCH(X$4&amp;X$5, LS_previous!$D$2:$AY$2&amp;LS_previous!$D$3:$AY$3, 0)),SUM(VLOOKUP($A95, LS_previous!$B$4:$AY$138, LS_previous!P$149, FALSE), VLOOKUP('Staging Table'!$A95, LS_previous!$B$4:$AY$138,LS_previous!AN$149, FALSE))/2)</f>
        <v>0</v>
      </c>
      <c r="Y95" s="382">
        <f t="array" ref="Y95">IF($G95=0, INDEX(LS_previous!$D$4:$AY$138, MATCH('Staging Table'!$A95, LS_previous!$B$4:$B$138, 0), MATCH(Y$4&amp;Y$5, LS_previous!$D$2:$AY$2&amp;LS_previous!$D$3:$AY$3, 0)),SUM(VLOOKUP($A95, LS_previous!$B$4:$AY$138, LS_previous!Q$149, FALSE), VLOOKUP('Staging Table'!$A95, LS_previous!$B$4:$AY$138,LS_previous!AO$149, FALSE))/2)</f>
        <v>0</v>
      </c>
      <c r="Z95" s="382">
        <f t="array" ref="Z95">IF($G95=0, INDEX(LS_previous!$D$4:$AY$138, MATCH('Staging Table'!$A95, LS_previous!$B$4:$B$138, 0), MATCH(Z$4&amp;Z$5, LS_previous!$D$2:$AY$2&amp;LS_previous!$D$3:$AY$3, 0)),SUM(VLOOKUP($A95, LS_previous!$B$4:$AY$138, LS_previous!R$149, FALSE), VLOOKUP('Staging Table'!$A95, LS_previous!$B$4:$AY$138,LS_previous!AP$149, FALSE))/2)</f>
        <v>0</v>
      </c>
      <c r="AA95" s="382">
        <f t="array" ref="AA95">IF($G95=0, INDEX(LS_previous!$D$4:$AY$138, MATCH('Staging Table'!$A95, LS_previous!$B$4:$B$138, 0), MATCH(AA$4&amp;AA$5, LS_previous!$D$2:$AY$2&amp;LS_previous!$D$3:$AY$3, 0)),SUM(VLOOKUP($A95, LS_previous!$B$4:$AY$138, LS_previous!S$149, FALSE), VLOOKUP('Staging Table'!$A95, LS_previous!$B$4:$AY$138,LS_previous!AQ$149, FALSE))/2)</f>
        <v>0</v>
      </c>
      <c r="AB95" s="382">
        <f t="array" ref="AB95">IF($G95=0, INDEX(LS_previous!$D$4:$AY$138, MATCH('Staging Table'!$A95, LS_previous!$B$4:$B$138, 0), MATCH(AB$4&amp;AB$5, LS_previous!$D$2:$AY$2&amp;LS_previous!$D$3:$AY$3, 0)),SUM(VLOOKUP($A95, LS_previous!$B$4:$AY$138, LS_previous!T$149, FALSE), VLOOKUP('Staging Table'!$A95, LS_previous!$B$4:$AY$138,LS_previous!AR$149, FALSE))/2)</f>
        <v>0</v>
      </c>
      <c r="AC95" s="382">
        <f t="array" ref="AC95">IF($G95=0, INDEX(LS_previous!$D$4:$AY$138, MATCH('Staging Table'!$A95, LS_previous!$B$4:$B$138, 0), MATCH(AC$4&amp;AC$5, LS_previous!$D$2:$AY$2&amp;LS_previous!$D$3:$AY$3, 0)),SUM(VLOOKUP($A95, LS_previous!$B$4:$AY$138, LS_previous!U$149, FALSE), VLOOKUP('Staging Table'!$A95, LS_previous!$B$4:$AY$138,LS_previous!AS$149, FALSE))/2)</f>
        <v>0</v>
      </c>
      <c r="AD95" s="382">
        <f t="array" ref="AD95">IF($G95=0, INDEX(LS_previous!$D$4:$AY$138, MATCH('Staging Table'!$A95, LS_previous!$B$4:$B$138, 0), MATCH(AD$4&amp;AD$5, LS_previous!$D$2:$AY$2&amp;LS_previous!$D$3:$AY$3, 0)),SUM(VLOOKUP($A95, LS_previous!$B$4:$AY$138, LS_previous!V$149, FALSE), VLOOKUP('Staging Table'!$A95, LS_previous!$B$4:$AY$138,LS_previous!AT$149, FALSE))/2)</f>
        <v>0</v>
      </c>
      <c r="AE95" s="382">
        <f t="array" ref="AE95">IF($G95=0, INDEX(LS_previous!$D$4:$AY$138, MATCH('Staging Table'!$A95, LS_previous!$B$4:$B$138, 0), MATCH(AE$4&amp;AE$5, LS_previous!$D$2:$AY$2&amp;LS_previous!$D$3:$AY$3, 0)),SUM(VLOOKUP($A95, LS_previous!$B$4:$AY$138, LS_previous!W$149, FALSE), VLOOKUP('Staging Table'!$A95, LS_previous!$B$4:$AY$138,LS_previous!AU$149, FALSE))/2)</f>
        <v>0</v>
      </c>
      <c r="AF95" s="382">
        <f t="array" ref="AF95">IF($G95=0, INDEX(LS_previous!$D$4:$AY$138, MATCH('Staging Table'!$A95, LS_previous!$B$4:$B$138, 0), MATCH(AF$4&amp;AF$5, LS_previous!$D$2:$AY$2&amp;LS_previous!$D$3:$AY$3, 0)),SUM(VLOOKUP($A95, LS_previous!$B$4:$AY$138, LS_previous!X$149, FALSE), VLOOKUP('Staging Table'!$A95, LS_previous!$B$4:$AY$138,LS_previous!AV$149, FALSE))/2)</f>
        <v>0</v>
      </c>
      <c r="AG95" s="382">
        <f t="array" ref="AG95">IF($G95=0, INDEX(LS_previous!$D$4:$AY$138, MATCH('Staging Table'!$A95, LS_previous!$B$4:$B$138, 0), MATCH(AG$4&amp;AG$5, LS_previous!$D$2:$AY$2&amp;LS_previous!$D$3:$AY$3, 0)),SUM(VLOOKUP($A95, LS_previous!$B$4:$AY$138, LS_previous!Y$149, FALSE), VLOOKUP('Staging Table'!$A95, LS_previous!$B$4:$AY$138,LS_previous!AW$149, FALSE))/2)</f>
        <v>0</v>
      </c>
      <c r="AH95" s="382">
        <f t="array" ref="AH95">IF($G95=0, INDEX(LS_previous!$D$4:$AY$138, MATCH('Staging Table'!$A95, LS_previous!$B$4:$B$138, 0), MATCH(AH$4&amp;AH$5, LS_previous!$D$2:$AY$2&amp;LS_previous!$D$3:$AY$3, 0)),SUM(VLOOKUP($A95, LS_previous!$B$4:$AY$138, LS_previous!Z$149, FALSE), VLOOKUP('Staging Table'!$A95, LS_previous!$B$4:$AY$138,LS_previous!AX$149, FALSE))/2)</f>
        <v>0</v>
      </c>
      <c r="AI95" s="382">
        <f t="array" ref="AI95">IF($G95=0, INDEX(LS_previous!$D$4:$AY$138, MATCH('Staging Table'!$A95, LS_previous!$B$4:$B$138, 0), MATCH(AI$4&amp;AI$5, LS_previous!$D$2:$AY$2&amp;LS_previous!$D$3:$AY$3, 0)),SUM(VLOOKUP($A95, LS_previous!$B$4:$AY$138, LS_previous!AA$149, FALSE), VLOOKUP('Staging Table'!$A95, LS_previous!$B$4:$AY$138,LS_previous!AY$149, FALSE))/2)</f>
        <v>0</v>
      </c>
      <c r="AJ95" s="384">
        <f t="array" ref="AJ95">INDEX(Demand_previous!$D$4:$AY$138, MATCH('Staging Table'!$A95, Demand_previous!$B$4:$B$138, 0), MATCH(AJ$4&amp;AJ$5,Demand_previous!$D$2:$AY$2&amp;Demand_previous!$D$3:$AY$3, 0))/1000</f>
        <v>0</v>
      </c>
      <c r="AK95" s="384">
        <f t="array" ref="AK95">INDEX(Demand_previous!$D$4:$AY$138, MATCH('Staging Table'!$A95, Demand_previous!$B$4:$B$138, 0), MATCH(AK$4&amp;AK$5,Demand_previous!$D$2:$AY$2&amp;Demand_previous!$D$3:$AY$3, 0))/1000</f>
        <v>0</v>
      </c>
      <c r="AL95" s="384">
        <f t="array" ref="AL95">INDEX(Demand_previous!$D$4:$AY$138, MATCH('Staging Table'!$A95, Demand_previous!$B$4:$B$138, 0), MATCH(AL$4&amp;AL$5,Demand_previous!$D$2:$AY$2&amp;Demand_previous!$D$3:$AY$3, 0))/1000</f>
        <v>0</v>
      </c>
      <c r="AM95" s="384">
        <f t="array" ref="AM95">INDEX(Demand_previous!$D$4:$AY$138, MATCH('Staging Table'!$A95, Demand_previous!$B$4:$B$138, 0), MATCH(AM$4&amp;AM$5,Demand_previous!$D$2:$AY$2&amp;Demand_previous!$D$3:$AY$3, 0))/1000</f>
        <v>0</v>
      </c>
      <c r="AN95" s="384">
        <f t="array" ref="AN95">INDEX(Demand_previous!$D$4:$AY$138, MATCH('Staging Table'!$A95, Demand_previous!$B$4:$B$138, 0), MATCH(AN$4&amp;AN$5,Demand_previous!$D$2:$AY$2&amp;Demand_previous!$D$3:$AY$3, 0))/1000</f>
        <v>0</v>
      </c>
      <c r="AO95" s="384">
        <f t="array" ref="AO95">INDEX(Demand_previous!$D$4:$AY$138, MATCH('Staging Table'!$A95, Demand_previous!$B$4:$B$138, 0), MATCH(AO$4&amp;AO$5,Demand_previous!$D$2:$AY$2&amp;Demand_previous!$D$3:$AY$3, 0))/1000</f>
        <v>0</v>
      </c>
      <c r="AP95" s="384">
        <f t="array" ref="AP95">INDEX(Demand_previous!$D$4:$AY$138, MATCH('Staging Table'!$A95, Demand_previous!$B$4:$B$138, 0), MATCH(AP$4&amp;AP$5,Demand_previous!$D$2:$AY$2&amp;Demand_previous!$D$3:$AY$3, 0))/1000</f>
        <v>0</v>
      </c>
      <c r="AQ95" s="384">
        <f t="array" ref="AQ95">INDEX(Demand_previous!$D$4:$AY$138, MATCH('Staging Table'!$A95, Demand_previous!$B$4:$B$138, 0), MATCH(AQ$4&amp;AQ$5,Demand_previous!$D$2:$AY$2&amp;Demand_previous!$D$3:$AY$3, 0))/1000</f>
        <v>0</v>
      </c>
      <c r="AR95" s="384">
        <f t="array" ref="AR95">INDEX(Demand_previous!$D$4:$AY$138, MATCH('Staging Table'!$A95, Demand_previous!$B$4:$B$138, 0), MATCH(AR$4&amp;AR$5,Demand_previous!$D$2:$AY$2&amp;Demand_previous!$D$3:$AY$3, 0))/1000</f>
        <v>0</v>
      </c>
      <c r="AS95" s="384">
        <f t="array" ref="AS95">INDEX(Demand_previous!$D$4:$AY$138, MATCH('Staging Table'!$A95, Demand_previous!$B$4:$B$138, 0), MATCH(AS$4&amp;AS$5,Demand_previous!$D$2:$AY$2&amp;Demand_previous!$D$3:$AY$3, 0))/1000</f>
        <v>0</v>
      </c>
      <c r="AT95" s="384">
        <f t="array" ref="AT95">INDEX(Demand_previous!$D$4:$AY$138, MATCH('Staging Table'!$A95, Demand_previous!$B$4:$B$138, 0), MATCH(AT$4&amp;AT$5,Demand_previous!$D$2:$AY$2&amp;Demand_previous!$D$3:$AY$3, 0))/1000</f>
        <v>0</v>
      </c>
      <c r="AU95" s="384">
        <f t="array" ref="AU95">INDEX(Demand_previous!$D$4:$AY$138, MATCH('Staging Table'!$A95, Demand_previous!$B$4:$B$138, 0), MATCH(AU$4&amp;AU$5,Demand_previous!$D$2:$AY$2&amp;Demand_previous!$D$3:$AY$3, 0))/1000</f>
        <v>0</v>
      </c>
      <c r="AV95" s="384">
        <f>IF($D95=0,IF(C95=0, MAX(AY95 - (VLOOKUP($A95,TOCA_previous!$A$2:$AI$137,MATCH("RHWM 2016",TOCA_previous!$A$2:$AI$2,0),FALSE)*$F$2*TOCA_previous!C92),0),0), 0)</f>
        <v>0</v>
      </c>
      <c r="AW95" s="427">
        <f>VLOOKUP($A95,REP_previous!$A$1:$D$135,MATCH("FY "&amp;$F$1&amp; " Total Refund",REP_previous!$A$1:$D$1,0),0)</f>
        <v>69167.040190036874</v>
      </c>
      <c r="AX95" s="398">
        <f>MIN(VLOOKUP($A95,TOCA_previous!$A$2:$AI$137,MATCH("TRL - NLSL - Exisiting Resource "&amp;$F$1,TOCA_previous!$A$2:$AI$2,0),FALSE)*$F$2,(VLOOKUP($A95,TOCA_previous!$A$2:$AI$137,MATCH("RHWM 2016",TOCA_previous!$A$2:$AI$2,0),FALSE)*$F$2))</f>
        <v>56709.504000000001</v>
      </c>
      <c r="AY95" s="384">
        <f>SUM(L95:AI95)+(F95*RT1SC!$C$3*$F$2)</f>
        <v>56708.292532679996</v>
      </c>
      <c r="AZ95" s="398">
        <f>VLOOKUP($A95,TOCA_previous!$A$2:$AI$137,MATCH("Above RHWM Not Served with LS "&amp;$F$1,TOCA_previous!$A$2:$AI$2,0),FALSE)*$F$2</f>
        <v>0</v>
      </c>
      <c r="BA95" s="206">
        <f t="shared" si="19"/>
        <v>-1.2114673200048856</v>
      </c>
      <c r="BB95" s="399">
        <f>(VLOOKUP($A95,TOCA_previous!$A$2:$AI$137,MATCH("RHWM 2016",TOCA_previous!$A$2:$AI$2,0),FALSE)*$F$2) - $AX95</f>
        <v>79.055999999996857</v>
      </c>
      <c r="BC95" s="206">
        <f t="shared" si="20"/>
        <v>0</v>
      </c>
      <c r="BD95" s="400">
        <f t="shared" si="21"/>
        <v>1.2114673200048856</v>
      </c>
      <c r="BE95" s="392">
        <f t="shared" si="22"/>
        <v>0</v>
      </c>
      <c r="BF95" s="399">
        <f t="shared" si="23"/>
        <v>1.2114673200048856</v>
      </c>
      <c r="BG95" s="206">
        <f>VLOOKUP($A95,TOCA_current!$A$2:$AI$137,MATCH(BG$4,TOCA_current!$A$2:$AI$2,0),FALSE)</f>
        <v>9.2500000000000004E-4</v>
      </c>
      <c r="BH95" s="206">
        <f>VLOOKUP($A95,TOCA_current!$A$2:$AI$137,MATCH(BH$4,TOCA_current!$A$2:$AI$2,0),FALSE)</f>
        <v>9.2500000000000004E-4</v>
      </c>
      <c r="BI95" s="391">
        <f t="shared" si="24"/>
        <v>0</v>
      </c>
      <c r="BJ95" s="206">
        <f>VLOOKUP($A95,TOCA_current!A91:BG226,MATCH(BJ$4,TOCA_current!$A$2:$BG$2,0),FALSE)</f>
        <v>7.2244707347447076E-2</v>
      </c>
      <c r="BK95" s="206">
        <f t="shared" si="25"/>
        <v>7.2244707347447076E-2</v>
      </c>
      <c r="BL95" s="206">
        <f t="shared" si="26"/>
        <v>9.2500000000000004E-4</v>
      </c>
      <c r="BM95" s="381">
        <f>VLOOKUP($A95,IRD!$A$4:$G$139, 7, FALSE)</f>
        <v>0</v>
      </c>
      <c r="BN95" s="382">
        <f t="array" ref="BN95">IF($BI95=0, INDEX(LS_current!$D$4:$AY$139, MATCH('Staging Table'!$A95, LS_current!$B$4:$B$139, 0), MATCH(BN$4&amp;BN$5, LS_current!$D$2:$AY$2&amp;LS_current!$D$3:$AY$3, 0)),SUM(VLOOKUP($A95, LS_current!$B$4:$AY$139, LS_current!D$149, FALSE), VLOOKUP($A95, LS_current!$B$4:$AY$139,LS_current!D$149, FALSE))/2)</f>
        <v>0</v>
      </c>
      <c r="BO95" s="382">
        <f t="array" ref="BO95">IF($BI95=0, INDEX(LS_current!$D$4:$AY$139, MATCH('Staging Table'!$A95, LS_current!$B$4:$B$139, 0), MATCH(BO$4&amp;BO$5, LS_current!$D$2:$AY$2&amp;LS_current!$D$3:$AY$3, 0)),SUM(VLOOKUP($A95, LS_current!$B$4:$AY$139, LS_current!E$149, FALSE), VLOOKUP($A95, LS_current!$B$4:$AY$139,LS_current!E$149, FALSE))/2)</f>
        <v>0</v>
      </c>
      <c r="BP95" s="382">
        <f t="array" ref="BP95">IF($BI95=0, INDEX(LS_current!$D$4:$AY$139, MATCH('Staging Table'!$A95, LS_current!$B$4:$B$139, 0), MATCH(BP$4&amp;BP$5, LS_current!$D$2:$AY$2&amp;LS_current!$D$3:$AY$3, 0)),SUM(VLOOKUP($A95, LS_current!$B$4:$AY$139, LS_current!F$149, FALSE), VLOOKUP($A95, LS_current!$B$4:$AY$139,LS_current!F$149, FALSE))/2)</f>
        <v>0</v>
      </c>
      <c r="BQ95" s="382">
        <f t="array" ref="BQ95">IF($BI95=0, INDEX(LS_current!$D$4:$AY$139, MATCH('Staging Table'!$A95, LS_current!$B$4:$B$139, 0), MATCH(BQ$4&amp;BQ$5, LS_current!$D$2:$AY$2&amp;LS_current!$D$3:$AY$3, 0)),SUM(VLOOKUP($A95, LS_current!$B$4:$AY$139, LS_current!G$149, FALSE), VLOOKUP($A95, LS_current!$B$4:$AY$139,LS_current!G$149, FALSE))/2)</f>
        <v>0</v>
      </c>
      <c r="BR95" s="382">
        <f t="array" ref="BR95">IF($BI95=0, INDEX(LS_current!$D$4:$AY$139, MATCH('Staging Table'!$A95, LS_current!$B$4:$B$139, 0), MATCH(BR$4&amp;BR$5, LS_current!$D$2:$AY$2&amp;LS_current!$D$3:$AY$3, 0)),SUM(VLOOKUP($A95, LS_current!$B$4:$AY$139, LS_current!H$149, FALSE), VLOOKUP($A95, LS_current!$B$4:$AY$139,LS_current!H$149, FALSE))/2)</f>
        <v>0</v>
      </c>
      <c r="BS95" s="382">
        <f t="array" ref="BS95">IF($BI95=0, INDEX(LS_current!$D$4:$AY$139, MATCH('Staging Table'!$A95, LS_current!$B$4:$B$139, 0), MATCH(BS$4&amp;BS$5, LS_current!$D$2:$AY$2&amp;LS_current!$D$3:$AY$3, 0)),SUM(VLOOKUP($A95, LS_current!$B$4:$AY$139, LS_current!I$149, FALSE), VLOOKUP($A95, LS_current!$B$4:$AY$139,LS_current!I$149, FALSE))/2)</f>
        <v>0</v>
      </c>
      <c r="BT95" s="382">
        <f t="array" ref="BT95">IF($BI95=0, INDEX(LS_current!$D$4:$AY$139, MATCH('Staging Table'!$A95, LS_current!$B$4:$B$139, 0), MATCH(BT$4&amp;BT$5, LS_current!$D$2:$AY$2&amp;LS_current!$D$3:$AY$3, 0)),SUM(VLOOKUP($A95, LS_current!$B$4:$AY$139, LS_current!J$149, FALSE), VLOOKUP($A95, LS_current!$B$4:$AY$139,LS_current!J$149, FALSE))/2)</f>
        <v>0</v>
      </c>
      <c r="BU95" s="382">
        <f t="array" ref="BU95">IF($BI95=0, INDEX(LS_current!$D$4:$AY$139, MATCH('Staging Table'!$A95, LS_current!$B$4:$B$139, 0), MATCH(BU$4&amp;BU$5, LS_current!$D$2:$AY$2&amp;LS_current!$D$3:$AY$3, 0)),SUM(VLOOKUP($A95, LS_current!$B$4:$AY$139, LS_current!K$149, FALSE), VLOOKUP($A95, LS_current!$B$4:$AY$139,LS_current!K$149, FALSE))/2)</f>
        <v>0</v>
      </c>
      <c r="BV95" s="382">
        <f t="array" ref="BV95">IF($BI95=0, INDEX(LS_current!$D$4:$AY$139, MATCH('Staging Table'!$A95, LS_current!$B$4:$B$139, 0), MATCH(BV$4&amp;BV$5, LS_current!$D$2:$AY$2&amp;LS_current!$D$3:$AY$3, 0)),SUM(VLOOKUP($A95, LS_current!$B$4:$AY$139, LS_current!L$149, FALSE), VLOOKUP($A95, LS_current!$B$4:$AY$139,LS_current!L$149, FALSE))/2)</f>
        <v>0</v>
      </c>
      <c r="BW95" s="382">
        <f t="array" ref="BW95">IF($BI95=0, INDEX(LS_current!$D$4:$AY$139, MATCH('Staging Table'!$A95, LS_current!$B$4:$B$139, 0), MATCH(BW$4&amp;BW$5, LS_current!$D$2:$AY$2&amp;LS_current!$D$3:$AY$3, 0)),SUM(VLOOKUP($A95, LS_current!$B$4:$AY$139, LS_current!M$149, FALSE), VLOOKUP($A95, LS_current!$B$4:$AY$139,LS_current!M$149, FALSE))/2)</f>
        <v>0</v>
      </c>
      <c r="BX95" s="382">
        <f t="array" ref="BX95">IF($BI95=0, INDEX(LS_current!$D$4:$AY$139, MATCH('Staging Table'!$A95, LS_current!$B$4:$B$139, 0), MATCH(BX$4&amp;BX$5, LS_current!$D$2:$AY$2&amp;LS_current!$D$3:$AY$3, 0)),SUM(VLOOKUP($A95, LS_current!$B$4:$AY$139, LS_current!N$149, FALSE), VLOOKUP($A95, LS_current!$B$4:$AY$139,LS_current!N$149, FALSE))/2)</f>
        <v>0</v>
      </c>
      <c r="BY95" s="382">
        <f t="array" ref="BY95">IF($BI95=0, INDEX(LS_current!$D$4:$AY$139, MATCH('Staging Table'!$A95, LS_current!$B$4:$B$139, 0), MATCH(BY$4&amp;BY$5, LS_current!$D$2:$AY$2&amp;LS_current!$D$3:$AY$3, 0)),SUM(VLOOKUP($A95, LS_current!$B$4:$AY$139, LS_current!O$149, FALSE), VLOOKUP($A95, LS_current!$B$4:$AY$139,LS_current!O$149, FALSE))/2)</f>
        <v>0</v>
      </c>
      <c r="BZ95" s="382">
        <f t="array" ref="BZ95">IF($BI95=0, INDEX(LS_current!$D$4:$AY$139, MATCH('Staging Table'!$A95, LS_current!$B$4:$B$139, 0), MATCH(BZ$4&amp;BZ$5, LS_current!$D$2:$AY$2&amp;LS_current!$D$3:$AY$3, 0)),SUM(VLOOKUP($A95, LS_current!$B$4:$AY$139, LS_current!P$149, FALSE), VLOOKUP($A95, LS_current!$B$4:$AY$139,LS_current!P$149, FALSE))/2)</f>
        <v>0</v>
      </c>
      <c r="CA95" s="382">
        <f t="array" ref="CA95">IF($BI95=0, INDEX(LS_current!$D$4:$AY$139, MATCH('Staging Table'!$A95, LS_current!$B$4:$B$139, 0), MATCH(CA$4&amp;CA$5, LS_current!$D$2:$AY$2&amp;LS_current!$D$3:$AY$3, 0)),SUM(VLOOKUP($A95, LS_current!$B$4:$AY$139, LS_current!Q$149, FALSE), VLOOKUP($A95, LS_current!$B$4:$AY$139,LS_current!Q$149, FALSE))/2)</f>
        <v>0</v>
      </c>
      <c r="CB95" s="382">
        <f t="array" ref="CB95">IF($BI95=0, INDEX(LS_current!$D$4:$AY$139, MATCH('Staging Table'!$A95, LS_current!$B$4:$B$139, 0), MATCH(CB$4&amp;CB$5, LS_current!$D$2:$AY$2&amp;LS_current!$D$3:$AY$3, 0)),SUM(VLOOKUP($A95, LS_current!$B$4:$AY$139, LS_current!R$149, FALSE), VLOOKUP($A95, LS_current!$B$4:$AY$139,LS_current!R$149, FALSE))/2)</f>
        <v>0</v>
      </c>
      <c r="CC95" s="382">
        <f t="array" ref="CC95">IF($BI95=0, INDEX(LS_current!$D$4:$AY$139, MATCH('Staging Table'!$A95, LS_current!$B$4:$B$139, 0), MATCH(CC$4&amp;CC$5, LS_current!$D$2:$AY$2&amp;LS_current!$D$3:$AY$3, 0)),SUM(VLOOKUP($A95, LS_current!$B$4:$AY$139, LS_current!S$149, FALSE), VLOOKUP($A95, LS_current!$B$4:$AY$139,LS_current!S$149, FALSE))/2)</f>
        <v>0</v>
      </c>
      <c r="CD95" s="382">
        <f t="array" ref="CD95">IF($BI95=0, INDEX(LS_current!$D$4:$AY$139, MATCH('Staging Table'!$A95, LS_current!$B$4:$B$139, 0), MATCH(CD$4&amp;CD$5, LS_current!$D$2:$AY$2&amp;LS_current!$D$3:$AY$3, 0)),SUM(VLOOKUP($A95, LS_current!$B$4:$AY$139, LS_current!T$149, FALSE), VLOOKUP($A95, LS_current!$B$4:$AY$139,LS_current!T$149, FALSE))/2)</f>
        <v>0</v>
      </c>
      <c r="CE95" s="382">
        <f t="array" ref="CE95">IF($BI95=0, INDEX(LS_current!$D$4:$AY$139, MATCH('Staging Table'!$A95, LS_current!$B$4:$B$139, 0), MATCH(CE$4&amp;CE$5, LS_current!$D$2:$AY$2&amp;LS_current!$D$3:$AY$3, 0)),SUM(VLOOKUP($A95, LS_current!$B$4:$AY$139, LS_current!U$149, FALSE), VLOOKUP($A95, LS_current!$B$4:$AY$139,LS_current!U$149, FALSE))/2)</f>
        <v>0</v>
      </c>
      <c r="CF95" s="382">
        <f t="array" ref="CF95">IF($BI95=0, INDEX(LS_current!$D$4:$AY$139, MATCH('Staging Table'!$A95, LS_current!$B$4:$B$139, 0), MATCH(CF$4&amp;CF$5, LS_current!$D$2:$AY$2&amp;LS_current!$D$3:$AY$3, 0)),SUM(VLOOKUP($A95, LS_current!$B$4:$AY$139, LS_current!V$149, FALSE), VLOOKUP($A95, LS_current!$B$4:$AY$139,LS_current!V$149, FALSE))/2)</f>
        <v>0</v>
      </c>
      <c r="CG95" s="382">
        <f t="array" ref="CG95">IF($BI95=0, INDEX(LS_current!$D$4:$AY$139, MATCH('Staging Table'!$A95, LS_current!$B$4:$B$139, 0), MATCH(CG$4&amp;CG$5, LS_current!$D$2:$AY$2&amp;LS_current!$D$3:$AY$3, 0)),SUM(VLOOKUP($A95, LS_current!$B$4:$AY$139, LS_current!W$149, FALSE), VLOOKUP($A95, LS_current!$B$4:$AY$139,LS_current!W$149, FALSE))/2)</f>
        <v>0</v>
      </c>
      <c r="CH95" s="382">
        <f t="array" ref="CH95">IF($BI95=0, INDEX(LS_current!$D$4:$AY$139, MATCH('Staging Table'!$A95, LS_current!$B$4:$B$139, 0), MATCH(CH$4&amp;CH$5, LS_current!$D$2:$AY$2&amp;LS_current!$D$3:$AY$3, 0)),SUM(VLOOKUP($A95, LS_current!$B$4:$AY$139, LS_current!X$149, FALSE), VLOOKUP($A95, LS_current!$B$4:$AY$139,LS_current!X$149, FALSE))/2)</f>
        <v>0</v>
      </c>
      <c r="CI95" s="382">
        <f t="array" ref="CI95">IF($BI95=0, INDEX(LS_current!$D$4:$AY$139, MATCH('Staging Table'!$A95, LS_current!$B$4:$B$139, 0), MATCH(CI$4&amp;CI$5, LS_current!$D$2:$AY$2&amp;LS_current!$D$3:$AY$3, 0)),SUM(VLOOKUP($A95, LS_current!$B$4:$AY$139, LS_current!Y$149, FALSE), VLOOKUP($A95, LS_current!$B$4:$AY$139,LS_current!Y$149, FALSE))/2)</f>
        <v>0</v>
      </c>
      <c r="CJ95" s="382">
        <f t="array" ref="CJ95">IF($BI95=0, INDEX(LS_current!$D$4:$AY$139, MATCH('Staging Table'!$A95, LS_current!$B$4:$B$139, 0), MATCH(CJ$4&amp;CJ$5, LS_current!$D$2:$AY$2&amp;LS_current!$D$3:$AY$3, 0)),SUM(VLOOKUP($A95, LS_current!$B$4:$AY$139, LS_current!Z$149, FALSE), VLOOKUP($A95, LS_current!$B$4:$AY$139,LS_current!Z$149, FALSE))/2)</f>
        <v>0</v>
      </c>
      <c r="CK95" s="382">
        <f t="array" ref="CK95">IF($BI95=0, INDEX(LS_current!$D$4:$AY$139, MATCH('Staging Table'!$A95, LS_current!$B$4:$B$139, 0), MATCH(CK$4&amp;CK$5, LS_current!$D$2:$AY$2&amp;LS_current!$D$3:$AY$3, 0)),SUM(VLOOKUP($A95, LS_current!$B$4:$AY$139, LS_current!AA$149, FALSE), VLOOKUP($A95, LS_current!$B$4:$AY$139,LS_current!AA$149, FALSE))/2)</f>
        <v>0</v>
      </c>
      <c r="CL95" s="384">
        <f t="array" ref="CL95">INDEX(Demand_current!$D$4:$AY$138, MATCH($A95, Demand_current!$B$4:$B$138, 0), MATCH(CL$4&amp;CL$5,Demand_current!$D$2:$AY$2&amp;Demand_current!$D$3:$AY$3, 0))/1000</f>
        <v>0</v>
      </c>
      <c r="CM95" s="384">
        <f t="array" ref="CM95">INDEX(Demand_current!$D$4:$AY$138, MATCH($A95, Demand_current!$B$4:$B$138, 0), MATCH(CM$4&amp;CM$5,Demand_current!$D$2:$AY$2&amp;Demand_current!$D$3:$AY$3, 0))/1000</f>
        <v>0</v>
      </c>
      <c r="CN95" s="384">
        <f t="array" ref="CN95">INDEX(Demand_current!$D$4:$AY$138, MATCH($A95, Demand_current!$B$4:$B$138, 0), MATCH(CN$4&amp;CN$5,Demand_current!$D$2:$AY$2&amp;Demand_current!$D$3:$AY$3, 0))/1000</f>
        <v>0</v>
      </c>
      <c r="CO95" s="384">
        <f t="array" ref="CO95">INDEX(Demand_current!$D$4:$AY$138, MATCH($A95, Demand_current!$B$4:$B$138, 0), MATCH(CO$4&amp;CO$5,Demand_current!$D$2:$AY$2&amp;Demand_current!$D$3:$AY$3, 0))/1000</f>
        <v>0</v>
      </c>
      <c r="CP95" s="384">
        <f t="array" ref="CP95">INDEX(Demand_current!$D$4:$AY$138, MATCH($A95, Demand_current!$B$4:$B$138, 0), MATCH(CP$4&amp;CP$5,Demand_current!$D$2:$AY$2&amp;Demand_current!$D$3:$AY$3, 0))/1000</f>
        <v>0</v>
      </c>
      <c r="CQ95" s="384">
        <f t="array" ref="CQ95">INDEX(Demand_current!$D$4:$AY$138, MATCH($A95, Demand_current!$B$4:$B$138, 0), MATCH(CQ$4&amp;CQ$5,Demand_current!$D$2:$AY$2&amp;Demand_current!$D$3:$AY$3, 0))/1000</f>
        <v>0</v>
      </c>
      <c r="CR95" s="384">
        <f t="array" ref="CR95">INDEX(Demand_current!$D$4:$AY$138, MATCH($A95, Demand_current!$B$4:$B$138, 0), MATCH(CR$4&amp;CR$5,Demand_current!$D$2:$AY$2&amp;Demand_current!$D$3:$AY$3, 0))/1000</f>
        <v>0</v>
      </c>
      <c r="CS95" s="384">
        <f t="array" ref="CS95">INDEX(Demand_current!$D$4:$AY$138, MATCH($A95, Demand_current!$B$4:$B$138, 0), MATCH(CS$4&amp;CS$5,Demand_current!$D$2:$AY$2&amp;Demand_current!$D$3:$AY$3, 0))/1000</f>
        <v>0</v>
      </c>
      <c r="CT95" s="384">
        <f t="array" ref="CT95">INDEX(Demand_current!$D$4:$AY$138, MATCH($A95, Demand_current!$B$4:$B$138, 0), MATCH(CT$4&amp;CT$5,Demand_current!$D$2:$AY$2&amp;Demand_current!$D$3:$AY$3, 0))/1000</f>
        <v>0</v>
      </c>
      <c r="CU95" s="384">
        <f t="array" ref="CU95">INDEX(Demand_current!$D$4:$AY$138, MATCH($A95, Demand_current!$B$4:$B$138, 0), MATCH(CU$4&amp;CU$5,Demand_current!$D$2:$AY$2&amp;Demand_current!$D$3:$AY$3, 0))/1000</f>
        <v>0</v>
      </c>
      <c r="CV95" s="384">
        <f t="array" ref="CV95">INDEX(Demand_current!$D$4:$AY$138, MATCH($A95, Demand_current!$B$4:$B$138, 0), MATCH(CV$4&amp;CV$5,Demand_current!$D$2:$AY$2&amp;Demand_current!$D$3:$AY$3, 0))/1000</f>
        <v>0</v>
      </c>
      <c r="CW95" s="384">
        <f t="array" ref="CW95">INDEX(Demand_current!$D$4:$AY$138, MATCH($A95, Demand_current!$B$4:$B$138, 0), MATCH(CW$4&amp;CW$5,Demand_current!$D$2:$AY$2&amp;Demand_current!$D$3:$AY$3, 0))/1000</f>
        <v>0</v>
      </c>
      <c r="CX95" s="384">
        <f>IF(D95=0,IF(C95=0,MAX(0,DA95 - (VLOOKUP($A95,TOCA_current!$A$2:$AI$137,MATCH("RHWM 2018",TOCA_current!$A$2:$AI$2,0),FALSE)*$BH$2)), 0),0)</f>
        <v>0</v>
      </c>
      <c r="CY95" s="427">
        <f>VLOOKUP($A95,REP_current!$A$1:$D$135,MATCH("FY "&amp;$BH$1&amp; " Total Refund",REP_current!$A$1:$D$1,0),0)</f>
        <v>69748.428674868075</v>
      </c>
      <c r="CZ95" s="432">
        <f>MIN(VLOOKUP($A95,TOCA_current!$A$2:$AI$137,MATCH("TRL - NLSL - Existing Resource "&amp;$BH$1,TOCA_current!$A$2:$AI$2,0),FALSE)*$BH$2, VLOOKUP($A95,TOCA_current!$A$2:$AI$137,MATCH("RHWM 2018",TOCA_current!$A$2:$AI$2,0),FALSE)*$BH$2)</f>
        <v>56274.240000000005</v>
      </c>
      <c r="DA95" s="397">
        <f>SUM(BN95:CK95)+(BH95*RT1SC!$C$4*$BH$2)</f>
        <v>56274.087137999995</v>
      </c>
      <c r="DB95" s="432">
        <f>VLOOKUP($A95,TOCA_current!$A$2:$AI$137,MATCH("Above RHWM Not Served with LS "&amp;$BH$1,TOCA_current!$A$2:$AI$2,0),FALSE)*$BH$2</f>
        <v>1804.56</v>
      </c>
      <c r="DC95" s="401">
        <f t="shared" si="27"/>
        <v>-0.15286200000991812</v>
      </c>
      <c r="DD95" s="397">
        <f>(VLOOKUP($A95,TOCA_current!$A$2:$AI$137,MATCH("RHWM 2018",TOCA_current!$A$2:$AI$2,0),FALSE)*$BH$2) - $CZ95</f>
        <v>0</v>
      </c>
      <c r="DE95" s="397">
        <f t="shared" si="28"/>
        <v>0</v>
      </c>
      <c r="DF95" s="397">
        <f t="shared" si="29"/>
        <v>0</v>
      </c>
      <c r="DG95" s="397">
        <f t="shared" si="30"/>
        <v>0</v>
      </c>
      <c r="DH95" s="397">
        <f t="shared" si="31"/>
        <v>0</v>
      </c>
    </row>
    <row r="96" spans="1:112">
      <c r="A96" s="274">
        <v>10286</v>
      </c>
      <c r="B96" s="275" t="s">
        <v>97</v>
      </c>
      <c r="C96" s="397">
        <v>0</v>
      </c>
      <c r="D96" s="397">
        <v>1</v>
      </c>
      <c r="E96" s="205">
        <f>VLOOKUP($A96,TOCA_previous!$A$2:$AI$137,MATCH(E$4,TOCA_previous!$A$2:$AI$2,0),FALSE)</f>
        <v>6.5104000000000004E-3</v>
      </c>
      <c r="F96" s="206">
        <f>VLOOKUP($A96,TOCA_previous!$A$2:$AI$137,MATCH(F$4,TOCA_previous!$A$2:$AI$2,0),FALSE)</f>
        <v>2.8956000000000003E-3</v>
      </c>
      <c r="G96" s="206">
        <f t="shared" si="16"/>
        <v>3.6148E-3</v>
      </c>
      <c r="H96" s="206">
        <f>VLOOKUP($A96,TOCA_previous!$A$2:$AI$137,MATCH(H$4,TOCA_previous!$A$2:$AI$2,0),FALSE)</f>
        <v>0</v>
      </c>
      <c r="I96" s="206">
        <f t="shared" si="17"/>
        <v>0</v>
      </c>
      <c r="J96" s="206">
        <f t="shared" si="18"/>
        <v>0</v>
      </c>
      <c r="K96" s="381">
        <f>VLOOKUP(A96, IRD!$A$5:$C$139, 3, FALSE)</f>
        <v>55408.151000000005</v>
      </c>
      <c r="L96" s="382">
        <f t="array" ref="L96">IF($G96=0, INDEX(LS_previous!$D$4:$AY$138, MATCH('Staging Table'!$A96, LS_previous!$B$4:$B$138, 0), MATCH(L$4&amp;L$5, LS_previous!$D$2:$AY$2&amp;LS_previous!$D$3:$AY$3, 0)),SUM(VLOOKUP($A96, LS_previous!$B$4:$AY$138, LS_previous!D$149, FALSE), VLOOKUP('Staging Table'!$A96, LS_previous!$B$4:$AY$138,LS_previous!AB$149, FALSE))/2)</f>
        <v>-1001.0254750805179</v>
      </c>
      <c r="M96" s="382">
        <f t="array" ref="M96">IF($G96=0, INDEX(LS_previous!$D$4:$AY$138, MATCH('Staging Table'!$A96, LS_previous!$B$4:$B$138, 0), MATCH(M$4&amp;M$5, LS_previous!$D$2:$AY$2&amp;LS_previous!$D$3:$AY$3, 0)),SUM(VLOOKUP($A96, LS_previous!$B$4:$AY$138, LS_previous!E$149, FALSE), VLOOKUP('Staging Table'!$A96, LS_previous!$B$4:$AY$138,LS_previous!AC$149, FALSE))/2)</f>
        <v>871.50112239051487</v>
      </c>
      <c r="N96" s="382">
        <f t="array" ref="N96">IF($G96=0, INDEX(LS_previous!$D$4:$AY$138, MATCH('Staging Table'!$A96, LS_previous!$B$4:$B$138, 0), MATCH(N$4&amp;N$5, LS_previous!$D$2:$AY$2&amp;LS_previous!$D$3:$AY$3, 0)),SUM(VLOOKUP($A96, LS_previous!$B$4:$AY$138, LS_previous!F$149, FALSE), VLOOKUP('Staging Table'!$A96, LS_previous!$B$4:$AY$138,LS_previous!AD$149, FALSE))/2)</f>
        <v>-2062.2281426880486</v>
      </c>
      <c r="O96" s="382">
        <f t="array" ref="O96">IF($G96=0, INDEX(LS_previous!$D$4:$AY$138, MATCH('Staging Table'!$A96, LS_previous!$B$4:$B$138, 0), MATCH(O$4&amp;O$5, LS_previous!$D$2:$AY$2&amp;LS_previous!$D$3:$AY$3, 0)),SUM(VLOOKUP($A96, LS_previous!$B$4:$AY$138, LS_previous!G$149, FALSE), VLOOKUP('Staging Table'!$A96, LS_previous!$B$4:$AY$138,LS_previous!AE$149, FALSE))/2)</f>
        <v>696.15459025324208</v>
      </c>
      <c r="P96" s="382">
        <f t="array" ref="P96">IF($G96=0, INDEX(LS_previous!$D$4:$AY$138, MATCH('Staging Table'!$A96, LS_previous!$B$4:$B$138, 0), MATCH(P$4&amp;P$5, LS_previous!$D$2:$AY$2&amp;LS_previous!$D$3:$AY$3, 0)),SUM(VLOOKUP($A96, LS_previous!$B$4:$AY$138, LS_previous!H$149, FALSE), VLOOKUP('Staging Table'!$A96, LS_previous!$B$4:$AY$138,LS_previous!AF$149, FALSE))/2)</f>
        <v>1807.2418368423751</v>
      </c>
      <c r="Q96" s="382">
        <f t="array" ref="Q96">IF($G96=0, INDEX(LS_previous!$D$4:$AY$138, MATCH('Staging Table'!$A96, LS_previous!$B$4:$B$138, 0), MATCH(Q$4&amp;Q$5, LS_previous!$D$2:$AY$2&amp;LS_previous!$D$3:$AY$3, 0)),SUM(VLOOKUP($A96, LS_previous!$B$4:$AY$138, LS_previous!I$149, FALSE), VLOOKUP('Staging Table'!$A96, LS_previous!$B$4:$AY$138,LS_previous!AG$149, FALSE))/2)</f>
        <v>3113.4531416527079</v>
      </c>
      <c r="R96" s="382">
        <f t="array" ref="R96">IF($G96=0, INDEX(LS_previous!$D$4:$AY$138, MATCH('Staging Table'!$A96, LS_previous!$B$4:$B$138, 0), MATCH(R$4&amp;R$5, LS_previous!$D$2:$AY$2&amp;LS_previous!$D$3:$AY$3, 0)),SUM(VLOOKUP($A96, LS_previous!$B$4:$AY$138, LS_previous!J$149, FALSE), VLOOKUP('Staging Table'!$A96, LS_previous!$B$4:$AY$138,LS_previous!AH$149, FALSE))/2)</f>
        <v>3839.0975356150193</v>
      </c>
      <c r="S96" s="382">
        <f t="array" ref="S96">IF($G96=0, INDEX(LS_previous!$D$4:$AY$138, MATCH('Staging Table'!$A96, LS_previous!$B$4:$B$138, 0), MATCH(S$4&amp;S$5, LS_previous!$D$2:$AY$2&amp;LS_previous!$D$3:$AY$3, 0)),SUM(VLOOKUP($A96, LS_previous!$B$4:$AY$138, LS_previous!K$149, FALSE), VLOOKUP('Staging Table'!$A96, LS_previous!$B$4:$AY$138,LS_previous!AI$149, FALSE))/2)</f>
        <v>5350.9228125067739</v>
      </c>
      <c r="T96" s="382">
        <f t="array" ref="T96">IF($G96=0, INDEX(LS_previous!$D$4:$AY$138, MATCH('Staging Table'!$A96, LS_previous!$B$4:$B$138, 0), MATCH(T$4&amp;T$5, LS_previous!$D$2:$AY$2&amp;LS_previous!$D$3:$AY$3, 0)),SUM(VLOOKUP($A96, LS_previous!$B$4:$AY$138, LS_previous!L$149, FALSE), VLOOKUP('Staging Table'!$A96, LS_previous!$B$4:$AY$138,LS_previous!AJ$149, FALSE))/2)</f>
        <v>3202.8807134953281</v>
      </c>
      <c r="U96" s="382">
        <f t="array" ref="U96">IF($G96=0, INDEX(LS_previous!$D$4:$AY$138, MATCH('Staging Table'!$A96, LS_previous!$B$4:$B$138, 0), MATCH(U$4&amp;U$5, LS_previous!$D$2:$AY$2&amp;LS_previous!$D$3:$AY$3, 0)),SUM(VLOOKUP($A96, LS_previous!$B$4:$AY$138, LS_previous!M$149, FALSE), VLOOKUP('Staging Table'!$A96, LS_previous!$B$4:$AY$138,LS_previous!AK$149, FALSE))/2)</f>
        <v>3509.3764466961743</v>
      </c>
      <c r="V96" s="382">
        <f t="array" ref="V96">IF($G96=0, INDEX(LS_previous!$D$4:$AY$138, MATCH('Staging Table'!$A96, LS_previous!$B$4:$B$138, 0), MATCH(V$4&amp;V$5, LS_previous!$D$2:$AY$2&amp;LS_previous!$D$3:$AY$3, 0)),SUM(VLOOKUP($A96, LS_previous!$B$4:$AY$138, LS_previous!N$149, FALSE), VLOOKUP('Staging Table'!$A96, LS_previous!$B$4:$AY$138,LS_previous!AL$149, FALSE))/2)</f>
        <v>1872.8684334986574</v>
      </c>
      <c r="W96" s="382">
        <f t="array" ref="W96">IF($G96=0, INDEX(LS_previous!$D$4:$AY$138, MATCH('Staging Table'!$A96, LS_previous!$B$4:$B$138, 0), MATCH(W$4&amp;W$5, LS_previous!$D$2:$AY$2&amp;LS_previous!$D$3:$AY$3, 0)),SUM(VLOOKUP($A96, LS_previous!$B$4:$AY$138, LS_previous!O$149, FALSE), VLOOKUP('Staging Table'!$A96, LS_previous!$B$4:$AY$138,LS_previous!AM$149, FALSE))/2)</f>
        <v>2366.6973358578784</v>
      </c>
      <c r="X96" s="382">
        <f t="array" ref="X96">IF($G96=0, INDEX(LS_previous!$D$4:$AY$138, MATCH('Staging Table'!$A96, LS_previous!$B$4:$B$138, 0), MATCH(X$4&amp;X$5, LS_previous!$D$2:$AY$2&amp;LS_previous!$D$3:$AY$3, 0)),SUM(VLOOKUP($A96, LS_previous!$B$4:$AY$138, LS_previous!P$149, FALSE), VLOOKUP('Staging Table'!$A96, LS_previous!$B$4:$AY$138,LS_previous!AN$149, FALSE))/2)</f>
        <v>-482.53629015777415</v>
      </c>
      <c r="Y96" s="382">
        <f t="array" ref="Y96">IF($G96=0, INDEX(LS_previous!$D$4:$AY$138, MATCH('Staging Table'!$A96, LS_previous!$B$4:$B$138, 0), MATCH(Y$4&amp;Y$5, LS_previous!$D$2:$AY$2&amp;LS_previous!$D$3:$AY$3, 0)),SUM(VLOOKUP($A96, LS_previous!$B$4:$AY$138, LS_previous!Q$149, FALSE), VLOOKUP('Staging Table'!$A96, LS_previous!$B$4:$AY$138,LS_previous!AO$149, FALSE))/2)</f>
        <v>805.72198431460129</v>
      </c>
      <c r="Z96" s="382">
        <f t="array" ref="Z96">IF($G96=0, INDEX(LS_previous!$D$4:$AY$138, MATCH('Staging Table'!$A96, LS_previous!$B$4:$B$138, 0), MATCH(Z$4&amp;Z$5, LS_previous!$D$2:$AY$2&amp;LS_previous!$D$3:$AY$3, 0)),SUM(VLOOKUP($A96, LS_previous!$B$4:$AY$138, LS_previous!R$149, FALSE), VLOOKUP('Staging Table'!$A96, LS_previous!$B$4:$AY$138,LS_previous!AP$149, FALSE))/2)</f>
        <v>-7117.6941095259899</v>
      </c>
      <c r="AA96" s="382">
        <f t="array" ref="AA96">IF($G96=0, INDEX(LS_previous!$D$4:$AY$138, MATCH('Staging Table'!$A96, LS_previous!$B$4:$B$138, 0), MATCH(AA$4&amp;AA$5, LS_previous!$D$2:$AY$2&amp;LS_previous!$D$3:$AY$3, 0)),SUM(VLOOKUP($A96, LS_previous!$B$4:$AY$138, LS_previous!S$149, FALSE), VLOOKUP('Staging Table'!$A96, LS_previous!$B$4:$AY$138,LS_previous!AQ$149, FALSE))/2)</f>
        <v>-2519.4384538464124</v>
      </c>
      <c r="AB96" s="382">
        <f t="array" ref="AB96">IF($G96=0, INDEX(LS_previous!$D$4:$AY$138, MATCH('Staging Table'!$A96, LS_previous!$B$4:$B$138, 0), MATCH(AB$4&amp;AB$5, LS_previous!$D$2:$AY$2&amp;LS_previous!$D$3:$AY$3, 0)),SUM(VLOOKUP($A96, LS_previous!$B$4:$AY$138, LS_previous!T$149, FALSE), VLOOKUP('Staging Table'!$A96, LS_previous!$B$4:$AY$138,LS_previous!AR$149, FALSE))/2)</f>
        <v>-6161.3642474654453</v>
      </c>
      <c r="AC96" s="382">
        <f t="array" ref="AC96">IF($G96=0, INDEX(LS_previous!$D$4:$AY$138, MATCH('Staging Table'!$A96, LS_previous!$B$4:$B$138, 0), MATCH(AC$4&amp;AC$5, LS_previous!$D$2:$AY$2&amp;LS_previous!$D$3:$AY$3, 0)),SUM(VLOOKUP($A96, LS_previous!$B$4:$AY$138, LS_previous!U$149, FALSE), VLOOKUP('Staging Table'!$A96, LS_previous!$B$4:$AY$138,LS_previous!AS$149, FALSE))/2)</f>
        <v>-2845.8420796556334</v>
      </c>
      <c r="AD96" s="382">
        <f t="array" ref="AD96">IF($G96=0, INDEX(LS_previous!$D$4:$AY$138, MATCH('Staging Table'!$A96, LS_previous!$B$4:$B$138, 0), MATCH(AD$4&amp;AD$5, LS_previous!$D$2:$AY$2&amp;LS_previous!$D$3:$AY$3, 0)),SUM(VLOOKUP($A96, LS_previous!$B$4:$AY$138, LS_previous!V$149, FALSE), VLOOKUP('Staging Table'!$A96, LS_previous!$B$4:$AY$138,LS_previous!AT$149, FALSE))/2)</f>
        <v>-1724.1047861154275</v>
      </c>
      <c r="AE96" s="382">
        <f t="array" ref="AE96">IF($G96=0, INDEX(LS_previous!$D$4:$AY$138, MATCH('Staging Table'!$A96, LS_previous!$B$4:$B$138, 0), MATCH(AE$4&amp;AE$5, LS_previous!$D$2:$AY$2&amp;LS_previous!$D$3:$AY$3, 0)),SUM(VLOOKUP($A96, LS_previous!$B$4:$AY$138, LS_previous!W$149, FALSE), VLOOKUP('Staging Table'!$A96, LS_previous!$B$4:$AY$138,LS_previous!AU$149, FALSE))/2)</f>
        <v>1556.0987574236383</v>
      </c>
      <c r="AF96" s="382">
        <f t="array" ref="AF96">IF($G96=0, INDEX(LS_previous!$D$4:$AY$138, MATCH('Staging Table'!$A96, LS_previous!$B$4:$B$138, 0), MATCH(AF$4&amp;AF$5, LS_previous!$D$2:$AY$2&amp;LS_previous!$D$3:$AY$3, 0)),SUM(VLOOKUP($A96, LS_previous!$B$4:$AY$138, LS_previous!X$149, FALSE), VLOOKUP('Staging Table'!$A96, LS_previous!$B$4:$AY$138,LS_previous!AV$149, FALSE))/2)</f>
        <v>-3721.986153167516</v>
      </c>
      <c r="AG96" s="382">
        <f t="array" ref="AG96">IF($G96=0, INDEX(LS_previous!$D$4:$AY$138, MATCH('Staging Table'!$A96, LS_previous!$B$4:$B$138, 0), MATCH(AG$4&amp;AG$5, LS_previous!$D$2:$AY$2&amp;LS_previous!$D$3:$AY$3, 0)),SUM(VLOOKUP($A96, LS_previous!$B$4:$AY$138, LS_previous!Y$149, FALSE), VLOOKUP('Staging Table'!$A96, LS_previous!$B$4:$AY$138,LS_previous!AW$149, FALSE))/2)</f>
        <v>-548.43195851999917</v>
      </c>
      <c r="AH96" s="382">
        <f t="array" ref="AH96">IF($G96=0, INDEX(LS_previous!$D$4:$AY$138, MATCH('Staging Table'!$A96, LS_previous!$B$4:$B$138, 0), MATCH(AH$4&amp;AH$5, LS_previous!$D$2:$AY$2&amp;LS_previous!$D$3:$AY$3, 0)),SUM(VLOOKUP($A96, LS_previous!$B$4:$AY$138, LS_previous!Z$149, FALSE), VLOOKUP('Staging Table'!$A96, LS_previous!$B$4:$AY$138,LS_previous!AX$149, FALSE))/2)</f>
        <v>-1209.2348663958742</v>
      </c>
      <c r="AI96" s="382">
        <f t="array" ref="AI96">IF($G96=0, INDEX(LS_previous!$D$4:$AY$138, MATCH('Staging Table'!$A96, LS_previous!$B$4:$B$138, 0), MATCH(AI$4&amp;AI$5, LS_previous!$D$2:$AY$2&amp;LS_previous!$D$3:$AY$3, 0)),SUM(VLOOKUP($A96, LS_previous!$B$4:$AY$138, LS_previous!AA$149, FALSE), VLOOKUP('Staging Table'!$A96, LS_previous!$B$4:$AY$138,LS_previous!AY$149, FALSE))/2)</f>
        <v>404.70979720576861</v>
      </c>
      <c r="AJ96" s="384">
        <f t="array" ref="AJ96">INDEX(Demand_previous!$D$4:$AY$138, MATCH('Staging Table'!$A96, Demand_previous!$B$4:$B$138, 0), MATCH(AJ$4&amp;AJ$5,Demand_previous!$D$2:$AY$2&amp;Demand_previous!$D$3:$AY$3, 0))/1000</f>
        <v>0</v>
      </c>
      <c r="AK96" s="384">
        <f t="array" ref="AK96">INDEX(Demand_previous!$D$4:$AY$138, MATCH('Staging Table'!$A96, Demand_previous!$B$4:$B$138, 0), MATCH(AK$4&amp;AK$5,Demand_previous!$D$2:$AY$2&amp;Demand_previous!$D$3:$AY$3, 0))/1000</f>
        <v>0</v>
      </c>
      <c r="AL96" s="384">
        <f t="array" ref="AL96">INDEX(Demand_previous!$D$4:$AY$138, MATCH('Staging Table'!$A96, Demand_previous!$B$4:$B$138, 0), MATCH(AL$4&amp;AL$5,Demand_previous!$D$2:$AY$2&amp;Demand_previous!$D$3:$AY$3, 0))/1000</f>
        <v>0</v>
      </c>
      <c r="AM96" s="384">
        <f t="array" ref="AM96">INDEX(Demand_previous!$D$4:$AY$138, MATCH('Staging Table'!$A96, Demand_previous!$B$4:$B$138, 0), MATCH(AM$4&amp;AM$5,Demand_previous!$D$2:$AY$2&amp;Demand_previous!$D$3:$AY$3, 0))/1000</f>
        <v>0</v>
      </c>
      <c r="AN96" s="384">
        <f t="array" ref="AN96">INDEX(Demand_previous!$D$4:$AY$138, MATCH('Staging Table'!$A96, Demand_previous!$B$4:$B$138, 0), MATCH(AN$4&amp;AN$5,Demand_previous!$D$2:$AY$2&amp;Demand_previous!$D$3:$AY$3, 0))/1000</f>
        <v>0</v>
      </c>
      <c r="AO96" s="384">
        <f t="array" ref="AO96">INDEX(Demand_previous!$D$4:$AY$138, MATCH('Staging Table'!$A96, Demand_previous!$B$4:$B$138, 0), MATCH(AO$4&amp;AO$5,Demand_previous!$D$2:$AY$2&amp;Demand_previous!$D$3:$AY$3, 0))/1000</f>
        <v>0</v>
      </c>
      <c r="AP96" s="384">
        <f t="array" ref="AP96">INDEX(Demand_previous!$D$4:$AY$138, MATCH('Staging Table'!$A96, Demand_previous!$B$4:$B$138, 0), MATCH(AP$4&amp;AP$5,Demand_previous!$D$2:$AY$2&amp;Demand_previous!$D$3:$AY$3, 0))/1000</f>
        <v>0</v>
      </c>
      <c r="AQ96" s="384">
        <f t="array" ref="AQ96">INDEX(Demand_previous!$D$4:$AY$138, MATCH('Staging Table'!$A96, Demand_previous!$B$4:$B$138, 0), MATCH(AQ$4&amp;AQ$5,Demand_previous!$D$2:$AY$2&amp;Demand_previous!$D$3:$AY$3, 0))/1000</f>
        <v>0</v>
      </c>
      <c r="AR96" s="384">
        <f t="array" ref="AR96">INDEX(Demand_previous!$D$4:$AY$138, MATCH('Staging Table'!$A96, Demand_previous!$B$4:$B$138, 0), MATCH(AR$4&amp;AR$5,Demand_previous!$D$2:$AY$2&amp;Demand_previous!$D$3:$AY$3, 0))/1000</f>
        <v>0</v>
      </c>
      <c r="AS96" s="384">
        <f t="array" ref="AS96">INDEX(Demand_previous!$D$4:$AY$138, MATCH('Staging Table'!$A96, Demand_previous!$B$4:$B$138, 0), MATCH(AS$4&amp;AS$5,Demand_previous!$D$2:$AY$2&amp;Demand_previous!$D$3:$AY$3, 0))/1000</f>
        <v>0</v>
      </c>
      <c r="AT96" s="384">
        <f t="array" ref="AT96">INDEX(Demand_previous!$D$4:$AY$138, MATCH('Staging Table'!$A96, Demand_previous!$B$4:$B$138, 0), MATCH(AT$4&amp;AT$5,Demand_previous!$D$2:$AY$2&amp;Demand_previous!$D$3:$AY$3, 0))/1000</f>
        <v>0</v>
      </c>
      <c r="AU96" s="384">
        <f t="array" ref="AU96">INDEX(Demand_previous!$D$4:$AY$138, MATCH('Staging Table'!$A96, Demand_previous!$B$4:$B$138, 0), MATCH(AU$4&amp;AU$5,Demand_previous!$D$2:$AY$2&amp;Demand_previous!$D$3:$AY$3, 0))/1000</f>
        <v>0</v>
      </c>
      <c r="AV96" s="384">
        <f>IF($D96=0,IF(C96=0, MAX(AY96 - (VLOOKUP($A96,TOCA_previous!$A$2:$AI$137,MATCH("RHWM 2016",TOCA_previous!$A$2:$AI$2,0),FALSE)*$F$2*TOCA_previous!C93),0),0), 0)</f>
        <v>0</v>
      </c>
      <c r="AW96" s="427">
        <f>VLOOKUP($A96,REP_previous!$A$1:$D$135,MATCH("FY "&amp;$F$1&amp; " Total Refund",REP_previous!$A$1:$D$1,0),0)</f>
        <v>556740.24778852775</v>
      </c>
      <c r="AX96" s="398">
        <f>MIN(VLOOKUP($A96,TOCA_previous!$A$2:$AI$137,MATCH("TRL - NLSL - Exisiting Resource "&amp;$F$1,TOCA_previous!$A$2:$AI$2,0),FALSE)*$F$2,(VLOOKUP($A96,TOCA_previous!$A$2:$AI$137,MATCH("RHWM 2016",TOCA_previous!$A$2:$AI$2,0),FALSE)*$F$2))</f>
        <v>399346.99200000003</v>
      </c>
      <c r="AY96" s="384">
        <f>SUM(L96:AI96)+(F96*RT1SC!$C$3*$F$2)</f>
        <v>177617.25855911805</v>
      </c>
      <c r="AZ96" s="398">
        <f>VLOOKUP($A96,TOCA_previous!$A$2:$AI$137,MATCH("Above RHWM Not Served with LS "&amp;$F$1,TOCA_previous!$A$2:$AI$2,0),FALSE)*$F$2</f>
        <v>61356.240000000005</v>
      </c>
      <c r="BA96" s="206">
        <f t="shared" si="19"/>
        <v>-221729.73344088197</v>
      </c>
      <c r="BB96" s="399">
        <f>(VLOOKUP($A96,TOCA_previous!$A$2:$AI$137,MATCH("RHWM 2016",TOCA_previous!$A$2:$AI$2,0),FALSE)*$F$2) - $AX96</f>
        <v>0</v>
      </c>
      <c r="BC96" s="206">
        <f t="shared" si="20"/>
        <v>0</v>
      </c>
      <c r="BD96" s="400">
        <f t="shared" si="21"/>
        <v>160373.49344088195</v>
      </c>
      <c r="BE96" s="392">
        <f t="shared" si="22"/>
        <v>0</v>
      </c>
      <c r="BF96" s="399">
        <f t="shared" si="23"/>
        <v>0</v>
      </c>
      <c r="BG96" s="206">
        <f>VLOOKUP($A96,TOCA_current!$A$2:$AI$137,MATCH(BG$4,TOCA_current!$A$2:$AI$2,0),FALSE)</f>
        <v>6.5047000000000004E-3</v>
      </c>
      <c r="BH96" s="206">
        <f>VLOOKUP($A96,TOCA_current!$A$2:$AI$137,MATCH(BH$4,TOCA_current!$A$2:$AI$2,0),FALSE)</f>
        <v>2.8930000000000006E-3</v>
      </c>
      <c r="BI96" s="391">
        <f t="shared" si="24"/>
        <v>3.6116999999999998E-3</v>
      </c>
      <c r="BJ96" s="206">
        <f>VLOOKUP($A96,TOCA_current!A92:BG227,MATCH(BJ$4,TOCA_current!$A$2:$BG$2,0),FALSE)</f>
        <v>0</v>
      </c>
      <c r="BK96" s="206">
        <f t="shared" si="25"/>
        <v>0</v>
      </c>
      <c r="BL96" s="206">
        <f t="shared" si="26"/>
        <v>0</v>
      </c>
      <c r="BM96" s="381">
        <f>VLOOKUP($A96,IRD!$A$4:$G$139, 7, FALSE)</f>
        <v>55408.151000000005</v>
      </c>
      <c r="BN96" s="382">
        <f t="array" ref="BN96">IF($BI96=0, INDEX(LS_current!$D$4:$AY$139, MATCH('Staging Table'!$A96, LS_current!$B$4:$B$139, 0), MATCH(BN$4&amp;BN$5, LS_current!$D$2:$AY$2&amp;LS_current!$D$3:$AY$3, 0)),SUM(VLOOKUP($A96, LS_current!$B$4:$AY$139, LS_current!D$149, FALSE), VLOOKUP($A96, LS_current!$B$4:$AY$139,LS_current!D$149, FALSE))/2)</f>
        <v>-1334.7347159768269</v>
      </c>
      <c r="BO96" s="382">
        <f t="array" ref="BO96">IF($BI96=0, INDEX(LS_current!$D$4:$AY$139, MATCH('Staging Table'!$A96, LS_current!$B$4:$B$139, 0), MATCH(BO$4&amp;BO$5, LS_current!$D$2:$AY$2&amp;LS_current!$D$3:$AY$3, 0)),SUM(VLOOKUP($A96, LS_current!$B$4:$AY$139, LS_current!E$149, FALSE), VLOOKUP($A96, LS_current!$B$4:$AY$139,LS_current!E$149, FALSE))/2)</f>
        <v>1161.9270693839999</v>
      </c>
      <c r="BP96" s="382">
        <f t="array" ref="BP96">IF($BI96=0, INDEX(LS_current!$D$4:$AY$139, MATCH('Staging Table'!$A96, LS_current!$B$4:$B$139, 0), MATCH(BP$4&amp;BP$5, LS_current!$D$2:$AY$2&amp;LS_current!$D$3:$AY$3, 0)),SUM(VLOOKUP($A96, LS_current!$B$4:$AY$139, LS_current!F$149, FALSE), VLOOKUP($A96, LS_current!$B$4:$AY$139,LS_current!F$149, FALSE))/2)</f>
        <v>-2163.8659457284484</v>
      </c>
      <c r="BQ96" s="382">
        <f t="array" ref="BQ96">IF($BI96=0, INDEX(LS_current!$D$4:$AY$139, MATCH('Staging Table'!$A96, LS_current!$B$4:$B$139, 0), MATCH(BQ$4&amp;BQ$5, LS_current!$D$2:$AY$2&amp;LS_current!$D$3:$AY$3, 0)),SUM(VLOOKUP($A96, LS_current!$B$4:$AY$139, LS_current!G$149, FALSE), VLOOKUP($A96, LS_current!$B$4:$AY$139,LS_current!G$149, FALSE))/2)</f>
        <v>539.79467455799931</v>
      </c>
      <c r="BR96" s="382">
        <f t="array" ref="BR96">IF($BI96=0, INDEX(LS_current!$D$4:$AY$139, MATCH('Staging Table'!$A96, LS_current!$B$4:$B$139, 0), MATCH(BR$4&amp;BR$5, LS_current!$D$2:$AY$2&amp;LS_current!$D$3:$AY$3, 0)),SUM(VLOOKUP($A96, LS_current!$B$4:$AY$139, LS_current!H$149, FALSE), VLOOKUP($A96, LS_current!$B$4:$AY$139,LS_current!H$149, FALSE))/2)</f>
        <v>881.60948445291615</v>
      </c>
      <c r="BS96" s="382">
        <f t="array" ref="BS96">IF($BI96=0, INDEX(LS_current!$D$4:$AY$139, MATCH('Staging Table'!$A96, LS_current!$B$4:$B$139, 0), MATCH(BS$4&amp;BS$5, LS_current!$D$2:$AY$2&amp;LS_current!$D$3:$AY$3, 0)),SUM(VLOOKUP($A96, LS_current!$B$4:$AY$139, LS_current!I$149, FALSE), VLOOKUP($A96, LS_current!$B$4:$AY$139,LS_current!I$149, FALSE))/2)</f>
        <v>3386.6476983495986</v>
      </c>
      <c r="BT96" s="382">
        <f t="array" ref="BT96">IF($BI96=0, INDEX(LS_current!$D$4:$AY$139, MATCH('Staging Table'!$A96, LS_current!$B$4:$B$139, 0), MATCH(BT$4&amp;BT$5, LS_current!$D$2:$AY$2&amp;LS_current!$D$3:$AY$3, 0)),SUM(VLOOKUP($A96, LS_current!$B$4:$AY$139, LS_current!J$149, FALSE), VLOOKUP($A96, LS_current!$B$4:$AY$139,LS_current!J$149, FALSE))/2)</f>
        <v>4152.5726242837336</v>
      </c>
      <c r="BU96" s="382">
        <f t="array" ref="BU96">IF($BI96=0, INDEX(LS_current!$D$4:$AY$139, MATCH('Staging Table'!$A96, LS_current!$B$4:$B$139, 0), MATCH(BU$4&amp;BU$5, LS_current!$D$2:$AY$2&amp;LS_current!$D$3:$AY$3, 0)),SUM(VLOOKUP($A96, LS_current!$B$4:$AY$139, LS_current!K$149, FALSE), VLOOKUP($A96, LS_current!$B$4:$AY$139,LS_current!K$149, FALSE))/2)</f>
        <v>4759.2879238583828</v>
      </c>
      <c r="BV96" s="382">
        <f t="array" ref="BV96">IF($BI96=0, INDEX(LS_current!$D$4:$AY$139, MATCH('Staging Table'!$A96, LS_current!$B$4:$B$139, 0), MATCH(BV$4&amp;BV$5, LS_current!$D$2:$AY$2&amp;LS_current!$D$3:$AY$3, 0)),SUM(VLOOKUP($A96, LS_current!$B$4:$AY$139, LS_current!L$149, FALSE), VLOOKUP($A96, LS_current!$B$4:$AY$139,LS_current!L$149, FALSE))/2)</f>
        <v>3423.2491997895049</v>
      </c>
      <c r="BW96" s="382">
        <f t="array" ref="BW96">IF($BI96=0, INDEX(LS_current!$D$4:$AY$139, MATCH('Staging Table'!$A96, LS_current!$B$4:$B$139, 0), MATCH(BW$4&amp;BW$5, LS_current!$D$2:$AY$2&amp;LS_current!$D$3:$AY$3, 0)),SUM(VLOOKUP($A96, LS_current!$B$4:$AY$139, LS_current!M$149, FALSE), VLOOKUP($A96, LS_current!$B$4:$AY$139,LS_current!M$149, FALSE))/2)</f>
        <v>3790.7415564219737</v>
      </c>
      <c r="BX96" s="382">
        <f t="array" ref="BX96">IF($BI96=0, INDEX(LS_current!$D$4:$AY$139, MATCH('Staging Table'!$A96, LS_current!$B$4:$B$139, 0), MATCH(BX$4&amp;BX$5, LS_current!$D$2:$AY$2&amp;LS_current!$D$3:$AY$3, 0)),SUM(VLOOKUP($A96, LS_current!$B$4:$AY$139, LS_current!N$149, FALSE), VLOOKUP($A96, LS_current!$B$4:$AY$139,LS_current!N$149, FALSE))/2)</f>
        <v>2113.5362443173672</v>
      </c>
      <c r="BY96" s="382">
        <f t="array" ref="BY96">IF($BI96=0, INDEX(LS_current!$D$4:$AY$139, MATCH('Staging Table'!$A96, LS_current!$B$4:$B$139, 0), MATCH(BY$4&amp;BY$5, LS_current!$D$2:$AY$2&amp;LS_current!$D$3:$AY$3, 0)),SUM(VLOOKUP($A96, LS_current!$B$4:$AY$139, LS_current!O$149, FALSE), VLOOKUP($A96, LS_current!$B$4:$AY$139,LS_current!O$149, FALSE))/2)</f>
        <v>2725.1062351232958</v>
      </c>
      <c r="BZ96" s="382">
        <f t="array" ref="BZ96">IF($BI96=0, INDEX(LS_current!$D$4:$AY$139, MATCH('Staging Table'!$A96, LS_current!$B$4:$B$139, 0), MATCH(BZ$4&amp;BZ$5, LS_current!$D$2:$AY$2&amp;LS_current!$D$3:$AY$3, 0)),SUM(VLOOKUP($A96, LS_current!$B$4:$AY$139, LS_current!P$149, FALSE), VLOOKUP($A96, LS_current!$B$4:$AY$139,LS_current!P$149, FALSE))/2)</f>
        <v>-1690.6856659440327</v>
      </c>
      <c r="CA96" s="382">
        <f t="array" ref="CA96">IF($BI96=0, INDEX(LS_current!$D$4:$AY$139, MATCH('Staging Table'!$A96, LS_current!$B$4:$B$139, 0), MATCH(CA$4&amp;CA$5, LS_current!$D$2:$AY$2&amp;LS_current!$D$3:$AY$3, 0)),SUM(VLOOKUP($A96, LS_current!$B$4:$AY$139, LS_current!Q$149, FALSE), VLOOKUP($A96, LS_current!$B$4:$AY$139,LS_current!Q$149, FALSE))/2)</f>
        <v>728.04801358479835</v>
      </c>
      <c r="CB96" s="382">
        <f t="array" ref="CB96">IF($BI96=0, INDEX(LS_current!$D$4:$AY$139, MATCH('Staging Table'!$A96, LS_current!$B$4:$B$139, 0), MATCH(CB$4&amp;CB$5, LS_current!$D$2:$AY$2&amp;LS_current!$D$3:$AY$3, 0)),SUM(VLOOKUP($A96, LS_current!$B$4:$AY$139, LS_current!R$149, FALSE), VLOOKUP($A96, LS_current!$B$4:$AY$139,LS_current!R$149, FALSE))/2)</f>
        <v>-6940.0597587794418</v>
      </c>
      <c r="CC96" s="382">
        <f t="array" ref="CC96">IF($BI96=0, INDEX(LS_current!$D$4:$AY$139, MATCH('Staging Table'!$A96, LS_current!$B$4:$B$139, 0), MATCH(CC$4&amp;CC$5, LS_current!$D$2:$AY$2&amp;LS_current!$D$3:$AY$3, 0)),SUM(VLOOKUP($A96, LS_current!$B$4:$AY$139, LS_current!S$149, FALSE), VLOOKUP($A96, LS_current!$B$4:$AY$139,LS_current!S$149, FALSE))/2)</f>
        <v>-2761.876741143029</v>
      </c>
      <c r="CD96" s="382">
        <f t="array" ref="CD96">IF($BI96=0, INDEX(LS_current!$D$4:$AY$139, MATCH('Staging Table'!$A96, LS_current!$B$4:$B$139, 0), MATCH(CD$4&amp;CD$5, LS_current!$D$2:$AY$2&amp;LS_current!$D$3:$AY$3, 0)),SUM(VLOOKUP($A96, LS_current!$B$4:$AY$139, LS_current!T$149, FALSE), VLOOKUP($A96, LS_current!$B$4:$AY$139,LS_current!T$149, FALSE))/2)</f>
        <v>-6255.6948720551209</v>
      </c>
      <c r="CE96" s="382">
        <f t="array" ref="CE96">IF($BI96=0, INDEX(LS_current!$D$4:$AY$139, MATCH('Staging Table'!$A96, LS_current!$B$4:$B$139, 0), MATCH(CE$4&amp;CE$5, LS_current!$D$2:$AY$2&amp;LS_current!$D$3:$AY$3, 0)),SUM(VLOOKUP($A96, LS_current!$B$4:$AY$139, LS_current!U$149, FALSE), VLOOKUP($A96, LS_current!$B$4:$AY$139,LS_current!U$149, FALSE))/2)</f>
        <v>-2549.8289670002641</v>
      </c>
      <c r="CF96" s="382">
        <f t="array" ref="CF96">IF($BI96=0, INDEX(LS_current!$D$4:$AY$139, MATCH('Staging Table'!$A96, LS_current!$B$4:$B$139, 0), MATCH(CF$4&amp;CF$5, LS_current!$D$2:$AY$2&amp;LS_current!$D$3:$AY$3, 0)),SUM(VLOOKUP($A96, LS_current!$B$4:$AY$139, LS_current!V$149, FALSE), VLOOKUP($A96, LS_current!$B$4:$AY$139,LS_current!V$149, FALSE))/2)</f>
        <v>-1175.0130113426294</v>
      </c>
      <c r="CG96" s="382">
        <f t="array" ref="CG96">IF($BI96=0, INDEX(LS_current!$D$4:$AY$139, MATCH('Staging Table'!$A96, LS_current!$B$4:$B$139, 0), MATCH(CG$4&amp;CG$5, LS_current!$D$2:$AY$2&amp;LS_current!$D$3:$AY$3, 0)),SUM(VLOOKUP($A96, LS_current!$B$4:$AY$139, LS_current!W$149, FALSE), VLOOKUP($A96, LS_current!$B$4:$AY$139,LS_current!W$149, FALSE))/2)</f>
        <v>1889.0400821032845</v>
      </c>
      <c r="CH96" s="382">
        <f t="array" ref="CH96">IF($BI96=0, INDEX(LS_current!$D$4:$AY$139, MATCH('Staging Table'!$A96, LS_current!$B$4:$B$139, 0), MATCH(CH$4&amp;CH$5, LS_current!$D$2:$AY$2&amp;LS_current!$D$3:$AY$3, 0)),SUM(VLOOKUP($A96, LS_current!$B$4:$AY$139, LS_current!X$149, FALSE), VLOOKUP($A96, LS_current!$B$4:$AY$139,LS_current!X$149, FALSE))/2)</f>
        <v>-3897.0232488826259</v>
      </c>
      <c r="CI96" s="382">
        <f t="array" ref="CI96">IF($BI96=0, INDEX(LS_current!$D$4:$AY$139, MATCH('Staging Table'!$A96, LS_current!$B$4:$B$139, 0), MATCH(CI$4&amp;CI$5, LS_current!$D$2:$AY$2&amp;LS_current!$D$3:$AY$3, 0)),SUM(VLOOKUP($A96, LS_current!$B$4:$AY$139, LS_current!Y$149, FALSE), VLOOKUP($A96, LS_current!$B$4:$AY$139,LS_current!Y$149, FALSE))/2)</f>
        <v>-552.3490211277167</v>
      </c>
      <c r="CJ96" s="382">
        <f t="array" ref="CJ96">IF($BI96=0, INDEX(LS_current!$D$4:$AY$139, MATCH('Staging Table'!$A96, LS_current!$B$4:$B$139, 0), MATCH(CJ$4&amp;CJ$5, LS_current!$D$2:$AY$2&amp;LS_current!$D$3:$AY$3, 0)),SUM(VLOOKUP($A96, LS_current!$B$4:$AY$139, LS_current!Z$149, FALSE), VLOOKUP($A96, LS_current!$B$4:$AY$139,LS_current!Z$149, FALSE))/2)</f>
        <v>-2464.9067411302294</v>
      </c>
      <c r="CK96" s="382">
        <f t="array" ref="CK96">IF($BI96=0, INDEX(LS_current!$D$4:$AY$139, MATCH('Staging Table'!$A96, LS_current!$B$4:$B$139, 0), MATCH(CK$4&amp;CK$5, LS_current!$D$2:$AY$2&amp;LS_current!$D$3:$AY$3, 0)),SUM(VLOOKUP($A96, LS_current!$B$4:$AY$139, LS_current!AA$149, FALSE), VLOOKUP($A96, LS_current!$B$4:$AY$139,LS_current!AA$149, FALSE))/2)</f>
        <v>517.47062330587414</v>
      </c>
      <c r="CL96" s="384">
        <f t="array" ref="CL96">INDEX(Demand_current!$D$4:$AY$138, MATCH($A96, Demand_current!$B$4:$B$138, 0), MATCH(CL$4&amp;CL$5,Demand_current!$D$2:$AY$2&amp;Demand_current!$D$3:$AY$3, 0))/1000</f>
        <v>0</v>
      </c>
      <c r="CM96" s="384">
        <f t="array" ref="CM96">INDEX(Demand_current!$D$4:$AY$138, MATCH($A96, Demand_current!$B$4:$B$138, 0), MATCH(CM$4&amp;CM$5,Demand_current!$D$2:$AY$2&amp;Demand_current!$D$3:$AY$3, 0))/1000</f>
        <v>0</v>
      </c>
      <c r="CN96" s="384">
        <f t="array" ref="CN96">INDEX(Demand_current!$D$4:$AY$138, MATCH($A96, Demand_current!$B$4:$B$138, 0), MATCH(CN$4&amp;CN$5,Demand_current!$D$2:$AY$2&amp;Demand_current!$D$3:$AY$3, 0))/1000</f>
        <v>0</v>
      </c>
      <c r="CO96" s="384">
        <f t="array" ref="CO96">INDEX(Demand_current!$D$4:$AY$138, MATCH($A96, Demand_current!$B$4:$B$138, 0), MATCH(CO$4&amp;CO$5,Demand_current!$D$2:$AY$2&amp;Demand_current!$D$3:$AY$3, 0))/1000</f>
        <v>0</v>
      </c>
      <c r="CP96" s="384">
        <f t="array" ref="CP96">INDEX(Demand_current!$D$4:$AY$138, MATCH($A96, Demand_current!$B$4:$B$138, 0), MATCH(CP$4&amp;CP$5,Demand_current!$D$2:$AY$2&amp;Demand_current!$D$3:$AY$3, 0))/1000</f>
        <v>0</v>
      </c>
      <c r="CQ96" s="384">
        <f t="array" ref="CQ96">INDEX(Demand_current!$D$4:$AY$138, MATCH($A96, Demand_current!$B$4:$B$138, 0), MATCH(CQ$4&amp;CQ$5,Demand_current!$D$2:$AY$2&amp;Demand_current!$D$3:$AY$3, 0))/1000</f>
        <v>0</v>
      </c>
      <c r="CR96" s="384">
        <f t="array" ref="CR96">INDEX(Demand_current!$D$4:$AY$138, MATCH($A96, Demand_current!$B$4:$B$138, 0), MATCH(CR$4&amp;CR$5,Demand_current!$D$2:$AY$2&amp;Demand_current!$D$3:$AY$3, 0))/1000</f>
        <v>0</v>
      </c>
      <c r="CS96" s="384">
        <f t="array" ref="CS96">INDEX(Demand_current!$D$4:$AY$138, MATCH($A96, Demand_current!$B$4:$B$138, 0), MATCH(CS$4&amp;CS$5,Demand_current!$D$2:$AY$2&amp;Demand_current!$D$3:$AY$3, 0))/1000</f>
        <v>0</v>
      </c>
      <c r="CT96" s="384">
        <f t="array" ref="CT96">INDEX(Demand_current!$D$4:$AY$138, MATCH($A96, Demand_current!$B$4:$B$138, 0), MATCH(CT$4&amp;CT$5,Demand_current!$D$2:$AY$2&amp;Demand_current!$D$3:$AY$3, 0))/1000</f>
        <v>0</v>
      </c>
      <c r="CU96" s="384">
        <f t="array" ref="CU96">INDEX(Demand_current!$D$4:$AY$138, MATCH($A96, Demand_current!$B$4:$B$138, 0), MATCH(CU$4&amp;CU$5,Demand_current!$D$2:$AY$2&amp;Demand_current!$D$3:$AY$3, 0))/1000</f>
        <v>0</v>
      </c>
      <c r="CV96" s="384">
        <f t="array" ref="CV96">INDEX(Demand_current!$D$4:$AY$138, MATCH($A96, Demand_current!$B$4:$B$138, 0), MATCH(CV$4&amp;CV$5,Demand_current!$D$2:$AY$2&amp;Demand_current!$D$3:$AY$3, 0))/1000</f>
        <v>0</v>
      </c>
      <c r="CW96" s="384">
        <f t="array" ref="CW96">INDEX(Demand_current!$D$4:$AY$138, MATCH($A96, Demand_current!$B$4:$B$138, 0), MATCH(CW$4&amp;CW$5,Demand_current!$D$2:$AY$2&amp;Demand_current!$D$3:$AY$3, 0))/1000</f>
        <v>0</v>
      </c>
      <c r="CX96" s="384">
        <f>IF(D96=0,IF(C96=0,MAX(0,DA96 - (VLOOKUP($A96,TOCA_current!$A$2:$AI$137,MATCH("RHWM 2018",TOCA_current!$A$2:$AI$2,0),FALSE)*$BH$2)), 0),0)</f>
        <v>0</v>
      </c>
      <c r="CY96" s="427">
        <f>VLOOKUP($A96,REP_current!$A$1:$D$135,MATCH("FY "&amp;$BH$1&amp; " Total Refund",REP_current!$A$1:$D$1,0),0)</f>
        <v>560468.65613070945</v>
      </c>
      <c r="CZ96" s="432">
        <f>MIN(VLOOKUP($A96,TOCA_current!$A$2:$AI$137,MATCH("TRL - NLSL - Existing Resource "&amp;$BH$1,TOCA_current!$A$2:$AI$2,0),FALSE)*$BH$2, VLOOKUP($A96,TOCA_current!$A$2:$AI$137,MATCH("RHWM 2018",TOCA_current!$A$2:$AI$2,0),FALSE)*$BH$2)</f>
        <v>395724.24</v>
      </c>
      <c r="DA96" s="397">
        <f>SUM(BN96:CK96)+(BH96*RT1SC!$C$4*$BH$2)</f>
        <v>174284.00256770238</v>
      </c>
      <c r="DB96" s="432">
        <f>VLOOKUP($A96,TOCA_current!$A$2:$AI$137,MATCH("Above RHWM Not Served with LS "&amp;$BH$1,TOCA_current!$A$2:$AI$2,0),FALSE)*$BH$2</f>
        <v>52516.200000000004</v>
      </c>
      <c r="DC96" s="401">
        <f t="shared" si="27"/>
        <v>-221440.23743229761</v>
      </c>
      <c r="DD96" s="397">
        <f>(VLOOKUP($A96,TOCA_current!$A$2:$AI$137,MATCH("RHWM 2018",TOCA_current!$A$2:$AI$2,0),FALSE)*$BH$2) - $CZ96</f>
        <v>0</v>
      </c>
      <c r="DE96" s="397">
        <f t="shared" si="28"/>
        <v>0</v>
      </c>
      <c r="DF96" s="397">
        <f t="shared" si="29"/>
        <v>168924.0374322976</v>
      </c>
      <c r="DG96" s="397">
        <f t="shared" si="30"/>
        <v>0</v>
      </c>
      <c r="DH96" s="397">
        <f t="shared" si="31"/>
        <v>0</v>
      </c>
    </row>
    <row r="97" spans="1:112">
      <c r="A97" s="274">
        <v>10288</v>
      </c>
      <c r="B97" s="275" t="s">
        <v>98</v>
      </c>
      <c r="C97" s="397">
        <v>1</v>
      </c>
      <c r="D97" s="397">
        <v>0</v>
      </c>
      <c r="E97" s="205">
        <f>VLOOKUP($A97,TOCA_previous!$A$2:$AI$137,MATCH(E$4,TOCA_previous!$A$2:$AI$2,0),FALSE)</f>
        <v>3.5075000000000002E-3</v>
      </c>
      <c r="F97" s="206">
        <f>VLOOKUP($A97,TOCA_previous!$A$2:$AI$137,MATCH(F$4,TOCA_previous!$A$2:$AI$2,0),FALSE)</f>
        <v>3.5075000000000002E-3</v>
      </c>
      <c r="G97" s="206">
        <f t="shared" si="16"/>
        <v>0</v>
      </c>
      <c r="H97" s="206">
        <f>VLOOKUP($A97,TOCA_previous!$A$2:$AI$137,MATCH(H$4,TOCA_previous!$A$2:$AI$2,0),FALSE)</f>
        <v>5.0200000000000002E-2</v>
      </c>
      <c r="I97" s="206">
        <f t="shared" si="17"/>
        <v>5.0200000000000002E-2</v>
      </c>
      <c r="J97" s="206">
        <f t="shared" si="18"/>
        <v>3.5075000000000002E-3</v>
      </c>
      <c r="K97" s="381">
        <f>VLOOKUP(A97, IRD!$A$5:$C$139, 3, FALSE)</f>
        <v>0</v>
      </c>
      <c r="L97" s="382">
        <f t="array" ref="L97">IF($G97=0, INDEX(LS_previous!$D$4:$AY$138, MATCH('Staging Table'!$A97, LS_previous!$B$4:$B$138, 0), MATCH(L$4&amp;L$5, LS_previous!$D$2:$AY$2&amp;LS_previous!$D$3:$AY$3, 0)),SUM(VLOOKUP($A97, LS_previous!$B$4:$AY$138, LS_previous!D$149, FALSE), VLOOKUP('Staging Table'!$A97, LS_previous!$B$4:$AY$138,LS_previous!AB$149, FALSE))/2)</f>
        <v>0</v>
      </c>
      <c r="M97" s="382">
        <f t="array" ref="M97">IF($G97=0, INDEX(LS_previous!$D$4:$AY$138, MATCH('Staging Table'!$A97, LS_previous!$B$4:$B$138, 0), MATCH(M$4&amp;M$5, LS_previous!$D$2:$AY$2&amp;LS_previous!$D$3:$AY$3, 0)),SUM(VLOOKUP($A97, LS_previous!$B$4:$AY$138, LS_previous!E$149, FALSE), VLOOKUP('Staging Table'!$A97, LS_previous!$B$4:$AY$138,LS_previous!AC$149, FALSE))/2)</f>
        <v>0</v>
      </c>
      <c r="N97" s="382">
        <f t="array" ref="N97">IF($G97=0, INDEX(LS_previous!$D$4:$AY$138, MATCH('Staging Table'!$A97, LS_previous!$B$4:$B$138, 0), MATCH(N$4&amp;N$5, LS_previous!$D$2:$AY$2&amp;LS_previous!$D$3:$AY$3, 0)),SUM(VLOOKUP($A97, LS_previous!$B$4:$AY$138, LS_previous!F$149, FALSE), VLOOKUP('Staging Table'!$A97, LS_previous!$B$4:$AY$138,LS_previous!AD$149, FALSE))/2)</f>
        <v>0</v>
      </c>
      <c r="O97" s="382">
        <f t="array" ref="O97">IF($G97=0, INDEX(LS_previous!$D$4:$AY$138, MATCH('Staging Table'!$A97, LS_previous!$B$4:$B$138, 0), MATCH(O$4&amp;O$5, LS_previous!$D$2:$AY$2&amp;LS_previous!$D$3:$AY$3, 0)),SUM(VLOOKUP($A97, LS_previous!$B$4:$AY$138, LS_previous!G$149, FALSE), VLOOKUP('Staging Table'!$A97, LS_previous!$B$4:$AY$138,LS_previous!AE$149, FALSE))/2)</f>
        <v>0</v>
      </c>
      <c r="P97" s="382">
        <f t="array" ref="P97">IF($G97=0, INDEX(LS_previous!$D$4:$AY$138, MATCH('Staging Table'!$A97, LS_previous!$B$4:$B$138, 0), MATCH(P$4&amp;P$5, LS_previous!$D$2:$AY$2&amp;LS_previous!$D$3:$AY$3, 0)),SUM(VLOOKUP($A97, LS_previous!$B$4:$AY$138, LS_previous!H$149, FALSE), VLOOKUP('Staging Table'!$A97, LS_previous!$B$4:$AY$138,LS_previous!AF$149, FALSE))/2)</f>
        <v>0</v>
      </c>
      <c r="Q97" s="382">
        <f t="array" ref="Q97">IF($G97=0, INDEX(LS_previous!$D$4:$AY$138, MATCH('Staging Table'!$A97, LS_previous!$B$4:$B$138, 0), MATCH(Q$4&amp;Q$5, LS_previous!$D$2:$AY$2&amp;LS_previous!$D$3:$AY$3, 0)),SUM(VLOOKUP($A97, LS_previous!$B$4:$AY$138, LS_previous!I$149, FALSE), VLOOKUP('Staging Table'!$A97, LS_previous!$B$4:$AY$138,LS_previous!AG$149, FALSE))/2)</f>
        <v>0</v>
      </c>
      <c r="R97" s="382">
        <f t="array" ref="R97">IF($G97=0, INDEX(LS_previous!$D$4:$AY$138, MATCH('Staging Table'!$A97, LS_previous!$B$4:$B$138, 0), MATCH(R$4&amp;R$5, LS_previous!$D$2:$AY$2&amp;LS_previous!$D$3:$AY$3, 0)),SUM(VLOOKUP($A97, LS_previous!$B$4:$AY$138, LS_previous!J$149, FALSE), VLOOKUP('Staging Table'!$A97, LS_previous!$B$4:$AY$138,LS_previous!AH$149, FALSE))/2)</f>
        <v>0</v>
      </c>
      <c r="S97" s="382">
        <f t="array" ref="S97">IF($G97=0, INDEX(LS_previous!$D$4:$AY$138, MATCH('Staging Table'!$A97, LS_previous!$B$4:$B$138, 0), MATCH(S$4&amp;S$5, LS_previous!$D$2:$AY$2&amp;LS_previous!$D$3:$AY$3, 0)),SUM(VLOOKUP($A97, LS_previous!$B$4:$AY$138, LS_previous!K$149, FALSE), VLOOKUP('Staging Table'!$A97, LS_previous!$B$4:$AY$138,LS_previous!AI$149, FALSE))/2)</f>
        <v>0</v>
      </c>
      <c r="T97" s="382">
        <f t="array" ref="T97">IF($G97=0, INDEX(LS_previous!$D$4:$AY$138, MATCH('Staging Table'!$A97, LS_previous!$B$4:$B$138, 0), MATCH(T$4&amp;T$5, LS_previous!$D$2:$AY$2&amp;LS_previous!$D$3:$AY$3, 0)),SUM(VLOOKUP($A97, LS_previous!$B$4:$AY$138, LS_previous!L$149, FALSE), VLOOKUP('Staging Table'!$A97, LS_previous!$B$4:$AY$138,LS_previous!AJ$149, FALSE))/2)</f>
        <v>0</v>
      </c>
      <c r="U97" s="382">
        <f t="array" ref="U97">IF($G97=0, INDEX(LS_previous!$D$4:$AY$138, MATCH('Staging Table'!$A97, LS_previous!$B$4:$B$138, 0), MATCH(U$4&amp;U$5, LS_previous!$D$2:$AY$2&amp;LS_previous!$D$3:$AY$3, 0)),SUM(VLOOKUP($A97, LS_previous!$B$4:$AY$138, LS_previous!M$149, FALSE), VLOOKUP('Staging Table'!$A97, LS_previous!$B$4:$AY$138,LS_previous!AK$149, FALSE))/2)</f>
        <v>0</v>
      </c>
      <c r="V97" s="382">
        <f t="array" ref="V97">IF($G97=0, INDEX(LS_previous!$D$4:$AY$138, MATCH('Staging Table'!$A97, LS_previous!$B$4:$B$138, 0), MATCH(V$4&amp;V$5, LS_previous!$D$2:$AY$2&amp;LS_previous!$D$3:$AY$3, 0)),SUM(VLOOKUP($A97, LS_previous!$B$4:$AY$138, LS_previous!N$149, FALSE), VLOOKUP('Staging Table'!$A97, LS_previous!$B$4:$AY$138,LS_previous!AL$149, FALSE))/2)</f>
        <v>0</v>
      </c>
      <c r="W97" s="382">
        <f t="array" ref="W97">IF($G97=0, INDEX(LS_previous!$D$4:$AY$138, MATCH('Staging Table'!$A97, LS_previous!$B$4:$B$138, 0), MATCH(W$4&amp;W$5, LS_previous!$D$2:$AY$2&amp;LS_previous!$D$3:$AY$3, 0)),SUM(VLOOKUP($A97, LS_previous!$B$4:$AY$138, LS_previous!O$149, FALSE), VLOOKUP('Staging Table'!$A97, LS_previous!$B$4:$AY$138,LS_previous!AM$149, FALSE))/2)</f>
        <v>0</v>
      </c>
      <c r="X97" s="382">
        <f t="array" ref="X97">IF($G97=0, INDEX(LS_previous!$D$4:$AY$138, MATCH('Staging Table'!$A97, LS_previous!$B$4:$B$138, 0), MATCH(X$4&amp;X$5, LS_previous!$D$2:$AY$2&amp;LS_previous!$D$3:$AY$3, 0)),SUM(VLOOKUP($A97, LS_previous!$B$4:$AY$138, LS_previous!P$149, FALSE), VLOOKUP('Staging Table'!$A97, LS_previous!$B$4:$AY$138,LS_previous!AN$149, FALSE))/2)</f>
        <v>0</v>
      </c>
      <c r="Y97" s="382">
        <f t="array" ref="Y97">IF($G97=0, INDEX(LS_previous!$D$4:$AY$138, MATCH('Staging Table'!$A97, LS_previous!$B$4:$B$138, 0), MATCH(Y$4&amp;Y$5, LS_previous!$D$2:$AY$2&amp;LS_previous!$D$3:$AY$3, 0)),SUM(VLOOKUP($A97, LS_previous!$B$4:$AY$138, LS_previous!Q$149, FALSE), VLOOKUP('Staging Table'!$A97, LS_previous!$B$4:$AY$138,LS_previous!AO$149, FALSE))/2)</f>
        <v>0</v>
      </c>
      <c r="Z97" s="382">
        <f t="array" ref="Z97">IF($G97=0, INDEX(LS_previous!$D$4:$AY$138, MATCH('Staging Table'!$A97, LS_previous!$B$4:$B$138, 0), MATCH(Z$4&amp;Z$5, LS_previous!$D$2:$AY$2&amp;LS_previous!$D$3:$AY$3, 0)),SUM(VLOOKUP($A97, LS_previous!$B$4:$AY$138, LS_previous!R$149, FALSE), VLOOKUP('Staging Table'!$A97, LS_previous!$B$4:$AY$138,LS_previous!AP$149, FALSE))/2)</f>
        <v>0</v>
      </c>
      <c r="AA97" s="382">
        <f t="array" ref="AA97">IF($G97=0, INDEX(LS_previous!$D$4:$AY$138, MATCH('Staging Table'!$A97, LS_previous!$B$4:$B$138, 0), MATCH(AA$4&amp;AA$5, LS_previous!$D$2:$AY$2&amp;LS_previous!$D$3:$AY$3, 0)),SUM(VLOOKUP($A97, LS_previous!$B$4:$AY$138, LS_previous!S$149, FALSE), VLOOKUP('Staging Table'!$A97, LS_previous!$B$4:$AY$138,LS_previous!AQ$149, FALSE))/2)</f>
        <v>0</v>
      </c>
      <c r="AB97" s="382">
        <f t="array" ref="AB97">IF($G97=0, INDEX(LS_previous!$D$4:$AY$138, MATCH('Staging Table'!$A97, LS_previous!$B$4:$B$138, 0), MATCH(AB$4&amp;AB$5, LS_previous!$D$2:$AY$2&amp;LS_previous!$D$3:$AY$3, 0)),SUM(VLOOKUP($A97, LS_previous!$B$4:$AY$138, LS_previous!T$149, FALSE), VLOOKUP('Staging Table'!$A97, LS_previous!$B$4:$AY$138,LS_previous!AR$149, FALSE))/2)</f>
        <v>0</v>
      </c>
      <c r="AC97" s="382">
        <f t="array" ref="AC97">IF($G97=0, INDEX(LS_previous!$D$4:$AY$138, MATCH('Staging Table'!$A97, LS_previous!$B$4:$B$138, 0), MATCH(AC$4&amp;AC$5, LS_previous!$D$2:$AY$2&amp;LS_previous!$D$3:$AY$3, 0)),SUM(VLOOKUP($A97, LS_previous!$B$4:$AY$138, LS_previous!U$149, FALSE), VLOOKUP('Staging Table'!$A97, LS_previous!$B$4:$AY$138,LS_previous!AS$149, FALSE))/2)</f>
        <v>0</v>
      </c>
      <c r="AD97" s="382">
        <f t="array" ref="AD97">IF($G97=0, INDEX(LS_previous!$D$4:$AY$138, MATCH('Staging Table'!$A97, LS_previous!$B$4:$B$138, 0), MATCH(AD$4&amp;AD$5, LS_previous!$D$2:$AY$2&amp;LS_previous!$D$3:$AY$3, 0)),SUM(VLOOKUP($A97, LS_previous!$B$4:$AY$138, LS_previous!V$149, FALSE), VLOOKUP('Staging Table'!$A97, LS_previous!$B$4:$AY$138,LS_previous!AT$149, FALSE))/2)</f>
        <v>0</v>
      </c>
      <c r="AE97" s="382">
        <f t="array" ref="AE97">IF($G97=0, INDEX(LS_previous!$D$4:$AY$138, MATCH('Staging Table'!$A97, LS_previous!$B$4:$B$138, 0), MATCH(AE$4&amp;AE$5, LS_previous!$D$2:$AY$2&amp;LS_previous!$D$3:$AY$3, 0)),SUM(VLOOKUP($A97, LS_previous!$B$4:$AY$138, LS_previous!W$149, FALSE), VLOOKUP('Staging Table'!$A97, LS_previous!$B$4:$AY$138,LS_previous!AU$149, FALSE))/2)</f>
        <v>0</v>
      </c>
      <c r="AF97" s="382">
        <f t="array" ref="AF97">IF($G97=0, INDEX(LS_previous!$D$4:$AY$138, MATCH('Staging Table'!$A97, LS_previous!$B$4:$B$138, 0), MATCH(AF$4&amp;AF$5, LS_previous!$D$2:$AY$2&amp;LS_previous!$D$3:$AY$3, 0)),SUM(VLOOKUP($A97, LS_previous!$B$4:$AY$138, LS_previous!X$149, FALSE), VLOOKUP('Staging Table'!$A97, LS_previous!$B$4:$AY$138,LS_previous!AV$149, FALSE))/2)</f>
        <v>0</v>
      </c>
      <c r="AG97" s="382">
        <f t="array" ref="AG97">IF($G97=0, INDEX(LS_previous!$D$4:$AY$138, MATCH('Staging Table'!$A97, LS_previous!$B$4:$B$138, 0), MATCH(AG$4&amp;AG$5, LS_previous!$D$2:$AY$2&amp;LS_previous!$D$3:$AY$3, 0)),SUM(VLOOKUP($A97, LS_previous!$B$4:$AY$138, LS_previous!Y$149, FALSE), VLOOKUP('Staging Table'!$A97, LS_previous!$B$4:$AY$138,LS_previous!AW$149, FALSE))/2)</f>
        <v>0</v>
      </c>
      <c r="AH97" s="382">
        <f t="array" ref="AH97">IF($G97=0, INDEX(LS_previous!$D$4:$AY$138, MATCH('Staging Table'!$A97, LS_previous!$B$4:$B$138, 0), MATCH(AH$4&amp;AH$5, LS_previous!$D$2:$AY$2&amp;LS_previous!$D$3:$AY$3, 0)),SUM(VLOOKUP($A97, LS_previous!$B$4:$AY$138, LS_previous!Z$149, FALSE), VLOOKUP('Staging Table'!$A97, LS_previous!$B$4:$AY$138,LS_previous!AX$149, FALSE))/2)</f>
        <v>0</v>
      </c>
      <c r="AI97" s="382">
        <f t="array" ref="AI97">IF($G97=0, INDEX(LS_previous!$D$4:$AY$138, MATCH('Staging Table'!$A97, LS_previous!$B$4:$B$138, 0), MATCH(AI$4&amp;AI$5, LS_previous!$D$2:$AY$2&amp;LS_previous!$D$3:$AY$3, 0)),SUM(VLOOKUP($A97, LS_previous!$B$4:$AY$138, LS_previous!AA$149, FALSE), VLOOKUP('Staging Table'!$A97, LS_previous!$B$4:$AY$138,LS_previous!AY$149, FALSE))/2)</f>
        <v>0</v>
      </c>
      <c r="AJ97" s="384">
        <f t="array" ref="AJ97">INDEX(Demand_previous!$D$4:$AY$138, MATCH('Staging Table'!$A97, Demand_previous!$B$4:$B$138, 0), MATCH(AJ$4&amp;AJ$5,Demand_previous!$D$2:$AY$2&amp;Demand_previous!$D$3:$AY$3, 0))/1000</f>
        <v>0</v>
      </c>
      <c r="AK97" s="384">
        <f t="array" ref="AK97">INDEX(Demand_previous!$D$4:$AY$138, MATCH('Staging Table'!$A97, Demand_previous!$B$4:$B$138, 0), MATCH(AK$4&amp;AK$5,Demand_previous!$D$2:$AY$2&amp;Demand_previous!$D$3:$AY$3, 0))/1000</f>
        <v>0</v>
      </c>
      <c r="AL97" s="384">
        <f t="array" ref="AL97">INDEX(Demand_previous!$D$4:$AY$138, MATCH('Staging Table'!$A97, Demand_previous!$B$4:$B$138, 0), MATCH(AL$4&amp;AL$5,Demand_previous!$D$2:$AY$2&amp;Demand_previous!$D$3:$AY$3, 0))/1000</f>
        <v>0</v>
      </c>
      <c r="AM97" s="384">
        <f t="array" ref="AM97">INDEX(Demand_previous!$D$4:$AY$138, MATCH('Staging Table'!$A97, Demand_previous!$B$4:$B$138, 0), MATCH(AM$4&amp;AM$5,Demand_previous!$D$2:$AY$2&amp;Demand_previous!$D$3:$AY$3, 0))/1000</f>
        <v>0</v>
      </c>
      <c r="AN97" s="384">
        <f t="array" ref="AN97">INDEX(Demand_previous!$D$4:$AY$138, MATCH('Staging Table'!$A97, Demand_previous!$B$4:$B$138, 0), MATCH(AN$4&amp;AN$5,Demand_previous!$D$2:$AY$2&amp;Demand_previous!$D$3:$AY$3, 0))/1000</f>
        <v>0</v>
      </c>
      <c r="AO97" s="384">
        <f t="array" ref="AO97">INDEX(Demand_previous!$D$4:$AY$138, MATCH('Staging Table'!$A97, Demand_previous!$B$4:$B$138, 0), MATCH(AO$4&amp;AO$5,Demand_previous!$D$2:$AY$2&amp;Demand_previous!$D$3:$AY$3, 0))/1000</f>
        <v>0</v>
      </c>
      <c r="AP97" s="384">
        <f t="array" ref="AP97">INDEX(Demand_previous!$D$4:$AY$138, MATCH('Staging Table'!$A97, Demand_previous!$B$4:$B$138, 0), MATCH(AP$4&amp;AP$5,Demand_previous!$D$2:$AY$2&amp;Demand_previous!$D$3:$AY$3, 0))/1000</f>
        <v>0</v>
      </c>
      <c r="AQ97" s="384">
        <f t="array" ref="AQ97">INDEX(Demand_previous!$D$4:$AY$138, MATCH('Staging Table'!$A97, Demand_previous!$B$4:$B$138, 0), MATCH(AQ$4&amp;AQ$5,Demand_previous!$D$2:$AY$2&amp;Demand_previous!$D$3:$AY$3, 0))/1000</f>
        <v>0</v>
      </c>
      <c r="AR97" s="384">
        <f t="array" ref="AR97">INDEX(Demand_previous!$D$4:$AY$138, MATCH('Staging Table'!$A97, Demand_previous!$B$4:$B$138, 0), MATCH(AR$4&amp;AR$5,Demand_previous!$D$2:$AY$2&amp;Demand_previous!$D$3:$AY$3, 0))/1000</f>
        <v>0</v>
      </c>
      <c r="AS97" s="384">
        <f t="array" ref="AS97">INDEX(Demand_previous!$D$4:$AY$138, MATCH('Staging Table'!$A97, Demand_previous!$B$4:$B$138, 0), MATCH(AS$4&amp;AS$5,Demand_previous!$D$2:$AY$2&amp;Demand_previous!$D$3:$AY$3, 0))/1000</f>
        <v>0</v>
      </c>
      <c r="AT97" s="384">
        <f t="array" ref="AT97">INDEX(Demand_previous!$D$4:$AY$138, MATCH('Staging Table'!$A97, Demand_previous!$B$4:$B$138, 0), MATCH(AT$4&amp;AT$5,Demand_previous!$D$2:$AY$2&amp;Demand_previous!$D$3:$AY$3, 0))/1000</f>
        <v>0</v>
      </c>
      <c r="AU97" s="384">
        <f t="array" ref="AU97">INDEX(Demand_previous!$D$4:$AY$138, MATCH('Staging Table'!$A97, Demand_previous!$B$4:$B$138, 0), MATCH(AU$4&amp;AU$5,Demand_previous!$D$2:$AY$2&amp;Demand_previous!$D$3:$AY$3, 0))/1000</f>
        <v>0</v>
      </c>
      <c r="AV97" s="384">
        <f>IF($D97=0,IF(C97=0, MAX(AY97 - (VLOOKUP($A97,TOCA_previous!$A$2:$AI$137,MATCH("RHWM 2016",TOCA_previous!$A$2:$AI$2,0),FALSE)*$F$2*TOCA_previous!C94),0),0), 0)</f>
        <v>0</v>
      </c>
      <c r="AW97" s="427">
        <f>VLOOKUP($A97,REP_previous!$A$1:$D$135,MATCH("FY "&amp;$F$1&amp; " Total Refund",REP_previous!$A$1:$D$1,0),0)</f>
        <v>137002.67012067369</v>
      </c>
      <c r="AX97" s="398">
        <f>MIN(VLOOKUP($A97,TOCA_previous!$A$2:$AI$137,MATCH("TRL - NLSL - Exisiting Resource "&amp;$F$1,TOCA_previous!$A$2:$AI$2,0),FALSE)*$F$2,(VLOOKUP($A97,TOCA_previous!$A$2:$AI$137,MATCH("RHWM 2016",TOCA_previous!$A$2:$AI$2,0),FALSE)*$F$2))</f>
        <v>215146.51199999999</v>
      </c>
      <c r="AY97" s="384">
        <f>SUM(L97:AI97)+(F97*RT1SC!$C$3*$F$2)</f>
        <v>215148.01087980001</v>
      </c>
      <c r="AZ97" s="398">
        <f>VLOOKUP($A97,TOCA_previous!$A$2:$AI$137,MATCH("Above RHWM Not Served with LS "&amp;$F$1,TOCA_previous!$A$2:$AI$2,0),FALSE)*$F$2</f>
        <v>852.048</v>
      </c>
      <c r="BA97" s="206">
        <f t="shared" si="19"/>
        <v>1.4988798000267707</v>
      </c>
      <c r="BB97" s="399">
        <f>(VLOOKUP($A97,TOCA_previous!$A$2:$AI$137,MATCH("RHWM 2016",TOCA_previous!$A$2:$AI$2,0),FALSE)*$F$2) - $AX97</f>
        <v>0</v>
      </c>
      <c r="BC97" s="206">
        <f t="shared" si="20"/>
        <v>0</v>
      </c>
      <c r="BD97" s="400">
        <f t="shared" si="21"/>
        <v>0</v>
      </c>
      <c r="BE97" s="392">
        <f t="shared" si="22"/>
        <v>0</v>
      </c>
      <c r="BF97" s="399">
        <f t="shared" si="23"/>
        <v>0</v>
      </c>
      <c r="BG97" s="206">
        <f>VLOOKUP($A97,TOCA_current!$A$2:$AI$137,MATCH(BG$4,TOCA_current!$A$2:$AI$2,0),FALSE)</f>
        <v>3.5043000000000001E-3</v>
      </c>
      <c r="BH97" s="206">
        <f>VLOOKUP($A97,TOCA_current!$A$2:$AI$137,MATCH(BH$4,TOCA_current!$A$2:$AI$2,0),FALSE)</f>
        <v>3.5043000000000001E-3</v>
      </c>
      <c r="BI97" s="391">
        <f t="shared" si="24"/>
        <v>0</v>
      </c>
      <c r="BJ97" s="206">
        <f>VLOOKUP($A97,TOCA_current!A93:BG228,MATCH(BJ$4,TOCA_current!$A$2:$BG$2,0),FALSE)</f>
        <v>5.6100587582693019E-2</v>
      </c>
      <c r="BK97" s="206">
        <f t="shared" si="25"/>
        <v>5.6100587582693019E-2</v>
      </c>
      <c r="BL97" s="206">
        <f t="shared" si="26"/>
        <v>3.5043000000000001E-3</v>
      </c>
      <c r="BM97" s="381">
        <f>VLOOKUP($A97,IRD!$A$4:$G$139, 7, FALSE)</f>
        <v>0</v>
      </c>
      <c r="BN97" s="382">
        <f t="array" ref="BN97">IF($BI97=0, INDEX(LS_current!$D$4:$AY$139, MATCH('Staging Table'!$A97, LS_current!$B$4:$B$139, 0), MATCH(BN$4&amp;BN$5, LS_current!$D$2:$AY$2&amp;LS_current!$D$3:$AY$3, 0)),SUM(VLOOKUP($A97, LS_current!$B$4:$AY$139, LS_current!D$149, FALSE), VLOOKUP($A97, LS_current!$B$4:$AY$139,LS_current!D$149, FALSE))/2)</f>
        <v>0</v>
      </c>
      <c r="BO97" s="382">
        <f t="array" ref="BO97">IF($BI97=0, INDEX(LS_current!$D$4:$AY$139, MATCH('Staging Table'!$A97, LS_current!$B$4:$B$139, 0), MATCH(BO$4&amp;BO$5, LS_current!$D$2:$AY$2&amp;LS_current!$D$3:$AY$3, 0)),SUM(VLOOKUP($A97, LS_current!$B$4:$AY$139, LS_current!E$149, FALSE), VLOOKUP($A97, LS_current!$B$4:$AY$139,LS_current!E$149, FALSE))/2)</f>
        <v>0</v>
      </c>
      <c r="BP97" s="382">
        <f t="array" ref="BP97">IF($BI97=0, INDEX(LS_current!$D$4:$AY$139, MATCH('Staging Table'!$A97, LS_current!$B$4:$B$139, 0), MATCH(BP$4&amp;BP$5, LS_current!$D$2:$AY$2&amp;LS_current!$D$3:$AY$3, 0)),SUM(VLOOKUP($A97, LS_current!$B$4:$AY$139, LS_current!F$149, FALSE), VLOOKUP($A97, LS_current!$B$4:$AY$139,LS_current!F$149, FALSE))/2)</f>
        <v>0</v>
      </c>
      <c r="BQ97" s="382">
        <f t="array" ref="BQ97">IF($BI97=0, INDEX(LS_current!$D$4:$AY$139, MATCH('Staging Table'!$A97, LS_current!$B$4:$B$139, 0), MATCH(BQ$4&amp;BQ$5, LS_current!$D$2:$AY$2&amp;LS_current!$D$3:$AY$3, 0)),SUM(VLOOKUP($A97, LS_current!$B$4:$AY$139, LS_current!G$149, FALSE), VLOOKUP($A97, LS_current!$B$4:$AY$139,LS_current!G$149, FALSE))/2)</f>
        <v>0</v>
      </c>
      <c r="BR97" s="382">
        <f t="array" ref="BR97">IF($BI97=0, INDEX(LS_current!$D$4:$AY$139, MATCH('Staging Table'!$A97, LS_current!$B$4:$B$139, 0), MATCH(BR$4&amp;BR$5, LS_current!$D$2:$AY$2&amp;LS_current!$D$3:$AY$3, 0)),SUM(VLOOKUP($A97, LS_current!$B$4:$AY$139, LS_current!H$149, FALSE), VLOOKUP($A97, LS_current!$B$4:$AY$139,LS_current!H$149, FALSE))/2)</f>
        <v>0</v>
      </c>
      <c r="BS97" s="382">
        <f t="array" ref="BS97">IF($BI97=0, INDEX(LS_current!$D$4:$AY$139, MATCH('Staging Table'!$A97, LS_current!$B$4:$B$139, 0), MATCH(BS$4&amp;BS$5, LS_current!$D$2:$AY$2&amp;LS_current!$D$3:$AY$3, 0)),SUM(VLOOKUP($A97, LS_current!$B$4:$AY$139, LS_current!I$149, FALSE), VLOOKUP($A97, LS_current!$B$4:$AY$139,LS_current!I$149, FALSE))/2)</f>
        <v>0</v>
      </c>
      <c r="BT97" s="382">
        <f t="array" ref="BT97">IF($BI97=0, INDEX(LS_current!$D$4:$AY$139, MATCH('Staging Table'!$A97, LS_current!$B$4:$B$139, 0), MATCH(BT$4&amp;BT$5, LS_current!$D$2:$AY$2&amp;LS_current!$D$3:$AY$3, 0)),SUM(VLOOKUP($A97, LS_current!$B$4:$AY$139, LS_current!J$149, FALSE), VLOOKUP($A97, LS_current!$B$4:$AY$139,LS_current!J$149, FALSE))/2)</f>
        <v>0</v>
      </c>
      <c r="BU97" s="382">
        <f t="array" ref="BU97">IF($BI97=0, INDEX(LS_current!$D$4:$AY$139, MATCH('Staging Table'!$A97, LS_current!$B$4:$B$139, 0), MATCH(BU$4&amp;BU$5, LS_current!$D$2:$AY$2&amp;LS_current!$D$3:$AY$3, 0)),SUM(VLOOKUP($A97, LS_current!$B$4:$AY$139, LS_current!K$149, FALSE), VLOOKUP($A97, LS_current!$B$4:$AY$139,LS_current!K$149, FALSE))/2)</f>
        <v>0</v>
      </c>
      <c r="BV97" s="382">
        <f t="array" ref="BV97">IF($BI97=0, INDEX(LS_current!$D$4:$AY$139, MATCH('Staging Table'!$A97, LS_current!$B$4:$B$139, 0), MATCH(BV$4&amp;BV$5, LS_current!$D$2:$AY$2&amp;LS_current!$D$3:$AY$3, 0)),SUM(VLOOKUP($A97, LS_current!$B$4:$AY$139, LS_current!L$149, FALSE), VLOOKUP($A97, LS_current!$B$4:$AY$139,LS_current!L$149, FALSE))/2)</f>
        <v>0</v>
      </c>
      <c r="BW97" s="382">
        <f t="array" ref="BW97">IF($BI97=0, INDEX(LS_current!$D$4:$AY$139, MATCH('Staging Table'!$A97, LS_current!$B$4:$B$139, 0), MATCH(BW$4&amp;BW$5, LS_current!$D$2:$AY$2&amp;LS_current!$D$3:$AY$3, 0)),SUM(VLOOKUP($A97, LS_current!$B$4:$AY$139, LS_current!M$149, FALSE), VLOOKUP($A97, LS_current!$B$4:$AY$139,LS_current!M$149, FALSE))/2)</f>
        <v>0</v>
      </c>
      <c r="BX97" s="382">
        <f t="array" ref="BX97">IF($BI97=0, INDEX(LS_current!$D$4:$AY$139, MATCH('Staging Table'!$A97, LS_current!$B$4:$B$139, 0), MATCH(BX$4&amp;BX$5, LS_current!$D$2:$AY$2&amp;LS_current!$D$3:$AY$3, 0)),SUM(VLOOKUP($A97, LS_current!$B$4:$AY$139, LS_current!N$149, FALSE), VLOOKUP($A97, LS_current!$B$4:$AY$139,LS_current!N$149, FALSE))/2)</f>
        <v>0</v>
      </c>
      <c r="BY97" s="382">
        <f t="array" ref="BY97">IF($BI97=0, INDEX(LS_current!$D$4:$AY$139, MATCH('Staging Table'!$A97, LS_current!$B$4:$B$139, 0), MATCH(BY$4&amp;BY$5, LS_current!$D$2:$AY$2&amp;LS_current!$D$3:$AY$3, 0)),SUM(VLOOKUP($A97, LS_current!$B$4:$AY$139, LS_current!O$149, FALSE), VLOOKUP($A97, LS_current!$B$4:$AY$139,LS_current!O$149, FALSE))/2)</f>
        <v>0</v>
      </c>
      <c r="BZ97" s="382">
        <f t="array" ref="BZ97">IF($BI97=0, INDEX(LS_current!$D$4:$AY$139, MATCH('Staging Table'!$A97, LS_current!$B$4:$B$139, 0), MATCH(BZ$4&amp;BZ$5, LS_current!$D$2:$AY$2&amp;LS_current!$D$3:$AY$3, 0)),SUM(VLOOKUP($A97, LS_current!$B$4:$AY$139, LS_current!P$149, FALSE), VLOOKUP($A97, LS_current!$B$4:$AY$139,LS_current!P$149, FALSE))/2)</f>
        <v>0</v>
      </c>
      <c r="CA97" s="382">
        <f t="array" ref="CA97">IF($BI97=0, INDEX(LS_current!$D$4:$AY$139, MATCH('Staging Table'!$A97, LS_current!$B$4:$B$139, 0), MATCH(CA$4&amp;CA$5, LS_current!$D$2:$AY$2&amp;LS_current!$D$3:$AY$3, 0)),SUM(VLOOKUP($A97, LS_current!$B$4:$AY$139, LS_current!Q$149, FALSE), VLOOKUP($A97, LS_current!$B$4:$AY$139,LS_current!Q$149, FALSE))/2)</f>
        <v>0</v>
      </c>
      <c r="CB97" s="382">
        <f t="array" ref="CB97">IF($BI97=0, INDEX(LS_current!$D$4:$AY$139, MATCH('Staging Table'!$A97, LS_current!$B$4:$B$139, 0), MATCH(CB$4&amp;CB$5, LS_current!$D$2:$AY$2&amp;LS_current!$D$3:$AY$3, 0)),SUM(VLOOKUP($A97, LS_current!$B$4:$AY$139, LS_current!R$149, FALSE), VLOOKUP($A97, LS_current!$B$4:$AY$139,LS_current!R$149, FALSE))/2)</f>
        <v>0</v>
      </c>
      <c r="CC97" s="382">
        <f t="array" ref="CC97">IF($BI97=0, INDEX(LS_current!$D$4:$AY$139, MATCH('Staging Table'!$A97, LS_current!$B$4:$B$139, 0), MATCH(CC$4&amp;CC$5, LS_current!$D$2:$AY$2&amp;LS_current!$D$3:$AY$3, 0)),SUM(VLOOKUP($A97, LS_current!$B$4:$AY$139, LS_current!S$149, FALSE), VLOOKUP($A97, LS_current!$B$4:$AY$139,LS_current!S$149, FALSE))/2)</f>
        <v>0</v>
      </c>
      <c r="CD97" s="382">
        <f t="array" ref="CD97">IF($BI97=0, INDEX(LS_current!$D$4:$AY$139, MATCH('Staging Table'!$A97, LS_current!$B$4:$B$139, 0), MATCH(CD$4&amp;CD$5, LS_current!$D$2:$AY$2&amp;LS_current!$D$3:$AY$3, 0)),SUM(VLOOKUP($A97, LS_current!$B$4:$AY$139, LS_current!T$149, FALSE), VLOOKUP($A97, LS_current!$B$4:$AY$139,LS_current!T$149, FALSE))/2)</f>
        <v>0</v>
      </c>
      <c r="CE97" s="382">
        <f t="array" ref="CE97">IF($BI97=0, INDEX(LS_current!$D$4:$AY$139, MATCH('Staging Table'!$A97, LS_current!$B$4:$B$139, 0), MATCH(CE$4&amp;CE$5, LS_current!$D$2:$AY$2&amp;LS_current!$D$3:$AY$3, 0)),SUM(VLOOKUP($A97, LS_current!$B$4:$AY$139, LS_current!U$149, FALSE), VLOOKUP($A97, LS_current!$B$4:$AY$139,LS_current!U$149, FALSE))/2)</f>
        <v>0</v>
      </c>
      <c r="CF97" s="382">
        <f t="array" ref="CF97">IF($BI97=0, INDEX(LS_current!$D$4:$AY$139, MATCH('Staging Table'!$A97, LS_current!$B$4:$B$139, 0), MATCH(CF$4&amp;CF$5, LS_current!$D$2:$AY$2&amp;LS_current!$D$3:$AY$3, 0)),SUM(VLOOKUP($A97, LS_current!$B$4:$AY$139, LS_current!V$149, FALSE), VLOOKUP($A97, LS_current!$B$4:$AY$139,LS_current!V$149, FALSE))/2)</f>
        <v>0</v>
      </c>
      <c r="CG97" s="382">
        <f t="array" ref="CG97">IF($BI97=0, INDEX(LS_current!$D$4:$AY$139, MATCH('Staging Table'!$A97, LS_current!$B$4:$B$139, 0), MATCH(CG$4&amp;CG$5, LS_current!$D$2:$AY$2&amp;LS_current!$D$3:$AY$3, 0)),SUM(VLOOKUP($A97, LS_current!$B$4:$AY$139, LS_current!W$149, FALSE), VLOOKUP($A97, LS_current!$B$4:$AY$139,LS_current!W$149, FALSE))/2)</f>
        <v>0</v>
      </c>
      <c r="CH97" s="382">
        <f t="array" ref="CH97">IF($BI97=0, INDEX(LS_current!$D$4:$AY$139, MATCH('Staging Table'!$A97, LS_current!$B$4:$B$139, 0), MATCH(CH$4&amp;CH$5, LS_current!$D$2:$AY$2&amp;LS_current!$D$3:$AY$3, 0)),SUM(VLOOKUP($A97, LS_current!$B$4:$AY$139, LS_current!X$149, FALSE), VLOOKUP($A97, LS_current!$B$4:$AY$139,LS_current!X$149, FALSE))/2)</f>
        <v>0</v>
      </c>
      <c r="CI97" s="382">
        <f t="array" ref="CI97">IF($BI97=0, INDEX(LS_current!$D$4:$AY$139, MATCH('Staging Table'!$A97, LS_current!$B$4:$B$139, 0), MATCH(CI$4&amp;CI$5, LS_current!$D$2:$AY$2&amp;LS_current!$D$3:$AY$3, 0)),SUM(VLOOKUP($A97, LS_current!$B$4:$AY$139, LS_current!Y$149, FALSE), VLOOKUP($A97, LS_current!$B$4:$AY$139,LS_current!Y$149, FALSE))/2)</f>
        <v>0</v>
      </c>
      <c r="CJ97" s="382">
        <f t="array" ref="CJ97">IF($BI97=0, INDEX(LS_current!$D$4:$AY$139, MATCH('Staging Table'!$A97, LS_current!$B$4:$B$139, 0), MATCH(CJ$4&amp;CJ$5, LS_current!$D$2:$AY$2&amp;LS_current!$D$3:$AY$3, 0)),SUM(VLOOKUP($A97, LS_current!$B$4:$AY$139, LS_current!Z$149, FALSE), VLOOKUP($A97, LS_current!$B$4:$AY$139,LS_current!Z$149, FALSE))/2)</f>
        <v>0</v>
      </c>
      <c r="CK97" s="382">
        <f t="array" ref="CK97">IF($BI97=0, INDEX(LS_current!$D$4:$AY$139, MATCH('Staging Table'!$A97, LS_current!$B$4:$B$139, 0), MATCH(CK$4&amp;CK$5, LS_current!$D$2:$AY$2&amp;LS_current!$D$3:$AY$3, 0)),SUM(VLOOKUP($A97, LS_current!$B$4:$AY$139, LS_current!AA$149, FALSE), VLOOKUP($A97, LS_current!$B$4:$AY$139,LS_current!AA$149, FALSE))/2)</f>
        <v>0</v>
      </c>
      <c r="CL97" s="384">
        <f t="array" ref="CL97">INDEX(Demand_current!$D$4:$AY$138, MATCH($A97, Demand_current!$B$4:$B$138, 0), MATCH(CL$4&amp;CL$5,Demand_current!$D$2:$AY$2&amp;Demand_current!$D$3:$AY$3, 0))/1000</f>
        <v>0</v>
      </c>
      <c r="CM97" s="384">
        <f t="array" ref="CM97">INDEX(Demand_current!$D$4:$AY$138, MATCH($A97, Demand_current!$B$4:$B$138, 0), MATCH(CM$4&amp;CM$5,Demand_current!$D$2:$AY$2&amp;Demand_current!$D$3:$AY$3, 0))/1000</f>
        <v>0</v>
      </c>
      <c r="CN97" s="384">
        <f t="array" ref="CN97">INDEX(Demand_current!$D$4:$AY$138, MATCH($A97, Demand_current!$B$4:$B$138, 0), MATCH(CN$4&amp;CN$5,Demand_current!$D$2:$AY$2&amp;Demand_current!$D$3:$AY$3, 0))/1000</f>
        <v>0</v>
      </c>
      <c r="CO97" s="384">
        <f t="array" ref="CO97">INDEX(Demand_current!$D$4:$AY$138, MATCH($A97, Demand_current!$B$4:$B$138, 0), MATCH(CO$4&amp;CO$5,Demand_current!$D$2:$AY$2&amp;Demand_current!$D$3:$AY$3, 0))/1000</f>
        <v>0</v>
      </c>
      <c r="CP97" s="384">
        <f t="array" ref="CP97">INDEX(Demand_current!$D$4:$AY$138, MATCH($A97, Demand_current!$B$4:$B$138, 0), MATCH(CP$4&amp;CP$5,Demand_current!$D$2:$AY$2&amp;Demand_current!$D$3:$AY$3, 0))/1000</f>
        <v>0</v>
      </c>
      <c r="CQ97" s="384">
        <f t="array" ref="CQ97">INDEX(Demand_current!$D$4:$AY$138, MATCH($A97, Demand_current!$B$4:$B$138, 0), MATCH(CQ$4&amp;CQ$5,Demand_current!$D$2:$AY$2&amp;Demand_current!$D$3:$AY$3, 0))/1000</f>
        <v>0</v>
      </c>
      <c r="CR97" s="384">
        <f t="array" ref="CR97">INDEX(Demand_current!$D$4:$AY$138, MATCH($A97, Demand_current!$B$4:$B$138, 0), MATCH(CR$4&amp;CR$5,Demand_current!$D$2:$AY$2&amp;Demand_current!$D$3:$AY$3, 0))/1000</f>
        <v>0</v>
      </c>
      <c r="CS97" s="384">
        <f t="array" ref="CS97">INDEX(Demand_current!$D$4:$AY$138, MATCH($A97, Demand_current!$B$4:$B$138, 0), MATCH(CS$4&amp;CS$5,Demand_current!$D$2:$AY$2&amp;Demand_current!$D$3:$AY$3, 0))/1000</f>
        <v>0</v>
      </c>
      <c r="CT97" s="384">
        <f t="array" ref="CT97">INDEX(Demand_current!$D$4:$AY$138, MATCH($A97, Demand_current!$B$4:$B$138, 0), MATCH(CT$4&amp;CT$5,Demand_current!$D$2:$AY$2&amp;Demand_current!$D$3:$AY$3, 0))/1000</f>
        <v>0</v>
      </c>
      <c r="CU97" s="384">
        <f t="array" ref="CU97">INDEX(Demand_current!$D$4:$AY$138, MATCH($A97, Demand_current!$B$4:$B$138, 0), MATCH(CU$4&amp;CU$5,Demand_current!$D$2:$AY$2&amp;Demand_current!$D$3:$AY$3, 0))/1000</f>
        <v>0</v>
      </c>
      <c r="CV97" s="384">
        <f t="array" ref="CV97">INDEX(Demand_current!$D$4:$AY$138, MATCH($A97, Demand_current!$B$4:$B$138, 0), MATCH(CV$4&amp;CV$5,Demand_current!$D$2:$AY$2&amp;Demand_current!$D$3:$AY$3, 0))/1000</f>
        <v>0</v>
      </c>
      <c r="CW97" s="384">
        <f t="array" ref="CW97">INDEX(Demand_current!$D$4:$AY$138, MATCH($A97, Demand_current!$B$4:$B$138, 0), MATCH(CW$4&amp;CW$5,Demand_current!$D$2:$AY$2&amp;Demand_current!$D$3:$AY$3, 0))/1000</f>
        <v>0</v>
      </c>
      <c r="CX97" s="384">
        <f>IF(D97=0,IF(C97=0,MAX(0,DA97 - (VLOOKUP($A97,TOCA_current!$A$2:$AI$137,MATCH("RHWM 2018",TOCA_current!$A$2:$AI$2,0),FALSE)*$BH$2)), 0),0)</f>
        <v>0</v>
      </c>
      <c r="CY97" s="427">
        <f>VLOOKUP($A97,REP_current!$A$1:$D$135,MATCH("FY "&amp;$BH$1&amp; " Total Refund",REP_current!$A$1:$D$1,0),0)</f>
        <v>139006.2414335362</v>
      </c>
      <c r="CZ97" s="432">
        <f>MIN(VLOOKUP($A97,TOCA_current!$A$2:$AI$137,MATCH("TRL - NLSL - Existing Resource "&amp;$BH$1,TOCA_current!$A$2:$AI$2,0),FALSE)*$BH$2, VLOOKUP($A97,TOCA_current!$A$2:$AI$137,MATCH("RHWM 2018",TOCA_current!$A$2:$AI$2,0),FALSE)*$BH$2)</f>
        <v>213192.12</v>
      </c>
      <c r="DA97" s="397">
        <f>SUM(BN97:CK97)+(BH97*RT1SC!$C$4*$BH$2)</f>
        <v>213190.57681912801</v>
      </c>
      <c r="DB97" s="432">
        <f>VLOOKUP($A97,TOCA_current!$A$2:$AI$137,MATCH("Above RHWM Not Served with LS "&amp;$BH$1,TOCA_current!$A$2:$AI$2,0),FALSE)*$BH$2</f>
        <v>4266.12</v>
      </c>
      <c r="DC97" s="401">
        <f t="shared" si="27"/>
        <v>-1.5431808719877154</v>
      </c>
      <c r="DD97" s="397">
        <f>(VLOOKUP($A97,TOCA_current!$A$2:$AI$137,MATCH("RHWM 2018",TOCA_current!$A$2:$AI$2,0),FALSE)*$BH$2) - $CZ97</f>
        <v>0</v>
      </c>
      <c r="DE97" s="397">
        <f t="shared" si="28"/>
        <v>0</v>
      </c>
      <c r="DF97" s="397">
        <f t="shared" si="29"/>
        <v>0</v>
      </c>
      <c r="DG97" s="397">
        <f t="shared" si="30"/>
        <v>0</v>
      </c>
      <c r="DH97" s="397">
        <f t="shared" si="31"/>
        <v>0</v>
      </c>
    </row>
    <row r="98" spans="1:112">
      <c r="A98" s="274">
        <v>10291</v>
      </c>
      <c r="B98" s="275" t="s">
        <v>99</v>
      </c>
      <c r="C98" s="397">
        <v>0</v>
      </c>
      <c r="D98" s="397">
        <v>0</v>
      </c>
      <c r="E98" s="205">
        <f>VLOOKUP($A98,TOCA_previous!$A$2:$AI$137,MATCH(E$4,TOCA_previous!$A$2:$AI$2,0),FALSE)</f>
        <v>1.11363E-2</v>
      </c>
      <c r="F98" s="206">
        <f>VLOOKUP($A98,TOCA_previous!$A$2:$AI$137,MATCH(F$4,TOCA_previous!$A$2:$AI$2,0),FALSE)</f>
        <v>1.11363E-2</v>
      </c>
      <c r="G98" s="206">
        <f t="shared" si="16"/>
        <v>0</v>
      </c>
      <c r="H98" s="206">
        <f>VLOOKUP($A98,TOCA_previous!$A$2:$AI$137,MATCH(H$4,TOCA_previous!$A$2:$AI$2,0),FALSE)</f>
        <v>0.05</v>
      </c>
      <c r="I98" s="206">
        <f t="shared" si="17"/>
        <v>0</v>
      </c>
      <c r="J98" s="206">
        <f t="shared" si="18"/>
        <v>0</v>
      </c>
      <c r="K98" s="381">
        <f>VLOOKUP(A98, IRD!$A$5:$C$139, 3, FALSE)</f>
        <v>36260.600999999995</v>
      </c>
      <c r="L98" s="382">
        <f t="array" ref="L98">IF($G98=0, INDEX(LS_previous!$D$4:$AY$138, MATCH('Staging Table'!$A98, LS_previous!$B$4:$B$138, 0), MATCH(L$4&amp;L$5, LS_previous!$D$2:$AY$2&amp;LS_previous!$D$3:$AY$3, 0)),SUM(VLOOKUP($A98, LS_previous!$B$4:$AY$138, LS_previous!D$149, FALSE), VLOOKUP('Staging Table'!$A98, LS_previous!$B$4:$AY$138,LS_previous!AB$149, FALSE))/2)</f>
        <v>-2192.1238120251073</v>
      </c>
      <c r="M98" s="382">
        <f t="array" ref="M98">IF($G98=0, INDEX(LS_previous!$D$4:$AY$138, MATCH('Staging Table'!$A98, LS_previous!$B$4:$B$138, 0), MATCH(M$4&amp;M$5, LS_previous!$D$2:$AY$2&amp;LS_previous!$D$3:$AY$3, 0)),SUM(VLOOKUP($A98, LS_previous!$B$4:$AY$138, LS_previous!E$149, FALSE), VLOOKUP('Staging Table'!$A98, LS_previous!$B$4:$AY$138,LS_previous!AC$149, FALSE))/2)</f>
        <v>72.104411740285286</v>
      </c>
      <c r="N98" s="382">
        <f t="array" ref="N98">IF($G98=0, INDEX(LS_previous!$D$4:$AY$138, MATCH('Staging Table'!$A98, LS_previous!$B$4:$B$138, 0), MATCH(N$4&amp;N$5, LS_previous!$D$2:$AY$2&amp;LS_previous!$D$3:$AY$3, 0)),SUM(VLOOKUP($A98, LS_previous!$B$4:$AY$138, LS_previous!F$149, FALSE), VLOOKUP('Staging Table'!$A98, LS_previous!$B$4:$AY$138,LS_previous!AD$149, FALSE))/2)</f>
        <v>-5605.0173483351973</v>
      </c>
      <c r="O98" s="382">
        <f t="array" ref="O98">IF($G98=0, INDEX(LS_previous!$D$4:$AY$138, MATCH('Staging Table'!$A98, LS_previous!$B$4:$B$138, 0), MATCH(O$4&amp;O$5, LS_previous!$D$2:$AY$2&amp;LS_previous!$D$3:$AY$3, 0)),SUM(VLOOKUP($A98, LS_previous!$B$4:$AY$138, LS_previous!G$149, FALSE), VLOOKUP('Staging Table'!$A98, LS_previous!$B$4:$AY$138,LS_previous!AE$149, FALSE))/2)</f>
        <v>-1966.809459134005</v>
      </c>
      <c r="P98" s="382">
        <f t="array" ref="P98">IF($G98=0, INDEX(LS_previous!$D$4:$AY$138, MATCH('Staging Table'!$A98, LS_previous!$B$4:$B$138, 0), MATCH(P$4&amp;P$5, LS_previous!$D$2:$AY$2&amp;LS_previous!$D$3:$AY$3, 0)),SUM(VLOOKUP($A98, LS_previous!$B$4:$AY$138, LS_previous!H$149, FALSE), VLOOKUP('Staging Table'!$A98, LS_previous!$B$4:$AY$138,LS_previous!AF$149, FALSE))/2)</f>
        <v>-945.42169551101688</v>
      </c>
      <c r="Q98" s="382">
        <f t="array" ref="Q98">IF($G98=0, INDEX(LS_previous!$D$4:$AY$138, MATCH('Staging Table'!$A98, LS_previous!$B$4:$B$138, 0), MATCH(Q$4&amp;Q$5, LS_previous!$D$2:$AY$2&amp;LS_previous!$D$3:$AY$3, 0)),SUM(VLOOKUP($A98, LS_previous!$B$4:$AY$138, LS_previous!I$149, FALSE), VLOOKUP('Staging Table'!$A98, LS_previous!$B$4:$AY$138,LS_previous!AG$149, FALSE))/2)</f>
        <v>2755.9486265195374</v>
      </c>
      <c r="R98" s="382">
        <f t="array" ref="R98">IF($G98=0, INDEX(LS_previous!$D$4:$AY$138, MATCH('Staging Table'!$A98, LS_previous!$B$4:$B$138, 0), MATCH(R$4&amp;R$5, LS_previous!$D$2:$AY$2&amp;LS_previous!$D$3:$AY$3, 0)),SUM(VLOOKUP($A98, LS_previous!$B$4:$AY$138, LS_previous!J$149, FALSE), VLOOKUP('Staging Table'!$A98, LS_previous!$B$4:$AY$138,LS_previous!AH$149, FALSE))/2)</f>
        <v>8527.8689475771389</v>
      </c>
      <c r="S98" s="382">
        <f t="array" ref="S98">IF($G98=0, INDEX(LS_previous!$D$4:$AY$138, MATCH('Staging Table'!$A98, LS_previous!$B$4:$B$138, 0), MATCH(S$4&amp;S$5, LS_previous!$D$2:$AY$2&amp;LS_previous!$D$3:$AY$3, 0)),SUM(VLOOKUP($A98, LS_previous!$B$4:$AY$138, LS_previous!K$149, FALSE), VLOOKUP('Staging Table'!$A98, LS_previous!$B$4:$AY$138,LS_previous!AI$149, FALSE))/2)</f>
        <v>6562.8757943193559</v>
      </c>
      <c r="T98" s="382">
        <f t="array" ref="T98">IF($G98=0, INDEX(LS_previous!$D$4:$AY$138, MATCH('Staging Table'!$A98, LS_previous!$B$4:$B$138, 0), MATCH(T$4&amp;T$5, LS_previous!$D$2:$AY$2&amp;LS_previous!$D$3:$AY$3, 0)),SUM(VLOOKUP($A98, LS_previous!$B$4:$AY$138, LS_previous!L$149, FALSE), VLOOKUP('Staging Table'!$A98, LS_previous!$B$4:$AY$138,LS_previous!AJ$149, FALSE))/2)</f>
        <v>5937.9299650875182</v>
      </c>
      <c r="U98" s="382">
        <f t="array" ref="U98">IF($G98=0, INDEX(LS_previous!$D$4:$AY$138, MATCH('Staging Table'!$A98, LS_previous!$B$4:$B$138, 0), MATCH(U$4&amp;U$5, LS_previous!$D$2:$AY$2&amp;LS_previous!$D$3:$AY$3, 0)),SUM(VLOOKUP($A98, LS_previous!$B$4:$AY$138, LS_previous!M$149, FALSE), VLOOKUP('Staging Table'!$A98, LS_previous!$B$4:$AY$138,LS_previous!AK$149, FALSE))/2)</f>
        <v>3985.877290459408</v>
      </c>
      <c r="V98" s="382">
        <f t="array" ref="V98">IF($G98=0, INDEX(LS_previous!$D$4:$AY$138, MATCH('Staging Table'!$A98, LS_previous!$B$4:$B$138, 0), MATCH(V$4&amp;V$5, LS_previous!$D$2:$AY$2&amp;LS_previous!$D$3:$AY$3, 0)),SUM(VLOOKUP($A98, LS_previous!$B$4:$AY$138, LS_previous!N$149, FALSE), VLOOKUP('Staging Table'!$A98, LS_previous!$B$4:$AY$138,LS_previous!AL$149, FALSE))/2)</f>
        <v>-61.831997085122566</v>
      </c>
      <c r="W98" s="382">
        <f t="array" ref="W98">IF($G98=0, INDEX(LS_previous!$D$4:$AY$138, MATCH('Staging Table'!$A98, LS_previous!$B$4:$B$138, 0), MATCH(W$4&amp;W$5, LS_previous!$D$2:$AY$2&amp;LS_previous!$D$3:$AY$3, 0)),SUM(VLOOKUP($A98, LS_previous!$B$4:$AY$138, LS_previous!O$149, FALSE), VLOOKUP('Staging Table'!$A98, LS_previous!$B$4:$AY$138,LS_previous!AM$149, FALSE))/2)</f>
        <v>-1088.8255295534509</v>
      </c>
      <c r="X98" s="382">
        <f t="array" ref="X98">IF($G98=0, INDEX(LS_previous!$D$4:$AY$138, MATCH('Staging Table'!$A98, LS_previous!$B$4:$B$138, 0), MATCH(X$4&amp;X$5, LS_previous!$D$2:$AY$2&amp;LS_previous!$D$3:$AY$3, 0)),SUM(VLOOKUP($A98, LS_previous!$B$4:$AY$138, LS_previous!P$149, FALSE), VLOOKUP('Staging Table'!$A98, LS_previous!$B$4:$AY$138,LS_previous!AN$149, FALSE))/2)</f>
        <v>1883.4351971508077</v>
      </c>
      <c r="Y98" s="382">
        <f t="array" ref="Y98">IF($G98=0, INDEX(LS_previous!$D$4:$AY$138, MATCH('Staging Table'!$A98, LS_previous!$B$4:$B$138, 0), MATCH(Y$4&amp;Y$5, LS_previous!$D$2:$AY$2&amp;LS_previous!$D$3:$AY$3, 0)),SUM(VLOOKUP($A98, LS_previous!$B$4:$AY$138, LS_previous!Q$149, FALSE), VLOOKUP('Staging Table'!$A98, LS_previous!$B$4:$AY$138,LS_previous!AO$149, FALSE))/2)</f>
        <v>2013.6528280318817</v>
      </c>
      <c r="Z98" s="382">
        <f t="array" ref="Z98">IF($G98=0, INDEX(LS_previous!$D$4:$AY$138, MATCH('Staging Table'!$A98, LS_previous!$B$4:$B$138, 0), MATCH(Z$4&amp;Z$5, LS_previous!$D$2:$AY$2&amp;LS_previous!$D$3:$AY$3, 0)),SUM(VLOOKUP($A98, LS_previous!$B$4:$AY$138, LS_previous!R$149, FALSE), VLOOKUP('Staging Table'!$A98, LS_previous!$B$4:$AY$138,LS_previous!AP$149, FALSE))/2)</f>
        <v>-14298.278768538919</v>
      </c>
      <c r="AA98" s="382">
        <f t="array" ref="AA98">IF($G98=0, INDEX(LS_previous!$D$4:$AY$138, MATCH('Staging Table'!$A98, LS_previous!$B$4:$B$138, 0), MATCH(AA$4&amp;AA$5, LS_previous!$D$2:$AY$2&amp;LS_previous!$D$3:$AY$3, 0)),SUM(VLOOKUP($A98, LS_previous!$B$4:$AY$138, LS_previous!S$149, FALSE), VLOOKUP('Staging Table'!$A98, LS_previous!$B$4:$AY$138,LS_previous!AQ$149, FALSE))/2)</f>
        <v>-5718.9860421789999</v>
      </c>
      <c r="AB98" s="382">
        <f t="array" ref="AB98">IF($G98=0, INDEX(LS_previous!$D$4:$AY$138, MATCH('Staging Table'!$A98, LS_previous!$B$4:$B$138, 0), MATCH(AB$4&amp;AB$5, LS_previous!$D$2:$AY$2&amp;LS_previous!$D$3:$AY$3, 0)),SUM(VLOOKUP($A98, LS_previous!$B$4:$AY$138, LS_previous!T$149, FALSE), VLOOKUP('Staging Table'!$A98, LS_previous!$B$4:$AY$138,LS_previous!AR$149, FALSE))/2)</f>
        <v>-3631.6798652209181</v>
      </c>
      <c r="AC98" s="382">
        <f t="array" ref="AC98">IF($G98=0, INDEX(LS_previous!$D$4:$AY$138, MATCH('Staging Table'!$A98, LS_previous!$B$4:$B$138, 0), MATCH(AC$4&amp;AC$5, LS_previous!$D$2:$AY$2&amp;LS_previous!$D$3:$AY$3, 0)),SUM(VLOOKUP($A98, LS_previous!$B$4:$AY$138, LS_previous!U$149, FALSE), VLOOKUP('Staging Table'!$A98, LS_previous!$B$4:$AY$138,LS_previous!AS$149, FALSE))/2)</f>
        <v>-2135.622113014917</v>
      </c>
      <c r="AD98" s="382">
        <f t="array" ref="AD98">IF($G98=0, INDEX(LS_previous!$D$4:$AY$138, MATCH('Staging Table'!$A98, LS_previous!$B$4:$B$138, 0), MATCH(AD$4&amp;AD$5, LS_previous!$D$2:$AY$2&amp;LS_previous!$D$3:$AY$3, 0)),SUM(VLOOKUP($A98, LS_previous!$B$4:$AY$138, LS_previous!V$149, FALSE), VLOOKUP('Staging Table'!$A98, LS_previous!$B$4:$AY$138,LS_previous!AT$149, FALSE))/2)</f>
        <v>1576.43320188496</v>
      </c>
      <c r="AE98" s="382">
        <f t="array" ref="AE98">IF($G98=0, INDEX(LS_previous!$D$4:$AY$138, MATCH('Staging Table'!$A98, LS_previous!$B$4:$B$138, 0), MATCH(AE$4&amp;AE$5, LS_previous!$D$2:$AY$2&amp;LS_previous!$D$3:$AY$3, 0)),SUM(VLOOKUP($A98, LS_previous!$B$4:$AY$138, LS_previous!W$149, FALSE), VLOOKUP('Staging Table'!$A98, LS_previous!$B$4:$AY$138,LS_previous!AU$149, FALSE))/2)</f>
        <v>5628.8285561737866</v>
      </c>
      <c r="AF98" s="382">
        <f t="array" ref="AF98">IF($G98=0, INDEX(LS_previous!$D$4:$AY$138, MATCH('Staging Table'!$A98, LS_previous!$B$4:$B$138, 0), MATCH(AF$4&amp;AF$5, LS_previous!$D$2:$AY$2&amp;LS_previous!$D$3:$AY$3, 0)),SUM(VLOOKUP($A98, LS_previous!$B$4:$AY$138, LS_previous!X$149, FALSE), VLOOKUP('Staging Table'!$A98, LS_previous!$B$4:$AY$138,LS_previous!AV$149, FALSE))/2)</f>
        <v>581.4442370409015</v>
      </c>
      <c r="AG98" s="382">
        <f t="array" ref="AG98">IF($G98=0, INDEX(LS_previous!$D$4:$AY$138, MATCH('Staging Table'!$A98, LS_previous!$B$4:$B$138, 0), MATCH(AG$4&amp;AG$5, LS_previous!$D$2:$AY$2&amp;LS_previous!$D$3:$AY$3, 0)),SUM(VLOOKUP($A98, LS_previous!$B$4:$AY$138, LS_previous!Y$149, FALSE), VLOOKUP('Staging Table'!$A98, LS_previous!$B$4:$AY$138,LS_previous!AW$149, FALSE))/2)</f>
        <v>1642.0552169928815</v>
      </c>
      <c r="AH98" s="382">
        <f t="array" ref="AH98">IF($G98=0, INDEX(LS_previous!$D$4:$AY$138, MATCH('Staging Table'!$A98, LS_previous!$B$4:$B$138, 0), MATCH(AH$4&amp;AH$5, LS_previous!$D$2:$AY$2&amp;LS_previous!$D$3:$AY$3, 0)),SUM(VLOOKUP($A98, LS_previous!$B$4:$AY$138, LS_previous!Z$149, FALSE), VLOOKUP('Staging Table'!$A98, LS_previous!$B$4:$AY$138,LS_previous!AX$149, FALSE))/2)</f>
        <v>113.70811373629476</v>
      </c>
      <c r="AI98" s="382">
        <f t="array" ref="AI98">IF($G98=0, INDEX(LS_previous!$D$4:$AY$138, MATCH('Staging Table'!$A98, LS_previous!$B$4:$B$138, 0), MATCH(AI$4&amp;AI$5, LS_previous!$D$2:$AY$2&amp;LS_previous!$D$3:$AY$3, 0)),SUM(VLOOKUP($A98, LS_previous!$B$4:$AY$138, LS_previous!AA$149, FALSE), VLOOKUP('Staging Table'!$A98, LS_previous!$B$4:$AY$138,LS_previous!AY$149, FALSE))/2)</f>
        <v>1486.2270511279021</v>
      </c>
      <c r="AJ98" s="384">
        <f t="array" ref="AJ98">INDEX(Demand_previous!$D$4:$AY$138, MATCH('Staging Table'!$A98, Demand_previous!$B$4:$B$138, 0), MATCH(AJ$4&amp;AJ$5,Demand_previous!$D$2:$AY$2&amp;Demand_previous!$D$3:$AY$3, 0))/1000</f>
        <v>12.239041666666658</v>
      </c>
      <c r="AK98" s="384">
        <f t="array" ref="AK98">INDEX(Demand_previous!$D$4:$AY$138, MATCH('Staging Table'!$A98, Demand_previous!$B$4:$B$138, 0), MATCH(AK$4&amp;AK$5,Demand_previous!$D$2:$AY$2&amp;Demand_previous!$D$3:$AY$3, 0))/1000</f>
        <v>4.238265625000011</v>
      </c>
      <c r="AL98" s="384">
        <f t="array" ref="AL98">INDEX(Demand_previous!$D$4:$AY$138, MATCH('Staging Table'!$A98, Demand_previous!$B$4:$B$138, 0), MATCH(AL$4&amp;AL$5,Demand_previous!$D$2:$AY$2&amp;Demand_previous!$D$3:$AY$3, 0))/1000</f>
        <v>19.967853365384613</v>
      </c>
      <c r="AM98" s="384">
        <f t="array" ref="AM98">INDEX(Demand_previous!$D$4:$AY$138, MATCH('Staging Table'!$A98, Demand_previous!$B$4:$B$138, 0), MATCH(AM$4&amp;AM$5,Demand_previous!$D$2:$AY$2&amp;Demand_previous!$D$3:$AY$3, 0))/1000</f>
        <v>11.51806250000001</v>
      </c>
      <c r="AN98" s="384">
        <f t="array" ref="AN98">INDEX(Demand_previous!$D$4:$AY$138, MATCH('Staging Table'!$A98, Demand_previous!$B$4:$B$138, 0), MATCH(AN$4&amp;AN$5,Demand_previous!$D$2:$AY$2&amp;Demand_previous!$D$3:$AY$3, 0))/1000</f>
        <v>15.674594999999989</v>
      </c>
      <c r="AO98" s="384">
        <f t="array" ref="AO98">INDEX(Demand_previous!$D$4:$AY$138, MATCH('Staging Table'!$A98, Demand_previous!$B$4:$B$138, 0), MATCH(AO$4&amp;AO$5,Demand_previous!$D$2:$AY$2&amp;Demand_previous!$D$3:$AY$3, 0))/1000</f>
        <v>13.266497685185186</v>
      </c>
      <c r="AP98" s="384">
        <f t="array" ref="AP98">INDEX(Demand_previous!$D$4:$AY$138, MATCH('Staging Table'!$A98, Demand_previous!$B$4:$B$138, 0), MATCH(AP$4&amp;AP$5,Demand_previous!$D$2:$AY$2&amp;Demand_previous!$D$3:$AY$3, 0))/1000</f>
        <v>15.29339663461538</v>
      </c>
      <c r="AQ98" s="384">
        <f t="array" ref="AQ98">INDEX(Demand_previous!$D$4:$AY$138, MATCH('Staging Table'!$A98, Demand_previous!$B$4:$B$138, 0), MATCH(AQ$4&amp;AQ$5,Demand_previous!$D$2:$AY$2&amp;Demand_previous!$D$3:$AY$3, 0))/1000</f>
        <v>6.9833749999999934</v>
      </c>
      <c r="AR98" s="384">
        <f t="array" ref="AR98">INDEX(Demand_previous!$D$4:$AY$138, MATCH('Staging Table'!$A98, Demand_previous!$B$4:$B$138, 0), MATCH(AR$4&amp;AR$5,Demand_previous!$D$2:$AY$2&amp;Demand_previous!$D$3:$AY$3, 0))/1000</f>
        <v>12.095394230769228</v>
      </c>
      <c r="AS98" s="384">
        <f t="array" ref="AS98">INDEX(Demand_previous!$D$4:$AY$138, MATCH('Staging Table'!$A98, Demand_previous!$B$4:$B$138, 0), MATCH(AS$4&amp;AS$5,Demand_previous!$D$2:$AY$2&amp;Demand_previous!$D$3:$AY$3, 0))/1000</f>
        <v>12.069097499999989</v>
      </c>
      <c r="AT98" s="384">
        <f t="array" ref="AT98">INDEX(Demand_previous!$D$4:$AY$138, MATCH('Staging Table'!$A98, Demand_previous!$B$4:$B$138, 0), MATCH(AT$4&amp;AT$5,Demand_previous!$D$2:$AY$2&amp;Demand_previous!$D$3:$AY$3, 0))/1000</f>
        <v>15.406817129629632</v>
      </c>
      <c r="AU98" s="384">
        <f t="array" ref="AU98">INDEX(Demand_previous!$D$4:$AY$138, MATCH('Staging Table'!$A98, Demand_previous!$B$4:$B$138, 0), MATCH(AU$4&amp;AU$5,Demand_previous!$D$2:$AY$2&amp;Demand_previous!$D$3:$AY$3, 0))/1000</f>
        <v>13.190237500000002</v>
      </c>
      <c r="AV98" s="384">
        <f>IF($D98=0,IF(C98=0, MAX(AY98 - (VLOOKUP($A98,TOCA_previous!$A$2:$AI$137,MATCH("RHWM 2016",TOCA_previous!$A$2:$AI$2,0),FALSE)*$F$2*TOCA_previous!C95),0),0), 0)</f>
        <v>0</v>
      </c>
      <c r="AW98" s="427">
        <f>VLOOKUP($A98,REP_previous!$A$1:$D$135,MATCH("FY "&amp;$F$1&amp; " Total Refund",REP_previous!$A$1:$D$1,0),0)</f>
        <v>970667.3759209516</v>
      </c>
      <c r="AX98" s="398">
        <f>MIN(VLOOKUP($A98,TOCA_previous!$A$2:$AI$137,MATCH("TRL - NLSL - Exisiting Resource "&amp;$F$1,TOCA_previous!$A$2:$AI$2,0),FALSE)*$F$2,(VLOOKUP($A98,TOCA_previous!$A$2:$AI$137,MATCH("RHWM 2016",TOCA_previous!$A$2:$AI$2,0),FALSE)*$F$2))</f>
        <v>683096.54399999999</v>
      </c>
      <c r="AY98" s="384">
        <f>SUM(L98:AI98)+(F98*RT1SC!$C$3*$F$2)</f>
        <v>688217.96060787712</v>
      </c>
      <c r="AZ98" s="398">
        <f>VLOOKUP($A98,TOCA_previous!$A$2:$AI$137,MATCH("Above RHWM Not Served with LS "&amp;$F$1,TOCA_previous!$A$2:$AI$2,0),FALSE)*$F$2</f>
        <v>0</v>
      </c>
      <c r="BA98" s="206">
        <f t="shared" si="19"/>
        <v>5121.4166078771232</v>
      </c>
      <c r="BB98" s="399">
        <f>(VLOOKUP($A98,TOCA_previous!$A$2:$AI$137,MATCH("RHWM 2016",TOCA_previous!$A$2:$AI$2,0),FALSE)*$F$2) - $AX98</f>
        <v>5648.112000000081</v>
      </c>
      <c r="BC98" s="206">
        <f t="shared" si="20"/>
        <v>-5121.4166078771232</v>
      </c>
      <c r="BD98" s="400">
        <f t="shared" si="21"/>
        <v>0</v>
      </c>
      <c r="BE98" s="392">
        <f t="shared" si="22"/>
        <v>0</v>
      </c>
      <c r="BF98" s="399">
        <f t="shared" si="23"/>
        <v>-5121.4166078771232</v>
      </c>
      <c r="BG98" s="206">
        <f>VLOOKUP($A98,TOCA_current!$A$2:$AI$137,MATCH(BG$4,TOCA_current!$A$2:$AI$2,0),FALSE)</f>
        <v>1.1146100000000001E-2</v>
      </c>
      <c r="BH98" s="206">
        <f>VLOOKUP($A98,TOCA_current!$A$2:$AI$137,MATCH(BH$4,TOCA_current!$A$2:$AI$2,0),FALSE)</f>
        <v>1.1146100000000001E-2</v>
      </c>
      <c r="BI98" s="391">
        <f t="shared" si="24"/>
        <v>0</v>
      </c>
      <c r="BJ98" s="206">
        <f>VLOOKUP($A98,TOCA_current!A94:BG229,MATCH(BJ$4,TOCA_current!$A$2:$BG$2,0),FALSE)</f>
        <v>0.05</v>
      </c>
      <c r="BK98" s="206">
        <f t="shared" si="25"/>
        <v>0</v>
      </c>
      <c r="BL98" s="206">
        <f t="shared" si="26"/>
        <v>0</v>
      </c>
      <c r="BM98" s="381">
        <f>VLOOKUP($A98,IRD!$A$4:$G$139, 7, FALSE)</f>
        <v>36260.600999999995</v>
      </c>
      <c r="BN98" s="382">
        <f t="array" ref="BN98">IF($BI98=0, INDEX(LS_current!$D$4:$AY$139, MATCH('Staging Table'!$A98, LS_current!$B$4:$B$139, 0), MATCH(BN$4&amp;BN$5, LS_current!$D$2:$AY$2&amp;LS_current!$D$3:$AY$3, 0)),SUM(VLOOKUP($A98, LS_current!$B$4:$AY$139, LS_current!D$149, FALSE), VLOOKUP($A98, LS_current!$B$4:$AY$139,LS_current!D$149, FALSE))/2)</f>
        <v>-2403.8246096610092</v>
      </c>
      <c r="BO98" s="382">
        <f t="array" ref="BO98">IF($BI98=0, INDEX(LS_current!$D$4:$AY$139, MATCH('Staging Table'!$A98, LS_current!$B$4:$B$139, 0), MATCH(BO$4&amp;BO$5, LS_current!$D$2:$AY$2&amp;LS_current!$D$3:$AY$3, 0)),SUM(VLOOKUP($A98, LS_current!$B$4:$AY$139, LS_current!E$149, FALSE), VLOOKUP($A98, LS_current!$B$4:$AY$139,LS_current!E$149, FALSE))/2)</f>
        <v>1046.9290262913964</v>
      </c>
      <c r="BP98" s="382">
        <f t="array" ref="BP98">IF($BI98=0, INDEX(LS_current!$D$4:$AY$139, MATCH('Staging Table'!$A98, LS_current!$B$4:$B$139, 0), MATCH(BP$4&amp;BP$5, LS_current!$D$2:$AY$2&amp;LS_current!$D$3:$AY$3, 0)),SUM(VLOOKUP($A98, LS_current!$B$4:$AY$139, LS_current!F$149, FALSE), VLOOKUP($A98, LS_current!$B$4:$AY$139,LS_current!F$149, FALSE))/2)</f>
        <v>-6472.5406787707689</v>
      </c>
      <c r="BQ98" s="382">
        <f t="array" ref="BQ98">IF($BI98=0, INDEX(LS_current!$D$4:$AY$139, MATCH('Staging Table'!$A98, LS_current!$B$4:$B$139, 0), MATCH(BQ$4&amp;BQ$5, LS_current!$D$2:$AY$2&amp;LS_current!$D$3:$AY$3, 0)),SUM(VLOOKUP($A98, LS_current!$B$4:$AY$139, LS_current!G$149, FALSE), VLOOKUP($A98, LS_current!$B$4:$AY$139,LS_current!G$149, FALSE))/2)</f>
        <v>-1770.8428444206984</v>
      </c>
      <c r="BR98" s="382">
        <f t="array" ref="BR98">IF($BI98=0, INDEX(LS_current!$D$4:$AY$139, MATCH('Staging Table'!$A98, LS_current!$B$4:$B$139, 0), MATCH(BR$4&amp;BR$5, LS_current!$D$2:$AY$2&amp;LS_current!$D$3:$AY$3, 0)),SUM(VLOOKUP($A98, LS_current!$B$4:$AY$139, LS_current!H$149, FALSE), VLOOKUP($A98, LS_current!$B$4:$AY$139,LS_current!H$149, FALSE))/2)</f>
        <v>-2260.3742178843167</v>
      </c>
      <c r="BS98" s="382">
        <f t="array" ref="BS98">IF($BI98=0, INDEX(LS_current!$D$4:$AY$139, MATCH('Staging Table'!$A98, LS_current!$B$4:$B$139, 0), MATCH(BS$4&amp;BS$5, LS_current!$D$2:$AY$2&amp;LS_current!$D$3:$AY$3, 0)),SUM(VLOOKUP($A98, LS_current!$B$4:$AY$139, LS_current!I$149, FALSE), VLOOKUP($A98, LS_current!$B$4:$AY$139,LS_current!I$149, FALSE))/2)</f>
        <v>2508.1654547440266</v>
      </c>
      <c r="BT98" s="382">
        <f t="array" ref="BT98">IF($BI98=0, INDEX(LS_current!$D$4:$AY$139, MATCH('Staging Table'!$A98, LS_current!$B$4:$B$139, 0), MATCH(BT$4&amp;BT$5, LS_current!$D$2:$AY$2&amp;LS_current!$D$3:$AY$3, 0)),SUM(VLOOKUP($A98, LS_current!$B$4:$AY$139, LS_current!J$149, FALSE), VLOOKUP($A98, LS_current!$B$4:$AY$139,LS_current!J$149, FALSE))/2)</f>
        <v>8121.8503292530077</v>
      </c>
      <c r="BU98" s="382">
        <f t="array" ref="BU98">IF($BI98=0, INDEX(LS_current!$D$4:$AY$139, MATCH('Staging Table'!$A98, LS_current!$B$4:$B$139, 0), MATCH(BU$4&amp;BU$5, LS_current!$D$2:$AY$2&amp;LS_current!$D$3:$AY$3, 0)),SUM(VLOOKUP($A98, LS_current!$B$4:$AY$139, LS_current!K$149, FALSE), VLOOKUP($A98, LS_current!$B$4:$AY$139,LS_current!K$149, FALSE))/2)</f>
        <v>6464.0413401721162</v>
      </c>
      <c r="BV98" s="382">
        <f t="array" ref="BV98">IF($BI98=0, INDEX(LS_current!$D$4:$AY$139, MATCH('Staging Table'!$A98, LS_current!$B$4:$B$139, 0), MATCH(BV$4&amp;BV$5, LS_current!$D$2:$AY$2&amp;LS_current!$D$3:$AY$3, 0)),SUM(VLOOKUP($A98, LS_current!$B$4:$AY$139, LS_current!L$149, FALSE), VLOOKUP($A98, LS_current!$B$4:$AY$139,LS_current!L$149, FALSE))/2)</f>
        <v>8225.6785937690365</v>
      </c>
      <c r="BW98" s="382">
        <f t="array" ref="BW98">IF($BI98=0, INDEX(LS_current!$D$4:$AY$139, MATCH('Staging Table'!$A98, LS_current!$B$4:$B$139, 0), MATCH(BW$4&amp;BW$5, LS_current!$D$2:$AY$2&amp;LS_current!$D$3:$AY$3, 0)),SUM(VLOOKUP($A98, LS_current!$B$4:$AY$139, LS_current!M$149, FALSE), VLOOKUP($A98, LS_current!$B$4:$AY$139,LS_current!M$149, FALSE))/2)</f>
        <v>5790.9333145644559</v>
      </c>
      <c r="BX98" s="382">
        <f t="array" ref="BX98">IF($BI98=0, INDEX(LS_current!$D$4:$AY$139, MATCH('Staging Table'!$A98, LS_current!$B$4:$B$139, 0), MATCH(BX$4&amp;BX$5, LS_current!$D$2:$AY$2&amp;LS_current!$D$3:$AY$3, 0)),SUM(VLOOKUP($A98, LS_current!$B$4:$AY$139, LS_current!N$149, FALSE), VLOOKUP($A98, LS_current!$B$4:$AY$139,LS_current!N$149, FALSE))/2)</f>
        <v>1707.8967721347435</v>
      </c>
      <c r="BY98" s="382">
        <f t="array" ref="BY98">IF($BI98=0, INDEX(LS_current!$D$4:$AY$139, MATCH('Staging Table'!$A98, LS_current!$B$4:$B$139, 0), MATCH(BY$4&amp;BY$5, LS_current!$D$2:$AY$2&amp;LS_current!$D$3:$AY$3, 0)),SUM(VLOOKUP($A98, LS_current!$B$4:$AY$139, LS_current!O$149, FALSE), VLOOKUP($A98, LS_current!$B$4:$AY$139,LS_current!O$149, FALSE))/2)</f>
        <v>905.52927870991334</v>
      </c>
      <c r="BZ98" s="382">
        <f t="array" ref="BZ98">IF($BI98=0, INDEX(LS_current!$D$4:$AY$139, MATCH('Staging Table'!$A98, LS_current!$B$4:$B$139, 0), MATCH(BZ$4&amp;BZ$5, LS_current!$D$2:$AY$2&amp;LS_current!$D$3:$AY$3, 0)),SUM(VLOOKUP($A98, LS_current!$B$4:$AY$139, LS_current!P$149, FALSE), VLOOKUP($A98, LS_current!$B$4:$AY$139,LS_current!P$149, FALSE))/2)</f>
        <v>-1531.650814441331</v>
      </c>
      <c r="CA98" s="382">
        <f t="array" ref="CA98">IF($BI98=0, INDEX(LS_current!$D$4:$AY$139, MATCH('Staging Table'!$A98, LS_current!$B$4:$B$139, 0), MATCH(CA$4&amp;CA$5, LS_current!$D$2:$AY$2&amp;LS_current!$D$3:$AY$3, 0)),SUM(VLOOKUP($A98, LS_current!$B$4:$AY$139, LS_current!Q$149, FALSE), VLOOKUP($A98, LS_current!$B$4:$AY$139,LS_current!Q$149, FALSE))/2)</f>
        <v>1753.0984753603589</v>
      </c>
      <c r="CB98" s="382">
        <f t="array" ref="CB98">IF($BI98=0, INDEX(LS_current!$D$4:$AY$139, MATCH('Staging Table'!$A98, LS_current!$B$4:$B$139, 0), MATCH(CB$4&amp;CB$5, LS_current!$D$2:$AY$2&amp;LS_current!$D$3:$AY$3, 0)),SUM(VLOOKUP($A98, LS_current!$B$4:$AY$139, LS_current!R$149, FALSE), VLOOKUP($A98, LS_current!$B$4:$AY$139,LS_current!R$149, FALSE))/2)</f>
        <v>-13920.139518607502</v>
      </c>
      <c r="CC98" s="382">
        <f t="array" ref="CC98">IF($BI98=0, INDEX(LS_current!$D$4:$AY$139, MATCH('Staging Table'!$A98, LS_current!$B$4:$B$139, 0), MATCH(CC$4&amp;CC$5, LS_current!$D$2:$AY$2&amp;LS_current!$D$3:$AY$3, 0)),SUM(VLOOKUP($A98, LS_current!$B$4:$AY$139, LS_current!S$149, FALSE), VLOOKUP($A98, LS_current!$B$4:$AY$139,LS_current!S$149, FALSE))/2)</f>
        <v>-6157.4155079344309</v>
      </c>
      <c r="CD98" s="382">
        <f t="array" ref="CD98">IF($BI98=0, INDEX(LS_current!$D$4:$AY$139, MATCH('Staging Table'!$A98, LS_current!$B$4:$B$139, 0), MATCH(CD$4&amp;CD$5, LS_current!$D$2:$AY$2&amp;LS_current!$D$3:$AY$3, 0)),SUM(VLOOKUP($A98, LS_current!$B$4:$AY$139, LS_current!T$149, FALSE), VLOOKUP($A98, LS_current!$B$4:$AY$139,LS_current!T$149, FALSE))/2)</f>
        <v>-3484.6381947506234</v>
      </c>
      <c r="CE98" s="382">
        <f t="array" ref="CE98">IF($BI98=0, INDEX(LS_current!$D$4:$AY$139, MATCH('Staging Table'!$A98, LS_current!$B$4:$B$139, 0), MATCH(CE$4&amp;CE$5, LS_current!$D$2:$AY$2&amp;LS_current!$D$3:$AY$3, 0)),SUM(VLOOKUP($A98, LS_current!$B$4:$AY$139, LS_current!U$149, FALSE), VLOOKUP($A98, LS_current!$B$4:$AY$139,LS_current!U$149, FALSE))/2)</f>
        <v>-610.76875771919367</v>
      </c>
      <c r="CF98" s="382">
        <f t="array" ref="CF98">IF($BI98=0, INDEX(LS_current!$D$4:$AY$139, MATCH('Staging Table'!$A98, LS_current!$B$4:$B$139, 0), MATCH(CF$4&amp;CF$5, LS_current!$D$2:$AY$2&amp;LS_current!$D$3:$AY$3, 0)),SUM(VLOOKUP($A98, LS_current!$B$4:$AY$139, LS_current!V$149, FALSE), VLOOKUP($A98, LS_current!$B$4:$AY$139,LS_current!V$149, FALSE))/2)</f>
        <v>3739.7437425765384</v>
      </c>
      <c r="CG98" s="382">
        <f t="array" ref="CG98">IF($BI98=0, INDEX(LS_current!$D$4:$AY$139, MATCH('Staging Table'!$A98, LS_current!$B$4:$B$139, 0), MATCH(CG$4&amp;CG$5, LS_current!$D$2:$AY$2&amp;LS_current!$D$3:$AY$3, 0)),SUM(VLOOKUP($A98, LS_current!$B$4:$AY$139, LS_current!W$149, FALSE), VLOOKUP($A98, LS_current!$B$4:$AY$139,LS_current!W$149, FALSE))/2)</f>
        <v>6973.4667846980374</v>
      </c>
      <c r="CH98" s="382">
        <f t="array" ref="CH98">IF($BI98=0, INDEX(LS_current!$D$4:$AY$139, MATCH('Staging Table'!$A98, LS_current!$B$4:$B$139, 0), MATCH(CH$4&amp;CH$5, LS_current!$D$2:$AY$2&amp;LS_current!$D$3:$AY$3, 0)),SUM(VLOOKUP($A98, LS_current!$B$4:$AY$139, LS_current!X$149, FALSE), VLOOKUP($A98, LS_current!$B$4:$AY$139,LS_current!X$149, FALSE))/2)</f>
        <v>742.0506825542252</v>
      </c>
      <c r="CI98" s="382">
        <f t="array" ref="CI98">IF($BI98=0, INDEX(LS_current!$D$4:$AY$139, MATCH('Staging Table'!$A98, LS_current!$B$4:$B$139, 0), MATCH(CI$4&amp;CI$5, LS_current!$D$2:$AY$2&amp;LS_current!$D$3:$AY$3, 0)),SUM(VLOOKUP($A98, LS_current!$B$4:$AY$139, LS_current!Y$149, FALSE), VLOOKUP($A98, LS_current!$B$4:$AY$139,LS_current!Y$149, FALSE))/2)</f>
        <v>2244.653010580143</v>
      </c>
      <c r="CJ98" s="382">
        <f t="array" ref="CJ98">IF($BI98=0, INDEX(LS_current!$D$4:$AY$139, MATCH('Staging Table'!$A98, LS_current!$B$4:$B$139, 0), MATCH(CJ$4&amp;CJ$5, LS_current!$D$2:$AY$2&amp;LS_current!$D$3:$AY$3, 0)),SUM(VLOOKUP($A98, LS_current!$B$4:$AY$139, LS_current!Z$149, FALSE), VLOOKUP($A98, LS_current!$B$4:$AY$139,LS_current!Z$149, FALSE))/2)</f>
        <v>-3011.9409133465742</v>
      </c>
      <c r="CK98" s="382">
        <f t="array" ref="CK98">IF($BI98=0, INDEX(LS_current!$D$4:$AY$139, MATCH('Staging Table'!$A98, LS_current!$B$4:$B$139, 0), MATCH(CK$4&amp;CK$5, LS_current!$D$2:$AY$2&amp;LS_current!$D$3:$AY$3, 0)),SUM(VLOOKUP($A98, LS_current!$B$4:$AY$139, LS_current!AA$149, FALSE), VLOOKUP($A98, LS_current!$B$4:$AY$139,LS_current!AA$149, FALSE))/2)</f>
        <v>1524.4436596714877</v>
      </c>
      <c r="CL98" s="384">
        <f t="array" ref="CL98">INDEX(Demand_current!$D$4:$AY$138, MATCH($A98, Demand_current!$B$4:$B$138, 0), MATCH(CL$4&amp;CL$5,Demand_current!$D$2:$AY$2&amp;Demand_current!$D$3:$AY$3, 0))/1000</f>
        <v>9.4266971153846058</v>
      </c>
      <c r="CM98" s="384">
        <f t="array" ref="CM98">INDEX(Demand_current!$D$4:$AY$138, MATCH($A98, Demand_current!$B$4:$B$138, 0), MATCH(CM$4&amp;CM$5,Demand_current!$D$2:$AY$2&amp;Demand_current!$D$3:$AY$3, 0))/1000</f>
        <v>7.8036550000000062</v>
      </c>
      <c r="CN98" s="384">
        <f t="array" ref="CN98">INDEX(Demand_current!$D$4:$AY$138, MATCH($A98, Demand_current!$B$4:$B$138, 0), MATCH(CN$4&amp;CN$5,Demand_current!$D$2:$AY$2&amp;Demand_current!$D$3:$AY$3, 0))/1000</f>
        <v>16.362647499999994</v>
      </c>
      <c r="CO98" s="384">
        <f t="array" ref="CO98">INDEX(Demand_current!$D$4:$AY$138, MATCH($A98, Demand_current!$B$4:$B$138, 0), MATCH(CO$4&amp;CO$5,Demand_current!$D$2:$AY$2&amp;Demand_current!$D$3:$AY$3, 0))/1000</f>
        <v>15.538098557692319</v>
      </c>
      <c r="CP98" s="384">
        <f t="array" ref="CP98">INDEX(Demand_current!$D$4:$AY$138, MATCH($A98, Demand_current!$B$4:$B$138, 0), MATCH(CP$4&amp;CP$5,Demand_current!$D$2:$AY$2&amp;Demand_current!$D$3:$AY$3, 0))/1000</f>
        <v>11.876494791666666</v>
      </c>
      <c r="CQ98" s="384">
        <f t="array" ref="CQ98">INDEX(Demand_current!$D$4:$AY$138, MATCH($A98, Demand_current!$B$4:$B$138, 0), MATCH(CQ$4&amp;CQ$5,Demand_current!$D$2:$AY$2&amp;Demand_current!$D$3:$AY$3, 0))/1000</f>
        <v>13.266497685185186</v>
      </c>
      <c r="CR98" s="384">
        <f t="array" ref="CR98">INDEX(Demand_current!$D$4:$AY$138, MATCH($A98, Demand_current!$B$4:$B$138, 0), MATCH(CR$4&amp;CR$5,Demand_current!$D$2:$AY$2&amp;Demand_current!$D$3:$AY$3, 0))/1000</f>
        <v>12.295212499999995</v>
      </c>
      <c r="CS98" s="384">
        <f t="array" ref="CS98">INDEX(Demand_current!$D$4:$AY$138, MATCH($A98, Demand_current!$B$4:$B$138, 0), MATCH(CS$4&amp;CS$5,Demand_current!$D$2:$AY$2&amp;Demand_current!$D$3:$AY$3, 0))/1000</f>
        <v>10.219360576923078</v>
      </c>
      <c r="CT98" s="384">
        <f t="array" ref="CT98">INDEX(Demand_current!$D$4:$AY$138, MATCH($A98, Demand_current!$B$4:$B$138, 0), MATCH(CT$4&amp;CT$5,Demand_current!$D$2:$AY$2&amp;Demand_current!$D$3:$AY$3, 0))/1000</f>
        <v>12.095394230769228</v>
      </c>
      <c r="CU98" s="384">
        <f t="array" ref="CU98">INDEX(Demand_current!$D$4:$AY$138, MATCH($A98, Demand_current!$B$4:$B$138, 0), MATCH(CU$4&amp;CU$5,Demand_current!$D$2:$AY$2&amp;Demand_current!$D$3:$AY$3, 0))/1000</f>
        <v>12.069097499999989</v>
      </c>
      <c r="CV98" s="384">
        <f t="array" ref="CV98">INDEX(Demand_current!$D$4:$AY$138, MATCH($A98, Demand_current!$B$4:$B$138, 0), MATCH(CV$4&amp;CV$5,Demand_current!$D$2:$AY$2&amp;Demand_current!$D$3:$AY$3, 0))/1000</f>
        <v>15.406817129629632</v>
      </c>
      <c r="CW98" s="384">
        <f t="array" ref="CW98">INDEX(Demand_current!$D$4:$AY$138, MATCH($A98, Demand_current!$B$4:$B$138, 0), MATCH(CW$4&amp;CW$5,Demand_current!$D$2:$AY$2&amp;Demand_current!$D$3:$AY$3, 0))/1000</f>
        <v>10.048955729166657</v>
      </c>
      <c r="CX98" s="384">
        <f>IF(D98=0,IF(C98=0,MAX(0,DA98 - (VLOOKUP($A98,TOCA_current!$A$2:$AI$137,MATCH("RHWM 2018",TOCA_current!$A$2:$AI$2,0),FALSE)*$BH$2)), 0),0)</f>
        <v>5717.6088927991223</v>
      </c>
      <c r="CY98" s="427">
        <f>VLOOKUP($A98,REP_current!$A$1:$D$135,MATCH("FY "&amp;$BH$1&amp; " Total Refund",REP_current!$A$1:$D$1,0),0)</f>
        <v>977820.46724975016</v>
      </c>
      <c r="CZ98" s="432">
        <f>MIN(VLOOKUP($A98,TOCA_current!$A$2:$AI$137,MATCH("TRL - NLSL - Existing Resource "&amp;$BH$1,TOCA_current!$A$2:$AI$2,0),FALSE)*$BH$2, VLOOKUP($A98,TOCA_current!$A$2:$AI$137,MATCH("RHWM 2018",TOCA_current!$A$2:$AI$2,0),FALSE)*$BH$2)</f>
        <v>678094.08</v>
      </c>
      <c r="DA98" s="397">
        <f>SUM(BN98:CK98)+(BH98*RT1SC!$C$4*$BH$2)</f>
        <v>688217.96889279911</v>
      </c>
      <c r="DB98" s="432">
        <f>VLOOKUP($A98,TOCA_current!$A$2:$AI$137,MATCH("Above RHWM Not Served with LS "&amp;$BH$1,TOCA_current!$A$2:$AI$2,0),FALSE)*$BH$2</f>
        <v>0</v>
      </c>
      <c r="DC98" s="401">
        <f t="shared" si="27"/>
        <v>10123.88889279915</v>
      </c>
      <c r="DD98" s="397">
        <f>(VLOOKUP($A98,TOCA_current!$A$2:$AI$137,MATCH("RHWM 2018",TOCA_current!$A$2:$AI$2,0),FALSE)*$BH$2) - $CZ98</f>
        <v>4406.2800000000279</v>
      </c>
      <c r="DE98" s="397">
        <f t="shared" si="28"/>
        <v>-4406.2800000000279</v>
      </c>
      <c r="DF98" s="397">
        <f t="shared" si="29"/>
        <v>0</v>
      </c>
      <c r="DG98" s="397">
        <f t="shared" si="30"/>
        <v>0</v>
      </c>
      <c r="DH98" s="397">
        <f t="shared" si="31"/>
        <v>-4406.2800000000279</v>
      </c>
    </row>
    <row r="99" spans="1:112">
      <c r="A99" s="274">
        <v>10294</v>
      </c>
      <c r="B99" s="275" t="s">
        <v>100</v>
      </c>
      <c r="C99" s="397">
        <v>0</v>
      </c>
      <c r="D99" s="397">
        <v>1</v>
      </c>
      <c r="E99" s="205">
        <f>VLOOKUP($A99,TOCA_previous!$A$2:$AI$137,MATCH(E$4,TOCA_previous!$A$2:$AI$2,0),FALSE)</f>
        <v>4.8970999999999997E-3</v>
      </c>
      <c r="F99" s="206">
        <f>VLOOKUP($A99,TOCA_previous!$A$2:$AI$137,MATCH(F$4,TOCA_previous!$A$2:$AI$2,0),FALSE)</f>
        <v>2.0772999999999998E-3</v>
      </c>
      <c r="G99" s="206">
        <f t="shared" si="16"/>
        <v>2.8197999999999999E-3</v>
      </c>
      <c r="H99" s="206">
        <f>VLOOKUP($A99,TOCA_previous!$A$2:$AI$137,MATCH(H$4,TOCA_previous!$A$2:$AI$2,0),FALSE)</f>
        <v>0</v>
      </c>
      <c r="I99" s="206">
        <f t="shared" si="17"/>
        <v>0</v>
      </c>
      <c r="J99" s="206">
        <f t="shared" si="18"/>
        <v>0</v>
      </c>
      <c r="K99" s="381">
        <f>VLOOKUP(A99, IRD!$A$5:$C$139, 3, FALSE)</f>
        <v>0</v>
      </c>
      <c r="L99" s="382">
        <f t="array" ref="L99">IF($G99=0, INDEX(LS_previous!$D$4:$AY$138, MATCH('Staging Table'!$A99, LS_previous!$B$4:$B$138, 0), MATCH(L$4&amp;L$5, LS_previous!$D$2:$AY$2&amp;LS_previous!$D$3:$AY$3, 0)),SUM(VLOOKUP($A99, LS_previous!$B$4:$AY$138, LS_previous!D$149, FALSE), VLOOKUP('Staging Table'!$A99, LS_previous!$B$4:$AY$138,LS_previous!AB$149, FALSE))/2)</f>
        <v>-797.24442858427301</v>
      </c>
      <c r="M99" s="382">
        <f t="array" ref="M99">IF($G99=0, INDEX(LS_previous!$D$4:$AY$138, MATCH('Staging Table'!$A99, LS_previous!$B$4:$B$138, 0), MATCH(M$4&amp;M$5, LS_previous!$D$2:$AY$2&amp;LS_previous!$D$3:$AY$3, 0)),SUM(VLOOKUP($A99, LS_previous!$B$4:$AY$138, LS_previous!E$149, FALSE), VLOOKUP('Staging Table'!$A99, LS_previous!$B$4:$AY$138,LS_previous!AC$149, FALSE))/2)</f>
        <v>575.30327013497731</v>
      </c>
      <c r="N99" s="382">
        <f t="array" ref="N99">IF($G99=0, INDEX(LS_previous!$D$4:$AY$138, MATCH('Staging Table'!$A99, LS_previous!$B$4:$B$138, 0), MATCH(N$4&amp;N$5, LS_previous!$D$2:$AY$2&amp;LS_previous!$D$3:$AY$3, 0)),SUM(VLOOKUP($A99, LS_previous!$B$4:$AY$138, LS_previous!F$149, FALSE), VLOOKUP('Staging Table'!$A99, LS_previous!$B$4:$AY$138,LS_previous!AD$149, FALSE))/2)</f>
        <v>-652.80378577260626</v>
      </c>
      <c r="O99" s="382">
        <f t="array" ref="O99">IF($G99=0, INDEX(LS_previous!$D$4:$AY$138, MATCH('Staging Table'!$A99, LS_previous!$B$4:$B$138, 0), MATCH(O$4&amp;O$5, LS_previous!$D$2:$AY$2&amp;LS_previous!$D$3:$AY$3, 0)),SUM(VLOOKUP($A99, LS_previous!$B$4:$AY$138, LS_previous!G$149, FALSE), VLOOKUP('Staging Table'!$A99, LS_previous!$B$4:$AY$138,LS_previous!AE$149, FALSE))/2)</f>
        <v>1203.4386820546683</v>
      </c>
      <c r="P99" s="382">
        <f t="array" ref="P99">IF($G99=0, INDEX(LS_previous!$D$4:$AY$138, MATCH('Staging Table'!$A99, LS_previous!$B$4:$B$138, 0), MATCH(P$4&amp;P$5, LS_previous!$D$2:$AY$2&amp;LS_previous!$D$3:$AY$3, 0)),SUM(VLOOKUP($A99, LS_previous!$B$4:$AY$138, LS_previous!H$149, FALSE), VLOOKUP('Staging Table'!$A99, LS_previous!$B$4:$AY$138,LS_previous!AF$149, FALSE))/2)</f>
        <v>1090.6681997849664</v>
      </c>
      <c r="Q99" s="382">
        <f t="array" ref="Q99">IF($G99=0, INDEX(LS_previous!$D$4:$AY$138, MATCH('Staging Table'!$A99, LS_previous!$B$4:$B$138, 0), MATCH(Q$4&amp;Q$5, LS_previous!$D$2:$AY$2&amp;LS_previous!$D$3:$AY$3, 0)),SUM(VLOOKUP($A99, LS_previous!$B$4:$AY$138, LS_previous!I$149, FALSE), VLOOKUP('Staging Table'!$A99, LS_previous!$B$4:$AY$138,LS_previous!AG$149, FALSE))/2)</f>
        <v>2079.9754048098584</v>
      </c>
      <c r="R99" s="382">
        <f t="array" ref="R99">IF($G99=0, INDEX(LS_previous!$D$4:$AY$138, MATCH('Staging Table'!$A99, LS_previous!$B$4:$B$138, 0), MATCH(R$4&amp;R$5, LS_previous!$D$2:$AY$2&amp;LS_previous!$D$3:$AY$3, 0)),SUM(VLOOKUP($A99, LS_previous!$B$4:$AY$138, LS_previous!J$149, FALSE), VLOOKUP('Staging Table'!$A99, LS_previous!$B$4:$AY$138,LS_previous!AH$149, FALSE))/2)</f>
        <v>1809.1061235883303</v>
      </c>
      <c r="S99" s="382">
        <f t="array" ref="S99">IF($G99=0, INDEX(LS_previous!$D$4:$AY$138, MATCH('Staging Table'!$A99, LS_previous!$B$4:$B$138, 0), MATCH(S$4&amp;S$5, LS_previous!$D$2:$AY$2&amp;LS_previous!$D$3:$AY$3, 0)),SUM(VLOOKUP($A99, LS_previous!$B$4:$AY$138, LS_previous!K$149, FALSE), VLOOKUP('Staging Table'!$A99, LS_previous!$B$4:$AY$138,LS_previous!AI$149, FALSE))/2)</f>
        <v>3036.5410415570122</v>
      </c>
      <c r="T99" s="382">
        <f t="array" ref="T99">IF($G99=0, INDEX(LS_previous!$D$4:$AY$138, MATCH('Staging Table'!$A99, LS_previous!$B$4:$B$138, 0), MATCH(T$4&amp;T$5, LS_previous!$D$2:$AY$2&amp;LS_previous!$D$3:$AY$3, 0)),SUM(VLOOKUP($A99, LS_previous!$B$4:$AY$138, LS_previous!L$149, FALSE), VLOOKUP('Staging Table'!$A99, LS_previous!$B$4:$AY$138,LS_previous!AJ$149, FALSE))/2)</f>
        <v>1286.5525469539007</v>
      </c>
      <c r="U99" s="382">
        <f t="array" ref="U99">IF($G99=0, INDEX(LS_previous!$D$4:$AY$138, MATCH('Staging Table'!$A99, LS_previous!$B$4:$B$138, 0), MATCH(U$4&amp;U$5, LS_previous!$D$2:$AY$2&amp;LS_previous!$D$3:$AY$3, 0)),SUM(VLOOKUP($A99, LS_previous!$B$4:$AY$138, LS_previous!M$149, FALSE), VLOOKUP('Staging Table'!$A99, LS_previous!$B$4:$AY$138,LS_previous!AK$149, FALSE))/2)</f>
        <v>1770.1073075776214</v>
      </c>
      <c r="V99" s="382">
        <f t="array" ref="V99">IF($G99=0, INDEX(LS_previous!$D$4:$AY$138, MATCH('Staging Table'!$A99, LS_previous!$B$4:$B$138, 0), MATCH(V$4&amp;V$5, LS_previous!$D$2:$AY$2&amp;LS_previous!$D$3:$AY$3, 0)),SUM(VLOOKUP($A99, LS_previous!$B$4:$AY$138, LS_previous!N$149, FALSE), VLOOKUP('Staging Table'!$A99, LS_previous!$B$4:$AY$138,LS_previous!AL$149, FALSE))/2)</f>
        <v>384.3807642926472</v>
      </c>
      <c r="W99" s="382">
        <f t="array" ref="W99">IF($G99=0, INDEX(LS_previous!$D$4:$AY$138, MATCH('Staging Table'!$A99, LS_previous!$B$4:$B$138, 0), MATCH(W$4&amp;W$5, LS_previous!$D$2:$AY$2&amp;LS_previous!$D$3:$AY$3, 0)),SUM(VLOOKUP($A99, LS_previous!$B$4:$AY$138, LS_previous!O$149, FALSE), VLOOKUP('Staging Table'!$A99, LS_previous!$B$4:$AY$138,LS_previous!AM$149, FALSE))/2)</f>
        <v>1012.5618872832029</v>
      </c>
      <c r="X99" s="382">
        <f t="array" ref="X99">IF($G99=0, INDEX(LS_previous!$D$4:$AY$138, MATCH('Staging Table'!$A99, LS_previous!$B$4:$B$138, 0), MATCH(X$4&amp;X$5, LS_previous!$D$2:$AY$2&amp;LS_previous!$D$3:$AY$3, 0)),SUM(VLOOKUP($A99, LS_previous!$B$4:$AY$138, LS_previous!P$149, FALSE), VLOOKUP('Staging Table'!$A99, LS_previous!$B$4:$AY$138,LS_previous!AN$149, FALSE))/2)</f>
        <v>303.8592425247034</v>
      </c>
      <c r="Y99" s="382">
        <f t="array" ref="Y99">IF($G99=0, INDEX(LS_previous!$D$4:$AY$138, MATCH('Staging Table'!$A99, LS_previous!$B$4:$B$138, 0), MATCH(Y$4&amp;Y$5, LS_previous!$D$2:$AY$2&amp;LS_previous!$D$3:$AY$3, 0)),SUM(VLOOKUP($A99, LS_previous!$B$4:$AY$138, LS_previous!Q$149, FALSE), VLOOKUP('Staging Table'!$A99, LS_previous!$B$4:$AY$138,LS_previous!AO$149, FALSE))/2)</f>
        <v>1082.9032372755773</v>
      </c>
      <c r="Z99" s="382">
        <f t="array" ref="Z99">IF($G99=0, INDEX(LS_previous!$D$4:$AY$138, MATCH('Staging Table'!$A99, LS_previous!$B$4:$B$138, 0), MATCH(Z$4&amp;Z$5, LS_previous!$D$2:$AY$2&amp;LS_previous!$D$3:$AY$3, 0)),SUM(VLOOKUP($A99, LS_previous!$B$4:$AY$138, LS_previous!R$149, FALSE), VLOOKUP('Staging Table'!$A99, LS_previous!$B$4:$AY$138,LS_previous!AP$149, FALSE))/2)</f>
        <v>-4017.5014073819621</v>
      </c>
      <c r="AA99" s="382">
        <f t="array" ref="AA99">IF($G99=0, INDEX(LS_previous!$D$4:$AY$138, MATCH('Staging Table'!$A99, LS_previous!$B$4:$B$138, 0), MATCH(AA$4&amp;AA$5, LS_previous!$D$2:$AY$2&amp;LS_previous!$D$3:$AY$3, 0)),SUM(VLOOKUP($A99, LS_previous!$B$4:$AY$138, LS_previous!S$149, FALSE), VLOOKUP('Staging Table'!$A99, LS_previous!$B$4:$AY$138,LS_previous!AQ$149, FALSE))/2)</f>
        <v>-895.35950394779456</v>
      </c>
      <c r="AB99" s="382">
        <f t="array" ref="AB99">IF($G99=0, INDEX(LS_previous!$D$4:$AY$138, MATCH('Staging Table'!$A99, LS_previous!$B$4:$B$138, 0), MATCH(AB$4&amp;AB$5, LS_previous!$D$2:$AY$2&amp;LS_previous!$D$3:$AY$3, 0)),SUM(VLOOKUP($A99, LS_previous!$B$4:$AY$138, LS_previous!T$149, FALSE), VLOOKUP('Staging Table'!$A99, LS_previous!$B$4:$AY$138,LS_previous!AR$149, FALSE))/2)</f>
        <v>-2600.7372507032819</v>
      </c>
      <c r="AC99" s="382">
        <f t="array" ref="AC99">IF($G99=0, INDEX(LS_previous!$D$4:$AY$138, MATCH('Staging Table'!$A99, LS_previous!$B$4:$B$138, 0), MATCH(AC$4&amp;AC$5, LS_previous!$D$2:$AY$2&amp;LS_previous!$D$3:$AY$3, 0)),SUM(VLOOKUP($A99, LS_previous!$B$4:$AY$138, LS_previous!U$149, FALSE), VLOOKUP('Staging Table'!$A99, LS_previous!$B$4:$AY$138,LS_previous!AS$149, FALSE))/2)</f>
        <v>-703.5040215212282</v>
      </c>
      <c r="AD99" s="382">
        <f t="array" ref="AD99">IF($G99=0, INDEX(LS_previous!$D$4:$AY$138, MATCH('Staging Table'!$A99, LS_previous!$B$4:$B$138, 0), MATCH(AD$4&amp;AD$5, LS_previous!$D$2:$AY$2&amp;LS_previous!$D$3:$AY$3, 0)),SUM(VLOOKUP($A99, LS_previous!$B$4:$AY$138, LS_previous!V$149, FALSE), VLOOKUP('Staging Table'!$A99, LS_previous!$B$4:$AY$138,LS_previous!AT$149, FALSE))/2)</f>
        <v>-2417.1930668924083</v>
      </c>
      <c r="AE99" s="382">
        <f t="array" ref="AE99">IF($G99=0, INDEX(LS_previous!$D$4:$AY$138, MATCH('Staging Table'!$A99, LS_previous!$B$4:$B$138, 0), MATCH(AE$4&amp;AE$5, LS_previous!$D$2:$AY$2&amp;LS_previous!$D$3:$AY$3, 0)),SUM(VLOOKUP($A99, LS_previous!$B$4:$AY$138, LS_previous!W$149, FALSE), VLOOKUP('Staging Table'!$A99, LS_previous!$B$4:$AY$138,LS_previous!AU$149, FALSE))/2)</f>
        <v>116.9032044606945</v>
      </c>
      <c r="AF99" s="382">
        <f t="array" ref="AF99">IF($G99=0, INDEX(LS_previous!$D$4:$AY$138, MATCH('Staging Table'!$A99, LS_previous!$B$4:$B$138, 0), MATCH(AF$4&amp;AF$5, LS_previous!$D$2:$AY$2&amp;LS_previous!$D$3:$AY$3, 0)),SUM(VLOOKUP($A99, LS_previous!$B$4:$AY$138, LS_previous!X$149, FALSE), VLOOKUP('Staging Table'!$A99, LS_previous!$B$4:$AY$138,LS_previous!AV$149, FALSE))/2)</f>
        <v>-2466.146871334086</v>
      </c>
      <c r="AG99" s="382">
        <f t="array" ref="AG99">IF($G99=0, INDEX(LS_previous!$D$4:$AY$138, MATCH('Staging Table'!$A99, LS_previous!$B$4:$B$138, 0), MATCH(AG$4&amp;AG$5, LS_previous!$D$2:$AY$2&amp;LS_previous!$D$3:$AY$3, 0)),SUM(VLOOKUP($A99, LS_previous!$B$4:$AY$138, LS_previous!Y$149, FALSE), VLOOKUP('Staging Table'!$A99, LS_previous!$B$4:$AY$138,LS_previous!AW$149, FALSE))/2)</f>
        <v>-235.09978833388141</v>
      </c>
      <c r="AH99" s="382">
        <f t="array" ref="AH99">IF($G99=0, INDEX(LS_previous!$D$4:$AY$138, MATCH('Staging Table'!$A99, LS_previous!$B$4:$B$138, 0), MATCH(AH$4&amp;AH$5, LS_previous!$D$2:$AY$2&amp;LS_previous!$D$3:$AY$3, 0)),SUM(VLOOKUP($A99, LS_previous!$B$4:$AY$138, LS_previous!Z$149, FALSE), VLOOKUP('Staging Table'!$A99, LS_previous!$B$4:$AY$138,LS_previous!AX$149, FALSE))/2)</f>
        <v>-1087.4181161997521</v>
      </c>
      <c r="AI99" s="382">
        <f t="array" ref="AI99">IF($G99=0, INDEX(LS_previous!$D$4:$AY$138, MATCH('Staging Table'!$A99, LS_previous!$B$4:$B$138, 0), MATCH(AI$4&amp;AI$5, LS_previous!$D$2:$AY$2&amp;LS_previous!$D$3:$AY$3, 0)),SUM(VLOOKUP($A99, LS_previous!$B$4:$AY$138, LS_previous!AA$149, FALSE), VLOOKUP('Staging Table'!$A99, LS_previous!$B$4:$AY$138,LS_previous!AY$149, FALSE))/2)</f>
        <v>121.46721573361833</v>
      </c>
      <c r="AJ99" s="384">
        <f t="array" ref="AJ99">INDEX(Demand_previous!$D$4:$AY$138, MATCH('Staging Table'!$A99, Demand_previous!$B$4:$B$138, 0), MATCH(AJ$4&amp;AJ$5,Demand_previous!$D$2:$AY$2&amp;Demand_previous!$D$3:$AY$3, 0))/1000</f>
        <v>0</v>
      </c>
      <c r="AK99" s="384">
        <f t="array" ref="AK99">INDEX(Demand_previous!$D$4:$AY$138, MATCH('Staging Table'!$A99, Demand_previous!$B$4:$B$138, 0), MATCH(AK$4&amp;AK$5,Demand_previous!$D$2:$AY$2&amp;Demand_previous!$D$3:$AY$3, 0))/1000</f>
        <v>0</v>
      </c>
      <c r="AL99" s="384">
        <f t="array" ref="AL99">INDEX(Demand_previous!$D$4:$AY$138, MATCH('Staging Table'!$A99, Demand_previous!$B$4:$B$138, 0), MATCH(AL$4&amp;AL$5,Demand_previous!$D$2:$AY$2&amp;Demand_previous!$D$3:$AY$3, 0))/1000</f>
        <v>0</v>
      </c>
      <c r="AM99" s="384">
        <f t="array" ref="AM99">INDEX(Demand_previous!$D$4:$AY$138, MATCH('Staging Table'!$A99, Demand_previous!$B$4:$B$138, 0), MATCH(AM$4&amp;AM$5,Demand_previous!$D$2:$AY$2&amp;Demand_previous!$D$3:$AY$3, 0))/1000</f>
        <v>0</v>
      </c>
      <c r="AN99" s="384">
        <f t="array" ref="AN99">INDEX(Demand_previous!$D$4:$AY$138, MATCH('Staging Table'!$A99, Demand_previous!$B$4:$B$138, 0), MATCH(AN$4&amp;AN$5,Demand_previous!$D$2:$AY$2&amp;Demand_previous!$D$3:$AY$3, 0))/1000</f>
        <v>0</v>
      </c>
      <c r="AO99" s="384">
        <f t="array" ref="AO99">INDEX(Demand_previous!$D$4:$AY$138, MATCH('Staging Table'!$A99, Demand_previous!$B$4:$B$138, 0), MATCH(AO$4&amp;AO$5,Demand_previous!$D$2:$AY$2&amp;Demand_previous!$D$3:$AY$3, 0))/1000</f>
        <v>0</v>
      </c>
      <c r="AP99" s="384">
        <f t="array" ref="AP99">INDEX(Demand_previous!$D$4:$AY$138, MATCH('Staging Table'!$A99, Demand_previous!$B$4:$B$138, 0), MATCH(AP$4&amp;AP$5,Demand_previous!$D$2:$AY$2&amp;Demand_previous!$D$3:$AY$3, 0))/1000</f>
        <v>0</v>
      </c>
      <c r="AQ99" s="384">
        <f t="array" ref="AQ99">INDEX(Demand_previous!$D$4:$AY$138, MATCH('Staging Table'!$A99, Demand_previous!$B$4:$B$138, 0), MATCH(AQ$4&amp;AQ$5,Demand_previous!$D$2:$AY$2&amp;Demand_previous!$D$3:$AY$3, 0))/1000</f>
        <v>0</v>
      </c>
      <c r="AR99" s="384">
        <f t="array" ref="AR99">INDEX(Demand_previous!$D$4:$AY$138, MATCH('Staging Table'!$A99, Demand_previous!$B$4:$B$138, 0), MATCH(AR$4&amp;AR$5,Demand_previous!$D$2:$AY$2&amp;Demand_previous!$D$3:$AY$3, 0))/1000</f>
        <v>0</v>
      </c>
      <c r="AS99" s="384">
        <f t="array" ref="AS99">INDEX(Demand_previous!$D$4:$AY$138, MATCH('Staging Table'!$A99, Demand_previous!$B$4:$B$138, 0), MATCH(AS$4&amp;AS$5,Demand_previous!$D$2:$AY$2&amp;Demand_previous!$D$3:$AY$3, 0))/1000</f>
        <v>0</v>
      </c>
      <c r="AT99" s="384">
        <f t="array" ref="AT99">INDEX(Demand_previous!$D$4:$AY$138, MATCH('Staging Table'!$A99, Demand_previous!$B$4:$B$138, 0), MATCH(AT$4&amp;AT$5,Demand_previous!$D$2:$AY$2&amp;Demand_previous!$D$3:$AY$3, 0))/1000</f>
        <v>0</v>
      </c>
      <c r="AU99" s="384">
        <f t="array" ref="AU99">INDEX(Demand_previous!$D$4:$AY$138, MATCH('Staging Table'!$A99, Demand_previous!$B$4:$B$138, 0), MATCH(AU$4&amp;AU$5,Demand_previous!$D$2:$AY$2&amp;Demand_previous!$D$3:$AY$3, 0))/1000</f>
        <v>0</v>
      </c>
      <c r="AV99" s="384">
        <f>IF($D99=0,IF(C99=0, MAX(AY99 - (VLOOKUP($A99,TOCA_previous!$A$2:$AI$137,MATCH("RHWM 2016",TOCA_previous!$A$2:$AI$2,0),FALSE)*$F$2*TOCA_previous!C96),0),0), 0)</f>
        <v>0</v>
      </c>
      <c r="AW99" s="427">
        <f>VLOOKUP($A99,REP_previous!$A$1:$D$135,MATCH("FY "&amp;$F$1&amp; " Total Refund",REP_previous!$A$1:$D$1,0),0)</f>
        <v>464644.85939064255</v>
      </c>
      <c r="AX99" s="398">
        <f>MIN(VLOOKUP($A99,TOCA_previous!$A$2:$AI$137,MATCH("TRL - NLSL - Exisiting Resource "&amp;$F$1,TOCA_previous!$A$2:$AI$2,0),FALSE)*$F$2,(VLOOKUP($A99,TOCA_previous!$A$2:$AI$137,MATCH("RHWM 2016",TOCA_previous!$A$2:$AI$2,0),FALSE)*$F$2))</f>
        <v>300386.44800000003</v>
      </c>
      <c r="AY99" s="384">
        <f>SUM(L99:AI99)+(F99*RT1SC!$C$3*$F$2)</f>
        <v>127421.13422823249</v>
      </c>
      <c r="AZ99" s="398">
        <f>VLOOKUP($A99,TOCA_previous!$A$2:$AI$137,MATCH("Above RHWM Not Served with LS "&amp;$F$1,TOCA_previous!$A$2:$AI$2,0),FALSE)*$F$2</f>
        <v>133753.96799999999</v>
      </c>
      <c r="BA99" s="206">
        <f t="shared" si="19"/>
        <v>-172965.31377176754</v>
      </c>
      <c r="BB99" s="399">
        <f>(VLOOKUP($A99,TOCA_previous!$A$2:$AI$137,MATCH("RHWM 2016",TOCA_previous!$A$2:$AI$2,0),FALSE)*$F$2) - $AX99</f>
        <v>15600.383999999962</v>
      </c>
      <c r="BC99" s="206">
        <f t="shared" si="20"/>
        <v>0</v>
      </c>
      <c r="BD99" s="400">
        <f t="shared" si="21"/>
        <v>39211.345771767548</v>
      </c>
      <c r="BE99" s="392">
        <f t="shared" si="22"/>
        <v>0</v>
      </c>
      <c r="BF99" s="399">
        <f t="shared" si="23"/>
        <v>0</v>
      </c>
      <c r="BG99" s="206">
        <f>VLOOKUP($A99,TOCA_current!$A$2:$AI$137,MATCH(BG$4,TOCA_current!$A$2:$AI$2,0),FALSE)</f>
        <v>4.9375E-3</v>
      </c>
      <c r="BH99" s="206">
        <f>VLOOKUP($A99,TOCA_current!$A$2:$AI$137,MATCH(BH$4,TOCA_current!$A$2:$AI$2,0),FALSE)</f>
        <v>2.1201000000000002E-3</v>
      </c>
      <c r="BI99" s="391">
        <f t="shared" si="24"/>
        <v>2.8173999999999999E-3</v>
      </c>
      <c r="BJ99" s="206">
        <f>VLOOKUP($A99,TOCA_current!A95:BG230,MATCH(BJ$4,TOCA_current!$A$2:$BG$2,0),FALSE)</f>
        <v>0</v>
      </c>
      <c r="BK99" s="206">
        <f t="shared" si="25"/>
        <v>0</v>
      </c>
      <c r="BL99" s="206">
        <f t="shared" si="26"/>
        <v>0</v>
      </c>
      <c r="BM99" s="381">
        <f>VLOOKUP($A99,IRD!$A$4:$G$139, 7, FALSE)</f>
        <v>0</v>
      </c>
      <c r="BN99" s="382">
        <f t="array" ref="BN99">IF($BI99=0, INDEX(LS_current!$D$4:$AY$139, MATCH('Staging Table'!$A99, LS_current!$B$4:$B$139, 0), MATCH(BN$4&amp;BN$5, LS_current!$D$2:$AY$2&amp;LS_current!$D$3:$AY$3, 0)),SUM(VLOOKUP($A99, LS_current!$B$4:$AY$139, LS_current!D$149, FALSE), VLOOKUP($A99, LS_current!$B$4:$AY$139,LS_current!D$149, FALSE))/2)</f>
        <v>-1057.6342451926957</v>
      </c>
      <c r="BO99" s="382">
        <f t="array" ref="BO99">IF($BI99=0, INDEX(LS_current!$D$4:$AY$139, MATCH('Staging Table'!$A99, LS_current!$B$4:$B$139, 0), MATCH(BO$4&amp;BO$5, LS_current!$D$2:$AY$2&amp;LS_current!$D$3:$AY$3, 0)),SUM(VLOOKUP($A99, LS_current!$B$4:$AY$139, LS_current!E$149, FALSE), VLOOKUP($A99, LS_current!$B$4:$AY$139,LS_current!E$149, FALSE))/2)</f>
        <v>788.8293051507153</v>
      </c>
      <c r="BP99" s="382">
        <f t="array" ref="BP99">IF($BI99=0, INDEX(LS_current!$D$4:$AY$139, MATCH('Staging Table'!$A99, LS_current!$B$4:$B$139, 0), MATCH(BP$4&amp;BP$5, LS_current!$D$2:$AY$2&amp;LS_current!$D$3:$AY$3, 0)),SUM(VLOOKUP($A99, LS_current!$B$4:$AY$139, LS_current!F$149, FALSE), VLOOKUP($A99, LS_current!$B$4:$AY$139,LS_current!F$149, FALSE))/2)</f>
        <v>-941.60117232591801</v>
      </c>
      <c r="BQ99" s="382">
        <f t="array" ref="BQ99">IF($BI99=0, INDEX(LS_current!$D$4:$AY$139, MATCH('Staging Table'!$A99, LS_current!$B$4:$B$139, 0), MATCH(BQ$4&amp;BQ$5, LS_current!$D$2:$AY$2&amp;LS_current!$D$3:$AY$3, 0)),SUM(VLOOKUP($A99, LS_current!$B$4:$AY$139, LS_current!G$149, FALSE), VLOOKUP($A99, LS_current!$B$4:$AY$139,LS_current!G$149, FALSE))/2)</f>
        <v>912.52180764964214</v>
      </c>
      <c r="BR99" s="382">
        <f t="array" ref="BR99">IF($BI99=0, INDEX(LS_current!$D$4:$AY$139, MATCH('Staging Table'!$A99, LS_current!$B$4:$B$139, 0), MATCH(BR$4&amp;BR$5, LS_current!$D$2:$AY$2&amp;LS_current!$D$3:$AY$3, 0)),SUM(VLOOKUP($A99, LS_current!$B$4:$AY$139, LS_current!H$149, FALSE), VLOOKUP($A99, LS_current!$B$4:$AY$139,LS_current!H$149, FALSE))/2)</f>
        <v>438.29252263692797</v>
      </c>
      <c r="BS99" s="382">
        <f t="array" ref="BS99">IF($BI99=0, INDEX(LS_current!$D$4:$AY$139, MATCH('Staging Table'!$A99, LS_current!$B$4:$B$139, 0), MATCH(BS$4&amp;BS$5, LS_current!$D$2:$AY$2&amp;LS_current!$D$3:$AY$3, 0)),SUM(VLOOKUP($A99, LS_current!$B$4:$AY$139, LS_current!I$149, FALSE), VLOOKUP($A99, LS_current!$B$4:$AY$139,LS_current!I$149, FALSE))/2)</f>
        <v>2303.1692309958471</v>
      </c>
      <c r="BT99" s="382">
        <f t="array" ref="BT99">IF($BI99=0, INDEX(LS_current!$D$4:$AY$139, MATCH('Staging Table'!$A99, LS_current!$B$4:$B$139, 0), MATCH(BT$4&amp;BT$5, LS_current!$D$2:$AY$2&amp;LS_current!$D$3:$AY$3, 0)),SUM(VLOOKUP($A99, LS_current!$B$4:$AY$139, LS_current!J$149, FALSE), VLOOKUP($A99, LS_current!$B$4:$AY$139,LS_current!J$149, FALSE))/2)</f>
        <v>1912.4851782730548</v>
      </c>
      <c r="BU99" s="382">
        <f t="array" ref="BU99">IF($BI99=0, INDEX(LS_current!$D$4:$AY$139, MATCH('Staging Table'!$A99, LS_current!$B$4:$B$139, 0), MATCH(BU$4&amp;BU$5, LS_current!$D$2:$AY$2&amp;LS_current!$D$3:$AY$3, 0)),SUM(VLOOKUP($A99, LS_current!$B$4:$AY$139, LS_current!K$149, FALSE), VLOOKUP($A99, LS_current!$B$4:$AY$139,LS_current!K$149, FALSE))/2)</f>
        <v>2596.2908839862284</v>
      </c>
      <c r="BV99" s="382">
        <f t="array" ref="BV99">IF($BI99=0, INDEX(LS_current!$D$4:$AY$139, MATCH('Staging Table'!$A99, LS_current!$B$4:$B$139, 0), MATCH(BV$4&amp;BV$5, LS_current!$D$2:$AY$2&amp;LS_current!$D$3:$AY$3, 0)),SUM(VLOOKUP($A99, LS_current!$B$4:$AY$139, LS_current!L$149, FALSE), VLOOKUP($A99, LS_current!$B$4:$AY$139,LS_current!L$149, FALSE))/2)</f>
        <v>1541.2137671876017</v>
      </c>
      <c r="BW99" s="382">
        <f t="array" ref="BW99">IF($BI99=0, INDEX(LS_current!$D$4:$AY$139, MATCH('Staging Table'!$A99, LS_current!$B$4:$B$139, 0), MATCH(BW$4&amp;BW$5, LS_current!$D$2:$AY$2&amp;LS_current!$D$3:$AY$3, 0)),SUM(VLOOKUP($A99, LS_current!$B$4:$AY$139, LS_current!M$149, FALSE), VLOOKUP($A99, LS_current!$B$4:$AY$139,LS_current!M$149, FALSE))/2)</f>
        <v>2052.3943220775072</v>
      </c>
      <c r="BX99" s="382">
        <f t="array" ref="BX99">IF($BI99=0, INDEX(LS_current!$D$4:$AY$139, MATCH('Staging Table'!$A99, LS_current!$B$4:$B$139, 0), MATCH(BX$4&amp;BX$5, LS_current!$D$2:$AY$2&amp;LS_current!$D$3:$AY$3, 0)),SUM(VLOOKUP($A99, LS_current!$B$4:$AY$139, LS_current!N$149, FALSE), VLOOKUP($A99, LS_current!$B$4:$AY$139,LS_current!N$149, FALSE))/2)</f>
        <v>546.23027707475012</v>
      </c>
      <c r="BY99" s="382">
        <f t="array" ref="BY99">IF($BI99=0, INDEX(LS_current!$D$4:$AY$139, MATCH('Staging Table'!$A99, LS_current!$B$4:$B$139, 0), MATCH(BY$4&amp;BY$5, LS_current!$D$2:$AY$2&amp;LS_current!$D$3:$AY$3, 0)),SUM(VLOOKUP($A99, LS_current!$B$4:$AY$139, LS_current!O$149, FALSE), VLOOKUP($A99, LS_current!$B$4:$AY$139,LS_current!O$149, FALSE))/2)</f>
        <v>1275.2465361510203</v>
      </c>
      <c r="BZ99" s="382">
        <f t="array" ref="BZ99">IF($BI99=0, INDEX(LS_current!$D$4:$AY$139, MATCH('Staging Table'!$A99, LS_current!$B$4:$B$139, 0), MATCH(BZ$4&amp;BZ$5, LS_current!$D$2:$AY$2&amp;LS_current!$D$3:$AY$3, 0)),SUM(VLOOKUP($A99, LS_current!$B$4:$AY$139, LS_current!P$149, FALSE), VLOOKUP($A99, LS_current!$B$4:$AY$139,LS_current!P$149, FALSE))/2)</f>
        <v>-622.29612180018739</v>
      </c>
      <c r="CA99" s="382">
        <f t="array" ref="CA99">IF($BI99=0, INDEX(LS_current!$D$4:$AY$139, MATCH('Staging Table'!$A99, LS_current!$B$4:$B$139, 0), MATCH(CA$4&amp;CA$5, LS_current!$D$2:$AY$2&amp;LS_current!$D$3:$AY$3, 0)),SUM(VLOOKUP($A99, LS_current!$B$4:$AY$139, LS_current!Q$149, FALSE), VLOOKUP($A99, LS_current!$B$4:$AY$139,LS_current!Q$149, FALSE))/2)</f>
        <v>1026.903074179444</v>
      </c>
      <c r="CB99" s="382">
        <f t="array" ref="CB99">IF($BI99=0, INDEX(LS_current!$D$4:$AY$139, MATCH('Staging Table'!$A99, LS_current!$B$4:$B$139, 0), MATCH(CB$4&amp;CB$5, LS_current!$D$2:$AY$2&amp;LS_current!$D$3:$AY$3, 0)),SUM(VLOOKUP($A99, LS_current!$B$4:$AY$139, LS_current!R$149, FALSE), VLOOKUP($A99, LS_current!$B$4:$AY$139,LS_current!R$149, FALSE))/2)</f>
        <v>-4057.1259919074637</v>
      </c>
      <c r="CC99" s="382">
        <f t="array" ref="CC99">IF($BI99=0, INDEX(LS_current!$D$4:$AY$139, MATCH('Staging Table'!$A99, LS_current!$B$4:$B$139, 0), MATCH(CC$4&amp;CC$5, LS_current!$D$2:$AY$2&amp;LS_current!$D$3:$AY$3, 0)),SUM(VLOOKUP($A99, LS_current!$B$4:$AY$139, LS_current!S$149, FALSE), VLOOKUP($A99, LS_current!$B$4:$AY$139,LS_current!S$149, FALSE))/2)</f>
        <v>-1212.8286480806546</v>
      </c>
      <c r="CD99" s="382">
        <f t="array" ref="CD99">IF($BI99=0, INDEX(LS_current!$D$4:$AY$139, MATCH('Staging Table'!$A99, LS_current!$B$4:$B$139, 0), MATCH(CD$4&amp;CD$5, LS_current!$D$2:$AY$2&amp;LS_current!$D$3:$AY$3, 0)),SUM(VLOOKUP($A99, LS_current!$B$4:$AY$139, LS_current!T$149, FALSE), VLOOKUP($A99, LS_current!$B$4:$AY$139,LS_current!T$149, FALSE))/2)</f>
        <v>-2752.1552361714694</v>
      </c>
      <c r="CE99" s="382">
        <f t="array" ref="CE99">IF($BI99=0, INDEX(LS_current!$D$4:$AY$139, MATCH('Staging Table'!$A99, LS_current!$B$4:$B$139, 0), MATCH(CE$4&amp;CE$5, LS_current!$D$2:$AY$2&amp;LS_current!$D$3:$AY$3, 0)),SUM(VLOOKUP($A99, LS_current!$B$4:$AY$139, LS_current!U$149, FALSE), VLOOKUP($A99, LS_current!$B$4:$AY$139,LS_current!U$149, FALSE))/2)</f>
        <v>-529.65571826382939</v>
      </c>
      <c r="CF99" s="382">
        <f t="array" ref="CF99">IF($BI99=0, INDEX(LS_current!$D$4:$AY$139, MATCH('Staging Table'!$A99, LS_current!$B$4:$B$139, 0), MATCH(CF$4&amp;CF$5, LS_current!$D$2:$AY$2&amp;LS_current!$D$3:$AY$3, 0)),SUM(VLOOKUP($A99, LS_current!$B$4:$AY$139, LS_current!V$149, FALSE), VLOOKUP($A99, LS_current!$B$4:$AY$139,LS_current!V$149, FALSE))/2)</f>
        <v>-2030.6619721215029</v>
      </c>
      <c r="CG99" s="382">
        <f t="array" ref="CG99">IF($BI99=0, INDEX(LS_current!$D$4:$AY$139, MATCH('Staging Table'!$A99, LS_current!$B$4:$B$139, 0), MATCH(CG$4&amp;CG$5, LS_current!$D$2:$AY$2&amp;LS_current!$D$3:$AY$3, 0)),SUM(VLOOKUP($A99, LS_current!$B$4:$AY$139, LS_current!W$149, FALSE), VLOOKUP($A99, LS_current!$B$4:$AY$139,LS_current!W$149, FALSE))/2)</f>
        <v>378.5317241849898</v>
      </c>
      <c r="CH99" s="382">
        <f t="array" ref="CH99">IF($BI99=0, INDEX(LS_current!$D$4:$AY$139, MATCH('Staging Table'!$A99, LS_current!$B$4:$B$139, 0), MATCH(CH$4&amp;CH$5, LS_current!$D$2:$AY$2&amp;LS_current!$D$3:$AY$3, 0)),SUM(VLOOKUP($A99, LS_current!$B$4:$AY$139, LS_current!X$149, FALSE), VLOOKUP($A99, LS_current!$B$4:$AY$139,LS_current!X$149, FALSE))/2)</f>
        <v>-2536.0897995008827</v>
      </c>
      <c r="CI99" s="382">
        <f t="array" ref="CI99">IF($BI99=0, INDEX(LS_current!$D$4:$AY$139, MATCH('Staging Table'!$A99, LS_current!$B$4:$B$139, 0), MATCH(CI$4&amp;CI$5, LS_current!$D$2:$AY$2&amp;LS_current!$D$3:$AY$3, 0)),SUM(VLOOKUP($A99, LS_current!$B$4:$AY$139, LS_current!Y$149, FALSE), VLOOKUP($A99, LS_current!$B$4:$AY$139,LS_current!Y$149, FALSE))/2)</f>
        <v>-173.81816788554124</v>
      </c>
      <c r="CJ99" s="382">
        <f t="array" ref="CJ99">IF($BI99=0, INDEX(LS_current!$D$4:$AY$139, MATCH('Staging Table'!$A99, LS_current!$B$4:$B$139, 0), MATCH(CJ$4&amp;CJ$5, LS_current!$D$2:$AY$2&amp;LS_current!$D$3:$AY$3, 0)),SUM(VLOOKUP($A99, LS_current!$B$4:$AY$139, LS_current!Z$149, FALSE), VLOOKUP($A99, LS_current!$B$4:$AY$139,LS_current!Z$149, FALSE))/2)</f>
        <v>-2084.9330044487378</v>
      </c>
      <c r="CK99" s="382">
        <f t="array" ref="CK99">IF($BI99=0, INDEX(LS_current!$D$4:$AY$139, MATCH('Staging Table'!$A99, LS_current!$B$4:$B$139, 0), MATCH(CK$4&amp;CK$5, LS_current!$D$2:$AY$2&amp;LS_current!$D$3:$AY$3, 0)),SUM(VLOOKUP($A99, LS_current!$B$4:$AY$139, LS_current!AA$149, FALSE), VLOOKUP($A99, LS_current!$B$4:$AY$139,LS_current!AA$149, FALSE))/2)</f>
        <v>135.48560956473739</v>
      </c>
      <c r="CL99" s="384">
        <f t="array" ref="CL99">INDEX(Demand_current!$D$4:$AY$138, MATCH($A99, Demand_current!$B$4:$B$138, 0), MATCH(CL$4&amp;CL$5,Demand_current!$D$2:$AY$2&amp;Demand_current!$D$3:$AY$3, 0))/1000</f>
        <v>0</v>
      </c>
      <c r="CM99" s="384">
        <f t="array" ref="CM99">INDEX(Demand_current!$D$4:$AY$138, MATCH($A99, Demand_current!$B$4:$B$138, 0), MATCH(CM$4&amp;CM$5,Demand_current!$D$2:$AY$2&amp;Demand_current!$D$3:$AY$3, 0))/1000</f>
        <v>0</v>
      </c>
      <c r="CN99" s="384">
        <f t="array" ref="CN99">INDEX(Demand_current!$D$4:$AY$138, MATCH($A99, Demand_current!$B$4:$B$138, 0), MATCH(CN$4&amp;CN$5,Demand_current!$D$2:$AY$2&amp;Demand_current!$D$3:$AY$3, 0))/1000</f>
        <v>0</v>
      </c>
      <c r="CO99" s="384">
        <f t="array" ref="CO99">INDEX(Demand_current!$D$4:$AY$138, MATCH($A99, Demand_current!$B$4:$B$138, 0), MATCH(CO$4&amp;CO$5,Demand_current!$D$2:$AY$2&amp;Demand_current!$D$3:$AY$3, 0))/1000</f>
        <v>0</v>
      </c>
      <c r="CP99" s="384">
        <f t="array" ref="CP99">INDEX(Demand_current!$D$4:$AY$138, MATCH($A99, Demand_current!$B$4:$B$138, 0), MATCH(CP$4&amp;CP$5,Demand_current!$D$2:$AY$2&amp;Demand_current!$D$3:$AY$3, 0))/1000</f>
        <v>0</v>
      </c>
      <c r="CQ99" s="384">
        <f t="array" ref="CQ99">INDEX(Demand_current!$D$4:$AY$138, MATCH($A99, Demand_current!$B$4:$B$138, 0), MATCH(CQ$4&amp;CQ$5,Demand_current!$D$2:$AY$2&amp;Demand_current!$D$3:$AY$3, 0))/1000</f>
        <v>0</v>
      </c>
      <c r="CR99" s="384">
        <f t="array" ref="CR99">INDEX(Demand_current!$D$4:$AY$138, MATCH($A99, Demand_current!$B$4:$B$138, 0), MATCH(CR$4&amp;CR$5,Demand_current!$D$2:$AY$2&amp;Demand_current!$D$3:$AY$3, 0))/1000</f>
        <v>0</v>
      </c>
      <c r="CS99" s="384">
        <f t="array" ref="CS99">INDEX(Demand_current!$D$4:$AY$138, MATCH($A99, Demand_current!$B$4:$B$138, 0), MATCH(CS$4&amp;CS$5,Demand_current!$D$2:$AY$2&amp;Demand_current!$D$3:$AY$3, 0))/1000</f>
        <v>0</v>
      </c>
      <c r="CT99" s="384">
        <f t="array" ref="CT99">INDEX(Demand_current!$D$4:$AY$138, MATCH($A99, Demand_current!$B$4:$B$138, 0), MATCH(CT$4&amp;CT$5,Demand_current!$D$2:$AY$2&amp;Demand_current!$D$3:$AY$3, 0))/1000</f>
        <v>0</v>
      </c>
      <c r="CU99" s="384">
        <f t="array" ref="CU99">INDEX(Demand_current!$D$4:$AY$138, MATCH($A99, Demand_current!$B$4:$B$138, 0), MATCH(CU$4&amp;CU$5,Demand_current!$D$2:$AY$2&amp;Demand_current!$D$3:$AY$3, 0))/1000</f>
        <v>0</v>
      </c>
      <c r="CV99" s="384">
        <f t="array" ref="CV99">INDEX(Demand_current!$D$4:$AY$138, MATCH($A99, Demand_current!$B$4:$B$138, 0), MATCH(CV$4&amp;CV$5,Demand_current!$D$2:$AY$2&amp;Demand_current!$D$3:$AY$3, 0))/1000</f>
        <v>0</v>
      </c>
      <c r="CW99" s="384">
        <f t="array" ref="CW99">INDEX(Demand_current!$D$4:$AY$138, MATCH($A99, Demand_current!$B$4:$B$138, 0), MATCH(CW$4&amp;CW$5,Demand_current!$D$2:$AY$2&amp;Demand_current!$D$3:$AY$3, 0))/1000</f>
        <v>0</v>
      </c>
      <c r="CX99" s="384">
        <f>IF(D99=0,IF(C99=0,MAX(0,DA99 - (VLOOKUP($A99,TOCA_current!$A$2:$AI$137,MATCH("RHWM 2018",TOCA_current!$A$2:$AI$2,0),FALSE)*$BH$2)), 0),0)</f>
        <v>0</v>
      </c>
      <c r="CY99" s="427">
        <f>VLOOKUP($A99,REP_current!$A$1:$D$135,MATCH("FY "&amp;$BH$1&amp; " Total Refund",REP_current!$A$1:$D$1,0),0)</f>
        <v>459289.05215150065</v>
      </c>
      <c r="CZ99" s="432">
        <f>MIN(VLOOKUP($A99,TOCA_current!$A$2:$AI$137,MATCH("TRL - NLSL - Existing Resource "&amp;$BH$1,TOCA_current!$A$2:$AI$2,0),FALSE)*$BH$2, VLOOKUP($A99,TOCA_current!$A$2:$AI$137,MATCH("RHWM 2018",TOCA_current!$A$2:$AI$2,0),FALSE)*$BH$2)</f>
        <v>300380.39999999997</v>
      </c>
      <c r="DA99" s="397">
        <f>SUM(BN99:CK99)+(BH99*RT1SC!$C$4*$BH$2)</f>
        <v>126889.00188170958</v>
      </c>
      <c r="DB99" s="432">
        <f>VLOOKUP($A99,TOCA_current!$A$2:$AI$137,MATCH("Above RHWM Not Served with LS "&amp;$BH$1,TOCA_current!$A$2:$AI$2,0),FALSE)*$BH$2</f>
        <v>0</v>
      </c>
      <c r="DC99" s="401">
        <f t="shared" si="27"/>
        <v>-173491.39811829038</v>
      </c>
      <c r="DD99" s="397">
        <f>(VLOOKUP($A99,TOCA_current!$A$2:$AI$137,MATCH("RHWM 2018",TOCA_current!$A$2:$AI$2,0),FALSE)*$BH$2) - $CZ99</f>
        <v>12737.040000000037</v>
      </c>
      <c r="DE99" s="397">
        <f t="shared" si="28"/>
        <v>0</v>
      </c>
      <c r="DF99" s="397">
        <f t="shared" si="29"/>
        <v>173491.39811829038</v>
      </c>
      <c r="DG99" s="397">
        <f t="shared" si="30"/>
        <v>0</v>
      </c>
      <c r="DH99" s="397">
        <f t="shared" si="31"/>
        <v>0</v>
      </c>
    </row>
    <row r="100" spans="1:112">
      <c r="A100" s="274">
        <v>10304</v>
      </c>
      <c r="B100" s="275" t="s">
        <v>101</v>
      </c>
      <c r="C100" s="397">
        <v>0</v>
      </c>
      <c r="D100" s="397">
        <v>0</v>
      </c>
      <c r="E100" s="205">
        <f>VLOOKUP($A100,TOCA_previous!$A$2:$AI$137,MATCH(E$4,TOCA_previous!$A$2:$AI$2,0),FALSE)</f>
        <v>1.9864000000000001E-3</v>
      </c>
      <c r="F100" s="206">
        <f>VLOOKUP($A100,TOCA_previous!$A$2:$AI$137,MATCH(F$4,TOCA_previous!$A$2:$AI$2,0),FALSE)</f>
        <v>1.9864000000000001E-3</v>
      </c>
      <c r="G100" s="206">
        <f t="shared" si="16"/>
        <v>0</v>
      </c>
      <c r="H100" s="206">
        <f>VLOOKUP($A100,TOCA_previous!$A$2:$AI$137,MATCH(H$4,TOCA_previous!$A$2:$AI$2,0),FALSE)</f>
        <v>0</v>
      </c>
      <c r="I100" s="206">
        <f t="shared" si="17"/>
        <v>0</v>
      </c>
      <c r="J100" s="206">
        <f t="shared" si="18"/>
        <v>0</v>
      </c>
      <c r="K100" s="381">
        <f>VLOOKUP(A100, IRD!$A$5:$C$139, 3, FALSE)</f>
        <v>0</v>
      </c>
      <c r="L100" s="382">
        <f t="array" ref="L100">IF($G100=0, INDEX(LS_previous!$D$4:$AY$138, MATCH('Staging Table'!$A100, LS_previous!$B$4:$B$138, 0), MATCH(L$4&amp;L$5, LS_previous!$D$2:$AY$2&amp;LS_previous!$D$3:$AY$3, 0)),SUM(VLOOKUP($A100, LS_previous!$B$4:$AY$138, LS_previous!D$149, FALSE), VLOOKUP('Staging Table'!$A100, LS_previous!$B$4:$AY$138,LS_previous!AB$149, FALSE))/2)</f>
        <v>-223.17110340119143</v>
      </c>
      <c r="M100" s="382">
        <f t="array" ref="M100">IF($G100=0, INDEX(LS_previous!$D$4:$AY$138, MATCH('Staging Table'!$A100, LS_previous!$B$4:$B$138, 0), MATCH(M$4&amp;M$5, LS_previous!$D$2:$AY$2&amp;LS_previous!$D$3:$AY$3, 0)),SUM(VLOOKUP($A100, LS_previous!$B$4:$AY$138, LS_previous!E$149, FALSE), VLOOKUP('Staging Table'!$A100, LS_previous!$B$4:$AY$138,LS_previous!AC$149, FALSE))/2)</f>
        <v>140.41684663495971</v>
      </c>
      <c r="N100" s="382">
        <f t="array" ref="N100">IF($G100=0, INDEX(LS_previous!$D$4:$AY$138, MATCH('Staging Table'!$A100, LS_previous!$B$4:$B$138, 0), MATCH(N$4&amp;N$5, LS_previous!$D$2:$AY$2&amp;LS_previous!$D$3:$AY$3, 0)),SUM(VLOOKUP($A100, LS_previous!$B$4:$AY$138, LS_previous!F$149, FALSE), VLOOKUP('Staging Table'!$A100, LS_previous!$B$4:$AY$138,LS_previous!AD$149, FALSE))/2)</f>
        <v>135.32544092445187</v>
      </c>
      <c r="O100" s="382">
        <f t="array" ref="O100">IF($G100=0, INDEX(LS_previous!$D$4:$AY$138, MATCH('Staging Table'!$A100, LS_previous!$B$4:$B$138, 0), MATCH(O$4&amp;O$5, LS_previous!$D$2:$AY$2&amp;LS_previous!$D$3:$AY$3, 0)),SUM(VLOOKUP($A100, LS_previous!$B$4:$AY$138, LS_previous!G$149, FALSE), VLOOKUP('Staging Table'!$A100, LS_previous!$B$4:$AY$138,LS_previous!AE$149, FALSE))/2)</f>
        <v>647.12367354293747</v>
      </c>
      <c r="P100" s="382">
        <f t="array" ref="P100">IF($G100=0, INDEX(LS_previous!$D$4:$AY$138, MATCH('Staging Table'!$A100, LS_previous!$B$4:$B$138, 0), MATCH(P$4&amp;P$5, LS_previous!$D$2:$AY$2&amp;LS_previous!$D$3:$AY$3, 0)),SUM(VLOOKUP($A100, LS_previous!$B$4:$AY$138, LS_previous!H$149, FALSE), VLOOKUP('Staging Table'!$A100, LS_previous!$B$4:$AY$138,LS_previous!AF$149, FALSE))/2)</f>
        <v>1146.758487418344</v>
      </c>
      <c r="Q100" s="382">
        <f t="array" ref="Q100">IF($G100=0, INDEX(LS_previous!$D$4:$AY$138, MATCH('Staging Table'!$A100, LS_previous!$B$4:$B$138, 0), MATCH(Q$4&amp;Q$5, LS_previous!$D$2:$AY$2&amp;LS_previous!$D$3:$AY$3, 0)),SUM(VLOOKUP($A100, LS_previous!$B$4:$AY$138, LS_previous!I$149, FALSE), VLOOKUP('Staging Table'!$A100, LS_previous!$B$4:$AY$138,LS_previous!AG$149, FALSE))/2)</f>
        <v>1346.6120478721305</v>
      </c>
      <c r="R100" s="382">
        <f t="array" ref="R100">IF($G100=0, INDEX(LS_previous!$D$4:$AY$138, MATCH('Staging Table'!$A100, LS_previous!$B$4:$B$138, 0), MATCH(R$4&amp;R$5, LS_previous!$D$2:$AY$2&amp;LS_previous!$D$3:$AY$3, 0)),SUM(VLOOKUP($A100, LS_previous!$B$4:$AY$138, LS_previous!J$149, FALSE), VLOOKUP('Staging Table'!$A100, LS_previous!$B$4:$AY$138,LS_previous!AH$149, FALSE))/2)</f>
        <v>2080.7768379055187</v>
      </c>
      <c r="S100" s="382">
        <f t="array" ref="S100">IF($G100=0, INDEX(LS_previous!$D$4:$AY$138, MATCH('Staging Table'!$A100, LS_previous!$B$4:$B$138, 0), MATCH(S$4&amp;S$5, LS_previous!$D$2:$AY$2&amp;LS_previous!$D$3:$AY$3, 0)),SUM(VLOOKUP($A100, LS_previous!$B$4:$AY$138, LS_previous!K$149, FALSE), VLOOKUP('Staging Table'!$A100, LS_previous!$B$4:$AY$138,LS_previous!AI$149, FALSE))/2)</f>
        <v>1783.2106700731806</v>
      </c>
      <c r="T100" s="382">
        <f t="array" ref="T100">IF($G100=0, INDEX(LS_previous!$D$4:$AY$138, MATCH('Staging Table'!$A100, LS_previous!$B$4:$B$138, 0), MATCH(T$4&amp;T$5, LS_previous!$D$2:$AY$2&amp;LS_previous!$D$3:$AY$3, 0)),SUM(VLOOKUP($A100, LS_previous!$B$4:$AY$138, LS_previous!L$149, FALSE), VLOOKUP('Staging Table'!$A100, LS_previous!$B$4:$AY$138,LS_previous!AJ$149, FALSE))/2)</f>
        <v>1521.9292799538307</v>
      </c>
      <c r="U100" s="382">
        <f t="array" ref="U100">IF($G100=0, INDEX(LS_previous!$D$4:$AY$138, MATCH('Staging Table'!$A100, LS_previous!$B$4:$B$138, 0), MATCH(U$4&amp;U$5, LS_previous!$D$2:$AY$2&amp;LS_previous!$D$3:$AY$3, 0)),SUM(VLOOKUP($A100, LS_previous!$B$4:$AY$138, LS_previous!M$149, FALSE), VLOOKUP('Staging Table'!$A100, LS_previous!$B$4:$AY$138,LS_previous!AK$149, FALSE))/2)</f>
        <v>1322.4511427016664</v>
      </c>
      <c r="V100" s="382">
        <f t="array" ref="V100">IF($G100=0, INDEX(LS_previous!$D$4:$AY$138, MATCH('Staging Table'!$A100, LS_previous!$B$4:$B$138, 0), MATCH(V$4&amp;V$5, LS_previous!$D$2:$AY$2&amp;LS_previous!$D$3:$AY$3, 0)),SUM(VLOOKUP($A100, LS_previous!$B$4:$AY$138, LS_previous!N$149, FALSE), VLOOKUP('Staging Table'!$A100, LS_previous!$B$4:$AY$138,LS_previous!AL$149, FALSE))/2)</f>
        <v>409.15017085478212</v>
      </c>
      <c r="W100" s="382">
        <f t="array" ref="W100">IF($G100=0, INDEX(LS_previous!$D$4:$AY$138, MATCH('Staging Table'!$A100, LS_previous!$B$4:$B$138, 0), MATCH(W$4&amp;W$5, LS_previous!$D$2:$AY$2&amp;LS_previous!$D$3:$AY$3, 0)),SUM(VLOOKUP($A100, LS_previous!$B$4:$AY$138, LS_previous!O$149, FALSE), VLOOKUP('Staging Table'!$A100, LS_previous!$B$4:$AY$138,LS_previous!AM$149, FALSE))/2)</f>
        <v>387.74275892307423</v>
      </c>
      <c r="X100" s="382">
        <f t="array" ref="X100">IF($G100=0, INDEX(LS_previous!$D$4:$AY$138, MATCH('Staging Table'!$A100, LS_previous!$B$4:$B$138, 0), MATCH(X$4&amp;X$5, LS_previous!$D$2:$AY$2&amp;LS_previous!$D$3:$AY$3, 0)),SUM(VLOOKUP($A100, LS_previous!$B$4:$AY$138, LS_previous!P$149, FALSE), VLOOKUP('Staging Table'!$A100, LS_previous!$B$4:$AY$138,LS_previous!AN$149, FALSE))/2)</f>
        <v>679.37105406825958</v>
      </c>
      <c r="Y100" s="382">
        <f t="array" ref="Y100">IF($G100=0, INDEX(LS_previous!$D$4:$AY$138, MATCH('Staging Table'!$A100, LS_previous!$B$4:$B$138, 0), MATCH(Y$4&amp;Y$5, LS_previous!$D$2:$AY$2&amp;LS_previous!$D$3:$AY$3, 0)),SUM(VLOOKUP($A100, LS_previous!$B$4:$AY$138, LS_previous!Q$149, FALSE), VLOOKUP('Staging Table'!$A100, LS_previous!$B$4:$AY$138,LS_previous!AO$149, FALSE))/2)</f>
        <v>581.76933811971003</v>
      </c>
      <c r="Z100" s="382">
        <f t="array" ref="Z100">IF($G100=0, INDEX(LS_previous!$D$4:$AY$138, MATCH('Staging Table'!$A100, LS_previous!$B$4:$B$138, 0), MATCH(Z$4&amp;Z$5, LS_previous!$D$2:$AY$2&amp;LS_previous!$D$3:$AY$3, 0)),SUM(VLOOKUP($A100, LS_previous!$B$4:$AY$138, LS_previous!R$149, FALSE), VLOOKUP('Staging Table'!$A100, LS_previous!$B$4:$AY$138,LS_previous!AP$149, FALSE))/2)</f>
        <v>-3521.9547915398934</v>
      </c>
      <c r="AA100" s="382">
        <f t="array" ref="AA100">IF($G100=0, INDEX(LS_previous!$D$4:$AY$138, MATCH('Staging Table'!$A100, LS_previous!$B$4:$B$138, 0), MATCH(AA$4&amp;AA$5, LS_previous!$D$2:$AY$2&amp;LS_previous!$D$3:$AY$3, 0)),SUM(VLOOKUP($A100, LS_previous!$B$4:$AY$138, LS_previous!S$149, FALSE), VLOOKUP('Staging Table'!$A100, LS_previous!$B$4:$AY$138,LS_previous!AQ$149, FALSE))/2)</f>
        <v>-1386.3686199082608</v>
      </c>
      <c r="AB100" s="382">
        <f t="array" ref="AB100">IF($G100=0, INDEX(LS_previous!$D$4:$AY$138, MATCH('Staging Table'!$A100, LS_previous!$B$4:$B$138, 0), MATCH(AB$4&amp;AB$5, LS_previous!$D$2:$AY$2&amp;LS_previous!$D$3:$AY$3, 0)),SUM(VLOOKUP($A100, LS_previous!$B$4:$AY$138, LS_previous!T$149, FALSE), VLOOKUP('Staging Table'!$A100, LS_previous!$B$4:$AY$138,LS_previous!AR$149, FALSE))/2)</f>
        <v>-2304.638514567212</v>
      </c>
      <c r="AC100" s="382">
        <f t="array" ref="AC100">IF($G100=0, INDEX(LS_previous!$D$4:$AY$138, MATCH('Staging Table'!$A100, LS_previous!$B$4:$B$138, 0), MATCH(AC$4&amp;AC$5, LS_previous!$D$2:$AY$2&amp;LS_previous!$D$3:$AY$3, 0)),SUM(VLOOKUP($A100, LS_previous!$B$4:$AY$138, LS_previous!U$149, FALSE), VLOOKUP('Staging Table'!$A100, LS_previous!$B$4:$AY$138,LS_previous!AS$149, FALSE))/2)</f>
        <v>-1110.0635690573022</v>
      </c>
      <c r="AD100" s="382">
        <f t="array" ref="AD100">IF($G100=0, INDEX(LS_previous!$D$4:$AY$138, MATCH('Staging Table'!$A100, LS_previous!$B$4:$B$138, 0), MATCH(AD$4&amp;AD$5, LS_previous!$D$2:$AY$2&amp;LS_previous!$D$3:$AY$3, 0)),SUM(VLOOKUP($A100, LS_previous!$B$4:$AY$138, LS_previous!V$149, FALSE), VLOOKUP('Staging Table'!$A100, LS_previous!$B$4:$AY$138,LS_previous!AT$149, FALSE))/2)</f>
        <v>-1975.3391013061546</v>
      </c>
      <c r="AE100" s="382">
        <f t="array" ref="AE100">IF($G100=0, INDEX(LS_previous!$D$4:$AY$138, MATCH('Staging Table'!$A100, LS_previous!$B$4:$B$138, 0), MATCH(AE$4&amp;AE$5, LS_previous!$D$2:$AY$2&amp;LS_previous!$D$3:$AY$3, 0)),SUM(VLOOKUP($A100, LS_previous!$B$4:$AY$138, LS_previous!W$149, FALSE), VLOOKUP('Staging Table'!$A100, LS_previous!$B$4:$AY$138,LS_previous!AU$149, FALSE))/2)</f>
        <v>-432.99916977060548</v>
      </c>
      <c r="AF100" s="382">
        <f t="array" ref="AF100">IF($G100=0, INDEX(LS_previous!$D$4:$AY$138, MATCH('Staging Table'!$A100, LS_previous!$B$4:$B$138, 0), MATCH(AF$4&amp;AF$5, LS_previous!$D$2:$AY$2&amp;LS_previous!$D$3:$AY$3, 0)),SUM(VLOOKUP($A100, LS_previous!$B$4:$AY$138, LS_previous!X$149, FALSE), VLOOKUP('Staging Table'!$A100, LS_previous!$B$4:$AY$138,LS_previous!AV$149, FALSE))/2)</f>
        <v>-2214.8522637897649</v>
      </c>
      <c r="AG100" s="382">
        <f t="array" ref="AG100">IF($G100=0, INDEX(LS_previous!$D$4:$AY$138, MATCH('Staging Table'!$A100, LS_previous!$B$4:$B$138, 0), MATCH(AG$4&amp;AG$5, LS_previous!$D$2:$AY$2&amp;LS_previous!$D$3:$AY$3, 0)),SUM(VLOOKUP($A100, LS_previous!$B$4:$AY$138, LS_previous!Y$149, FALSE), VLOOKUP('Staging Table'!$A100, LS_previous!$B$4:$AY$138,LS_previous!AW$149, FALSE))/2)</f>
        <v>-677.25861126813606</v>
      </c>
      <c r="AH100" s="382">
        <f t="array" ref="AH100">IF($G100=0, INDEX(LS_previous!$D$4:$AY$138, MATCH('Staging Table'!$A100, LS_previous!$B$4:$B$138, 0), MATCH(AH$4&amp;AH$5, LS_previous!$D$2:$AY$2&amp;LS_previous!$D$3:$AY$3, 0)),SUM(VLOOKUP($A100, LS_previous!$B$4:$AY$138, LS_previous!Z$149, FALSE), VLOOKUP('Staging Table'!$A100, LS_previous!$B$4:$AY$138,LS_previous!AX$149, FALSE))/2)</f>
        <v>-728.2920214410733</v>
      </c>
      <c r="AI100" s="382">
        <f t="array" ref="AI100">IF($G100=0, INDEX(LS_previous!$D$4:$AY$138, MATCH('Staging Table'!$A100, LS_previous!$B$4:$B$138, 0), MATCH(AI$4&amp;AI$5, LS_previous!$D$2:$AY$2&amp;LS_previous!$D$3:$AY$3, 0)),SUM(VLOOKUP($A100, LS_previous!$B$4:$AY$138, LS_previous!AA$149, FALSE), VLOOKUP('Staging Table'!$A100, LS_previous!$B$4:$AY$138,LS_previous!AY$149, FALSE))/2)</f>
        <v>-332.98188263961447</v>
      </c>
      <c r="AJ100" s="384">
        <f t="array" ref="AJ100">INDEX(Demand_previous!$D$4:$AY$138, MATCH('Staging Table'!$A100, Demand_previous!$B$4:$B$138, 0), MATCH(AJ$4&amp;AJ$5,Demand_previous!$D$2:$AY$2&amp;Demand_previous!$D$3:$AY$3, 0))/1000</f>
        <v>0</v>
      </c>
      <c r="AK100" s="384">
        <f t="array" ref="AK100">INDEX(Demand_previous!$D$4:$AY$138, MATCH('Staging Table'!$A100, Demand_previous!$B$4:$B$138, 0), MATCH(AK$4&amp;AK$5,Demand_previous!$D$2:$AY$2&amp;Demand_previous!$D$3:$AY$3, 0))/1000</f>
        <v>0</v>
      </c>
      <c r="AL100" s="384">
        <f t="array" ref="AL100">INDEX(Demand_previous!$D$4:$AY$138, MATCH('Staging Table'!$A100, Demand_previous!$B$4:$B$138, 0), MATCH(AL$4&amp;AL$5,Demand_previous!$D$2:$AY$2&amp;Demand_previous!$D$3:$AY$3, 0))/1000</f>
        <v>5.2553317307692318</v>
      </c>
      <c r="AM100" s="384">
        <f t="array" ref="AM100">INDEX(Demand_previous!$D$4:$AY$138, MATCH('Staging Table'!$A100, Demand_previous!$B$4:$B$138, 0), MATCH(AM$4&amp;AM$5,Demand_previous!$D$2:$AY$2&amp;Demand_previous!$D$3:$AY$3, 0))/1000</f>
        <v>4.2133125000000007</v>
      </c>
      <c r="AN100" s="384">
        <f t="array" ref="AN100">INDEX(Demand_previous!$D$4:$AY$138, MATCH('Staging Table'!$A100, Demand_previous!$B$4:$B$138, 0), MATCH(AN$4&amp;AN$5,Demand_previous!$D$2:$AY$2&amp;Demand_previous!$D$3:$AY$3, 0))/1000</f>
        <v>3.4367124999999987</v>
      </c>
      <c r="AO100" s="384">
        <f t="array" ref="AO100">INDEX(Demand_previous!$D$4:$AY$138, MATCH('Staging Table'!$A100, Demand_previous!$B$4:$B$138, 0), MATCH(AO$4&amp;AO$5,Demand_previous!$D$2:$AY$2&amp;Demand_previous!$D$3:$AY$3, 0))/1000</f>
        <v>1.6937199074074094</v>
      </c>
      <c r="AP100" s="384">
        <f t="array" ref="AP100">INDEX(Demand_previous!$D$4:$AY$138, MATCH('Staging Table'!$A100, Demand_previous!$B$4:$B$138, 0), MATCH(AP$4&amp;AP$5,Demand_previous!$D$2:$AY$2&amp;Demand_previous!$D$3:$AY$3, 0))/1000</f>
        <v>0.50669711538461382</v>
      </c>
      <c r="AQ100" s="384">
        <f t="array" ref="AQ100">INDEX(Demand_previous!$D$4:$AY$138, MATCH('Staging Table'!$A100, Demand_previous!$B$4:$B$138, 0), MATCH(AQ$4&amp;AQ$5,Demand_previous!$D$2:$AY$2&amp;Demand_previous!$D$3:$AY$3, 0))/1000</f>
        <v>0.31445999999999907</v>
      </c>
      <c r="AR100" s="384">
        <f t="array" ref="AR100">INDEX(Demand_previous!$D$4:$AY$138, MATCH('Staging Table'!$A100, Demand_previous!$B$4:$B$138, 0), MATCH(AR$4&amp;AR$5,Demand_previous!$D$2:$AY$2&amp;Demand_previous!$D$3:$AY$3, 0))/1000</f>
        <v>1.9335697115384611</v>
      </c>
      <c r="AS100" s="384">
        <f t="array" ref="AS100">INDEX(Demand_previous!$D$4:$AY$138, MATCH('Staging Table'!$A100, Demand_previous!$B$4:$B$138, 0), MATCH(AS$4&amp;AS$5,Demand_previous!$D$2:$AY$2&amp;Demand_previous!$D$3:$AY$3, 0))/1000</f>
        <v>1.3765975000000001</v>
      </c>
      <c r="AT100" s="384">
        <f t="array" ref="AT100">INDEX(Demand_previous!$D$4:$AY$138, MATCH('Staging Table'!$A100, Demand_previous!$B$4:$B$138, 0), MATCH(AT$4&amp;AT$5,Demand_previous!$D$2:$AY$2&amp;Demand_previous!$D$3:$AY$3, 0))/1000</f>
        <v>2.2930810185185182</v>
      </c>
      <c r="AU100" s="384">
        <f t="array" ref="AU100">INDEX(Demand_previous!$D$4:$AY$138, MATCH('Staging Table'!$A100, Demand_previous!$B$4:$B$138, 0), MATCH(AU$4&amp;AU$5,Demand_previous!$D$2:$AY$2&amp;Demand_previous!$D$3:$AY$3, 0))/1000</f>
        <v>2.0578624999999997</v>
      </c>
      <c r="AV100" s="384">
        <f>IF($D100=0,IF(C100=0, MAX(AY100 - (VLOOKUP($A100,TOCA_previous!$A$2:$AI$137,MATCH("RHWM 2016",TOCA_previous!$A$2:$AI$2,0),FALSE)*$F$2*TOCA_previous!C97),0),0), 0)</f>
        <v>0</v>
      </c>
      <c r="AW100" s="427">
        <f>VLOOKUP($A100,REP_previous!$A$1:$D$135,MATCH("FY "&amp;$F$1&amp; " Total Refund",REP_previous!$A$1:$D$1,0),0)</f>
        <v>77588.625496138629</v>
      </c>
      <c r="AX100" s="398">
        <f>MIN(VLOOKUP($A100,TOCA_previous!$A$2:$AI$137,MATCH("TRL - NLSL - Exisiting Resource "&amp;$F$1,TOCA_previous!$A$2:$AI$2,0),FALSE)*$F$2,(VLOOKUP($A100,TOCA_previous!$A$2:$AI$137,MATCH("RHWM 2016",TOCA_previous!$A$2:$AI$2,0),FALSE)*$F$2))</f>
        <v>121842.864</v>
      </c>
      <c r="AY100" s="384">
        <f>SUM(L100:AI100)+(F100*RT1SC!$C$3*$F$2)</f>
        <v>119119.33928679966</v>
      </c>
      <c r="AZ100" s="398">
        <f>VLOOKUP($A100,TOCA_previous!$A$2:$AI$137,MATCH("Above RHWM Not Served with LS "&amp;$F$1,TOCA_previous!$A$2:$AI$2,0),FALSE)*$F$2</f>
        <v>0</v>
      </c>
      <c r="BA100" s="206">
        <f t="shared" si="19"/>
        <v>-2723.5247132003424</v>
      </c>
      <c r="BB100" s="399">
        <f>(VLOOKUP($A100,TOCA_previous!$A$2:$AI$137,MATCH("RHWM 2016",TOCA_previous!$A$2:$AI$2,0),FALSE)*$F$2) - $AX100</f>
        <v>527.0399999999936</v>
      </c>
      <c r="BC100" s="206">
        <f t="shared" si="20"/>
        <v>0</v>
      </c>
      <c r="BD100" s="400">
        <f t="shared" si="21"/>
        <v>2723.5247132003424</v>
      </c>
      <c r="BE100" s="392">
        <f t="shared" si="22"/>
        <v>0</v>
      </c>
      <c r="BF100" s="399">
        <f t="shared" si="23"/>
        <v>2723.5247132003424</v>
      </c>
      <c r="BG100" s="206">
        <f>VLOOKUP($A100,TOCA_current!$A$2:$AI$137,MATCH(BG$4,TOCA_current!$A$2:$AI$2,0),FALSE)</f>
        <v>1.9580000000000001E-3</v>
      </c>
      <c r="BH100" s="206">
        <f>VLOOKUP($A100,TOCA_current!$A$2:$AI$137,MATCH(BH$4,TOCA_current!$A$2:$AI$2,0),FALSE)</f>
        <v>1.9580000000000001E-3</v>
      </c>
      <c r="BI100" s="391">
        <f t="shared" si="24"/>
        <v>0</v>
      </c>
      <c r="BJ100" s="206">
        <f>VLOOKUP($A100,TOCA_current!A96:BG231,MATCH(BJ$4,TOCA_current!$A$2:$BG$2,0),FALSE)</f>
        <v>0</v>
      </c>
      <c r="BK100" s="206">
        <f t="shared" si="25"/>
        <v>0</v>
      </c>
      <c r="BL100" s="206">
        <f t="shared" si="26"/>
        <v>0</v>
      </c>
      <c r="BM100" s="381">
        <f>VLOOKUP($A100,IRD!$A$4:$G$139, 7, FALSE)</f>
        <v>0</v>
      </c>
      <c r="BN100" s="382">
        <f t="array" ref="BN100">IF($BI100=0, INDEX(LS_current!$D$4:$AY$139, MATCH('Staging Table'!$A100, LS_current!$B$4:$B$139, 0), MATCH(BN$4&amp;BN$5, LS_current!$D$2:$AY$2&amp;LS_current!$D$3:$AY$3, 0)),SUM(VLOOKUP($A100, LS_current!$B$4:$AY$139, LS_current!D$149, FALSE), VLOOKUP($A100, LS_current!$B$4:$AY$139,LS_current!D$149, FALSE))/2)</f>
        <v>-168.99053020484735</v>
      </c>
      <c r="BO100" s="382">
        <f t="array" ref="BO100">IF($BI100=0, INDEX(LS_current!$D$4:$AY$139, MATCH('Staging Table'!$A100, LS_current!$B$4:$B$139, 0), MATCH(BO$4&amp;BO$5, LS_current!$D$2:$AY$2&amp;LS_current!$D$3:$AY$3, 0)),SUM(VLOOKUP($A100, LS_current!$B$4:$AY$139, LS_current!E$149, FALSE), VLOOKUP($A100, LS_current!$B$4:$AY$139,LS_current!E$149, FALSE))/2)</f>
        <v>363.71519144620561</v>
      </c>
      <c r="BP100" s="382">
        <f t="array" ref="BP100">IF($BI100=0, INDEX(LS_current!$D$4:$AY$139, MATCH('Staging Table'!$A100, LS_current!$B$4:$B$139, 0), MATCH(BP$4&amp;BP$5, LS_current!$D$2:$AY$2&amp;LS_current!$D$3:$AY$3, 0)),SUM(VLOOKUP($A100, LS_current!$B$4:$AY$139, LS_current!F$149, FALSE), VLOOKUP($A100, LS_current!$B$4:$AY$139,LS_current!F$149, FALSE))/2)</f>
        <v>90.670261065918567</v>
      </c>
      <c r="BQ100" s="382">
        <f t="array" ref="BQ100">IF($BI100=0, INDEX(LS_current!$D$4:$AY$139, MATCH('Staging Table'!$A100, LS_current!$B$4:$B$139, 0), MATCH(BQ$4&amp;BQ$5, LS_current!$D$2:$AY$2&amp;LS_current!$D$3:$AY$3, 0)),SUM(VLOOKUP($A100, LS_current!$B$4:$AY$139, LS_current!G$149, FALSE), VLOOKUP($A100, LS_current!$B$4:$AY$139,LS_current!G$149, FALSE))/2)</f>
        <v>746.70150977689718</v>
      </c>
      <c r="BR100" s="382">
        <f t="array" ref="BR100">IF($BI100=0, INDEX(LS_current!$D$4:$AY$139, MATCH('Staging Table'!$A100, LS_current!$B$4:$B$139, 0), MATCH(BR$4&amp;BR$5, LS_current!$D$2:$AY$2&amp;LS_current!$D$3:$AY$3, 0)),SUM(VLOOKUP($A100, LS_current!$B$4:$AY$139, LS_current!H$149, FALSE), VLOOKUP($A100, LS_current!$B$4:$AY$139,LS_current!H$149, FALSE))/2)</f>
        <v>1019.7365255993136</v>
      </c>
      <c r="BS100" s="382">
        <f t="array" ref="BS100">IF($BI100=0, INDEX(LS_current!$D$4:$AY$139, MATCH('Staging Table'!$A100, LS_current!$B$4:$B$139, 0), MATCH(BS$4&amp;BS$5, LS_current!$D$2:$AY$2&amp;LS_current!$D$3:$AY$3, 0)),SUM(VLOOKUP($A100, LS_current!$B$4:$AY$139, LS_current!I$149, FALSE), VLOOKUP($A100, LS_current!$B$4:$AY$139,LS_current!I$149, FALSE))/2)</f>
        <v>1367.4975677042921</v>
      </c>
      <c r="BT100" s="382">
        <f t="array" ref="BT100">IF($BI100=0, INDEX(LS_current!$D$4:$AY$139, MATCH('Staging Table'!$A100, LS_current!$B$4:$B$139, 0), MATCH(BT$4&amp;BT$5, LS_current!$D$2:$AY$2&amp;LS_current!$D$3:$AY$3, 0)),SUM(VLOOKUP($A100, LS_current!$B$4:$AY$139, LS_current!J$149, FALSE), VLOOKUP($A100, LS_current!$B$4:$AY$139,LS_current!J$149, FALSE))/2)</f>
        <v>2099.4701601616152</v>
      </c>
      <c r="BU100" s="382">
        <f t="array" ref="BU100">IF($BI100=0, INDEX(LS_current!$D$4:$AY$139, MATCH('Staging Table'!$A100, LS_current!$B$4:$B$139, 0), MATCH(BU$4&amp;BU$5, LS_current!$D$2:$AY$2&amp;LS_current!$D$3:$AY$3, 0)),SUM(VLOOKUP($A100, LS_current!$B$4:$AY$139, LS_current!K$149, FALSE), VLOOKUP($A100, LS_current!$B$4:$AY$139,LS_current!K$149, FALSE))/2)</f>
        <v>1821.9457621551041</v>
      </c>
      <c r="BV100" s="382">
        <f t="array" ref="BV100">IF($BI100=0, INDEX(LS_current!$D$4:$AY$139, MATCH('Staging Table'!$A100, LS_current!$B$4:$B$139, 0), MATCH(BV$4&amp;BV$5, LS_current!$D$2:$AY$2&amp;LS_current!$D$3:$AY$3, 0)),SUM(VLOOKUP($A100, LS_current!$B$4:$AY$139, LS_current!L$149, FALSE), VLOOKUP($A100, LS_current!$B$4:$AY$139,LS_current!L$149, FALSE))/2)</f>
        <v>2006.3718728613394</v>
      </c>
      <c r="BW100" s="382">
        <f t="array" ref="BW100">IF($BI100=0, INDEX(LS_current!$D$4:$AY$139, MATCH('Staging Table'!$A100, LS_current!$B$4:$B$139, 0), MATCH(BW$4&amp;BW$5, LS_current!$D$2:$AY$2&amp;LS_current!$D$3:$AY$3, 0)),SUM(VLOOKUP($A100, LS_current!$B$4:$AY$139, LS_current!M$149, FALSE), VLOOKUP($A100, LS_current!$B$4:$AY$139,LS_current!M$149, FALSE))/2)</f>
        <v>1688.9536883768496</v>
      </c>
      <c r="BX100" s="382">
        <f t="array" ref="BX100">IF($BI100=0, INDEX(LS_current!$D$4:$AY$139, MATCH('Staging Table'!$A100, LS_current!$B$4:$B$139, 0), MATCH(BX$4&amp;BX$5, LS_current!$D$2:$AY$2&amp;LS_current!$D$3:$AY$3, 0)),SUM(VLOOKUP($A100, LS_current!$B$4:$AY$139, LS_current!N$149, FALSE), VLOOKUP($A100, LS_current!$B$4:$AY$139,LS_current!N$149, FALSE))/2)</f>
        <v>815.34148474711674</v>
      </c>
      <c r="BY100" s="382">
        <f t="array" ref="BY100">IF($BI100=0, INDEX(LS_current!$D$4:$AY$139, MATCH('Staging Table'!$A100, LS_current!$B$4:$B$139, 0), MATCH(BY$4&amp;BY$5, LS_current!$D$2:$AY$2&amp;LS_current!$D$3:$AY$3, 0)),SUM(VLOOKUP($A100, LS_current!$B$4:$AY$139, LS_current!O$149, FALSE), VLOOKUP($A100, LS_current!$B$4:$AY$139,LS_current!O$149, FALSE))/2)</f>
        <v>796.10417814428502</v>
      </c>
      <c r="BZ100" s="382">
        <f t="array" ref="BZ100">IF($BI100=0, INDEX(LS_current!$D$4:$AY$139, MATCH('Staging Table'!$A100, LS_current!$B$4:$B$139, 0), MATCH(BZ$4&amp;BZ$5, LS_current!$D$2:$AY$2&amp;LS_current!$D$3:$AY$3, 0)),SUM(VLOOKUP($A100, LS_current!$B$4:$AY$139, LS_current!P$149, FALSE), VLOOKUP($A100, LS_current!$B$4:$AY$139,LS_current!P$149, FALSE))/2)</f>
        <v>158.69828692761348</v>
      </c>
      <c r="CA100" s="382">
        <f t="array" ref="CA100">IF($BI100=0, INDEX(LS_current!$D$4:$AY$139, MATCH('Staging Table'!$A100, LS_current!$B$4:$B$139, 0), MATCH(CA$4&amp;CA$5, LS_current!$D$2:$AY$2&amp;LS_current!$D$3:$AY$3, 0)),SUM(VLOOKUP($A100, LS_current!$B$4:$AY$139, LS_current!Q$149, FALSE), VLOOKUP($A100, LS_current!$B$4:$AY$139,LS_current!Q$149, FALSE))/2)</f>
        <v>584.39722972659365</v>
      </c>
      <c r="CB100" s="382">
        <f t="array" ref="CB100">IF($BI100=0, INDEX(LS_current!$D$4:$AY$139, MATCH('Staging Table'!$A100, LS_current!$B$4:$B$139, 0), MATCH(CB$4&amp;CB$5, LS_current!$D$2:$AY$2&amp;LS_current!$D$3:$AY$3, 0)),SUM(VLOOKUP($A100, LS_current!$B$4:$AY$139, LS_current!R$149, FALSE), VLOOKUP($A100, LS_current!$B$4:$AY$139,LS_current!R$149, FALSE))/2)</f>
        <v>-3325.8259660180238</v>
      </c>
      <c r="CC100" s="382">
        <f t="array" ref="CC100">IF($BI100=0, INDEX(LS_current!$D$4:$AY$139, MATCH('Staging Table'!$A100, LS_current!$B$4:$B$139, 0), MATCH(CC$4&amp;CC$5, LS_current!$D$2:$AY$2&amp;LS_current!$D$3:$AY$3, 0)),SUM(VLOOKUP($A100, LS_current!$B$4:$AY$139, LS_current!S$149, FALSE), VLOOKUP($A100, LS_current!$B$4:$AY$139,LS_current!S$149, FALSE))/2)</f>
        <v>-1391.3551213819733</v>
      </c>
      <c r="CD100" s="382">
        <f t="array" ref="CD100">IF($BI100=0, INDEX(LS_current!$D$4:$AY$139, MATCH('Staging Table'!$A100, LS_current!$B$4:$B$139, 0), MATCH(CD$4&amp;CD$5, LS_current!$D$2:$AY$2&amp;LS_current!$D$3:$AY$3, 0)),SUM(VLOOKUP($A100, LS_current!$B$4:$AY$139, LS_current!T$149, FALSE), VLOOKUP($A100, LS_current!$B$4:$AY$139,LS_current!T$149, FALSE))/2)</f>
        <v>-2174.2033240525143</v>
      </c>
      <c r="CE100" s="382">
        <f t="array" ref="CE100">IF($BI100=0, INDEX(LS_current!$D$4:$AY$139, MATCH('Staging Table'!$A100, LS_current!$B$4:$B$139, 0), MATCH(CE$4&amp;CE$5, LS_current!$D$2:$AY$2&amp;LS_current!$D$3:$AY$3, 0)),SUM(VLOOKUP($A100, LS_current!$B$4:$AY$139, LS_current!U$149, FALSE), VLOOKUP($A100, LS_current!$B$4:$AY$139,LS_current!U$149, FALSE))/2)</f>
        <v>-782.98920200017801</v>
      </c>
      <c r="CF100" s="382">
        <f t="array" ref="CF100">IF($BI100=0, INDEX(LS_current!$D$4:$AY$139, MATCH('Staging Table'!$A100, LS_current!$B$4:$B$139, 0), MATCH(CF$4&amp;CF$5, LS_current!$D$2:$AY$2&amp;LS_current!$D$3:$AY$3, 0)),SUM(VLOOKUP($A100, LS_current!$B$4:$AY$139, LS_current!V$149, FALSE), VLOOKUP($A100, LS_current!$B$4:$AY$139,LS_current!V$149, FALSE))/2)</f>
        <v>-1498.0211901862658</v>
      </c>
      <c r="CG100" s="382">
        <f t="array" ref="CG100">IF($BI100=0, INDEX(LS_current!$D$4:$AY$139, MATCH('Staging Table'!$A100, LS_current!$B$4:$B$139, 0), MATCH(CG$4&amp;CG$5, LS_current!$D$2:$AY$2&amp;LS_current!$D$3:$AY$3, 0)),SUM(VLOOKUP($A100, LS_current!$B$4:$AY$139, LS_current!W$149, FALSE), VLOOKUP($A100, LS_current!$B$4:$AY$139,LS_current!W$149, FALSE))/2)</f>
        <v>-144.72774291108453</v>
      </c>
      <c r="CH100" s="382">
        <f t="array" ref="CH100">IF($BI100=0, INDEX(LS_current!$D$4:$AY$139, MATCH('Staging Table'!$A100, LS_current!$B$4:$B$139, 0), MATCH(CH$4&amp;CH$5, LS_current!$D$2:$AY$2&amp;LS_current!$D$3:$AY$3, 0)),SUM(VLOOKUP($A100, LS_current!$B$4:$AY$139, LS_current!X$149, FALSE), VLOOKUP($A100, LS_current!$B$4:$AY$139,LS_current!X$149, FALSE))/2)</f>
        <v>-2082.5672368863388</v>
      </c>
      <c r="CI100" s="382">
        <f t="array" ref="CI100">IF($BI100=0, INDEX(LS_current!$D$4:$AY$139, MATCH('Staging Table'!$A100, LS_current!$B$4:$B$139, 0), MATCH(CI$4&amp;CI$5, LS_current!$D$2:$AY$2&amp;LS_current!$D$3:$AY$3, 0)),SUM(VLOOKUP($A100, LS_current!$B$4:$AY$139, LS_current!Y$149, FALSE), VLOOKUP($A100, LS_current!$B$4:$AY$139,LS_current!Y$149, FALSE))/2)</f>
        <v>-518.49715118149606</v>
      </c>
      <c r="CJ100" s="382">
        <f t="array" ref="CJ100">IF($BI100=0, INDEX(LS_current!$D$4:$AY$139, MATCH('Staging Table'!$A100, LS_current!$B$4:$B$139, 0), MATCH(CJ$4&amp;CJ$5, LS_current!$D$2:$AY$2&amp;LS_current!$D$3:$AY$3, 0)),SUM(VLOOKUP($A100, LS_current!$B$4:$AY$139, LS_current!Z$149, FALSE), VLOOKUP($A100, LS_current!$B$4:$AY$139,LS_current!Z$149, FALSE))/2)</f>
        <v>-1196.1054559740705</v>
      </c>
      <c r="CK100" s="382">
        <f t="array" ref="CK100">IF($BI100=0, INDEX(LS_current!$D$4:$AY$139, MATCH('Staging Table'!$A100, LS_current!$B$4:$B$139, 0), MATCH(CK$4&amp;CK$5, LS_current!$D$2:$AY$2&amp;LS_current!$D$3:$AY$3, 0)),SUM(VLOOKUP($A100, LS_current!$B$4:$AY$139, LS_current!AA$149, FALSE), VLOOKUP($A100, LS_current!$B$4:$AY$139,LS_current!AA$149, FALSE))/2)</f>
        <v>-275.53423973974986</v>
      </c>
      <c r="CL100" s="384">
        <f t="array" ref="CL100">INDEX(Demand_current!$D$4:$AY$138, MATCH($A100, Demand_current!$B$4:$B$138, 0), MATCH(CL$4&amp;CL$5,Demand_current!$D$2:$AY$2&amp;Demand_current!$D$3:$AY$3, 0))/1000</f>
        <v>0</v>
      </c>
      <c r="CM100" s="384">
        <f t="array" ref="CM100">INDEX(Demand_current!$D$4:$AY$138, MATCH($A100, Demand_current!$B$4:$B$138, 0), MATCH(CM$4&amp;CM$5,Demand_current!$D$2:$AY$2&amp;Demand_current!$D$3:$AY$3, 0))/1000</f>
        <v>0.72810249999999765</v>
      </c>
      <c r="CN100" s="384">
        <f t="array" ref="CN100">INDEX(Demand_current!$D$4:$AY$138, MATCH($A100, Demand_current!$B$4:$B$138, 0), MATCH(CN$4&amp;CN$5,Demand_current!$D$2:$AY$2&amp;Demand_current!$D$3:$AY$3, 0))/1000</f>
        <v>4.4857849999999999</v>
      </c>
      <c r="CO100" s="384">
        <f t="array" ref="CO100">INDEX(Demand_current!$D$4:$AY$138, MATCH($A100, Demand_current!$B$4:$B$138, 0), MATCH(CO$4&amp;CO$5,Demand_current!$D$2:$AY$2&amp;Demand_current!$D$3:$AY$3, 0))/1000</f>
        <v>4.9841850961538476</v>
      </c>
      <c r="CP100" s="384">
        <f t="array" ref="CP100">INDEX(Demand_current!$D$4:$AY$138, MATCH($A100, Demand_current!$B$4:$B$138, 0), MATCH(CP$4&amp;CP$5,Demand_current!$D$2:$AY$2&amp;Demand_current!$D$3:$AY$3, 0))/1000</f>
        <v>2.711033854166665</v>
      </c>
      <c r="CQ100" s="384">
        <f t="array" ref="CQ100">INDEX(Demand_current!$D$4:$AY$138, MATCH($A100, Demand_current!$B$4:$B$138, 0), MATCH(CQ$4&amp;CQ$5,Demand_current!$D$2:$AY$2&amp;Demand_current!$D$3:$AY$3, 0))/1000</f>
        <v>1.6937199074074094</v>
      </c>
      <c r="CR100" s="384">
        <f t="array" ref="CR100">INDEX(Demand_current!$D$4:$AY$138, MATCH($A100, Demand_current!$B$4:$B$138, 0), MATCH(CR$4&amp;CR$5,Demand_current!$D$2:$AY$2&amp;Demand_current!$D$3:$AY$3, 0))/1000</f>
        <v>0</v>
      </c>
      <c r="CS100" s="384">
        <f t="array" ref="CS100">INDEX(Demand_current!$D$4:$AY$138, MATCH($A100, Demand_current!$B$4:$B$138, 0), MATCH(CS$4&amp;CS$5,Demand_current!$D$2:$AY$2&amp;Demand_current!$D$3:$AY$3, 0))/1000</f>
        <v>0.79824999999999813</v>
      </c>
      <c r="CT100" s="384">
        <f t="array" ref="CT100">INDEX(Demand_current!$D$4:$AY$138, MATCH($A100, Demand_current!$B$4:$B$138, 0), MATCH(CT$4&amp;CT$5,Demand_current!$D$2:$AY$2&amp;Demand_current!$D$3:$AY$3, 0))/1000</f>
        <v>1.9335697115384611</v>
      </c>
      <c r="CU100" s="384">
        <f t="array" ref="CU100">INDEX(Demand_current!$D$4:$AY$138, MATCH($A100, Demand_current!$B$4:$B$138, 0), MATCH(CU$4&amp;CU$5,Demand_current!$D$2:$AY$2&amp;Demand_current!$D$3:$AY$3, 0))/1000</f>
        <v>1.3765975000000001</v>
      </c>
      <c r="CV100" s="384">
        <f t="array" ref="CV100">INDEX(Demand_current!$D$4:$AY$138, MATCH($A100, Demand_current!$B$4:$B$138, 0), MATCH(CV$4&amp;CV$5,Demand_current!$D$2:$AY$2&amp;Demand_current!$D$3:$AY$3, 0))/1000</f>
        <v>2.2930810185185182</v>
      </c>
      <c r="CW100" s="384">
        <f t="array" ref="CW100">INDEX(Demand_current!$D$4:$AY$138, MATCH($A100, Demand_current!$B$4:$B$138, 0), MATCH(CW$4&amp;CW$5,Demand_current!$D$2:$AY$2&amp;Demand_current!$D$3:$AY$3, 0))/1000</f>
        <v>1.5755234375000005</v>
      </c>
      <c r="CX100" s="384">
        <f>IF(D100=0,IF(C100=0,MAX(0,DA100 - (VLOOKUP($A100,TOCA_current!$A$2:$AI$137,MATCH("RHWM 2018",TOCA_current!$A$2:$AI$2,0),FALSE)*$BH$2)), 0),0)</f>
        <v>0</v>
      </c>
      <c r="CY100" s="427">
        <f>VLOOKUP($A100,REP_current!$A$1:$D$135,MATCH("FY "&amp;$BH$1&amp; " Total Refund",REP_current!$A$1:$D$1,0),0)</f>
        <v>77668.641590863757</v>
      </c>
      <c r="CZ100" s="432">
        <f>MIN(VLOOKUP($A100,TOCA_current!$A$2:$AI$137,MATCH("TRL - NLSL - Existing Resource "&amp;$BH$1,TOCA_current!$A$2:$AI$2,0),FALSE)*$BH$2, VLOOKUP($A100,TOCA_current!$A$2:$AI$137,MATCH("RHWM 2018",TOCA_current!$A$2:$AI$2,0),FALSE)*$BH$2)</f>
        <v>119118.48000000001</v>
      </c>
      <c r="DA100" s="397">
        <f>SUM(BN100:CK100)+(BH100*RT1SC!$C$4*$BH$2)</f>
        <v>119119.3407378366</v>
      </c>
      <c r="DB100" s="432">
        <f>VLOOKUP($A100,TOCA_current!$A$2:$AI$137,MATCH("Above RHWM Not Served with LS "&amp;$BH$1,TOCA_current!$A$2:$AI$2,0),FALSE)*$BH$2</f>
        <v>0</v>
      </c>
      <c r="DC100" s="401">
        <f t="shared" si="27"/>
        <v>0.86073783658503089</v>
      </c>
      <c r="DD100" s="397">
        <f>(VLOOKUP($A100,TOCA_current!$A$2:$AI$137,MATCH("RHWM 2018",TOCA_current!$A$2:$AI$2,0),FALSE)*$BH$2) - $CZ100</f>
        <v>2137.4399999999878</v>
      </c>
      <c r="DE100" s="397">
        <f t="shared" si="28"/>
        <v>-0.86073783658503089</v>
      </c>
      <c r="DF100" s="397">
        <f t="shared" si="29"/>
        <v>0</v>
      </c>
      <c r="DG100" s="397">
        <f t="shared" si="30"/>
        <v>0</v>
      </c>
      <c r="DH100" s="397">
        <f t="shared" si="31"/>
        <v>-0.86073783658503089</v>
      </c>
    </row>
    <row r="101" spans="1:112">
      <c r="A101" s="274">
        <v>10306</v>
      </c>
      <c r="B101" s="275" t="s">
        <v>102</v>
      </c>
      <c r="C101" s="397">
        <v>0</v>
      </c>
      <c r="D101" s="397">
        <v>1</v>
      </c>
      <c r="E101" s="205">
        <f>VLOOKUP($A101,TOCA_previous!$A$2:$AI$137,MATCH(E$4,TOCA_previous!$A$2:$AI$2,0),FALSE)</f>
        <v>0</v>
      </c>
      <c r="F101" s="206">
        <f>VLOOKUP($A101,TOCA_previous!$A$2:$AI$137,MATCH(F$4,TOCA_previous!$A$2:$AI$2,0),FALSE)</f>
        <v>0</v>
      </c>
      <c r="G101" s="206">
        <f t="shared" si="16"/>
        <v>0</v>
      </c>
      <c r="H101" s="206">
        <f>VLOOKUP($A101,TOCA_previous!$A$2:$AI$137,MATCH(H$4,TOCA_previous!$A$2:$AI$2,0),FALSE)</f>
        <v>0</v>
      </c>
      <c r="I101" s="206">
        <f t="shared" si="17"/>
        <v>0</v>
      </c>
      <c r="J101" s="206">
        <f t="shared" si="18"/>
        <v>0</v>
      </c>
      <c r="K101" s="381">
        <f>VLOOKUP(A101, IRD!$A$5:$C$139, 3, FALSE)</f>
        <v>0</v>
      </c>
      <c r="L101" s="382">
        <f t="array" ref="L101">IF($G101=0, INDEX(LS_previous!$D$4:$AY$138, MATCH('Staging Table'!$A101, LS_previous!$B$4:$B$138, 0), MATCH(L$4&amp;L$5, LS_previous!$D$2:$AY$2&amp;LS_previous!$D$3:$AY$3, 0)),SUM(VLOOKUP($A101, LS_previous!$B$4:$AY$138, LS_previous!D$149, FALSE), VLOOKUP('Staging Table'!$A101, LS_previous!$B$4:$AY$138,LS_previous!AB$149, FALSE))/2)</f>
        <v>0</v>
      </c>
      <c r="M101" s="382">
        <f t="array" ref="M101">IF($G101=0, INDEX(LS_previous!$D$4:$AY$138, MATCH('Staging Table'!$A101, LS_previous!$B$4:$B$138, 0), MATCH(M$4&amp;M$5, LS_previous!$D$2:$AY$2&amp;LS_previous!$D$3:$AY$3, 0)),SUM(VLOOKUP($A101, LS_previous!$B$4:$AY$138, LS_previous!E$149, FALSE), VLOOKUP('Staging Table'!$A101, LS_previous!$B$4:$AY$138,LS_previous!AC$149, FALSE))/2)</f>
        <v>0</v>
      </c>
      <c r="N101" s="382">
        <f t="array" ref="N101">IF($G101=0, INDEX(LS_previous!$D$4:$AY$138, MATCH('Staging Table'!$A101, LS_previous!$B$4:$B$138, 0), MATCH(N$4&amp;N$5, LS_previous!$D$2:$AY$2&amp;LS_previous!$D$3:$AY$3, 0)),SUM(VLOOKUP($A101, LS_previous!$B$4:$AY$138, LS_previous!F$149, FALSE), VLOOKUP('Staging Table'!$A101, LS_previous!$B$4:$AY$138,LS_previous!AD$149, FALSE))/2)</f>
        <v>0</v>
      </c>
      <c r="O101" s="382">
        <f t="array" ref="O101">IF($G101=0, INDEX(LS_previous!$D$4:$AY$138, MATCH('Staging Table'!$A101, LS_previous!$B$4:$B$138, 0), MATCH(O$4&amp;O$5, LS_previous!$D$2:$AY$2&amp;LS_previous!$D$3:$AY$3, 0)),SUM(VLOOKUP($A101, LS_previous!$B$4:$AY$138, LS_previous!G$149, FALSE), VLOOKUP('Staging Table'!$A101, LS_previous!$B$4:$AY$138,LS_previous!AE$149, FALSE))/2)</f>
        <v>0</v>
      </c>
      <c r="P101" s="382">
        <f t="array" ref="P101">IF($G101=0, INDEX(LS_previous!$D$4:$AY$138, MATCH('Staging Table'!$A101, LS_previous!$B$4:$B$138, 0), MATCH(P$4&amp;P$5, LS_previous!$D$2:$AY$2&amp;LS_previous!$D$3:$AY$3, 0)),SUM(VLOOKUP($A101, LS_previous!$B$4:$AY$138, LS_previous!H$149, FALSE), VLOOKUP('Staging Table'!$A101, LS_previous!$B$4:$AY$138,LS_previous!AF$149, FALSE))/2)</f>
        <v>0</v>
      </c>
      <c r="Q101" s="382">
        <f t="array" ref="Q101">IF($G101=0, INDEX(LS_previous!$D$4:$AY$138, MATCH('Staging Table'!$A101, LS_previous!$B$4:$B$138, 0), MATCH(Q$4&amp;Q$5, LS_previous!$D$2:$AY$2&amp;LS_previous!$D$3:$AY$3, 0)),SUM(VLOOKUP($A101, LS_previous!$B$4:$AY$138, LS_previous!I$149, FALSE), VLOOKUP('Staging Table'!$A101, LS_previous!$B$4:$AY$138,LS_previous!AG$149, FALSE))/2)</f>
        <v>0</v>
      </c>
      <c r="R101" s="382">
        <f t="array" ref="R101">IF($G101=0, INDEX(LS_previous!$D$4:$AY$138, MATCH('Staging Table'!$A101, LS_previous!$B$4:$B$138, 0), MATCH(R$4&amp;R$5, LS_previous!$D$2:$AY$2&amp;LS_previous!$D$3:$AY$3, 0)),SUM(VLOOKUP($A101, LS_previous!$B$4:$AY$138, LS_previous!J$149, FALSE), VLOOKUP('Staging Table'!$A101, LS_previous!$B$4:$AY$138,LS_previous!AH$149, FALSE))/2)</f>
        <v>0</v>
      </c>
      <c r="S101" s="382">
        <f t="array" ref="S101">IF($G101=0, INDEX(LS_previous!$D$4:$AY$138, MATCH('Staging Table'!$A101, LS_previous!$B$4:$B$138, 0), MATCH(S$4&amp;S$5, LS_previous!$D$2:$AY$2&amp;LS_previous!$D$3:$AY$3, 0)),SUM(VLOOKUP($A101, LS_previous!$B$4:$AY$138, LS_previous!K$149, FALSE), VLOOKUP('Staging Table'!$A101, LS_previous!$B$4:$AY$138,LS_previous!AI$149, FALSE))/2)</f>
        <v>0</v>
      </c>
      <c r="T101" s="382">
        <f t="array" ref="T101">IF($G101=0, INDEX(LS_previous!$D$4:$AY$138, MATCH('Staging Table'!$A101, LS_previous!$B$4:$B$138, 0), MATCH(T$4&amp;T$5, LS_previous!$D$2:$AY$2&amp;LS_previous!$D$3:$AY$3, 0)),SUM(VLOOKUP($A101, LS_previous!$B$4:$AY$138, LS_previous!L$149, FALSE), VLOOKUP('Staging Table'!$A101, LS_previous!$B$4:$AY$138,LS_previous!AJ$149, FALSE))/2)</f>
        <v>0</v>
      </c>
      <c r="U101" s="382">
        <f t="array" ref="U101">IF($G101=0, INDEX(LS_previous!$D$4:$AY$138, MATCH('Staging Table'!$A101, LS_previous!$B$4:$B$138, 0), MATCH(U$4&amp;U$5, LS_previous!$D$2:$AY$2&amp;LS_previous!$D$3:$AY$3, 0)),SUM(VLOOKUP($A101, LS_previous!$B$4:$AY$138, LS_previous!M$149, FALSE), VLOOKUP('Staging Table'!$A101, LS_previous!$B$4:$AY$138,LS_previous!AK$149, FALSE))/2)</f>
        <v>0</v>
      </c>
      <c r="V101" s="382">
        <f t="array" ref="V101">IF($G101=0, INDEX(LS_previous!$D$4:$AY$138, MATCH('Staging Table'!$A101, LS_previous!$B$4:$B$138, 0), MATCH(V$4&amp;V$5, LS_previous!$D$2:$AY$2&amp;LS_previous!$D$3:$AY$3, 0)),SUM(VLOOKUP($A101, LS_previous!$B$4:$AY$138, LS_previous!N$149, FALSE), VLOOKUP('Staging Table'!$A101, LS_previous!$B$4:$AY$138,LS_previous!AL$149, FALSE))/2)</f>
        <v>0</v>
      </c>
      <c r="W101" s="382">
        <f t="array" ref="W101">IF($G101=0, INDEX(LS_previous!$D$4:$AY$138, MATCH('Staging Table'!$A101, LS_previous!$B$4:$B$138, 0), MATCH(W$4&amp;W$5, LS_previous!$D$2:$AY$2&amp;LS_previous!$D$3:$AY$3, 0)),SUM(VLOOKUP($A101, LS_previous!$B$4:$AY$138, LS_previous!O$149, FALSE), VLOOKUP('Staging Table'!$A101, LS_previous!$B$4:$AY$138,LS_previous!AM$149, FALSE))/2)</f>
        <v>0</v>
      </c>
      <c r="X101" s="382">
        <f t="array" ref="X101">IF($G101=0, INDEX(LS_previous!$D$4:$AY$138, MATCH('Staging Table'!$A101, LS_previous!$B$4:$B$138, 0), MATCH(X$4&amp;X$5, LS_previous!$D$2:$AY$2&amp;LS_previous!$D$3:$AY$3, 0)),SUM(VLOOKUP($A101, LS_previous!$B$4:$AY$138, LS_previous!P$149, FALSE), VLOOKUP('Staging Table'!$A101, LS_previous!$B$4:$AY$138,LS_previous!AN$149, FALSE))/2)</f>
        <v>0</v>
      </c>
      <c r="Y101" s="382">
        <f t="array" ref="Y101">IF($G101=0, INDEX(LS_previous!$D$4:$AY$138, MATCH('Staging Table'!$A101, LS_previous!$B$4:$B$138, 0), MATCH(Y$4&amp;Y$5, LS_previous!$D$2:$AY$2&amp;LS_previous!$D$3:$AY$3, 0)),SUM(VLOOKUP($A101, LS_previous!$B$4:$AY$138, LS_previous!Q$149, FALSE), VLOOKUP('Staging Table'!$A101, LS_previous!$B$4:$AY$138,LS_previous!AO$149, FALSE))/2)</f>
        <v>0</v>
      </c>
      <c r="Z101" s="382">
        <f t="array" ref="Z101">IF($G101=0, INDEX(LS_previous!$D$4:$AY$138, MATCH('Staging Table'!$A101, LS_previous!$B$4:$B$138, 0), MATCH(Z$4&amp;Z$5, LS_previous!$D$2:$AY$2&amp;LS_previous!$D$3:$AY$3, 0)),SUM(VLOOKUP($A101, LS_previous!$B$4:$AY$138, LS_previous!R$149, FALSE), VLOOKUP('Staging Table'!$A101, LS_previous!$B$4:$AY$138,LS_previous!AP$149, FALSE))/2)</f>
        <v>0</v>
      </c>
      <c r="AA101" s="382">
        <f t="array" ref="AA101">IF($G101=0, INDEX(LS_previous!$D$4:$AY$138, MATCH('Staging Table'!$A101, LS_previous!$B$4:$B$138, 0), MATCH(AA$4&amp;AA$5, LS_previous!$D$2:$AY$2&amp;LS_previous!$D$3:$AY$3, 0)),SUM(VLOOKUP($A101, LS_previous!$B$4:$AY$138, LS_previous!S$149, FALSE), VLOOKUP('Staging Table'!$A101, LS_previous!$B$4:$AY$138,LS_previous!AQ$149, FALSE))/2)</f>
        <v>0</v>
      </c>
      <c r="AB101" s="382">
        <f t="array" ref="AB101">IF($G101=0, INDEX(LS_previous!$D$4:$AY$138, MATCH('Staging Table'!$A101, LS_previous!$B$4:$B$138, 0), MATCH(AB$4&amp;AB$5, LS_previous!$D$2:$AY$2&amp;LS_previous!$D$3:$AY$3, 0)),SUM(VLOOKUP($A101, LS_previous!$B$4:$AY$138, LS_previous!T$149, FALSE), VLOOKUP('Staging Table'!$A101, LS_previous!$B$4:$AY$138,LS_previous!AR$149, FALSE))/2)</f>
        <v>0</v>
      </c>
      <c r="AC101" s="382">
        <f t="array" ref="AC101">IF($G101=0, INDEX(LS_previous!$D$4:$AY$138, MATCH('Staging Table'!$A101, LS_previous!$B$4:$B$138, 0), MATCH(AC$4&amp;AC$5, LS_previous!$D$2:$AY$2&amp;LS_previous!$D$3:$AY$3, 0)),SUM(VLOOKUP($A101, LS_previous!$B$4:$AY$138, LS_previous!U$149, FALSE), VLOOKUP('Staging Table'!$A101, LS_previous!$B$4:$AY$138,LS_previous!AS$149, FALSE))/2)</f>
        <v>0</v>
      </c>
      <c r="AD101" s="382">
        <f t="array" ref="AD101">IF($G101=0, INDEX(LS_previous!$D$4:$AY$138, MATCH('Staging Table'!$A101, LS_previous!$B$4:$B$138, 0), MATCH(AD$4&amp;AD$5, LS_previous!$D$2:$AY$2&amp;LS_previous!$D$3:$AY$3, 0)),SUM(VLOOKUP($A101, LS_previous!$B$4:$AY$138, LS_previous!V$149, FALSE), VLOOKUP('Staging Table'!$A101, LS_previous!$B$4:$AY$138,LS_previous!AT$149, FALSE))/2)</f>
        <v>0</v>
      </c>
      <c r="AE101" s="382">
        <f t="array" ref="AE101">IF($G101=0, INDEX(LS_previous!$D$4:$AY$138, MATCH('Staging Table'!$A101, LS_previous!$B$4:$B$138, 0), MATCH(AE$4&amp;AE$5, LS_previous!$D$2:$AY$2&amp;LS_previous!$D$3:$AY$3, 0)),SUM(VLOOKUP($A101, LS_previous!$B$4:$AY$138, LS_previous!W$149, FALSE), VLOOKUP('Staging Table'!$A101, LS_previous!$B$4:$AY$138,LS_previous!AU$149, FALSE))/2)</f>
        <v>0</v>
      </c>
      <c r="AF101" s="382">
        <f t="array" ref="AF101">IF($G101=0, INDEX(LS_previous!$D$4:$AY$138, MATCH('Staging Table'!$A101, LS_previous!$B$4:$B$138, 0), MATCH(AF$4&amp;AF$5, LS_previous!$D$2:$AY$2&amp;LS_previous!$D$3:$AY$3, 0)),SUM(VLOOKUP($A101, LS_previous!$B$4:$AY$138, LS_previous!X$149, FALSE), VLOOKUP('Staging Table'!$A101, LS_previous!$B$4:$AY$138,LS_previous!AV$149, FALSE))/2)</f>
        <v>0</v>
      </c>
      <c r="AG101" s="382">
        <f t="array" ref="AG101">IF($G101=0, INDEX(LS_previous!$D$4:$AY$138, MATCH('Staging Table'!$A101, LS_previous!$B$4:$B$138, 0), MATCH(AG$4&amp;AG$5, LS_previous!$D$2:$AY$2&amp;LS_previous!$D$3:$AY$3, 0)),SUM(VLOOKUP($A101, LS_previous!$B$4:$AY$138, LS_previous!Y$149, FALSE), VLOOKUP('Staging Table'!$A101, LS_previous!$B$4:$AY$138,LS_previous!AW$149, FALSE))/2)</f>
        <v>0</v>
      </c>
      <c r="AH101" s="382">
        <f t="array" ref="AH101">IF($G101=0, INDEX(LS_previous!$D$4:$AY$138, MATCH('Staging Table'!$A101, LS_previous!$B$4:$B$138, 0), MATCH(AH$4&amp;AH$5, LS_previous!$D$2:$AY$2&amp;LS_previous!$D$3:$AY$3, 0)),SUM(VLOOKUP($A101, LS_previous!$B$4:$AY$138, LS_previous!Z$149, FALSE), VLOOKUP('Staging Table'!$A101, LS_previous!$B$4:$AY$138,LS_previous!AX$149, FALSE))/2)</f>
        <v>0</v>
      </c>
      <c r="AI101" s="382">
        <f t="array" ref="AI101">IF($G101=0, INDEX(LS_previous!$D$4:$AY$138, MATCH('Staging Table'!$A101, LS_previous!$B$4:$B$138, 0), MATCH(AI$4&amp;AI$5, LS_previous!$D$2:$AY$2&amp;LS_previous!$D$3:$AY$3, 0)),SUM(VLOOKUP($A101, LS_previous!$B$4:$AY$138, LS_previous!AA$149, FALSE), VLOOKUP('Staging Table'!$A101, LS_previous!$B$4:$AY$138,LS_previous!AY$149, FALSE))/2)</f>
        <v>0</v>
      </c>
      <c r="AJ101" s="384">
        <f t="array" ref="AJ101">INDEX(Demand_previous!$D$4:$AY$138, MATCH('Staging Table'!$A101, Demand_previous!$B$4:$B$138, 0), MATCH(AJ$4&amp;AJ$5,Demand_previous!$D$2:$AY$2&amp;Demand_previous!$D$3:$AY$3, 0))/1000</f>
        <v>0</v>
      </c>
      <c r="AK101" s="384">
        <f t="array" ref="AK101">INDEX(Demand_previous!$D$4:$AY$138, MATCH('Staging Table'!$A101, Demand_previous!$B$4:$B$138, 0), MATCH(AK$4&amp;AK$5,Demand_previous!$D$2:$AY$2&amp;Demand_previous!$D$3:$AY$3, 0))/1000</f>
        <v>0</v>
      </c>
      <c r="AL101" s="384">
        <f t="array" ref="AL101">INDEX(Demand_previous!$D$4:$AY$138, MATCH('Staging Table'!$A101, Demand_previous!$B$4:$B$138, 0), MATCH(AL$4&amp;AL$5,Demand_previous!$D$2:$AY$2&amp;Demand_previous!$D$3:$AY$3, 0))/1000</f>
        <v>0</v>
      </c>
      <c r="AM101" s="384">
        <f t="array" ref="AM101">INDEX(Demand_previous!$D$4:$AY$138, MATCH('Staging Table'!$A101, Demand_previous!$B$4:$B$138, 0), MATCH(AM$4&amp;AM$5,Demand_previous!$D$2:$AY$2&amp;Demand_previous!$D$3:$AY$3, 0))/1000</f>
        <v>0</v>
      </c>
      <c r="AN101" s="384">
        <f t="array" ref="AN101">INDEX(Demand_previous!$D$4:$AY$138, MATCH('Staging Table'!$A101, Demand_previous!$B$4:$B$138, 0), MATCH(AN$4&amp;AN$5,Demand_previous!$D$2:$AY$2&amp;Demand_previous!$D$3:$AY$3, 0))/1000</f>
        <v>0</v>
      </c>
      <c r="AO101" s="384">
        <f t="array" ref="AO101">INDEX(Demand_previous!$D$4:$AY$138, MATCH('Staging Table'!$A101, Demand_previous!$B$4:$B$138, 0), MATCH(AO$4&amp;AO$5,Demand_previous!$D$2:$AY$2&amp;Demand_previous!$D$3:$AY$3, 0))/1000</f>
        <v>0</v>
      </c>
      <c r="AP101" s="384">
        <f t="array" ref="AP101">INDEX(Demand_previous!$D$4:$AY$138, MATCH('Staging Table'!$A101, Demand_previous!$B$4:$B$138, 0), MATCH(AP$4&amp;AP$5,Demand_previous!$D$2:$AY$2&amp;Demand_previous!$D$3:$AY$3, 0))/1000</f>
        <v>0</v>
      </c>
      <c r="AQ101" s="384">
        <f t="array" ref="AQ101">INDEX(Demand_previous!$D$4:$AY$138, MATCH('Staging Table'!$A101, Demand_previous!$B$4:$B$138, 0), MATCH(AQ$4&amp;AQ$5,Demand_previous!$D$2:$AY$2&amp;Demand_previous!$D$3:$AY$3, 0))/1000</f>
        <v>0</v>
      </c>
      <c r="AR101" s="384">
        <f t="array" ref="AR101">INDEX(Demand_previous!$D$4:$AY$138, MATCH('Staging Table'!$A101, Demand_previous!$B$4:$B$138, 0), MATCH(AR$4&amp;AR$5,Demand_previous!$D$2:$AY$2&amp;Demand_previous!$D$3:$AY$3, 0))/1000</f>
        <v>0</v>
      </c>
      <c r="AS101" s="384">
        <f t="array" ref="AS101">INDEX(Demand_previous!$D$4:$AY$138, MATCH('Staging Table'!$A101, Demand_previous!$B$4:$B$138, 0), MATCH(AS$4&amp;AS$5,Demand_previous!$D$2:$AY$2&amp;Demand_previous!$D$3:$AY$3, 0))/1000</f>
        <v>0</v>
      </c>
      <c r="AT101" s="384">
        <f t="array" ref="AT101">INDEX(Demand_previous!$D$4:$AY$138, MATCH('Staging Table'!$A101, Demand_previous!$B$4:$B$138, 0), MATCH(AT$4&amp;AT$5,Demand_previous!$D$2:$AY$2&amp;Demand_previous!$D$3:$AY$3, 0))/1000</f>
        <v>0</v>
      </c>
      <c r="AU101" s="384">
        <f t="array" ref="AU101">INDEX(Demand_previous!$D$4:$AY$138, MATCH('Staging Table'!$A101, Demand_previous!$B$4:$B$138, 0), MATCH(AU$4&amp;AU$5,Demand_previous!$D$2:$AY$2&amp;Demand_previous!$D$3:$AY$3, 0))/1000</f>
        <v>0</v>
      </c>
      <c r="AV101" s="384">
        <f>IF($D101=0,IF(C101=0, MAX(AY101 - (VLOOKUP($A101,TOCA_previous!$A$2:$AI$137,MATCH("RHWM 2016",TOCA_previous!$A$2:$AI$2,0),FALSE)*$F$2*TOCA_previous!C98),0),0), 0)</f>
        <v>0</v>
      </c>
      <c r="AW101" s="427">
        <f>VLOOKUP($A101,REP_previous!$A$1:$D$135,MATCH("FY "&amp;$F$1&amp; " Total Refund",REP_previous!$A$1:$D$1,0),0)</f>
        <v>249571.96108281476</v>
      </c>
      <c r="AX101" s="398">
        <f>MIN(VLOOKUP($A101,TOCA_previous!$A$2:$AI$137,MATCH("TRL - NLSL - Exisiting Resource "&amp;$F$1,TOCA_previous!$A$2:$AI$2,0),FALSE)*$F$2,(VLOOKUP($A101,TOCA_previous!$A$2:$AI$137,MATCH("RHWM 2016",TOCA_previous!$A$2:$AI$2,0),FALSE)*$F$2))</f>
        <v>0</v>
      </c>
      <c r="AY101" s="384">
        <f>SUM(L101:AI101)+(F101*RT1SC!$C$3*$F$2)</f>
        <v>0</v>
      </c>
      <c r="AZ101" s="398">
        <f>VLOOKUP($A101,TOCA_previous!$A$2:$AI$137,MATCH("Above RHWM Not Served with LS "&amp;$F$1,TOCA_previous!$A$2:$AI$2,0),FALSE)*$F$2</f>
        <v>10127.951999999999</v>
      </c>
      <c r="BA101" s="206">
        <f t="shared" si="19"/>
        <v>0</v>
      </c>
      <c r="BB101" s="399">
        <f>(VLOOKUP($A101,TOCA_previous!$A$2:$AI$137,MATCH("RHWM 2016",TOCA_previous!$A$2:$AI$2,0),FALSE)*$F$2) - $AX101</f>
        <v>224141.32800000001</v>
      </c>
      <c r="BC101" s="206">
        <f t="shared" si="20"/>
        <v>0</v>
      </c>
      <c r="BD101" s="400">
        <f t="shared" si="21"/>
        <v>0</v>
      </c>
      <c r="BE101" s="392">
        <f t="shared" si="22"/>
        <v>-10127.951999999999</v>
      </c>
      <c r="BF101" s="399">
        <f t="shared" si="23"/>
        <v>0</v>
      </c>
      <c r="BG101" s="206">
        <f>VLOOKUP($A101,TOCA_current!$A$2:$AI$137,MATCH(BG$4,TOCA_current!$A$2:$AI$2,0),FALSE)</f>
        <v>0</v>
      </c>
      <c r="BH101" s="206">
        <f>VLOOKUP($A101,TOCA_current!$A$2:$AI$137,MATCH(BH$4,TOCA_current!$A$2:$AI$2,0),FALSE)</f>
        <v>0</v>
      </c>
      <c r="BI101" s="391">
        <f t="shared" si="24"/>
        <v>0</v>
      </c>
      <c r="BJ101" s="206">
        <f>VLOOKUP($A101,TOCA_current!A97:BG232,MATCH(BJ$4,TOCA_current!$A$2:$BG$2,0),FALSE)</f>
        <v>0</v>
      </c>
      <c r="BK101" s="206">
        <f t="shared" si="25"/>
        <v>0</v>
      </c>
      <c r="BL101" s="206">
        <f t="shared" si="26"/>
        <v>0</v>
      </c>
      <c r="BM101" s="381">
        <f>VLOOKUP($A101,IRD!$A$4:$G$139, 7, FALSE)</f>
        <v>0</v>
      </c>
      <c r="BN101" s="382">
        <f t="array" ref="BN101">IF($BI101=0, INDEX(LS_current!$D$4:$AY$139, MATCH('Staging Table'!$A101, LS_current!$B$4:$B$139, 0), MATCH(BN$4&amp;BN$5, LS_current!$D$2:$AY$2&amp;LS_current!$D$3:$AY$3, 0)),SUM(VLOOKUP($A101, LS_current!$B$4:$AY$139, LS_current!D$149, FALSE), VLOOKUP($A101, LS_current!$B$4:$AY$139,LS_current!D$149, FALSE))/2)</f>
        <v>0</v>
      </c>
      <c r="BO101" s="382">
        <f t="array" ref="BO101">IF($BI101=0, INDEX(LS_current!$D$4:$AY$139, MATCH('Staging Table'!$A101, LS_current!$B$4:$B$139, 0), MATCH(BO$4&amp;BO$5, LS_current!$D$2:$AY$2&amp;LS_current!$D$3:$AY$3, 0)),SUM(VLOOKUP($A101, LS_current!$B$4:$AY$139, LS_current!E$149, FALSE), VLOOKUP($A101, LS_current!$B$4:$AY$139,LS_current!E$149, FALSE))/2)</f>
        <v>0</v>
      </c>
      <c r="BP101" s="382">
        <f t="array" ref="BP101">IF($BI101=0, INDEX(LS_current!$D$4:$AY$139, MATCH('Staging Table'!$A101, LS_current!$B$4:$B$139, 0), MATCH(BP$4&amp;BP$5, LS_current!$D$2:$AY$2&amp;LS_current!$D$3:$AY$3, 0)),SUM(VLOOKUP($A101, LS_current!$B$4:$AY$139, LS_current!F$149, FALSE), VLOOKUP($A101, LS_current!$B$4:$AY$139,LS_current!F$149, FALSE))/2)</f>
        <v>0</v>
      </c>
      <c r="BQ101" s="382">
        <f t="array" ref="BQ101">IF($BI101=0, INDEX(LS_current!$D$4:$AY$139, MATCH('Staging Table'!$A101, LS_current!$B$4:$B$139, 0), MATCH(BQ$4&amp;BQ$5, LS_current!$D$2:$AY$2&amp;LS_current!$D$3:$AY$3, 0)),SUM(VLOOKUP($A101, LS_current!$B$4:$AY$139, LS_current!G$149, FALSE), VLOOKUP($A101, LS_current!$B$4:$AY$139,LS_current!G$149, FALSE))/2)</f>
        <v>0</v>
      </c>
      <c r="BR101" s="382">
        <f t="array" ref="BR101">IF($BI101=0, INDEX(LS_current!$D$4:$AY$139, MATCH('Staging Table'!$A101, LS_current!$B$4:$B$139, 0), MATCH(BR$4&amp;BR$5, LS_current!$D$2:$AY$2&amp;LS_current!$D$3:$AY$3, 0)),SUM(VLOOKUP($A101, LS_current!$B$4:$AY$139, LS_current!H$149, FALSE), VLOOKUP($A101, LS_current!$B$4:$AY$139,LS_current!H$149, FALSE))/2)</f>
        <v>0</v>
      </c>
      <c r="BS101" s="382">
        <f t="array" ref="BS101">IF($BI101=0, INDEX(LS_current!$D$4:$AY$139, MATCH('Staging Table'!$A101, LS_current!$B$4:$B$139, 0), MATCH(BS$4&amp;BS$5, LS_current!$D$2:$AY$2&amp;LS_current!$D$3:$AY$3, 0)),SUM(VLOOKUP($A101, LS_current!$B$4:$AY$139, LS_current!I$149, FALSE), VLOOKUP($A101, LS_current!$B$4:$AY$139,LS_current!I$149, FALSE))/2)</f>
        <v>0</v>
      </c>
      <c r="BT101" s="382">
        <f t="array" ref="BT101">IF($BI101=0, INDEX(LS_current!$D$4:$AY$139, MATCH('Staging Table'!$A101, LS_current!$B$4:$B$139, 0), MATCH(BT$4&amp;BT$5, LS_current!$D$2:$AY$2&amp;LS_current!$D$3:$AY$3, 0)),SUM(VLOOKUP($A101, LS_current!$B$4:$AY$139, LS_current!J$149, FALSE), VLOOKUP($A101, LS_current!$B$4:$AY$139,LS_current!J$149, FALSE))/2)</f>
        <v>0</v>
      </c>
      <c r="BU101" s="382">
        <f t="array" ref="BU101">IF($BI101=0, INDEX(LS_current!$D$4:$AY$139, MATCH('Staging Table'!$A101, LS_current!$B$4:$B$139, 0), MATCH(BU$4&amp;BU$5, LS_current!$D$2:$AY$2&amp;LS_current!$D$3:$AY$3, 0)),SUM(VLOOKUP($A101, LS_current!$B$4:$AY$139, LS_current!K$149, FALSE), VLOOKUP($A101, LS_current!$B$4:$AY$139,LS_current!K$149, FALSE))/2)</f>
        <v>0</v>
      </c>
      <c r="BV101" s="382">
        <f t="array" ref="BV101">IF($BI101=0, INDEX(LS_current!$D$4:$AY$139, MATCH('Staging Table'!$A101, LS_current!$B$4:$B$139, 0), MATCH(BV$4&amp;BV$5, LS_current!$D$2:$AY$2&amp;LS_current!$D$3:$AY$3, 0)),SUM(VLOOKUP($A101, LS_current!$B$4:$AY$139, LS_current!L$149, FALSE), VLOOKUP($A101, LS_current!$B$4:$AY$139,LS_current!L$149, FALSE))/2)</f>
        <v>0</v>
      </c>
      <c r="BW101" s="382">
        <f t="array" ref="BW101">IF($BI101=0, INDEX(LS_current!$D$4:$AY$139, MATCH('Staging Table'!$A101, LS_current!$B$4:$B$139, 0), MATCH(BW$4&amp;BW$5, LS_current!$D$2:$AY$2&amp;LS_current!$D$3:$AY$3, 0)),SUM(VLOOKUP($A101, LS_current!$B$4:$AY$139, LS_current!M$149, FALSE), VLOOKUP($A101, LS_current!$B$4:$AY$139,LS_current!M$149, FALSE))/2)</f>
        <v>0</v>
      </c>
      <c r="BX101" s="382">
        <f t="array" ref="BX101">IF($BI101=0, INDEX(LS_current!$D$4:$AY$139, MATCH('Staging Table'!$A101, LS_current!$B$4:$B$139, 0), MATCH(BX$4&amp;BX$5, LS_current!$D$2:$AY$2&amp;LS_current!$D$3:$AY$3, 0)),SUM(VLOOKUP($A101, LS_current!$B$4:$AY$139, LS_current!N$149, FALSE), VLOOKUP($A101, LS_current!$B$4:$AY$139,LS_current!N$149, FALSE))/2)</f>
        <v>0</v>
      </c>
      <c r="BY101" s="382">
        <f t="array" ref="BY101">IF($BI101=0, INDEX(LS_current!$D$4:$AY$139, MATCH('Staging Table'!$A101, LS_current!$B$4:$B$139, 0), MATCH(BY$4&amp;BY$5, LS_current!$D$2:$AY$2&amp;LS_current!$D$3:$AY$3, 0)),SUM(VLOOKUP($A101, LS_current!$B$4:$AY$139, LS_current!O$149, FALSE), VLOOKUP($A101, LS_current!$B$4:$AY$139,LS_current!O$149, FALSE))/2)</f>
        <v>0</v>
      </c>
      <c r="BZ101" s="382">
        <f t="array" ref="BZ101">IF($BI101=0, INDEX(LS_current!$D$4:$AY$139, MATCH('Staging Table'!$A101, LS_current!$B$4:$B$139, 0), MATCH(BZ$4&amp;BZ$5, LS_current!$D$2:$AY$2&amp;LS_current!$D$3:$AY$3, 0)),SUM(VLOOKUP($A101, LS_current!$B$4:$AY$139, LS_current!P$149, FALSE), VLOOKUP($A101, LS_current!$B$4:$AY$139,LS_current!P$149, FALSE))/2)</f>
        <v>0</v>
      </c>
      <c r="CA101" s="382">
        <f t="array" ref="CA101">IF($BI101=0, INDEX(LS_current!$D$4:$AY$139, MATCH('Staging Table'!$A101, LS_current!$B$4:$B$139, 0), MATCH(CA$4&amp;CA$5, LS_current!$D$2:$AY$2&amp;LS_current!$D$3:$AY$3, 0)),SUM(VLOOKUP($A101, LS_current!$B$4:$AY$139, LS_current!Q$149, FALSE), VLOOKUP($A101, LS_current!$B$4:$AY$139,LS_current!Q$149, FALSE))/2)</f>
        <v>0</v>
      </c>
      <c r="CB101" s="382">
        <f t="array" ref="CB101">IF($BI101=0, INDEX(LS_current!$D$4:$AY$139, MATCH('Staging Table'!$A101, LS_current!$B$4:$B$139, 0), MATCH(CB$4&amp;CB$5, LS_current!$D$2:$AY$2&amp;LS_current!$D$3:$AY$3, 0)),SUM(VLOOKUP($A101, LS_current!$B$4:$AY$139, LS_current!R$149, FALSE), VLOOKUP($A101, LS_current!$B$4:$AY$139,LS_current!R$149, FALSE))/2)</f>
        <v>0</v>
      </c>
      <c r="CC101" s="382">
        <f t="array" ref="CC101">IF($BI101=0, INDEX(LS_current!$D$4:$AY$139, MATCH('Staging Table'!$A101, LS_current!$B$4:$B$139, 0), MATCH(CC$4&amp;CC$5, LS_current!$D$2:$AY$2&amp;LS_current!$D$3:$AY$3, 0)),SUM(VLOOKUP($A101, LS_current!$B$4:$AY$139, LS_current!S$149, FALSE), VLOOKUP($A101, LS_current!$B$4:$AY$139,LS_current!S$149, FALSE))/2)</f>
        <v>0</v>
      </c>
      <c r="CD101" s="382">
        <f t="array" ref="CD101">IF($BI101=0, INDEX(LS_current!$D$4:$AY$139, MATCH('Staging Table'!$A101, LS_current!$B$4:$B$139, 0), MATCH(CD$4&amp;CD$5, LS_current!$D$2:$AY$2&amp;LS_current!$D$3:$AY$3, 0)),SUM(VLOOKUP($A101, LS_current!$B$4:$AY$139, LS_current!T$149, FALSE), VLOOKUP($A101, LS_current!$B$4:$AY$139,LS_current!T$149, FALSE))/2)</f>
        <v>0</v>
      </c>
      <c r="CE101" s="382">
        <f t="array" ref="CE101">IF($BI101=0, INDEX(LS_current!$D$4:$AY$139, MATCH('Staging Table'!$A101, LS_current!$B$4:$B$139, 0), MATCH(CE$4&amp;CE$5, LS_current!$D$2:$AY$2&amp;LS_current!$D$3:$AY$3, 0)),SUM(VLOOKUP($A101, LS_current!$B$4:$AY$139, LS_current!U$149, FALSE), VLOOKUP($A101, LS_current!$B$4:$AY$139,LS_current!U$149, FALSE))/2)</f>
        <v>0</v>
      </c>
      <c r="CF101" s="382">
        <f t="array" ref="CF101">IF($BI101=0, INDEX(LS_current!$D$4:$AY$139, MATCH('Staging Table'!$A101, LS_current!$B$4:$B$139, 0), MATCH(CF$4&amp;CF$5, LS_current!$D$2:$AY$2&amp;LS_current!$D$3:$AY$3, 0)),SUM(VLOOKUP($A101, LS_current!$B$4:$AY$139, LS_current!V$149, FALSE), VLOOKUP($A101, LS_current!$B$4:$AY$139,LS_current!V$149, FALSE))/2)</f>
        <v>0</v>
      </c>
      <c r="CG101" s="382">
        <f t="array" ref="CG101">IF($BI101=0, INDEX(LS_current!$D$4:$AY$139, MATCH('Staging Table'!$A101, LS_current!$B$4:$B$139, 0), MATCH(CG$4&amp;CG$5, LS_current!$D$2:$AY$2&amp;LS_current!$D$3:$AY$3, 0)),SUM(VLOOKUP($A101, LS_current!$B$4:$AY$139, LS_current!W$149, FALSE), VLOOKUP($A101, LS_current!$B$4:$AY$139,LS_current!W$149, FALSE))/2)</f>
        <v>0</v>
      </c>
      <c r="CH101" s="382">
        <f t="array" ref="CH101">IF($BI101=0, INDEX(LS_current!$D$4:$AY$139, MATCH('Staging Table'!$A101, LS_current!$B$4:$B$139, 0), MATCH(CH$4&amp;CH$5, LS_current!$D$2:$AY$2&amp;LS_current!$D$3:$AY$3, 0)),SUM(VLOOKUP($A101, LS_current!$B$4:$AY$139, LS_current!X$149, FALSE), VLOOKUP($A101, LS_current!$B$4:$AY$139,LS_current!X$149, FALSE))/2)</f>
        <v>0</v>
      </c>
      <c r="CI101" s="382">
        <f t="array" ref="CI101">IF($BI101=0, INDEX(LS_current!$D$4:$AY$139, MATCH('Staging Table'!$A101, LS_current!$B$4:$B$139, 0), MATCH(CI$4&amp;CI$5, LS_current!$D$2:$AY$2&amp;LS_current!$D$3:$AY$3, 0)),SUM(VLOOKUP($A101, LS_current!$B$4:$AY$139, LS_current!Y$149, FALSE), VLOOKUP($A101, LS_current!$B$4:$AY$139,LS_current!Y$149, FALSE))/2)</f>
        <v>0</v>
      </c>
      <c r="CJ101" s="382">
        <f t="array" ref="CJ101">IF($BI101=0, INDEX(LS_current!$D$4:$AY$139, MATCH('Staging Table'!$A101, LS_current!$B$4:$B$139, 0), MATCH(CJ$4&amp;CJ$5, LS_current!$D$2:$AY$2&amp;LS_current!$D$3:$AY$3, 0)),SUM(VLOOKUP($A101, LS_current!$B$4:$AY$139, LS_current!Z$149, FALSE), VLOOKUP($A101, LS_current!$B$4:$AY$139,LS_current!Z$149, FALSE))/2)</f>
        <v>0</v>
      </c>
      <c r="CK101" s="382">
        <f t="array" ref="CK101">IF($BI101=0, INDEX(LS_current!$D$4:$AY$139, MATCH('Staging Table'!$A101, LS_current!$B$4:$B$139, 0), MATCH(CK$4&amp;CK$5, LS_current!$D$2:$AY$2&amp;LS_current!$D$3:$AY$3, 0)),SUM(VLOOKUP($A101, LS_current!$B$4:$AY$139, LS_current!AA$149, FALSE), VLOOKUP($A101, LS_current!$B$4:$AY$139,LS_current!AA$149, FALSE))/2)</f>
        <v>0</v>
      </c>
      <c r="CL101" s="384">
        <f t="array" ref="CL101">INDEX(Demand_current!$D$4:$AY$138, MATCH($A101, Demand_current!$B$4:$B$138, 0), MATCH(CL$4&amp;CL$5,Demand_current!$D$2:$AY$2&amp;Demand_current!$D$3:$AY$3, 0))/1000</f>
        <v>0</v>
      </c>
      <c r="CM101" s="384">
        <f t="array" ref="CM101">INDEX(Demand_current!$D$4:$AY$138, MATCH($A101, Demand_current!$B$4:$B$138, 0), MATCH(CM$4&amp;CM$5,Demand_current!$D$2:$AY$2&amp;Demand_current!$D$3:$AY$3, 0))/1000</f>
        <v>0</v>
      </c>
      <c r="CN101" s="384">
        <f t="array" ref="CN101">INDEX(Demand_current!$D$4:$AY$138, MATCH($A101, Demand_current!$B$4:$B$138, 0), MATCH(CN$4&amp;CN$5,Demand_current!$D$2:$AY$2&amp;Demand_current!$D$3:$AY$3, 0))/1000</f>
        <v>0</v>
      </c>
      <c r="CO101" s="384">
        <f t="array" ref="CO101">INDEX(Demand_current!$D$4:$AY$138, MATCH($A101, Demand_current!$B$4:$B$138, 0), MATCH(CO$4&amp;CO$5,Demand_current!$D$2:$AY$2&amp;Demand_current!$D$3:$AY$3, 0))/1000</f>
        <v>0</v>
      </c>
      <c r="CP101" s="384">
        <f t="array" ref="CP101">INDEX(Demand_current!$D$4:$AY$138, MATCH($A101, Demand_current!$B$4:$B$138, 0), MATCH(CP$4&amp;CP$5,Demand_current!$D$2:$AY$2&amp;Demand_current!$D$3:$AY$3, 0))/1000</f>
        <v>0</v>
      </c>
      <c r="CQ101" s="384">
        <f t="array" ref="CQ101">INDEX(Demand_current!$D$4:$AY$138, MATCH($A101, Demand_current!$B$4:$B$138, 0), MATCH(CQ$4&amp;CQ$5,Demand_current!$D$2:$AY$2&amp;Demand_current!$D$3:$AY$3, 0))/1000</f>
        <v>0</v>
      </c>
      <c r="CR101" s="384">
        <f t="array" ref="CR101">INDEX(Demand_current!$D$4:$AY$138, MATCH($A101, Demand_current!$B$4:$B$138, 0), MATCH(CR$4&amp;CR$5,Demand_current!$D$2:$AY$2&amp;Demand_current!$D$3:$AY$3, 0))/1000</f>
        <v>0</v>
      </c>
      <c r="CS101" s="384">
        <f t="array" ref="CS101">INDEX(Demand_current!$D$4:$AY$138, MATCH($A101, Demand_current!$B$4:$B$138, 0), MATCH(CS$4&amp;CS$5,Demand_current!$D$2:$AY$2&amp;Demand_current!$D$3:$AY$3, 0))/1000</f>
        <v>0</v>
      </c>
      <c r="CT101" s="384">
        <f t="array" ref="CT101">INDEX(Demand_current!$D$4:$AY$138, MATCH($A101, Demand_current!$B$4:$B$138, 0), MATCH(CT$4&amp;CT$5,Demand_current!$D$2:$AY$2&amp;Demand_current!$D$3:$AY$3, 0))/1000</f>
        <v>0</v>
      </c>
      <c r="CU101" s="384">
        <f t="array" ref="CU101">INDEX(Demand_current!$D$4:$AY$138, MATCH($A101, Demand_current!$B$4:$B$138, 0), MATCH(CU$4&amp;CU$5,Demand_current!$D$2:$AY$2&amp;Demand_current!$D$3:$AY$3, 0))/1000</f>
        <v>0</v>
      </c>
      <c r="CV101" s="384">
        <f t="array" ref="CV101">INDEX(Demand_current!$D$4:$AY$138, MATCH($A101, Demand_current!$B$4:$B$138, 0), MATCH(CV$4&amp;CV$5,Demand_current!$D$2:$AY$2&amp;Demand_current!$D$3:$AY$3, 0))/1000</f>
        <v>0</v>
      </c>
      <c r="CW101" s="384">
        <f t="array" ref="CW101">INDEX(Demand_current!$D$4:$AY$138, MATCH($A101, Demand_current!$B$4:$B$138, 0), MATCH(CW$4&amp;CW$5,Demand_current!$D$2:$AY$2&amp;Demand_current!$D$3:$AY$3, 0))/1000</f>
        <v>0</v>
      </c>
      <c r="CX101" s="384">
        <f>IF(D101=0,IF(C101=0,MAX(0,DA101 - (VLOOKUP($A101,TOCA_current!$A$2:$AI$137,MATCH("RHWM 2018",TOCA_current!$A$2:$AI$2,0),FALSE)*$BH$2)), 0),0)</f>
        <v>0</v>
      </c>
      <c r="CY101" s="427">
        <f>VLOOKUP($A101,REP_current!$A$1:$D$135,MATCH("FY "&amp;$BH$1&amp; " Total Refund",REP_current!$A$1:$D$1,0),0)</f>
        <v>218511.51253542781</v>
      </c>
      <c r="CZ101" s="432">
        <f>MIN(VLOOKUP($A101,TOCA_current!$A$2:$AI$137,MATCH("TRL - NLSL - Existing Resource "&amp;$BH$1,TOCA_current!$A$2:$AI$2,0),FALSE)*$BH$2, VLOOKUP($A101,TOCA_current!$A$2:$AI$137,MATCH("RHWM 2018",TOCA_current!$A$2:$AI$2,0),FALSE)*$BH$2)</f>
        <v>0</v>
      </c>
      <c r="DA101" s="397">
        <f>SUM(BN101:CK101)+(BH101*RT1SC!$C$4*$BH$2)</f>
        <v>0</v>
      </c>
      <c r="DB101" s="432">
        <f>VLOOKUP($A101,TOCA_current!$A$2:$AI$137,MATCH("Above RHWM Not Served with LS "&amp;$BH$1,TOCA_current!$A$2:$AI$2,0),FALSE)*$BH$2</f>
        <v>0</v>
      </c>
      <c r="DC101" s="401">
        <f t="shared" si="27"/>
        <v>0</v>
      </c>
      <c r="DD101" s="397">
        <f>(VLOOKUP($A101,TOCA_current!$A$2:$AI$137,MATCH("RHWM 2018",TOCA_current!$A$2:$AI$2,0),FALSE)*$BH$2) - $CZ101</f>
        <v>222109.80000000002</v>
      </c>
      <c r="DE101" s="397">
        <f t="shared" si="28"/>
        <v>0</v>
      </c>
      <c r="DF101" s="397">
        <f t="shared" si="29"/>
        <v>0</v>
      </c>
      <c r="DG101" s="397">
        <f t="shared" si="30"/>
        <v>0</v>
      </c>
      <c r="DH101" s="397">
        <f t="shared" si="31"/>
        <v>0</v>
      </c>
    </row>
    <row r="102" spans="1:112">
      <c r="A102" s="274">
        <v>10307</v>
      </c>
      <c r="B102" s="275" t="s">
        <v>103</v>
      </c>
      <c r="C102" s="397">
        <v>0</v>
      </c>
      <c r="D102" s="397">
        <v>0</v>
      </c>
      <c r="E102" s="205">
        <f>VLOOKUP($A102,TOCA_previous!$A$2:$AI$137,MATCH(E$4,TOCA_previous!$A$2:$AI$2,0),FALSE)</f>
        <v>1.0208E-2</v>
      </c>
      <c r="F102" s="206">
        <f>VLOOKUP($A102,TOCA_previous!$A$2:$AI$137,MATCH(F$4,TOCA_previous!$A$2:$AI$2,0),FALSE)</f>
        <v>1.0208E-2</v>
      </c>
      <c r="G102" s="206">
        <f t="shared" si="16"/>
        <v>0</v>
      </c>
      <c r="H102" s="206">
        <f>VLOOKUP($A102,TOCA_previous!$A$2:$AI$137,MATCH(H$4,TOCA_previous!$A$2:$AI$2,0),FALSE)</f>
        <v>0</v>
      </c>
      <c r="I102" s="206">
        <f t="shared" si="17"/>
        <v>0</v>
      </c>
      <c r="J102" s="206">
        <f t="shared" si="18"/>
        <v>0</v>
      </c>
      <c r="K102" s="381">
        <f>VLOOKUP(A102, IRD!$A$5:$C$139, 3, FALSE)</f>
        <v>0</v>
      </c>
      <c r="L102" s="382">
        <f t="array" ref="L102">IF($G102=0, INDEX(LS_previous!$D$4:$AY$138, MATCH('Staging Table'!$A102, LS_previous!$B$4:$B$138, 0), MATCH(L$4&amp;L$5, LS_previous!$D$2:$AY$2&amp;LS_previous!$D$3:$AY$3, 0)),SUM(VLOOKUP($A102, LS_previous!$B$4:$AY$138, LS_previous!D$149, FALSE), VLOOKUP('Staging Table'!$A102, LS_previous!$B$4:$AY$138,LS_previous!AB$149, FALSE))/2)</f>
        <v>-2598.5981544096649</v>
      </c>
      <c r="M102" s="382">
        <f t="array" ref="M102">IF($G102=0, INDEX(LS_previous!$D$4:$AY$138, MATCH('Staging Table'!$A102, LS_previous!$B$4:$B$138, 0), MATCH(M$4&amp;M$5, LS_previous!$D$2:$AY$2&amp;LS_previous!$D$3:$AY$3, 0)),SUM(VLOOKUP($A102, LS_previous!$B$4:$AY$138, LS_previous!E$149, FALSE), VLOOKUP('Staging Table'!$A102, LS_previous!$B$4:$AY$138,LS_previous!AC$149, FALSE))/2)</f>
        <v>-290.46030283443542</v>
      </c>
      <c r="N102" s="382">
        <f t="array" ref="N102">IF($G102=0, INDEX(LS_previous!$D$4:$AY$138, MATCH('Staging Table'!$A102, LS_previous!$B$4:$B$138, 0), MATCH(N$4&amp;N$5, LS_previous!$D$2:$AY$2&amp;LS_previous!$D$3:$AY$3, 0)),SUM(VLOOKUP($A102, LS_previous!$B$4:$AY$138, LS_previous!F$149, FALSE), VLOOKUP('Staging Table'!$A102, LS_previous!$B$4:$AY$138,LS_previous!AD$149, FALSE))/2)</f>
        <v>152.52056149658165</v>
      </c>
      <c r="O102" s="382">
        <f t="array" ref="O102">IF($G102=0, INDEX(LS_previous!$D$4:$AY$138, MATCH('Staging Table'!$A102, LS_previous!$B$4:$B$138, 0), MATCH(O$4&amp;O$5, LS_previous!$D$2:$AY$2&amp;LS_previous!$D$3:$AY$3, 0)),SUM(VLOOKUP($A102, LS_previous!$B$4:$AY$138, LS_previous!G$149, FALSE), VLOOKUP('Staging Table'!$A102, LS_previous!$B$4:$AY$138,LS_previous!AE$149, FALSE))/2)</f>
        <v>1310.3962385855339</v>
      </c>
      <c r="P102" s="382">
        <f t="array" ref="P102">IF($G102=0, INDEX(LS_previous!$D$4:$AY$138, MATCH('Staging Table'!$A102, LS_previous!$B$4:$B$138, 0), MATCH(P$4&amp;P$5, LS_previous!$D$2:$AY$2&amp;LS_previous!$D$3:$AY$3, 0)),SUM(VLOOKUP($A102, LS_previous!$B$4:$AY$138, LS_previous!H$149, FALSE), VLOOKUP('Staging Table'!$A102, LS_previous!$B$4:$AY$138,LS_previous!AF$149, FALSE))/2)</f>
        <v>3431.1764230600384</v>
      </c>
      <c r="Q102" s="382">
        <f t="array" ref="Q102">IF($G102=0, INDEX(LS_previous!$D$4:$AY$138, MATCH('Staging Table'!$A102, LS_previous!$B$4:$B$138, 0), MATCH(Q$4&amp;Q$5, LS_previous!$D$2:$AY$2&amp;LS_previous!$D$3:$AY$3, 0)),SUM(VLOOKUP($A102, LS_previous!$B$4:$AY$138, LS_previous!I$149, FALSE), VLOOKUP('Staging Table'!$A102, LS_previous!$B$4:$AY$138,LS_previous!AG$149, FALSE))/2)</f>
        <v>4844.9254759759897</v>
      </c>
      <c r="R102" s="382">
        <f t="array" ref="R102">IF($G102=0, INDEX(LS_previous!$D$4:$AY$138, MATCH('Staging Table'!$A102, LS_previous!$B$4:$B$138, 0), MATCH(R$4&amp;R$5, LS_previous!$D$2:$AY$2&amp;LS_previous!$D$3:$AY$3, 0)),SUM(VLOOKUP($A102, LS_previous!$B$4:$AY$138, LS_previous!J$149, FALSE), VLOOKUP('Staging Table'!$A102, LS_previous!$B$4:$AY$138,LS_previous!AH$149, FALSE))/2)</f>
        <v>10017.964281383178</v>
      </c>
      <c r="S102" s="382">
        <f t="array" ref="S102">IF($G102=0, INDEX(LS_previous!$D$4:$AY$138, MATCH('Staging Table'!$A102, LS_previous!$B$4:$B$138, 0), MATCH(S$4&amp;S$5, LS_previous!$D$2:$AY$2&amp;LS_previous!$D$3:$AY$3, 0)),SUM(VLOOKUP($A102, LS_previous!$B$4:$AY$138, LS_previous!K$149, FALSE), VLOOKUP('Staging Table'!$A102, LS_previous!$B$4:$AY$138,LS_previous!AI$149, FALSE))/2)</f>
        <v>6631.7570427441788</v>
      </c>
      <c r="T102" s="382">
        <f t="array" ref="T102">IF($G102=0, INDEX(LS_previous!$D$4:$AY$138, MATCH('Staging Table'!$A102, LS_previous!$B$4:$B$138, 0), MATCH(T$4&amp;T$5, LS_previous!$D$2:$AY$2&amp;LS_previous!$D$3:$AY$3, 0)),SUM(VLOOKUP($A102, LS_previous!$B$4:$AY$138, LS_previous!L$149, FALSE), VLOOKUP('Staging Table'!$A102, LS_previous!$B$4:$AY$138,LS_previous!AJ$149, FALSE))/2)</f>
        <v>7784.6163907413938</v>
      </c>
      <c r="U102" s="382">
        <f t="array" ref="U102">IF($G102=0, INDEX(LS_previous!$D$4:$AY$138, MATCH('Staging Table'!$A102, LS_previous!$B$4:$B$138, 0), MATCH(U$4&amp;U$5, LS_previous!$D$2:$AY$2&amp;LS_previous!$D$3:$AY$3, 0)),SUM(VLOOKUP($A102, LS_previous!$B$4:$AY$138, LS_previous!M$149, FALSE), VLOOKUP('Staging Table'!$A102, LS_previous!$B$4:$AY$138,LS_previous!AK$149, FALSE))/2)</f>
        <v>4867.6364010766265</v>
      </c>
      <c r="V102" s="382">
        <f t="array" ref="V102">IF($G102=0, INDEX(LS_previous!$D$4:$AY$138, MATCH('Staging Table'!$A102, LS_previous!$B$4:$B$138, 0), MATCH(V$4&amp;V$5, LS_previous!$D$2:$AY$2&amp;LS_previous!$D$3:$AY$3, 0)),SUM(VLOOKUP($A102, LS_previous!$B$4:$AY$138, LS_previous!N$149, FALSE), VLOOKUP('Staging Table'!$A102, LS_previous!$B$4:$AY$138,LS_previous!AL$149, FALSE))/2)</f>
        <v>1703.2398904982001</v>
      </c>
      <c r="W102" s="382">
        <f t="array" ref="W102">IF($G102=0, INDEX(LS_previous!$D$4:$AY$138, MATCH('Staging Table'!$A102, LS_previous!$B$4:$B$138, 0), MATCH(W$4&amp;W$5, LS_previous!$D$2:$AY$2&amp;LS_previous!$D$3:$AY$3, 0)),SUM(VLOOKUP($A102, LS_previous!$B$4:$AY$138, LS_previous!O$149, FALSE), VLOOKUP('Staging Table'!$A102, LS_previous!$B$4:$AY$138,LS_previous!AM$149, FALSE))/2)</f>
        <v>259.63763022892454</v>
      </c>
      <c r="X102" s="382">
        <f t="array" ref="X102">IF($G102=0, INDEX(LS_previous!$D$4:$AY$138, MATCH('Staging Table'!$A102, LS_previous!$B$4:$B$138, 0), MATCH(X$4&amp;X$5, LS_previous!$D$2:$AY$2&amp;LS_previous!$D$3:$AY$3, 0)),SUM(VLOOKUP($A102, LS_previous!$B$4:$AY$138, LS_previous!P$149, FALSE), VLOOKUP('Staging Table'!$A102, LS_previous!$B$4:$AY$138,LS_previous!AN$149, FALSE))/2)</f>
        <v>1680.2499915066437</v>
      </c>
      <c r="Y102" s="382">
        <f t="array" ref="Y102">IF($G102=0, INDEX(LS_previous!$D$4:$AY$138, MATCH('Staging Table'!$A102, LS_previous!$B$4:$B$138, 0), MATCH(Y$4&amp;Y$5, LS_previous!$D$2:$AY$2&amp;LS_previous!$D$3:$AY$3, 0)),SUM(VLOOKUP($A102, LS_previous!$B$4:$AY$138, LS_previous!Q$149, FALSE), VLOOKUP('Staging Table'!$A102, LS_previous!$B$4:$AY$138,LS_previous!AO$149, FALSE))/2)</f>
        <v>2280.1667065676629</v>
      </c>
      <c r="Z102" s="382">
        <f t="array" ref="Z102">IF($G102=0, INDEX(LS_previous!$D$4:$AY$138, MATCH('Staging Table'!$A102, LS_previous!$B$4:$B$138, 0), MATCH(Z$4&amp;Z$5, LS_previous!$D$2:$AY$2&amp;LS_previous!$D$3:$AY$3, 0)),SUM(VLOOKUP($A102, LS_previous!$B$4:$AY$138, LS_previous!R$149, FALSE), VLOOKUP('Staging Table'!$A102, LS_previous!$B$4:$AY$138,LS_previous!AP$149, FALSE))/2)</f>
        <v>-18597.574563853825</v>
      </c>
      <c r="AA102" s="382">
        <f t="array" ref="AA102">IF($G102=0, INDEX(LS_previous!$D$4:$AY$138, MATCH('Staging Table'!$A102, LS_previous!$B$4:$B$138, 0), MATCH(AA$4&amp;AA$5, LS_previous!$D$2:$AY$2&amp;LS_previous!$D$3:$AY$3, 0)),SUM(VLOOKUP($A102, LS_previous!$B$4:$AY$138, LS_previous!S$149, FALSE), VLOOKUP('Staging Table'!$A102, LS_previous!$B$4:$AY$138,LS_previous!AQ$149, FALSE))/2)</f>
        <v>-8433.4515851910619</v>
      </c>
      <c r="AB102" s="382">
        <f t="array" ref="AB102">IF($G102=0, INDEX(LS_previous!$D$4:$AY$138, MATCH('Staging Table'!$A102, LS_previous!$B$4:$B$138, 0), MATCH(AB$4&amp;AB$5, LS_previous!$D$2:$AY$2&amp;LS_previous!$D$3:$AY$3, 0)),SUM(VLOOKUP($A102, LS_previous!$B$4:$AY$138, LS_previous!T$149, FALSE), VLOOKUP('Staging Table'!$A102, LS_previous!$B$4:$AY$138,LS_previous!AR$149, FALSE))/2)</f>
        <v>-11858.561200917287</v>
      </c>
      <c r="AC102" s="382">
        <f t="array" ref="AC102">IF($G102=0, INDEX(LS_previous!$D$4:$AY$138, MATCH('Staging Table'!$A102, LS_previous!$B$4:$B$138, 0), MATCH(AC$4&amp;AC$5, LS_previous!$D$2:$AY$2&amp;LS_previous!$D$3:$AY$3, 0)),SUM(VLOOKUP($A102, LS_previous!$B$4:$AY$138, LS_previous!U$149, FALSE), VLOOKUP('Staging Table'!$A102, LS_previous!$B$4:$AY$138,LS_previous!AS$149, FALSE))/2)</f>
        <v>-6468.5586347850094</v>
      </c>
      <c r="AD102" s="382">
        <f t="array" ref="AD102">IF($G102=0, INDEX(LS_previous!$D$4:$AY$138, MATCH('Staging Table'!$A102, LS_previous!$B$4:$B$138, 0), MATCH(AD$4&amp;AD$5, LS_previous!$D$2:$AY$2&amp;LS_previous!$D$3:$AY$3, 0)),SUM(VLOOKUP($A102, LS_previous!$B$4:$AY$138, LS_previous!V$149, FALSE), VLOOKUP('Staging Table'!$A102, LS_previous!$B$4:$AY$138,LS_previous!AT$149, FALSE))/2)</f>
        <v>-10432.739200026794</v>
      </c>
      <c r="AE102" s="382">
        <f t="array" ref="AE102">IF($G102=0, INDEX(LS_previous!$D$4:$AY$138, MATCH('Staging Table'!$A102, LS_previous!$B$4:$B$138, 0), MATCH(AE$4&amp;AE$5, LS_previous!$D$2:$AY$2&amp;LS_previous!$D$3:$AY$3, 0)),SUM(VLOOKUP($A102, LS_previous!$B$4:$AY$138, LS_previous!W$149, FALSE), VLOOKUP('Staging Table'!$A102, LS_previous!$B$4:$AY$138,LS_previous!AU$149, FALSE))/2)</f>
        <v>-2052.0377540366171</v>
      </c>
      <c r="AF102" s="382">
        <f t="array" ref="AF102">IF($G102=0, INDEX(LS_previous!$D$4:$AY$138, MATCH('Staging Table'!$A102, LS_previous!$B$4:$B$138, 0), MATCH(AF$4&amp;AF$5, LS_previous!$D$2:$AY$2&amp;LS_previous!$D$3:$AY$3, 0)),SUM(VLOOKUP($A102, LS_previous!$B$4:$AY$138, LS_previous!X$149, FALSE), VLOOKUP('Staging Table'!$A102, LS_previous!$B$4:$AY$138,LS_previous!AV$149, FALSE))/2)</f>
        <v>-10639.646723704147</v>
      </c>
      <c r="AG102" s="382">
        <f t="array" ref="AG102">IF($G102=0, INDEX(LS_previous!$D$4:$AY$138, MATCH('Staging Table'!$A102, LS_previous!$B$4:$B$138, 0), MATCH(AG$4&amp;AG$5, LS_previous!$D$2:$AY$2&amp;LS_previous!$D$3:$AY$3, 0)),SUM(VLOOKUP($A102, LS_previous!$B$4:$AY$138, LS_previous!Y$149, FALSE), VLOOKUP('Staging Table'!$A102, LS_previous!$B$4:$AY$138,LS_previous!AW$149, FALSE))/2)</f>
        <v>-4048.6673784862724</v>
      </c>
      <c r="AH102" s="382">
        <f t="array" ref="AH102">IF($G102=0, INDEX(LS_previous!$D$4:$AY$138, MATCH('Staging Table'!$A102, LS_previous!$B$4:$B$138, 0), MATCH(AH$4&amp;AH$5, LS_previous!$D$2:$AY$2&amp;LS_previous!$D$3:$AY$3, 0)),SUM(VLOOKUP($A102, LS_previous!$B$4:$AY$138, LS_previous!Z$149, FALSE), VLOOKUP('Staging Table'!$A102, LS_previous!$B$4:$AY$138,LS_previous!AX$149, FALSE))/2)</f>
        <v>-5054.6872732936354</v>
      </c>
      <c r="AI102" s="382">
        <f t="array" ref="AI102">IF($G102=0, INDEX(LS_previous!$D$4:$AY$138, MATCH('Staging Table'!$A102, LS_previous!$B$4:$B$138, 0), MATCH(AI$4&amp;AI$5, LS_previous!$D$2:$AY$2&amp;LS_previous!$D$3:$AY$3, 0)),SUM(VLOOKUP($A102, LS_previous!$B$4:$AY$138, LS_previous!AA$149, FALSE), VLOOKUP('Staging Table'!$A102, LS_previous!$B$4:$AY$138,LS_previous!AY$149, FALSE))/2)</f>
        <v>-1858.0052655986619</v>
      </c>
      <c r="AJ102" s="384">
        <f t="array" ref="AJ102">INDEX(Demand_previous!$D$4:$AY$138, MATCH('Staging Table'!$A102, Demand_previous!$B$4:$B$138, 0), MATCH(AJ$4&amp;AJ$5,Demand_previous!$D$2:$AY$2&amp;Demand_previous!$D$3:$AY$3, 0))/1000</f>
        <v>12.634162037037033</v>
      </c>
      <c r="AK102" s="384">
        <f t="array" ref="AK102">INDEX(Demand_previous!$D$4:$AY$138, MATCH('Staging Table'!$A102, Demand_previous!$B$4:$B$138, 0), MATCH(AK$4&amp;AK$5,Demand_previous!$D$2:$AY$2&amp;Demand_previous!$D$3:$AY$3, 0))/1000</f>
        <v>0</v>
      </c>
      <c r="AL102" s="384">
        <f t="array" ref="AL102">INDEX(Demand_previous!$D$4:$AY$138, MATCH('Staging Table'!$A102, Demand_previous!$B$4:$B$138, 0), MATCH(AL$4&amp;AL$5,Demand_previous!$D$2:$AY$2&amp;Demand_previous!$D$3:$AY$3, 0))/1000</f>
        <v>35.216699519230772</v>
      </c>
      <c r="AM102" s="384">
        <f t="array" ref="AM102">INDEX(Demand_previous!$D$4:$AY$138, MATCH('Staging Table'!$A102, Demand_previous!$B$4:$B$138, 0), MATCH(AM$4&amp;AM$5,Demand_previous!$D$2:$AY$2&amp;Demand_previous!$D$3:$AY$3, 0))/1000</f>
        <v>24.034317500000007</v>
      </c>
      <c r="AN102" s="384">
        <f t="array" ref="AN102">INDEX(Demand_previous!$D$4:$AY$138, MATCH('Staging Table'!$A102, Demand_previous!$B$4:$B$138, 0), MATCH(AN$4&amp;AN$5,Demand_previous!$D$2:$AY$2&amp;Demand_previous!$D$3:$AY$3, 0))/1000</f>
        <v>16.510895000000009</v>
      </c>
      <c r="AO102" s="384">
        <f t="array" ref="AO102">INDEX(Demand_previous!$D$4:$AY$138, MATCH('Staging Table'!$A102, Demand_previous!$B$4:$B$138, 0), MATCH(AO$4&amp;AO$5,Demand_previous!$D$2:$AY$2&amp;Demand_previous!$D$3:$AY$3, 0))/1000</f>
        <v>18.250916666666672</v>
      </c>
      <c r="AP102" s="384">
        <f t="array" ref="AP102">INDEX(Demand_previous!$D$4:$AY$138, MATCH('Staging Table'!$A102, Demand_previous!$B$4:$B$138, 0), MATCH(AP$4&amp;AP$5,Demand_previous!$D$2:$AY$2&amp;Demand_previous!$D$3:$AY$3, 0))/1000</f>
        <v>10.524487980769237</v>
      </c>
      <c r="AQ102" s="384">
        <f t="array" ref="AQ102">INDEX(Demand_previous!$D$4:$AY$138, MATCH('Staging Table'!$A102, Demand_previous!$B$4:$B$138, 0), MATCH(AQ$4&amp;AQ$5,Demand_previous!$D$2:$AY$2&amp;Demand_previous!$D$3:$AY$3, 0))/1000</f>
        <v>2.546684999999993</v>
      </c>
      <c r="AR102" s="384">
        <f t="array" ref="AR102">INDEX(Demand_previous!$D$4:$AY$138, MATCH('Staging Table'!$A102, Demand_previous!$B$4:$B$138, 0), MATCH(AR$4&amp;AR$5,Demand_previous!$D$2:$AY$2&amp;Demand_previous!$D$3:$AY$3, 0))/1000</f>
        <v>12.311980769230779</v>
      </c>
      <c r="AS102" s="384">
        <f t="array" ref="AS102">INDEX(Demand_previous!$D$4:$AY$138, MATCH('Staging Table'!$A102, Demand_previous!$B$4:$B$138, 0), MATCH(AS$4&amp;AS$5,Demand_previous!$D$2:$AY$2&amp;Demand_previous!$D$3:$AY$3, 0))/1000</f>
        <v>13.068317499999996</v>
      </c>
      <c r="AT102" s="384">
        <f t="array" ref="AT102">INDEX(Demand_previous!$D$4:$AY$138, MATCH('Staging Table'!$A102, Demand_previous!$B$4:$B$138, 0), MATCH(AT$4&amp;AT$5,Demand_previous!$D$2:$AY$2&amp;Demand_previous!$D$3:$AY$3, 0))/1000</f>
        <v>15.070951388888894</v>
      </c>
      <c r="AU102" s="384">
        <f t="array" ref="AU102">INDEX(Demand_previous!$D$4:$AY$138, MATCH('Staging Table'!$A102, Demand_previous!$B$4:$B$138, 0), MATCH(AU$4&amp;AU$5,Demand_previous!$D$2:$AY$2&amp;Demand_previous!$D$3:$AY$3, 0))/1000</f>
        <v>12.129954999999997</v>
      </c>
      <c r="AV102" s="384">
        <f>IF($D102=0,IF(C102=0, MAX(AY102 - (VLOOKUP($A102,TOCA_previous!$A$2:$AI$137,MATCH("RHWM 2016",TOCA_previous!$A$2:$AI$2,0),FALSE)*$F$2*TOCA_previous!C99),0),0), 0)</f>
        <v>0</v>
      </c>
      <c r="AW102" s="427">
        <f>VLOOKUP($A102,REP_previous!$A$1:$D$135,MATCH("FY "&amp;$F$1&amp; " Total Refund",REP_previous!$A$1:$D$1,0),0)</f>
        <v>882979.85743155563</v>
      </c>
      <c r="AX102" s="398">
        <f>MIN(VLOOKUP($A102,TOCA_previous!$A$2:$AI$137,MATCH("TRL - NLSL - Exisiting Resource "&amp;$F$1,TOCA_previous!$A$2:$AI$2,0),FALSE)*$F$2,(VLOOKUP($A102,TOCA_previous!$A$2:$AI$137,MATCH("RHWM 2016",TOCA_previous!$A$2:$AI$2,0),FALSE)*$F$2))</f>
        <v>626149.87199999997</v>
      </c>
      <c r="AY102" s="384">
        <f>SUM(L102:AI102)+(F102*RT1SC!$C$3*$F$2)</f>
        <v>588784.08447384764</v>
      </c>
      <c r="AZ102" s="398">
        <f>VLOOKUP($A102,TOCA_previous!$A$2:$AI$137,MATCH("Above RHWM Not Served with LS "&amp;$F$1,TOCA_previous!$A$2:$AI$2,0),FALSE)*$F$2</f>
        <v>421.63200000000001</v>
      </c>
      <c r="BA102" s="206">
        <f t="shared" si="19"/>
        <v>-37365.78752615233</v>
      </c>
      <c r="BB102" s="399">
        <f>(VLOOKUP($A102,TOCA_previous!$A$2:$AI$137,MATCH("RHWM 2016",TOCA_previous!$A$2:$AI$2,0),FALSE)*$F$2) - $AX102</f>
        <v>0</v>
      </c>
      <c r="BC102" s="206">
        <f t="shared" si="20"/>
        <v>0</v>
      </c>
      <c r="BD102" s="400">
        <f t="shared" si="21"/>
        <v>36944.155526152332</v>
      </c>
      <c r="BE102" s="392">
        <f t="shared" si="22"/>
        <v>0</v>
      </c>
      <c r="BF102" s="399">
        <f t="shared" si="23"/>
        <v>36944.155526152332</v>
      </c>
      <c r="BG102" s="206">
        <f>VLOOKUP($A102,TOCA_current!$A$2:$AI$137,MATCH(BG$4,TOCA_current!$A$2:$AI$2,0),FALSE)</f>
        <v>9.6849999999999992E-3</v>
      </c>
      <c r="BH102" s="206">
        <f>VLOOKUP($A102,TOCA_current!$A$2:$AI$137,MATCH(BH$4,TOCA_current!$A$2:$AI$2,0),FALSE)</f>
        <v>9.6849999999999992E-3</v>
      </c>
      <c r="BI102" s="391">
        <f t="shared" si="24"/>
        <v>0</v>
      </c>
      <c r="BJ102" s="206">
        <f>VLOOKUP($A102,TOCA_current!A98:BG233,MATCH(BJ$4,TOCA_current!$A$2:$BG$2,0),FALSE)</f>
        <v>0</v>
      </c>
      <c r="BK102" s="206">
        <f t="shared" si="25"/>
        <v>0</v>
      </c>
      <c r="BL102" s="206">
        <f t="shared" si="26"/>
        <v>0</v>
      </c>
      <c r="BM102" s="381">
        <f>VLOOKUP($A102,IRD!$A$4:$G$139, 7, FALSE)</f>
        <v>0</v>
      </c>
      <c r="BN102" s="382">
        <f t="array" ref="BN102">IF($BI102=0, INDEX(LS_current!$D$4:$AY$139, MATCH('Staging Table'!$A102, LS_current!$B$4:$B$139, 0), MATCH(BN$4&amp;BN$5, LS_current!$D$2:$AY$2&amp;LS_current!$D$3:$AY$3, 0)),SUM(VLOOKUP($A102, LS_current!$B$4:$AY$139, LS_current!D$149, FALSE), VLOOKUP($A102, LS_current!$B$4:$AY$139,LS_current!D$149, FALSE))/2)</f>
        <v>-1149.5358708038511</v>
      </c>
      <c r="BO102" s="382">
        <f t="array" ref="BO102">IF($BI102=0, INDEX(LS_current!$D$4:$AY$139, MATCH('Staging Table'!$A102, LS_current!$B$4:$B$139, 0), MATCH(BO$4&amp;BO$5, LS_current!$D$2:$AY$2&amp;LS_current!$D$3:$AY$3, 0)),SUM(VLOOKUP($A102, LS_current!$B$4:$AY$139, LS_current!E$149, FALSE), VLOOKUP($A102, LS_current!$B$4:$AY$139,LS_current!E$149, FALSE))/2)</f>
        <v>1490.0831420615468</v>
      </c>
      <c r="BP102" s="382">
        <f t="array" ref="BP102">IF($BI102=0, INDEX(LS_current!$D$4:$AY$139, MATCH('Staging Table'!$A102, LS_current!$B$4:$B$139, 0), MATCH(BP$4&amp;BP$5, LS_current!$D$2:$AY$2&amp;LS_current!$D$3:$AY$3, 0)),SUM(VLOOKUP($A102, LS_current!$B$4:$AY$139, LS_current!F$149, FALSE), VLOOKUP($A102, LS_current!$B$4:$AY$139,LS_current!F$149, FALSE))/2)</f>
        <v>1318.2945798893925</v>
      </c>
      <c r="BQ102" s="382">
        <f t="array" ref="BQ102">IF($BI102=0, INDEX(LS_current!$D$4:$AY$139, MATCH('Staging Table'!$A102, LS_current!$B$4:$B$139, 0), MATCH(BQ$4&amp;BQ$5, LS_current!$D$2:$AY$2&amp;LS_current!$D$3:$AY$3, 0)),SUM(VLOOKUP($A102, LS_current!$B$4:$AY$139, LS_current!G$149, FALSE), VLOOKUP($A102, LS_current!$B$4:$AY$139,LS_current!G$149, FALSE))/2)</f>
        <v>2646.5202202192304</v>
      </c>
      <c r="BR102" s="382">
        <f t="array" ref="BR102">IF($BI102=0, INDEX(LS_current!$D$4:$AY$139, MATCH('Staging Table'!$A102, LS_current!$B$4:$B$139, 0), MATCH(BR$4&amp;BR$5, LS_current!$D$2:$AY$2&amp;LS_current!$D$3:$AY$3, 0)),SUM(VLOOKUP($A102, LS_current!$B$4:$AY$139, LS_current!H$149, FALSE), VLOOKUP($A102, LS_current!$B$4:$AY$139,LS_current!H$149, FALSE))/2)</f>
        <v>4143.2144935798642</v>
      </c>
      <c r="BS102" s="382">
        <f t="array" ref="BS102">IF($BI102=0, INDEX(LS_current!$D$4:$AY$139, MATCH('Staging Table'!$A102, LS_current!$B$4:$B$139, 0), MATCH(BS$4&amp;BS$5, LS_current!$D$2:$AY$2&amp;LS_current!$D$3:$AY$3, 0)),SUM(VLOOKUP($A102, LS_current!$B$4:$AY$139, LS_current!I$149, FALSE), VLOOKUP($A102, LS_current!$B$4:$AY$139,LS_current!I$149, FALSE))/2)</f>
        <v>5781.9758024596886</v>
      </c>
      <c r="BT102" s="382">
        <f t="array" ref="BT102">IF($BI102=0, INDEX(LS_current!$D$4:$AY$139, MATCH('Staging Table'!$A102, LS_current!$B$4:$B$139, 0), MATCH(BT$4&amp;BT$5, LS_current!$D$2:$AY$2&amp;LS_current!$D$3:$AY$3, 0)),SUM(VLOOKUP($A102, LS_current!$B$4:$AY$139, LS_current!J$149, FALSE), VLOOKUP($A102, LS_current!$B$4:$AY$139,LS_current!J$149, FALSE))/2)</f>
        <v>11272.787160452121</v>
      </c>
      <c r="BU102" s="382">
        <f t="array" ref="BU102">IF($BI102=0, INDEX(LS_current!$D$4:$AY$139, MATCH('Staging Table'!$A102, LS_current!$B$4:$B$139, 0), MATCH(BU$4&amp;BU$5, LS_current!$D$2:$AY$2&amp;LS_current!$D$3:$AY$3, 0)),SUM(VLOOKUP($A102, LS_current!$B$4:$AY$139, LS_current!K$149, FALSE), VLOOKUP($A102, LS_current!$B$4:$AY$139,LS_current!K$149, FALSE))/2)</f>
        <v>7552.261332723283</v>
      </c>
      <c r="BV102" s="382">
        <f t="array" ref="BV102">IF($BI102=0, INDEX(LS_current!$D$4:$AY$139, MATCH('Staging Table'!$A102, LS_current!$B$4:$B$139, 0), MATCH(BV$4&amp;BV$5, LS_current!$D$2:$AY$2&amp;LS_current!$D$3:$AY$3, 0)),SUM(VLOOKUP($A102, LS_current!$B$4:$AY$139, LS_current!L$149, FALSE), VLOOKUP($A102, LS_current!$B$4:$AY$139,LS_current!L$149, FALSE))/2)</f>
        <v>11248.519739357544</v>
      </c>
      <c r="BW102" s="382">
        <f t="array" ref="BW102">IF($BI102=0, INDEX(LS_current!$D$4:$AY$139, MATCH('Staging Table'!$A102, LS_current!$B$4:$B$139, 0), MATCH(BW$4&amp;BW$5, LS_current!$D$2:$AY$2&amp;LS_current!$D$3:$AY$3, 0)),SUM(VLOOKUP($A102, LS_current!$B$4:$AY$139, LS_current!M$149, FALSE), VLOOKUP($A102, LS_current!$B$4:$AY$139,LS_current!M$149, FALSE))/2)</f>
        <v>7322.2282374513761</v>
      </c>
      <c r="BX102" s="382">
        <f t="array" ref="BX102">IF($BI102=0, INDEX(LS_current!$D$4:$AY$139, MATCH('Staging Table'!$A102, LS_current!$B$4:$B$139, 0), MATCH(BX$4&amp;BX$5, LS_current!$D$2:$AY$2&amp;LS_current!$D$3:$AY$3, 0)),SUM(VLOOKUP($A102, LS_current!$B$4:$AY$139, LS_current!N$149, FALSE), VLOOKUP($A102, LS_current!$B$4:$AY$139,LS_current!N$149, FALSE))/2)</f>
        <v>4943.5053170458777</v>
      </c>
      <c r="BY102" s="382">
        <f t="array" ref="BY102">IF($BI102=0, INDEX(LS_current!$D$4:$AY$139, MATCH('Staging Table'!$A102, LS_current!$B$4:$B$139, 0), MATCH(BY$4&amp;BY$5, LS_current!$D$2:$AY$2&amp;LS_current!$D$3:$AY$3, 0)),SUM(VLOOKUP($A102, LS_current!$B$4:$AY$139, LS_current!O$149, FALSE), VLOOKUP($A102, LS_current!$B$4:$AY$139,LS_current!O$149, FALSE))/2)</f>
        <v>3031.2812800446372</v>
      </c>
      <c r="BZ102" s="382">
        <f t="array" ref="BZ102">IF($BI102=0, INDEX(LS_current!$D$4:$AY$139, MATCH('Staging Table'!$A102, LS_current!$B$4:$B$139, 0), MATCH(BZ$4&amp;BZ$5, LS_current!$D$2:$AY$2&amp;LS_current!$D$3:$AY$3, 0)),SUM(VLOOKUP($A102, LS_current!$B$4:$AY$139, LS_current!P$149, FALSE), VLOOKUP($A102, LS_current!$B$4:$AY$139,LS_current!P$149, FALSE))/2)</f>
        <v>131.12765929210582</v>
      </c>
      <c r="CA102" s="382">
        <f t="array" ref="CA102">IF($BI102=0, INDEX(LS_current!$D$4:$AY$139, MATCH('Staging Table'!$A102, LS_current!$B$4:$B$139, 0), MATCH(CA$4&amp;CA$5, LS_current!$D$2:$AY$2&amp;LS_current!$D$3:$AY$3, 0)),SUM(VLOOKUP($A102, LS_current!$B$4:$AY$139, LS_current!Q$149, FALSE), VLOOKUP($A102, LS_current!$B$4:$AY$139,LS_current!Q$149, FALSE))/2)</f>
        <v>2922.3871087344578</v>
      </c>
      <c r="CB102" s="382">
        <f t="array" ref="CB102">IF($BI102=0, INDEX(LS_current!$D$4:$AY$139, MATCH('Staging Table'!$A102, LS_current!$B$4:$B$139, 0), MATCH(CB$4&amp;CB$5, LS_current!$D$2:$AY$2&amp;LS_current!$D$3:$AY$3, 0)),SUM(VLOOKUP($A102, LS_current!$B$4:$AY$139, LS_current!R$149, FALSE), VLOOKUP($A102, LS_current!$B$4:$AY$139,LS_current!R$149, FALSE))/2)</f>
        <v>-15961.117126090168</v>
      </c>
      <c r="CC102" s="382">
        <f t="array" ref="CC102">IF($BI102=0, INDEX(LS_current!$D$4:$AY$139, MATCH('Staging Table'!$A102, LS_current!$B$4:$B$139, 0), MATCH(CC$4&amp;CC$5, LS_current!$D$2:$AY$2&amp;LS_current!$D$3:$AY$3, 0)),SUM(VLOOKUP($A102, LS_current!$B$4:$AY$139, LS_current!S$149, FALSE), VLOOKUP($A102, LS_current!$B$4:$AY$139,LS_current!S$149, FALSE))/2)</f>
        <v>-7526.8598955998004</v>
      </c>
      <c r="CD102" s="382">
        <f t="array" ref="CD102">IF($BI102=0, INDEX(LS_current!$D$4:$AY$139, MATCH('Staging Table'!$A102, LS_current!$B$4:$B$139, 0), MATCH(CD$4&amp;CD$5, LS_current!$D$2:$AY$2&amp;LS_current!$D$3:$AY$3, 0)),SUM(VLOOKUP($A102, LS_current!$B$4:$AY$139, LS_current!T$149, FALSE), VLOOKUP($A102, LS_current!$B$4:$AY$139,LS_current!T$149, FALSE))/2)</f>
        <v>-9865.0016549788525</v>
      </c>
      <c r="CE102" s="382">
        <f t="array" ref="CE102">IF($BI102=0, INDEX(LS_current!$D$4:$AY$139, MATCH('Staging Table'!$A102, LS_current!$B$4:$B$139, 0), MATCH(CE$4&amp;CE$5, LS_current!$D$2:$AY$2&amp;LS_current!$D$3:$AY$3, 0)),SUM(VLOOKUP($A102, LS_current!$B$4:$AY$139, LS_current!U$149, FALSE), VLOOKUP($A102, LS_current!$B$4:$AY$139,LS_current!U$149, FALSE))/2)</f>
        <v>-4084.2304695463336</v>
      </c>
      <c r="CF102" s="382">
        <f t="array" ref="CF102">IF($BI102=0, INDEX(LS_current!$D$4:$AY$139, MATCH('Staging Table'!$A102, LS_current!$B$4:$B$139, 0), MATCH(CF$4&amp;CF$5, LS_current!$D$2:$AY$2&amp;LS_current!$D$3:$AY$3, 0)),SUM(VLOOKUP($A102, LS_current!$B$4:$AY$139, LS_current!V$149, FALSE), VLOOKUP($A102, LS_current!$B$4:$AY$139,LS_current!V$149, FALSE))/2)</f>
        <v>-6816.9532063094848</v>
      </c>
      <c r="CG102" s="382">
        <f t="array" ref="CG102">IF($BI102=0, INDEX(LS_current!$D$4:$AY$139, MATCH('Staging Table'!$A102, LS_current!$B$4:$B$139, 0), MATCH(CG$4&amp;CG$5, LS_current!$D$2:$AY$2&amp;LS_current!$D$3:$AY$3, 0)),SUM(VLOOKUP($A102, LS_current!$B$4:$AY$139, LS_current!W$149, FALSE), VLOOKUP($A102, LS_current!$B$4:$AY$139,LS_current!W$149, FALSE))/2)</f>
        <v>51.538390656871343</v>
      </c>
      <c r="CH102" s="382">
        <f t="array" ref="CH102">IF($BI102=0, INDEX(LS_current!$D$4:$AY$139, MATCH('Staging Table'!$A102, LS_current!$B$4:$B$139, 0), MATCH(CH$4&amp;CH$5, LS_current!$D$2:$AY$2&amp;LS_current!$D$3:$AY$3, 0)),SUM(VLOOKUP($A102, LS_current!$B$4:$AY$139, LS_current!X$149, FALSE), VLOOKUP($A102, LS_current!$B$4:$AY$139,LS_current!X$149, FALSE))/2)</f>
        <v>-8642.9384985925353</v>
      </c>
      <c r="CI102" s="382">
        <f t="array" ref="CI102">IF($BI102=0, INDEX(LS_current!$D$4:$AY$139, MATCH('Staging Table'!$A102, LS_current!$B$4:$B$139, 0), MATCH(CI$4&amp;CI$5, LS_current!$D$2:$AY$2&amp;LS_current!$D$3:$AY$3, 0)),SUM(VLOOKUP($A102, LS_current!$B$4:$AY$139, LS_current!Y$149, FALSE), VLOOKUP($A102, LS_current!$B$4:$AY$139,LS_current!Y$149, FALSE))/2)</f>
        <v>-2576.5401288012199</v>
      </c>
      <c r="CJ102" s="382">
        <f t="array" ref="CJ102">IF($BI102=0, INDEX(LS_current!$D$4:$AY$139, MATCH('Staging Table'!$A102, LS_current!$B$4:$B$139, 0), MATCH(CJ$4&amp;CJ$5, LS_current!$D$2:$AY$2&amp;LS_current!$D$3:$AY$3, 0)),SUM(VLOOKUP($A102, LS_current!$B$4:$AY$139, LS_current!Z$149, FALSE), VLOOKUP($A102, LS_current!$B$4:$AY$139,LS_current!Z$149, FALSE))/2)</f>
        <v>-6317.5282799330271</v>
      </c>
      <c r="CK102" s="382">
        <f t="array" ref="CK102">IF($BI102=0, INDEX(LS_current!$D$4:$AY$139, MATCH('Staging Table'!$A102, LS_current!$B$4:$B$139, 0), MATCH(CK$4&amp;CK$5, LS_current!$D$2:$AY$2&amp;LS_current!$D$3:$AY$3, 0)),SUM(VLOOKUP($A102, LS_current!$B$4:$AY$139, LS_current!AA$149, FALSE), VLOOKUP($A102, LS_current!$B$4:$AY$139,LS_current!AA$149, FALSE))/2)</f>
        <v>-914.19728492312242</v>
      </c>
      <c r="CL102" s="384">
        <f t="array" ref="CL102">INDEX(Demand_current!$D$4:$AY$138, MATCH($A102, Demand_current!$B$4:$B$138, 0), MATCH(CL$4&amp;CL$5,Demand_current!$D$2:$AY$2&amp;Demand_current!$D$3:$AY$3, 0))/1000</f>
        <v>10.106860576923072</v>
      </c>
      <c r="CM102" s="384">
        <f t="array" ref="CM102">INDEX(Demand_current!$D$4:$AY$138, MATCH($A102, Demand_current!$B$4:$B$138, 0), MATCH(CM$4&amp;CM$5,Demand_current!$D$2:$AY$2&amp;Demand_current!$D$3:$AY$3, 0))/1000</f>
        <v>1.1366800000000055</v>
      </c>
      <c r="CN102" s="384">
        <f t="array" ref="CN102">INDEX(Demand_current!$D$4:$AY$138, MATCH($A102, Demand_current!$B$4:$B$138, 0), MATCH(CN$4&amp;CN$5,Demand_current!$D$2:$AY$2&amp;Demand_current!$D$3:$AY$3, 0))/1000</f>
        <v>31.496847499999998</v>
      </c>
      <c r="CO102" s="384">
        <f t="array" ref="CO102">INDEX(Demand_current!$D$4:$AY$138, MATCH($A102, Demand_current!$B$4:$B$138, 0), MATCH(CO$4&amp;CO$5,Demand_current!$D$2:$AY$2&amp;Demand_current!$D$3:$AY$3, 0))/1000</f>
        <v>27.932728365384627</v>
      </c>
      <c r="CP102" s="384">
        <f t="array" ref="CP102">INDEX(Demand_current!$D$4:$AY$138, MATCH($A102, Demand_current!$B$4:$B$138, 0), MATCH(CP$4&amp;CP$5,Demand_current!$D$2:$AY$2&amp;Demand_current!$D$3:$AY$3, 0))/1000</f>
        <v>12.783473958333335</v>
      </c>
      <c r="CQ102" s="384">
        <f t="array" ref="CQ102">INDEX(Demand_current!$D$4:$AY$138, MATCH($A102, Demand_current!$B$4:$B$138, 0), MATCH(CQ$4&amp;CQ$5,Demand_current!$D$2:$AY$2&amp;Demand_current!$D$3:$AY$3, 0))/1000</f>
        <v>18.250916666666672</v>
      </c>
      <c r="CR102" s="384">
        <f t="array" ref="CR102">INDEX(Demand_current!$D$4:$AY$138, MATCH($A102, Demand_current!$B$4:$B$138, 0), MATCH(CR$4&amp;CR$5,Demand_current!$D$2:$AY$2&amp;Demand_current!$D$3:$AY$3, 0))/1000</f>
        <v>7.7787475000000086</v>
      </c>
      <c r="CS102" s="384">
        <f t="array" ref="CS102">INDEX(Demand_current!$D$4:$AY$138, MATCH($A102, Demand_current!$B$4:$B$138, 0), MATCH(CS$4&amp;CS$5,Demand_current!$D$2:$AY$2&amp;Demand_current!$D$3:$AY$3, 0))/1000</f>
        <v>4.9867740384615367</v>
      </c>
      <c r="CT102" s="384">
        <f t="array" ref="CT102">INDEX(Demand_current!$D$4:$AY$138, MATCH($A102, Demand_current!$B$4:$B$138, 0), MATCH(CT$4&amp;CT$5,Demand_current!$D$2:$AY$2&amp;Demand_current!$D$3:$AY$3, 0))/1000</f>
        <v>12.311980769230779</v>
      </c>
      <c r="CU102" s="384">
        <f t="array" ref="CU102">INDEX(Demand_current!$D$4:$AY$138, MATCH($A102, Demand_current!$B$4:$B$138, 0), MATCH(CU$4&amp;CU$5,Demand_current!$D$2:$AY$2&amp;Demand_current!$D$3:$AY$3, 0))/1000</f>
        <v>13.068317499999996</v>
      </c>
      <c r="CV102" s="384">
        <f t="array" ref="CV102">INDEX(Demand_current!$D$4:$AY$138, MATCH($A102, Demand_current!$B$4:$B$138, 0), MATCH(CV$4&amp;CV$5,Demand_current!$D$2:$AY$2&amp;Demand_current!$D$3:$AY$3, 0))/1000</f>
        <v>15.070951388888894</v>
      </c>
      <c r="CW102" s="384">
        <f t="array" ref="CW102">INDEX(Demand_current!$D$4:$AY$138, MATCH($A102, Demand_current!$B$4:$B$138, 0), MATCH(CW$4&amp;CW$5,Demand_current!$D$2:$AY$2&amp;Demand_current!$D$3:$AY$3, 0))/1000</f>
        <v>9.7859114583333326</v>
      </c>
      <c r="CX102" s="384">
        <f>IF(D102=0,IF(C102=0,MAX(0,DA102 - (VLOOKUP($A102,TOCA_current!$A$2:$AI$137,MATCH("RHWM 2018",TOCA_current!$A$2:$AI$2,0),FALSE)*$BH$2)), 0),0)</f>
        <v>0</v>
      </c>
      <c r="CY102" s="427">
        <f>VLOOKUP($A102,REP_current!$A$1:$D$135,MATCH("FY "&amp;$BH$1&amp; " Total Refund",REP_current!$A$1:$D$1,0),0)</f>
        <v>868434.3297716591</v>
      </c>
      <c r="CZ102" s="432">
        <f>MIN(VLOOKUP($A102,TOCA_current!$A$2:$AI$137,MATCH("TRL - NLSL - Existing Resource "&amp;$BH$1,TOCA_current!$A$2:$AI$2,0),FALSE)*$BH$2, VLOOKUP($A102,TOCA_current!$A$2:$AI$137,MATCH("RHWM 2018",TOCA_current!$A$2:$AI$2,0),FALSE)*$BH$2)</f>
        <v>589206.36</v>
      </c>
      <c r="DA102" s="397">
        <f>SUM(BN102:CK102)+(BH102*RT1SC!$C$4*$BH$2)</f>
        <v>589205.7235959894</v>
      </c>
      <c r="DB102" s="432">
        <f>VLOOKUP($A102,TOCA_current!$A$2:$AI$137,MATCH("Above RHWM Not Served with LS "&amp;$BH$1,TOCA_current!$A$2:$AI$2,0),FALSE)*$BH$2</f>
        <v>0</v>
      </c>
      <c r="DC102" s="401">
        <f t="shared" si="27"/>
        <v>-0.6364040105836466</v>
      </c>
      <c r="DD102" s="397">
        <f>(VLOOKUP($A102,TOCA_current!$A$2:$AI$137,MATCH("RHWM 2018",TOCA_current!$A$2:$AI$2,0),FALSE)*$BH$2) - $CZ102</f>
        <v>31264.439999999944</v>
      </c>
      <c r="DE102" s="397">
        <f t="shared" si="28"/>
        <v>0</v>
      </c>
      <c r="DF102" s="397">
        <f t="shared" si="29"/>
        <v>0.6364040105836466</v>
      </c>
      <c r="DG102" s="397">
        <f t="shared" si="30"/>
        <v>0</v>
      </c>
      <c r="DH102" s="397">
        <f t="shared" si="31"/>
        <v>0.6364040105836466</v>
      </c>
    </row>
    <row r="103" spans="1:112">
      <c r="A103" s="274">
        <v>10326</v>
      </c>
      <c r="B103" s="275" t="s">
        <v>104</v>
      </c>
      <c r="C103" s="397">
        <v>0</v>
      </c>
      <c r="D103" s="397">
        <v>0</v>
      </c>
      <c r="E103" s="205">
        <f>VLOOKUP($A103,TOCA_previous!$A$2:$AI$137,MATCH(E$4,TOCA_previous!$A$2:$AI$2,0),FALSE)</f>
        <v>4.1035999999999998E-3</v>
      </c>
      <c r="F103" s="206">
        <f>VLOOKUP($A103,TOCA_previous!$A$2:$AI$137,MATCH(F$4,TOCA_previous!$A$2:$AI$2,0),FALSE)</f>
        <v>4.1035999999999998E-3</v>
      </c>
      <c r="G103" s="206">
        <f t="shared" si="16"/>
        <v>0</v>
      </c>
      <c r="H103" s="206">
        <f>VLOOKUP($A103,TOCA_previous!$A$2:$AI$137,MATCH(H$4,TOCA_previous!$A$2:$AI$2,0),FALSE)</f>
        <v>0</v>
      </c>
      <c r="I103" s="206">
        <f t="shared" si="17"/>
        <v>0</v>
      </c>
      <c r="J103" s="206">
        <f t="shared" si="18"/>
        <v>0</v>
      </c>
      <c r="K103" s="381">
        <f>VLOOKUP(A103, IRD!$A$5:$C$139, 3, FALSE)</f>
        <v>0</v>
      </c>
      <c r="L103" s="382">
        <f t="array" ref="L103">IF($G103=0, INDEX(LS_previous!$D$4:$AY$138, MATCH('Staging Table'!$A103, LS_previous!$B$4:$B$138, 0), MATCH(L$4&amp;L$5, LS_previous!$D$2:$AY$2&amp;LS_previous!$D$3:$AY$3, 0)),SUM(VLOOKUP($A103, LS_previous!$B$4:$AY$138, LS_previous!D$149, FALSE), VLOOKUP('Staging Table'!$A103, LS_previous!$B$4:$AY$138,LS_previous!AB$149, FALSE))/2)</f>
        <v>647.64764764542633</v>
      </c>
      <c r="M103" s="382">
        <f t="array" ref="M103">IF($G103=0, INDEX(LS_previous!$D$4:$AY$138, MATCH('Staging Table'!$A103, LS_previous!$B$4:$B$138, 0), MATCH(M$4&amp;M$5, LS_previous!$D$2:$AY$2&amp;LS_previous!$D$3:$AY$3, 0)),SUM(VLOOKUP($A103, LS_previous!$B$4:$AY$138, LS_previous!E$149, FALSE), VLOOKUP('Staging Table'!$A103, LS_previous!$B$4:$AY$138,LS_previous!AC$149, FALSE))/2)</f>
        <v>2202.0469783785866</v>
      </c>
      <c r="N103" s="382">
        <f t="array" ref="N103">IF($G103=0, INDEX(LS_previous!$D$4:$AY$138, MATCH('Staging Table'!$A103, LS_previous!$B$4:$B$138, 0), MATCH(N$4&amp;N$5, LS_previous!$D$2:$AY$2&amp;LS_previous!$D$3:$AY$3, 0)),SUM(VLOOKUP($A103, LS_previous!$B$4:$AY$138, LS_previous!F$149, FALSE), VLOOKUP('Staging Table'!$A103, LS_previous!$B$4:$AY$138,LS_previous!AD$149, FALSE))/2)</f>
        <v>-2094.6856968497887</v>
      </c>
      <c r="O103" s="382">
        <f t="array" ref="O103">IF($G103=0, INDEX(LS_previous!$D$4:$AY$138, MATCH('Staging Table'!$A103, LS_previous!$B$4:$B$138, 0), MATCH(O$4&amp;O$5, LS_previous!$D$2:$AY$2&amp;LS_previous!$D$3:$AY$3, 0)),SUM(VLOOKUP($A103, LS_previous!$B$4:$AY$138, LS_previous!G$149, FALSE), VLOOKUP('Staging Table'!$A103, LS_previous!$B$4:$AY$138,LS_previous!AE$149, FALSE))/2)</f>
        <v>343.79241197684314</v>
      </c>
      <c r="P103" s="382">
        <f t="array" ref="P103">IF($G103=0, INDEX(LS_previous!$D$4:$AY$138, MATCH('Staging Table'!$A103, LS_previous!$B$4:$B$138, 0), MATCH(P$4&amp;P$5, LS_previous!$D$2:$AY$2&amp;LS_previous!$D$3:$AY$3, 0)),SUM(VLOOKUP($A103, LS_previous!$B$4:$AY$138, LS_previous!H$149, FALSE), VLOOKUP('Staging Table'!$A103, LS_previous!$B$4:$AY$138,LS_previous!AF$149, FALSE))/2)</f>
        <v>1070.9969638390667</v>
      </c>
      <c r="Q103" s="382">
        <f t="array" ref="Q103">IF($G103=0, INDEX(LS_previous!$D$4:$AY$138, MATCH('Staging Table'!$A103, LS_previous!$B$4:$B$138, 0), MATCH(Q$4&amp;Q$5, LS_previous!$D$2:$AY$2&amp;LS_previous!$D$3:$AY$3, 0)),SUM(VLOOKUP($A103, LS_previous!$B$4:$AY$138, LS_previous!I$149, FALSE), VLOOKUP('Staging Table'!$A103, LS_previous!$B$4:$AY$138,LS_previous!AG$149, FALSE))/2)</f>
        <v>3288.9054122271828</v>
      </c>
      <c r="R103" s="382">
        <f t="array" ref="R103">IF($G103=0, INDEX(LS_previous!$D$4:$AY$138, MATCH('Staging Table'!$A103, LS_previous!$B$4:$B$138, 0), MATCH(R$4&amp;R$5, LS_previous!$D$2:$AY$2&amp;LS_previous!$D$3:$AY$3, 0)),SUM(VLOOKUP($A103, LS_previous!$B$4:$AY$138, LS_previous!J$149, FALSE), VLOOKUP('Staging Table'!$A103, LS_previous!$B$4:$AY$138,LS_previous!AH$149, FALSE))/2)</f>
        <v>1764.1487106469449</v>
      </c>
      <c r="S103" s="382">
        <f t="array" ref="S103">IF($G103=0, INDEX(LS_previous!$D$4:$AY$138, MATCH('Staging Table'!$A103, LS_previous!$B$4:$B$138, 0), MATCH(S$4&amp;S$5, LS_previous!$D$2:$AY$2&amp;LS_previous!$D$3:$AY$3, 0)),SUM(VLOOKUP($A103, LS_previous!$B$4:$AY$138, LS_previous!K$149, FALSE), VLOOKUP('Staging Table'!$A103, LS_previous!$B$4:$AY$138,LS_previous!AI$149, FALSE))/2)</f>
        <v>2446.569150882151</v>
      </c>
      <c r="T103" s="382">
        <f t="array" ref="T103">IF($G103=0, INDEX(LS_previous!$D$4:$AY$138, MATCH('Staging Table'!$A103, LS_previous!$B$4:$B$138, 0), MATCH(T$4&amp;T$5, LS_previous!$D$2:$AY$2&amp;LS_previous!$D$3:$AY$3, 0)),SUM(VLOOKUP($A103, LS_previous!$B$4:$AY$138, LS_previous!L$149, FALSE), VLOOKUP('Staging Table'!$A103, LS_previous!$B$4:$AY$138,LS_previous!AJ$149, FALSE))/2)</f>
        <v>-19.2452400228849</v>
      </c>
      <c r="U103" s="382">
        <f t="array" ref="U103">IF($G103=0, INDEX(LS_previous!$D$4:$AY$138, MATCH('Staging Table'!$A103, LS_previous!$B$4:$B$138, 0), MATCH(U$4&amp;U$5, LS_previous!$D$2:$AY$2&amp;LS_previous!$D$3:$AY$3, 0)),SUM(VLOOKUP($A103, LS_previous!$B$4:$AY$138, LS_previous!M$149, FALSE), VLOOKUP('Staging Table'!$A103, LS_previous!$B$4:$AY$138,LS_previous!AK$149, FALSE))/2)</f>
        <v>928.73615907700332</v>
      </c>
      <c r="V103" s="382">
        <f t="array" ref="V103">IF($G103=0, INDEX(LS_previous!$D$4:$AY$138, MATCH('Staging Table'!$A103, LS_previous!$B$4:$B$138, 0), MATCH(V$4&amp;V$5, LS_previous!$D$2:$AY$2&amp;LS_previous!$D$3:$AY$3, 0)),SUM(VLOOKUP($A103, LS_previous!$B$4:$AY$138, LS_previous!N$149, FALSE), VLOOKUP('Staging Table'!$A103, LS_previous!$B$4:$AY$138,LS_previous!AL$149, FALSE))/2)</f>
        <v>-646.50484981892441</v>
      </c>
      <c r="W103" s="382">
        <f t="array" ref="W103">IF($G103=0, INDEX(LS_previous!$D$4:$AY$138, MATCH('Staging Table'!$A103, LS_previous!$B$4:$B$138, 0), MATCH(W$4&amp;W$5, LS_previous!$D$2:$AY$2&amp;LS_previous!$D$3:$AY$3, 0)),SUM(VLOOKUP($A103, LS_previous!$B$4:$AY$138, LS_previous!O$149, FALSE), VLOOKUP('Staging Table'!$A103, LS_previous!$B$4:$AY$138,LS_previous!AM$149, FALSE))/2)</f>
        <v>194.69041820213806</v>
      </c>
      <c r="X103" s="382">
        <f t="array" ref="X103">IF($G103=0, INDEX(LS_previous!$D$4:$AY$138, MATCH('Staging Table'!$A103, LS_previous!$B$4:$B$138, 0), MATCH(X$4&amp;X$5, LS_previous!$D$2:$AY$2&amp;LS_previous!$D$3:$AY$3, 0)),SUM(VLOOKUP($A103, LS_previous!$B$4:$AY$138, LS_previous!P$149, FALSE), VLOOKUP('Staging Table'!$A103, LS_previous!$B$4:$AY$138,LS_previous!AN$149, FALSE))/2)</f>
        <v>47.239923819228352</v>
      </c>
      <c r="Y103" s="382">
        <f t="array" ref="Y103">IF($G103=0, INDEX(LS_previous!$D$4:$AY$138, MATCH('Staging Table'!$A103, LS_previous!$B$4:$B$138, 0), MATCH(Y$4&amp;Y$5, LS_previous!$D$2:$AY$2&amp;LS_previous!$D$3:$AY$3, 0)),SUM(VLOOKUP($A103, LS_previous!$B$4:$AY$138, LS_previous!Q$149, FALSE), VLOOKUP('Staging Table'!$A103, LS_previous!$B$4:$AY$138,LS_previous!AO$149, FALSE))/2)</f>
        <v>1288.8459925030429</v>
      </c>
      <c r="Z103" s="382">
        <f t="array" ref="Z103">IF($G103=0, INDEX(LS_previous!$D$4:$AY$138, MATCH('Staging Table'!$A103, LS_previous!$B$4:$B$138, 0), MATCH(Z$4&amp;Z$5, LS_previous!$D$2:$AY$2&amp;LS_previous!$D$3:$AY$3, 0)),SUM(VLOOKUP($A103, LS_previous!$B$4:$AY$138, LS_previous!R$149, FALSE), VLOOKUP('Staging Table'!$A103, LS_previous!$B$4:$AY$138,LS_previous!AP$149, FALSE))/2)</f>
        <v>-6911.5379312138048</v>
      </c>
      <c r="AA103" s="382">
        <f t="array" ref="AA103">IF($G103=0, INDEX(LS_previous!$D$4:$AY$138, MATCH('Staging Table'!$A103, LS_previous!$B$4:$B$138, 0), MATCH(AA$4&amp;AA$5, LS_previous!$D$2:$AY$2&amp;LS_previous!$D$3:$AY$3, 0)),SUM(VLOOKUP($A103, LS_previous!$B$4:$AY$138, LS_previous!S$149, FALSE), VLOOKUP('Staging Table'!$A103, LS_previous!$B$4:$AY$138,LS_previous!AQ$149, FALSE))/2)</f>
        <v>-2139.7422917114072</v>
      </c>
      <c r="AB103" s="382">
        <f t="array" ref="AB103">IF($G103=0, INDEX(LS_previous!$D$4:$AY$138, MATCH('Staging Table'!$A103, LS_previous!$B$4:$B$138, 0), MATCH(AB$4&amp;AB$5, LS_previous!$D$2:$AY$2&amp;LS_previous!$D$3:$AY$3, 0)),SUM(VLOOKUP($A103, LS_previous!$B$4:$AY$138, LS_previous!T$149, FALSE), VLOOKUP('Staging Table'!$A103, LS_previous!$B$4:$AY$138,LS_previous!AR$149, FALSE))/2)</f>
        <v>-3068.3559746163955</v>
      </c>
      <c r="AC103" s="382">
        <f t="array" ref="AC103">IF($G103=0, INDEX(LS_previous!$D$4:$AY$138, MATCH('Staging Table'!$A103, LS_previous!$B$4:$B$138, 0), MATCH(AC$4&amp;AC$5, LS_previous!$D$2:$AY$2&amp;LS_previous!$D$3:$AY$3, 0)),SUM(VLOOKUP($A103, LS_previous!$B$4:$AY$138, LS_previous!U$149, FALSE), VLOOKUP('Staging Table'!$A103, LS_previous!$B$4:$AY$138,LS_previous!AS$149, FALSE))/2)</f>
        <v>-824.98839487693476</v>
      </c>
      <c r="AD103" s="382">
        <f t="array" ref="AD103">IF($G103=0, INDEX(LS_previous!$D$4:$AY$138, MATCH('Staging Table'!$A103, LS_previous!$B$4:$B$138, 0), MATCH(AD$4&amp;AD$5, LS_previous!$D$2:$AY$2&amp;LS_previous!$D$3:$AY$3, 0)),SUM(VLOOKUP($A103, LS_previous!$B$4:$AY$138, LS_previous!V$149, FALSE), VLOOKUP('Staging Table'!$A103, LS_previous!$B$4:$AY$138,LS_previous!AT$149, FALSE))/2)</f>
        <v>-1193.2802225734667</v>
      </c>
      <c r="AE103" s="382">
        <f t="array" ref="AE103">IF($G103=0, INDEX(LS_previous!$D$4:$AY$138, MATCH('Staging Table'!$A103, LS_previous!$B$4:$B$138, 0), MATCH(AE$4&amp;AE$5, LS_previous!$D$2:$AY$2&amp;LS_previous!$D$3:$AY$3, 0)),SUM(VLOOKUP($A103, LS_previous!$B$4:$AY$138, LS_previous!W$149, FALSE), VLOOKUP('Staging Table'!$A103, LS_previous!$B$4:$AY$138,LS_previous!AU$149, FALSE))/2)</f>
        <v>2078.0154358283053</v>
      </c>
      <c r="AF103" s="382">
        <f t="array" ref="AF103">IF($G103=0, INDEX(LS_previous!$D$4:$AY$138, MATCH('Staging Table'!$A103, LS_previous!$B$4:$B$138, 0), MATCH(AF$4&amp;AF$5, LS_previous!$D$2:$AY$2&amp;LS_previous!$D$3:$AY$3, 0)),SUM(VLOOKUP($A103, LS_previous!$B$4:$AY$138, LS_previous!X$149, FALSE), VLOOKUP('Staging Table'!$A103, LS_previous!$B$4:$AY$138,LS_previous!AV$149, FALSE))/2)</f>
        <v>-1404.5017759200946</v>
      </c>
      <c r="AG103" s="382">
        <f t="array" ref="AG103">IF($G103=0, INDEX(LS_previous!$D$4:$AY$138, MATCH('Staging Table'!$A103, LS_previous!$B$4:$B$138, 0), MATCH(AG$4&amp;AG$5, LS_previous!$D$2:$AY$2&amp;LS_previous!$D$3:$AY$3, 0)),SUM(VLOOKUP($A103, LS_previous!$B$4:$AY$138, LS_previous!Y$149, FALSE), VLOOKUP('Staging Table'!$A103, LS_previous!$B$4:$AY$138,LS_previous!AW$149, FALSE))/2)</f>
        <v>993.46059001212234</v>
      </c>
      <c r="AH103" s="382">
        <f t="array" ref="AH103">IF($G103=0, INDEX(LS_previous!$D$4:$AY$138, MATCH('Staging Table'!$A103, LS_previous!$B$4:$B$138, 0), MATCH(AH$4&amp;AH$5, LS_previous!$D$2:$AY$2&amp;LS_previous!$D$3:$AY$3, 0)),SUM(VLOOKUP($A103, LS_previous!$B$4:$AY$138, LS_previous!Z$149, FALSE), VLOOKUP('Staging Table'!$A103, LS_previous!$B$4:$AY$138,LS_previous!AX$149, FALSE))/2)</f>
        <v>687.84044362384884</v>
      </c>
      <c r="AI103" s="382">
        <f t="array" ref="AI103">IF($G103=0, INDEX(LS_previous!$D$4:$AY$138, MATCH('Staging Table'!$A103, LS_previous!$B$4:$B$138, 0), MATCH(AI$4&amp;AI$5, LS_previous!$D$2:$AY$2&amp;LS_previous!$D$3:$AY$3, 0)),SUM(VLOOKUP($A103, LS_previous!$B$4:$AY$138, LS_previous!AA$149, FALSE), VLOOKUP('Staging Table'!$A103, LS_previous!$B$4:$AY$138,LS_previous!AY$149, FALSE))/2)</f>
        <v>2311.1994003222326</v>
      </c>
      <c r="AJ103" s="384">
        <f t="array" ref="AJ103">INDEX(Demand_previous!$D$4:$AY$138, MATCH('Staging Table'!$A103, Demand_previous!$B$4:$B$138, 0), MATCH(AJ$4&amp;AJ$5,Demand_previous!$D$2:$AY$2&amp;Demand_previous!$D$3:$AY$3, 0))/1000</f>
        <v>0.45672916666666374</v>
      </c>
      <c r="AK103" s="384">
        <f t="array" ref="AK103">INDEX(Demand_previous!$D$4:$AY$138, MATCH('Staging Table'!$A103, Demand_previous!$B$4:$B$138, 0), MATCH(AK$4&amp;AK$5,Demand_previous!$D$2:$AY$2&amp;Demand_previous!$D$3:$AY$3, 0))/1000</f>
        <v>0</v>
      </c>
      <c r="AL103" s="384">
        <f t="array" ref="AL103">INDEX(Demand_previous!$D$4:$AY$138, MATCH('Staging Table'!$A103, Demand_previous!$B$4:$B$138, 0), MATCH(AL$4&amp;AL$5,Demand_previous!$D$2:$AY$2&amp;Demand_previous!$D$3:$AY$3, 0))/1000</f>
        <v>7.5811081730769203</v>
      </c>
      <c r="AM103" s="384">
        <f t="array" ref="AM103">INDEX(Demand_previous!$D$4:$AY$138, MATCH('Staging Table'!$A103, Demand_previous!$B$4:$B$138, 0), MATCH(AM$4&amp;AM$5,Demand_previous!$D$2:$AY$2&amp;Demand_previous!$D$3:$AY$3, 0))/1000</f>
        <v>0</v>
      </c>
      <c r="AN103" s="384">
        <f t="array" ref="AN103">INDEX(Demand_previous!$D$4:$AY$138, MATCH('Staging Table'!$A103, Demand_previous!$B$4:$B$138, 0), MATCH(AN$4&amp;AN$5,Demand_previous!$D$2:$AY$2&amp;Demand_previous!$D$3:$AY$3, 0))/1000</f>
        <v>4.3838999999999979</v>
      </c>
      <c r="AO103" s="384">
        <f t="array" ref="AO103">INDEX(Demand_previous!$D$4:$AY$138, MATCH('Staging Table'!$A103, Demand_previous!$B$4:$B$138, 0), MATCH(AO$4&amp;AO$5,Demand_previous!$D$2:$AY$2&amp;Demand_previous!$D$3:$AY$3, 0))/1000</f>
        <v>4.6671620370370341</v>
      </c>
      <c r="AP103" s="384">
        <f t="array" ref="AP103">INDEX(Demand_previous!$D$4:$AY$138, MATCH('Staging Table'!$A103, Demand_previous!$B$4:$B$138, 0), MATCH(AP$4&amp;AP$5,Demand_previous!$D$2:$AY$2&amp;Demand_previous!$D$3:$AY$3, 0))/1000</f>
        <v>1.299850961538457</v>
      </c>
      <c r="AQ103" s="384">
        <f t="array" ref="AQ103">INDEX(Demand_previous!$D$4:$AY$138, MATCH('Staging Table'!$A103, Demand_previous!$B$4:$B$138, 0), MATCH(AQ$4&amp;AQ$5,Demand_previous!$D$2:$AY$2&amp;Demand_previous!$D$3:$AY$3, 0))/1000</f>
        <v>0</v>
      </c>
      <c r="AR103" s="384">
        <f t="array" ref="AR103">INDEX(Demand_previous!$D$4:$AY$138, MATCH('Staging Table'!$A103, Demand_previous!$B$4:$B$138, 0), MATCH(AR$4&amp;AR$5,Demand_previous!$D$2:$AY$2&amp;Demand_previous!$D$3:$AY$3, 0))/1000</f>
        <v>5.1840865384615409</v>
      </c>
      <c r="AS103" s="384">
        <f t="array" ref="AS103">INDEX(Demand_previous!$D$4:$AY$138, MATCH('Staging Table'!$A103, Demand_previous!$B$4:$B$138, 0), MATCH(AS$4&amp;AS$5,Demand_previous!$D$2:$AY$2&amp;Demand_previous!$D$3:$AY$3, 0))/1000</f>
        <v>1.9654524999999978</v>
      </c>
      <c r="AT103" s="384">
        <f t="array" ref="AT103">INDEX(Demand_previous!$D$4:$AY$138, MATCH('Staging Table'!$A103, Demand_previous!$B$4:$B$138, 0), MATCH(AT$4&amp;AT$5,Demand_previous!$D$2:$AY$2&amp;Demand_previous!$D$3:$AY$3, 0))/1000</f>
        <v>1.6192615740740735</v>
      </c>
      <c r="AU103" s="384">
        <f t="array" ref="AU103">INDEX(Demand_previous!$D$4:$AY$138, MATCH('Staging Table'!$A103, Demand_previous!$B$4:$B$138, 0), MATCH(AU$4&amp;AU$5,Demand_previous!$D$2:$AY$2&amp;Demand_previous!$D$3:$AY$3, 0))/1000</f>
        <v>2.7445100000000009</v>
      </c>
      <c r="AV103" s="384">
        <f>IF($D103=0,IF(C103=0, MAX(AY103 - (VLOOKUP($A103,TOCA_previous!$A$2:$AI$137,MATCH("RHWM 2016",TOCA_previous!$A$2:$AI$2,0),FALSE)*$F$2*TOCA_previous!C100),0),0), 0)</f>
        <v>0</v>
      </c>
      <c r="AW103" s="427">
        <f>VLOOKUP($A103,REP_previous!$A$1:$D$135,MATCH("FY "&amp;$F$1&amp; " Total Refund",REP_previous!$A$1:$D$1,0),0)</f>
        <v>377266.49849449471</v>
      </c>
      <c r="AX103" s="398">
        <f>MIN(VLOOKUP($A103,TOCA_previous!$A$2:$AI$137,MATCH("TRL - NLSL - Exisiting Resource "&amp;$F$1,TOCA_previous!$A$2:$AI$2,0),FALSE)*$F$2,(VLOOKUP($A103,TOCA_previous!$A$2:$AI$137,MATCH("RHWM 2016",TOCA_previous!$A$2:$AI$2,0),FALSE)*$F$2))</f>
        <v>251714.304</v>
      </c>
      <c r="AY103" s="384">
        <f>SUM(L103:AI103)+(F103*RT1SC!$C$3*$F$2)</f>
        <v>253703.7315924844</v>
      </c>
      <c r="AZ103" s="398">
        <f>VLOOKUP($A103,TOCA_previous!$A$2:$AI$137,MATCH("Above RHWM Not Served with LS "&amp;$F$1,TOCA_previous!$A$2:$AI$2,0),FALSE)*$F$2</f>
        <v>0</v>
      </c>
      <c r="BA103" s="206">
        <f t="shared" si="19"/>
        <v>1989.4275924843969</v>
      </c>
      <c r="BB103" s="399">
        <f>(VLOOKUP($A103,TOCA_previous!$A$2:$AI$137,MATCH("RHWM 2016",TOCA_previous!$A$2:$AI$2,0),FALSE)*$F$2) - $AX103</f>
        <v>13228.703999999969</v>
      </c>
      <c r="BC103" s="206">
        <f t="shared" si="20"/>
        <v>-1989.4275924843969</v>
      </c>
      <c r="BD103" s="400">
        <f t="shared" si="21"/>
        <v>0</v>
      </c>
      <c r="BE103" s="392">
        <f t="shared" si="22"/>
        <v>0</v>
      </c>
      <c r="BF103" s="399">
        <f t="shared" si="23"/>
        <v>-1989.4275924843969</v>
      </c>
      <c r="BG103" s="206">
        <f>VLOOKUP($A103,TOCA_current!$A$2:$AI$137,MATCH(BG$4,TOCA_current!$A$2:$AI$2,0),FALSE)</f>
        <v>4.1260999999999997E-3</v>
      </c>
      <c r="BH103" s="206">
        <f>VLOOKUP($A103,TOCA_current!$A$2:$AI$137,MATCH(BH$4,TOCA_current!$A$2:$AI$2,0),FALSE)</f>
        <v>4.1260999999999997E-3</v>
      </c>
      <c r="BI103" s="391">
        <f t="shared" si="24"/>
        <v>0</v>
      </c>
      <c r="BJ103" s="206">
        <f>VLOOKUP($A103,TOCA_current!A99:BG234,MATCH(BJ$4,TOCA_current!$A$2:$BG$2,0),FALSE)</f>
        <v>0</v>
      </c>
      <c r="BK103" s="206">
        <f t="shared" si="25"/>
        <v>0</v>
      </c>
      <c r="BL103" s="206">
        <f t="shared" si="26"/>
        <v>0</v>
      </c>
      <c r="BM103" s="381">
        <f>VLOOKUP($A103,IRD!$A$4:$G$139, 7, FALSE)</f>
        <v>0</v>
      </c>
      <c r="BN103" s="382">
        <f t="array" ref="BN103">IF($BI103=0, INDEX(LS_current!$D$4:$AY$139, MATCH('Staging Table'!$A103, LS_current!$B$4:$B$139, 0), MATCH(BN$4&amp;BN$5, LS_current!$D$2:$AY$2&amp;LS_current!$D$3:$AY$3, 0)),SUM(VLOOKUP($A103, LS_current!$B$4:$AY$139, LS_current!D$149, FALSE), VLOOKUP($A103, LS_current!$B$4:$AY$139,LS_current!D$149, FALSE))/2)</f>
        <v>512.03341078742778</v>
      </c>
      <c r="BO103" s="382">
        <f t="array" ref="BO103">IF($BI103=0, INDEX(LS_current!$D$4:$AY$139, MATCH('Staging Table'!$A103, LS_current!$B$4:$B$139, 0), MATCH(BO$4&amp;BO$5, LS_current!$D$2:$AY$2&amp;LS_current!$D$3:$AY$3, 0)),SUM(VLOOKUP($A103, LS_current!$B$4:$AY$139, LS_current!E$149, FALSE), VLOOKUP($A103, LS_current!$B$4:$AY$139,LS_current!E$149, FALSE))/2)</f>
        <v>2530.2970978172589</v>
      </c>
      <c r="BP103" s="382">
        <f t="array" ref="BP103">IF($BI103=0, INDEX(LS_current!$D$4:$AY$139, MATCH('Staging Table'!$A103, LS_current!$B$4:$B$139, 0), MATCH(BP$4&amp;BP$5, LS_current!$D$2:$AY$2&amp;LS_current!$D$3:$AY$3, 0)),SUM(VLOOKUP($A103, LS_current!$B$4:$AY$139, LS_current!F$149, FALSE), VLOOKUP($A103, LS_current!$B$4:$AY$139,LS_current!F$149, FALSE))/2)</f>
        <v>-2483.3311796301896</v>
      </c>
      <c r="BQ103" s="382">
        <f t="array" ref="BQ103">IF($BI103=0, INDEX(LS_current!$D$4:$AY$139, MATCH('Staging Table'!$A103, LS_current!$B$4:$B$139, 0), MATCH(BQ$4&amp;BQ$5, LS_current!$D$2:$AY$2&amp;LS_current!$D$3:$AY$3, 0)),SUM(VLOOKUP($A103, LS_current!$B$4:$AY$139, LS_current!G$149, FALSE), VLOOKUP($A103, LS_current!$B$4:$AY$139,LS_current!G$149, FALSE))/2)</f>
        <v>375.51532481637332</v>
      </c>
      <c r="BR103" s="382">
        <f t="array" ref="BR103">IF($BI103=0, INDEX(LS_current!$D$4:$AY$139, MATCH('Staging Table'!$A103, LS_current!$B$4:$B$139, 0), MATCH(BR$4&amp;BR$5, LS_current!$D$2:$AY$2&amp;LS_current!$D$3:$AY$3, 0)),SUM(VLOOKUP($A103, LS_current!$B$4:$AY$139, LS_current!H$149, FALSE), VLOOKUP($A103, LS_current!$B$4:$AY$139,LS_current!H$149, FALSE))/2)</f>
        <v>519.08165254102823</v>
      </c>
      <c r="BS103" s="382">
        <f t="array" ref="BS103">IF($BI103=0, INDEX(LS_current!$D$4:$AY$139, MATCH('Staging Table'!$A103, LS_current!$B$4:$B$139, 0), MATCH(BS$4&amp;BS$5, LS_current!$D$2:$AY$2&amp;LS_current!$D$3:$AY$3, 0)),SUM(VLOOKUP($A103, LS_current!$B$4:$AY$139, LS_current!I$149, FALSE), VLOOKUP($A103, LS_current!$B$4:$AY$139,LS_current!I$149, FALSE))/2)</f>
        <v>3156.8233294712354</v>
      </c>
      <c r="BT103" s="382">
        <f t="array" ref="BT103">IF($BI103=0, INDEX(LS_current!$D$4:$AY$139, MATCH('Staging Table'!$A103, LS_current!$B$4:$B$139, 0), MATCH(BT$4&amp;BT$5, LS_current!$D$2:$AY$2&amp;LS_current!$D$3:$AY$3, 0)),SUM(VLOOKUP($A103, LS_current!$B$4:$AY$139, LS_current!J$149, FALSE), VLOOKUP($A103, LS_current!$B$4:$AY$139,LS_current!J$149, FALSE))/2)</f>
        <v>1557.4483740259693</v>
      </c>
      <c r="BU103" s="382">
        <f t="array" ref="BU103">IF($BI103=0, INDEX(LS_current!$D$4:$AY$139, MATCH('Staging Table'!$A103, LS_current!$B$4:$B$139, 0), MATCH(BU$4&amp;BU$5, LS_current!$D$2:$AY$2&amp;LS_current!$D$3:$AY$3, 0)),SUM(VLOOKUP($A103, LS_current!$B$4:$AY$139, LS_current!K$149, FALSE), VLOOKUP($A103, LS_current!$B$4:$AY$139,LS_current!K$149, FALSE))/2)</f>
        <v>2374.8355218223569</v>
      </c>
      <c r="BV103" s="382">
        <f t="array" ref="BV103">IF($BI103=0, INDEX(LS_current!$D$4:$AY$139, MATCH('Staging Table'!$A103, LS_current!$B$4:$B$139, 0), MATCH(BV$4&amp;BV$5, LS_current!$D$2:$AY$2&amp;LS_current!$D$3:$AY$3, 0)),SUM(VLOOKUP($A103, LS_current!$B$4:$AY$139, LS_current!L$149, FALSE), VLOOKUP($A103, LS_current!$B$4:$AY$139,LS_current!L$149, FALSE))/2)</f>
        <v>775.91366859712616</v>
      </c>
      <c r="BW103" s="382">
        <f t="array" ref="BW103">IF($BI103=0, INDEX(LS_current!$D$4:$AY$139, MATCH('Staging Table'!$A103, LS_current!$B$4:$B$139, 0), MATCH(BW$4&amp;BW$5, LS_current!$D$2:$AY$2&amp;LS_current!$D$3:$AY$3, 0)),SUM(VLOOKUP($A103, LS_current!$B$4:$AY$139, LS_current!M$149, FALSE), VLOOKUP($A103, LS_current!$B$4:$AY$139,LS_current!M$149, FALSE))/2)</f>
        <v>1565.9780753379573</v>
      </c>
      <c r="BX103" s="382">
        <f t="array" ref="BX103">IF($BI103=0, INDEX(LS_current!$D$4:$AY$139, MATCH('Staging Table'!$A103, LS_current!$B$4:$B$139, 0), MATCH(BX$4&amp;BX$5, LS_current!$D$2:$AY$2&amp;LS_current!$D$3:$AY$3, 0)),SUM(VLOOKUP($A103, LS_current!$B$4:$AY$139, LS_current!N$149, FALSE), VLOOKUP($A103, LS_current!$B$4:$AY$139,LS_current!N$149, FALSE))/2)</f>
        <v>-51.095075119979811</v>
      </c>
      <c r="BY103" s="382">
        <f t="array" ref="BY103">IF($BI103=0, INDEX(LS_current!$D$4:$AY$139, MATCH('Staging Table'!$A103, LS_current!$B$4:$B$139, 0), MATCH(BY$4&amp;BY$5, LS_current!$D$2:$AY$2&amp;LS_current!$D$3:$AY$3, 0)),SUM(VLOOKUP($A103, LS_current!$B$4:$AY$139, LS_current!O$149, FALSE), VLOOKUP($A103, LS_current!$B$4:$AY$139,LS_current!O$149, FALSE))/2)</f>
        <v>896.61602203326584</v>
      </c>
      <c r="BZ103" s="382">
        <f t="array" ref="BZ103">IF($BI103=0, INDEX(LS_current!$D$4:$AY$139, MATCH('Staging Table'!$A103, LS_current!$B$4:$B$139, 0), MATCH(BZ$4&amp;BZ$5, LS_current!$D$2:$AY$2&amp;LS_current!$D$3:$AY$3, 0)),SUM(VLOOKUP($A103, LS_current!$B$4:$AY$139, LS_current!P$149, FALSE), VLOOKUP($A103, LS_current!$B$4:$AY$139,LS_current!P$149, FALSE))/2)</f>
        <v>-1266.6173661429875</v>
      </c>
      <c r="CA103" s="382">
        <f t="array" ref="CA103">IF($BI103=0, INDEX(LS_current!$D$4:$AY$139, MATCH('Staging Table'!$A103, LS_current!$B$4:$B$139, 0), MATCH(CA$4&amp;CA$5, LS_current!$D$2:$AY$2&amp;LS_current!$D$3:$AY$3, 0)),SUM(VLOOKUP($A103, LS_current!$B$4:$AY$139, LS_current!Q$149, FALSE), VLOOKUP($A103, LS_current!$B$4:$AY$139,LS_current!Q$149, FALSE))/2)</f>
        <v>1162.0696650025029</v>
      </c>
      <c r="CB103" s="382">
        <f t="array" ref="CB103">IF($BI103=0, INDEX(LS_current!$D$4:$AY$139, MATCH('Staging Table'!$A103, LS_current!$B$4:$B$139, 0), MATCH(CB$4&amp;CB$5, LS_current!$D$2:$AY$2&amp;LS_current!$D$3:$AY$3, 0)),SUM(VLOOKUP($A103, LS_current!$B$4:$AY$139, LS_current!R$149, FALSE), VLOOKUP($A103, LS_current!$B$4:$AY$139,LS_current!R$149, FALSE))/2)</f>
        <v>-6852.8201654683162</v>
      </c>
      <c r="CC103" s="382">
        <f t="array" ref="CC103">IF($BI103=0, INDEX(LS_current!$D$4:$AY$139, MATCH('Staging Table'!$A103, LS_current!$B$4:$B$139, 0), MATCH(CC$4&amp;CC$5, LS_current!$D$2:$AY$2&amp;LS_current!$D$3:$AY$3, 0)),SUM(VLOOKUP($A103, LS_current!$B$4:$AY$139, LS_current!S$149, FALSE), VLOOKUP($A103, LS_current!$B$4:$AY$139,LS_current!S$149, FALSE))/2)</f>
        <v>-2347.1715232043716</v>
      </c>
      <c r="CD103" s="382">
        <f t="array" ref="CD103">IF($BI103=0, INDEX(LS_current!$D$4:$AY$139, MATCH('Staging Table'!$A103, LS_current!$B$4:$B$139, 0), MATCH(CD$4&amp;CD$5, LS_current!$D$2:$AY$2&amp;LS_current!$D$3:$AY$3, 0)),SUM(VLOOKUP($A103, LS_current!$B$4:$AY$139, LS_current!T$149, FALSE), VLOOKUP($A103, LS_current!$B$4:$AY$139,LS_current!T$149, FALSE))/2)</f>
        <v>-3079.4622300679657</v>
      </c>
      <c r="CE103" s="382">
        <f t="array" ref="CE103">IF($BI103=0, INDEX(LS_current!$D$4:$AY$139, MATCH('Staging Table'!$A103, LS_current!$B$4:$B$139, 0), MATCH(CE$4&amp;CE$5, LS_current!$D$2:$AY$2&amp;LS_current!$D$3:$AY$3, 0)),SUM(VLOOKUP($A103, LS_current!$B$4:$AY$139, LS_current!U$149, FALSE), VLOOKUP($A103, LS_current!$B$4:$AY$139,LS_current!U$149, FALSE))/2)</f>
        <v>-297.60919590037429</v>
      </c>
      <c r="CF103" s="382">
        <f t="array" ref="CF103">IF($BI103=0, INDEX(LS_current!$D$4:$AY$139, MATCH('Staging Table'!$A103, LS_current!$B$4:$B$139, 0), MATCH(CF$4&amp;CF$5, LS_current!$D$2:$AY$2&amp;LS_current!$D$3:$AY$3, 0)),SUM(VLOOKUP($A103, LS_current!$B$4:$AY$139, LS_current!V$149, FALSE), VLOOKUP($A103, LS_current!$B$4:$AY$139,LS_current!V$149, FALSE))/2)</f>
        <v>-453.4181884206082</v>
      </c>
      <c r="CG103" s="382">
        <f t="array" ref="CG103">IF($BI103=0, INDEX(LS_current!$D$4:$AY$139, MATCH('Staging Table'!$A103, LS_current!$B$4:$B$139, 0), MATCH(CG$4&amp;CG$5, LS_current!$D$2:$AY$2&amp;LS_current!$D$3:$AY$3, 0)),SUM(VLOOKUP($A103, LS_current!$B$4:$AY$139, LS_current!W$149, FALSE), VLOOKUP($A103, LS_current!$B$4:$AY$139,LS_current!W$149, FALSE))/2)</f>
        <v>2543.1586760340015</v>
      </c>
      <c r="CH103" s="382">
        <f t="array" ref="CH103">IF($BI103=0, INDEX(LS_current!$D$4:$AY$139, MATCH('Staging Table'!$A103, LS_current!$B$4:$B$139, 0), MATCH(CH$4&amp;CH$5, LS_current!$D$2:$AY$2&amp;LS_current!$D$3:$AY$3, 0)),SUM(VLOOKUP($A103, LS_current!$B$4:$AY$139, LS_current!X$149, FALSE), VLOOKUP($A103, LS_current!$B$4:$AY$139,LS_current!X$149, FALSE))/2)</f>
        <v>-1410.2526070565473</v>
      </c>
      <c r="CI103" s="382">
        <f t="array" ref="CI103">IF($BI103=0, INDEX(LS_current!$D$4:$AY$139, MATCH('Staging Table'!$A103, LS_current!$B$4:$B$139, 0), MATCH(CI$4&amp;CI$5, LS_current!$D$2:$AY$2&amp;LS_current!$D$3:$AY$3, 0)),SUM(VLOOKUP($A103, LS_current!$B$4:$AY$139, LS_current!Y$149, FALSE), VLOOKUP($A103, LS_current!$B$4:$AY$139,LS_current!Y$149, FALSE))/2)</f>
        <v>1183.3853656843876</v>
      </c>
      <c r="CJ103" s="382">
        <f t="array" ref="CJ103">IF($BI103=0, INDEX(LS_current!$D$4:$AY$139, MATCH('Staging Table'!$A103, LS_current!$B$4:$B$139, 0), MATCH(CJ$4&amp;CJ$5, LS_current!$D$2:$AY$2&amp;LS_current!$D$3:$AY$3, 0)),SUM(VLOOKUP($A103, LS_current!$B$4:$AY$139, LS_current!Z$149, FALSE), VLOOKUP($A103, LS_current!$B$4:$AY$139,LS_current!Z$149, FALSE))/2)</f>
        <v>-520.13448896558293</v>
      </c>
      <c r="CK103" s="382">
        <f t="array" ref="CK103">IF($BI103=0, INDEX(LS_current!$D$4:$AY$139, MATCH('Staging Table'!$A103, LS_current!$B$4:$B$139, 0), MATCH(CK$4&amp;CK$5, LS_current!$D$2:$AY$2&amp;LS_current!$D$3:$AY$3, 0)),SUM(VLOOKUP($A103, LS_current!$B$4:$AY$139, LS_current!AA$149, FALSE), VLOOKUP($A103, LS_current!$B$4:$AY$139,LS_current!AA$149, FALSE))/2)</f>
        <v>2293.5597520989886</v>
      </c>
      <c r="CL103" s="384">
        <f t="array" ref="CL103">INDEX(Demand_current!$D$4:$AY$138, MATCH($A103, Demand_current!$B$4:$B$138, 0), MATCH(CL$4&amp;CL$5,Demand_current!$D$2:$AY$2&amp;Demand_current!$D$3:$AY$3, 0))/1000</f>
        <v>0</v>
      </c>
      <c r="CM103" s="384">
        <f t="array" ref="CM103">INDEX(Demand_current!$D$4:$AY$138, MATCH($A103, Demand_current!$B$4:$B$138, 0), MATCH(CM$4&amp;CM$5,Demand_current!$D$2:$AY$2&amp;Demand_current!$D$3:$AY$3, 0))/1000</f>
        <v>0</v>
      </c>
      <c r="CN103" s="384">
        <f t="array" ref="CN103">INDEX(Demand_current!$D$4:$AY$138, MATCH($A103, Demand_current!$B$4:$B$138, 0), MATCH(CN$4&amp;CN$5,Demand_current!$D$2:$AY$2&amp;Demand_current!$D$3:$AY$3, 0))/1000</f>
        <v>6.1161524999999983</v>
      </c>
      <c r="CO103" s="384">
        <f t="array" ref="CO103">INDEX(Demand_current!$D$4:$AY$138, MATCH($A103, Demand_current!$B$4:$B$138, 0), MATCH(CO$4&amp;CO$5,Demand_current!$D$2:$AY$2&amp;Demand_current!$D$3:$AY$3, 0))/1000</f>
        <v>1.1307187499999998</v>
      </c>
      <c r="CP103" s="384">
        <f t="array" ref="CP103">INDEX(Demand_current!$D$4:$AY$138, MATCH($A103, Demand_current!$B$4:$B$138, 0), MATCH(CP$4&amp;CP$5,Demand_current!$D$2:$AY$2&amp;Demand_current!$D$3:$AY$3, 0))/1000</f>
        <v>3.2142708333333312</v>
      </c>
      <c r="CQ103" s="384">
        <f t="array" ref="CQ103">INDEX(Demand_current!$D$4:$AY$138, MATCH($A103, Demand_current!$B$4:$B$138, 0), MATCH(CQ$4&amp;CQ$5,Demand_current!$D$2:$AY$2&amp;Demand_current!$D$3:$AY$3, 0))/1000</f>
        <v>4.6671620370370341</v>
      </c>
      <c r="CR103" s="384">
        <f t="array" ref="CR103">INDEX(Demand_current!$D$4:$AY$138, MATCH($A103, Demand_current!$B$4:$B$138, 0), MATCH(CR$4&amp;CR$5,Demand_current!$D$2:$AY$2&amp;Demand_current!$D$3:$AY$3, 0))/1000</f>
        <v>0.2572449999999975</v>
      </c>
      <c r="CS103" s="384">
        <f t="array" ref="CS103">INDEX(Demand_current!$D$4:$AY$138, MATCH($A103, Demand_current!$B$4:$B$138, 0), MATCH(CS$4&amp;CS$5,Demand_current!$D$2:$AY$2&amp;Demand_current!$D$3:$AY$3, 0))/1000</f>
        <v>0.18640384615384595</v>
      </c>
      <c r="CT103" s="384">
        <f t="array" ref="CT103">INDEX(Demand_current!$D$4:$AY$138, MATCH($A103, Demand_current!$B$4:$B$138, 0), MATCH(CT$4&amp;CT$5,Demand_current!$D$2:$AY$2&amp;Demand_current!$D$3:$AY$3, 0))/1000</f>
        <v>5.1840865384615409</v>
      </c>
      <c r="CU103" s="384">
        <f t="array" ref="CU103">INDEX(Demand_current!$D$4:$AY$138, MATCH($A103, Demand_current!$B$4:$B$138, 0), MATCH(CU$4&amp;CU$5,Demand_current!$D$2:$AY$2&amp;Demand_current!$D$3:$AY$3, 0))/1000</f>
        <v>1.9654524999999978</v>
      </c>
      <c r="CV103" s="384">
        <f t="array" ref="CV103">INDEX(Demand_current!$D$4:$AY$138, MATCH($A103, Demand_current!$B$4:$B$138, 0), MATCH(CV$4&amp;CV$5,Demand_current!$D$2:$AY$2&amp;Demand_current!$D$3:$AY$3, 0))/1000</f>
        <v>1.6192615740740735</v>
      </c>
      <c r="CW103" s="384">
        <f t="array" ref="CW103">INDEX(Demand_current!$D$4:$AY$138, MATCH($A103, Demand_current!$B$4:$B$138, 0), MATCH(CW$4&amp;CW$5,Demand_current!$D$2:$AY$2&amp;Demand_current!$D$3:$AY$3, 0))/1000</f>
        <v>1.5196979166666678</v>
      </c>
      <c r="CX103" s="384">
        <f>IF(D103=0,IF(C103=0,MAX(0,DA103 - (VLOOKUP($A103,TOCA_current!$A$2:$AI$137,MATCH("RHWM 2018",TOCA_current!$A$2:$AI$2,0),FALSE)*$BH$2)), 0),0)</f>
        <v>0</v>
      </c>
      <c r="CY103" s="427">
        <f>VLOOKUP($A103,REP_current!$A$1:$D$135,MATCH("FY "&amp;$BH$1&amp; " Total Refund",REP_current!$A$1:$D$1,0),0)</f>
        <v>380651.60016817949</v>
      </c>
      <c r="CZ103" s="432">
        <f>MIN(VLOOKUP($A103,TOCA_current!$A$2:$AI$137,MATCH("TRL - NLSL - Existing Resource "&amp;$BH$1,TOCA_current!$A$2:$AI$2,0),FALSE)*$BH$2, VLOOKUP($A103,TOCA_current!$A$2:$AI$137,MATCH("RHWM 2018",TOCA_current!$A$2:$AI$2,0),FALSE)*$BH$2)</f>
        <v>251017.80000000002</v>
      </c>
      <c r="DA103" s="397">
        <f>SUM(BN103:CK103)+(BH103*RT1SC!$C$4*$BH$2)</f>
        <v>253703.73466214893</v>
      </c>
      <c r="DB103" s="432">
        <f>VLOOKUP($A103,TOCA_current!$A$2:$AI$137,MATCH("Above RHWM Not Served with LS "&amp;$BH$1,TOCA_current!$A$2:$AI$2,0),FALSE)*$BH$2</f>
        <v>0</v>
      </c>
      <c r="DC103" s="401">
        <f t="shared" si="27"/>
        <v>2685.9346621489094</v>
      </c>
      <c r="DD103" s="397">
        <f>(VLOOKUP($A103,TOCA_current!$A$2:$AI$137,MATCH("RHWM 2018",TOCA_current!$A$2:$AI$2,0),FALSE)*$BH$2) - $CZ103</f>
        <v>11528.160000000003</v>
      </c>
      <c r="DE103" s="397">
        <f t="shared" si="28"/>
        <v>-2685.9346621489094</v>
      </c>
      <c r="DF103" s="397">
        <f t="shared" si="29"/>
        <v>0</v>
      </c>
      <c r="DG103" s="397">
        <f t="shared" si="30"/>
        <v>0</v>
      </c>
      <c r="DH103" s="397">
        <f t="shared" si="31"/>
        <v>-2685.9346621489094</v>
      </c>
    </row>
    <row r="104" spans="1:112">
      <c r="A104" s="274">
        <v>10331</v>
      </c>
      <c r="B104" s="275" t="s">
        <v>105</v>
      </c>
      <c r="C104" s="397">
        <v>1</v>
      </c>
      <c r="D104" s="397">
        <v>0</v>
      </c>
      <c r="E104" s="205">
        <f>VLOOKUP($A104,TOCA_previous!$A$2:$AI$137,MATCH(E$4,TOCA_previous!$A$2:$AI$2,0),FALSE)</f>
        <v>4.9902000000000002E-3</v>
      </c>
      <c r="F104" s="206">
        <f>VLOOKUP($A104,TOCA_previous!$A$2:$AI$137,MATCH(F$4,TOCA_previous!$A$2:$AI$2,0),FALSE)</f>
        <v>4.9902000000000002E-3</v>
      </c>
      <c r="G104" s="206">
        <f t="shared" si="16"/>
        <v>0</v>
      </c>
      <c r="H104" s="206">
        <f>VLOOKUP($A104,TOCA_previous!$A$2:$AI$137,MATCH(H$4,TOCA_previous!$A$2:$AI$2,0),FALSE)</f>
        <v>7.0000000000000007E-2</v>
      </c>
      <c r="I104" s="206">
        <f t="shared" si="17"/>
        <v>7.0000000000000007E-2</v>
      </c>
      <c r="J104" s="206">
        <f t="shared" si="18"/>
        <v>4.9902000000000002E-3</v>
      </c>
      <c r="K104" s="381">
        <f>VLOOKUP(A104, IRD!$A$5:$C$139, 3, FALSE)</f>
        <v>133086.85800000001</v>
      </c>
      <c r="L104" s="382">
        <f t="array" ref="L104">IF($G104=0, INDEX(LS_previous!$D$4:$AY$138, MATCH('Staging Table'!$A104, LS_previous!$B$4:$B$138, 0), MATCH(L$4&amp;L$5, LS_previous!$D$2:$AY$2&amp;LS_previous!$D$3:$AY$3, 0)),SUM(VLOOKUP($A104, LS_previous!$B$4:$AY$138, LS_previous!D$149, FALSE), VLOOKUP('Staging Table'!$A104, LS_previous!$B$4:$AY$138,LS_previous!AB$149, FALSE))/2)</f>
        <v>0</v>
      </c>
      <c r="M104" s="382">
        <f t="array" ref="M104">IF($G104=0, INDEX(LS_previous!$D$4:$AY$138, MATCH('Staging Table'!$A104, LS_previous!$B$4:$B$138, 0), MATCH(M$4&amp;M$5, LS_previous!$D$2:$AY$2&amp;LS_previous!$D$3:$AY$3, 0)),SUM(VLOOKUP($A104, LS_previous!$B$4:$AY$138, LS_previous!E$149, FALSE), VLOOKUP('Staging Table'!$A104, LS_previous!$B$4:$AY$138,LS_previous!AC$149, FALSE))/2)</f>
        <v>0</v>
      </c>
      <c r="N104" s="382">
        <f t="array" ref="N104">IF($G104=0, INDEX(LS_previous!$D$4:$AY$138, MATCH('Staging Table'!$A104, LS_previous!$B$4:$B$138, 0), MATCH(N$4&amp;N$5, LS_previous!$D$2:$AY$2&amp;LS_previous!$D$3:$AY$3, 0)),SUM(VLOOKUP($A104, LS_previous!$B$4:$AY$138, LS_previous!F$149, FALSE), VLOOKUP('Staging Table'!$A104, LS_previous!$B$4:$AY$138,LS_previous!AD$149, FALSE))/2)</f>
        <v>0</v>
      </c>
      <c r="O104" s="382">
        <f t="array" ref="O104">IF($G104=0, INDEX(LS_previous!$D$4:$AY$138, MATCH('Staging Table'!$A104, LS_previous!$B$4:$B$138, 0), MATCH(O$4&amp;O$5, LS_previous!$D$2:$AY$2&amp;LS_previous!$D$3:$AY$3, 0)),SUM(VLOOKUP($A104, LS_previous!$B$4:$AY$138, LS_previous!G$149, FALSE), VLOOKUP('Staging Table'!$A104, LS_previous!$B$4:$AY$138,LS_previous!AE$149, FALSE))/2)</f>
        <v>0</v>
      </c>
      <c r="P104" s="382">
        <f t="array" ref="P104">IF($G104=0, INDEX(LS_previous!$D$4:$AY$138, MATCH('Staging Table'!$A104, LS_previous!$B$4:$B$138, 0), MATCH(P$4&amp;P$5, LS_previous!$D$2:$AY$2&amp;LS_previous!$D$3:$AY$3, 0)),SUM(VLOOKUP($A104, LS_previous!$B$4:$AY$138, LS_previous!H$149, FALSE), VLOOKUP('Staging Table'!$A104, LS_previous!$B$4:$AY$138,LS_previous!AF$149, FALSE))/2)</f>
        <v>0</v>
      </c>
      <c r="Q104" s="382">
        <f t="array" ref="Q104">IF($G104=0, INDEX(LS_previous!$D$4:$AY$138, MATCH('Staging Table'!$A104, LS_previous!$B$4:$B$138, 0), MATCH(Q$4&amp;Q$5, LS_previous!$D$2:$AY$2&amp;LS_previous!$D$3:$AY$3, 0)),SUM(VLOOKUP($A104, LS_previous!$B$4:$AY$138, LS_previous!I$149, FALSE), VLOOKUP('Staging Table'!$A104, LS_previous!$B$4:$AY$138,LS_previous!AG$149, FALSE))/2)</f>
        <v>0</v>
      </c>
      <c r="R104" s="382">
        <f t="array" ref="R104">IF($G104=0, INDEX(LS_previous!$D$4:$AY$138, MATCH('Staging Table'!$A104, LS_previous!$B$4:$B$138, 0), MATCH(R$4&amp;R$5, LS_previous!$D$2:$AY$2&amp;LS_previous!$D$3:$AY$3, 0)),SUM(VLOOKUP($A104, LS_previous!$B$4:$AY$138, LS_previous!J$149, FALSE), VLOOKUP('Staging Table'!$A104, LS_previous!$B$4:$AY$138,LS_previous!AH$149, FALSE))/2)</f>
        <v>0</v>
      </c>
      <c r="S104" s="382">
        <f t="array" ref="S104">IF($G104=0, INDEX(LS_previous!$D$4:$AY$138, MATCH('Staging Table'!$A104, LS_previous!$B$4:$B$138, 0), MATCH(S$4&amp;S$5, LS_previous!$D$2:$AY$2&amp;LS_previous!$D$3:$AY$3, 0)),SUM(VLOOKUP($A104, LS_previous!$B$4:$AY$138, LS_previous!K$149, FALSE), VLOOKUP('Staging Table'!$A104, LS_previous!$B$4:$AY$138,LS_previous!AI$149, FALSE))/2)</f>
        <v>0</v>
      </c>
      <c r="T104" s="382">
        <f t="array" ref="T104">IF($G104=0, INDEX(LS_previous!$D$4:$AY$138, MATCH('Staging Table'!$A104, LS_previous!$B$4:$B$138, 0), MATCH(T$4&amp;T$5, LS_previous!$D$2:$AY$2&amp;LS_previous!$D$3:$AY$3, 0)),SUM(VLOOKUP($A104, LS_previous!$B$4:$AY$138, LS_previous!L$149, FALSE), VLOOKUP('Staging Table'!$A104, LS_previous!$B$4:$AY$138,LS_previous!AJ$149, FALSE))/2)</f>
        <v>0</v>
      </c>
      <c r="U104" s="382">
        <f t="array" ref="U104">IF($G104=0, INDEX(LS_previous!$D$4:$AY$138, MATCH('Staging Table'!$A104, LS_previous!$B$4:$B$138, 0), MATCH(U$4&amp;U$5, LS_previous!$D$2:$AY$2&amp;LS_previous!$D$3:$AY$3, 0)),SUM(VLOOKUP($A104, LS_previous!$B$4:$AY$138, LS_previous!M$149, FALSE), VLOOKUP('Staging Table'!$A104, LS_previous!$B$4:$AY$138,LS_previous!AK$149, FALSE))/2)</f>
        <v>0</v>
      </c>
      <c r="V104" s="382">
        <f t="array" ref="V104">IF($G104=0, INDEX(LS_previous!$D$4:$AY$138, MATCH('Staging Table'!$A104, LS_previous!$B$4:$B$138, 0), MATCH(V$4&amp;V$5, LS_previous!$D$2:$AY$2&amp;LS_previous!$D$3:$AY$3, 0)),SUM(VLOOKUP($A104, LS_previous!$B$4:$AY$138, LS_previous!N$149, FALSE), VLOOKUP('Staging Table'!$A104, LS_previous!$B$4:$AY$138,LS_previous!AL$149, FALSE))/2)</f>
        <v>0</v>
      </c>
      <c r="W104" s="382">
        <f t="array" ref="W104">IF($G104=0, INDEX(LS_previous!$D$4:$AY$138, MATCH('Staging Table'!$A104, LS_previous!$B$4:$B$138, 0), MATCH(W$4&amp;W$5, LS_previous!$D$2:$AY$2&amp;LS_previous!$D$3:$AY$3, 0)),SUM(VLOOKUP($A104, LS_previous!$B$4:$AY$138, LS_previous!O$149, FALSE), VLOOKUP('Staging Table'!$A104, LS_previous!$B$4:$AY$138,LS_previous!AM$149, FALSE))/2)</f>
        <v>0</v>
      </c>
      <c r="X104" s="382">
        <f t="array" ref="X104">IF($G104=0, INDEX(LS_previous!$D$4:$AY$138, MATCH('Staging Table'!$A104, LS_previous!$B$4:$B$138, 0), MATCH(X$4&amp;X$5, LS_previous!$D$2:$AY$2&amp;LS_previous!$D$3:$AY$3, 0)),SUM(VLOOKUP($A104, LS_previous!$B$4:$AY$138, LS_previous!P$149, FALSE), VLOOKUP('Staging Table'!$A104, LS_previous!$B$4:$AY$138,LS_previous!AN$149, FALSE))/2)</f>
        <v>0</v>
      </c>
      <c r="Y104" s="382">
        <f t="array" ref="Y104">IF($G104=0, INDEX(LS_previous!$D$4:$AY$138, MATCH('Staging Table'!$A104, LS_previous!$B$4:$B$138, 0), MATCH(Y$4&amp;Y$5, LS_previous!$D$2:$AY$2&amp;LS_previous!$D$3:$AY$3, 0)),SUM(VLOOKUP($A104, LS_previous!$B$4:$AY$138, LS_previous!Q$149, FALSE), VLOOKUP('Staging Table'!$A104, LS_previous!$B$4:$AY$138,LS_previous!AO$149, FALSE))/2)</f>
        <v>0</v>
      </c>
      <c r="Z104" s="382">
        <f t="array" ref="Z104">IF($G104=0, INDEX(LS_previous!$D$4:$AY$138, MATCH('Staging Table'!$A104, LS_previous!$B$4:$B$138, 0), MATCH(Z$4&amp;Z$5, LS_previous!$D$2:$AY$2&amp;LS_previous!$D$3:$AY$3, 0)),SUM(VLOOKUP($A104, LS_previous!$B$4:$AY$138, LS_previous!R$149, FALSE), VLOOKUP('Staging Table'!$A104, LS_previous!$B$4:$AY$138,LS_previous!AP$149, FALSE))/2)</f>
        <v>0</v>
      </c>
      <c r="AA104" s="382">
        <f t="array" ref="AA104">IF($G104=0, INDEX(LS_previous!$D$4:$AY$138, MATCH('Staging Table'!$A104, LS_previous!$B$4:$B$138, 0), MATCH(AA$4&amp;AA$5, LS_previous!$D$2:$AY$2&amp;LS_previous!$D$3:$AY$3, 0)),SUM(VLOOKUP($A104, LS_previous!$B$4:$AY$138, LS_previous!S$149, FALSE), VLOOKUP('Staging Table'!$A104, LS_previous!$B$4:$AY$138,LS_previous!AQ$149, FALSE))/2)</f>
        <v>0</v>
      </c>
      <c r="AB104" s="382">
        <f t="array" ref="AB104">IF($G104=0, INDEX(LS_previous!$D$4:$AY$138, MATCH('Staging Table'!$A104, LS_previous!$B$4:$B$138, 0), MATCH(AB$4&amp;AB$5, LS_previous!$D$2:$AY$2&amp;LS_previous!$D$3:$AY$3, 0)),SUM(VLOOKUP($A104, LS_previous!$B$4:$AY$138, LS_previous!T$149, FALSE), VLOOKUP('Staging Table'!$A104, LS_previous!$B$4:$AY$138,LS_previous!AR$149, FALSE))/2)</f>
        <v>0</v>
      </c>
      <c r="AC104" s="382">
        <f t="array" ref="AC104">IF($G104=0, INDEX(LS_previous!$D$4:$AY$138, MATCH('Staging Table'!$A104, LS_previous!$B$4:$B$138, 0), MATCH(AC$4&amp;AC$5, LS_previous!$D$2:$AY$2&amp;LS_previous!$D$3:$AY$3, 0)),SUM(VLOOKUP($A104, LS_previous!$B$4:$AY$138, LS_previous!U$149, FALSE), VLOOKUP('Staging Table'!$A104, LS_previous!$B$4:$AY$138,LS_previous!AS$149, FALSE))/2)</f>
        <v>0</v>
      </c>
      <c r="AD104" s="382">
        <f t="array" ref="AD104">IF($G104=0, INDEX(LS_previous!$D$4:$AY$138, MATCH('Staging Table'!$A104, LS_previous!$B$4:$B$138, 0), MATCH(AD$4&amp;AD$5, LS_previous!$D$2:$AY$2&amp;LS_previous!$D$3:$AY$3, 0)),SUM(VLOOKUP($A104, LS_previous!$B$4:$AY$138, LS_previous!V$149, FALSE), VLOOKUP('Staging Table'!$A104, LS_previous!$B$4:$AY$138,LS_previous!AT$149, FALSE))/2)</f>
        <v>0</v>
      </c>
      <c r="AE104" s="382">
        <f t="array" ref="AE104">IF($G104=0, INDEX(LS_previous!$D$4:$AY$138, MATCH('Staging Table'!$A104, LS_previous!$B$4:$B$138, 0), MATCH(AE$4&amp;AE$5, LS_previous!$D$2:$AY$2&amp;LS_previous!$D$3:$AY$3, 0)),SUM(VLOOKUP($A104, LS_previous!$B$4:$AY$138, LS_previous!W$149, FALSE), VLOOKUP('Staging Table'!$A104, LS_previous!$B$4:$AY$138,LS_previous!AU$149, FALSE))/2)</f>
        <v>0</v>
      </c>
      <c r="AF104" s="382">
        <f t="array" ref="AF104">IF($G104=0, INDEX(LS_previous!$D$4:$AY$138, MATCH('Staging Table'!$A104, LS_previous!$B$4:$B$138, 0), MATCH(AF$4&amp;AF$5, LS_previous!$D$2:$AY$2&amp;LS_previous!$D$3:$AY$3, 0)),SUM(VLOOKUP($A104, LS_previous!$B$4:$AY$138, LS_previous!X$149, FALSE), VLOOKUP('Staging Table'!$A104, LS_previous!$B$4:$AY$138,LS_previous!AV$149, FALSE))/2)</f>
        <v>0</v>
      </c>
      <c r="AG104" s="382">
        <f t="array" ref="AG104">IF($G104=0, INDEX(LS_previous!$D$4:$AY$138, MATCH('Staging Table'!$A104, LS_previous!$B$4:$B$138, 0), MATCH(AG$4&amp;AG$5, LS_previous!$D$2:$AY$2&amp;LS_previous!$D$3:$AY$3, 0)),SUM(VLOOKUP($A104, LS_previous!$B$4:$AY$138, LS_previous!Y$149, FALSE), VLOOKUP('Staging Table'!$A104, LS_previous!$B$4:$AY$138,LS_previous!AW$149, FALSE))/2)</f>
        <v>0</v>
      </c>
      <c r="AH104" s="382">
        <f t="array" ref="AH104">IF($G104=0, INDEX(LS_previous!$D$4:$AY$138, MATCH('Staging Table'!$A104, LS_previous!$B$4:$B$138, 0), MATCH(AH$4&amp;AH$5, LS_previous!$D$2:$AY$2&amp;LS_previous!$D$3:$AY$3, 0)),SUM(VLOOKUP($A104, LS_previous!$B$4:$AY$138, LS_previous!Z$149, FALSE), VLOOKUP('Staging Table'!$A104, LS_previous!$B$4:$AY$138,LS_previous!AX$149, FALSE))/2)</f>
        <v>0</v>
      </c>
      <c r="AI104" s="382">
        <f t="array" ref="AI104">IF($G104=0, INDEX(LS_previous!$D$4:$AY$138, MATCH('Staging Table'!$A104, LS_previous!$B$4:$B$138, 0), MATCH(AI$4&amp;AI$5, LS_previous!$D$2:$AY$2&amp;LS_previous!$D$3:$AY$3, 0)),SUM(VLOOKUP($A104, LS_previous!$B$4:$AY$138, LS_previous!AA$149, FALSE), VLOOKUP('Staging Table'!$A104, LS_previous!$B$4:$AY$138,LS_previous!AY$149, FALSE))/2)</f>
        <v>0</v>
      </c>
      <c r="AJ104" s="384">
        <f t="array" ref="AJ104">INDEX(Demand_previous!$D$4:$AY$138, MATCH('Staging Table'!$A104, Demand_previous!$B$4:$B$138, 0), MATCH(AJ$4&amp;AJ$5,Demand_previous!$D$2:$AY$2&amp;Demand_previous!$D$3:$AY$3, 0))/1000</f>
        <v>0</v>
      </c>
      <c r="AK104" s="384">
        <f t="array" ref="AK104">INDEX(Demand_previous!$D$4:$AY$138, MATCH('Staging Table'!$A104, Demand_previous!$B$4:$B$138, 0), MATCH(AK$4&amp;AK$5,Demand_previous!$D$2:$AY$2&amp;Demand_previous!$D$3:$AY$3, 0))/1000</f>
        <v>0</v>
      </c>
      <c r="AL104" s="384">
        <f t="array" ref="AL104">INDEX(Demand_previous!$D$4:$AY$138, MATCH('Staging Table'!$A104, Demand_previous!$B$4:$B$138, 0), MATCH(AL$4&amp;AL$5,Demand_previous!$D$2:$AY$2&amp;Demand_previous!$D$3:$AY$3, 0))/1000</f>
        <v>0</v>
      </c>
      <c r="AM104" s="384">
        <f t="array" ref="AM104">INDEX(Demand_previous!$D$4:$AY$138, MATCH('Staging Table'!$A104, Demand_previous!$B$4:$B$138, 0), MATCH(AM$4&amp;AM$5,Demand_previous!$D$2:$AY$2&amp;Demand_previous!$D$3:$AY$3, 0))/1000</f>
        <v>0</v>
      </c>
      <c r="AN104" s="384">
        <f t="array" ref="AN104">INDEX(Demand_previous!$D$4:$AY$138, MATCH('Staging Table'!$A104, Demand_previous!$B$4:$B$138, 0), MATCH(AN$4&amp;AN$5,Demand_previous!$D$2:$AY$2&amp;Demand_previous!$D$3:$AY$3, 0))/1000</f>
        <v>0</v>
      </c>
      <c r="AO104" s="384">
        <f t="array" ref="AO104">INDEX(Demand_previous!$D$4:$AY$138, MATCH('Staging Table'!$A104, Demand_previous!$B$4:$B$138, 0), MATCH(AO$4&amp;AO$5,Demand_previous!$D$2:$AY$2&amp;Demand_previous!$D$3:$AY$3, 0))/1000</f>
        <v>0</v>
      </c>
      <c r="AP104" s="384">
        <f t="array" ref="AP104">INDEX(Demand_previous!$D$4:$AY$138, MATCH('Staging Table'!$A104, Demand_previous!$B$4:$B$138, 0), MATCH(AP$4&amp;AP$5,Demand_previous!$D$2:$AY$2&amp;Demand_previous!$D$3:$AY$3, 0))/1000</f>
        <v>0</v>
      </c>
      <c r="AQ104" s="384">
        <f t="array" ref="AQ104">INDEX(Demand_previous!$D$4:$AY$138, MATCH('Staging Table'!$A104, Demand_previous!$B$4:$B$138, 0), MATCH(AQ$4&amp;AQ$5,Demand_previous!$D$2:$AY$2&amp;Demand_previous!$D$3:$AY$3, 0))/1000</f>
        <v>0</v>
      </c>
      <c r="AR104" s="384">
        <f t="array" ref="AR104">INDEX(Demand_previous!$D$4:$AY$138, MATCH('Staging Table'!$A104, Demand_previous!$B$4:$B$138, 0), MATCH(AR$4&amp;AR$5,Demand_previous!$D$2:$AY$2&amp;Demand_previous!$D$3:$AY$3, 0))/1000</f>
        <v>0</v>
      </c>
      <c r="AS104" s="384">
        <f t="array" ref="AS104">INDEX(Demand_previous!$D$4:$AY$138, MATCH('Staging Table'!$A104, Demand_previous!$B$4:$B$138, 0), MATCH(AS$4&amp;AS$5,Demand_previous!$D$2:$AY$2&amp;Demand_previous!$D$3:$AY$3, 0))/1000</f>
        <v>0</v>
      </c>
      <c r="AT104" s="384">
        <f t="array" ref="AT104">INDEX(Demand_previous!$D$4:$AY$138, MATCH('Staging Table'!$A104, Demand_previous!$B$4:$B$138, 0), MATCH(AT$4&amp;AT$5,Demand_previous!$D$2:$AY$2&amp;Demand_previous!$D$3:$AY$3, 0))/1000</f>
        <v>0</v>
      </c>
      <c r="AU104" s="384">
        <f t="array" ref="AU104">INDEX(Demand_previous!$D$4:$AY$138, MATCH('Staging Table'!$A104, Demand_previous!$B$4:$B$138, 0), MATCH(AU$4&amp;AU$5,Demand_previous!$D$2:$AY$2&amp;Demand_previous!$D$3:$AY$3, 0))/1000</f>
        <v>0</v>
      </c>
      <c r="AV104" s="384">
        <f>IF($D104=0,IF(C104=0, MAX(AY104 - (VLOOKUP($A104,TOCA_previous!$A$2:$AI$137,MATCH("RHWM 2016",TOCA_previous!$A$2:$AI$2,0),FALSE)*$F$2*TOCA_previous!C101),0),0), 0)</f>
        <v>0</v>
      </c>
      <c r="AW104" s="427">
        <f>VLOOKUP($A104,REP_previous!$A$1:$D$135,MATCH("FY "&amp;$F$1&amp; " Total Refund",REP_previous!$A$1:$D$1,0),0)</f>
        <v>276593.67193808086</v>
      </c>
      <c r="AX104" s="398">
        <f>MIN(VLOOKUP($A104,TOCA_previous!$A$2:$AI$137,MATCH("TRL - NLSL - Exisiting Resource "&amp;$F$1,TOCA_previous!$A$2:$AI$2,0),FALSE)*$F$2,(VLOOKUP($A104,TOCA_previous!$A$2:$AI$137,MATCH("RHWM 2016",TOCA_previous!$A$2:$AI$2,0),FALSE)*$F$2))</f>
        <v>306096.04800000001</v>
      </c>
      <c r="AY104" s="384">
        <f>SUM(L104:AI104)+(F104*RT1SC!$C$3*$F$2)</f>
        <v>306095.96689732803</v>
      </c>
      <c r="AZ104" s="398">
        <f>VLOOKUP($A104,TOCA_previous!$A$2:$AI$137,MATCH("Above RHWM Not Served with LS "&amp;$F$1,TOCA_previous!$A$2:$AI$2,0),FALSE)*$F$2</f>
        <v>0</v>
      </c>
      <c r="BA104" s="206">
        <f t="shared" si="19"/>
        <v>-8.1102671974804252E-2</v>
      </c>
      <c r="BB104" s="399">
        <f>(VLOOKUP($A104,TOCA_previous!$A$2:$AI$137,MATCH("RHWM 2016",TOCA_previous!$A$2:$AI$2,0),FALSE)*$F$2) - $AX104</f>
        <v>12280.031999999948</v>
      </c>
      <c r="BC104" s="206">
        <f t="shared" si="20"/>
        <v>0</v>
      </c>
      <c r="BD104" s="400">
        <f t="shared" si="21"/>
        <v>8.1102671974804252E-2</v>
      </c>
      <c r="BE104" s="392">
        <f t="shared" si="22"/>
        <v>0</v>
      </c>
      <c r="BF104" s="399">
        <f t="shared" si="23"/>
        <v>8.1102671974804252E-2</v>
      </c>
      <c r="BG104" s="206">
        <f>VLOOKUP($A104,TOCA_current!$A$2:$AI$137,MATCH(BG$4,TOCA_current!$A$2:$AI$2,0),FALSE)</f>
        <v>5.1859000000000002E-3</v>
      </c>
      <c r="BH104" s="206">
        <f>VLOOKUP($A104,TOCA_current!$A$2:$AI$137,MATCH(BH$4,TOCA_current!$A$2:$AI$2,0),FALSE)</f>
        <v>5.1859000000000002E-3</v>
      </c>
      <c r="BI104" s="391">
        <f t="shared" si="24"/>
        <v>0</v>
      </c>
      <c r="BJ104" s="206">
        <f>VLOOKUP($A104,TOCA_current!A100:BG235,MATCH(BJ$4,TOCA_current!$A$2:$BG$2,0),FALSE)</f>
        <v>7.016132167152575E-2</v>
      </c>
      <c r="BK104" s="206">
        <f t="shared" si="25"/>
        <v>7.016132167152575E-2</v>
      </c>
      <c r="BL104" s="206">
        <f t="shared" si="26"/>
        <v>5.1859000000000002E-3</v>
      </c>
      <c r="BM104" s="381">
        <f>VLOOKUP($A104,IRD!$A$4:$G$139, 7, FALSE)</f>
        <v>133086.85800000001</v>
      </c>
      <c r="BN104" s="382">
        <f t="array" ref="BN104">IF($BI104=0, INDEX(LS_current!$D$4:$AY$139, MATCH('Staging Table'!$A104, LS_current!$B$4:$B$139, 0), MATCH(BN$4&amp;BN$5, LS_current!$D$2:$AY$2&amp;LS_current!$D$3:$AY$3, 0)),SUM(VLOOKUP($A104, LS_current!$B$4:$AY$139, LS_current!D$149, FALSE), VLOOKUP($A104, LS_current!$B$4:$AY$139,LS_current!D$149, FALSE))/2)</f>
        <v>0</v>
      </c>
      <c r="BO104" s="382">
        <f t="array" ref="BO104">IF($BI104=0, INDEX(LS_current!$D$4:$AY$139, MATCH('Staging Table'!$A104, LS_current!$B$4:$B$139, 0), MATCH(BO$4&amp;BO$5, LS_current!$D$2:$AY$2&amp;LS_current!$D$3:$AY$3, 0)),SUM(VLOOKUP($A104, LS_current!$B$4:$AY$139, LS_current!E$149, FALSE), VLOOKUP($A104, LS_current!$B$4:$AY$139,LS_current!E$149, FALSE))/2)</f>
        <v>0</v>
      </c>
      <c r="BP104" s="382">
        <f t="array" ref="BP104">IF($BI104=0, INDEX(LS_current!$D$4:$AY$139, MATCH('Staging Table'!$A104, LS_current!$B$4:$B$139, 0), MATCH(BP$4&amp;BP$5, LS_current!$D$2:$AY$2&amp;LS_current!$D$3:$AY$3, 0)),SUM(VLOOKUP($A104, LS_current!$B$4:$AY$139, LS_current!F$149, FALSE), VLOOKUP($A104, LS_current!$B$4:$AY$139,LS_current!F$149, FALSE))/2)</f>
        <v>0</v>
      </c>
      <c r="BQ104" s="382">
        <f t="array" ref="BQ104">IF($BI104=0, INDEX(LS_current!$D$4:$AY$139, MATCH('Staging Table'!$A104, LS_current!$B$4:$B$139, 0), MATCH(BQ$4&amp;BQ$5, LS_current!$D$2:$AY$2&amp;LS_current!$D$3:$AY$3, 0)),SUM(VLOOKUP($A104, LS_current!$B$4:$AY$139, LS_current!G$149, FALSE), VLOOKUP($A104, LS_current!$B$4:$AY$139,LS_current!G$149, FALSE))/2)</f>
        <v>0</v>
      </c>
      <c r="BR104" s="382">
        <f t="array" ref="BR104">IF($BI104=0, INDEX(LS_current!$D$4:$AY$139, MATCH('Staging Table'!$A104, LS_current!$B$4:$B$139, 0), MATCH(BR$4&amp;BR$5, LS_current!$D$2:$AY$2&amp;LS_current!$D$3:$AY$3, 0)),SUM(VLOOKUP($A104, LS_current!$B$4:$AY$139, LS_current!H$149, FALSE), VLOOKUP($A104, LS_current!$B$4:$AY$139,LS_current!H$149, FALSE))/2)</f>
        <v>0</v>
      </c>
      <c r="BS104" s="382">
        <f t="array" ref="BS104">IF($BI104=0, INDEX(LS_current!$D$4:$AY$139, MATCH('Staging Table'!$A104, LS_current!$B$4:$B$139, 0), MATCH(BS$4&amp;BS$5, LS_current!$D$2:$AY$2&amp;LS_current!$D$3:$AY$3, 0)),SUM(VLOOKUP($A104, LS_current!$B$4:$AY$139, LS_current!I$149, FALSE), VLOOKUP($A104, LS_current!$B$4:$AY$139,LS_current!I$149, FALSE))/2)</f>
        <v>0</v>
      </c>
      <c r="BT104" s="382">
        <f t="array" ref="BT104">IF($BI104=0, INDEX(LS_current!$D$4:$AY$139, MATCH('Staging Table'!$A104, LS_current!$B$4:$B$139, 0), MATCH(BT$4&amp;BT$5, LS_current!$D$2:$AY$2&amp;LS_current!$D$3:$AY$3, 0)),SUM(VLOOKUP($A104, LS_current!$B$4:$AY$139, LS_current!J$149, FALSE), VLOOKUP($A104, LS_current!$B$4:$AY$139,LS_current!J$149, FALSE))/2)</f>
        <v>0</v>
      </c>
      <c r="BU104" s="382">
        <f t="array" ref="BU104">IF($BI104=0, INDEX(LS_current!$D$4:$AY$139, MATCH('Staging Table'!$A104, LS_current!$B$4:$B$139, 0), MATCH(BU$4&amp;BU$5, LS_current!$D$2:$AY$2&amp;LS_current!$D$3:$AY$3, 0)),SUM(VLOOKUP($A104, LS_current!$B$4:$AY$139, LS_current!K$149, FALSE), VLOOKUP($A104, LS_current!$B$4:$AY$139,LS_current!K$149, FALSE))/2)</f>
        <v>0</v>
      </c>
      <c r="BV104" s="382">
        <f t="array" ref="BV104">IF($BI104=0, INDEX(LS_current!$D$4:$AY$139, MATCH('Staging Table'!$A104, LS_current!$B$4:$B$139, 0), MATCH(BV$4&amp;BV$5, LS_current!$D$2:$AY$2&amp;LS_current!$D$3:$AY$3, 0)),SUM(VLOOKUP($A104, LS_current!$B$4:$AY$139, LS_current!L$149, FALSE), VLOOKUP($A104, LS_current!$B$4:$AY$139,LS_current!L$149, FALSE))/2)</f>
        <v>0</v>
      </c>
      <c r="BW104" s="382">
        <f t="array" ref="BW104">IF($BI104=0, INDEX(LS_current!$D$4:$AY$139, MATCH('Staging Table'!$A104, LS_current!$B$4:$B$139, 0), MATCH(BW$4&amp;BW$5, LS_current!$D$2:$AY$2&amp;LS_current!$D$3:$AY$3, 0)),SUM(VLOOKUP($A104, LS_current!$B$4:$AY$139, LS_current!M$149, FALSE), VLOOKUP($A104, LS_current!$B$4:$AY$139,LS_current!M$149, FALSE))/2)</f>
        <v>0</v>
      </c>
      <c r="BX104" s="382">
        <f t="array" ref="BX104">IF($BI104=0, INDEX(LS_current!$D$4:$AY$139, MATCH('Staging Table'!$A104, LS_current!$B$4:$B$139, 0), MATCH(BX$4&amp;BX$5, LS_current!$D$2:$AY$2&amp;LS_current!$D$3:$AY$3, 0)),SUM(VLOOKUP($A104, LS_current!$B$4:$AY$139, LS_current!N$149, FALSE), VLOOKUP($A104, LS_current!$B$4:$AY$139,LS_current!N$149, FALSE))/2)</f>
        <v>0</v>
      </c>
      <c r="BY104" s="382">
        <f t="array" ref="BY104">IF($BI104=0, INDEX(LS_current!$D$4:$AY$139, MATCH('Staging Table'!$A104, LS_current!$B$4:$B$139, 0), MATCH(BY$4&amp;BY$5, LS_current!$D$2:$AY$2&amp;LS_current!$D$3:$AY$3, 0)),SUM(VLOOKUP($A104, LS_current!$B$4:$AY$139, LS_current!O$149, FALSE), VLOOKUP($A104, LS_current!$B$4:$AY$139,LS_current!O$149, FALSE))/2)</f>
        <v>0</v>
      </c>
      <c r="BZ104" s="382">
        <f t="array" ref="BZ104">IF($BI104=0, INDEX(LS_current!$D$4:$AY$139, MATCH('Staging Table'!$A104, LS_current!$B$4:$B$139, 0), MATCH(BZ$4&amp;BZ$5, LS_current!$D$2:$AY$2&amp;LS_current!$D$3:$AY$3, 0)),SUM(VLOOKUP($A104, LS_current!$B$4:$AY$139, LS_current!P$149, FALSE), VLOOKUP($A104, LS_current!$B$4:$AY$139,LS_current!P$149, FALSE))/2)</f>
        <v>0</v>
      </c>
      <c r="CA104" s="382">
        <f t="array" ref="CA104">IF($BI104=0, INDEX(LS_current!$D$4:$AY$139, MATCH('Staging Table'!$A104, LS_current!$B$4:$B$139, 0), MATCH(CA$4&amp;CA$5, LS_current!$D$2:$AY$2&amp;LS_current!$D$3:$AY$3, 0)),SUM(VLOOKUP($A104, LS_current!$B$4:$AY$139, LS_current!Q$149, FALSE), VLOOKUP($A104, LS_current!$B$4:$AY$139,LS_current!Q$149, FALSE))/2)</f>
        <v>0</v>
      </c>
      <c r="CB104" s="382">
        <f t="array" ref="CB104">IF($BI104=0, INDEX(LS_current!$D$4:$AY$139, MATCH('Staging Table'!$A104, LS_current!$B$4:$B$139, 0), MATCH(CB$4&amp;CB$5, LS_current!$D$2:$AY$2&amp;LS_current!$D$3:$AY$3, 0)),SUM(VLOOKUP($A104, LS_current!$B$4:$AY$139, LS_current!R$149, FALSE), VLOOKUP($A104, LS_current!$B$4:$AY$139,LS_current!R$149, FALSE))/2)</f>
        <v>0</v>
      </c>
      <c r="CC104" s="382">
        <f t="array" ref="CC104">IF($BI104=0, INDEX(LS_current!$D$4:$AY$139, MATCH('Staging Table'!$A104, LS_current!$B$4:$B$139, 0), MATCH(CC$4&amp;CC$5, LS_current!$D$2:$AY$2&amp;LS_current!$D$3:$AY$3, 0)),SUM(VLOOKUP($A104, LS_current!$B$4:$AY$139, LS_current!S$149, FALSE), VLOOKUP($A104, LS_current!$B$4:$AY$139,LS_current!S$149, FALSE))/2)</f>
        <v>0</v>
      </c>
      <c r="CD104" s="382">
        <f t="array" ref="CD104">IF($BI104=0, INDEX(LS_current!$D$4:$AY$139, MATCH('Staging Table'!$A104, LS_current!$B$4:$B$139, 0), MATCH(CD$4&amp;CD$5, LS_current!$D$2:$AY$2&amp;LS_current!$D$3:$AY$3, 0)),SUM(VLOOKUP($A104, LS_current!$B$4:$AY$139, LS_current!T$149, FALSE), VLOOKUP($A104, LS_current!$B$4:$AY$139,LS_current!T$149, FALSE))/2)</f>
        <v>0</v>
      </c>
      <c r="CE104" s="382">
        <f t="array" ref="CE104">IF($BI104=0, INDEX(LS_current!$D$4:$AY$139, MATCH('Staging Table'!$A104, LS_current!$B$4:$B$139, 0), MATCH(CE$4&amp;CE$5, LS_current!$D$2:$AY$2&amp;LS_current!$D$3:$AY$3, 0)),SUM(VLOOKUP($A104, LS_current!$B$4:$AY$139, LS_current!U$149, FALSE), VLOOKUP($A104, LS_current!$B$4:$AY$139,LS_current!U$149, FALSE))/2)</f>
        <v>0</v>
      </c>
      <c r="CF104" s="382">
        <f t="array" ref="CF104">IF($BI104=0, INDEX(LS_current!$D$4:$AY$139, MATCH('Staging Table'!$A104, LS_current!$B$4:$B$139, 0), MATCH(CF$4&amp;CF$5, LS_current!$D$2:$AY$2&amp;LS_current!$D$3:$AY$3, 0)),SUM(VLOOKUP($A104, LS_current!$B$4:$AY$139, LS_current!V$149, FALSE), VLOOKUP($A104, LS_current!$B$4:$AY$139,LS_current!V$149, FALSE))/2)</f>
        <v>0</v>
      </c>
      <c r="CG104" s="382">
        <f t="array" ref="CG104">IF($BI104=0, INDEX(LS_current!$D$4:$AY$139, MATCH('Staging Table'!$A104, LS_current!$B$4:$B$139, 0), MATCH(CG$4&amp;CG$5, LS_current!$D$2:$AY$2&amp;LS_current!$D$3:$AY$3, 0)),SUM(VLOOKUP($A104, LS_current!$B$4:$AY$139, LS_current!W$149, FALSE), VLOOKUP($A104, LS_current!$B$4:$AY$139,LS_current!W$149, FALSE))/2)</f>
        <v>0</v>
      </c>
      <c r="CH104" s="382">
        <f t="array" ref="CH104">IF($BI104=0, INDEX(LS_current!$D$4:$AY$139, MATCH('Staging Table'!$A104, LS_current!$B$4:$B$139, 0), MATCH(CH$4&amp;CH$5, LS_current!$D$2:$AY$2&amp;LS_current!$D$3:$AY$3, 0)),SUM(VLOOKUP($A104, LS_current!$B$4:$AY$139, LS_current!X$149, FALSE), VLOOKUP($A104, LS_current!$B$4:$AY$139,LS_current!X$149, FALSE))/2)</f>
        <v>0</v>
      </c>
      <c r="CI104" s="382">
        <f t="array" ref="CI104">IF($BI104=0, INDEX(LS_current!$D$4:$AY$139, MATCH('Staging Table'!$A104, LS_current!$B$4:$B$139, 0), MATCH(CI$4&amp;CI$5, LS_current!$D$2:$AY$2&amp;LS_current!$D$3:$AY$3, 0)),SUM(VLOOKUP($A104, LS_current!$B$4:$AY$139, LS_current!Y$149, FALSE), VLOOKUP($A104, LS_current!$B$4:$AY$139,LS_current!Y$149, FALSE))/2)</f>
        <v>0</v>
      </c>
      <c r="CJ104" s="382">
        <f t="array" ref="CJ104">IF($BI104=0, INDEX(LS_current!$D$4:$AY$139, MATCH('Staging Table'!$A104, LS_current!$B$4:$B$139, 0), MATCH(CJ$4&amp;CJ$5, LS_current!$D$2:$AY$2&amp;LS_current!$D$3:$AY$3, 0)),SUM(VLOOKUP($A104, LS_current!$B$4:$AY$139, LS_current!Z$149, FALSE), VLOOKUP($A104, LS_current!$B$4:$AY$139,LS_current!Z$149, FALSE))/2)</f>
        <v>0</v>
      </c>
      <c r="CK104" s="382">
        <f t="array" ref="CK104">IF($BI104=0, INDEX(LS_current!$D$4:$AY$139, MATCH('Staging Table'!$A104, LS_current!$B$4:$B$139, 0), MATCH(CK$4&amp;CK$5, LS_current!$D$2:$AY$2&amp;LS_current!$D$3:$AY$3, 0)),SUM(VLOOKUP($A104, LS_current!$B$4:$AY$139, LS_current!AA$149, FALSE), VLOOKUP($A104, LS_current!$B$4:$AY$139,LS_current!AA$149, FALSE))/2)</f>
        <v>0</v>
      </c>
      <c r="CL104" s="384">
        <f t="array" ref="CL104">INDEX(Demand_current!$D$4:$AY$138, MATCH($A104, Demand_current!$B$4:$B$138, 0), MATCH(CL$4&amp;CL$5,Demand_current!$D$2:$AY$2&amp;Demand_current!$D$3:$AY$3, 0))/1000</f>
        <v>0</v>
      </c>
      <c r="CM104" s="384">
        <f t="array" ref="CM104">INDEX(Demand_current!$D$4:$AY$138, MATCH($A104, Demand_current!$B$4:$B$138, 0), MATCH(CM$4&amp;CM$5,Demand_current!$D$2:$AY$2&amp;Demand_current!$D$3:$AY$3, 0))/1000</f>
        <v>0</v>
      </c>
      <c r="CN104" s="384">
        <f t="array" ref="CN104">INDEX(Demand_current!$D$4:$AY$138, MATCH($A104, Demand_current!$B$4:$B$138, 0), MATCH(CN$4&amp;CN$5,Demand_current!$D$2:$AY$2&amp;Demand_current!$D$3:$AY$3, 0))/1000</f>
        <v>0</v>
      </c>
      <c r="CO104" s="384">
        <f t="array" ref="CO104">INDEX(Demand_current!$D$4:$AY$138, MATCH($A104, Demand_current!$B$4:$B$138, 0), MATCH(CO$4&amp;CO$5,Demand_current!$D$2:$AY$2&amp;Demand_current!$D$3:$AY$3, 0))/1000</f>
        <v>0</v>
      </c>
      <c r="CP104" s="384">
        <f t="array" ref="CP104">INDEX(Demand_current!$D$4:$AY$138, MATCH($A104, Demand_current!$B$4:$B$138, 0), MATCH(CP$4&amp;CP$5,Demand_current!$D$2:$AY$2&amp;Demand_current!$D$3:$AY$3, 0))/1000</f>
        <v>0</v>
      </c>
      <c r="CQ104" s="384">
        <f t="array" ref="CQ104">INDEX(Demand_current!$D$4:$AY$138, MATCH($A104, Demand_current!$B$4:$B$138, 0), MATCH(CQ$4&amp;CQ$5,Demand_current!$D$2:$AY$2&amp;Demand_current!$D$3:$AY$3, 0))/1000</f>
        <v>0</v>
      </c>
      <c r="CR104" s="384">
        <f t="array" ref="CR104">INDEX(Demand_current!$D$4:$AY$138, MATCH($A104, Demand_current!$B$4:$B$138, 0), MATCH(CR$4&amp;CR$5,Demand_current!$D$2:$AY$2&amp;Demand_current!$D$3:$AY$3, 0))/1000</f>
        <v>0</v>
      </c>
      <c r="CS104" s="384">
        <f t="array" ref="CS104">INDEX(Demand_current!$D$4:$AY$138, MATCH($A104, Demand_current!$B$4:$B$138, 0), MATCH(CS$4&amp;CS$5,Demand_current!$D$2:$AY$2&amp;Demand_current!$D$3:$AY$3, 0))/1000</f>
        <v>0</v>
      </c>
      <c r="CT104" s="384">
        <f t="array" ref="CT104">INDEX(Demand_current!$D$4:$AY$138, MATCH($A104, Demand_current!$B$4:$B$138, 0), MATCH(CT$4&amp;CT$5,Demand_current!$D$2:$AY$2&amp;Demand_current!$D$3:$AY$3, 0))/1000</f>
        <v>0</v>
      </c>
      <c r="CU104" s="384">
        <f t="array" ref="CU104">INDEX(Demand_current!$D$4:$AY$138, MATCH($A104, Demand_current!$B$4:$B$138, 0), MATCH(CU$4&amp;CU$5,Demand_current!$D$2:$AY$2&amp;Demand_current!$D$3:$AY$3, 0))/1000</f>
        <v>0</v>
      </c>
      <c r="CV104" s="384">
        <f t="array" ref="CV104">INDEX(Demand_current!$D$4:$AY$138, MATCH($A104, Demand_current!$B$4:$B$138, 0), MATCH(CV$4&amp;CV$5,Demand_current!$D$2:$AY$2&amp;Demand_current!$D$3:$AY$3, 0))/1000</f>
        <v>0</v>
      </c>
      <c r="CW104" s="384">
        <f t="array" ref="CW104">INDEX(Demand_current!$D$4:$AY$138, MATCH($A104, Demand_current!$B$4:$B$138, 0), MATCH(CW$4&amp;CW$5,Demand_current!$D$2:$AY$2&amp;Demand_current!$D$3:$AY$3, 0))/1000</f>
        <v>0</v>
      </c>
      <c r="CX104" s="384">
        <f>IF(D104=0,IF(C104=0,MAX(0,DA104 - (VLOOKUP($A104,TOCA_current!$A$2:$AI$137,MATCH("RHWM 2018",TOCA_current!$A$2:$AI$2,0),FALSE)*$BH$2)), 0),0)</f>
        <v>0</v>
      </c>
      <c r="CY104" s="427">
        <f>VLOOKUP($A104,REP_current!$A$1:$D$135,MATCH("FY "&amp;$BH$1&amp; " Total Refund",REP_current!$A$1:$D$1,0),0)</f>
        <v>287387.68980703596</v>
      </c>
      <c r="CZ104" s="432">
        <f>MIN(VLOOKUP($A104,TOCA_current!$A$2:$AI$137,MATCH("TRL - NLSL - Existing Resource "&amp;$BH$1,TOCA_current!$A$2:$AI$2,0),FALSE)*$BH$2, VLOOKUP($A104,TOCA_current!$A$2:$AI$137,MATCH("RHWM 2018",TOCA_current!$A$2:$AI$2,0),FALSE)*$BH$2)</f>
        <v>315491.40000000002</v>
      </c>
      <c r="DA104" s="397">
        <f>SUM(BN104:CK104)+(BH104*RT1SC!$C$4*$BH$2)</f>
        <v>315493.82539346395</v>
      </c>
      <c r="DB104" s="432">
        <f>VLOOKUP($A104,TOCA_current!$A$2:$AI$137,MATCH("Above RHWM Not Served with LS "&amp;$BH$1,TOCA_current!$A$2:$AI$2,0),FALSE)*$BH$2</f>
        <v>727.08</v>
      </c>
      <c r="DC104" s="401">
        <f t="shared" si="27"/>
        <v>2.4253934639273211</v>
      </c>
      <c r="DD104" s="397">
        <f>(VLOOKUP($A104,TOCA_current!$A$2:$AI$137,MATCH("RHWM 2018",TOCA_current!$A$2:$AI$2,0),FALSE)*$BH$2) - $CZ104</f>
        <v>0</v>
      </c>
      <c r="DE104" s="397">
        <f t="shared" si="28"/>
        <v>0</v>
      </c>
      <c r="DF104" s="397">
        <f t="shared" si="29"/>
        <v>0</v>
      </c>
      <c r="DG104" s="397">
        <f t="shared" si="30"/>
        <v>0</v>
      </c>
      <c r="DH104" s="397">
        <f t="shared" si="31"/>
        <v>0</v>
      </c>
    </row>
    <row r="105" spans="1:112">
      <c r="A105" s="274">
        <v>10333</v>
      </c>
      <c r="B105" s="275" t="s">
        <v>106</v>
      </c>
      <c r="C105" s="397">
        <v>0</v>
      </c>
      <c r="D105" s="397">
        <v>0</v>
      </c>
      <c r="E105" s="205">
        <f>VLOOKUP($A105,TOCA_previous!$A$2:$AI$137,MATCH(E$4,TOCA_previous!$A$2:$AI$2,0),FALSE)</f>
        <v>2.6254999999999998E-3</v>
      </c>
      <c r="F105" s="206">
        <f>VLOOKUP($A105,TOCA_previous!$A$2:$AI$137,MATCH(F$4,TOCA_previous!$A$2:$AI$2,0),FALSE)</f>
        <v>2.6254999999999998E-3</v>
      </c>
      <c r="G105" s="206">
        <f t="shared" si="16"/>
        <v>0</v>
      </c>
      <c r="H105" s="206">
        <f>VLOOKUP($A105,TOCA_previous!$A$2:$AI$137,MATCH(H$4,TOCA_previous!$A$2:$AI$2,0),FALSE)</f>
        <v>6.5790000000000001E-2</v>
      </c>
      <c r="I105" s="206">
        <f t="shared" si="17"/>
        <v>0</v>
      </c>
      <c r="J105" s="206">
        <f t="shared" si="18"/>
        <v>0</v>
      </c>
      <c r="K105" s="381">
        <f>VLOOKUP(A105, IRD!$A$5:$C$139, 3, FALSE)</f>
        <v>0</v>
      </c>
      <c r="L105" s="382">
        <f t="array" ref="L105">IF($G105=0, INDEX(LS_previous!$D$4:$AY$138, MATCH('Staging Table'!$A105, LS_previous!$B$4:$B$138, 0), MATCH(L$4&amp;L$5, LS_previous!$D$2:$AY$2&amp;LS_previous!$D$3:$AY$3, 0)),SUM(VLOOKUP($A105, LS_previous!$B$4:$AY$138, LS_previous!D$149, FALSE), VLOOKUP('Staging Table'!$A105, LS_previous!$B$4:$AY$138,LS_previous!AB$149, FALSE))/2)</f>
        <v>-1280.5008061718818</v>
      </c>
      <c r="M105" s="382">
        <f t="array" ref="M105">IF($G105=0, INDEX(LS_previous!$D$4:$AY$138, MATCH('Staging Table'!$A105, LS_previous!$B$4:$B$138, 0), MATCH(M$4&amp;M$5, LS_previous!$D$2:$AY$2&amp;LS_previous!$D$3:$AY$3, 0)),SUM(VLOOKUP($A105, LS_previous!$B$4:$AY$138, LS_previous!E$149, FALSE), VLOOKUP('Staging Table'!$A105, LS_previous!$B$4:$AY$138,LS_previous!AC$149, FALSE))/2)</f>
        <v>-644.01955540672134</v>
      </c>
      <c r="N105" s="382">
        <f t="array" ref="N105">IF($G105=0, INDEX(LS_previous!$D$4:$AY$138, MATCH('Staging Table'!$A105, LS_previous!$B$4:$B$138, 0), MATCH(N$4&amp;N$5, LS_previous!$D$2:$AY$2&amp;LS_previous!$D$3:$AY$3, 0)),SUM(VLOOKUP($A105, LS_previous!$B$4:$AY$138, LS_previous!F$149, FALSE), VLOOKUP('Staging Table'!$A105, LS_previous!$B$4:$AY$138,LS_previous!AD$149, FALSE))/2)</f>
        <v>-670.3315471973674</v>
      </c>
      <c r="O105" s="382">
        <f t="array" ref="O105">IF($G105=0, INDEX(LS_previous!$D$4:$AY$138, MATCH('Staging Table'!$A105, LS_previous!$B$4:$B$138, 0), MATCH(O$4&amp;O$5, LS_previous!$D$2:$AY$2&amp;LS_previous!$D$3:$AY$3, 0)),SUM(VLOOKUP($A105, LS_previous!$B$4:$AY$138, LS_previous!G$149, FALSE), VLOOKUP('Staging Table'!$A105, LS_previous!$B$4:$AY$138,LS_previous!AE$149, FALSE))/2)</f>
        <v>694.28875895438159</v>
      </c>
      <c r="P105" s="382">
        <f t="array" ref="P105">IF($G105=0, INDEX(LS_previous!$D$4:$AY$138, MATCH('Staging Table'!$A105, LS_previous!$B$4:$B$138, 0), MATCH(P$4&amp;P$5, LS_previous!$D$2:$AY$2&amp;LS_previous!$D$3:$AY$3, 0)),SUM(VLOOKUP($A105, LS_previous!$B$4:$AY$138, LS_previous!H$149, FALSE), VLOOKUP('Staging Table'!$A105, LS_previous!$B$4:$AY$138,LS_previous!AF$149, FALSE))/2)</f>
        <v>1415.1872922457023</v>
      </c>
      <c r="Q105" s="382">
        <f t="array" ref="Q105">IF($G105=0, INDEX(LS_previous!$D$4:$AY$138, MATCH('Staging Table'!$A105, LS_previous!$B$4:$B$138, 0), MATCH(Q$4&amp;Q$5, LS_previous!$D$2:$AY$2&amp;LS_previous!$D$3:$AY$3, 0)),SUM(VLOOKUP($A105, LS_previous!$B$4:$AY$138, LS_previous!I$149, FALSE), VLOOKUP('Staging Table'!$A105, LS_previous!$B$4:$AY$138,LS_previous!AG$149, FALSE))/2)</f>
        <v>1820.3842417882997</v>
      </c>
      <c r="R105" s="382">
        <f t="array" ref="R105">IF($G105=0, INDEX(LS_previous!$D$4:$AY$138, MATCH('Staging Table'!$A105, LS_previous!$B$4:$B$138, 0), MATCH(R$4&amp;R$5, LS_previous!$D$2:$AY$2&amp;LS_previous!$D$3:$AY$3, 0)),SUM(VLOOKUP($A105, LS_previous!$B$4:$AY$138, LS_previous!J$149, FALSE), VLOOKUP('Staging Table'!$A105, LS_previous!$B$4:$AY$138,LS_previous!AH$149, FALSE))/2)</f>
        <v>2011.8852252421175</v>
      </c>
      <c r="S105" s="382">
        <f t="array" ref="S105">IF($G105=0, INDEX(LS_previous!$D$4:$AY$138, MATCH('Staging Table'!$A105, LS_previous!$B$4:$B$138, 0), MATCH(S$4&amp;S$5, LS_previous!$D$2:$AY$2&amp;LS_previous!$D$3:$AY$3, 0)),SUM(VLOOKUP($A105, LS_previous!$B$4:$AY$138, LS_previous!K$149, FALSE), VLOOKUP('Staging Table'!$A105, LS_previous!$B$4:$AY$138,LS_previous!AI$149, FALSE))/2)</f>
        <v>2140.1268309389534</v>
      </c>
      <c r="T105" s="382">
        <f t="array" ref="T105">IF($G105=0, INDEX(LS_previous!$D$4:$AY$138, MATCH('Staging Table'!$A105, LS_previous!$B$4:$B$138, 0), MATCH(T$4&amp;T$5, LS_previous!$D$2:$AY$2&amp;LS_previous!$D$3:$AY$3, 0)),SUM(VLOOKUP($A105, LS_previous!$B$4:$AY$138, LS_previous!L$149, FALSE), VLOOKUP('Staging Table'!$A105, LS_previous!$B$4:$AY$138,LS_previous!AJ$149, FALSE))/2)</f>
        <v>756.77315506382547</v>
      </c>
      <c r="U105" s="382">
        <f t="array" ref="U105">IF($G105=0, INDEX(LS_previous!$D$4:$AY$138, MATCH('Staging Table'!$A105, LS_previous!$B$4:$B$138, 0), MATCH(U$4&amp;U$5, LS_previous!$D$2:$AY$2&amp;LS_previous!$D$3:$AY$3, 0)),SUM(VLOOKUP($A105, LS_previous!$B$4:$AY$138, LS_previous!M$149, FALSE), VLOOKUP('Staging Table'!$A105, LS_previous!$B$4:$AY$138,LS_previous!AK$149, FALSE))/2)</f>
        <v>1055.374815980279</v>
      </c>
      <c r="V105" s="382">
        <f t="array" ref="V105">IF($G105=0, INDEX(LS_previous!$D$4:$AY$138, MATCH('Staging Table'!$A105, LS_previous!$B$4:$B$138, 0), MATCH(V$4&amp;V$5, LS_previous!$D$2:$AY$2&amp;LS_previous!$D$3:$AY$3, 0)),SUM(VLOOKUP($A105, LS_previous!$B$4:$AY$138, LS_previous!N$149, FALSE), VLOOKUP('Staging Table'!$A105, LS_previous!$B$4:$AY$138,LS_previous!AL$149, FALSE))/2)</f>
        <v>-727.99413729398202</v>
      </c>
      <c r="W105" s="382">
        <f t="array" ref="W105">IF($G105=0, INDEX(LS_previous!$D$4:$AY$138, MATCH('Staging Table'!$A105, LS_previous!$B$4:$B$138, 0), MATCH(W$4&amp;W$5, LS_previous!$D$2:$AY$2&amp;LS_previous!$D$3:$AY$3, 0)),SUM(VLOOKUP($A105, LS_previous!$B$4:$AY$138, LS_previous!O$149, FALSE), VLOOKUP('Staging Table'!$A105, LS_previous!$B$4:$AY$138,LS_previous!AM$149, FALSE))/2)</f>
        <v>97.07631486736409</v>
      </c>
      <c r="X105" s="382">
        <f t="array" ref="X105">IF($G105=0, INDEX(LS_previous!$D$4:$AY$138, MATCH('Staging Table'!$A105, LS_previous!$B$4:$B$138, 0), MATCH(X$4&amp;X$5, LS_previous!$D$2:$AY$2&amp;LS_previous!$D$3:$AY$3, 0)),SUM(VLOOKUP($A105, LS_previous!$B$4:$AY$138, LS_previous!P$149, FALSE), VLOOKUP('Staging Table'!$A105, LS_previous!$B$4:$AY$138,LS_previous!AN$149, FALSE))/2)</f>
        <v>102.53445623047628</v>
      </c>
      <c r="Y105" s="382">
        <f t="array" ref="Y105">IF($G105=0, INDEX(LS_previous!$D$4:$AY$138, MATCH('Staging Table'!$A105, LS_previous!$B$4:$B$138, 0), MATCH(Y$4&amp;Y$5, LS_previous!$D$2:$AY$2&amp;LS_previous!$D$3:$AY$3, 0)),SUM(VLOOKUP($A105, LS_previous!$B$4:$AY$138, LS_previous!Q$149, FALSE), VLOOKUP('Staging Table'!$A105, LS_previous!$B$4:$AY$138,LS_previous!AO$149, FALSE))/2)</f>
        <v>350.56892545977735</v>
      </c>
      <c r="Z105" s="382">
        <f t="array" ref="Z105">IF($G105=0, INDEX(LS_previous!$D$4:$AY$138, MATCH('Staging Table'!$A105, LS_previous!$B$4:$B$138, 0), MATCH(Z$4&amp;Z$5, LS_previous!$D$2:$AY$2&amp;LS_previous!$D$3:$AY$3, 0)),SUM(VLOOKUP($A105, LS_previous!$B$4:$AY$138, LS_previous!R$149, FALSE), VLOOKUP('Staging Table'!$A105, LS_previous!$B$4:$AY$138,LS_previous!AP$149, FALSE))/2)</f>
        <v>-4045.6586393415155</v>
      </c>
      <c r="AA105" s="382">
        <f t="array" ref="AA105">IF($G105=0, INDEX(LS_previous!$D$4:$AY$138, MATCH('Staging Table'!$A105, LS_previous!$B$4:$B$138, 0), MATCH(AA$4&amp;AA$5, LS_previous!$D$2:$AY$2&amp;LS_previous!$D$3:$AY$3, 0)),SUM(VLOOKUP($A105, LS_previous!$B$4:$AY$138, LS_previous!S$149, FALSE), VLOOKUP('Staging Table'!$A105, LS_previous!$B$4:$AY$138,LS_previous!AQ$149, FALSE))/2)</f>
        <v>-1244.7738245414512</v>
      </c>
      <c r="AB105" s="382">
        <f t="array" ref="AB105">IF($G105=0, INDEX(LS_previous!$D$4:$AY$138, MATCH('Staging Table'!$A105, LS_previous!$B$4:$B$138, 0), MATCH(AB$4&amp;AB$5, LS_previous!$D$2:$AY$2&amp;LS_previous!$D$3:$AY$3, 0)),SUM(VLOOKUP($A105, LS_previous!$B$4:$AY$138, LS_previous!T$149, FALSE), VLOOKUP('Staging Table'!$A105, LS_previous!$B$4:$AY$138,LS_previous!AR$149, FALSE))/2)</f>
        <v>-1051.219125098778</v>
      </c>
      <c r="AC105" s="382">
        <f t="array" ref="AC105">IF($G105=0, INDEX(LS_previous!$D$4:$AY$138, MATCH('Staging Table'!$A105, LS_previous!$B$4:$B$138, 0), MATCH(AC$4&amp;AC$5, LS_previous!$D$2:$AY$2&amp;LS_previous!$D$3:$AY$3, 0)),SUM(VLOOKUP($A105, LS_previous!$B$4:$AY$138, LS_previous!U$149, FALSE), VLOOKUP('Staging Table'!$A105, LS_previous!$B$4:$AY$138,LS_previous!AS$149, FALSE))/2)</f>
        <v>-52.573754812699008</v>
      </c>
      <c r="AD105" s="382">
        <f t="array" ref="AD105">IF($G105=0, INDEX(LS_previous!$D$4:$AY$138, MATCH('Staging Table'!$A105, LS_previous!$B$4:$B$138, 0), MATCH(AD$4&amp;AD$5, LS_previous!$D$2:$AY$2&amp;LS_previous!$D$3:$AY$3, 0)),SUM(VLOOKUP($A105, LS_previous!$B$4:$AY$138, LS_previous!V$149, FALSE), VLOOKUP('Staging Table'!$A105, LS_previous!$B$4:$AY$138,LS_previous!AT$149, FALSE))/2)</f>
        <v>-70.949490122486168</v>
      </c>
      <c r="AE105" s="382">
        <f t="array" ref="AE105">IF($G105=0, INDEX(LS_previous!$D$4:$AY$138, MATCH('Staging Table'!$A105, LS_previous!$B$4:$B$138, 0), MATCH(AE$4&amp;AE$5, LS_previous!$D$2:$AY$2&amp;LS_previous!$D$3:$AY$3, 0)),SUM(VLOOKUP($A105, LS_previous!$B$4:$AY$138, LS_previous!W$149, FALSE), VLOOKUP('Staging Table'!$A105, LS_previous!$B$4:$AY$138,LS_previous!AU$149, FALSE))/2)</f>
        <v>914.64138021912822</v>
      </c>
      <c r="AF105" s="382">
        <f t="array" ref="AF105">IF($G105=0, INDEX(LS_previous!$D$4:$AY$138, MATCH('Staging Table'!$A105, LS_previous!$B$4:$B$138, 0), MATCH(AF$4&amp;AF$5, LS_previous!$D$2:$AY$2&amp;LS_previous!$D$3:$AY$3, 0)),SUM(VLOOKUP($A105, LS_previous!$B$4:$AY$138, LS_previous!X$149, FALSE), VLOOKUP('Staging Table'!$A105, LS_previous!$B$4:$AY$138,LS_previous!AV$149, FALSE))/2)</f>
        <v>-952.22906588805108</v>
      </c>
      <c r="AG105" s="382">
        <f t="array" ref="AG105">IF($G105=0, INDEX(LS_previous!$D$4:$AY$138, MATCH('Staging Table'!$A105, LS_previous!$B$4:$B$138, 0), MATCH(AG$4&amp;AG$5, LS_previous!$D$2:$AY$2&amp;LS_previous!$D$3:$AY$3, 0)),SUM(VLOOKUP($A105, LS_previous!$B$4:$AY$138, LS_previous!Y$149, FALSE), VLOOKUP('Staging Table'!$A105, LS_previous!$B$4:$AY$138,LS_previous!AW$149, FALSE))/2)</f>
        <v>277.76959132879074</v>
      </c>
      <c r="AH105" s="382">
        <f t="array" ref="AH105">IF($G105=0, INDEX(LS_previous!$D$4:$AY$138, MATCH('Staging Table'!$A105, LS_previous!$B$4:$B$138, 0), MATCH(AH$4&amp;AH$5, LS_previous!$D$2:$AY$2&amp;LS_previous!$D$3:$AY$3, 0)),SUM(VLOOKUP($A105, LS_previous!$B$4:$AY$138, LS_previous!Z$149, FALSE), VLOOKUP('Staging Table'!$A105, LS_previous!$B$4:$AY$138,LS_previous!AX$149, FALSE))/2)</f>
        <v>-1076.8875908143063</v>
      </c>
      <c r="AI105" s="382">
        <f t="array" ref="AI105">IF($G105=0, INDEX(LS_previous!$D$4:$AY$138, MATCH('Staging Table'!$A105, LS_previous!$B$4:$B$138, 0), MATCH(AI$4&amp;AI$5, LS_previous!$D$2:$AY$2&amp;LS_previous!$D$3:$AY$3, 0)),SUM(VLOOKUP($A105, LS_previous!$B$4:$AY$138, LS_previous!AA$149, FALSE), VLOOKUP('Staging Table'!$A105, LS_previous!$B$4:$AY$138,LS_previous!AY$149, FALSE))/2)</f>
        <v>-279.25971187590949</v>
      </c>
      <c r="AJ105" s="384">
        <f t="array" ref="AJ105">INDEX(Demand_previous!$D$4:$AY$138, MATCH('Staging Table'!$A105, Demand_previous!$B$4:$B$138, 0), MATCH(AJ$4&amp;AJ$5,Demand_previous!$D$2:$AY$2&amp;Demand_previous!$D$3:$AY$3, 0))/1000</f>
        <v>1.7177523148148168</v>
      </c>
      <c r="AK105" s="384">
        <f t="array" ref="AK105">INDEX(Demand_previous!$D$4:$AY$138, MATCH('Staging Table'!$A105, Demand_previous!$B$4:$B$138, 0), MATCH(AK$4&amp;AK$5,Demand_previous!$D$2:$AY$2&amp;Demand_previous!$D$3:$AY$3, 0))/1000</f>
        <v>2.7359479166666683</v>
      </c>
      <c r="AL105" s="384">
        <f t="array" ref="AL105">INDEX(Demand_previous!$D$4:$AY$138, MATCH('Staging Table'!$A105, Demand_previous!$B$4:$B$138, 0), MATCH(AL$4&amp;AL$5,Demand_previous!$D$2:$AY$2&amp;Demand_previous!$D$3:$AY$3, 0))/1000</f>
        <v>4.8001754807692283</v>
      </c>
      <c r="AM105" s="384">
        <f t="array" ref="AM105">INDEX(Demand_previous!$D$4:$AY$138, MATCH('Staging Table'!$A105, Demand_previous!$B$4:$B$138, 0), MATCH(AM$4&amp;AM$5,Demand_previous!$D$2:$AY$2&amp;Demand_previous!$D$3:$AY$3, 0))/1000</f>
        <v>3.2927124999999995</v>
      </c>
      <c r="AN105" s="384">
        <f t="array" ref="AN105">INDEX(Demand_previous!$D$4:$AY$138, MATCH('Staging Table'!$A105, Demand_previous!$B$4:$B$138, 0), MATCH(AN$4&amp;AN$5,Demand_previous!$D$2:$AY$2&amp;Demand_previous!$D$3:$AY$3, 0))/1000</f>
        <v>1.8112800000000018</v>
      </c>
      <c r="AO105" s="384">
        <f t="array" ref="AO105">INDEX(Demand_previous!$D$4:$AY$138, MATCH('Staging Table'!$A105, Demand_previous!$B$4:$B$138, 0), MATCH(AO$4&amp;AO$5,Demand_previous!$D$2:$AY$2&amp;Demand_previous!$D$3:$AY$3, 0))/1000</f>
        <v>3.0359791666666673</v>
      </c>
      <c r="AP105" s="384">
        <f t="array" ref="AP105">INDEX(Demand_previous!$D$4:$AY$138, MATCH('Staging Table'!$A105, Demand_previous!$B$4:$B$138, 0), MATCH(AP$4&amp;AP$5,Demand_previous!$D$2:$AY$2&amp;Demand_previous!$D$3:$AY$3, 0))/1000</f>
        <v>4.2915889423076932</v>
      </c>
      <c r="AQ105" s="384">
        <f t="array" ref="AQ105">INDEX(Demand_previous!$D$4:$AY$138, MATCH('Staging Table'!$A105, Demand_previous!$B$4:$B$138, 0), MATCH(AQ$4&amp;AQ$5,Demand_previous!$D$2:$AY$2&amp;Demand_previous!$D$3:$AY$3, 0))/1000</f>
        <v>3.1168625000000021</v>
      </c>
      <c r="AR105" s="384">
        <f t="array" ref="AR105">INDEX(Demand_previous!$D$4:$AY$138, MATCH('Staging Table'!$A105, Demand_previous!$B$4:$B$138, 0), MATCH(AR$4&amp;AR$5,Demand_previous!$D$2:$AY$2&amp;Demand_previous!$D$3:$AY$3, 0))/1000</f>
        <v>4.1703485576923063</v>
      </c>
      <c r="AS105" s="384">
        <f t="array" ref="AS105">INDEX(Demand_previous!$D$4:$AY$138, MATCH('Staging Table'!$A105, Demand_previous!$B$4:$B$138, 0), MATCH(AS$4&amp;AS$5,Demand_previous!$D$2:$AY$2&amp;Demand_previous!$D$3:$AY$3, 0))/1000</f>
        <v>2.2297074999999982</v>
      </c>
      <c r="AT105" s="384">
        <f t="array" ref="AT105">INDEX(Demand_previous!$D$4:$AY$138, MATCH('Staging Table'!$A105, Demand_previous!$B$4:$B$138, 0), MATCH(AT$4&amp;AT$5,Demand_previous!$D$2:$AY$2&amp;Demand_previous!$D$3:$AY$3, 0))/1000</f>
        <v>3.9279282407407425</v>
      </c>
      <c r="AU105" s="384">
        <f t="array" ref="AU105">INDEX(Demand_previous!$D$4:$AY$138, MATCH('Staging Table'!$A105, Demand_previous!$B$4:$B$138, 0), MATCH(AU$4&amp;AU$5,Demand_previous!$D$2:$AY$2&amp;Demand_previous!$D$3:$AY$3, 0))/1000</f>
        <v>3.0310725000000023</v>
      </c>
      <c r="AV105" s="384">
        <f>IF($D105=0,IF(C105=0, MAX(AY105 - (VLOOKUP($A105,TOCA_previous!$A$2:$AI$137,MATCH("RHWM 2016",TOCA_previous!$A$2:$AI$2,0),FALSE)*$F$2*TOCA_previous!C102),0),0), 0)</f>
        <v>0</v>
      </c>
      <c r="AW105" s="427">
        <f>VLOOKUP($A105,REP_previous!$A$1:$D$135,MATCH("FY "&amp;$F$1&amp; " Total Refund",REP_previous!$A$1:$D$1,0),0)</f>
        <v>102551.82049945224</v>
      </c>
      <c r="AX105" s="398">
        <f>MIN(VLOOKUP($A105,TOCA_previous!$A$2:$AI$137,MATCH("TRL - NLSL - Exisiting Resource "&amp;$F$1,TOCA_previous!$A$2:$AI$2,0),FALSE)*$F$2,(VLOOKUP($A105,TOCA_previous!$A$2:$AI$137,MATCH("RHWM 2016",TOCA_previous!$A$2:$AI$2,0),FALSE)*$F$2))</f>
        <v>161045.856</v>
      </c>
      <c r="AY105" s="384">
        <f>SUM(L105:AI105)+(F105*RT1SC!$C$3*$F$2)</f>
        <v>160586.85737907392</v>
      </c>
      <c r="AZ105" s="398">
        <f>VLOOKUP($A105,TOCA_previous!$A$2:$AI$137,MATCH("Above RHWM Not Served with LS "&amp;$F$1,TOCA_previous!$A$2:$AI$2,0),FALSE)*$F$2</f>
        <v>0</v>
      </c>
      <c r="BA105" s="206">
        <f t="shared" si="19"/>
        <v>-458.99862092608237</v>
      </c>
      <c r="BB105" s="399">
        <f>(VLOOKUP($A105,TOCA_previous!$A$2:$AI$137,MATCH("RHWM 2016",TOCA_previous!$A$2:$AI$2,0),FALSE)*$F$2) - $AX105</f>
        <v>0</v>
      </c>
      <c r="BC105" s="206">
        <f t="shared" si="20"/>
        <v>0</v>
      </c>
      <c r="BD105" s="400">
        <f t="shared" si="21"/>
        <v>458.99862092608237</v>
      </c>
      <c r="BE105" s="392">
        <f t="shared" si="22"/>
        <v>0</v>
      </c>
      <c r="BF105" s="399">
        <f t="shared" si="23"/>
        <v>458.99862092608237</v>
      </c>
      <c r="BG105" s="206">
        <f>VLOOKUP($A105,TOCA_current!$A$2:$AI$137,MATCH(BG$4,TOCA_current!$A$2:$AI$2,0),FALSE)</f>
        <v>2.6232E-3</v>
      </c>
      <c r="BH105" s="206">
        <f>VLOOKUP($A105,TOCA_current!$A$2:$AI$137,MATCH(BH$4,TOCA_current!$A$2:$AI$2,0),FALSE)</f>
        <v>2.6232E-3</v>
      </c>
      <c r="BI105" s="391">
        <f t="shared" si="24"/>
        <v>0</v>
      </c>
      <c r="BJ105" s="206">
        <f>VLOOKUP($A105,TOCA_current!A101:BG236,MATCH(BJ$4,TOCA_current!$A$2:$BG$2,0),FALSE)</f>
        <v>6.6876715336480402E-2</v>
      </c>
      <c r="BK105" s="206">
        <f t="shared" si="25"/>
        <v>0</v>
      </c>
      <c r="BL105" s="206">
        <f t="shared" si="26"/>
        <v>0</v>
      </c>
      <c r="BM105" s="381">
        <f>VLOOKUP($A105,IRD!$A$4:$G$139, 7, FALSE)</f>
        <v>0</v>
      </c>
      <c r="BN105" s="382">
        <f t="array" ref="BN105">IF($BI105=0, INDEX(LS_current!$D$4:$AY$139, MATCH('Staging Table'!$A105, LS_current!$B$4:$B$139, 0), MATCH(BN$4&amp;BN$5, LS_current!$D$2:$AY$2&amp;LS_current!$D$3:$AY$3, 0)),SUM(VLOOKUP($A105, LS_current!$B$4:$AY$139, LS_current!D$149, FALSE), VLOOKUP($A105, LS_current!$B$4:$AY$139,LS_current!D$149, FALSE))/2)</f>
        <v>-1316.3510749914994</v>
      </c>
      <c r="BO105" s="382">
        <f t="array" ref="BO105">IF($BI105=0, INDEX(LS_current!$D$4:$AY$139, MATCH('Staging Table'!$A105, LS_current!$B$4:$B$139, 0), MATCH(BO$4&amp;BO$5, LS_current!$D$2:$AY$2&amp;LS_current!$D$3:$AY$3, 0)),SUM(VLOOKUP($A105, LS_current!$B$4:$AY$139, LS_current!E$149, FALSE), VLOOKUP($A105, LS_current!$B$4:$AY$139,LS_current!E$149, FALSE))/2)</f>
        <v>-406.63714330863786</v>
      </c>
      <c r="BP105" s="382">
        <f t="array" ref="BP105">IF($BI105=0, INDEX(LS_current!$D$4:$AY$139, MATCH('Staging Table'!$A105, LS_current!$B$4:$B$139, 0), MATCH(BP$4&amp;BP$5, LS_current!$D$2:$AY$2&amp;LS_current!$D$3:$AY$3, 0)),SUM(VLOOKUP($A105, LS_current!$B$4:$AY$139, LS_current!F$149, FALSE), VLOOKUP($A105, LS_current!$B$4:$AY$139,LS_current!F$149, FALSE))/2)</f>
        <v>-858.02411643099185</v>
      </c>
      <c r="BQ105" s="382">
        <f t="array" ref="BQ105">IF($BI105=0, INDEX(LS_current!$D$4:$AY$139, MATCH('Staging Table'!$A105, LS_current!$B$4:$B$139, 0), MATCH(BQ$4&amp;BQ$5, LS_current!$D$2:$AY$2&amp;LS_current!$D$3:$AY$3, 0)),SUM(VLOOKUP($A105, LS_current!$B$4:$AY$139, LS_current!G$149, FALSE), VLOOKUP($A105, LS_current!$B$4:$AY$139,LS_current!G$149, FALSE))/2)</f>
        <v>750.37255385431945</v>
      </c>
      <c r="BR105" s="382">
        <f t="array" ref="BR105">IF($BI105=0, INDEX(LS_current!$D$4:$AY$139, MATCH('Staging Table'!$A105, LS_current!$B$4:$B$139, 0), MATCH(BR$4&amp;BR$5, LS_current!$D$2:$AY$2&amp;LS_current!$D$3:$AY$3, 0)),SUM(VLOOKUP($A105, LS_current!$B$4:$AY$139, LS_current!H$149, FALSE), VLOOKUP($A105, LS_current!$B$4:$AY$139,LS_current!H$149, FALSE))/2)</f>
        <v>1121.6173752564446</v>
      </c>
      <c r="BS105" s="382">
        <f t="array" ref="BS105">IF($BI105=0, INDEX(LS_current!$D$4:$AY$139, MATCH('Staging Table'!$A105, LS_current!$B$4:$B$139, 0), MATCH(BS$4&amp;BS$5, LS_current!$D$2:$AY$2&amp;LS_current!$D$3:$AY$3, 0)),SUM(VLOOKUP($A105, LS_current!$B$4:$AY$139, LS_current!I$149, FALSE), VLOOKUP($A105, LS_current!$B$4:$AY$139,LS_current!I$149, FALSE))/2)</f>
        <v>1771.9197066403967</v>
      </c>
      <c r="BT105" s="382">
        <f t="array" ref="BT105">IF($BI105=0, INDEX(LS_current!$D$4:$AY$139, MATCH('Staging Table'!$A105, LS_current!$B$4:$B$139, 0), MATCH(BT$4&amp;BT$5, LS_current!$D$2:$AY$2&amp;LS_current!$D$3:$AY$3, 0)),SUM(VLOOKUP($A105, LS_current!$B$4:$AY$139, LS_current!J$149, FALSE), VLOOKUP($A105, LS_current!$B$4:$AY$139,LS_current!J$149, FALSE))/2)</f>
        <v>1930.0960950643266</v>
      </c>
      <c r="BU105" s="382">
        <f t="array" ref="BU105">IF($BI105=0, INDEX(LS_current!$D$4:$AY$139, MATCH('Staging Table'!$A105, LS_current!$B$4:$B$139, 0), MATCH(BU$4&amp;BU$5, LS_current!$D$2:$AY$2&amp;LS_current!$D$3:$AY$3, 0)),SUM(VLOOKUP($A105, LS_current!$B$4:$AY$139, LS_current!K$149, FALSE), VLOOKUP($A105, LS_current!$B$4:$AY$139,LS_current!K$149, FALSE))/2)</f>
        <v>2125.4452059679616</v>
      </c>
      <c r="BV105" s="382">
        <f t="array" ref="BV105">IF($BI105=0, INDEX(LS_current!$D$4:$AY$139, MATCH('Staging Table'!$A105, LS_current!$B$4:$B$139, 0), MATCH(BV$4&amp;BV$5, LS_current!$D$2:$AY$2&amp;LS_current!$D$3:$AY$3, 0)),SUM(VLOOKUP($A105, LS_current!$B$4:$AY$139, LS_current!L$149, FALSE), VLOOKUP($A105, LS_current!$B$4:$AY$139,LS_current!L$149, FALSE))/2)</f>
        <v>1307.8135101582557</v>
      </c>
      <c r="BW105" s="382">
        <f t="array" ref="BW105">IF($BI105=0, INDEX(LS_current!$D$4:$AY$139, MATCH('Staging Table'!$A105, LS_current!$B$4:$B$139, 0), MATCH(BW$4&amp;BW$5, LS_current!$D$2:$AY$2&amp;LS_current!$D$3:$AY$3, 0)),SUM(VLOOKUP($A105, LS_current!$B$4:$AY$139, LS_current!M$149, FALSE), VLOOKUP($A105, LS_current!$B$4:$AY$139,LS_current!M$149, FALSE))/2)</f>
        <v>1487.7458958887396</v>
      </c>
      <c r="BX105" s="382">
        <f t="array" ref="BX105">IF($BI105=0, INDEX(LS_current!$D$4:$AY$139, MATCH('Staging Table'!$A105, LS_current!$B$4:$B$139, 0), MATCH(BX$4&amp;BX$5, LS_current!$D$2:$AY$2&amp;LS_current!$D$3:$AY$3, 0)),SUM(VLOOKUP($A105, LS_current!$B$4:$AY$139, LS_current!N$149, FALSE), VLOOKUP($A105, LS_current!$B$4:$AY$139,LS_current!N$149, FALSE))/2)</f>
        <v>-296.91868887199416</v>
      </c>
      <c r="BY105" s="382">
        <f t="array" ref="BY105">IF($BI105=0, INDEX(LS_current!$D$4:$AY$139, MATCH('Staging Table'!$A105, LS_current!$B$4:$B$139, 0), MATCH(BY$4&amp;BY$5, LS_current!$D$2:$AY$2&amp;LS_current!$D$3:$AY$3, 0)),SUM(VLOOKUP($A105, LS_current!$B$4:$AY$139, LS_current!O$149, FALSE), VLOOKUP($A105, LS_current!$B$4:$AY$139,LS_current!O$149, FALSE))/2)</f>
        <v>575.31426787951295</v>
      </c>
      <c r="BZ105" s="382">
        <f t="array" ref="BZ105">IF($BI105=0, INDEX(LS_current!$D$4:$AY$139, MATCH('Staging Table'!$A105, LS_current!$B$4:$B$139, 0), MATCH(BZ$4&amp;BZ$5, LS_current!$D$2:$AY$2&amp;LS_current!$D$3:$AY$3, 0)),SUM(VLOOKUP($A105, LS_current!$B$4:$AY$139, LS_current!P$149, FALSE), VLOOKUP($A105, LS_current!$B$4:$AY$139,LS_current!P$149, FALSE))/2)</f>
        <v>-689.07678392823527</v>
      </c>
      <c r="CA105" s="382">
        <f t="array" ref="CA105">IF($BI105=0, INDEX(LS_current!$D$4:$AY$139, MATCH('Staging Table'!$A105, LS_current!$B$4:$B$139, 0), MATCH(CA$4&amp;CA$5, LS_current!$D$2:$AY$2&amp;LS_current!$D$3:$AY$3, 0)),SUM(VLOOKUP($A105, LS_current!$B$4:$AY$139, LS_current!Q$149, FALSE), VLOOKUP($A105, LS_current!$B$4:$AY$139,LS_current!Q$149, FALSE))/2)</f>
        <v>296.64973392175762</v>
      </c>
      <c r="CB105" s="382">
        <f t="array" ref="CB105">IF($BI105=0, INDEX(LS_current!$D$4:$AY$139, MATCH('Staging Table'!$A105, LS_current!$B$4:$B$139, 0), MATCH(CB$4&amp;CB$5, LS_current!$D$2:$AY$2&amp;LS_current!$D$3:$AY$3, 0)),SUM(VLOOKUP($A105, LS_current!$B$4:$AY$139, LS_current!R$149, FALSE), VLOOKUP($A105, LS_current!$B$4:$AY$139,LS_current!R$149, FALSE))/2)</f>
        <v>-3936.8297422157711</v>
      </c>
      <c r="CC105" s="382">
        <f t="array" ref="CC105">IF($BI105=0, INDEX(LS_current!$D$4:$AY$139, MATCH('Staging Table'!$A105, LS_current!$B$4:$B$139, 0), MATCH(CC$4&amp;CC$5, LS_current!$D$2:$AY$2&amp;LS_current!$D$3:$AY$3, 0)),SUM(VLOOKUP($A105, LS_current!$B$4:$AY$139, LS_current!S$149, FALSE), VLOOKUP($A105, LS_current!$B$4:$AY$139,LS_current!S$149, FALSE))/2)</f>
        <v>-1336.9413419863085</v>
      </c>
      <c r="CD105" s="382">
        <f t="array" ref="CD105">IF($BI105=0, INDEX(LS_current!$D$4:$AY$139, MATCH('Staging Table'!$A105, LS_current!$B$4:$B$139, 0), MATCH(CD$4&amp;CD$5, LS_current!$D$2:$AY$2&amp;LS_current!$D$3:$AY$3, 0)),SUM(VLOOKUP($A105, LS_current!$B$4:$AY$139, LS_current!T$149, FALSE), VLOOKUP($A105, LS_current!$B$4:$AY$139,LS_current!T$149, FALSE))/2)</f>
        <v>-1000.616406973726</v>
      </c>
      <c r="CE105" s="382">
        <f t="array" ref="CE105">IF($BI105=0, INDEX(LS_current!$D$4:$AY$139, MATCH('Staging Table'!$A105, LS_current!$B$4:$B$139, 0), MATCH(CE$4&amp;CE$5, LS_current!$D$2:$AY$2&amp;LS_current!$D$3:$AY$3, 0)),SUM(VLOOKUP($A105, LS_current!$B$4:$AY$139, LS_current!U$149, FALSE), VLOOKUP($A105, LS_current!$B$4:$AY$139,LS_current!U$149, FALSE))/2)</f>
        <v>315.35028647248964</v>
      </c>
      <c r="CF105" s="382">
        <f t="array" ref="CF105">IF($BI105=0, INDEX(LS_current!$D$4:$AY$139, MATCH('Staging Table'!$A105, LS_current!$B$4:$B$139, 0), MATCH(CF$4&amp;CF$5, LS_current!$D$2:$AY$2&amp;LS_current!$D$3:$AY$3, 0)),SUM(VLOOKUP($A105, LS_current!$B$4:$AY$139, LS_current!V$149, FALSE), VLOOKUP($A105, LS_current!$B$4:$AY$139,LS_current!V$149, FALSE))/2)</f>
        <v>453.05812293329382</v>
      </c>
      <c r="CG105" s="382">
        <f t="array" ref="CG105">IF($BI105=0, INDEX(LS_current!$D$4:$AY$139, MATCH('Staging Table'!$A105, LS_current!$B$4:$B$139, 0), MATCH(CG$4&amp;CG$5, LS_current!$D$2:$AY$2&amp;LS_current!$D$3:$AY$3, 0)),SUM(VLOOKUP($A105, LS_current!$B$4:$AY$139, LS_current!W$149, FALSE), VLOOKUP($A105, LS_current!$B$4:$AY$139,LS_current!W$149, FALSE))/2)</f>
        <v>1239.0596686392455</v>
      </c>
      <c r="CH105" s="382">
        <f t="array" ref="CH105">IF($BI105=0, INDEX(LS_current!$D$4:$AY$139, MATCH('Staging Table'!$A105, LS_current!$B$4:$B$139, 0), MATCH(CH$4&amp;CH$5, LS_current!$D$2:$AY$2&amp;LS_current!$D$3:$AY$3, 0)),SUM(VLOOKUP($A105, LS_current!$B$4:$AY$139, LS_current!X$149, FALSE), VLOOKUP($A105, LS_current!$B$4:$AY$139,LS_current!X$149, FALSE))/2)</f>
        <v>-898.5154370787759</v>
      </c>
      <c r="CI105" s="382">
        <f t="array" ref="CI105">IF($BI105=0, INDEX(LS_current!$D$4:$AY$139, MATCH('Staging Table'!$A105, LS_current!$B$4:$B$139, 0), MATCH(CI$4&amp;CI$5, LS_current!$D$2:$AY$2&amp;LS_current!$D$3:$AY$3, 0)),SUM(VLOOKUP($A105, LS_current!$B$4:$AY$139, LS_current!Y$149, FALSE), VLOOKUP($A105, LS_current!$B$4:$AY$139,LS_current!Y$149, FALSE))/2)</f>
        <v>427.67972166532127</v>
      </c>
      <c r="CJ105" s="382">
        <f t="array" ref="CJ105">IF($BI105=0, INDEX(LS_current!$D$4:$AY$139, MATCH('Staging Table'!$A105, LS_current!$B$4:$B$139, 0), MATCH(CJ$4&amp;CJ$5, LS_current!$D$2:$AY$2&amp;LS_current!$D$3:$AY$3, 0)),SUM(VLOOKUP($A105, LS_current!$B$4:$AY$139, LS_current!Z$149, FALSE), VLOOKUP($A105, LS_current!$B$4:$AY$139,LS_current!Z$149, FALSE))/2)</f>
        <v>-1800.0726098627083</v>
      </c>
      <c r="CK105" s="382">
        <f t="array" ref="CK105">IF($BI105=0, INDEX(LS_current!$D$4:$AY$139, MATCH('Staging Table'!$A105, LS_current!$B$4:$B$139, 0), MATCH(CK$4&amp;CK$5, LS_current!$D$2:$AY$2&amp;LS_current!$D$3:$AY$3, 0)),SUM(VLOOKUP($A105, LS_current!$B$4:$AY$139, LS_current!AA$149, FALSE), VLOOKUP($A105, LS_current!$B$4:$AY$139,LS_current!AA$149, FALSE))/2)</f>
        <v>-262.50690872589985</v>
      </c>
      <c r="CL105" s="384">
        <f t="array" ref="CL105">INDEX(Demand_current!$D$4:$AY$138, MATCH($A105, Demand_current!$B$4:$B$138, 0), MATCH(CL$4&amp;CL$5,Demand_current!$D$2:$AY$2&amp;Demand_current!$D$3:$AY$3, 0))/1000</f>
        <v>1.1227043269230794</v>
      </c>
      <c r="CM105" s="384">
        <f t="array" ref="CM105">INDEX(Demand_current!$D$4:$AY$138, MATCH($A105, Demand_current!$B$4:$B$138, 0), MATCH(CM$4&amp;CM$5,Demand_current!$D$2:$AY$2&amp;Demand_current!$D$3:$AY$3, 0))/1000</f>
        <v>3.6443500000000038</v>
      </c>
      <c r="CN105" s="384">
        <f t="array" ref="CN105">INDEX(Demand_current!$D$4:$AY$138, MATCH($A105, Demand_current!$B$4:$B$138, 0), MATCH(CN$4&amp;CN$5,Demand_current!$D$2:$AY$2&amp;Demand_current!$D$3:$AY$3, 0))/1000</f>
        <v>3.792702499999999</v>
      </c>
      <c r="CO105" s="384">
        <f t="array" ref="CO105">INDEX(Demand_current!$D$4:$AY$138, MATCH($A105, Demand_current!$B$4:$B$138, 0), MATCH(CO$4&amp;CO$5,Demand_current!$D$2:$AY$2&amp;Demand_current!$D$3:$AY$3, 0))/1000</f>
        <v>4.2406081730769207</v>
      </c>
      <c r="CP105" s="384">
        <f t="array" ref="CP105">INDEX(Demand_current!$D$4:$AY$138, MATCH($A105, Demand_current!$B$4:$B$138, 0), MATCH(CP$4&amp;CP$5,Demand_current!$D$2:$AY$2&amp;Demand_current!$D$3:$AY$3, 0))/1000</f>
        <v>0.98283333333333367</v>
      </c>
      <c r="CQ105" s="384">
        <f t="array" ref="CQ105">INDEX(Demand_current!$D$4:$AY$138, MATCH($A105, Demand_current!$B$4:$B$138, 0), MATCH(CQ$4&amp;CQ$5,Demand_current!$D$2:$AY$2&amp;Demand_current!$D$3:$AY$3, 0))/1000</f>
        <v>3.0359791666666673</v>
      </c>
      <c r="CR105" s="384">
        <f t="array" ref="CR105">INDEX(Demand_current!$D$4:$AY$138, MATCH($A105, Demand_current!$B$4:$B$138, 0), MATCH(CR$4&amp;CR$5,Demand_current!$D$2:$AY$2&amp;Demand_current!$D$3:$AY$3, 0))/1000</f>
        <v>3.6175725000000005</v>
      </c>
      <c r="CS105" s="384">
        <f t="array" ref="CS105">INDEX(Demand_current!$D$4:$AY$138, MATCH($A105, Demand_current!$B$4:$B$138, 0), MATCH(CS$4&amp;CS$5,Demand_current!$D$2:$AY$2&amp;Demand_current!$D$3:$AY$3, 0))/1000</f>
        <v>3.8149062500000022</v>
      </c>
      <c r="CT105" s="384">
        <f t="array" ref="CT105">INDEX(Demand_current!$D$4:$AY$138, MATCH($A105, Demand_current!$B$4:$B$138, 0), MATCH(CT$4&amp;CT$5,Demand_current!$D$2:$AY$2&amp;Demand_current!$D$3:$AY$3, 0))/1000</f>
        <v>4.1703485576923063</v>
      </c>
      <c r="CU105" s="384">
        <f t="array" ref="CU105">INDEX(Demand_current!$D$4:$AY$138, MATCH($A105, Demand_current!$B$4:$B$138, 0), MATCH(CU$4&amp;CU$5,Demand_current!$D$2:$AY$2&amp;Demand_current!$D$3:$AY$3, 0))/1000</f>
        <v>2.2297074999999982</v>
      </c>
      <c r="CV105" s="384">
        <f t="array" ref="CV105">INDEX(Demand_current!$D$4:$AY$138, MATCH($A105, Demand_current!$B$4:$B$138, 0), MATCH(CV$4&amp;CV$5,Demand_current!$D$2:$AY$2&amp;Demand_current!$D$3:$AY$3, 0))/1000</f>
        <v>3.9279282407407425</v>
      </c>
      <c r="CW105" s="384">
        <f t="array" ref="CW105">INDEX(Demand_current!$D$4:$AY$138, MATCH($A105, Demand_current!$B$4:$B$138, 0), MATCH(CW$4&amp;CW$5,Demand_current!$D$2:$AY$2&amp;Demand_current!$D$3:$AY$3, 0))/1000</f>
        <v>2.4054505208333357</v>
      </c>
      <c r="CX105" s="384">
        <f>IF(D105=0,IF(C105=0,MAX(0,DA105 - (VLOOKUP($A105,TOCA_current!$A$2:$AI$137,MATCH("RHWM 2018",TOCA_current!$A$2:$AI$2,0),FALSE)*$BH$2)), 0),0)</f>
        <v>997.17932823949377</v>
      </c>
      <c r="CY105" s="427">
        <f>VLOOKUP($A105,REP_current!$A$1:$D$135,MATCH("FY "&amp;$BH$1&amp; " Total Refund",REP_current!$A$1:$D$1,0),0)</f>
        <v>104055.3527176475</v>
      </c>
      <c r="CZ105" s="432">
        <f>MIN(VLOOKUP($A105,TOCA_current!$A$2:$AI$137,MATCH("TRL - NLSL - Existing Resource "&amp;$BH$1,TOCA_current!$A$2:$AI$2,0),FALSE)*$BH$2, VLOOKUP($A105,TOCA_current!$A$2:$AI$137,MATCH("RHWM 2018",TOCA_current!$A$2:$AI$2,0),FALSE)*$BH$2)</f>
        <v>159589.68</v>
      </c>
      <c r="DA105" s="397">
        <f>SUM(BN105:CK105)+(BH105*RT1SC!$C$4*$BH$2)</f>
        <v>160586.85932823949</v>
      </c>
      <c r="DB105" s="432">
        <f>VLOOKUP($A105,TOCA_current!$A$2:$AI$137,MATCH("Above RHWM Not Served with LS "&amp;$BH$1,TOCA_current!$A$2:$AI$2,0),FALSE)*$BH$2</f>
        <v>0</v>
      </c>
      <c r="DC105" s="401">
        <f t="shared" si="27"/>
        <v>997.17932823949377</v>
      </c>
      <c r="DD105" s="397">
        <f>(VLOOKUP($A105,TOCA_current!$A$2:$AI$137,MATCH("RHWM 2018",TOCA_current!$A$2:$AI$2,0),FALSE)*$BH$2) - $CZ105</f>
        <v>0</v>
      </c>
      <c r="DE105" s="397">
        <f t="shared" si="28"/>
        <v>0</v>
      </c>
      <c r="DF105" s="397">
        <f t="shared" si="29"/>
        <v>0</v>
      </c>
      <c r="DG105" s="397">
        <f t="shared" si="30"/>
        <v>0</v>
      </c>
      <c r="DH105" s="397">
        <f t="shared" si="31"/>
        <v>0</v>
      </c>
    </row>
    <row r="106" spans="1:112">
      <c r="A106" s="274">
        <v>10338</v>
      </c>
      <c r="B106" s="275" t="s">
        <v>107</v>
      </c>
      <c r="C106" s="397">
        <v>0</v>
      </c>
      <c r="D106" s="397">
        <v>0</v>
      </c>
      <c r="E106" s="205">
        <f>VLOOKUP($A106,TOCA_previous!$A$2:$AI$137,MATCH(E$4,TOCA_previous!$A$2:$AI$2,0),FALSE)</f>
        <v>3.3639999999999999E-4</v>
      </c>
      <c r="F106" s="206">
        <f>VLOOKUP($A106,TOCA_previous!$A$2:$AI$137,MATCH(F$4,TOCA_previous!$A$2:$AI$2,0),FALSE)</f>
        <v>3.3639999999999999E-4</v>
      </c>
      <c r="G106" s="206">
        <f t="shared" si="16"/>
        <v>0</v>
      </c>
      <c r="H106" s="206">
        <f>VLOOKUP($A106,TOCA_previous!$A$2:$AI$137,MATCH(H$4,TOCA_previous!$A$2:$AI$2,0),FALSE)</f>
        <v>4.2610000000000002E-2</v>
      </c>
      <c r="I106" s="206">
        <f t="shared" si="17"/>
        <v>0</v>
      </c>
      <c r="J106" s="206">
        <f t="shared" si="18"/>
        <v>0</v>
      </c>
      <c r="K106" s="381">
        <f>VLOOKUP(A106, IRD!$A$5:$C$139, 3, FALSE)</f>
        <v>4155.21</v>
      </c>
      <c r="L106" s="382">
        <f t="array" ref="L106">IF($G106=0, INDEX(LS_previous!$D$4:$AY$138, MATCH('Staging Table'!$A106, LS_previous!$B$4:$B$138, 0), MATCH(L$4&amp;L$5, LS_previous!$D$2:$AY$2&amp;LS_previous!$D$3:$AY$3, 0)),SUM(VLOOKUP($A106, LS_previous!$B$4:$AY$138, LS_previous!D$149, FALSE), VLOOKUP('Staging Table'!$A106, LS_previous!$B$4:$AY$138,LS_previous!AB$149, FALSE))/2)</f>
        <v>-366.72442327031843</v>
      </c>
      <c r="M106" s="382">
        <f t="array" ref="M106">IF($G106=0, INDEX(LS_previous!$D$4:$AY$138, MATCH('Staging Table'!$A106, LS_previous!$B$4:$B$138, 0), MATCH(M$4&amp;M$5, LS_previous!$D$2:$AY$2&amp;LS_previous!$D$3:$AY$3, 0)),SUM(VLOOKUP($A106, LS_previous!$B$4:$AY$138, LS_previous!E$149, FALSE), VLOOKUP('Staging Table'!$A106, LS_previous!$B$4:$AY$138,LS_previous!AC$149, FALSE))/2)</f>
        <v>-117.26273157068033</v>
      </c>
      <c r="N106" s="382">
        <f t="array" ref="N106">IF($G106=0, INDEX(LS_previous!$D$4:$AY$138, MATCH('Staging Table'!$A106, LS_previous!$B$4:$B$138, 0), MATCH(N$4&amp;N$5, LS_previous!$D$2:$AY$2&amp;LS_previous!$D$3:$AY$3, 0)),SUM(VLOOKUP($A106, LS_previous!$B$4:$AY$138, LS_previous!F$149, FALSE), VLOOKUP('Staging Table'!$A106, LS_previous!$B$4:$AY$138,LS_previous!AD$149, FALSE))/2)</f>
        <v>-410.88273604159008</v>
      </c>
      <c r="O106" s="382">
        <f t="array" ref="O106">IF($G106=0, INDEX(LS_previous!$D$4:$AY$138, MATCH('Staging Table'!$A106, LS_previous!$B$4:$B$138, 0), MATCH(O$4&amp;O$5, LS_previous!$D$2:$AY$2&amp;LS_previous!$D$3:$AY$3, 0)),SUM(VLOOKUP($A106, LS_previous!$B$4:$AY$138, LS_previous!G$149, FALSE), VLOOKUP('Staging Table'!$A106, LS_previous!$B$4:$AY$138,LS_previous!AE$149, FALSE))/2)</f>
        <v>-110.53057622843119</v>
      </c>
      <c r="P106" s="382">
        <f t="array" ref="P106">IF($G106=0, INDEX(LS_previous!$D$4:$AY$138, MATCH('Staging Table'!$A106, LS_previous!$B$4:$B$138, 0), MATCH(P$4&amp;P$5, LS_previous!$D$2:$AY$2&amp;LS_previous!$D$3:$AY$3, 0)),SUM(VLOOKUP($A106, LS_previous!$B$4:$AY$138, LS_previous!H$149, FALSE), VLOOKUP('Staging Table'!$A106, LS_previous!$B$4:$AY$138,LS_previous!AF$149, FALSE))/2)</f>
        <v>-80.295841740066862</v>
      </c>
      <c r="Q106" s="382">
        <f t="array" ref="Q106">IF($G106=0, INDEX(LS_previous!$D$4:$AY$138, MATCH('Staging Table'!$A106, LS_previous!$B$4:$B$138, 0), MATCH(Q$4&amp;Q$5, LS_previous!$D$2:$AY$2&amp;LS_previous!$D$3:$AY$3, 0)),SUM(VLOOKUP($A106, LS_previous!$B$4:$AY$138, LS_previous!I$149, FALSE), VLOOKUP('Staging Table'!$A106, LS_previous!$B$4:$AY$138,LS_previous!AG$149, FALSE))/2)</f>
        <v>176.25104636739059</v>
      </c>
      <c r="R106" s="382">
        <f t="array" ref="R106">IF($G106=0, INDEX(LS_previous!$D$4:$AY$138, MATCH('Staging Table'!$A106, LS_previous!$B$4:$B$138, 0), MATCH(R$4&amp;R$5, LS_previous!$D$2:$AY$2&amp;LS_previous!$D$3:$AY$3, 0)),SUM(VLOOKUP($A106, LS_previous!$B$4:$AY$138, LS_previous!J$149, FALSE), VLOOKUP('Staging Table'!$A106, LS_previous!$B$4:$AY$138,LS_previous!AH$149, FALSE))/2)</f>
        <v>121.93446268194566</v>
      </c>
      <c r="S106" s="382">
        <f t="array" ref="S106">IF($G106=0, INDEX(LS_previous!$D$4:$AY$138, MATCH('Staging Table'!$A106, LS_previous!$B$4:$B$138, 0), MATCH(S$4&amp;S$5, LS_previous!$D$2:$AY$2&amp;LS_previous!$D$3:$AY$3, 0)),SUM(VLOOKUP($A106, LS_previous!$B$4:$AY$138, LS_previous!K$149, FALSE), VLOOKUP('Staging Table'!$A106, LS_previous!$B$4:$AY$138,LS_previous!AI$149, FALSE))/2)</f>
        <v>250.14237868134217</v>
      </c>
      <c r="T106" s="382">
        <f t="array" ref="T106">IF($G106=0, INDEX(LS_previous!$D$4:$AY$138, MATCH('Staging Table'!$A106, LS_previous!$B$4:$B$138, 0), MATCH(T$4&amp;T$5, LS_previous!$D$2:$AY$2&amp;LS_previous!$D$3:$AY$3, 0)),SUM(VLOOKUP($A106, LS_previous!$B$4:$AY$138, LS_previous!L$149, FALSE), VLOOKUP('Staging Table'!$A106, LS_previous!$B$4:$AY$138,LS_previous!AJ$149, FALSE))/2)</f>
        <v>-15.007253032385847</v>
      </c>
      <c r="U106" s="382">
        <f t="array" ref="U106">IF($G106=0, INDEX(LS_previous!$D$4:$AY$138, MATCH('Staging Table'!$A106, LS_previous!$B$4:$B$138, 0), MATCH(U$4&amp;U$5, LS_previous!$D$2:$AY$2&amp;LS_previous!$D$3:$AY$3, 0)),SUM(VLOOKUP($A106, LS_previous!$B$4:$AY$138, LS_previous!M$149, FALSE), VLOOKUP('Staging Table'!$A106, LS_previous!$B$4:$AY$138,LS_previous!AK$149, FALSE))/2)</f>
        <v>122.2800757172979</v>
      </c>
      <c r="V106" s="382">
        <f t="array" ref="V106">IF($G106=0, INDEX(LS_previous!$D$4:$AY$138, MATCH('Staging Table'!$A106, LS_previous!$B$4:$B$138, 0), MATCH(V$4&amp;V$5, LS_previous!$D$2:$AY$2&amp;LS_previous!$D$3:$AY$3, 0)),SUM(VLOOKUP($A106, LS_previous!$B$4:$AY$138, LS_previous!N$149, FALSE), VLOOKUP('Staging Table'!$A106, LS_previous!$B$4:$AY$138,LS_previous!AL$149, FALSE))/2)</f>
        <v>-274.41487179040018</v>
      </c>
      <c r="W106" s="382">
        <f t="array" ref="W106">IF($G106=0, INDEX(LS_previous!$D$4:$AY$138, MATCH('Staging Table'!$A106, LS_previous!$B$4:$B$138, 0), MATCH(W$4&amp;W$5, LS_previous!$D$2:$AY$2&amp;LS_previous!$D$3:$AY$3, 0)),SUM(VLOOKUP($A106, LS_previous!$B$4:$AY$138, LS_previous!O$149, FALSE), VLOOKUP('Staging Table'!$A106, LS_previous!$B$4:$AY$138,LS_previous!AM$149, FALSE))/2)</f>
        <v>-92.064323549273922</v>
      </c>
      <c r="X106" s="382">
        <f t="array" ref="X106">IF($G106=0, INDEX(LS_previous!$D$4:$AY$138, MATCH('Staging Table'!$A106, LS_previous!$B$4:$B$138, 0), MATCH(X$4&amp;X$5, LS_previous!$D$2:$AY$2&amp;LS_previous!$D$3:$AY$3, 0)),SUM(VLOOKUP($A106, LS_previous!$B$4:$AY$138, LS_previous!P$149, FALSE), VLOOKUP('Staging Table'!$A106, LS_previous!$B$4:$AY$138,LS_previous!AN$149, FALSE))/2)</f>
        <v>-61.015235507167404</v>
      </c>
      <c r="Y106" s="382">
        <f t="array" ref="Y106">IF($G106=0, INDEX(LS_previous!$D$4:$AY$138, MATCH('Staging Table'!$A106, LS_previous!$B$4:$B$138, 0), MATCH(Y$4&amp;Y$5, LS_previous!$D$2:$AY$2&amp;LS_previous!$D$3:$AY$3, 0)),SUM(VLOOKUP($A106, LS_previous!$B$4:$AY$138, LS_previous!Q$149, FALSE), VLOOKUP('Staging Table'!$A106, LS_previous!$B$4:$AY$138,LS_previous!AO$149, FALSE))/2)</f>
        <v>74.956568739161526</v>
      </c>
      <c r="Z106" s="382">
        <f t="array" ref="Z106">IF($G106=0, INDEX(LS_previous!$D$4:$AY$138, MATCH('Staging Table'!$A106, LS_previous!$B$4:$B$138, 0), MATCH(Z$4&amp;Z$5, LS_previous!$D$2:$AY$2&amp;LS_previous!$D$3:$AY$3, 0)),SUM(VLOOKUP($A106, LS_previous!$B$4:$AY$138, LS_previous!R$149, FALSE), VLOOKUP('Staging Table'!$A106, LS_previous!$B$4:$AY$138,LS_previous!AP$149, FALSE))/2)</f>
        <v>-293.20795039972813</v>
      </c>
      <c r="AA106" s="382">
        <f t="array" ref="AA106">IF($G106=0, INDEX(LS_previous!$D$4:$AY$138, MATCH('Staging Table'!$A106, LS_previous!$B$4:$B$138, 0), MATCH(AA$4&amp;AA$5, LS_previous!$D$2:$AY$2&amp;LS_previous!$D$3:$AY$3, 0)),SUM(VLOOKUP($A106, LS_previous!$B$4:$AY$138, LS_previous!S$149, FALSE), VLOOKUP('Staging Table'!$A106, LS_previous!$B$4:$AY$138,LS_previous!AQ$149, FALSE))/2)</f>
        <v>-11.533781784705525</v>
      </c>
      <c r="AB106" s="382">
        <f t="array" ref="AB106">IF($G106=0, INDEX(LS_previous!$D$4:$AY$138, MATCH('Staging Table'!$A106, LS_previous!$B$4:$B$138, 0), MATCH(AB$4&amp;AB$5, LS_previous!$D$2:$AY$2&amp;LS_previous!$D$3:$AY$3, 0)),SUM(VLOOKUP($A106, LS_previous!$B$4:$AY$138, LS_previous!T$149, FALSE), VLOOKUP('Staging Table'!$A106, LS_previous!$B$4:$AY$138,LS_previous!AR$149, FALSE))/2)</f>
        <v>214.19169678795333</v>
      </c>
      <c r="AC106" s="382">
        <f t="array" ref="AC106">IF($G106=0, INDEX(LS_previous!$D$4:$AY$138, MATCH('Staging Table'!$A106, LS_previous!$B$4:$B$138, 0), MATCH(AC$4&amp;AC$5, LS_previous!$D$2:$AY$2&amp;LS_previous!$D$3:$AY$3, 0)),SUM(VLOOKUP($A106, LS_previous!$B$4:$AY$138, LS_previous!U$149, FALSE), VLOOKUP('Staging Table'!$A106, LS_previous!$B$4:$AY$138,LS_previous!AS$149, FALSE))/2)</f>
        <v>180.82030294458502</v>
      </c>
      <c r="AD106" s="382">
        <f t="array" ref="AD106">IF($G106=0, INDEX(LS_previous!$D$4:$AY$138, MATCH('Staging Table'!$A106, LS_previous!$B$4:$B$138, 0), MATCH(AD$4&amp;AD$5, LS_previous!$D$2:$AY$2&amp;LS_previous!$D$3:$AY$3, 0)),SUM(VLOOKUP($A106, LS_previous!$B$4:$AY$138, LS_previous!V$149, FALSE), VLOOKUP('Staging Table'!$A106, LS_previous!$B$4:$AY$138,LS_previous!AT$149, FALSE))/2)</f>
        <v>340.47837068093509</v>
      </c>
      <c r="AE106" s="382">
        <f t="array" ref="AE106">IF($G106=0, INDEX(LS_previous!$D$4:$AY$138, MATCH('Staging Table'!$A106, LS_previous!$B$4:$B$138, 0), MATCH(AE$4&amp;AE$5, LS_previous!$D$2:$AY$2&amp;LS_previous!$D$3:$AY$3, 0)),SUM(VLOOKUP($A106, LS_previous!$B$4:$AY$138, LS_previous!W$149, FALSE), VLOOKUP('Staging Table'!$A106, LS_previous!$B$4:$AY$138,LS_previous!AU$149, FALSE))/2)</f>
        <v>456.79265469652069</v>
      </c>
      <c r="AF106" s="382">
        <f t="array" ref="AF106">IF($G106=0, INDEX(LS_previous!$D$4:$AY$138, MATCH('Staging Table'!$A106, LS_previous!$B$4:$B$138, 0), MATCH(AF$4&amp;AF$5, LS_previous!$D$2:$AY$2&amp;LS_previous!$D$3:$AY$3, 0)),SUM(VLOOKUP($A106, LS_previous!$B$4:$AY$138, LS_previous!X$149, FALSE), VLOOKUP('Staging Table'!$A106, LS_previous!$B$4:$AY$138,LS_previous!AV$149, FALSE))/2)</f>
        <v>160.95578637793164</v>
      </c>
      <c r="AG106" s="382">
        <f t="array" ref="AG106">IF($G106=0, INDEX(LS_previous!$D$4:$AY$138, MATCH('Staging Table'!$A106, LS_previous!$B$4:$B$138, 0), MATCH(AG$4&amp;AG$5, LS_previous!$D$2:$AY$2&amp;LS_previous!$D$3:$AY$3, 0)),SUM(VLOOKUP($A106, LS_previous!$B$4:$AY$138, LS_previous!Y$149, FALSE), VLOOKUP('Staging Table'!$A106, LS_previous!$B$4:$AY$138,LS_previous!AW$149, FALSE))/2)</f>
        <v>185.74501025442964</v>
      </c>
      <c r="AH106" s="382">
        <f t="array" ref="AH106">IF($G106=0, INDEX(LS_previous!$D$4:$AY$138, MATCH('Staging Table'!$A106, LS_previous!$B$4:$B$138, 0), MATCH(AH$4&amp;AH$5, LS_previous!$D$2:$AY$2&amp;LS_previous!$D$3:$AY$3, 0)),SUM(VLOOKUP($A106, LS_previous!$B$4:$AY$138, LS_previous!Z$149, FALSE), VLOOKUP('Staging Table'!$A106, LS_previous!$B$4:$AY$138,LS_previous!AX$149, FALSE))/2)</f>
        <v>-105.79333286990379</v>
      </c>
      <c r="AI106" s="382">
        <f t="array" ref="AI106">IF($G106=0, INDEX(LS_previous!$D$4:$AY$138, MATCH('Staging Table'!$A106, LS_previous!$B$4:$B$138, 0), MATCH(AI$4&amp;AI$5, LS_previous!$D$2:$AY$2&amp;LS_previous!$D$3:$AY$3, 0)),SUM(VLOOKUP($A106, LS_previous!$B$4:$AY$138, LS_previous!AA$149, FALSE), VLOOKUP('Staging Table'!$A106, LS_previous!$B$4:$AY$138,LS_previous!AY$149, FALSE))/2)</f>
        <v>38.764321929135122</v>
      </c>
      <c r="AJ106" s="384">
        <f t="array" ref="AJ106">INDEX(Demand_previous!$D$4:$AY$138, MATCH('Staging Table'!$A106, Demand_previous!$B$4:$B$138, 0), MATCH(AJ$4&amp;AJ$5,Demand_previous!$D$2:$AY$2&amp;Demand_previous!$D$3:$AY$3, 0))/1000</f>
        <v>1.4812499999999895E-2</v>
      </c>
      <c r="AK106" s="384">
        <f t="array" ref="AK106">INDEX(Demand_previous!$D$4:$AY$138, MATCH('Staging Table'!$A106, Demand_previous!$B$4:$B$138, 0), MATCH(AK$4&amp;AK$5,Demand_previous!$D$2:$AY$2&amp;Demand_previous!$D$3:$AY$3, 0))/1000</f>
        <v>2.2546874999999963E-2</v>
      </c>
      <c r="AL106" s="384">
        <f t="array" ref="AL106">INDEX(Demand_previous!$D$4:$AY$138, MATCH('Staging Table'!$A106, Demand_previous!$B$4:$B$138, 0), MATCH(AL$4&amp;AL$5,Demand_previous!$D$2:$AY$2&amp;Demand_previous!$D$3:$AY$3, 0))/1000</f>
        <v>0.41775961538461592</v>
      </c>
      <c r="AM106" s="384">
        <f t="array" ref="AM106">INDEX(Demand_previous!$D$4:$AY$138, MATCH('Staging Table'!$A106, Demand_previous!$B$4:$B$138, 0), MATCH(AM$4&amp;AM$5,Demand_previous!$D$2:$AY$2&amp;Demand_previous!$D$3:$AY$3, 0))/1000</f>
        <v>0.19785999999999992</v>
      </c>
      <c r="AN106" s="384">
        <f t="array" ref="AN106">INDEX(Demand_previous!$D$4:$AY$138, MATCH('Staging Table'!$A106, Demand_previous!$B$4:$B$138, 0), MATCH(AN$4&amp;AN$5,Demand_previous!$D$2:$AY$2&amp;Demand_previous!$D$3:$AY$3, 0))/1000</f>
        <v>0.18439499999999964</v>
      </c>
      <c r="AO106" s="384">
        <f t="array" ref="AO106">INDEX(Demand_previous!$D$4:$AY$138, MATCH('Staging Table'!$A106, Demand_previous!$B$4:$B$138, 0), MATCH(AO$4&amp;AO$5,Demand_previous!$D$2:$AY$2&amp;Demand_previous!$D$3:$AY$3, 0))/1000</f>
        <v>0.35929398148148151</v>
      </c>
      <c r="AP106" s="384">
        <f t="array" ref="AP106">INDEX(Demand_previous!$D$4:$AY$138, MATCH('Staging Table'!$A106, Demand_previous!$B$4:$B$138, 0), MATCH(AP$4&amp;AP$5,Demand_previous!$D$2:$AY$2&amp;Demand_previous!$D$3:$AY$3, 0))/1000</f>
        <v>0.6382427884615387</v>
      </c>
      <c r="AQ106" s="384">
        <f t="array" ref="AQ106">INDEX(Demand_previous!$D$4:$AY$138, MATCH('Staging Table'!$A106, Demand_previous!$B$4:$B$138, 0), MATCH(AQ$4&amp;AQ$5,Demand_previous!$D$2:$AY$2&amp;Demand_previous!$D$3:$AY$3, 0))/1000</f>
        <v>0.56270249999999999</v>
      </c>
      <c r="AR106" s="384">
        <f t="array" ref="AR106">INDEX(Demand_previous!$D$4:$AY$138, MATCH('Staging Table'!$A106, Demand_previous!$B$4:$B$138, 0), MATCH(AR$4&amp;AR$5,Demand_previous!$D$2:$AY$2&amp;Demand_previous!$D$3:$AY$3, 0))/1000</f>
        <v>0.64685576923076904</v>
      </c>
      <c r="AS106" s="384">
        <f t="array" ref="AS106">INDEX(Demand_previous!$D$4:$AY$138, MATCH('Staging Table'!$A106, Demand_previous!$B$4:$B$138, 0), MATCH(AS$4&amp;AS$5,Demand_previous!$D$2:$AY$2&amp;Demand_previous!$D$3:$AY$3, 0))/1000</f>
        <v>0.45827750000000023</v>
      </c>
      <c r="AT106" s="384">
        <f t="array" ref="AT106">INDEX(Demand_previous!$D$4:$AY$138, MATCH('Staging Table'!$A106, Demand_previous!$B$4:$B$138, 0), MATCH(AT$4&amp;AT$5,Demand_previous!$D$2:$AY$2&amp;Demand_previous!$D$3:$AY$3, 0))/1000</f>
        <v>0.44994675925925953</v>
      </c>
      <c r="AU106" s="384">
        <f t="array" ref="AU106">INDEX(Demand_previous!$D$4:$AY$138, MATCH('Staging Table'!$A106, Demand_previous!$B$4:$B$138, 0), MATCH(AU$4&amp;AU$5,Demand_previous!$D$2:$AY$2&amp;Demand_previous!$D$3:$AY$3, 0))/1000</f>
        <v>0.10470249999999948</v>
      </c>
      <c r="AV106" s="384">
        <f>IF($D106=0,IF(C106=0, MAX(AY106 - (VLOOKUP($A106,TOCA_previous!$A$2:$AI$137,MATCH("RHWM 2016",TOCA_previous!$A$2:$AI$2,0),FALSE)*$F$2*TOCA_previous!C103),0),0), 0)</f>
        <v>385.54404856997644</v>
      </c>
      <c r="AW106" s="427">
        <f>VLOOKUP($A106,REP_previous!$A$1:$D$135,MATCH("FY "&amp;$F$1&amp; " Total Refund",REP_previous!$A$1:$D$1,0),0)</f>
        <v>13139.757157118924</v>
      </c>
      <c r="AX106" s="398">
        <f>MIN(VLOOKUP($A106,TOCA_previous!$A$2:$AI$137,MATCH("TRL - NLSL - Exisiting Resource "&amp;$F$1,TOCA_previous!$A$2:$AI$2,0),FALSE)*$F$2,(VLOOKUP($A106,TOCA_previous!$A$2:$AI$137,MATCH("RHWM 2016",TOCA_previous!$A$2:$AI$2,0),FALSE)*$F$2))</f>
        <v>20633.616000000002</v>
      </c>
      <c r="AY106" s="384">
        <f>SUM(L106:AI106)+(F106*RT1SC!$C$3*$F$2)</f>
        <v>21019.160048569978</v>
      </c>
      <c r="AZ106" s="398">
        <f>VLOOKUP($A106,TOCA_previous!$A$2:$AI$137,MATCH("Above RHWM Not Served with LS "&amp;$F$1,TOCA_previous!$A$2:$AI$2,0),FALSE)*$F$2</f>
        <v>0</v>
      </c>
      <c r="BA106" s="206">
        <f t="shared" si="19"/>
        <v>385.54404856997644</v>
      </c>
      <c r="BB106" s="399">
        <f>(VLOOKUP($A106,TOCA_previous!$A$2:$AI$137,MATCH("RHWM 2016",TOCA_previous!$A$2:$AI$2,0),FALSE)*$F$2) - $AX106</f>
        <v>0</v>
      </c>
      <c r="BC106" s="206">
        <f t="shared" si="20"/>
        <v>0</v>
      </c>
      <c r="BD106" s="400">
        <f t="shared" si="21"/>
        <v>0</v>
      </c>
      <c r="BE106" s="392">
        <f t="shared" si="22"/>
        <v>0</v>
      </c>
      <c r="BF106" s="399">
        <f t="shared" si="23"/>
        <v>0</v>
      </c>
      <c r="BG106" s="206">
        <f>VLOOKUP($A106,TOCA_current!$A$2:$AI$137,MATCH(BG$4,TOCA_current!$A$2:$AI$2,0),FALSE)</f>
        <v>3.3619999999999999E-4</v>
      </c>
      <c r="BH106" s="206">
        <f>VLOOKUP($A106,TOCA_current!$A$2:$AI$137,MATCH(BH$4,TOCA_current!$A$2:$AI$2,0),FALSE)</f>
        <v>3.3619999999999999E-4</v>
      </c>
      <c r="BI106" s="391">
        <f t="shared" si="24"/>
        <v>0</v>
      </c>
      <c r="BJ106" s="206">
        <f>VLOOKUP($A106,TOCA_current!A102:BG237,MATCH(BJ$4,TOCA_current!$A$2:$BG$2,0),FALSE)</f>
        <v>4.1062098501070662E-2</v>
      </c>
      <c r="BK106" s="206">
        <f t="shared" si="25"/>
        <v>0</v>
      </c>
      <c r="BL106" s="206">
        <f t="shared" si="26"/>
        <v>0</v>
      </c>
      <c r="BM106" s="381">
        <f>VLOOKUP($A106,IRD!$A$4:$G$139, 7, FALSE)</f>
        <v>4155.21</v>
      </c>
      <c r="BN106" s="382">
        <f t="array" ref="BN106">IF($BI106=0, INDEX(LS_current!$D$4:$AY$139, MATCH('Staging Table'!$A106, LS_current!$B$4:$B$139, 0), MATCH(BN$4&amp;BN$5, LS_current!$D$2:$AY$2&amp;LS_current!$D$3:$AY$3, 0)),SUM(VLOOKUP($A106, LS_current!$B$4:$AY$139, LS_current!D$149, FALSE), VLOOKUP($A106, LS_current!$B$4:$AY$139,LS_current!D$149, FALSE))/2)</f>
        <v>-371.60663342945338</v>
      </c>
      <c r="BO106" s="382">
        <f t="array" ref="BO106">IF($BI106=0, INDEX(LS_current!$D$4:$AY$139, MATCH('Staging Table'!$A106, LS_current!$B$4:$B$139, 0), MATCH(BO$4&amp;BO$5, LS_current!$D$2:$AY$2&amp;LS_current!$D$3:$AY$3, 0)),SUM(VLOOKUP($A106, LS_current!$B$4:$AY$139, LS_current!E$149, FALSE), VLOOKUP($A106, LS_current!$B$4:$AY$139,LS_current!E$149, FALSE))/2)</f>
        <v>-87.002622285896564</v>
      </c>
      <c r="BP106" s="382">
        <f t="array" ref="BP106">IF($BI106=0, INDEX(LS_current!$D$4:$AY$139, MATCH('Staging Table'!$A106, LS_current!$B$4:$B$139, 0), MATCH(BP$4&amp;BP$5, LS_current!$D$2:$AY$2&amp;LS_current!$D$3:$AY$3, 0)),SUM(VLOOKUP($A106, LS_current!$B$4:$AY$139, LS_current!F$149, FALSE), VLOOKUP($A106, LS_current!$B$4:$AY$139,LS_current!F$149, FALSE))/2)</f>
        <v>-435.27718387621962</v>
      </c>
      <c r="BQ106" s="382">
        <f t="array" ref="BQ106">IF($BI106=0, INDEX(LS_current!$D$4:$AY$139, MATCH('Staging Table'!$A106, LS_current!$B$4:$B$139, 0), MATCH(BQ$4&amp;BQ$5, LS_current!$D$2:$AY$2&amp;LS_current!$D$3:$AY$3, 0)),SUM(VLOOKUP($A106, LS_current!$B$4:$AY$139, LS_current!G$149, FALSE), VLOOKUP($A106, LS_current!$B$4:$AY$139,LS_current!G$149, FALSE))/2)</f>
        <v>-103.54765240705149</v>
      </c>
      <c r="BR106" s="382">
        <f t="array" ref="BR106">IF($BI106=0, INDEX(LS_current!$D$4:$AY$139, MATCH('Staging Table'!$A106, LS_current!$B$4:$B$139, 0), MATCH(BR$4&amp;BR$5, LS_current!$D$2:$AY$2&amp;LS_current!$D$3:$AY$3, 0)),SUM(VLOOKUP($A106, LS_current!$B$4:$AY$139, LS_current!H$149, FALSE), VLOOKUP($A106, LS_current!$B$4:$AY$139,LS_current!H$149, FALSE))/2)</f>
        <v>-118.24810484857539</v>
      </c>
      <c r="BS106" s="382">
        <f t="array" ref="BS106">IF($BI106=0, INDEX(LS_current!$D$4:$AY$139, MATCH('Staging Table'!$A106, LS_current!$B$4:$B$139, 0), MATCH(BS$4&amp;BS$5, LS_current!$D$2:$AY$2&amp;LS_current!$D$3:$AY$3, 0)),SUM(VLOOKUP($A106, LS_current!$B$4:$AY$139, LS_current!I$149, FALSE), VLOOKUP($A106, LS_current!$B$4:$AY$139,LS_current!I$149, FALSE))/2)</f>
        <v>169.83695927588508</v>
      </c>
      <c r="BT106" s="382">
        <f t="array" ref="BT106">IF($BI106=0, INDEX(LS_current!$D$4:$AY$139, MATCH('Staging Table'!$A106, LS_current!$B$4:$B$139, 0), MATCH(BT$4&amp;BT$5, LS_current!$D$2:$AY$2&amp;LS_current!$D$3:$AY$3, 0)),SUM(VLOOKUP($A106, LS_current!$B$4:$AY$139, LS_current!J$149, FALSE), VLOOKUP($A106, LS_current!$B$4:$AY$139,LS_current!J$149, FALSE))/2)</f>
        <v>111.1687951207025</v>
      </c>
      <c r="BU106" s="382">
        <f t="array" ref="BU106">IF($BI106=0, INDEX(LS_current!$D$4:$AY$139, MATCH('Staging Table'!$A106, LS_current!$B$4:$B$139, 0), MATCH(BU$4&amp;BU$5, LS_current!$D$2:$AY$2&amp;LS_current!$D$3:$AY$3, 0)),SUM(VLOOKUP($A106, LS_current!$B$4:$AY$139, LS_current!K$149, FALSE), VLOOKUP($A106, LS_current!$B$4:$AY$139,LS_current!K$149, FALSE))/2)</f>
        <v>248.08421258250564</v>
      </c>
      <c r="BV106" s="382">
        <f t="array" ref="BV106">IF($BI106=0, INDEX(LS_current!$D$4:$AY$139, MATCH('Staging Table'!$A106, LS_current!$B$4:$B$139, 0), MATCH(BV$4&amp;BV$5, LS_current!$D$2:$AY$2&amp;LS_current!$D$3:$AY$3, 0)),SUM(VLOOKUP($A106, LS_current!$B$4:$AY$139, LS_current!L$149, FALSE), VLOOKUP($A106, LS_current!$B$4:$AY$139,LS_current!L$149, FALSE))/2)</f>
        <v>55.356545789572124</v>
      </c>
      <c r="BW106" s="382">
        <f t="array" ref="BW106">IF($BI106=0, INDEX(LS_current!$D$4:$AY$139, MATCH('Staging Table'!$A106, LS_current!$B$4:$B$139, 0), MATCH(BW$4&amp;BW$5, LS_current!$D$2:$AY$2&amp;LS_current!$D$3:$AY$3, 0)),SUM(VLOOKUP($A106, LS_current!$B$4:$AY$139, LS_current!M$149, FALSE), VLOOKUP($A106, LS_current!$B$4:$AY$139,LS_current!M$149, FALSE))/2)</f>
        <v>177.53903362221496</v>
      </c>
      <c r="BX106" s="382">
        <f t="array" ref="BX106">IF($BI106=0, INDEX(LS_current!$D$4:$AY$139, MATCH('Staging Table'!$A106, LS_current!$B$4:$B$139, 0), MATCH(BX$4&amp;BX$5, LS_current!$D$2:$AY$2&amp;LS_current!$D$3:$AY$3, 0)),SUM(VLOOKUP($A106, LS_current!$B$4:$AY$139, LS_current!N$149, FALSE), VLOOKUP($A106, LS_current!$B$4:$AY$139,LS_current!N$149, FALSE))/2)</f>
        <v>-219.4663745801937</v>
      </c>
      <c r="BY106" s="382">
        <f t="array" ref="BY106">IF($BI106=0, INDEX(LS_current!$D$4:$AY$139, MATCH('Staging Table'!$A106, LS_current!$B$4:$B$139, 0), MATCH(BY$4&amp;BY$5, LS_current!$D$2:$AY$2&amp;LS_current!$D$3:$AY$3, 0)),SUM(VLOOKUP($A106, LS_current!$B$4:$AY$139, LS_current!O$149, FALSE), VLOOKUP($A106, LS_current!$B$4:$AY$139,LS_current!O$149, FALSE))/2)</f>
        <v>-30.953957052038504</v>
      </c>
      <c r="BZ106" s="382">
        <f t="array" ref="BZ106">IF($BI106=0, INDEX(LS_current!$D$4:$AY$139, MATCH('Staging Table'!$A106, LS_current!$B$4:$B$139, 0), MATCH(BZ$4&amp;BZ$5, LS_current!$D$2:$AY$2&amp;LS_current!$D$3:$AY$3, 0)),SUM(VLOOKUP($A106, LS_current!$B$4:$AY$139, LS_current!P$149, FALSE), VLOOKUP($A106, LS_current!$B$4:$AY$139,LS_current!P$149, FALSE))/2)</f>
        <v>-162.72070027320535</v>
      </c>
      <c r="CA106" s="382">
        <f t="array" ref="CA106">IF($BI106=0, INDEX(LS_current!$D$4:$AY$139, MATCH('Staging Table'!$A106, LS_current!$B$4:$B$139, 0), MATCH(CA$4&amp;CA$5, LS_current!$D$2:$AY$2&amp;LS_current!$D$3:$AY$3, 0)),SUM(VLOOKUP($A106, LS_current!$B$4:$AY$139, LS_current!Q$149, FALSE), VLOOKUP($A106, LS_current!$B$4:$AY$139,LS_current!Q$149, FALSE))/2)</f>
        <v>67.893779179816647</v>
      </c>
      <c r="CB106" s="382">
        <f t="array" ref="CB106">IF($BI106=0, INDEX(LS_current!$D$4:$AY$139, MATCH('Staging Table'!$A106, LS_current!$B$4:$B$139, 0), MATCH(CB$4&amp;CB$5, LS_current!$D$2:$AY$2&amp;LS_current!$D$3:$AY$3, 0)),SUM(VLOOKUP($A106, LS_current!$B$4:$AY$139, LS_current!R$149, FALSE), VLOOKUP($A106, LS_current!$B$4:$AY$139,LS_current!R$149, FALSE))/2)</f>
        <v>-279.66810366458594</v>
      </c>
      <c r="CC106" s="382">
        <f t="array" ref="CC106">IF($BI106=0, INDEX(LS_current!$D$4:$AY$139, MATCH('Staging Table'!$A106, LS_current!$B$4:$B$139, 0), MATCH(CC$4&amp;CC$5, LS_current!$D$2:$AY$2&amp;LS_current!$D$3:$AY$3, 0)),SUM(VLOOKUP($A106, LS_current!$B$4:$AY$139, LS_current!S$149, FALSE), VLOOKUP($A106, LS_current!$B$4:$AY$139,LS_current!S$149, FALSE))/2)</f>
        <v>-23.572991832798493</v>
      </c>
      <c r="CD106" s="382">
        <f t="array" ref="CD106">IF($BI106=0, INDEX(LS_current!$D$4:$AY$139, MATCH('Staging Table'!$A106, LS_current!$B$4:$B$139, 0), MATCH(CD$4&amp;CD$5, LS_current!$D$2:$AY$2&amp;LS_current!$D$3:$AY$3, 0)),SUM(VLOOKUP($A106, LS_current!$B$4:$AY$139, LS_current!T$149, FALSE), VLOOKUP($A106, LS_current!$B$4:$AY$139,LS_current!T$149, FALSE))/2)</f>
        <v>220.34800830109566</v>
      </c>
      <c r="CE106" s="382">
        <f t="array" ref="CE106">IF($BI106=0, INDEX(LS_current!$D$4:$AY$139, MATCH('Staging Table'!$A106, LS_current!$B$4:$B$139, 0), MATCH(CE$4&amp;CE$5, LS_current!$D$2:$AY$2&amp;LS_current!$D$3:$AY$3, 0)),SUM(VLOOKUP($A106, LS_current!$B$4:$AY$139, LS_current!U$149, FALSE), VLOOKUP($A106, LS_current!$B$4:$AY$139,LS_current!U$149, FALSE))/2)</f>
        <v>227.78864856360588</v>
      </c>
      <c r="CF106" s="382">
        <f t="array" ref="CF106">IF($BI106=0, INDEX(LS_current!$D$4:$AY$139, MATCH('Staging Table'!$A106, LS_current!$B$4:$B$139, 0), MATCH(CF$4&amp;CF$5, LS_current!$D$2:$AY$2&amp;LS_current!$D$3:$AY$3, 0)),SUM(VLOOKUP($A106, LS_current!$B$4:$AY$139, LS_current!V$149, FALSE), VLOOKUP($A106, LS_current!$B$4:$AY$139,LS_current!V$149, FALSE))/2)</f>
        <v>407.33117960131642</v>
      </c>
      <c r="CG106" s="382">
        <f t="array" ref="CG106">IF($BI106=0, INDEX(LS_current!$D$4:$AY$139, MATCH('Staging Table'!$A106, LS_current!$B$4:$B$139, 0), MATCH(CG$4&amp;CG$5, LS_current!$D$2:$AY$2&amp;LS_current!$D$3:$AY$3, 0)),SUM(VLOOKUP($A106, LS_current!$B$4:$AY$139, LS_current!W$149, FALSE), VLOOKUP($A106, LS_current!$B$4:$AY$139,LS_current!W$149, FALSE))/2)</f>
        <v>498.2076078821724</v>
      </c>
      <c r="CH106" s="382">
        <f t="array" ref="CH106">IF($BI106=0, INDEX(LS_current!$D$4:$AY$139, MATCH('Staging Table'!$A106, LS_current!$B$4:$B$139, 0), MATCH(CH$4&amp;CH$5, LS_current!$D$2:$AY$2&amp;LS_current!$D$3:$AY$3, 0)),SUM(VLOOKUP($A106, LS_current!$B$4:$AY$139, LS_current!X$149, FALSE), VLOOKUP($A106, LS_current!$B$4:$AY$139,LS_current!X$149, FALSE))/2)</f>
        <v>167.51248210358176</v>
      </c>
      <c r="CI106" s="382">
        <f t="array" ref="CI106">IF($BI106=0, INDEX(LS_current!$D$4:$AY$139, MATCH('Staging Table'!$A106, LS_current!$B$4:$B$139, 0), MATCH(CI$4&amp;CI$5, LS_current!$D$2:$AY$2&amp;LS_current!$D$3:$AY$3, 0)),SUM(VLOOKUP($A106, LS_current!$B$4:$AY$139, LS_current!Y$149, FALSE), VLOOKUP($A106, LS_current!$B$4:$AY$139,LS_current!Y$149, FALSE))/2)</f>
        <v>204.79163777976555</v>
      </c>
      <c r="CJ106" s="382">
        <f t="array" ref="CJ106">IF($BI106=0, INDEX(LS_current!$D$4:$AY$139, MATCH('Staging Table'!$A106, LS_current!$B$4:$B$139, 0), MATCH(CJ$4&amp;CJ$5, LS_current!$D$2:$AY$2&amp;LS_current!$D$3:$AY$3, 0)),SUM(VLOOKUP($A106, LS_current!$B$4:$AY$139, LS_current!Z$149, FALSE), VLOOKUP($A106, LS_current!$B$4:$AY$139,LS_current!Z$149, FALSE))/2)</f>
        <v>-198.73535408502676</v>
      </c>
      <c r="CK106" s="382">
        <f t="array" ref="CK106">IF($BI106=0, INDEX(LS_current!$D$4:$AY$139, MATCH('Staging Table'!$A106, LS_current!$B$4:$B$139, 0), MATCH(CK$4&amp;CK$5, LS_current!$D$2:$AY$2&amp;LS_current!$D$3:$AY$3, 0)),SUM(VLOOKUP($A106, LS_current!$B$4:$AY$139, LS_current!AA$149, FALSE), VLOOKUP($A106, LS_current!$B$4:$AY$139,LS_current!AA$149, FALSE))/2)</f>
        <v>40.751794177475062</v>
      </c>
      <c r="CL106" s="384">
        <f t="array" ref="CL106">INDEX(Demand_current!$D$4:$AY$138, MATCH($A106, Demand_current!$B$4:$B$138, 0), MATCH(CL$4&amp;CL$5,Demand_current!$D$2:$AY$2&amp;Demand_current!$D$3:$AY$3, 0))/1000</f>
        <v>0</v>
      </c>
      <c r="CM106" s="384">
        <f t="array" ref="CM106">INDEX(Demand_current!$D$4:$AY$138, MATCH($A106, Demand_current!$B$4:$B$138, 0), MATCH(CM$4&amp;CM$5,Demand_current!$D$2:$AY$2&amp;Demand_current!$D$3:$AY$3, 0))/1000</f>
        <v>0.10508500000000009</v>
      </c>
      <c r="CN106" s="384">
        <f t="array" ref="CN106">INDEX(Demand_current!$D$4:$AY$138, MATCH($A106, Demand_current!$B$4:$B$138, 0), MATCH(CN$4&amp;CN$5,Demand_current!$D$2:$AY$2&amp;Demand_current!$D$3:$AY$3, 0))/1000</f>
        <v>0.31383000000000072</v>
      </c>
      <c r="CO106" s="384">
        <f t="array" ref="CO106">INDEX(Demand_current!$D$4:$AY$138, MATCH($A106, Demand_current!$B$4:$B$138, 0), MATCH(CO$4&amp;CO$5,Demand_current!$D$2:$AY$2&amp;Demand_current!$D$3:$AY$3, 0))/1000</f>
        <v>0.30624999999999991</v>
      </c>
      <c r="CP106" s="384">
        <f t="array" ref="CP106">INDEX(Demand_current!$D$4:$AY$138, MATCH($A106, Demand_current!$B$4:$B$138, 0), MATCH(CP$4&amp;CP$5,Demand_current!$D$2:$AY$2&amp;Demand_current!$D$3:$AY$3, 0))/1000</f>
        <v>8.9911458333333139E-2</v>
      </c>
      <c r="CQ106" s="384">
        <f t="array" ref="CQ106">INDEX(Demand_current!$D$4:$AY$138, MATCH($A106, Demand_current!$B$4:$B$138, 0), MATCH(CQ$4&amp;CQ$5,Demand_current!$D$2:$AY$2&amp;Demand_current!$D$3:$AY$3, 0))/1000</f>
        <v>0.35929398148148151</v>
      </c>
      <c r="CR106" s="384">
        <f t="array" ref="CR106">INDEX(Demand_current!$D$4:$AY$138, MATCH($A106, Demand_current!$B$4:$B$138, 0), MATCH(CR$4&amp;CR$5,Demand_current!$D$2:$AY$2&amp;Demand_current!$D$3:$AY$3, 0))/1000</f>
        <v>0.55901250000000013</v>
      </c>
      <c r="CS106" s="384">
        <f t="array" ref="CS106">INDEX(Demand_current!$D$4:$AY$138, MATCH($A106, Demand_current!$B$4:$B$138, 0), MATCH(CS$4&amp;CS$5,Demand_current!$D$2:$AY$2&amp;Demand_current!$D$3:$AY$3, 0))/1000</f>
        <v>0.67379086538461508</v>
      </c>
      <c r="CT106" s="384">
        <f t="array" ref="CT106">INDEX(Demand_current!$D$4:$AY$138, MATCH($A106, Demand_current!$B$4:$B$138, 0), MATCH(CT$4&amp;CT$5,Demand_current!$D$2:$AY$2&amp;Demand_current!$D$3:$AY$3, 0))/1000</f>
        <v>0.64685576923076904</v>
      </c>
      <c r="CU106" s="384">
        <f t="array" ref="CU106">INDEX(Demand_current!$D$4:$AY$138, MATCH($A106, Demand_current!$B$4:$B$138, 0), MATCH(CU$4&amp;CU$5,Demand_current!$D$2:$AY$2&amp;Demand_current!$D$3:$AY$3, 0))/1000</f>
        <v>0.45827750000000023</v>
      </c>
      <c r="CV106" s="384">
        <f t="array" ref="CV106">INDEX(Demand_current!$D$4:$AY$138, MATCH($A106, Demand_current!$B$4:$B$138, 0), MATCH(CV$4&amp;CV$5,Demand_current!$D$2:$AY$2&amp;Demand_current!$D$3:$AY$3, 0))/1000</f>
        <v>0.44994675925925953</v>
      </c>
      <c r="CW106" s="384">
        <f t="array" ref="CW106">INDEX(Demand_current!$D$4:$AY$138, MATCH($A106, Demand_current!$B$4:$B$138, 0), MATCH(CW$4&amp;CW$5,Demand_current!$D$2:$AY$2&amp;Demand_current!$D$3:$AY$3, 0))/1000</f>
        <v>2.1190104166666442E-2</v>
      </c>
      <c r="CX106" s="384">
        <f>IF(D106=0,IF(C106=0,MAX(0,DA106 - (VLOOKUP($A106,TOCA_current!$A$2:$AI$137,MATCH("RHWM 2018",TOCA_current!$A$2:$AI$2,0),FALSE)*$BH$2)), 0),0)</f>
        <v>564.56029839666371</v>
      </c>
      <c r="CY106" s="427">
        <f>VLOOKUP($A106,REP_current!$A$1:$D$135,MATCH("FY "&amp;$BH$1&amp; " Total Refund",REP_current!$A$1:$D$1,0),0)</f>
        <v>13336.157968768332</v>
      </c>
      <c r="CZ106" s="432">
        <f>MIN(VLOOKUP($A106,TOCA_current!$A$2:$AI$137,MATCH("TRL - NLSL - Existing Resource "&amp;$BH$1,TOCA_current!$A$2:$AI$2,0),FALSE)*$BH$2, VLOOKUP($A106,TOCA_current!$A$2:$AI$137,MATCH("RHWM 2018",TOCA_current!$A$2:$AI$2,0),FALSE)*$BH$2)</f>
        <v>20454.599999999999</v>
      </c>
      <c r="DA106" s="397">
        <f>SUM(BN106:CK106)+(BH106*RT1SC!$C$4*$BH$2)</f>
        <v>21019.160298396662</v>
      </c>
      <c r="DB106" s="432">
        <f>VLOOKUP($A106,TOCA_current!$A$2:$AI$137,MATCH("Above RHWM Not Served with LS "&amp;$BH$1,TOCA_current!$A$2:$AI$2,0),FALSE)*$BH$2</f>
        <v>0</v>
      </c>
      <c r="DC106" s="401">
        <f t="shared" si="27"/>
        <v>564.56029839666371</v>
      </c>
      <c r="DD106" s="397">
        <f>(VLOOKUP($A106,TOCA_current!$A$2:$AI$137,MATCH("RHWM 2018",TOCA_current!$A$2:$AI$2,0),FALSE)*$BH$2) - $CZ106</f>
        <v>0</v>
      </c>
      <c r="DE106" s="397">
        <f t="shared" si="28"/>
        <v>0</v>
      </c>
      <c r="DF106" s="397">
        <f t="shared" si="29"/>
        <v>0</v>
      </c>
      <c r="DG106" s="397">
        <f t="shared" si="30"/>
        <v>0</v>
      </c>
      <c r="DH106" s="397">
        <f t="shared" si="31"/>
        <v>0</v>
      </c>
    </row>
    <row r="107" spans="1:112">
      <c r="A107" s="274">
        <v>10342</v>
      </c>
      <c r="B107" s="275" t="s">
        <v>108</v>
      </c>
      <c r="C107" s="397">
        <v>0</v>
      </c>
      <c r="D107" s="397">
        <v>0</v>
      </c>
      <c r="E107" s="205">
        <f>VLOOKUP($A107,TOCA_previous!$A$2:$AI$137,MATCH(E$4,TOCA_previous!$A$2:$AI$2,0),FALSE)</f>
        <v>5.3410000000000003E-3</v>
      </c>
      <c r="F107" s="206">
        <f>VLOOKUP($A107,TOCA_previous!$A$2:$AI$137,MATCH(F$4,TOCA_previous!$A$2:$AI$2,0),FALSE)</f>
        <v>5.3410000000000003E-3</v>
      </c>
      <c r="G107" s="206">
        <f t="shared" si="16"/>
        <v>0</v>
      </c>
      <c r="H107" s="206">
        <f>VLOOKUP($A107,TOCA_previous!$A$2:$AI$137,MATCH(H$4,TOCA_previous!$A$2:$AI$2,0),FALSE)</f>
        <v>0</v>
      </c>
      <c r="I107" s="206">
        <f t="shared" si="17"/>
        <v>0</v>
      </c>
      <c r="J107" s="206">
        <f t="shared" si="18"/>
        <v>0</v>
      </c>
      <c r="K107" s="381">
        <f>VLOOKUP(A107, IRD!$A$5:$C$139, 3, FALSE)</f>
        <v>0</v>
      </c>
      <c r="L107" s="382">
        <f t="array" ref="L107">IF($G107=0, INDEX(LS_previous!$D$4:$AY$138, MATCH('Staging Table'!$A107, LS_previous!$B$4:$B$138, 0), MATCH(L$4&amp;L$5, LS_previous!$D$2:$AY$2&amp;LS_previous!$D$3:$AY$3, 0)),SUM(VLOOKUP($A107, LS_previous!$B$4:$AY$138, LS_previous!D$149, FALSE), VLOOKUP('Staging Table'!$A107, LS_previous!$B$4:$AY$138,LS_previous!AB$149, FALSE))/2)</f>
        <v>-345.64177671453945</v>
      </c>
      <c r="M107" s="382">
        <f t="array" ref="M107">IF($G107=0, INDEX(LS_previous!$D$4:$AY$138, MATCH('Staging Table'!$A107, LS_previous!$B$4:$B$138, 0), MATCH(M$4&amp;M$5, LS_previous!$D$2:$AY$2&amp;LS_previous!$D$3:$AY$3, 0)),SUM(VLOOKUP($A107, LS_previous!$B$4:$AY$138, LS_previous!E$149, FALSE), VLOOKUP('Staging Table'!$A107, LS_previous!$B$4:$AY$138,LS_previous!AC$149, FALSE))/2)</f>
        <v>-147.82302472950141</v>
      </c>
      <c r="N107" s="382">
        <f t="array" ref="N107">IF($G107=0, INDEX(LS_previous!$D$4:$AY$138, MATCH('Staging Table'!$A107, LS_previous!$B$4:$B$138, 0), MATCH(N$4&amp;N$5, LS_previous!$D$2:$AY$2&amp;LS_previous!$D$3:$AY$3, 0)),SUM(VLOOKUP($A107, LS_previous!$B$4:$AY$138, LS_previous!F$149, FALSE), VLOOKUP('Staging Table'!$A107, LS_previous!$B$4:$AY$138,LS_previous!AD$149, FALSE))/2)</f>
        <v>-312.37563019658774</v>
      </c>
      <c r="O107" s="382">
        <f t="array" ref="O107">IF($G107=0, INDEX(LS_previous!$D$4:$AY$138, MATCH('Staging Table'!$A107, LS_previous!$B$4:$B$138, 0), MATCH(O$4&amp;O$5, LS_previous!$D$2:$AY$2&amp;LS_previous!$D$3:$AY$3, 0)),SUM(VLOOKUP($A107, LS_previous!$B$4:$AY$138, LS_previous!G$149, FALSE), VLOOKUP('Staging Table'!$A107, LS_previous!$B$4:$AY$138,LS_previous!AE$149, FALSE))/2)</f>
        <v>-155.82185028552885</v>
      </c>
      <c r="P107" s="382">
        <f t="array" ref="P107">IF($G107=0, INDEX(LS_previous!$D$4:$AY$138, MATCH('Staging Table'!$A107, LS_previous!$B$4:$B$138, 0), MATCH(P$4&amp;P$5, LS_previous!$D$2:$AY$2&amp;LS_previous!$D$3:$AY$3, 0)),SUM(VLOOKUP($A107, LS_previous!$B$4:$AY$138, LS_previous!H$149, FALSE), VLOOKUP('Staging Table'!$A107, LS_previous!$B$4:$AY$138,LS_previous!AF$149, FALSE))/2)</f>
        <v>2370.2193842636807</v>
      </c>
      <c r="Q107" s="382">
        <f t="array" ref="Q107">IF($G107=0, INDEX(LS_previous!$D$4:$AY$138, MATCH('Staging Table'!$A107, LS_previous!$B$4:$B$138, 0), MATCH(Q$4&amp;Q$5, LS_previous!$D$2:$AY$2&amp;LS_previous!$D$3:$AY$3, 0)),SUM(VLOOKUP($A107, LS_previous!$B$4:$AY$138, LS_previous!I$149, FALSE), VLOOKUP('Staging Table'!$A107, LS_previous!$B$4:$AY$138,LS_previous!AG$149, FALSE))/2)</f>
        <v>2341.8727563859466</v>
      </c>
      <c r="R107" s="382">
        <f t="array" ref="R107">IF($G107=0, INDEX(LS_previous!$D$4:$AY$138, MATCH('Staging Table'!$A107, LS_previous!$B$4:$B$138, 0), MATCH(R$4&amp;R$5, LS_previous!$D$2:$AY$2&amp;LS_previous!$D$3:$AY$3, 0)),SUM(VLOOKUP($A107, LS_previous!$B$4:$AY$138, LS_previous!J$149, FALSE), VLOOKUP('Staging Table'!$A107, LS_previous!$B$4:$AY$138,LS_previous!AH$149, FALSE))/2)</f>
        <v>4713.4220891327932</v>
      </c>
      <c r="S107" s="382">
        <f t="array" ref="S107">IF($G107=0, INDEX(LS_previous!$D$4:$AY$138, MATCH('Staging Table'!$A107, LS_previous!$B$4:$B$138, 0), MATCH(S$4&amp;S$5, LS_previous!$D$2:$AY$2&amp;LS_previous!$D$3:$AY$3, 0)),SUM(VLOOKUP($A107, LS_previous!$B$4:$AY$138, LS_previous!K$149, FALSE), VLOOKUP('Staging Table'!$A107, LS_previous!$B$4:$AY$138,LS_previous!AI$149, FALSE))/2)</f>
        <v>2483.836605044733</v>
      </c>
      <c r="T107" s="382">
        <f t="array" ref="T107">IF($G107=0, INDEX(LS_previous!$D$4:$AY$138, MATCH('Staging Table'!$A107, LS_previous!$B$4:$B$138, 0), MATCH(T$4&amp;T$5, LS_previous!$D$2:$AY$2&amp;LS_previous!$D$3:$AY$3, 0)),SUM(VLOOKUP($A107, LS_previous!$B$4:$AY$138, LS_previous!L$149, FALSE), VLOOKUP('Staging Table'!$A107, LS_previous!$B$4:$AY$138,LS_previous!AJ$149, FALSE))/2)</f>
        <v>3803.4225028359888</v>
      </c>
      <c r="U107" s="382">
        <f t="array" ref="U107">IF($G107=0, INDEX(LS_previous!$D$4:$AY$138, MATCH('Staging Table'!$A107, LS_previous!$B$4:$B$138, 0), MATCH(U$4&amp;U$5, LS_previous!$D$2:$AY$2&amp;LS_previous!$D$3:$AY$3, 0)),SUM(VLOOKUP($A107, LS_previous!$B$4:$AY$138, LS_previous!M$149, FALSE), VLOOKUP('Staging Table'!$A107, LS_previous!$B$4:$AY$138,LS_previous!AK$149, FALSE))/2)</f>
        <v>1732.0455083415218</v>
      </c>
      <c r="V107" s="382">
        <f t="array" ref="V107">IF($G107=0, INDEX(LS_previous!$D$4:$AY$138, MATCH('Staging Table'!$A107, LS_previous!$B$4:$B$138, 0), MATCH(V$4&amp;V$5, LS_previous!$D$2:$AY$2&amp;LS_previous!$D$3:$AY$3, 0)),SUM(VLOOKUP($A107, LS_previous!$B$4:$AY$138, LS_previous!N$149, FALSE), VLOOKUP('Staging Table'!$A107, LS_previous!$B$4:$AY$138,LS_previous!AL$149, FALSE))/2)</f>
        <v>790.05434591995072</v>
      </c>
      <c r="W107" s="382">
        <f t="array" ref="W107">IF($G107=0, INDEX(LS_previous!$D$4:$AY$138, MATCH('Staging Table'!$A107, LS_previous!$B$4:$B$138, 0), MATCH(W$4&amp;W$5, LS_previous!$D$2:$AY$2&amp;LS_previous!$D$3:$AY$3, 0)),SUM(VLOOKUP($A107, LS_previous!$B$4:$AY$138, LS_previous!O$149, FALSE), VLOOKUP('Staging Table'!$A107, LS_previous!$B$4:$AY$138,LS_previous!AM$149, FALSE))/2)</f>
        <v>-659.60440213041875</v>
      </c>
      <c r="X107" s="382">
        <f t="array" ref="X107">IF($G107=0, INDEX(LS_previous!$D$4:$AY$138, MATCH('Staging Table'!$A107, LS_previous!$B$4:$B$138, 0), MATCH(X$4&amp;X$5, LS_previous!$D$2:$AY$2&amp;LS_previous!$D$3:$AY$3, 0)),SUM(VLOOKUP($A107, LS_previous!$B$4:$AY$138, LS_previous!P$149, FALSE), VLOOKUP('Staging Table'!$A107, LS_previous!$B$4:$AY$138,LS_previous!AN$149, FALSE))/2)</f>
        <v>1736.3364737105203</v>
      </c>
      <c r="Y107" s="382">
        <f t="array" ref="Y107">IF($G107=0, INDEX(LS_previous!$D$4:$AY$138, MATCH('Staging Table'!$A107, LS_previous!$B$4:$B$138, 0), MATCH(Y$4&amp;Y$5, LS_previous!$D$2:$AY$2&amp;LS_previous!$D$3:$AY$3, 0)),SUM(VLOOKUP($A107, LS_previous!$B$4:$AY$138, LS_previous!Q$149, FALSE), VLOOKUP('Staging Table'!$A107, LS_previous!$B$4:$AY$138,LS_previous!AO$149, FALSE))/2)</f>
        <v>1016.5317474312178</v>
      </c>
      <c r="Z107" s="382">
        <f t="array" ref="Z107">IF($G107=0, INDEX(LS_previous!$D$4:$AY$138, MATCH('Staging Table'!$A107, LS_previous!$B$4:$B$138, 0), MATCH(Z$4&amp;Z$5, LS_previous!$D$2:$AY$2&amp;LS_previous!$D$3:$AY$3, 0)),SUM(VLOOKUP($A107, LS_previous!$B$4:$AY$138, LS_previous!R$149, FALSE), VLOOKUP('Staging Table'!$A107, LS_previous!$B$4:$AY$138,LS_previous!AP$149, FALSE))/2)</f>
        <v>-7913.460215472498</v>
      </c>
      <c r="AA107" s="382">
        <f t="array" ref="AA107">IF($G107=0, INDEX(LS_previous!$D$4:$AY$138, MATCH('Staging Table'!$A107, LS_previous!$B$4:$B$138, 0), MATCH(AA$4&amp;AA$5, LS_previous!$D$2:$AY$2&amp;LS_previous!$D$3:$AY$3, 0)),SUM(VLOOKUP($A107, LS_previous!$B$4:$AY$138, LS_previous!S$149, FALSE), VLOOKUP('Staging Table'!$A107, LS_previous!$B$4:$AY$138,LS_previous!AQ$149, FALSE))/2)</f>
        <v>-3924.1657857078244</v>
      </c>
      <c r="AB107" s="382">
        <f t="array" ref="AB107">IF($G107=0, INDEX(LS_previous!$D$4:$AY$138, MATCH('Staging Table'!$A107, LS_previous!$B$4:$B$138, 0), MATCH(AB$4&amp;AB$5, LS_previous!$D$2:$AY$2&amp;LS_previous!$D$3:$AY$3, 0)),SUM(VLOOKUP($A107, LS_previous!$B$4:$AY$138, LS_previous!T$149, FALSE), VLOOKUP('Staging Table'!$A107, LS_previous!$B$4:$AY$138,LS_previous!AR$149, FALSE))/2)</f>
        <v>-3479.3316071805675</v>
      </c>
      <c r="AC107" s="382">
        <f t="array" ref="AC107">IF($G107=0, INDEX(LS_previous!$D$4:$AY$138, MATCH('Staging Table'!$A107, LS_previous!$B$4:$B$138, 0), MATCH(AC$4&amp;AC$5, LS_previous!$D$2:$AY$2&amp;LS_previous!$D$3:$AY$3, 0)),SUM(VLOOKUP($A107, LS_previous!$B$4:$AY$138, LS_previous!U$149, FALSE), VLOOKUP('Staging Table'!$A107, LS_previous!$B$4:$AY$138,LS_previous!AS$149, FALSE))/2)</f>
        <v>-2419.0644844618664</v>
      </c>
      <c r="AD107" s="382">
        <f t="array" ref="AD107">IF($G107=0, INDEX(LS_previous!$D$4:$AY$138, MATCH('Staging Table'!$A107, LS_previous!$B$4:$B$138, 0), MATCH(AD$4&amp;AD$5, LS_previous!$D$2:$AY$2&amp;LS_previous!$D$3:$AY$3, 0)),SUM(VLOOKUP($A107, LS_previous!$B$4:$AY$138, LS_previous!V$149, FALSE), VLOOKUP('Staging Table'!$A107, LS_previous!$B$4:$AY$138,LS_previous!AT$149, FALSE))/2)</f>
        <v>-1187.3273150806344</v>
      </c>
      <c r="AE107" s="382">
        <f t="array" ref="AE107">IF($G107=0, INDEX(LS_previous!$D$4:$AY$138, MATCH('Staging Table'!$A107, LS_previous!$B$4:$B$138, 0), MATCH(AE$4&amp;AE$5, LS_previous!$D$2:$AY$2&amp;LS_previous!$D$3:$AY$3, 0)),SUM(VLOOKUP($A107, LS_previous!$B$4:$AY$138, LS_previous!W$149, FALSE), VLOOKUP('Staging Table'!$A107, LS_previous!$B$4:$AY$138,LS_previous!AU$149, FALSE))/2)</f>
        <v>870.24866092186676</v>
      </c>
      <c r="AF107" s="382">
        <f t="array" ref="AF107">IF($G107=0, INDEX(LS_previous!$D$4:$AY$138, MATCH('Staging Table'!$A107, LS_previous!$B$4:$B$138, 0), MATCH(AF$4&amp;AF$5, LS_previous!$D$2:$AY$2&amp;LS_previous!$D$3:$AY$3, 0)),SUM(VLOOKUP($A107, LS_previous!$B$4:$AY$138, LS_previous!X$149, FALSE), VLOOKUP('Staging Table'!$A107, LS_previous!$B$4:$AY$138,LS_previous!AV$149, FALSE))/2)</f>
        <v>-1067.2108072397968</v>
      </c>
      <c r="AG107" s="382">
        <f t="array" ref="AG107">IF($G107=0, INDEX(LS_previous!$D$4:$AY$138, MATCH('Staging Table'!$A107, LS_previous!$B$4:$B$138, 0), MATCH(AG$4&amp;AG$5, LS_previous!$D$2:$AY$2&amp;LS_previous!$D$3:$AY$3, 0)),SUM(VLOOKUP($A107, LS_previous!$B$4:$AY$138, LS_previous!Y$149, FALSE), VLOOKUP('Staging Table'!$A107, LS_previous!$B$4:$AY$138,LS_previous!AW$149, FALSE))/2)</f>
        <v>-447.5424876072866</v>
      </c>
      <c r="AH107" s="382">
        <f t="array" ref="AH107">IF($G107=0, INDEX(LS_previous!$D$4:$AY$138, MATCH('Staging Table'!$A107, LS_previous!$B$4:$B$138, 0), MATCH(AH$4&amp;AH$5, LS_previous!$D$2:$AY$2&amp;LS_previous!$D$3:$AY$3, 0)),SUM(VLOOKUP($A107, LS_previous!$B$4:$AY$138, LS_previous!Z$149, FALSE), VLOOKUP('Staging Table'!$A107, LS_previous!$B$4:$AY$138,LS_previous!AX$149, FALSE))/2)</f>
        <v>-2.4488010052227764</v>
      </c>
      <c r="AI107" s="382">
        <f t="array" ref="AI107">IF($G107=0, INDEX(LS_previous!$D$4:$AY$138, MATCH('Staging Table'!$A107, LS_previous!$B$4:$B$138, 0), MATCH(AI$4&amp;AI$5, LS_previous!$D$2:$AY$2&amp;LS_previous!$D$3:$AY$3, 0)),SUM(VLOOKUP($A107, LS_previous!$B$4:$AY$138, LS_previous!AA$149, FALSE), VLOOKUP('Staging Table'!$A107, LS_previous!$B$4:$AY$138,LS_previous!AY$149, FALSE))/2)</f>
        <v>127.99592872624999</v>
      </c>
      <c r="AJ107" s="384">
        <f t="array" ref="AJ107">INDEX(Demand_previous!$D$4:$AY$138, MATCH('Staging Table'!$A107, Demand_previous!$B$4:$B$138, 0), MATCH(AJ$4&amp;AJ$5,Demand_previous!$D$2:$AY$2&amp;Demand_previous!$D$3:$AY$3, 0))/1000</f>
        <v>7.6424074074074086</v>
      </c>
      <c r="AK107" s="384">
        <f t="array" ref="AK107">INDEX(Demand_previous!$D$4:$AY$138, MATCH('Staging Table'!$A107, Demand_previous!$B$4:$B$138, 0), MATCH(AK$4&amp;AK$5,Demand_previous!$D$2:$AY$2&amp;Demand_previous!$D$3:$AY$3, 0))/1000</f>
        <v>0.50074218749999666</v>
      </c>
      <c r="AL107" s="384">
        <f t="array" ref="AL107">INDEX(Demand_previous!$D$4:$AY$138, MATCH('Staging Table'!$A107, Demand_previous!$B$4:$B$138, 0), MATCH(AL$4&amp;AL$5,Demand_previous!$D$2:$AY$2&amp;Demand_previous!$D$3:$AY$3, 0))/1000</f>
        <v>11.531723557692315</v>
      </c>
      <c r="AM107" s="384">
        <f t="array" ref="AM107">INDEX(Demand_previous!$D$4:$AY$138, MATCH('Staging Table'!$A107, Demand_previous!$B$4:$B$138, 0), MATCH(AM$4&amp;AM$5,Demand_previous!$D$2:$AY$2&amp;Demand_previous!$D$3:$AY$3, 0))/1000</f>
        <v>4.4258899999999901</v>
      </c>
      <c r="AN107" s="384">
        <f t="array" ref="AN107">INDEX(Demand_previous!$D$4:$AY$138, MATCH('Staging Table'!$A107, Demand_previous!$B$4:$B$138, 0), MATCH(AN$4&amp;AN$5,Demand_previous!$D$2:$AY$2&amp;Demand_previous!$D$3:$AY$3, 0))/1000</f>
        <v>0</v>
      </c>
      <c r="AO107" s="384">
        <f t="array" ref="AO107">INDEX(Demand_previous!$D$4:$AY$138, MATCH('Staging Table'!$A107, Demand_previous!$B$4:$B$138, 0), MATCH(AO$4&amp;AO$5,Demand_previous!$D$2:$AY$2&amp;Demand_previous!$D$3:$AY$3, 0))/1000</f>
        <v>4.3555902777777789</v>
      </c>
      <c r="AP107" s="384">
        <f t="array" ref="AP107">INDEX(Demand_previous!$D$4:$AY$138, MATCH('Staging Table'!$A107, Demand_previous!$B$4:$B$138, 0), MATCH(AP$4&amp;AP$5,Demand_previous!$D$2:$AY$2&amp;Demand_previous!$D$3:$AY$3, 0))/1000</f>
        <v>3.6190769230769249</v>
      </c>
      <c r="AQ107" s="384">
        <f t="array" ref="AQ107">INDEX(Demand_previous!$D$4:$AY$138, MATCH('Staging Table'!$A107, Demand_previous!$B$4:$B$138, 0), MATCH(AQ$4&amp;AQ$5,Demand_previous!$D$2:$AY$2&amp;Demand_previous!$D$3:$AY$3, 0))/1000</f>
        <v>2.4742400000000018</v>
      </c>
      <c r="AR107" s="384">
        <f t="array" ref="AR107">INDEX(Demand_previous!$D$4:$AY$138, MATCH('Staging Table'!$A107, Demand_previous!$B$4:$B$138, 0), MATCH(AR$4&amp;AR$5,Demand_previous!$D$2:$AY$2&amp;Demand_previous!$D$3:$AY$3, 0))/1000</f>
        <v>2.5422187500000071</v>
      </c>
      <c r="AS107" s="384">
        <f t="array" ref="AS107">INDEX(Demand_previous!$D$4:$AY$138, MATCH('Staging Table'!$A107, Demand_previous!$B$4:$B$138, 0), MATCH(AS$4&amp;AS$5,Demand_previous!$D$2:$AY$2&amp;Demand_previous!$D$3:$AY$3, 0))/1000</f>
        <v>7.824209999999999</v>
      </c>
      <c r="AT107" s="384">
        <f t="array" ref="AT107">INDEX(Demand_previous!$D$4:$AY$138, MATCH('Staging Table'!$A107, Demand_previous!$B$4:$B$138, 0), MATCH(AT$4&amp;AT$5,Demand_previous!$D$2:$AY$2&amp;Demand_previous!$D$3:$AY$3, 0))/1000</f>
        <v>11.773979166666667</v>
      </c>
      <c r="AU107" s="384">
        <f t="array" ref="AU107">INDEX(Demand_previous!$D$4:$AY$138, MATCH('Staging Table'!$A107, Demand_previous!$B$4:$B$138, 0), MATCH(AU$4&amp;AU$5,Demand_previous!$D$2:$AY$2&amp;Demand_previous!$D$3:$AY$3, 0))/1000</f>
        <v>11.942842500000001</v>
      </c>
      <c r="AV107" s="384">
        <f>IF($D107=0,IF(C107=0, MAX(AY107 - (VLOOKUP($A107,TOCA_previous!$A$2:$AI$137,MATCH("RHWM 2016",TOCA_previous!$A$2:$AI$2,0),FALSE)*$F$2*TOCA_previous!C104),0),0), 0)</f>
        <v>0</v>
      </c>
      <c r="AW107" s="427">
        <f>VLOOKUP($A107,REP_previous!$A$1:$D$135,MATCH("FY "&amp;$F$1&amp; " Total Refund",REP_previous!$A$1:$D$1,0),0)</f>
        <v>551087.9505565709</v>
      </c>
      <c r="AX107" s="398">
        <f>MIN(VLOOKUP($A107,TOCA_previous!$A$2:$AI$137,MATCH("TRL - NLSL - Exisiting Resource "&amp;$F$1,TOCA_previous!$A$2:$AI$2,0),FALSE)*$F$2,(VLOOKUP($A107,TOCA_previous!$A$2:$AI$137,MATCH("RHWM 2016",TOCA_previous!$A$2:$AI$2,0),FALSE)*$F$2))</f>
        <v>327616.848</v>
      </c>
      <c r="AY107" s="384">
        <f>SUM(L107:AI107)+(F107*RT1SC!$C$3*$F$2)</f>
        <v>327538.00277114217</v>
      </c>
      <c r="AZ107" s="398">
        <f>VLOOKUP($A107,TOCA_previous!$A$2:$AI$137,MATCH("Above RHWM Not Served with LS "&amp;$F$1,TOCA_previous!$A$2:$AI$2,0),FALSE)*$F$2</f>
        <v>0</v>
      </c>
      <c r="BA107" s="206">
        <f t="shared" si="19"/>
        <v>-78.845228857826442</v>
      </c>
      <c r="BB107" s="399">
        <f>(VLOOKUP($A107,TOCA_previous!$A$2:$AI$137,MATCH("RHWM 2016",TOCA_previous!$A$2:$AI$2,0),FALSE)*$F$2) - $AX107</f>
        <v>8924.5439999999944</v>
      </c>
      <c r="BC107" s="206">
        <f t="shared" si="20"/>
        <v>0</v>
      </c>
      <c r="BD107" s="400">
        <f t="shared" si="21"/>
        <v>78.845228857826442</v>
      </c>
      <c r="BE107" s="392">
        <f t="shared" si="22"/>
        <v>0</v>
      </c>
      <c r="BF107" s="399">
        <f t="shared" si="23"/>
        <v>78.845228857826442</v>
      </c>
      <c r="BG107" s="206">
        <f>VLOOKUP($A107,TOCA_current!$A$2:$AI$137,MATCH(BG$4,TOCA_current!$A$2:$AI$2,0),FALSE)</f>
        <v>5.3838000000000002E-3</v>
      </c>
      <c r="BH107" s="206">
        <f>VLOOKUP($A107,TOCA_current!$A$2:$AI$137,MATCH(BH$4,TOCA_current!$A$2:$AI$2,0),FALSE)</f>
        <v>5.3838000000000002E-3</v>
      </c>
      <c r="BI107" s="391">
        <f t="shared" si="24"/>
        <v>0</v>
      </c>
      <c r="BJ107" s="206">
        <f>VLOOKUP($A107,TOCA_current!A103:BG238,MATCH(BJ$4,TOCA_current!$A$2:$BG$2,0),FALSE)</f>
        <v>0</v>
      </c>
      <c r="BK107" s="206">
        <f t="shared" si="25"/>
        <v>0</v>
      </c>
      <c r="BL107" s="206">
        <f t="shared" si="26"/>
        <v>0</v>
      </c>
      <c r="BM107" s="381">
        <f>VLOOKUP($A107,IRD!$A$4:$G$139, 7, FALSE)</f>
        <v>0</v>
      </c>
      <c r="BN107" s="382">
        <f t="array" ref="BN107">IF($BI107=0, INDEX(LS_current!$D$4:$AY$139, MATCH('Staging Table'!$A107, LS_current!$B$4:$B$139, 0), MATCH(BN$4&amp;BN$5, LS_current!$D$2:$AY$2&amp;LS_current!$D$3:$AY$3, 0)),SUM(VLOOKUP($A107, LS_current!$B$4:$AY$139, LS_current!D$149, FALSE), VLOOKUP($A107, LS_current!$B$4:$AY$139,LS_current!D$149, FALSE))/2)</f>
        <v>-563.36667952852804</v>
      </c>
      <c r="BO107" s="382">
        <f t="array" ref="BO107">IF($BI107=0, INDEX(LS_current!$D$4:$AY$139, MATCH('Staging Table'!$A107, LS_current!$B$4:$B$139, 0), MATCH(BO$4&amp;BO$5, LS_current!$D$2:$AY$2&amp;LS_current!$D$3:$AY$3, 0)),SUM(VLOOKUP($A107, LS_current!$B$4:$AY$139, LS_current!E$149, FALSE), VLOOKUP($A107, LS_current!$B$4:$AY$139,LS_current!E$149, FALSE))/2)</f>
        <v>257.2539343759363</v>
      </c>
      <c r="BP107" s="382">
        <f t="array" ref="BP107">IF($BI107=0, INDEX(LS_current!$D$4:$AY$139, MATCH('Staging Table'!$A107, LS_current!$B$4:$B$139, 0), MATCH(BP$4&amp;BP$5, LS_current!$D$2:$AY$2&amp;LS_current!$D$3:$AY$3, 0)),SUM(VLOOKUP($A107, LS_current!$B$4:$AY$139, LS_current!F$149, FALSE), VLOOKUP($A107, LS_current!$B$4:$AY$139,LS_current!F$149, FALSE))/2)</f>
        <v>-867.56496357165815</v>
      </c>
      <c r="BQ107" s="382">
        <f t="array" ref="BQ107">IF($BI107=0, INDEX(LS_current!$D$4:$AY$139, MATCH('Staging Table'!$A107, LS_current!$B$4:$B$139, 0), MATCH(BQ$4&amp;BQ$5, LS_current!$D$2:$AY$2&amp;LS_current!$D$3:$AY$3, 0)),SUM(VLOOKUP($A107, LS_current!$B$4:$AY$139, LS_current!G$149, FALSE), VLOOKUP($A107, LS_current!$B$4:$AY$139,LS_current!G$149, FALSE))/2)</f>
        <v>-143.50363363796714</v>
      </c>
      <c r="BR107" s="382">
        <f t="array" ref="BR107">IF($BI107=0, INDEX(LS_current!$D$4:$AY$139, MATCH('Staging Table'!$A107, LS_current!$B$4:$B$139, 0), MATCH(BR$4&amp;BR$5, LS_current!$D$2:$AY$2&amp;LS_current!$D$3:$AY$3, 0)),SUM(VLOOKUP($A107, LS_current!$B$4:$AY$139, LS_current!H$149, FALSE), VLOOKUP($A107, LS_current!$B$4:$AY$139,LS_current!H$149, FALSE))/2)</f>
        <v>1603.6746178353314</v>
      </c>
      <c r="BS107" s="382">
        <f t="array" ref="BS107">IF($BI107=0, INDEX(LS_current!$D$4:$AY$139, MATCH('Staging Table'!$A107, LS_current!$B$4:$B$139, 0), MATCH(BS$4&amp;BS$5, LS_current!$D$2:$AY$2&amp;LS_current!$D$3:$AY$3, 0)),SUM(VLOOKUP($A107, LS_current!$B$4:$AY$139, LS_current!I$149, FALSE), VLOOKUP($A107, LS_current!$B$4:$AY$139,LS_current!I$149, FALSE))/2)</f>
        <v>2140.7859576130559</v>
      </c>
      <c r="BT107" s="382">
        <f t="array" ref="BT107">IF($BI107=0, INDEX(LS_current!$D$4:$AY$139, MATCH('Staging Table'!$A107, LS_current!$B$4:$B$139, 0), MATCH(BT$4&amp;BT$5, LS_current!$D$2:$AY$2&amp;LS_current!$D$3:$AY$3, 0)),SUM(VLOOKUP($A107, LS_current!$B$4:$AY$139, LS_current!J$149, FALSE), VLOOKUP($A107, LS_current!$B$4:$AY$139,LS_current!J$149, FALSE))/2)</f>
        <v>4403.5462795087387</v>
      </c>
      <c r="BU107" s="382">
        <f t="array" ref="BU107">IF($BI107=0, INDEX(LS_current!$D$4:$AY$139, MATCH('Staging Table'!$A107, LS_current!$B$4:$B$139, 0), MATCH(BU$4&amp;BU$5, LS_current!$D$2:$AY$2&amp;LS_current!$D$3:$AY$3, 0)),SUM(VLOOKUP($A107, LS_current!$B$4:$AY$139, LS_current!K$149, FALSE), VLOOKUP($A107, LS_current!$B$4:$AY$139,LS_current!K$149, FALSE))/2)</f>
        <v>2365.2043060728538</v>
      </c>
      <c r="BV107" s="382">
        <f t="array" ref="BV107">IF($BI107=0, INDEX(LS_current!$D$4:$AY$139, MATCH('Staging Table'!$A107, LS_current!$B$4:$B$139, 0), MATCH(BV$4&amp;BV$5, LS_current!$D$2:$AY$2&amp;LS_current!$D$3:$AY$3, 0)),SUM(VLOOKUP($A107, LS_current!$B$4:$AY$139, LS_current!L$149, FALSE), VLOOKUP($A107, LS_current!$B$4:$AY$139,LS_current!L$149, FALSE))/2)</f>
        <v>4804.1156895356889</v>
      </c>
      <c r="BW107" s="382">
        <f t="array" ref="BW107">IF($BI107=0, INDEX(LS_current!$D$4:$AY$139, MATCH('Staging Table'!$A107, LS_current!$B$4:$B$139, 0), MATCH(BW$4&amp;BW$5, LS_current!$D$2:$AY$2&amp;LS_current!$D$3:$AY$3, 0)),SUM(VLOOKUP($A107, LS_current!$B$4:$AY$139, LS_current!M$149, FALSE), VLOOKUP($A107, LS_current!$B$4:$AY$139,LS_current!M$149, FALSE))/2)</f>
        <v>2541.4778650067847</v>
      </c>
      <c r="BX107" s="382">
        <f t="array" ref="BX107">IF($BI107=0, INDEX(LS_current!$D$4:$AY$139, MATCH('Staging Table'!$A107, LS_current!$B$4:$B$139, 0), MATCH(BX$4&amp;BX$5, LS_current!$D$2:$AY$2&amp;LS_current!$D$3:$AY$3, 0)),SUM(VLOOKUP($A107, LS_current!$B$4:$AY$139, LS_current!N$149, FALSE), VLOOKUP($A107, LS_current!$B$4:$AY$139,LS_current!N$149, FALSE))/2)</f>
        <v>1524.4231390099721</v>
      </c>
      <c r="BY107" s="382">
        <f t="array" ref="BY107">IF($BI107=0, INDEX(LS_current!$D$4:$AY$139, MATCH('Staging Table'!$A107, LS_current!$B$4:$B$139, 0), MATCH(BY$4&amp;BY$5, LS_current!$D$2:$AY$2&amp;LS_current!$D$3:$AY$3, 0)),SUM(VLOOKUP($A107, LS_current!$B$4:$AY$139, LS_current!O$149, FALSE), VLOOKUP($A107, LS_current!$B$4:$AY$139,LS_current!O$149, FALSE))/2)</f>
        <v>230.38812915893686</v>
      </c>
      <c r="BZ107" s="382">
        <f t="array" ref="BZ107">IF($BI107=0, INDEX(LS_current!$D$4:$AY$139, MATCH('Staging Table'!$A107, LS_current!$B$4:$B$139, 0), MATCH(BZ$4&amp;BZ$5, LS_current!$D$2:$AY$2&amp;LS_current!$D$3:$AY$3, 0)),SUM(VLOOKUP($A107, LS_current!$B$4:$AY$139, LS_current!P$149, FALSE), VLOOKUP($A107, LS_current!$B$4:$AY$139,LS_current!P$149, FALSE))/2)</f>
        <v>-13.367776118035181</v>
      </c>
      <c r="CA107" s="382">
        <f t="array" ref="CA107">IF($BI107=0, INDEX(LS_current!$D$4:$AY$139, MATCH('Staging Table'!$A107, LS_current!$B$4:$B$139, 0), MATCH(CA$4&amp;CA$5, LS_current!$D$2:$AY$2&amp;LS_current!$D$3:$AY$3, 0)),SUM(VLOOKUP($A107, LS_current!$B$4:$AY$139, LS_current!Q$149, FALSE), VLOOKUP($A107, LS_current!$B$4:$AY$139,LS_current!Q$149, FALSE))/2)</f>
        <v>829.51425148214366</v>
      </c>
      <c r="CB107" s="382">
        <f t="array" ref="CB107">IF($BI107=0, INDEX(LS_current!$D$4:$AY$139, MATCH('Staging Table'!$A107, LS_current!$B$4:$B$139, 0), MATCH(CB$4&amp;CB$5, LS_current!$D$2:$AY$2&amp;LS_current!$D$3:$AY$3, 0)),SUM(VLOOKUP($A107, LS_current!$B$4:$AY$139, LS_current!R$149, FALSE), VLOOKUP($A107, LS_current!$B$4:$AY$139,LS_current!R$149, FALSE))/2)</f>
        <v>-7894.7236285228992</v>
      </c>
      <c r="CC107" s="382">
        <f t="array" ref="CC107">IF($BI107=0, INDEX(LS_current!$D$4:$AY$139, MATCH('Staging Table'!$A107, LS_current!$B$4:$B$139, 0), MATCH(CC$4&amp;CC$5, LS_current!$D$2:$AY$2&amp;LS_current!$D$3:$AY$3, 0)),SUM(VLOOKUP($A107, LS_current!$B$4:$AY$139, LS_current!S$149, FALSE), VLOOKUP($A107, LS_current!$B$4:$AY$139,LS_current!S$149, FALSE))/2)</f>
        <v>-4226.9663290583594</v>
      </c>
      <c r="CD107" s="382">
        <f t="array" ref="CD107">IF($BI107=0, INDEX(LS_current!$D$4:$AY$139, MATCH('Staging Table'!$A107, LS_current!$B$4:$B$139, 0), MATCH(CD$4&amp;CD$5, LS_current!$D$2:$AY$2&amp;LS_current!$D$3:$AY$3, 0)),SUM(VLOOKUP($A107, LS_current!$B$4:$AY$139, LS_current!T$149, FALSE), VLOOKUP($A107, LS_current!$B$4:$AY$139,LS_current!T$149, FALSE))/2)</f>
        <v>-3540.5028313758557</v>
      </c>
      <c r="CE107" s="382">
        <f t="array" ref="CE107">IF($BI107=0, INDEX(LS_current!$D$4:$AY$139, MATCH('Staging Table'!$A107, LS_current!$B$4:$B$139, 0), MATCH(CE$4&amp;CE$5, LS_current!$D$2:$AY$2&amp;LS_current!$D$3:$AY$3, 0)),SUM(VLOOKUP($A107, LS_current!$B$4:$AY$139, LS_current!U$149, FALSE), VLOOKUP($A107, LS_current!$B$4:$AY$139,LS_current!U$149, FALSE))/2)</f>
        <v>-1757.353328564127</v>
      </c>
      <c r="CF107" s="382">
        <f t="array" ref="CF107">IF($BI107=0, INDEX(LS_current!$D$4:$AY$139, MATCH('Staging Table'!$A107, LS_current!$B$4:$B$139, 0), MATCH(CF$4&amp;CF$5, LS_current!$D$2:$AY$2&amp;LS_current!$D$3:$AY$3, 0)),SUM(VLOOKUP($A107, LS_current!$B$4:$AY$139, LS_current!V$149, FALSE), VLOOKUP($A107, LS_current!$B$4:$AY$139,LS_current!V$149, FALSE))/2)</f>
        <v>-265.36179138141779</v>
      </c>
      <c r="CG107" s="382">
        <f t="array" ref="CG107">IF($BI107=0, INDEX(LS_current!$D$4:$AY$139, MATCH('Staging Table'!$A107, LS_current!$B$4:$B$139, 0), MATCH(CG$4&amp;CG$5, LS_current!$D$2:$AY$2&amp;LS_current!$D$3:$AY$3, 0)),SUM(VLOOKUP($A107, LS_current!$B$4:$AY$139, LS_current!W$149, FALSE), VLOOKUP($A107, LS_current!$B$4:$AY$139,LS_current!W$149, FALSE))/2)</f>
        <v>1453.9418510292653</v>
      </c>
      <c r="CH107" s="382">
        <f t="array" ref="CH107">IF($BI107=0, INDEX(LS_current!$D$4:$AY$139, MATCH('Staging Table'!$A107, LS_current!$B$4:$B$139, 0), MATCH(CH$4&amp;CH$5, LS_current!$D$2:$AY$2&amp;LS_current!$D$3:$AY$3, 0)),SUM(VLOOKUP($A107, LS_current!$B$4:$AY$139, LS_current!X$149, FALSE), VLOOKUP($A107, LS_current!$B$4:$AY$139,LS_current!X$149, FALSE))/2)</f>
        <v>-1121.1563201985045</v>
      </c>
      <c r="CI107" s="382">
        <f t="array" ref="CI107">IF($BI107=0, INDEX(LS_current!$D$4:$AY$139, MATCH('Staging Table'!$A107, LS_current!$B$4:$B$139, 0), MATCH(CI$4&amp;CI$5, LS_current!$D$2:$AY$2&amp;LS_current!$D$3:$AY$3, 0)),SUM(VLOOKUP($A107, LS_current!$B$4:$AY$139, LS_current!Y$149, FALSE), VLOOKUP($A107, LS_current!$B$4:$AY$139,LS_current!Y$149, FALSE))/2)</f>
        <v>-223.33437156840591</v>
      </c>
      <c r="CJ107" s="382">
        <f t="array" ref="CJ107">IF($BI107=0, INDEX(LS_current!$D$4:$AY$139, MATCH('Staging Table'!$A107, LS_current!$B$4:$B$139, 0), MATCH(CJ$4&amp;CJ$5, LS_current!$D$2:$AY$2&amp;LS_current!$D$3:$AY$3, 0)),SUM(VLOOKUP($A107, LS_current!$B$4:$AY$139, LS_current!Z$149, FALSE), VLOOKUP($A107, LS_current!$B$4:$AY$139,LS_current!Z$149, FALSE))/2)</f>
        <v>-1614.8952139291123</v>
      </c>
      <c r="CK107" s="382">
        <f t="array" ref="CK107">IF($BI107=0, INDEX(LS_current!$D$4:$AY$139, MATCH('Staging Table'!$A107, LS_current!$B$4:$B$139, 0), MATCH(CK$4&amp;CK$5, LS_current!$D$2:$AY$2&amp;LS_current!$D$3:$AY$3, 0)),SUM(VLOOKUP($A107, LS_current!$B$4:$AY$139, LS_current!AA$149, FALSE), VLOOKUP($A107, LS_current!$B$4:$AY$139,LS_current!AA$149, FALSE))/2)</f>
        <v>82.339426807526252</v>
      </c>
      <c r="CL107" s="384">
        <f t="array" ref="CL107">INDEX(Demand_current!$D$4:$AY$138, MATCH($A107, Demand_current!$B$4:$B$138, 0), MATCH(CL$4&amp;CL$5,Demand_current!$D$2:$AY$2&amp;Demand_current!$D$3:$AY$3, 0))/1000</f>
        <v>6.2307692307692308</v>
      </c>
      <c r="CM107" s="384">
        <f t="array" ref="CM107">INDEX(Demand_current!$D$4:$AY$138, MATCH($A107, Demand_current!$B$4:$B$138, 0), MATCH(CM$4&amp;CM$5,Demand_current!$D$2:$AY$2&amp;Demand_current!$D$3:$AY$3, 0))/1000</f>
        <v>2.4581924999999973</v>
      </c>
      <c r="CN107" s="384">
        <f t="array" ref="CN107">INDEX(Demand_current!$D$4:$AY$138, MATCH($A107, Demand_current!$B$4:$B$138, 0), MATCH(CN$4&amp;CN$5,Demand_current!$D$2:$AY$2&amp;Demand_current!$D$3:$AY$3, 0))/1000</f>
        <v>9.5311525000000099</v>
      </c>
      <c r="CO107" s="384">
        <f t="array" ref="CO107">INDEX(Demand_current!$D$4:$AY$138, MATCH($A107, Demand_current!$B$4:$B$138, 0), MATCH(CO$4&amp;CO$5,Demand_current!$D$2:$AY$2&amp;Demand_current!$D$3:$AY$3, 0))/1000</f>
        <v>6.413855769230759</v>
      </c>
      <c r="CP107" s="384">
        <f t="array" ref="CP107">INDEX(Demand_current!$D$4:$AY$138, MATCH($A107, Demand_current!$B$4:$B$138, 0), MATCH(CP$4&amp;CP$5,Demand_current!$D$2:$AY$2&amp;Demand_current!$D$3:$AY$3, 0))/1000</f>
        <v>0</v>
      </c>
      <c r="CQ107" s="384">
        <f t="array" ref="CQ107">INDEX(Demand_current!$D$4:$AY$138, MATCH($A107, Demand_current!$B$4:$B$138, 0), MATCH(CQ$4&amp;CQ$5,Demand_current!$D$2:$AY$2&amp;Demand_current!$D$3:$AY$3, 0))/1000</f>
        <v>4.3555902777777789</v>
      </c>
      <c r="CR107" s="384">
        <f t="array" ref="CR107">INDEX(Demand_current!$D$4:$AY$138, MATCH($A107, Demand_current!$B$4:$B$138, 0), MATCH(CR$4&amp;CR$5,Demand_current!$D$2:$AY$2&amp;Demand_current!$D$3:$AY$3, 0))/1000</f>
        <v>2.1010399999999976</v>
      </c>
      <c r="CS107" s="384">
        <f t="array" ref="CS107">INDEX(Demand_current!$D$4:$AY$138, MATCH($A107, Demand_current!$B$4:$B$138, 0), MATCH(CS$4&amp;CS$5,Demand_current!$D$2:$AY$2&amp;Demand_current!$D$3:$AY$3, 0))/1000</f>
        <v>3.9246923076923115</v>
      </c>
      <c r="CT107" s="384">
        <f t="array" ref="CT107">INDEX(Demand_current!$D$4:$AY$138, MATCH($A107, Demand_current!$B$4:$B$138, 0), MATCH(CT$4&amp;CT$5,Demand_current!$D$2:$AY$2&amp;Demand_current!$D$3:$AY$3, 0))/1000</f>
        <v>2.5422187500000071</v>
      </c>
      <c r="CU107" s="384">
        <f t="array" ref="CU107">INDEX(Demand_current!$D$4:$AY$138, MATCH($A107, Demand_current!$B$4:$B$138, 0), MATCH(CU$4&amp;CU$5,Demand_current!$D$2:$AY$2&amp;Demand_current!$D$3:$AY$3, 0))/1000</f>
        <v>7.824209999999999</v>
      </c>
      <c r="CV107" s="384">
        <f t="array" ref="CV107">INDEX(Demand_current!$D$4:$AY$138, MATCH($A107, Demand_current!$B$4:$B$138, 0), MATCH(CV$4&amp;CV$5,Demand_current!$D$2:$AY$2&amp;Demand_current!$D$3:$AY$3, 0))/1000</f>
        <v>11.773979166666667</v>
      </c>
      <c r="CW107" s="384">
        <f t="array" ref="CW107">INDEX(Demand_current!$D$4:$AY$138, MATCH($A107, Demand_current!$B$4:$B$138, 0), MATCH(CW$4&amp;CW$5,Demand_current!$D$2:$AY$2&amp;Demand_current!$D$3:$AY$3, 0))/1000</f>
        <v>10.442210937500004</v>
      </c>
      <c r="CX107" s="384">
        <f>IF(D107=0,IF(C107=0,MAX(0,DA107 - (VLOOKUP($A107,TOCA_current!$A$2:$AI$137,MATCH("RHWM 2018",TOCA_current!$A$2:$AI$2,0),FALSE)*$BH$2)), 0),0)</f>
        <v>0</v>
      </c>
      <c r="CY107" s="427">
        <f>VLOOKUP($A107,REP_current!$A$1:$D$135,MATCH("FY "&amp;$BH$1&amp; " Total Refund",REP_current!$A$1:$D$1,0),0)</f>
        <v>556029.91397967096</v>
      </c>
      <c r="CZ107" s="432">
        <f>MIN(VLOOKUP($A107,TOCA_current!$A$2:$AI$137,MATCH("TRL - NLSL - Existing Resource "&amp;$BH$1,TOCA_current!$A$2:$AI$2,0),FALSE)*$BH$2, VLOOKUP($A107,TOCA_current!$A$2:$AI$137,MATCH("RHWM 2018",TOCA_current!$A$2:$AI$2,0),FALSE)*$BH$2)</f>
        <v>327536.40000000002</v>
      </c>
      <c r="DA107" s="397">
        <f>SUM(BN107:CK107)+(BH107*RT1SC!$C$4*$BH$2)</f>
        <v>327538.00677842932</v>
      </c>
      <c r="DB107" s="432">
        <f>VLOOKUP($A107,TOCA_current!$A$2:$AI$137,MATCH("Above RHWM Not Served with LS "&amp;$BH$1,TOCA_current!$A$2:$AI$2,0),FALSE)*$BH$2</f>
        <v>0</v>
      </c>
      <c r="DC107" s="401">
        <f t="shared" si="27"/>
        <v>1.6067784292972647</v>
      </c>
      <c r="DD107" s="397">
        <f>(VLOOKUP($A107,TOCA_current!$A$2:$AI$137,MATCH("RHWM 2018",TOCA_current!$A$2:$AI$2,0),FALSE)*$BH$2) - $CZ107</f>
        <v>5956.7999999999884</v>
      </c>
      <c r="DE107" s="397">
        <f t="shared" si="28"/>
        <v>-1.6067784292972647</v>
      </c>
      <c r="DF107" s="397">
        <f t="shared" si="29"/>
        <v>0</v>
      </c>
      <c r="DG107" s="397">
        <f t="shared" si="30"/>
        <v>0</v>
      </c>
      <c r="DH107" s="397">
        <f t="shared" si="31"/>
        <v>-1.6067784292972647</v>
      </c>
    </row>
    <row r="108" spans="1:112">
      <c r="A108" s="274">
        <v>10343</v>
      </c>
      <c r="B108" s="275" t="s">
        <v>109</v>
      </c>
      <c r="C108" s="397">
        <v>0</v>
      </c>
      <c r="D108" s="397">
        <v>0</v>
      </c>
      <c r="E108" s="205">
        <f>VLOOKUP($A108,TOCA_previous!$A$2:$AI$137,MATCH(E$4,TOCA_previous!$A$2:$AI$2,0),FALSE)</f>
        <v>1.7516999999999999E-3</v>
      </c>
      <c r="F108" s="206">
        <f>VLOOKUP($A108,TOCA_previous!$A$2:$AI$137,MATCH(F$4,TOCA_previous!$A$2:$AI$2,0),FALSE)</f>
        <v>1.7516999999999999E-3</v>
      </c>
      <c r="G108" s="206">
        <f t="shared" si="16"/>
        <v>0</v>
      </c>
      <c r="H108" s="206">
        <f>VLOOKUP($A108,TOCA_previous!$A$2:$AI$137,MATCH(H$4,TOCA_previous!$A$2:$AI$2,0),FALSE)</f>
        <v>5.5E-2</v>
      </c>
      <c r="I108" s="206">
        <f t="shared" si="17"/>
        <v>0</v>
      </c>
      <c r="J108" s="206">
        <f t="shared" si="18"/>
        <v>0</v>
      </c>
      <c r="K108" s="381">
        <f>VLOOKUP(A108, IRD!$A$5:$C$139, 3, FALSE)</f>
        <v>10505.661</v>
      </c>
      <c r="L108" s="382">
        <f t="array" ref="L108">IF($G108=0, INDEX(LS_previous!$D$4:$AY$138, MATCH('Staging Table'!$A108, LS_previous!$B$4:$B$138, 0), MATCH(L$4&amp;L$5, LS_previous!$D$2:$AY$2&amp;LS_previous!$D$3:$AY$3, 0)),SUM(VLOOKUP($A108, LS_previous!$B$4:$AY$138, LS_previous!D$149, FALSE), VLOOKUP('Staging Table'!$A108, LS_previous!$B$4:$AY$138,LS_previous!AB$149, FALSE))/2)</f>
        <v>-1546.8861258698475</v>
      </c>
      <c r="M108" s="382">
        <f t="array" ref="M108">IF($G108=0, INDEX(LS_previous!$D$4:$AY$138, MATCH('Staging Table'!$A108, LS_previous!$B$4:$B$138, 0), MATCH(M$4&amp;M$5, LS_previous!$D$2:$AY$2&amp;LS_previous!$D$3:$AY$3, 0)),SUM(VLOOKUP($A108, LS_previous!$B$4:$AY$138, LS_previous!E$149, FALSE), VLOOKUP('Staging Table'!$A108, LS_previous!$B$4:$AY$138,LS_previous!AC$149, FALSE))/2)</f>
        <v>-565.04548451950313</v>
      </c>
      <c r="N108" s="382">
        <f t="array" ref="N108">IF($G108=0, INDEX(LS_previous!$D$4:$AY$138, MATCH('Staging Table'!$A108, LS_previous!$B$4:$B$138, 0), MATCH(N$4&amp;N$5, LS_previous!$D$2:$AY$2&amp;LS_previous!$D$3:$AY$3, 0)),SUM(VLOOKUP($A108, LS_previous!$B$4:$AY$138, LS_previous!F$149, FALSE), VLOOKUP('Staging Table'!$A108, LS_previous!$B$4:$AY$138,LS_previous!AD$149, FALSE))/2)</f>
        <v>-1623.3913784900506</v>
      </c>
      <c r="O108" s="382">
        <f t="array" ref="O108">IF($G108=0, INDEX(LS_previous!$D$4:$AY$138, MATCH('Staging Table'!$A108, LS_previous!$B$4:$B$138, 0), MATCH(O$4&amp;O$5, LS_previous!$D$2:$AY$2&amp;LS_previous!$D$3:$AY$3, 0)),SUM(VLOOKUP($A108, LS_previous!$B$4:$AY$138, LS_previous!G$149, FALSE), VLOOKUP('Staging Table'!$A108, LS_previous!$B$4:$AY$138,LS_previous!AE$149, FALSE))/2)</f>
        <v>-568.72426628817766</v>
      </c>
      <c r="P108" s="382">
        <f t="array" ref="P108">IF($G108=0, INDEX(LS_previous!$D$4:$AY$138, MATCH('Staging Table'!$A108, LS_previous!$B$4:$B$138, 0), MATCH(P$4&amp;P$5, LS_previous!$D$2:$AY$2&amp;LS_previous!$D$3:$AY$3, 0)),SUM(VLOOKUP($A108, LS_previous!$B$4:$AY$138, LS_previous!H$149, FALSE), VLOOKUP('Staging Table'!$A108, LS_previous!$B$4:$AY$138,LS_previous!AF$149, FALSE))/2)</f>
        <v>-208.26417709891575</v>
      </c>
      <c r="Q108" s="382">
        <f t="array" ref="Q108">IF($G108=0, INDEX(LS_previous!$D$4:$AY$138, MATCH('Staging Table'!$A108, LS_previous!$B$4:$B$138, 0), MATCH(Q$4&amp;Q$5, LS_previous!$D$2:$AY$2&amp;LS_previous!$D$3:$AY$3, 0)),SUM(VLOOKUP($A108, LS_previous!$B$4:$AY$138, LS_previous!I$149, FALSE), VLOOKUP('Staging Table'!$A108, LS_previous!$B$4:$AY$138,LS_previous!AG$149, FALSE))/2)</f>
        <v>110.73463977930487</v>
      </c>
      <c r="R108" s="382">
        <f t="array" ref="R108">IF($G108=0, INDEX(LS_previous!$D$4:$AY$138, MATCH('Staging Table'!$A108, LS_previous!$B$4:$B$138, 0), MATCH(R$4&amp;R$5, LS_previous!$D$2:$AY$2&amp;LS_previous!$D$3:$AY$3, 0)),SUM(VLOOKUP($A108, LS_previous!$B$4:$AY$138, LS_previous!J$149, FALSE), VLOOKUP('Staging Table'!$A108, LS_previous!$B$4:$AY$138,LS_previous!AH$149, FALSE))/2)</f>
        <v>863.44390689644479</v>
      </c>
      <c r="S108" s="382">
        <f t="array" ref="S108">IF($G108=0, INDEX(LS_previous!$D$4:$AY$138, MATCH('Staging Table'!$A108, LS_previous!$B$4:$B$138, 0), MATCH(S$4&amp;S$5, LS_previous!$D$2:$AY$2&amp;LS_previous!$D$3:$AY$3, 0)),SUM(VLOOKUP($A108, LS_previous!$B$4:$AY$138, LS_previous!K$149, FALSE), VLOOKUP('Staging Table'!$A108, LS_previous!$B$4:$AY$138,LS_previous!AI$149, FALSE))/2)</f>
        <v>1070.3846671703541</v>
      </c>
      <c r="T108" s="382">
        <f t="array" ref="T108">IF($G108=0, INDEX(LS_previous!$D$4:$AY$138, MATCH('Staging Table'!$A108, LS_previous!$B$4:$B$138, 0), MATCH(T$4&amp;T$5, LS_previous!$D$2:$AY$2&amp;LS_previous!$D$3:$AY$3, 0)),SUM(VLOOKUP($A108, LS_previous!$B$4:$AY$138, LS_previous!L$149, FALSE), VLOOKUP('Staging Table'!$A108, LS_previous!$B$4:$AY$138,LS_previous!AJ$149, FALSE))/2)</f>
        <v>134.34083074663977</v>
      </c>
      <c r="U108" s="382">
        <f t="array" ref="U108">IF($G108=0, INDEX(LS_previous!$D$4:$AY$138, MATCH('Staging Table'!$A108, LS_previous!$B$4:$B$138, 0), MATCH(U$4&amp;U$5, LS_previous!$D$2:$AY$2&amp;LS_previous!$D$3:$AY$3, 0)),SUM(VLOOKUP($A108, LS_previous!$B$4:$AY$138, LS_previous!M$149, FALSE), VLOOKUP('Staging Table'!$A108, LS_previous!$B$4:$AY$138,LS_previous!AK$149, FALSE))/2)</f>
        <v>922.82220729485971</v>
      </c>
      <c r="V108" s="382">
        <f t="array" ref="V108">IF($G108=0, INDEX(LS_previous!$D$4:$AY$138, MATCH('Staging Table'!$A108, LS_previous!$B$4:$B$138, 0), MATCH(V$4&amp;V$5, LS_previous!$D$2:$AY$2&amp;LS_previous!$D$3:$AY$3, 0)),SUM(VLOOKUP($A108, LS_previous!$B$4:$AY$138, LS_previous!N$149, FALSE), VLOOKUP('Staging Table'!$A108, LS_previous!$B$4:$AY$138,LS_previous!AL$149, FALSE))/2)</f>
        <v>-828.14474618086751</v>
      </c>
      <c r="W108" s="382">
        <f t="array" ref="W108">IF($G108=0, INDEX(LS_previous!$D$4:$AY$138, MATCH('Staging Table'!$A108, LS_previous!$B$4:$B$138, 0), MATCH(W$4&amp;W$5, LS_previous!$D$2:$AY$2&amp;LS_previous!$D$3:$AY$3, 0)),SUM(VLOOKUP($A108, LS_previous!$B$4:$AY$138, LS_previous!O$149, FALSE), VLOOKUP('Staging Table'!$A108, LS_previous!$B$4:$AY$138,LS_previous!AM$149, FALSE))/2)</f>
        <v>131.54476646473449</v>
      </c>
      <c r="X108" s="382">
        <f t="array" ref="X108">IF($G108=0, INDEX(LS_previous!$D$4:$AY$138, MATCH('Staging Table'!$A108, LS_previous!$B$4:$B$138, 0), MATCH(X$4&amp;X$5, LS_previous!$D$2:$AY$2&amp;LS_previous!$D$3:$AY$3, 0)),SUM(VLOOKUP($A108, LS_previous!$B$4:$AY$138, LS_previous!P$149, FALSE), VLOOKUP('Staging Table'!$A108, LS_previous!$B$4:$AY$138,LS_previous!AN$149, FALSE))/2)</f>
        <v>-5.1418262125589536</v>
      </c>
      <c r="Y108" s="382">
        <f t="array" ref="Y108">IF($G108=0, INDEX(LS_previous!$D$4:$AY$138, MATCH('Staging Table'!$A108, LS_previous!$B$4:$B$138, 0), MATCH(Y$4&amp;Y$5, LS_previous!$D$2:$AY$2&amp;LS_previous!$D$3:$AY$3, 0)),SUM(VLOOKUP($A108, LS_previous!$B$4:$AY$138, LS_previous!Q$149, FALSE), VLOOKUP('Staging Table'!$A108, LS_previous!$B$4:$AY$138,LS_previous!AO$149, FALSE))/2)</f>
        <v>268.47035243873188</v>
      </c>
      <c r="Z108" s="382">
        <f t="array" ref="Z108">IF($G108=0, INDEX(LS_previous!$D$4:$AY$138, MATCH('Staging Table'!$A108, LS_previous!$B$4:$B$138, 0), MATCH(Z$4&amp;Z$5, LS_previous!$D$2:$AY$2&amp;LS_previous!$D$3:$AY$3, 0)),SUM(VLOOKUP($A108, LS_previous!$B$4:$AY$138, LS_previous!R$149, FALSE), VLOOKUP('Staging Table'!$A108, LS_previous!$B$4:$AY$138,LS_previous!AP$149, FALSE))/2)</f>
        <v>-2759.9765797122582</v>
      </c>
      <c r="AA108" s="382">
        <f t="array" ref="AA108">IF($G108=0, INDEX(LS_previous!$D$4:$AY$138, MATCH('Staging Table'!$A108, LS_previous!$B$4:$B$138, 0), MATCH(AA$4&amp;AA$5, LS_previous!$D$2:$AY$2&amp;LS_previous!$D$3:$AY$3, 0)),SUM(VLOOKUP($A108, LS_previous!$B$4:$AY$138, LS_previous!S$149, FALSE), VLOOKUP('Staging Table'!$A108, LS_previous!$B$4:$AY$138,LS_previous!AQ$149, FALSE))/2)</f>
        <v>-532.49572250971596</v>
      </c>
      <c r="AB108" s="382">
        <f t="array" ref="AB108">IF($G108=0, INDEX(LS_previous!$D$4:$AY$138, MATCH('Staging Table'!$A108, LS_previous!$B$4:$B$138, 0), MATCH(AB$4&amp;AB$5, LS_previous!$D$2:$AY$2&amp;LS_previous!$D$3:$AY$3, 0)),SUM(VLOOKUP($A108, LS_previous!$B$4:$AY$138, LS_previous!T$149, FALSE), VLOOKUP('Staging Table'!$A108, LS_previous!$B$4:$AY$138,LS_previous!AR$149, FALSE))/2)</f>
        <v>-607.43185474596339</v>
      </c>
      <c r="AC108" s="382">
        <f t="array" ref="AC108">IF($G108=0, INDEX(LS_previous!$D$4:$AY$138, MATCH('Staging Table'!$A108, LS_previous!$B$4:$B$138, 0), MATCH(AC$4&amp;AC$5, LS_previous!$D$2:$AY$2&amp;LS_previous!$D$3:$AY$3, 0)),SUM(VLOOKUP($A108, LS_previous!$B$4:$AY$138, LS_previous!U$149, FALSE), VLOOKUP('Staging Table'!$A108, LS_previous!$B$4:$AY$138,LS_previous!AS$149, FALSE))/2)</f>
        <v>-211.08988356709415</v>
      </c>
      <c r="AD108" s="382">
        <f t="array" ref="AD108">IF($G108=0, INDEX(LS_previous!$D$4:$AY$138, MATCH('Staging Table'!$A108, LS_previous!$B$4:$B$138, 0), MATCH(AD$4&amp;AD$5, LS_previous!$D$2:$AY$2&amp;LS_previous!$D$3:$AY$3, 0)),SUM(VLOOKUP($A108, LS_previous!$B$4:$AY$138, LS_previous!V$149, FALSE), VLOOKUP('Staging Table'!$A108, LS_previous!$B$4:$AY$138,LS_previous!AT$149, FALSE))/2)</f>
        <v>-703.46615035138439</v>
      </c>
      <c r="AE108" s="382">
        <f t="array" ref="AE108">IF($G108=0, INDEX(LS_previous!$D$4:$AY$138, MATCH('Staging Table'!$A108, LS_previous!$B$4:$B$138, 0), MATCH(AE$4&amp;AE$5, LS_previous!$D$2:$AY$2&amp;LS_previous!$D$3:$AY$3, 0)),SUM(VLOOKUP($A108, LS_previous!$B$4:$AY$138, LS_previous!W$149, FALSE), VLOOKUP('Staging Table'!$A108, LS_previous!$B$4:$AY$138,LS_previous!AU$149, FALSE))/2)</f>
        <v>874.05939307935523</v>
      </c>
      <c r="AF108" s="382">
        <f t="array" ref="AF108">IF($G108=0, INDEX(LS_previous!$D$4:$AY$138, MATCH('Staging Table'!$A108, LS_previous!$B$4:$B$138, 0), MATCH(AF$4&amp;AF$5, LS_previous!$D$2:$AY$2&amp;LS_previous!$D$3:$AY$3, 0)),SUM(VLOOKUP($A108, LS_previous!$B$4:$AY$138, LS_previous!X$149, FALSE), VLOOKUP('Staging Table'!$A108, LS_previous!$B$4:$AY$138,LS_previous!AV$149, FALSE))/2)</f>
        <v>-1167.9799634416677</v>
      </c>
      <c r="AG108" s="382">
        <f t="array" ref="AG108">IF($G108=0, INDEX(LS_previous!$D$4:$AY$138, MATCH('Staging Table'!$A108, LS_previous!$B$4:$B$138, 0), MATCH(AG$4&amp;AG$5, LS_previous!$D$2:$AY$2&amp;LS_previous!$D$3:$AY$3, 0)),SUM(VLOOKUP($A108, LS_previous!$B$4:$AY$138, LS_previous!Y$149, FALSE), VLOOKUP('Staging Table'!$A108, LS_previous!$B$4:$AY$138,LS_previous!AW$149, FALSE))/2)</f>
        <v>254.26000107813479</v>
      </c>
      <c r="AH108" s="382">
        <f t="array" ref="AH108">IF($G108=0, INDEX(LS_previous!$D$4:$AY$138, MATCH('Staging Table'!$A108, LS_previous!$B$4:$B$138, 0), MATCH(AH$4&amp;AH$5, LS_previous!$D$2:$AY$2&amp;LS_previous!$D$3:$AY$3, 0)),SUM(VLOOKUP($A108, LS_previous!$B$4:$AY$138, LS_previous!Z$149, FALSE), VLOOKUP('Staging Table'!$A108, LS_previous!$B$4:$AY$138,LS_previous!AX$149, FALSE))/2)</f>
        <v>-653.08560846673709</v>
      </c>
      <c r="AI108" s="382">
        <f t="array" ref="AI108">IF($G108=0, INDEX(LS_previous!$D$4:$AY$138, MATCH('Staging Table'!$A108, LS_previous!$B$4:$B$138, 0), MATCH(AI$4&amp;AI$5, LS_previous!$D$2:$AY$2&amp;LS_previous!$D$3:$AY$3, 0)),SUM(VLOOKUP($A108, LS_previous!$B$4:$AY$138, LS_previous!AA$149, FALSE), VLOOKUP('Staging Table'!$A108, LS_previous!$B$4:$AY$138,LS_previous!AY$149, FALSE))/2)</f>
        <v>-540.81137626853206</v>
      </c>
      <c r="AJ108" s="384">
        <f t="array" ref="AJ108">INDEX(Demand_previous!$D$4:$AY$138, MATCH('Staging Table'!$A108, Demand_previous!$B$4:$B$138, 0), MATCH(AJ$4&amp;AJ$5,Demand_previous!$D$2:$AY$2&amp;Demand_previous!$D$3:$AY$3, 0))/1000</f>
        <v>0</v>
      </c>
      <c r="AK108" s="384">
        <f t="array" ref="AK108">INDEX(Demand_previous!$D$4:$AY$138, MATCH('Staging Table'!$A108, Demand_previous!$B$4:$B$138, 0), MATCH(AK$4&amp;AK$5,Demand_previous!$D$2:$AY$2&amp;Demand_previous!$D$3:$AY$3, 0))/1000</f>
        <v>0</v>
      </c>
      <c r="AL108" s="384">
        <f t="array" ref="AL108">INDEX(Demand_previous!$D$4:$AY$138, MATCH('Staging Table'!$A108, Demand_previous!$B$4:$B$138, 0), MATCH(AL$4&amp;AL$5,Demand_previous!$D$2:$AY$2&amp;Demand_previous!$D$3:$AY$3, 0))/1000</f>
        <v>0</v>
      </c>
      <c r="AM108" s="384">
        <f t="array" ref="AM108">INDEX(Demand_previous!$D$4:$AY$138, MATCH('Staging Table'!$A108, Demand_previous!$B$4:$B$138, 0), MATCH(AM$4&amp;AM$5,Demand_previous!$D$2:$AY$2&amp;Demand_previous!$D$3:$AY$3, 0))/1000</f>
        <v>0</v>
      </c>
      <c r="AN108" s="384">
        <f t="array" ref="AN108">INDEX(Demand_previous!$D$4:$AY$138, MATCH('Staging Table'!$A108, Demand_previous!$B$4:$B$138, 0), MATCH(AN$4&amp;AN$5,Demand_previous!$D$2:$AY$2&amp;Demand_previous!$D$3:$AY$3, 0))/1000</f>
        <v>0</v>
      </c>
      <c r="AO108" s="384">
        <f t="array" ref="AO108">INDEX(Demand_previous!$D$4:$AY$138, MATCH('Staging Table'!$A108, Demand_previous!$B$4:$B$138, 0), MATCH(AO$4&amp;AO$5,Demand_previous!$D$2:$AY$2&amp;Demand_previous!$D$3:$AY$3, 0))/1000</f>
        <v>0</v>
      </c>
      <c r="AP108" s="384">
        <f t="array" ref="AP108">INDEX(Demand_previous!$D$4:$AY$138, MATCH('Staging Table'!$A108, Demand_previous!$B$4:$B$138, 0), MATCH(AP$4&amp;AP$5,Demand_previous!$D$2:$AY$2&amp;Demand_previous!$D$3:$AY$3, 0))/1000</f>
        <v>0</v>
      </c>
      <c r="AQ108" s="384">
        <f t="array" ref="AQ108">INDEX(Demand_previous!$D$4:$AY$138, MATCH('Staging Table'!$A108, Demand_previous!$B$4:$B$138, 0), MATCH(AQ$4&amp;AQ$5,Demand_previous!$D$2:$AY$2&amp;Demand_previous!$D$3:$AY$3, 0))/1000</f>
        <v>0</v>
      </c>
      <c r="AR108" s="384">
        <f t="array" ref="AR108">INDEX(Demand_previous!$D$4:$AY$138, MATCH('Staging Table'!$A108, Demand_previous!$B$4:$B$138, 0), MATCH(AR$4&amp;AR$5,Demand_previous!$D$2:$AY$2&amp;Demand_previous!$D$3:$AY$3, 0))/1000</f>
        <v>0</v>
      </c>
      <c r="AS108" s="384">
        <f t="array" ref="AS108">INDEX(Demand_previous!$D$4:$AY$138, MATCH('Staging Table'!$A108, Demand_previous!$B$4:$B$138, 0), MATCH(AS$4&amp;AS$5,Demand_previous!$D$2:$AY$2&amp;Demand_previous!$D$3:$AY$3, 0))/1000</f>
        <v>0</v>
      </c>
      <c r="AT108" s="384">
        <f t="array" ref="AT108">INDEX(Demand_previous!$D$4:$AY$138, MATCH('Staging Table'!$A108, Demand_previous!$B$4:$B$138, 0), MATCH(AT$4&amp;AT$5,Demand_previous!$D$2:$AY$2&amp;Demand_previous!$D$3:$AY$3, 0))/1000</f>
        <v>0</v>
      </c>
      <c r="AU108" s="384">
        <f t="array" ref="AU108">INDEX(Demand_previous!$D$4:$AY$138, MATCH('Staging Table'!$A108, Demand_previous!$B$4:$B$138, 0), MATCH(AU$4&amp;AU$5,Demand_previous!$D$2:$AY$2&amp;Demand_previous!$D$3:$AY$3, 0))/1000</f>
        <v>0</v>
      </c>
      <c r="AV108" s="384">
        <f>IF($D108=0,IF(C108=0, MAX(AY108 - (VLOOKUP($A108,TOCA_previous!$A$2:$AI$137,MATCH("RHWM 2016",TOCA_previous!$A$2:$AI$2,0),FALSE)*$F$2*TOCA_previous!C105),0),0), 0)</f>
        <v>0</v>
      </c>
      <c r="AW108" s="427">
        <f>VLOOKUP($A108,REP_previous!$A$1:$D$135,MATCH("FY "&amp;$F$1&amp; " Total Refund",REP_previous!$A$1:$D$1,0),0)</f>
        <v>195116.12544414858</v>
      </c>
      <c r="AX108" s="398">
        <f>MIN(VLOOKUP($A108,TOCA_previous!$A$2:$AI$137,MATCH("TRL - NLSL - Exisiting Resource "&amp;$F$1,TOCA_previous!$A$2:$AI$2,0),FALSE)*$F$2,(VLOOKUP($A108,TOCA_previous!$A$2:$AI$137,MATCH("RHWM 2016",TOCA_previous!$A$2:$AI$2,0),FALSE)*$F$2))</f>
        <v>107445.88799999999</v>
      </c>
      <c r="AY108" s="384">
        <f>SUM(L108:AI108)+(F108*RT1SC!$C$3*$F$2)</f>
        <v>99556.385252913286</v>
      </c>
      <c r="AZ108" s="398">
        <f>VLOOKUP($A108,TOCA_previous!$A$2:$AI$137,MATCH("Above RHWM Not Served with LS "&amp;$F$1,TOCA_previous!$A$2:$AI$2,0),FALSE)*$F$2</f>
        <v>0</v>
      </c>
      <c r="BA108" s="206">
        <f t="shared" si="19"/>
        <v>-7889.5027470867062</v>
      </c>
      <c r="BB108" s="399">
        <f>(VLOOKUP($A108,TOCA_previous!$A$2:$AI$137,MATCH("RHWM 2016",TOCA_previous!$A$2:$AI$2,0),FALSE)*$F$2) - $AX108</f>
        <v>165578.40000000002</v>
      </c>
      <c r="BC108" s="206">
        <f t="shared" si="20"/>
        <v>0</v>
      </c>
      <c r="BD108" s="400">
        <f t="shared" si="21"/>
        <v>7889.5027470867062</v>
      </c>
      <c r="BE108" s="392">
        <f t="shared" si="22"/>
        <v>0</v>
      </c>
      <c r="BF108" s="399">
        <f t="shared" si="23"/>
        <v>7889.5027470867062</v>
      </c>
      <c r="BG108" s="206">
        <f>VLOOKUP($A108,TOCA_current!$A$2:$AI$137,MATCH(BG$4,TOCA_current!$A$2:$AI$2,0),FALSE)</f>
        <v>1.6364999999999999E-3</v>
      </c>
      <c r="BH108" s="206">
        <f>VLOOKUP($A108,TOCA_current!$A$2:$AI$137,MATCH(BH$4,TOCA_current!$A$2:$AI$2,0),FALSE)</f>
        <v>1.6364999999999999E-3</v>
      </c>
      <c r="BI108" s="391">
        <f t="shared" si="24"/>
        <v>0</v>
      </c>
      <c r="BJ108" s="206">
        <f>VLOOKUP($A108,TOCA_current!A104:BG239,MATCH(BJ$4,TOCA_current!$A$2:$BG$2,0),FALSE)</f>
        <v>0.06</v>
      </c>
      <c r="BK108" s="206">
        <f t="shared" si="25"/>
        <v>0</v>
      </c>
      <c r="BL108" s="206">
        <f t="shared" si="26"/>
        <v>0</v>
      </c>
      <c r="BM108" s="381">
        <f>VLOOKUP($A108,IRD!$A$4:$G$139, 7, FALSE)</f>
        <v>10505.661</v>
      </c>
      <c r="BN108" s="382">
        <f t="array" ref="BN108">IF($BI108=0, INDEX(LS_current!$D$4:$AY$139, MATCH('Staging Table'!$A108, LS_current!$B$4:$B$139, 0), MATCH(BN$4&amp;BN$5, LS_current!$D$2:$AY$2&amp;LS_current!$D$3:$AY$3, 0)),SUM(VLOOKUP($A108, LS_current!$B$4:$AY$139, LS_current!D$149, FALSE), VLOOKUP($A108, LS_current!$B$4:$AY$139,LS_current!D$149, FALSE))/2)</f>
        <v>-1224.1612460062474</v>
      </c>
      <c r="BO108" s="382">
        <f t="array" ref="BO108">IF($BI108=0, INDEX(LS_current!$D$4:$AY$139, MATCH('Staging Table'!$A108, LS_current!$B$4:$B$139, 0), MATCH(BO$4&amp;BO$5, LS_current!$D$2:$AY$2&amp;LS_current!$D$3:$AY$3, 0)),SUM(VLOOKUP($A108, LS_current!$B$4:$AY$139, LS_current!E$149, FALSE), VLOOKUP($A108, LS_current!$B$4:$AY$139,LS_current!E$149, FALSE))/2)</f>
        <v>-220.3517521441695</v>
      </c>
      <c r="BP108" s="382">
        <f t="array" ref="BP108">IF($BI108=0, INDEX(LS_current!$D$4:$AY$139, MATCH('Staging Table'!$A108, LS_current!$B$4:$B$139, 0), MATCH(BP$4&amp;BP$5, LS_current!$D$2:$AY$2&amp;LS_current!$D$3:$AY$3, 0)),SUM(VLOOKUP($A108, LS_current!$B$4:$AY$139, LS_current!F$149, FALSE), VLOOKUP($A108, LS_current!$B$4:$AY$139,LS_current!F$149, FALSE))/2)</f>
        <v>-1333.5649934962321</v>
      </c>
      <c r="BQ108" s="382">
        <f t="array" ref="BQ108">IF($BI108=0, INDEX(LS_current!$D$4:$AY$139, MATCH('Staging Table'!$A108, LS_current!$B$4:$B$139, 0), MATCH(BQ$4&amp;BQ$5, LS_current!$D$2:$AY$2&amp;LS_current!$D$3:$AY$3, 0)),SUM(VLOOKUP($A108, LS_current!$B$4:$AY$139, LS_current!G$149, FALSE), VLOOKUP($A108, LS_current!$B$4:$AY$139,LS_current!G$149, FALSE))/2)</f>
        <v>-287.6615918029147</v>
      </c>
      <c r="BR108" s="382">
        <f t="array" ref="BR108">IF($BI108=0, INDEX(LS_current!$D$4:$AY$139, MATCH('Staging Table'!$A108, LS_current!$B$4:$B$139, 0), MATCH(BR$4&amp;BR$5, LS_current!$D$2:$AY$2&amp;LS_current!$D$3:$AY$3, 0)),SUM(VLOOKUP($A108, LS_current!$B$4:$AY$139, LS_current!H$149, FALSE), VLOOKUP($A108, LS_current!$B$4:$AY$139,LS_current!H$149, FALSE))/2)</f>
        <v>1.2775092662295719</v>
      </c>
      <c r="BS108" s="382">
        <f t="array" ref="BS108">IF($BI108=0, INDEX(LS_current!$D$4:$AY$139, MATCH('Staging Table'!$A108, LS_current!$B$4:$B$139, 0), MATCH(BS$4&amp;BS$5, LS_current!$D$2:$AY$2&amp;LS_current!$D$3:$AY$3, 0)),SUM(VLOOKUP($A108, LS_current!$B$4:$AY$139, LS_current!I$149, FALSE), VLOOKUP($A108, LS_current!$B$4:$AY$139,LS_current!I$149, FALSE))/2)</f>
        <v>323.77853347705513</v>
      </c>
      <c r="BT108" s="382">
        <f t="array" ref="BT108">IF($BI108=0, INDEX(LS_current!$D$4:$AY$139, MATCH('Staging Table'!$A108, LS_current!$B$4:$B$139, 0), MATCH(BT$4&amp;BT$5, LS_current!$D$2:$AY$2&amp;LS_current!$D$3:$AY$3, 0)),SUM(VLOOKUP($A108, LS_current!$B$4:$AY$139, LS_current!J$149, FALSE), VLOOKUP($A108, LS_current!$B$4:$AY$139,LS_current!J$149, FALSE))/2)</f>
        <v>1152.4029946907485</v>
      </c>
      <c r="BU108" s="382">
        <f t="array" ref="BU108">IF($BI108=0, INDEX(LS_current!$D$4:$AY$139, MATCH('Staging Table'!$A108, LS_current!$B$4:$B$139, 0), MATCH(BU$4&amp;BU$5, LS_current!$D$2:$AY$2&amp;LS_current!$D$3:$AY$3, 0)),SUM(VLOOKUP($A108, LS_current!$B$4:$AY$139, LS_current!K$149, FALSE), VLOOKUP($A108, LS_current!$B$4:$AY$139,LS_current!K$149, FALSE))/2)</f>
        <v>1273.0966364999122</v>
      </c>
      <c r="BV108" s="382">
        <f t="array" ref="BV108">IF($BI108=0, INDEX(LS_current!$D$4:$AY$139, MATCH('Staging Table'!$A108, LS_current!$B$4:$B$139, 0), MATCH(BV$4&amp;BV$5, LS_current!$D$2:$AY$2&amp;LS_current!$D$3:$AY$3, 0)),SUM(VLOOKUP($A108, LS_current!$B$4:$AY$139, LS_current!L$149, FALSE), VLOOKUP($A108, LS_current!$B$4:$AY$139,LS_current!L$149, FALSE))/2)</f>
        <v>789.93325456464845</v>
      </c>
      <c r="BW108" s="382">
        <f t="array" ref="BW108">IF($BI108=0, INDEX(LS_current!$D$4:$AY$139, MATCH('Staging Table'!$A108, LS_current!$B$4:$B$139, 0), MATCH(BW$4&amp;BW$5, LS_current!$D$2:$AY$2&amp;LS_current!$D$3:$AY$3, 0)),SUM(VLOOKUP($A108, LS_current!$B$4:$AY$139, LS_current!M$149, FALSE), VLOOKUP($A108, LS_current!$B$4:$AY$139,LS_current!M$149, FALSE))/2)</f>
        <v>1379.1902433752375</v>
      </c>
      <c r="BX108" s="382">
        <f t="array" ref="BX108">IF($BI108=0, INDEX(LS_current!$D$4:$AY$139, MATCH('Staging Table'!$A108, LS_current!$B$4:$B$139, 0), MATCH(BX$4&amp;BX$5, LS_current!$D$2:$AY$2&amp;LS_current!$D$3:$AY$3, 0)),SUM(VLOOKUP($A108, LS_current!$B$4:$AY$139, LS_current!N$149, FALSE), VLOOKUP($A108, LS_current!$B$4:$AY$139,LS_current!N$149, FALSE))/2)</f>
        <v>-199.24706573613003</v>
      </c>
      <c r="BY108" s="382">
        <f t="array" ref="BY108">IF($BI108=0, INDEX(LS_current!$D$4:$AY$139, MATCH('Staging Table'!$A108, LS_current!$B$4:$B$139, 0), MATCH(BY$4&amp;BY$5, LS_current!$D$2:$AY$2&amp;LS_current!$D$3:$AY$3, 0)),SUM(VLOOKUP($A108, LS_current!$B$4:$AY$139, LS_current!O$149, FALSE), VLOOKUP($A108, LS_current!$B$4:$AY$139,LS_current!O$149, FALSE))/2)</f>
        <v>649.02846069107363</v>
      </c>
      <c r="BZ108" s="382">
        <f t="array" ref="BZ108">IF($BI108=0, INDEX(LS_current!$D$4:$AY$139, MATCH('Staging Table'!$A108, LS_current!$B$4:$B$139, 0), MATCH(BZ$4&amp;BZ$5, LS_current!$D$2:$AY$2&amp;LS_current!$D$3:$AY$3, 0)),SUM(VLOOKUP($A108, LS_current!$B$4:$AY$139, LS_current!P$149, FALSE), VLOOKUP($A108, LS_current!$B$4:$AY$139,LS_current!P$149, FALSE))/2)</f>
        <v>-199.69714425074562</v>
      </c>
      <c r="CA108" s="382">
        <f t="array" ref="CA108">IF($BI108=0, INDEX(LS_current!$D$4:$AY$139, MATCH('Staging Table'!$A108, LS_current!$B$4:$B$139, 0), MATCH(CA$4&amp;CA$5, LS_current!$D$2:$AY$2&amp;LS_current!$D$3:$AY$3, 0)),SUM(VLOOKUP($A108, LS_current!$B$4:$AY$139, LS_current!Q$149, FALSE), VLOOKUP($A108, LS_current!$B$4:$AY$139,LS_current!Q$149, FALSE))/2)</f>
        <v>417.62793613256963</v>
      </c>
      <c r="CB108" s="382">
        <f t="array" ref="CB108">IF($BI108=0, INDEX(LS_current!$D$4:$AY$139, MATCH('Staging Table'!$A108, LS_current!$B$4:$B$139, 0), MATCH(CB$4&amp;CB$5, LS_current!$D$2:$AY$2&amp;LS_current!$D$3:$AY$3, 0)),SUM(VLOOKUP($A108, LS_current!$B$4:$AY$139, LS_current!R$149, FALSE), VLOOKUP($A108, LS_current!$B$4:$AY$139,LS_current!R$149, FALSE))/2)</f>
        <v>-2202.2142009134295</v>
      </c>
      <c r="CC108" s="382">
        <f t="array" ref="CC108">IF($BI108=0, INDEX(LS_current!$D$4:$AY$139, MATCH('Staging Table'!$A108, LS_current!$B$4:$B$139, 0), MATCH(CC$4&amp;CC$5, LS_current!$D$2:$AY$2&amp;LS_current!$D$3:$AY$3, 0)),SUM(VLOOKUP($A108, LS_current!$B$4:$AY$139, LS_current!S$149, FALSE), VLOOKUP($A108, LS_current!$B$4:$AY$139,LS_current!S$149, FALSE))/2)</f>
        <v>-317.94322913258338</v>
      </c>
      <c r="CD108" s="382">
        <f t="array" ref="CD108">IF($BI108=0, INDEX(LS_current!$D$4:$AY$139, MATCH('Staging Table'!$A108, LS_current!$B$4:$B$139, 0), MATCH(CD$4&amp;CD$5, LS_current!$D$2:$AY$2&amp;LS_current!$D$3:$AY$3, 0)),SUM(VLOOKUP($A108, LS_current!$B$4:$AY$139, LS_current!T$149, FALSE), VLOOKUP($A108, LS_current!$B$4:$AY$139,LS_current!T$149, FALSE))/2)</f>
        <v>-180.78408749332903</v>
      </c>
      <c r="CE108" s="382">
        <f t="array" ref="CE108">IF($BI108=0, INDEX(LS_current!$D$4:$AY$139, MATCH('Staging Table'!$A108, LS_current!$B$4:$B$139, 0), MATCH(CE$4&amp;CE$5, LS_current!$D$2:$AY$2&amp;LS_current!$D$3:$AY$3, 0)),SUM(VLOOKUP($A108, LS_current!$B$4:$AY$139, LS_current!U$149, FALSE), VLOOKUP($A108, LS_current!$B$4:$AY$139,LS_current!U$149, FALSE))/2)</f>
        <v>242.06363377257867</v>
      </c>
      <c r="CF108" s="382">
        <f t="array" ref="CF108">IF($BI108=0, INDEX(LS_current!$D$4:$AY$139, MATCH('Staging Table'!$A108, LS_current!$B$4:$B$139, 0), MATCH(CF$4&amp;CF$5, LS_current!$D$2:$AY$2&amp;LS_current!$D$3:$AY$3, 0)),SUM(VLOOKUP($A108, LS_current!$B$4:$AY$139, LS_current!V$149, FALSE), VLOOKUP($A108, LS_current!$B$4:$AY$139,LS_current!V$149, FALSE))/2)</f>
        <v>-9.0862340346393466</v>
      </c>
      <c r="CG108" s="382">
        <f t="array" ref="CG108">IF($BI108=0, INDEX(LS_current!$D$4:$AY$139, MATCH('Staging Table'!$A108, LS_current!$B$4:$B$139, 0), MATCH(CG$4&amp;CG$5, LS_current!$D$2:$AY$2&amp;LS_current!$D$3:$AY$3, 0)),SUM(VLOOKUP($A108, LS_current!$B$4:$AY$139, LS_current!W$149, FALSE), VLOOKUP($A108, LS_current!$B$4:$AY$139,LS_current!W$149, FALSE))/2)</f>
        <v>1273.0853744770229</v>
      </c>
      <c r="CH108" s="382">
        <f t="array" ref="CH108">IF($BI108=0, INDEX(LS_current!$D$4:$AY$139, MATCH('Staging Table'!$A108, LS_current!$B$4:$B$139, 0), MATCH(CH$4&amp;CH$5, LS_current!$D$2:$AY$2&amp;LS_current!$D$3:$AY$3, 0)),SUM(VLOOKUP($A108, LS_current!$B$4:$AY$139, LS_current!X$149, FALSE), VLOOKUP($A108, LS_current!$B$4:$AY$139,LS_current!X$149, FALSE))/2)</f>
        <v>-741.40467500740215</v>
      </c>
      <c r="CI108" s="382">
        <f t="array" ref="CI108">IF($BI108=0, INDEX(LS_current!$D$4:$AY$139, MATCH('Staging Table'!$A108, LS_current!$B$4:$B$139, 0), MATCH(CI$4&amp;CI$5, LS_current!$D$2:$AY$2&amp;LS_current!$D$3:$AY$3, 0)),SUM(VLOOKUP($A108, LS_current!$B$4:$AY$139, LS_current!Y$149, FALSE), VLOOKUP($A108, LS_current!$B$4:$AY$139,LS_current!Y$149, FALSE))/2)</f>
        <v>547.59778324386252</v>
      </c>
      <c r="CJ108" s="382">
        <f t="array" ref="CJ108">IF($BI108=0, INDEX(LS_current!$D$4:$AY$139, MATCH('Staging Table'!$A108, LS_current!$B$4:$B$139, 0), MATCH(CJ$4&amp;CJ$5, LS_current!$D$2:$AY$2&amp;LS_current!$D$3:$AY$3, 0)),SUM(VLOOKUP($A108, LS_current!$B$4:$AY$139, LS_current!Z$149, FALSE), VLOOKUP($A108, LS_current!$B$4:$AY$139,LS_current!Z$149, FALSE))/2)</f>
        <v>-797.34294188026843</v>
      </c>
      <c r="CK108" s="382">
        <f t="array" ref="CK108">IF($BI108=0, INDEX(LS_current!$D$4:$AY$139, MATCH('Staging Table'!$A108, LS_current!$B$4:$B$139, 0), MATCH(CK$4&amp;CK$5, LS_current!$D$2:$AY$2&amp;LS_current!$D$3:$AY$3, 0)),SUM(VLOOKUP($A108, LS_current!$B$4:$AY$139, LS_current!AA$149, FALSE), VLOOKUP($A108, LS_current!$B$4:$AY$139,LS_current!AA$149, FALSE))/2)</f>
        <v>-338.74334184581221</v>
      </c>
      <c r="CL108" s="384">
        <f t="array" ref="CL108">INDEX(Demand_current!$D$4:$AY$138, MATCH($A108, Demand_current!$B$4:$B$138, 0), MATCH(CL$4&amp;CL$5,Demand_current!$D$2:$AY$2&amp;Demand_current!$D$3:$AY$3, 0))/1000</f>
        <v>0</v>
      </c>
      <c r="CM108" s="384">
        <f t="array" ref="CM108">INDEX(Demand_current!$D$4:$AY$138, MATCH($A108, Demand_current!$B$4:$B$138, 0), MATCH(CM$4&amp;CM$5,Demand_current!$D$2:$AY$2&amp;Demand_current!$D$3:$AY$3, 0))/1000</f>
        <v>0</v>
      </c>
      <c r="CN108" s="384">
        <f t="array" ref="CN108">INDEX(Demand_current!$D$4:$AY$138, MATCH($A108, Demand_current!$B$4:$B$138, 0), MATCH(CN$4&amp;CN$5,Demand_current!$D$2:$AY$2&amp;Demand_current!$D$3:$AY$3, 0))/1000</f>
        <v>0</v>
      </c>
      <c r="CO108" s="384">
        <f t="array" ref="CO108">INDEX(Demand_current!$D$4:$AY$138, MATCH($A108, Demand_current!$B$4:$B$138, 0), MATCH(CO$4&amp;CO$5,Demand_current!$D$2:$AY$2&amp;Demand_current!$D$3:$AY$3, 0))/1000</f>
        <v>0</v>
      </c>
      <c r="CP108" s="384">
        <f t="array" ref="CP108">INDEX(Demand_current!$D$4:$AY$138, MATCH($A108, Demand_current!$B$4:$B$138, 0), MATCH(CP$4&amp;CP$5,Demand_current!$D$2:$AY$2&amp;Demand_current!$D$3:$AY$3, 0))/1000</f>
        <v>0</v>
      </c>
      <c r="CQ108" s="384">
        <f t="array" ref="CQ108">INDEX(Demand_current!$D$4:$AY$138, MATCH($A108, Demand_current!$B$4:$B$138, 0), MATCH(CQ$4&amp;CQ$5,Demand_current!$D$2:$AY$2&amp;Demand_current!$D$3:$AY$3, 0))/1000</f>
        <v>0</v>
      </c>
      <c r="CR108" s="384">
        <f t="array" ref="CR108">INDEX(Demand_current!$D$4:$AY$138, MATCH($A108, Demand_current!$B$4:$B$138, 0), MATCH(CR$4&amp;CR$5,Demand_current!$D$2:$AY$2&amp;Demand_current!$D$3:$AY$3, 0))/1000</f>
        <v>0</v>
      </c>
      <c r="CS108" s="384">
        <f t="array" ref="CS108">INDEX(Demand_current!$D$4:$AY$138, MATCH($A108, Demand_current!$B$4:$B$138, 0), MATCH(CS$4&amp;CS$5,Demand_current!$D$2:$AY$2&amp;Demand_current!$D$3:$AY$3, 0))/1000</f>
        <v>0</v>
      </c>
      <c r="CT108" s="384">
        <f t="array" ref="CT108">INDEX(Demand_current!$D$4:$AY$138, MATCH($A108, Demand_current!$B$4:$B$138, 0), MATCH(CT$4&amp;CT$5,Demand_current!$D$2:$AY$2&amp;Demand_current!$D$3:$AY$3, 0))/1000</f>
        <v>0</v>
      </c>
      <c r="CU108" s="384">
        <f t="array" ref="CU108">INDEX(Demand_current!$D$4:$AY$138, MATCH($A108, Demand_current!$B$4:$B$138, 0), MATCH(CU$4&amp;CU$5,Demand_current!$D$2:$AY$2&amp;Demand_current!$D$3:$AY$3, 0))/1000</f>
        <v>0</v>
      </c>
      <c r="CV108" s="384">
        <f t="array" ref="CV108">INDEX(Demand_current!$D$4:$AY$138, MATCH($A108, Demand_current!$B$4:$B$138, 0), MATCH(CV$4&amp;CV$5,Demand_current!$D$2:$AY$2&amp;Demand_current!$D$3:$AY$3, 0))/1000</f>
        <v>0</v>
      </c>
      <c r="CW108" s="384">
        <f t="array" ref="CW108">INDEX(Demand_current!$D$4:$AY$138, MATCH($A108, Demand_current!$B$4:$B$138, 0), MATCH(CW$4&amp;CW$5,Demand_current!$D$2:$AY$2&amp;Demand_current!$D$3:$AY$3, 0))/1000</f>
        <v>0</v>
      </c>
      <c r="CX108" s="384">
        <f>IF(D108=0,IF(C108=0,MAX(0,DA108 - (VLOOKUP($A108,TOCA_current!$A$2:$AI$137,MATCH("RHWM 2018",TOCA_current!$A$2:$AI$2,0),FALSE)*$BH$2)), 0),0)</f>
        <v>0</v>
      </c>
      <c r="CY108" s="427">
        <f>VLOOKUP($A108,REP_current!$A$1:$D$135,MATCH("FY "&amp;$BH$1&amp; " Total Refund",REP_current!$A$1:$D$1,0),0)</f>
        <v>191610.45666428225</v>
      </c>
      <c r="CZ108" s="432">
        <f>MIN(VLOOKUP($A108,TOCA_current!$A$2:$AI$137,MATCH("TRL - NLSL - Existing Resource "&amp;$BH$1,TOCA_current!$A$2:$AI$2,0),FALSE)*$BH$2, VLOOKUP($A108,TOCA_current!$A$2:$AI$137,MATCH("RHWM 2018",TOCA_current!$A$2:$AI$2,0),FALSE)*$BH$2)</f>
        <v>99557.400000000009</v>
      </c>
      <c r="DA108" s="397">
        <f>SUM(BN108:CK108)+(BH108*RT1SC!$C$4*$BH$2)</f>
        <v>99556.38645248703</v>
      </c>
      <c r="DB108" s="432">
        <f>VLOOKUP($A108,TOCA_current!$A$2:$AI$137,MATCH("Above RHWM Not Served with LS "&amp;$BH$1,TOCA_current!$A$2:$AI$2,0),FALSE)*$BH$2</f>
        <v>0</v>
      </c>
      <c r="DC108" s="401">
        <f t="shared" si="27"/>
        <v>-1.0135475129791303</v>
      </c>
      <c r="DD108" s="397">
        <f>(VLOOKUP($A108,TOCA_current!$A$2:$AI$137,MATCH("RHWM 2018",TOCA_current!$A$2:$AI$2,0),FALSE)*$BH$2) - $CZ108</f>
        <v>170995.20000000001</v>
      </c>
      <c r="DE108" s="397">
        <f t="shared" si="28"/>
        <v>0</v>
      </c>
      <c r="DF108" s="397">
        <f t="shared" si="29"/>
        <v>1.0135475129791303</v>
      </c>
      <c r="DG108" s="397">
        <f t="shared" si="30"/>
        <v>0</v>
      </c>
      <c r="DH108" s="397">
        <f t="shared" si="31"/>
        <v>1.0135475129791303</v>
      </c>
    </row>
    <row r="109" spans="1:112">
      <c r="A109" s="274">
        <v>10349</v>
      </c>
      <c r="B109" s="275" t="s">
        <v>110</v>
      </c>
      <c r="C109" s="397">
        <v>0</v>
      </c>
      <c r="D109" s="397">
        <v>1</v>
      </c>
      <c r="E109" s="205">
        <f>VLOOKUP($A109,TOCA_previous!$A$2:$AI$137,MATCH(E$4,TOCA_previous!$A$2:$AI$2,0),FALSE)</f>
        <v>7.2823799999999994E-2</v>
      </c>
      <c r="F109" s="206">
        <f>VLOOKUP($A109,TOCA_previous!$A$2:$AI$137,MATCH(F$4,TOCA_previous!$A$2:$AI$2,0),FALSE)</f>
        <v>7.2823799999999994E-2</v>
      </c>
      <c r="G109" s="206">
        <f t="shared" si="16"/>
        <v>0</v>
      </c>
      <c r="H109" s="206">
        <f>VLOOKUP($A109,TOCA_previous!$A$2:$AI$137,MATCH(H$4,TOCA_previous!$A$2:$AI$2,0),FALSE)</f>
        <v>0</v>
      </c>
      <c r="I109" s="206">
        <f t="shared" si="17"/>
        <v>0</v>
      </c>
      <c r="J109" s="206">
        <f t="shared" si="18"/>
        <v>0</v>
      </c>
      <c r="K109" s="381">
        <f>VLOOKUP(A109, IRD!$A$5:$C$139, 3, FALSE)</f>
        <v>0</v>
      </c>
      <c r="L109" s="382">
        <f t="array" ref="L109">IF($G109=0, INDEX(LS_previous!$D$4:$AY$138, MATCH('Staging Table'!$A109, LS_previous!$B$4:$B$138, 0), MATCH(L$4&amp;L$5, LS_previous!$D$2:$AY$2&amp;LS_previous!$D$3:$AY$3, 0)),SUM(VLOOKUP($A109, LS_previous!$B$4:$AY$138, LS_previous!D$149, FALSE), VLOOKUP('Staging Table'!$A109, LS_previous!$B$4:$AY$138,LS_previous!AB$149, FALSE))/2)</f>
        <v>-6485.9821878269722</v>
      </c>
      <c r="M109" s="382">
        <f t="array" ref="M109">IF($G109=0, INDEX(LS_previous!$D$4:$AY$138, MATCH('Staging Table'!$A109, LS_previous!$B$4:$B$138, 0), MATCH(M$4&amp;M$5, LS_previous!$D$2:$AY$2&amp;LS_previous!$D$3:$AY$3, 0)),SUM(VLOOKUP($A109, LS_previous!$B$4:$AY$138, LS_previous!E$149, FALSE), VLOOKUP('Staging Table'!$A109, LS_previous!$B$4:$AY$138,LS_previous!AC$149, FALSE))/2)</f>
        <v>17093.919495110298</v>
      </c>
      <c r="N109" s="382">
        <f t="array" ref="N109">IF($G109=0, INDEX(LS_previous!$D$4:$AY$138, MATCH('Staging Table'!$A109, LS_previous!$B$4:$B$138, 0), MATCH(N$4&amp;N$5, LS_previous!$D$2:$AY$2&amp;LS_previous!$D$3:$AY$3, 0)),SUM(VLOOKUP($A109, LS_previous!$B$4:$AY$138, LS_previous!F$149, FALSE), VLOOKUP('Staging Table'!$A109, LS_previous!$B$4:$AY$138,LS_previous!AD$149, FALSE))/2)</f>
        <v>79904.194882145326</v>
      </c>
      <c r="O109" s="382">
        <f t="array" ref="O109">IF($G109=0, INDEX(LS_previous!$D$4:$AY$138, MATCH('Staging Table'!$A109, LS_previous!$B$4:$B$138, 0), MATCH(O$4&amp;O$5, LS_previous!$D$2:$AY$2&amp;LS_previous!$D$3:$AY$3, 0)),SUM(VLOOKUP($A109, LS_previous!$B$4:$AY$138, LS_previous!G$149, FALSE), VLOOKUP('Staging Table'!$A109, LS_previous!$B$4:$AY$138,LS_previous!AE$149, FALSE))/2)</f>
        <v>69403.97182636385</v>
      </c>
      <c r="P109" s="382">
        <f t="array" ref="P109">IF($G109=0, INDEX(LS_previous!$D$4:$AY$138, MATCH('Staging Table'!$A109, LS_previous!$B$4:$B$138, 0), MATCH(P$4&amp;P$5, LS_previous!$D$2:$AY$2&amp;LS_previous!$D$3:$AY$3, 0)),SUM(VLOOKUP($A109, LS_previous!$B$4:$AY$138, LS_previous!H$149, FALSE), VLOOKUP('Staging Table'!$A109, LS_previous!$B$4:$AY$138,LS_previous!AF$149, FALSE))/2)</f>
        <v>94375.089521070535</v>
      </c>
      <c r="Q109" s="382">
        <f t="array" ref="Q109">IF($G109=0, INDEX(LS_previous!$D$4:$AY$138, MATCH('Staging Table'!$A109, LS_previous!$B$4:$B$138, 0), MATCH(Q$4&amp;Q$5, LS_previous!$D$2:$AY$2&amp;LS_previous!$D$3:$AY$3, 0)),SUM(VLOOKUP($A109, LS_previous!$B$4:$AY$138, LS_previous!I$149, FALSE), VLOOKUP('Staging Table'!$A109, LS_previous!$B$4:$AY$138,LS_previous!AG$149, FALSE))/2)</f>
        <v>74767.105668594479</v>
      </c>
      <c r="R109" s="382">
        <f t="array" ref="R109">IF($G109=0, INDEX(LS_previous!$D$4:$AY$138, MATCH('Staging Table'!$A109, LS_previous!$B$4:$B$138, 0), MATCH(R$4&amp;R$5, LS_previous!$D$2:$AY$2&amp;LS_previous!$D$3:$AY$3, 0)),SUM(VLOOKUP($A109, LS_previous!$B$4:$AY$138, LS_previous!J$149, FALSE), VLOOKUP('Staging Table'!$A109, LS_previous!$B$4:$AY$138,LS_previous!AH$149, FALSE))/2)</f>
        <v>157593.80973127668</v>
      </c>
      <c r="S109" s="382">
        <f t="array" ref="S109">IF($G109=0, INDEX(LS_previous!$D$4:$AY$138, MATCH('Staging Table'!$A109, LS_previous!$B$4:$B$138, 0), MATCH(S$4&amp;S$5, LS_previous!$D$2:$AY$2&amp;LS_previous!$D$3:$AY$3, 0)),SUM(VLOOKUP($A109, LS_previous!$B$4:$AY$138, LS_previous!K$149, FALSE), VLOOKUP('Staging Table'!$A109, LS_previous!$B$4:$AY$138,LS_previous!AI$149, FALSE))/2)</f>
        <v>114526.54614658246</v>
      </c>
      <c r="T109" s="382">
        <f t="array" ref="T109">IF($G109=0, INDEX(LS_previous!$D$4:$AY$138, MATCH('Staging Table'!$A109, LS_previous!$B$4:$B$138, 0), MATCH(T$4&amp;T$5, LS_previous!$D$2:$AY$2&amp;LS_previous!$D$3:$AY$3, 0)),SUM(VLOOKUP($A109, LS_previous!$B$4:$AY$138, LS_previous!L$149, FALSE), VLOOKUP('Staging Table'!$A109, LS_previous!$B$4:$AY$138,LS_previous!AJ$149, FALSE))/2)</f>
        <v>119336.73586659494</v>
      </c>
      <c r="U109" s="382">
        <f t="array" ref="U109">IF($G109=0, INDEX(LS_previous!$D$4:$AY$138, MATCH('Staging Table'!$A109, LS_previous!$B$4:$B$138, 0), MATCH(U$4&amp;U$5, LS_previous!$D$2:$AY$2&amp;LS_previous!$D$3:$AY$3, 0)),SUM(VLOOKUP($A109, LS_previous!$B$4:$AY$138, LS_previous!M$149, FALSE), VLOOKUP('Staging Table'!$A109, LS_previous!$B$4:$AY$138,LS_previous!AK$149, FALSE))/2)</f>
        <v>93161.105770579568</v>
      </c>
      <c r="V109" s="382">
        <f t="array" ref="V109">IF($G109=0, INDEX(LS_previous!$D$4:$AY$138, MATCH('Staging Table'!$A109, LS_previous!$B$4:$B$138, 0), MATCH(V$4&amp;V$5, LS_previous!$D$2:$AY$2&amp;LS_previous!$D$3:$AY$3, 0)),SUM(VLOOKUP($A109, LS_previous!$B$4:$AY$138, LS_previous!N$149, FALSE), VLOOKUP('Staging Table'!$A109, LS_previous!$B$4:$AY$138,LS_previous!AL$149, FALSE))/2)</f>
        <v>107278.52075671786</v>
      </c>
      <c r="W109" s="382">
        <f t="array" ref="W109">IF($G109=0, INDEX(LS_previous!$D$4:$AY$138, MATCH('Staging Table'!$A109, LS_previous!$B$4:$B$138, 0), MATCH(W$4&amp;W$5, LS_previous!$D$2:$AY$2&amp;LS_previous!$D$3:$AY$3, 0)),SUM(VLOOKUP($A109, LS_previous!$B$4:$AY$138, LS_previous!O$149, FALSE), VLOOKUP('Staging Table'!$A109, LS_previous!$B$4:$AY$138,LS_previous!AM$149, FALSE))/2)</f>
        <v>84863.749538878736</v>
      </c>
      <c r="X109" s="382">
        <f t="array" ref="X109">IF($G109=0, INDEX(LS_previous!$D$4:$AY$138, MATCH('Staging Table'!$A109, LS_previous!$B$4:$B$138, 0), MATCH(X$4&amp;X$5, LS_previous!$D$2:$AY$2&amp;LS_previous!$D$3:$AY$3, 0)),SUM(VLOOKUP($A109, LS_previous!$B$4:$AY$138, LS_previous!P$149, FALSE), VLOOKUP('Staging Table'!$A109, LS_previous!$B$4:$AY$138,LS_previous!AN$149, FALSE))/2)</f>
        <v>-28095.671659040585</v>
      </c>
      <c r="Y109" s="382">
        <f t="array" ref="Y109">IF($G109=0, INDEX(LS_previous!$D$4:$AY$138, MATCH('Staging Table'!$A109, LS_previous!$B$4:$B$138, 0), MATCH(Y$4&amp;Y$5, LS_previous!$D$2:$AY$2&amp;LS_previous!$D$3:$AY$3, 0)),SUM(VLOOKUP($A109, LS_previous!$B$4:$AY$138, LS_previous!Q$149, FALSE), VLOOKUP('Staging Table'!$A109, LS_previous!$B$4:$AY$138,LS_previous!AO$149, FALSE))/2)</f>
        <v>-8017.6441352635011</v>
      </c>
      <c r="Z109" s="382">
        <f t="array" ref="Z109">IF($G109=0, INDEX(LS_previous!$D$4:$AY$138, MATCH('Staging Table'!$A109, LS_previous!$B$4:$B$138, 0), MATCH(Z$4&amp;Z$5, LS_previous!$D$2:$AY$2&amp;LS_previous!$D$3:$AY$3, 0)),SUM(VLOOKUP($A109, LS_previous!$B$4:$AY$138, LS_previous!R$149, FALSE), VLOOKUP('Staging Table'!$A109, LS_previous!$B$4:$AY$138,LS_previous!AP$149, FALSE))/2)</f>
        <v>-259973.14691298374</v>
      </c>
      <c r="AA109" s="382">
        <f t="array" ref="AA109">IF($G109=0, INDEX(LS_previous!$D$4:$AY$138, MATCH('Staging Table'!$A109, LS_previous!$B$4:$B$138, 0), MATCH(AA$4&amp;AA$5, LS_previous!$D$2:$AY$2&amp;LS_previous!$D$3:$AY$3, 0)),SUM(VLOOKUP($A109, LS_previous!$B$4:$AY$138, LS_previous!S$149, FALSE), VLOOKUP('Staging Table'!$A109, LS_previous!$B$4:$AY$138,LS_previous!AQ$149, FALSE))/2)</f>
        <v>-138411.1285838437</v>
      </c>
      <c r="AB109" s="382">
        <f t="array" ref="AB109">IF($G109=0, INDEX(LS_previous!$D$4:$AY$138, MATCH('Staging Table'!$A109, LS_previous!$B$4:$B$138, 0), MATCH(AB$4&amp;AB$5, LS_previous!$D$2:$AY$2&amp;LS_previous!$D$3:$AY$3, 0)),SUM(VLOOKUP($A109, LS_previous!$B$4:$AY$138, LS_previous!T$149, FALSE), VLOOKUP('Staging Table'!$A109, LS_previous!$B$4:$AY$138,LS_previous!AR$149, FALSE))/2)</f>
        <v>-252899.5448806583</v>
      </c>
      <c r="AC109" s="382">
        <f t="array" ref="AC109">IF($G109=0, INDEX(LS_previous!$D$4:$AY$138, MATCH('Staging Table'!$A109, LS_previous!$B$4:$B$138, 0), MATCH(AC$4&amp;AC$5, LS_previous!$D$2:$AY$2&amp;LS_previous!$D$3:$AY$3, 0)),SUM(VLOOKUP($A109, LS_previous!$B$4:$AY$138, LS_previous!U$149, FALSE), VLOOKUP('Staging Table'!$A109, LS_previous!$B$4:$AY$138,LS_previous!AS$149, FALSE))/2)</f>
        <v>-143145.67753217637</v>
      </c>
      <c r="AD109" s="382">
        <f t="array" ref="AD109">IF($G109=0, INDEX(LS_previous!$D$4:$AY$138, MATCH('Staging Table'!$A109, LS_previous!$B$4:$B$138, 0), MATCH(AD$4&amp;AD$5, LS_previous!$D$2:$AY$2&amp;LS_previous!$D$3:$AY$3, 0)),SUM(VLOOKUP($A109, LS_previous!$B$4:$AY$138, LS_previous!V$149, FALSE), VLOOKUP('Staging Table'!$A109, LS_previous!$B$4:$AY$138,LS_previous!AT$149, FALSE))/2)</f>
        <v>-106580.45899472327</v>
      </c>
      <c r="AE109" s="382">
        <f t="array" ref="AE109">IF($G109=0, INDEX(LS_previous!$D$4:$AY$138, MATCH('Staging Table'!$A109, LS_previous!$B$4:$B$138, 0), MATCH(AE$4&amp;AE$5, LS_previous!$D$2:$AY$2&amp;LS_previous!$D$3:$AY$3, 0)),SUM(VLOOKUP($A109, LS_previous!$B$4:$AY$138, LS_previous!W$149, FALSE), VLOOKUP('Staging Table'!$A109, LS_previous!$B$4:$AY$138,LS_previous!AU$149, FALSE))/2)</f>
        <v>-40105.312256017583</v>
      </c>
      <c r="AF109" s="382">
        <f t="array" ref="AF109">IF($G109=0, INDEX(LS_previous!$D$4:$AY$138, MATCH('Staging Table'!$A109, LS_previous!$B$4:$B$138, 0), MATCH(AF$4&amp;AF$5, LS_previous!$D$2:$AY$2&amp;LS_previous!$D$3:$AY$3, 0)),SUM(VLOOKUP($A109, LS_previous!$B$4:$AY$138, LS_previous!X$149, FALSE), VLOOKUP('Staging Table'!$A109, LS_previous!$B$4:$AY$138,LS_previous!AV$149, FALSE))/2)</f>
        <v>-98840.398072364944</v>
      </c>
      <c r="AG109" s="382">
        <f t="array" ref="AG109">IF($G109=0, INDEX(LS_previous!$D$4:$AY$138, MATCH('Staging Table'!$A109, LS_previous!$B$4:$B$138, 0), MATCH(AG$4&amp;AG$5, LS_previous!$D$2:$AY$2&amp;LS_previous!$D$3:$AY$3, 0)),SUM(VLOOKUP($A109, LS_previous!$B$4:$AY$138, LS_previous!Y$149, FALSE), VLOOKUP('Staging Table'!$A109, LS_previous!$B$4:$AY$138,LS_previous!AW$149, FALSE))/2)</f>
        <v>-26059.697528384815</v>
      </c>
      <c r="AH109" s="382">
        <f t="array" ref="AH109">IF($G109=0, INDEX(LS_previous!$D$4:$AY$138, MATCH('Staging Table'!$A109, LS_previous!$B$4:$B$138, 0), MATCH(AH$4&amp;AH$5, LS_previous!$D$2:$AY$2&amp;LS_previous!$D$3:$AY$3, 0)),SUM(VLOOKUP($A109, LS_previous!$B$4:$AY$138, LS_previous!Z$149, FALSE), VLOOKUP('Staging Table'!$A109, LS_previous!$B$4:$AY$138,LS_previous!AX$149, FALSE))/2)</f>
        <v>52798.930768018734</v>
      </c>
      <c r="AI109" s="382">
        <f t="array" ref="AI109">IF($G109=0, INDEX(LS_previous!$D$4:$AY$138, MATCH('Staging Table'!$A109, LS_previous!$B$4:$B$138, 0), MATCH(AI$4&amp;AI$5, LS_previous!$D$2:$AY$2&amp;LS_previous!$D$3:$AY$3, 0)),SUM(VLOOKUP($A109, LS_previous!$B$4:$AY$138, LS_previous!AA$149, FALSE), VLOOKUP('Staging Table'!$A109, LS_previous!$B$4:$AY$138,LS_previous!AY$149, FALSE))/2)</f>
        <v>43512.878130137193</v>
      </c>
      <c r="AJ109" s="384">
        <f t="array" ref="AJ109">INDEX(Demand_previous!$D$4:$AY$138, MATCH('Staging Table'!$A109, Demand_previous!$B$4:$B$138, 0), MATCH(AJ$4&amp;AJ$5,Demand_previous!$D$2:$AY$2&amp;Demand_previous!$D$3:$AY$3, 0))/1000</f>
        <v>0</v>
      </c>
      <c r="AK109" s="384">
        <f t="array" ref="AK109">INDEX(Demand_previous!$D$4:$AY$138, MATCH('Staging Table'!$A109, Demand_previous!$B$4:$B$138, 0), MATCH(AK$4&amp;AK$5,Demand_previous!$D$2:$AY$2&amp;Demand_previous!$D$3:$AY$3, 0))/1000</f>
        <v>0</v>
      </c>
      <c r="AL109" s="384">
        <f t="array" ref="AL109">INDEX(Demand_previous!$D$4:$AY$138, MATCH('Staging Table'!$A109, Demand_previous!$B$4:$B$138, 0), MATCH(AL$4&amp;AL$5,Demand_previous!$D$2:$AY$2&amp;Demand_previous!$D$3:$AY$3, 0))/1000</f>
        <v>0</v>
      </c>
      <c r="AM109" s="384">
        <f t="array" ref="AM109">INDEX(Demand_previous!$D$4:$AY$138, MATCH('Staging Table'!$A109, Demand_previous!$B$4:$B$138, 0), MATCH(AM$4&amp;AM$5,Demand_previous!$D$2:$AY$2&amp;Demand_previous!$D$3:$AY$3, 0))/1000</f>
        <v>0</v>
      </c>
      <c r="AN109" s="384">
        <f t="array" ref="AN109">INDEX(Demand_previous!$D$4:$AY$138, MATCH('Staging Table'!$A109, Demand_previous!$B$4:$B$138, 0), MATCH(AN$4&amp;AN$5,Demand_previous!$D$2:$AY$2&amp;Demand_previous!$D$3:$AY$3, 0))/1000</f>
        <v>0</v>
      </c>
      <c r="AO109" s="384">
        <f t="array" ref="AO109">INDEX(Demand_previous!$D$4:$AY$138, MATCH('Staging Table'!$A109, Demand_previous!$B$4:$B$138, 0), MATCH(AO$4&amp;AO$5,Demand_previous!$D$2:$AY$2&amp;Demand_previous!$D$3:$AY$3, 0))/1000</f>
        <v>0</v>
      </c>
      <c r="AP109" s="384">
        <f t="array" ref="AP109">INDEX(Demand_previous!$D$4:$AY$138, MATCH('Staging Table'!$A109, Demand_previous!$B$4:$B$138, 0), MATCH(AP$4&amp;AP$5,Demand_previous!$D$2:$AY$2&amp;Demand_previous!$D$3:$AY$3, 0))/1000</f>
        <v>0</v>
      </c>
      <c r="AQ109" s="384">
        <f t="array" ref="AQ109">INDEX(Demand_previous!$D$4:$AY$138, MATCH('Staging Table'!$A109, Demand_previous!$B$4:$B$138, 0), MATCH(AQ$4&amp;AQ$5,Demand_previous!$D$2:$AY$2&amp;Demand_previous!$D$3:$AY$3, 0))/1000</f>
        <v>0</v>
      </c>
      <c r="AR109" s="384">
        <f t="array" ref="AR109">INDEX(Demand_previous!$D$4:$AY$138, MATCH('Staging Table'!$A109, Demand_previous!$B$4:$B$138, 0), MATCH(AR$4&amp;AR$5,Demand_previous!$D$2:$AY$2&amp;Demand_previous!$D$3:$AY$3, 0))/1000</f>
        <v>0</v>
      </c>
      <c r="AS109" s="384">
        <f t="array" ref="AS109">INDEX(Demand_previous!$D$4:$AY$138, MATCH('Staging Table'!$A109, Demand_previous!$B$4:$B$138, 0), MATCH(AS$4&amp;AS$5,Demand_previous!$D$2:$AY$2&amp;Demand_previous!$D$3:$AY$3, 0))/1000</f>
        <v>0</v>
      </c>
      <c r="AT109" s="384">
        <f t="array" ref="AT109">INDEX(Demand_previous!$D$4:$AY$138, MATCH('Staging Table'!$A109, Demand_previous!$B$4:$B$138, 0), MATCH(AT$4&amp;AT$5,Demand_previous!$D$2:$AY$2&amp;Demand_previous!$D$3:$AY$3, 0))/1000</f>
        <v>0</v>
      </c>
      <c r="AU109" s="384">
        <f t="array" ref="AU109">INDEX(Demand_previous!$D$4:$AY$138, MATCH('Staging Table'!$A109, Demand_previous!$B$4:$B$138, 0), MATCH(AU$4&amp;AU$5,Demand_previous!$D$2:$AY$2&amp;Demand_previous!$D$3:$AY$3, 0))/1000</f>
        <v>0</v>
      </c>
      <c r="AV109" s="384">
        <f>IF($D109=0,IF(C109=0, MAX(AY109 - (VLOOKUP($A109,TOCA_previous!$A$2:$AI$137,MATCH("RHWM 2016",TOCA_previous!$A$2:$AI$2,0),FALSE)*$F$2*TOCA_previous!C106),0),0), 0)</f>
        <v>0</v>
      </c>
      <c r="AW109" s="427">
        <f>VLOOKUP($A109,REP_previous!$A$1:$D$135,MATCH("FY "&amp;$F$1&amp; " Total Refund",REP_previous!$A$1:$D$1,0),0)</f>
        <v>5708668.2128188442</v>
      </c>
      <c r="AX109" s="398">
        <f>MIN(VLOOKUP($A109,TOCA_previous!$A$2:$AI$137,MATCH("TRL - NLSL - Exisiting Resource "&amp;$F$1,TOCA_previous!$A$2:$AI$2,0),FALSE)*$F$2,(VLOOKUP($A109,TOCA_previous!$A$2:$AI$137,MATCH("RHWM 2016",TOCA_previous!$A$2:$AI$2,0),FALSE)*$F$2))</f>
        <v>4466971.4400000004</v>
      </c>
      <c r="AY109" s="384">
        <f>SUM(L109:AI109)+(F109*RT1SC!$C$3*$F$2)</f>
        <v>4466971.450514419</v>
      </c>
      <c r="AZ109" s="398">
        <f>VLOOKUP($A109,TOCA_previous!$A$2:$AI$137,MATCH("Above RHWM Not Served with LS "&amp;$F$1,TOCA_previous!$A$2:$AI$2,0),FALSE)*$F$2</f>
        <v>247252.03200000001</v>
      </c>
      <c r="BA109" s="206">
        <f t="shared" si="19"/>
        <v>1.0514418594539165E-2</v>
      </c>
      <c r="BB109" s="399">
        <f>(VLOOKUP($A109,TOCA_previous!$A$2:$AI$137,MATCH("RHWM 2016",TOCA_previous!$A$2:$AI$2,0),FALSE)*$F$2) - $AX109</f>
        <v>90158.975999999791</v>
      </c>
      <c r="BC109" s="206">
        <f t="shared" si="20"/>
        <v>-1.0514418594539165E-2</v>
      </c>
      <c r="BD109" s="400">
        <f t="shared" si="21"/>
        <v>0</v>
      </c>
      <c r="BE109" s="392">
        <f t="shared" si="22"/>
        <v>-90158.965485581197</v>
      </c>
      <c r="BF109" s="399">
        <f t="shared" si="23"/>
        <v>0</v>
      </c>
      <c r="BG109" s="206">
        <f>VLOOKUP($A109,TOCA_current!$A$2:$AI$137,MATCH(BG$4,TOCA_current!$A$2:$AI$2,0),FALSE)</f>
        <v>7.3557999999999998E-2</v>
      </c>
      <c r="BH109" s="206">
        <f>VLOOKUP($A109,TOCA_current!$A$2:$AI$137,MATCH(BH$4,TOCA_current!$A$2:$AI$2,0),FALSE)</f>
        <v>7.3557999999999998E-2</v>
      </c>
      <c r="BI109" s="391">
        <f t="shared" si="24"/>
        <v>0</v>
      </c>
      <c r="BJ109" s="206">
        <f>VLOOKUP($A109,TOCA_current!A105:BG240,MATCH(BJ$4,TOCA_current!$A$2:$BG$2,0),FALSE)</f>
        <v>0</v>
      </c>
      <c r="BK109" s="206">
        <f t="shared" si="25"/>
        <v>0</v>
      </c>
      <c r="BL109" s="206">
        <f t="shared" si="26"/>
        <v>0</v>
      </c>
      <c r="BM109" s="381">
        <f>VLOOKUP($A109,IRD!$A$4:$G$139, 7, FALSE)</f>
        <v>0</v>
      </c>
      <c r="BN109" s="382">
        <f t="array" ref="BN109">IF($BI109=0, INDEX(LS_current!$D$4:$AY$139, MATCH('Staging Table'!$A109, LS_current!$B$4:$B$139, 0), MATCH(BN$4&amp;BN$5, LS_current!$D$2:$AY$2&amp;LS_current!$D$3:$AY$3, 0)),SUM(VLOOKUP($A109, LS_current!$B$4:$AY$139, LS_current!D$149, FALSE), VLOOKUP($A109, LS_current!$B$4:$AY$139,LS_current!D$149, FALSE))/2)</f>
        <v>-9672.6278042942577</v>
      </c>
      <c r="BO109" s="382">
        <f t="array" ref="BO109">IF($BI109=0, INDEX(LS_current!$D$4:$AY$139, MATCH('Staging Table'!$A109, LS_current!$B$4:$B$139, 0), MATCH(BO$4&amp;BO$5, LS_current!$D$2:$AY$2&amp;LS_current!$D$3:$AY$3, 0)),SUM(VLOOKUP($A109, LS_current!$B$4:$AY$139, LS_current!E$149, FALSE), VLOOKUP($A109, LS_current!$B$4:$AY$139,LS_current!E$149, FALSE))/2)</f>
        <v>22763.099678447412</v>
      </c>
      <c r="BP109" s="382">
        <f t="array" ref="BP109">IF($BI109=0, INDEX(LS_current!$D$4:$AY$139, MATCH('Staging Table'!$A109, LS_current!$B$4:$B$139, 0), MATCH(BP$4&amp;BP$5, LS_current!$D$2:$AY$2&amp;LS_current!$D$3:$AY$3, 0)),SUM(VLOOKUP($A109, LS_current!$B$4:$AY$139, LS_current!F$149, FALSE), VLOOKUP($A109, LS_current!$B$4:$AY$139,LS_current!F$149, FALSE))/2)</f>
        <v>72201.019275529543</v>
      </c>
      <c r="BQ109" s="382">
        <f t="array" ref="BQ109">IF($BI109=0, INDEX(LS_current!$D$4:$AY$139, MATCH('Staging Table'!$A109, LS_current!$B$4:$B$139, 0), MATCH(BQ$4&amp;BQ$5, LS_current!$D$2:$AY$2&amp;LS_current!$D$3:$AY$3, 0)),SUM(VLOOKUP($A109, LS_current!$B$4:$AY$139, LS_current!G$149, FALSE), VLOOKUP($A109, LS_current!$B$4:$AY$139,LS_current!G$149, FALSE))/2)</f>
        <v>69594.905866276327</v>
      </c>
      <c r="BR109" s="382">
        <f t="array" ref="BR109">IF($BI109=0, INDEX(LS_current!$D$4:$AY$139, MATCH('Staging Table'!$A109, LS_current!$B$4:$B$139, 0), MATCH(BR$4&amp;BR$5, LS_current!$D$2:$AY$2&amp;LS_current!$D$3:$AY$3, 0)),SUM(VLOOKUP($A109, LS_current!$B$4:$AY$139, LS_current!H$149, FALSE), VLOOKUP($A109, LS_current!$B$4:$AY$139,LS_current!H$149, FALSE))/2)</f>
        <v>84042.5269469021</v>
      </c>
      <c r="BS109" s="382">
        <f t="array" ref="BS109">IF($BI109=0, INDEX(LS_current!$D$4:$AY$139, MATCH('Staging Table'!$A109, LS_current!$B$4:$B$139, 0), MATCH(BS$4&amp;BS$5, LS_current!$D$2:$AY$2&amp;LS_current!$D$3:$AY$3, 0)),SUM(VLOOKUP($A109, LS_current!$B$4:$AY$139, LS_current!I$149, FALSE), VLOOKUP($A109, LS_current!$B$4:$AY$139,LS_current!I$149, FALSE))/2)</f>
        <v>72028.415967922512</v>
      </c>
      <c r="BT109" s="382">
        <f t="array" ref="BT109">IF($BI109=0, INDEX(LS_current!$D$4:$AY$139, MATCH('Staging Table'!$A109, LS_current!$B$4:$B$139, 0), MATCH(BT$4&amp;BT$5, LS_current!$D$2:$AY$2&amp;LS_current!$D$3:$AY$3, 0)),SUM(VLOOKUP($A109, LS_current!$B$4:$AY$139, LS_current!J$149, FALSE), VLOOKUP($A109, LS_current!$B$4:$AY$139,LS_current!J$149, FALSE))/2)</f>
        <v>153751.85658384481</v>
      </c>
      <c r="BU109" s="382">
        <f t="array" ref="BU109">IF($BI109=0, INDEX(LS_current!$D$4:$AY$139, MATCH('Staging Table'!$A109, LS_current!$B$4:$B$139, 0), MATCH(BU$4&amp;BU$5, LS_current!$D$2:$AY$2&amp;LS_current!$D$3:$AY$3, 0)),SUM(VLOOKUP($A109, LS_current!$B$4:$AY$139, LS_current!K$149, FALSE), VLOOKUP($A109, LS_current!$B$4:$AY$139,LS_current!K$149, FALSE))/2)</f>
        <v>113068.99865301591</v>
      </c>
      <c r="BV109" s="382">
        <f t="array" ref="BV109">IF($BI109=0, INDEX(LS_current!$D$4:$AY$139, MATCH('Staging Table'!$A109, LS_current!$B$4:$B$139, 0), MATCH(BV$4&amp;BV$5, LS_current!$D$2:$AY$2&amp;LS_current!$D$3:$AY$3, 0)),SUM(VLOOKUP($A109, LS_current!$B$4:$AY$139, LS_current!L$149, FALSE), VLOOKUP($A109, LS_current!$B$4:$AY$139,LS_current!L$149, FALSE))/2)</f>
        <v>133145.70779056914</v>
      </c>
      <c r="BW109" s="382">
        <f t="array" ref="BW109">IF($BI109=0, INDEX(LS_current!$D$4:$AY$139, MATCH('Staging Table'!$A109, LS_current!$B$4:$B$139, 0), MATCH(BW$4&amp;BW$5, LS_current!$D$2:$AY$2&amp;LS_current!$D$3:$AY$3, 0)),SUM(VLOOKUP($A109, LS_current!$B$4:$AY$139, LS_current!M$149, FALSE), VLOOKUP($A109, LS_current!$B$4:$AY$139,LS_current!M$149, FALSE))/2)</f>
        <v>104467.27113974685</v>
      </c>
      <c r="BX109" s="382">
        <f t="array" ref="BX109">IF($BI109=0, INDEX(LS_current!$D$4:$AY$139, MATCH('Staging Table'!$A109, LS_current!$B$4:$B$139, 0), MATCH(BX$4&amp;BX$5, LS_current!$D$2:$AY$2&amp;LS_current!$D$3:$AY$3, 0)),SUM(VLOOKUP($A109, LS_current!$B$4:$AY$139, LS_current!N$149, FALSE), VLOOKUP($A109, LS_current!$B$4:$AY$139,LS_current!N$149, FALSE))/2)</f>
        <v>117392.22504649049</v>
      </c>
      <c r="BY109" s="382">
        <f t="array" ref="BY109">IF($BI109=0, INDEX(LS_current!$D$4:$AY$139, MATCH('Staging Table'!$A109, LS_current!$B$4:$B$139, 0), MATCH(BY$4&amp;BY$5, LS_current!$D$2:$AY$2&amp;LS_current!$D$3:$AY$3, 0)),SUM(VLOOKUP($A109, LS_current!$B$4:$AY$139, LS_current!O$149, FALSE), VLOOKUP($A109, LS_current!$B$4:$AY$139,LS_current!O$149, FALSE))/2)</f>
        <v>97075.385220601282</v>
      </c>
      <c r="BZ109" s="382">
        <f t="array" ref="BZ109">IF($BI109=0, INDEX(LS_current!$D$4:$AY$139, MATCH('Staging Table'!$A109, LS_current!$B$4:$B$139, 0), MATCH(BZ$4&amp;BZ$5, LS_current!$D$2:$AY$2&amp;LS_current!$D$3:$AY$3, 0)),SUM(VLOOKUP($A109, LS_current!$B$4:$AY$139, LS_current!P$149, FALSE), VLOOKUP($A109, LS_current!$B$4:$AY$139,LS_current!P$149, FALSE))/2)</f>
        <v>-52285.881858109584</v>
      </c>
      <c r="CA109" s="382">
        <f t="array" ref="CA109">IF($BI109=0, INDEX(LS_current!$D$4:$AY$139, MATCH('Staging Table'!$A109, LS_current!$B$4:$B$139, 0), MATCH(CA$4&amp;CA$5, LS_current!$D$2:$AY$2&amp;LS_current!$D$3:$AY$3, 0)),SUM(VLOOKUP($A109, LS_current!$B$4:$AY$139, LS_current!Q$149, FALSE), VLOOKUP($A109, LS_current!$B$4:$AY$139,LS_current!Q$149, FALSE))/2)</f>
        <v>-10687.039134714607</v>
      </c>
      <c r="CB109" s="382">
        <f t="array" ref="CB109">IF($BI109=0, INDEX(LS_current!$D$4:$AY$139, MATCH('Staging Table'!$A109, LS_current!$B$4:$B$139, 0), MATCH(CB$4&amp;CB$5, LS_current!$D$2:$AY$2&amp;LS_current!$D$3:$AY$3, 0)),SUM(VLOOKUP($A109, LS_current!$B$4:$AY$139, LS_current!R$149, FALSE), VLOOKUP($A109, LS_current!$B$4:$AY$139,LS_current!R$149, FALSE))/2)</f>
        <v>-260300.25155074248</v>
      </c>
      <c r="CC109" s="382">
        <f t="array" ref="CC109">IF($BI109=0, INDEX(LS_current!$D$4:$AY$139, MATCH('Staging Table'!$A109, LS_current!$B$4:$B$139, 0), MATCH(CC$4&amp;CC$5, LS_current!$D$2:$AY$2&amp;LS_current!$D$3:$AY$3, 0)),SUM(VLOOKUP($A109, LS_current!$B$4:$AY$139, LS_current!S$149, FALSE), VLOOKUP($A109, LS_current!$B$4:$AY$139,LS_current!S$149, FALSE))/2)</f>
        <v>-142889.35545281673</v>
      </c>
      <c r="CD109" s="382">
        <f t="array" ref="CD109">IF($BI109=0, INDEX(LS_current!$D$4:$AY$139, MATCH('Staging Table'!$A109, LS_current!$B$4:$B$139, 0), MATCH(CD$4&amp;CD$5, LS_current!$D$2:$AY$2&amp;LS_current!$D$3:$AY$3, 0)),SUM(VLOOKUP($A109, LS_current!$B$4:$AY$139, LS_current!T$149, FALSE), VLOOKUP($A109, LS_current!$B$4:$AY$139,LS_current!T$149, FALSE))/2)</f>
        <v>-254254.25350799531</v>
      </c>
      <c r="CE109" s="382">
        <f t="array" ref="CE109">IF($BI109=0, INDEX(LS_current!$D$4:$AY$139, MATCH('Staging Table'!$A109, LS_current!$B$4:$B$139, 0), MATCH(CE$4&amp;CE$5, LS_current!$D$2:$AY$2&amp;LS_current!$D$3:$AY$3, 0)),SUM(VLOOKUP($A109, LS_current!$B$4:$AY$139, LS_current!U$149, FALSE), VLOOKUP($A109, LS_current!$B$4:$AY$139,LS_current!U$149, FALSE))/2)</f>
        <v>-134398.55069291577</v>
      </c>
      <c r="CF109" s="382">
        <f t="array" ref="CF109">IF($BI109=0, INDEX(LS_current!$D$4:$AY$139, MATCH('Staging Table'!$A109, LS_current!$B$4:$B$139, 0), MATCH(CF$4&amp;CF$5, LS_current!$D$2:$AY$2&amp;LS_current!$D$3:$AY$3, 0)),SUM(VLOOKUP($A109, LS_current!$B$4:$AY$139, LS_current!V$149, FALSE), VLOOKUP($A109, LS_current!$B$4:$AY$139,LS_current!V$149, FALSE))/2)</f>
        <v>-94315.246141839278</v>
      </c>
      <c r="CG109" s="382">
        <f t="array" ref="CG109">IF($BI109=0, INDEX(LS_current!$D$4:$AY$139, MATCH('Staging Table'!$A109, LS_current!$B$4:$B$139, 0), MATCH(CG$4&amp;CG$5, LS_current!$D$2:$AY$2&amp;LS_current!$D$3:$AY$3, 0)),SUM(VLOOKUP($A109, LS_current!$B$4:$AY$139, LS_current!W$149, FALSE), VLOOKUP($A109, LS_current!$B$4:$AY$139,LS_current!W$149, FALSE))/2)</f>
        <v>-32154.537725767892</v>
      </c>
      <c r="CH109" s="382">
        <f t="array" ref="CH109">IF($BI109=0, INDEX(LS_current!$D$4:$AY$139, MATCH('Staging Table'!$A109, LS_current!$B$4:$B$139, 0), MATCH(CH$4&amp;CH$5, LS_current!$D$2:$AY$2&amp;LS_current!$D$3:$AY$3, 0)),SUM(VLOOKUP($A109, LS_current!$B$4:$AY$139, LS_current!X$149, FALSE), VLOOKUP($A109, LS_current!$B$4:$AY$139,LS_current!X$149, FALSE))/2)</f>
        <v>-99936.161818633962</v>
      </c>
      <c r="CI109" s="382">
        <f t="array" ref="CI109">IF($BI109=0, INDEX(LS_current!$D$4:$AY$139, MATCH('Staging Table'!$A109, LS_current!$B$4:$B$139, 0), MATCH(CI$4&amp;CI$5, LS_current!$D$2:$AY$2&amp;LS_current!$D$3:$AY$3, 0)),SUM(VLOOKUP($A109, LS_current!$B$4:$AY$139, LS_current!Y$149, FALSE), VLOOKUP($A109, LS_current!$B$4:$AY$139,LS_current!Y$149, FALSE))/2)</f>
        <v>-23081.784063640691</v>
      </c>
      <c r="CJ109" s="382">
        <f t="array" ref="CJ109">IF($BI109=0, INDEX(LS_current!$D$4:$AY$139, MATCH('Staging Table'!$A109, LS_current!$B$4:$B$139, 0), MATCH(CJ$4&amp;CJ$5, LS_current!$D$2:$AY$2&amp;LS_current!$D$3:$AY$3, 0)),SUM(VLOOKUP($A109, LS_current!$B$4:$AY$139, LS_current!Z$149, FALSE), VLOOKUP($A109, LS_current!$B$4:$AY$139,LS_current!Z$149, FALSE))/2)</f>
        <v>30708.205301051756</v>
      </c>
      <c r="CK109" s="382">
        <f t="array" ref="CK109">IF($BI109=0, INDEX(LS_current!$D$4:$AY$139, MATCH('Staging Table'!$A109, LS_current!$B$4:$B$139, 0), MATCH(CK$4&amp;CK$5, LS_current!$D$2:$AY$2&amp;LS_current!$D$3:$AY$3, 0)),SUM(VLOOKUP($A109, LS_current!$B$4:$AY$139, LS_current!AA$149, FALSE), VLOOKUP($A109, LS_current!$B$4:$AY$139,LS_current!AA$149, FALSE))/2)</f>
        <v>42786.054652310253</v>
      </c>
      <c r="CL109" s="384">
        <f t="array" ref="CL109">INDEX(Demand_current!$D$4:$AY$138, MATCH($A109, Demand_current!$B$4:$B$138, 0), MATCH(CL$4&amp;CL$5,Demand_current!$D$2:$AY$2&amp;Demand_current!$D$3:$AY$3, 0))/1000</f>
        <v>0</v>
      </c>
      <c r="CM109" s="384">
        <f t="array" ref="CM109">INDEX(Demand_current!$D$4:$AY$138, MATCH($A109, Demand_current!$B$4:$B$138, 0), MATCH(CM$4&amp;CM$5,Demand_current!$D$2:$AY$2&amp;Demand_current!$D$3:$AY$3, 0))/1000</f>
        <v>0</v>
      </c>
      <c r="CN109" s="384">
        <f t="array" ref="CN109">INDEX(Demand_current!$D$4:$AY$138, MATCH($A109, Demand_current!$B$4:$B$138, 0), MATCH(CN$4&amp;CN$5,Demand_current!$D$2:$AY$2&amp;Demand_current!$D$3:$AY$3, 0))/1000</f>
        <v>0</v>
      </c>
      <c r="CO109" s="384">
        <f t="array" ref="CO109">INDEX(Demand_current!$D$4:$AY$138, MATCH($A109, Demand_current!$B$4:$B$138, 0), MATCH(CO$4&amp;CO$5,Demand_current!$D$2:$AY$2&amp;Demand_current!$D$3:$AY$3, 0))/1000</f>
        <v>0</v>
      </c>
      <c r="CP109" s="384">
        <f t="array" ref="CP109">INDEX(Demand_current!$D$4:$AY$138, MATCH($A109, Demand_current!$B$4:$B$138, 0), MATCH(CP$4&amp;CP$5,Demand_current!$D$2:$AY$2&amp;Demand_current!$D$3:$AY$3, 0))/1000</f>
        <v>0</v>
      </c>
      <c r="CQ109" s="384">
        <f t="array" ref="CQ109">INDEX(Demand_current!$D$4:$AY$138, MATCH($A109, Demand_current!$B$4:$B$138, 0), MATCH(CQ$4&amp;CQ$5,Demand_current!$D$2:$AY$2&amp;Demand_current!$D$3:$AY$3, 0))/1000</f>
        <v>0</v>
      </c>
      <c r="CR109" s="384">
        <f t="array" ref="CR109">INDEX(Demand_current!$D$4:$AY$138, MATCH($A109, Demand_current!$B$4:$B$138, 0), MATCH(CR$4&amp;CR$5,Demand_current!$D$2:$AY$2&amp;Demand_current!$D$3:$AY$3, 0))/1000</f>
        <v>0</v>
      </c>
      <c r="CS109" s="384">
        <f t="array" ref="CS109">INDEX(Demand_current!$D$4:$AY$138, MATCH($A109, Demand_current!$B$4:$B$138, 0), MATCH(CS$4&amp;CS$5,Demand_current!$D$2:$AY$2&amp;Demand_current!$D$3:$AY$3, 0))/1000</f>
        <v>0</v>
      </c>
      <c r="CT109" s="384">
        <f t="array" ref="CT109">INDEX(Demand_current!$D$4:$AY$138, MATCH($A109, Demand_current!$B$4:$B$138, 0), MATCH(CT$4&amp;CT$5,Demand_current!$D$2:$AY$2&amp;Demand_current!$D$3:$AY$3, 0))/1000</f>
        <v>0</v>
      </c>
      <c r="CU109" s="384">
        <f t="array" ref="CU109">INDEX(Demand_current!$D$4:$AY$138, MATCH($A109, Demand_current!$B$4:$B$138, 0), MATCH(CU$4&amp;CU$5,Demand_current!$D$2:$AY$2&amp;Demand_current!$D$3:$AY$3, 0))/1000</f>
        <v>0</v>
      </c>
      <c r="CV109" s="384">
        <f t="array" ref="CV109">INDEX(Demand_current!$D$4:$AY$138, MATCH($A109, Demand_current!$B$4:$B$138, 0), MATCH(CV$4&amp;CV$5,Demand_current!$D$2:$AY$2&amp;Demand_current!$D$3:$AY$3, 0))/1000</f>
        <v>0</v>
      </c>
      <c r="CW109" s="384">
        <f t="array" ref="CW109">INDEX(Demand_current!$D$4:$AY$138, MATCH($A109, Demand_current!$B$4:$B$138, 0), MATCH(CW$4&amp;CW$5,Demand_current!$D$2:$AY$2&amp;Demand_current!$D$3:$AY$3, 0))/1000</f>
        <v>0</v>
      </c>
      <c r="CX109" s="384">
        <f>IF(D109=0,IF(C109=0,MAX(0,DA109 - (VLOOKUP($A109,TOCA_current!$A$2:$AI$137,MATCH("RHWM 2018",TOCA_current!$A$2:$AI$2,0),FALSE)*$BH$2)), 0),0)</f>
        <v>0</v>
      </c>
      <c r="CY109" s="427">
        <f>VLOOKUP($A109,REP_current!$A$1:$D$135,MATCH("FY "&amp;$BH$1&amp; " Total Refund",REP_current!$A$1:$D$1,0),0)</f>
        <v>5724612.0342393331</v>
      </c>
      <c r="CZ109" s="432">
        <f>MIN(VLOOKUP($A109,TOCA_current!$A$2:$AI$137,MATCH("TRL - NLSL - Existing Resource "&amp;$BH$1,TOCA_current!$A$2:$AI$2,0),FALSE)*$BH$2, VLOOKUP($A109,TOCA_current!$A$2:$AI$137,MATCH("RHWM 2018",TOCA_current!$A$2:$AI$2,0),FALSE)*$BH$2)</f>
        <v>4475037.24</v>
      </c>
      <c r="DA109" s="397">
        <f>SUM(BN109:CK109)+(BH109*RT1SC!$C$4*$BH$2)</f>
        <v>4474087.0652869176</v>
      </c>
      <c r="DB109" s="432">
        <f>VLOOKUP($A109,TOCA_current!$A$2:$AI$137,MATCH("Above RHWM Not Served with LS "&amp;$BH$1,TOCA_current!$A$2:$AI$2,0),FALSE)*$BH$2</f>
        <v>82869.600000000006</v>
      </c>
      <c r="DC109" s="401">
        <f t="shared" si="27"/>
        <v>-950.17471308261156</v>
      </c>
      <c r="DD109" s="397">
        <f>(VLOOKUP($A109,TOCA_current!$A$2:$AI$137,MATCH("RHWM 2018",TOCA_current!$A$2:$AI$2,0),FALSE)*$BH$2) - $CZ109</f>
        <v>40769.040000000037</v>
      </c>
      <c r="DE109" s="397">
        <f t="shared" si="28"/>
        <v>0</v>
      </c>
      <c r="DF109" s="397">
        <f t="shared" si="29"/>
        <v>0</v>
      </c>
      <c r="DG109" s="397">
        <f t="shared" si="30"/>
        <v>-40769.040000000037</v>
      </c>
      <c r="DH109" s="397">
        <f t="shared" si="31"/>
        <v>0</v>
      </c>
    </row>
    <row r="110" spans="1:112">
      <c r="A110" s="274">
        <v>10352</v>
      </c>
      <c r="B110" s="275" t="s">
        <v>111</v>
      </c>
      <c r="C110" s="397">
        <v>0</v>
      </c>
      <c r="D110" s="397">
        <v>0</v>
      </c>
      <c r="E110" s="205">
        <f>VLOOKUP($A110,TOCA_previous!$A$2:$AI$137,MATCH(E$4,TOCA_previous!$A$2:$AI$2,0),FALSE)</f>
        <v>2.2022999999999999E-3</v>
      </c>
      <c r="F110" s="206">
        <f>VLOOKUP($A110,TOCA_previous!$A$2:$AI$137,MATCH(F$4,TOCA_previous!$A$2:$AI$2,0),FALSE)</f>
        <v>2.2022999999999999E-3</v>
      </c>
      <c r="G110" s="206">
        <f t="shared" si="16"/>
        <v>0</v>
      </c>
      <c r="H110" s="206">
        <f>VLOOKUP($A110,TOCA_previous!$A$2:$AI$137,MATCH(H$4,TOCA_previous!$A$2:$AI$2,0),FALSE)</f>
        <v>0.06</v>
      </c>
      <c r="I110" s="206">
        <f t="shared" si="17"/>
        <v>0</v>
      </c>
      <c r="J110" s="206">
        <f t="shared" si="18"/>
        <v>0</v>
      </c>
      <c r="K110" s="381">
        <f>VLOOKUP(A110, IRD!$A$5:$C$139, 3, FALSE)</f>
        <v>0</v>
      </c>
      <c r="L110" s="382">
        <f t="array" ref="L110">IF($G110=0, INDEX(LS_previous!$D$4:$AY$138, MATCH('Staging Table'!$A110, LS_previous!$B$4:$B$138, 0), MATCH(L$4&amp;L$5, LS_previous!$D$2:$AY$2&amp;LS_previous!$D$3:$AY$3, 0)),SUM(VLOOKUP($A110, LS_previous!$B$4:$AY$138, LS_previous!D$149, FALSE), VLOOKUP('Staging Table'!$A110, LS_previous!$B$4:$AY$138,LS_previous!AB$149, FALSE))/2)</f>
        <v>-277.93496215286086</v>
      </c>
      <c r="M110" s="382">
        <f t="array" ref="M110">IF($G110=0, INDEX(LS_previous!$D$4:$AY$138, MATCH('Staging Table'!$A110, LS_previous!$B$4:$B$138, 0), MATCH(M$4&amp;M$5, LS_previous!$D$2:$AY$2&amp;LS_previous!$D$3:$AY$3, 0)),SUM(VLOOKUP($A110, LS_previous!$B$4:$AY$138, LS_previous!E$149, FALSE), VLOOKUP('Staging Table'!$A110, LS_previous!$B$4:$AY$138,LS_previous!AC$149, FALSE))/2)</f>
        <v>-117.41193352588971</v>
      </c>
      <c r="N110" s="382">
        <f t="array" ref="N110">IF($G110=0, INDEX(LS_previous!$D$4:$AY$138, MATCH('Staging Table'!$A110, LS_previous!$B$4:$B$138, 0), MATCH(N$4&amp;N$5, LS_previous!$D$2:$AY$2&amp;LS_previous!$D$3:$AY$3, 0)),SUM(VLOOKUP($A110, LS_previous!$B$4:$AY$138, LS_previous!F$149, FALSE), VLOOKUP('Staging Table'!$A110, LS_previous!$B$4:$AY$138,LS_previous!AD$149, FALSE))/2)</f>
        <v>-255.4171610713247</v>
      </c>
      <c r="O110" s="382">
        <f t="array" ref="O110">IF($G110=0, INDEX(LS_previous!$D$4:$AY$138, MATCH('Staging Table'!$A110, LS_previous!$B$4:$B$138, 0), MATCH(O$4&amp;O$5, LS_previous!$D$2:$AY$2&amp;LS_previous!$D$3:$AY$3, 0)),SUM(VLOOKUP($A110, LS_previous!$B$4:$AY$138, LS_previous!G$149, FALSE), VLOOKUP('Staging Table'!$A110, LS_previous!$B$4:$AY$138,LS_previous!AE$149, FALSE))/2)</f>
        <v>-10.194909714250571</v>
      </c>
      <c r="P110" s="382">
        <f t="array" ref="P110">IF($G110=0, INDEX(LS_previous!$D$4:$AY$138, MATCH('Staging Table'!$A110, LS_previous!$B$4:$B$138, 0), MATCH(P$4&amp;P$5, LS_previous!$D$2:$AY$2&amp;LS_previous!$D$3:$AY$3, 0)),SUM(VLOOKUP($A110, LS_previous!$B$4:$AY$138, LS_previous!H$149, FALSE), VLOOKUP('Staging Table'!$A110, LS_previous!$B$4:$AY$138,LS_previous!AF$149, FALSE))/2)</f>
        <v>1631.837780427617</v>
      </c>
      <c r="Q110" s="382">
        <f t="array" ref="Q110">IF($G110=0, INDEX(LS_previous!$D$4:$AY$138, MATCH('Staging Table'!$A110, LS_previous!$B$4:$B$138, 0), MATCH(Q$4&amp;Q$5, LS_previous!$D$2:$AY$2&amp;LS_previous!$D$3:$AY$3, 0)),SUM(VLOOKUP($A110, LS_previous!$B$4:$AY$138, LS_previous!I$149, FALSE), VLOOKUP('Staging Table'!$A110, LS_previous!$B$4:$AY$138,LS_previous!AG$149, FALSE))/2)</f>
        <v>1736.5139456447814</v>
      </c>
      <c r="R110" s="382">
        <f t="array" ref="R110">IF($G110=0, INDEX(LS_previous!$D$4:$AY$138, MATCH('Staging Table'!$A110, LS_previous!$B$4:$B$138, 0), MATCH(R$4&amp;R$5, LS_previous!$D$2:$AY$2&amp;LS_previous!$D$3:$AY$3, 0)),SUM(VLOOKUP($A110, LS_previous!$B$4:$AY$138, LS_previous!J$149, FALSE), VLOOKUP('Staging Table'!$A110, LS_previous!$B$4:$AY$138,LS_previous!AH$149, FALSE))/2)</f>
        <v>2741.5000177302281</v>
      </c>
      <c r="S110" s="382">
        <f t="array" ref="S110">IF($G110=0, INDEX(LS_previous!$D$4:$AY$138, MATCH('Staging Table'!$A110, LS_previous!$B$4:$B$138, 0), MATCH(S$4&amp;S$5, LS_previous!$D$2:$AY$2&amp;LS_previous!$D$3:$AY$3, 0)),SUM(VLOOKUP($A110, LS_previous!$B$4:$AY$138, LS_previous!K$149, FALSE), VLOOKUP('Staging Table'!$A110, LS_previous!$B$4:$AY$138,LS_previous!AI$149, FALSE))/2)</f>
        <v>1794.4029692922704</v>
      </c>
      <c r="T110" s="382">
        <f t="array" ref="T110">IF($G110=0, INDEX(LS_previous!$D$4:$AY$138, MATCH('Staging Table'!$A110, LS_previous!$B$4:$B$138, 0), MATCH(T$4&amp;T$5, LS_previous!$D$2:$AY$2&amp;LS_previous!$D$3:$AY$3, 0)),SUM(VLOOKUP($A110, LS_previous!$B$4:$AY$138, LS_previous!L$149, FALSE), VLOOKUP('Staging Table'!$A110, LS_previous!$B$4:$AY$138,LS_previous!AJ$149, FALSE))/2)</f>
        <v>1875.5772355730578</v>
      </c>
      <c r="U110" s="382">
        <f t="array" ref="U110">IF($G110=0, INDEX(LS_previous!$D$4:$AY$138, MATCH('Staging Table'!$A110, LS_previous!$B$4:$B$138, 0), MATCH(U$4&amp;U$5, LS_previous!$D$2:$AY$2&amp;LS_previous!$D$3:$AY$3, 0)),SUM(VLOOKUP($A110, LS_previous!$B$4:$AY$138, LS_previous!M$149, FALSE), VLOOKUP('Staging Table'!$A110, LS_previous!$B$4:$AY$138,LS_previous!AK$149, FALSE))/2)</f>
        <v>1102.8412950422276</v>
      </c>
      <c r="V110" s="382">
        <f t="array" ref="V110">IF($G110=0, INDEX(LS_previous!$D$4:$AY$138, MATCH('Staging Table'!$A110, LS_previous!$B$4:$B$138, 0), MATCH(V$4&amp;V$5, LS_previous!$D$2:$AY$2&amp;LS_previous!$D$3:$AY$3, 0)),SUM(VLOOKUP($A110, LS_previous!$B$4:$AY$138, LS_previous!N$149, FALSE), VLOOKUP('Staging Table'!$A110, LS_previous!$B$4:$AY$138,LS_previous!AL$149, FALSE))/2)</f>
        <v>619.46087382878068</v>
      </c>
      <c r="W110" s="382">
        <f t="array" ref="W110">IF($G110=0, INDEX(LS_previous!$D$4:$AY$138, MATCH('Staging Table'!$A110, LS_previous!$B$4:$B$138, 0), MATCH(W$4&amp;W$5, LS_previous!$D$2:$AY$2&amp;LS_previous!$D$3:$AY$3, 0)),SUM(VLOOKUP($A110, LS_previous!$B$4:$AY$138, LS_previous!O$149, FALSE), VLOOKUP('Staging Table'!$A110, LS_previous!$B$4:$AY$138,LS_previous!AM$149, FALSE))/2)</f>
        <v>66.967900259910493</v>
      </c>
      <c r="X110" s="382">
        <f t="array" ref="X110">IF($G110=0, INDEX(LS_previous!$D$4:$AY$138, MATCH('Staging Table'!$A110, LS_previous!$B$4:$B$138, 0), MATCH(X$4&amp;X$5, LS_previous!$D$2:$AY$2&amp;LS_previous!$D$3:$AY$3, 0)),SUM(VLOOKUP($A110, LS_previous!$B$4:$AY$138, LS_previous!P$149, FALSE), VLOOKUP('Staging Table'!$A110, LS_previous!$B$4:$AY$138,LS_previous!AN$149, FALSE))/2)</f>
        <v>734.94448377694789</v>
      </c>
      <c r="Y110" s="382">
        <f t="array" ref="Y110">IF($G110=0, INDEX(LS_previous!$D$4:$AY$138, MATCH('Staging Table'!$A110, LS_previous!$B$4:$B$138, 0), MATCH(Y$4&amp;Y$5, LS_previous!$D$2:$AY$2&amp;LS_previous!$D$3:$AY$3, 0)),SUM(VLOOKUP($A110, LS_previous!$B$4:$AY$138, LS_previous!Q$149, FALSE), VLOOKUP('Staging Table'!$A110, LS_previous!$B$4:$AY$138,LS_previous!AO$149, FALSE))/2)</f>
        <v>520.92376764047458</v>
      </c>
      <c r="Z110" s="382">
        <f t="array" ref="Z110">IF($G110=0, INDEX(LS_previous!$D$4:$AY$138, MATCH('Staging Table'!$A110, LS_previous!$B$4:$B$138, 0), MATCH(Z$4&amp;Z$5, LS_previous!$D$2:$AY$2&amp;LS_previous!$D$3:$AY$3, 0)),SUM(VLOOKUP($A110, LS_previous!$B$4:$AY$138, LS_previous!R$149, FALSE), VLOOKUP('Staging Table'!$A110, LS_previous!$B$4:$AY$138,LS_previous!AP$149, FALSE))/2)</f>
        <v>-3373.4898432381733</v>
      </c>
      <c r="AA110" s="382">
        <f t="array" ref="AA110">IF($G110=0, INDEX(LS_previous!$D$4:$AY$138, MATCH('Staging Table'!$A110, LS_previous!$B$4:$B$138, 0), MATCH(AA$4&amp;AA$5, LS_previous!$D$2:$AY$2&amp;LS_previous!$D$3:$AY$3, 0)),SUM(VLOOKUP($A110, LS_previous!$B$4:$AY$138, LS_previous!S$149, FALSE), VLOOKUP('Staging Table'!$A110, LS_previous!$B$4:$AY$138,LS_previous!AQ$149, FALSE))/2)</f>
        <v>-1720.779213211822</v>
      </c>
      <c r="AB110" s="382">
        <f t="array" ref="AB110">IF($G110=0, INDEX(LS_previous!$D$4:$AY$138, MATCH('Staging Table'!$A110, LS_previous!$B$4:$B$138, 0), MATCH(AB$4&amp;AB$5, LS_previous!$D$2:$AY$2&amp;LS_previous!$D$3:$AY$3, 0)),SUM(VLOOKUP($A110, LS_previous!$B$4:$AY$138, LS_previous!T$149, FALSE), VLOOKUP('Staging Table'!$A110, LS_previous!$B$4:$AY$138,LS_previous!AR$149, FALSE))/2)</f>
        <v>-1994.2672953742285</v>
      </c>
      <c r="AC110" s="382">
        <f t="array" ref="AC110">IF($G110=0, INDEX(LS_previous!$D$4:$AY$138, MATCH('Staging Table'!$A110, LS_previous!$B$4:$B$138, 0), MATCH(AC$4&amp;AC$5, LS_previous!$D$2:$AY$2&amp;LS_previous!$D$3:$AY$3, 0)),SUM(VLOOKUP($A110, LS_previous!$B$4:$AY$138, LS_previous!U$149, FALSE), VLOOKUP('Staging Table'!$A110, LS_previous!$B$4:$AY$138,LS_previous!AS$149, FALSE))/2)</f>
        <v>-1378.4291442483363</v>
      </c>
      <c r="AD110" s="382">
        <f t="array" ref="AD110">IF($G110=0, INDEX(LS_previous!$D$4:$AY$138, MATCH('Staging Table'!$A110, LS_previous!$B$4:$B$138, 0), MATCH(AD$4&amp;AD$5, LS_previous!$D$2:$AY$2&amp;LS_previous!$D$3:$AY$3, 0)),SUM(VLOOKUP($A110, LS_previous!$B$4:$AY$138, LS_previous!V$149, FALSE), VLOOKUP('Staging Table'!$A110, LS_previous!$B$4:$AY$138,LS_previous!AT$149, FALSE))/2)</f>
        <v>-1624.4808934285857</v>
      </c>
      <c r="AE110" s="382">
        <f t="array" ref="AE110">IF($G110=0, INDEX(LS_previous!$D$4:$AY$138, MATCH('Staging Table'!$A110, LS_previous!$B$4:$B$138, 0), MATCH(AE$4&amp;AE$5, LS_previous!$D$2:$AY$2&amp;LS_previous!$D$3:$AY$3, 0)),SUM(VLOOKUP($A110, LS_previous!$B$4:$AY$138, LS_previous!W$149, FALSE), VLOOKUP('Staging Table'!$A110, LS_previous!$B$4:$AY$138,LS_previous!AU$149, FALSE))/2)</f>
        <v>-395.00116516603021</v>
      </c>
      <c r="AF110" s="382">
        <f t="array" ref="AF110">IF($G110=0, INDEX(LS_previous!$D$4:$AY$138, MATCH('Staging Table'!$A110, LS_previous!$B$4:$B$138, 0), MATCH(AF$4&amp;AF$5, LS_previous!$D$2:$AY$2&amp;LS_previous!$D$3:$AY$3, 0)),SUM(VLOOKUP($A110, LS_previous!$B$4:$AY$138, LS_previous!X$149, FALSE), VLOOKUP('Staging Table'!$A110, LS_previous!$B$4:$AY$138,LS_previous!AV$149, FALSE))/2)</f>
        <v>-1514.1403785965549</v>
      </c>
      <c r="AG110" s="382">
        <f t="array" ref="AG110">IF($G110=0, INDEX(LS_previous!$D$4:$AY$138, MATCH('Staging Table'!$A110, LS_previous!$B$4:$B$138, 0), MATCH(AG$4&amp;AG$5, LS_previous!$D$2:$AY$2&amp;LS_previous!$D$3:$AY$3, 0)),SUM(VLOOKUP($A110, LS_previous!$B$4:$AY$138, LS_previous!Y$149, FALSE), VLOOKUP('Staging Table'!$A110, LS_previous!$B$4:$AY$138,LS_previous!AW$149, FALSE))/2)</f>
        <v>-785.44618138129999</v>
      </c>
      <c r="AH110" s="382">
        <f t="array" ref="AH110">IF($G110=0, INDEX(LS_previous!$D$4:$AY$138, MATCH('Staging Table'!$A110, LS_previous!$B$4:$B$138, 0), MATCH(AH$4&amp;AH$5, LS_previous!$D$2:$AY$2&amp;LS_previous!$D$3:$AY$3, 0)),SUM(VLOOKUP($A110, LS_previous!$B$4:$AY$138, LS_previous!Z$149, FALSE), VLOOKUP('Staging Table'!$A110, LS_previous!$B$4:$AY$138,LS_previous!AX$149, FALSE))/2)</f>
        <v>-544.49633614562754</v>
      </c>
      <c r="AI110" s="382">
        <f t="array" ref="AI110">IF($G110=0, INDEX(LS_previous!$D$4:$AY$138, MATCH('Staging Table'!$A110, LS_previous!$B$4:$B$138, 0), MATCH(AI$4&amp;AI$5, LS_previous!$D$2:$AY$2&amp;LS_previous!$D$3:$AY$3, 0)),SUM(VLOOKUP($A110, LS_previous!$B$4:$AY$138, LS_previous!AA$149, FALSE), VLOOKUP('Staging Table'!$A110, LS_previous!$B$4:$AY$138,LS_previous!AY$149, FALSE))/2)</f>
        <v>-351.69120486167003</v>
      </c>
      <c r="AJ110" s="384">
        <f t="array" ref="AJ110">INDEX(Demand_previous!$D$4:$AY$138, MATCH('Staging Table'!$A110, Demand_previous!$B$4:$B$138, 0), MATCH(AJ$4&amp;AJ$5,Demand_previous!$D$2:$AY$2&amp;Demand_previous!$D$3:$AY$3, 0))/1000</f>
        <v>2.7155648148148162</v>
      </c>
      <c r="AK110" s="384">
        <f t="array" ref="AK110">INDEX(Demand_previous!$D$4:$AY$138, MATCH('Staging Table'!$A110, Demand_previous!$B$4:$B$138, 0), MATCH(AK$4&amp;AK$5,Demand_previous!$D$2:$AY$2&amp;Demand_previous!$D$3:$AY$3, 0))/1000</f>
        <v>0.91741666666666521</v>
      </c>
      <c r="AL110" s="384">
        <f t="array" ref="AL110">INDEX(Demand_previous!$D$4:$AY$138, MATCH('Staging Table'!$A110, Demand_previous!$B$4:$B$138, 0), MATCH(AL$4&amp;AL$5,Demand_previous!$D$2:$AY$2&amp;Demand_previous!$D$3:$AY$3, 0))/1000</f>
        <v>2.5838581730769241</v>
      </c>
      <c r="AM110" s="384">
        <f t="array" ref="AM110">INDEX(Demand_previous!$D$4:$AY$138, MATCH('Staging Table'!$A110, Demand_previous!$B$4:$B$138, 0), MATCH(AM$4&amp;AM$5,Demand_previous!$D$2:$AY$2&amp;Demand_previous!$D$3:$AY$3, 0))/1000</f>
        <v>3.5784774999999982</v>
      </c>
      <c r="AN110" s="384">
        <f t="array" ref="AN110">INDEX(Demand_previous!$D$4:$AY$138, MATCH('Staging Table'!$A110, Demand_previous!$B$4:$B$138, 0), MATCH(AN$4&amp;AN$5,Demand_previous!$D$2:$AY$2&amp;Demand_previous!$D$3:$AY$3, 0))/1000</f>
        <v>1.3221749999999979</v>
      </c>
      <c r="AO110" s="384">
        <f t="array" ref="AO110">INDEX(Demand_previous!$D$4:$AY$138, MATCH('Staging Table'!$A110, Demand_previous!$B$4:$B$138, 0), MATCH(AO$4&amp;AO$5,Demand_previous!$D$2:$AY$2&amp;Demand_previous!$D$3:$AY$3, 0))/1000</f>
        <v>5.0525532407407416</v>
      </c>
      <c r="AP110" s="384">
        <f t="array" ref="AP110">INDEX(Demand_previous!$D$4:$AY$138, MATCH('Staging Table'!$A110, Demand_previous!$B$4:$B$138, 0), MATCH(AP$4&amp;AP$5,Demand_previous!$D$2:$AY$2&amp;Demand_previous!$D$3:$AY$3, 0))/1000</f>
        <v>2.5437331730769239</v>
      </c>
      <c r="AQ110" s="384">
        <f t="array" ref="AQ110">INDEX(Demand_previous!$D$4:$AY$138, MATCH('Staging Table'!$A110, Demand_previous!$B$4:$B$138, 0), MATCH(AQ$4&amp;AQ$5,Demand_previous!$D$2:$AY$2&amp;Demand_previous!$D$3:$AY$3, 0))/1000</f>
        <v>0</v>
      </c>
      <c r="AR110" s="384">
        <f t="array" ref="AR110">INDEX(Demand_previous!$D$4:$AY$138, MATCH('Staging Table'!$A110, Demand_previous!$B$4:$B$138, 0), MATCH(AR$4&amp;AR$5,Demand_previous!$D$2:$AY$2&amp;Demand_previous!$D$3:$AY$3, 0))/1000</f>
        <v>1.6111562500000001</v>
      </c>
      <c r="AS110" s="384">
        <f t="array" ref="AS110">INDEX(Demand_previous!$D$4:$AY$138, MATCH('Staging Table'!$A110, Demand_previous!$B$4:$B$138, 0), MATCH(AS$4&amp;AS$5,Demand_previous!$D$2:$AY$2&amp;Demand_previous!$D$3:$AY$3, 0))/1000</f>
        <v>1.3909975000000006</v>
      </c>
      <c r="AT110" s="384">
        <f t="array" ref="AT110">INDEX(Demand_previous!$D$4:$AY$138, MATCH('Staging Table'!$A110, Demand_previous!$B$4:$B$138, 0), MATCH(AT$4&amp;AT$5,Demand_previous!$D$2:$AY$2&amp;Demand_previous!$D$3:$AY$3, 0))/1000</f>
        <v>2.1773310185185188</v>
      </c>
      <c r="AU110" s="384">
        <f t="array" ref="AU110">INDEX(Demand_previous!$D$4:$AY$138, MATCH('Staging Table'!$A110, Demand_previous!$B$4:$B$138, 0), MATCH(AU$4&amp;AU$5,Demand_previous!$D$2:$AY$2&amp;Demand_previous!$D$3:$AY$3, 0))/1000</f>
        <v>1.7662799999999992</v>
      </c>
      <c r="AV110" s="384">
        <f>IF($D110=0,IF(C110=0, MAX(AY110 - (VLOOKUP($A110,TOCA_previous!$A$2:$AI$137,MATCH("RHWM 2016",TOCA_previous!$A$2:$AI$2,0),FALSE)*$F$2*TOCA_previous!C107),0),0), 0)</f>
        <v>0</v>
      </c>
      <c r="AW110" s="427">
        <f>VLOOKUP($A110,REP_previous!$A$1:$D$135,MATCH("FY "&amp;$F$1&amp; " Total Refund",REP_previous!$A$1:$D$1,0),0)</f>
        <v>196479.95583162247</v>
      </c>
      <c r="AX110" s="398">
        <f>MIN(VLOOKUP($A110,TOCA_previous!$A$2:$AI$137,MATCH("TRL - NLSL - Exisiting Resource "&amp;$F$1,TOCA_previous!$A$2:$AI$2,0),FALSE)*$F$2,(VLOOKUP($A110,TOCA_previous!$A$2:$AI$137,MATCH("RHWM 2016",TOCA_previous!$A$2:$AI$2,0),FALSE)*$F$2))</f>
        <v>135089.136</v>
      </c>
      <c r="AY110" s="384">
        <f>SUM(L110:AI110)+(F110*RT1SC!$C$3*$F$2)</f>
        <v>133569.59131797164</v>
      </c>
      <c r="AZ110" s="398">
        <f>VLOOKUP($A110,TOCA_previous!$A$2:$AI$137,MATCH("Above RHWM Not Served with LS "&amp;$F$1,TOCA_previous!$A$2:$AI$2,0),FALSE)*$F$2</f>
        <v>0</v>
      </c>
      <c r="BA110" s="206">
        <f t="shared" si="19"/>
        <v>-1519.5446820283541</v>
      </c>
      <c r="BB110" s="399">
        <f>(VLOOKUP($A110,TOCA_previous!$A$2:$AI$137,MATCH("RHWM 2016",TOCA_previous!$A$2:$AI$2,0),FALSE)*$F$2) - $AX110</f>
        <v>3267.6479999999865</v>
      </c>
      <c r="BC110" s="206">
        <f t="shared" si="20"/>
        <v>0</v>
      </c>
      <c r="BD110" s="400">
        <f t="shared" si="21"/>
        <v>1519.5446820283541</v>
      </c>
      <c r="BE110" s="392">
        <f t="shared" si="22"/>
        <v>0</v>
      </c>
      <c r="BF110" s="399">
        <f t="shared" si="23"/>
        <v>1519.5446820283541</v>
      </c>
      <c r="BG110" s="206">
        <f>VLOOKUP($A110,TOCA_current!$A$2:$AI$137,MATCH(BG$4,TOCA_current!$A$2:$AI$2,0),FALSE)</f>
        <v>2.1955999999999998E-3</v>
      </c>
      <c r="BH110" s="206">
        <f>VLOOKUP($A110,TOCA_current!$A$2:$AI$137,MATCH(BH$4,TOCA_current!$A$2:$AI$2,0),FALSE)</f>
        <v>2.1955999999999998E-3</v>
      </c>
      <c r="BI110" s="391">
        <f t="shared" si="24"/>
        <v>0</v>
      </c>
      <c r="BJ110" s="206">
        <f>VLOOKUP($A110,TOCA_current!A106:BG241,MATCH(BJ$4,TOCA_current!$A$2:$BG$2,0),FALSE)</f>
        <v>4.4999999999999998E-2</v>
      </c>
      <c r="BK110" s="206">
        <f t="shared" si="25"/>
        <v>0</v>
      </c>
      <c r="BL110" s="206">
        <f t="shared" si="26"/>
        <v>0</v>
      </c>
      <c r="BM110" s="381">
        <f>VLOOKUP($A110,IRD!$A$4:$G$139, 7, FALSE)</f>
        <v>0</v>
      </c>
      <c r="BN110" s="382">
        <f t="array" ref="BN110">IF($BI110=0, INDEX(LS_current!$D$4:$AY$139, MATCH('Staging Table'!$A110, LS_current!$B$4:$B$139, 0), MATCH(BN$4&amp;BN$5, LS_current!$D$2:$AY$2&amp;LS_current!$D$3:$AY$3, 0)),SUM(VLOOKUP($A110, LS_current!$B$4:$AY$139, LS_current!D$149, FALSE), VLOOKUP($A110, LS_current!$B$4:$AY$139,LS_current!D$149, FALSE))/2)</f>
        <v>-293.45735858925491</v>
      </c>
      <c r="BO110" s="382">
        <f t="array" ref="BO110">IF($BI110=0, INDEX(LS_current!$D$4:$AY$139, MATCH('Staging Table'!$A110, LS_current!$B$4:$B$139, 0), MATCH(BO$4&amp;BO$5, LS_current!$D$2:$AY$2&amp;LS_current!$D$3:$AY$3, 0)),SUM(VLOOKUP($A110, LS_current!$B$4:$AY$139, LS_current!E$149, FALSE), VLOOKUP($A110, LS_current!$B$4:$AY$139,LS_current!E$149, FALSE))/2)</f>
        <v>89.52716748686953</v>
      </c>
      <c r="BP110" s="382">
        <f t="array" ref="BP110">IF($BI110=0, INDEX(LS_current!$D$4:$AY$139, MATCH('Staging Table'!$A110, LS_current!$B$4:$B$139, 0), MATCH(BP$4&amp;BP$5, LS_current!$D$2:$AY$2&amp;LS_current!$D$3:$AY$3, 0)),SUM(VLOOKUP($A110, LS_current!$B$4:$AY$139, LS_current!F$149, FALSE), VLOOKUP($A110, LS_current!$B$4:$AY$139,LS_current!F$149, FALSE))/2)</f>
        <v>-395.4354173665306</v>
      </c>
      <c r="BQ110" s="382">
        <f t="array" ref="BQ110">IF($BI110=0, INDEX(LS_current!$D$4:$AY$139, MATCH('Staging Table'!$A110, LS_current!$B$4:$B$139, 0), MATCH(BQ$4&amp;BQ$5, LS_current!$D$2:$AY$2&amp;LS_current!$D$3:$AY$3, 0)),SUM(VLOOKUP($A110, LS_current!$B$4:$AY$139, LS_current!G$149, FALSE), VLOOKUP($A110, LS_current!$B$4:$AY$139,LS_current!G$149, FALSE))/2)</f>
        <v>47.074996356566771</v>
      </c>
      <c r="BR110" s="382">
        <f t="array" ref="BR110">IF($BI110=0, INDEX(LS_current!$D$4:$AY$139, MATCH('Staging Table'!$A110, LS_current!$B$4:$B$139, 0), MATCH(BR$4&amp;BR$5, LS_current!$D$2:$AY$2&amp;LS_current!$D$3:$AY$3, 0)),SUM(VLOOKUP($A110, LS_current!$B$4:$AY$139, LS_current!H$149, FALSE), VLOOKUP($A110, LS_current!$B$4:$AY$139,LS_current!H$149, FALSE))/2)</f>
        <v>1402.6035669079947</v>
      </c>
      <c r="BS110" s="382">
        <f t="array" ref="BS110">IF($BI110=0, INDEX(LS_current!$D$4:$AY$139, MATCH('Staging Table'!$A110, LS_current!$B$4:$B$139, 0), MATCH(BS$4&amp;BS$5, LS_current!$D$2:$AY$2&amp;LS_current!$D$3:$AY$3, 0)),SUM(VLOOKUP($A110, LS_current!$B$4:$AY$139, LS_current!I$149, FALSE), VLOOKUP($A110, LS_current!$B$4:$AY$139,LS_current!I$149, FALSE))/2)</f>
        <v>1706.1602950212182</v>
      </c>
      <c r="BT110" s="382">
        <f t="array" ref="BT110">IF($BI110=0, INDEX(LS_current!$D$4:$AY$139, MATCH('Staging Table'!$A110, LS_current!$B$4:$B$139, 0), MATCH(BT$4&amp;BT$5, LS_current!$D$2:$AY$2&amp;LS_current!$D$3:$AY$3, 0)),SUM(VLOOKUP($A110, LS_current!$B$4:$AY$139, LS_current!J$149, FALSE), VLOOKUP($A110, LS_current!$B$4:$AY$139,LS_current!J$149, FALSE))/2)</f>
        <v>2687.3127863385316</v>
      </c>
      <c r="BU110" s="382">
        <f t="array" ref="BU110">IF($BI110=0, INDEX(LS_current!$D$4:$AY$139, MATCH('Staging Table'!$A110, LS_current!$B$4:$B$139, 0), MATCH(BU$4&amp;BU$5, LS_current!$D$2:$AY$2&amp;LS_current!$D$3:$AY$3, 0)),SUM(VLOOKUP($A110, LS_current!$B$4:$AY$139, LS_current!K$149, FALSE), VLOOKUP($A110, LS_current!$B$4:$AY$139,LS_current!K$149, FALSE))/2)</f>
        <v>1791.0071467761727</v>
      </c>
      <c r="BV110" s="382">
        <f t="array" ref="BV110">IF($BI110=0, INDEX(LS_current!$D$4:$AY$139, MATCH('Staging Table'!$A110, LS_current!$B$4:$B$139, 0), MATCH(BV$4&amp;BV$5, LS_current!$D$2:$AY$2&amp;LS_current!$D$3:$AY$3, 0)),SUM(VLOOKUP($A110, LS_current!$B$4:$AY$139, LS_current!L$149, FALSE), VLOOKUP($A110, LS_current!$B$4:$AY$139,LS_current!L$149, FALSE))/2)</f>
        <v>2349.8818641748503</v>
      </c>
      <c r="BW110" s="382">
        <f t="array" ref="BW110">IF($BI110=0, INDEX(LS_current!$D$4:$AY$139, MATCH('Staging Table'!$A110, LS_current!$B$4:$B$139, 0), MATCH(BW$4&amp;BW$5, LS_current!$D$2:$AY$2&amp;LS_current!$D$3:$AY$3, 0)),SUM(VLOOKUP($A110, LS_current!$B$4:$AY$139, LS_current!M$149, FALSE), VLOOKUP($A110, LS_current!$B$4:$AY$139,LS_current!M$149, FALSE))/2)</f>
        <v>1472.5660595506702</v>
      </c>
      <c r="BX110" s="382">
        <f t="array" ref="BX110">IF($BI110=0, INDEX(LS_current!$D$4:$AY$139, MATCH('Staging Table'!$A110, LS_current!$B$4:$B$139, 0), MATCH(BX$4&amp;BX$5, LS_current!$D$2:$AY$2&amp;LS_current!$D$3:$AY$3, 0)),SUM(VLOOKUP($A110, LS_current!$B$4:$AY$139, LS_current!N$149, FALSE), VLOOKUP($A110, LS_current!$B$4:$AY$139,LS_current!N$149, FALSE))/2)</f>
        <v>995.37649188497016</v>
      </c>
      <c r="BY110" s="382">
        <f t="array" ref="BY110">IF($BI110=0, INDEX(LS_current!$D$4:$AY$139, MATCH('Staging Table'!$A110, LS_current!$B$4:$B$139, 0), MATCH(BY$4&amp;BY$5, LS_current!$D$2:$AY$2&amp;LS_current!$D$3:$AY$3, 0)),SUM(VLOOKUP($A110, LS_current!$B$4:$AY$139, LS_current!O$149, FALSE), VLOOKUP($A110, LS_current!$B$4:$AY$139,LS_current!O$149, FALSE))/2)</f>
        <v>476.44705144718682</v>
      </c>
      <c r="BZ110" s="382">
        <f t="array" ref="BZ110">IF($BI110=0, INDEX(LS_current!$D$4:$AY$139, MATCH('Staging Table'!$A110, LS_current!$B$4:$B$139, 0), MATCH(BZ$4&amp;BZ$5, LS_current!$D$2:$AY$2&amp;LS_current!$D$3:$AY$3, 0)),SUM(VLOOKUP($A110, LS_current!$B$4:$AY$139, LS_current!P$149, FALSE), VLOOKUP($A110, LS_current!$B$4:$AY$139,LS_current!P$149, FALSE))/2)</f>
        <v>84.933407139054907</v>
      </c>
      <c r="CA110" s="382">
        <f t="array" ref="CA110">IF($BI110=0, INDEX(LS_current!$D$4:$AY$139, MATCH('Staging Table'!$A110, LS_current!$B$4:$B$139, 0), MATCH(CA$4&amp;CA$5, LS_current!$D$2:$AY$2&amp;LS_current!$D$3:$AY$3, 0)),SUM(VLOOKUP($A110, LS_current!$B$4:$AY$139, LS_current!Q$149, FALSE), VLOOKUP($A110, LS_current!$B$4:$AY$139,LS_current!Q$149, FALSE))/2)</f>
        <v>483.46601715409088</v>
      </c>
      <c r="CB110" s="382">
        <f t="array" ref="CB110">IF($BI110=0, INDEX(LS_current!$D$4:$AY$139, MATCH('Staging Table'!$A110, LS_current!$B$4:$B$139, 0), MATCH(CB$4&amp;CB$5, LS_current!$D$2:$AY$2&amp;LS_current!$D$3:$AY$3, 0)),SUM(VLOOKUP($A110, LS_current!$B$4:$AY$139, LS_current!R$149, FALSE), VLOOKUP($A110, LS_current!$B$4:$AY$139,LS_current!R$149, FALSE))/2)</f>
        <v>-3261.8401933550422</v>
      </c>
      <c r="CC110" s="382">
        <f t="array" ref="CC110">IF($BI110=0, INDEX(LS_current!$D$4:$AY$139, MATCH('Staging Table'!$A110, LS_current!$B$4:$B$139, 0), MATCH(CC$4&amp;CC$5, LS_current!$D$2:$AY$2&amp;LS_current!$D$3:$AY$3, 0)),SUM(VLOOKUP($A110, LS_current!$B$4:$AY$139, LS_current!S$149, FALSE), VLOOKUP($A110, LS_current!$B$4:$AY$139,LS_current!S$149, FALSE))/2)</f>
        <v>-1786.5043024036058</v>
      </c>
      <c r="CD110" s="382">
        <f t="array" ref="CD110">IF($BI110=0, INDEX(LS_current!$D$4:$AY$139, MATCH('Staging Table'!$A110, LS_current!$B$4:$B$139, 0), MATCH(CD$4&amp;CD$5, LS_current!$D$2:$AY$2&amp;LS_current!$D$3:$AY$3, 0)),SUM(VLOOKUP($A110, LS_current!$B$4:$AY$139, LS_current!T$149, FALSE), VLOOKUP($A110, LS_current!$B$4:$AY$139,LS_current!T$149, FALSE))/2)</f>
        <v>-1935.3310397802343</v>
      </c>
      <c r="CE110" s="382">
        <f t="array" ref="CE110">IF($BI110=0, INDEX(LS_current!$D$4:$AY$139, MATCH('Staging Table'!$A110, LS_current!$B$4:$B$139, 0), MATCH(CE$4&amp;CE$5, LS_current!$D$2:$AY$2&amp;LS_current!$D$3:$AY$3, 0)),SUM(VLOOKUP($A110, LS_current!$B$4:$AY$139, LS_current!U$149, FALSE), VLOOKUP($A110, LS_current!$B$4:$AY$139,LS_current!U$149, FALSE))/2)</f>
        <v>-1061.0935164001994</v>
      </c>
      <c r="CF110" s="382">
        <f t="array" ref="CF110">IF($BI110=0, INDEX(LS_current!$D$4:$AY$139, MATCH('Staging Table'!$A110, LS_current!$B$4:$B$139, 0), MATCH(CF$4&amp;CF$5, LS_current!$D$2:$AY$2&amp;LS_current!$D$3:$AY$3, 0)),SUM(VLOOKUP($A110, LS_current!$B$4:$AY$139, LS_current!V$149, FALSE), VLOOKUP($A110, LS_current!$B$4:$AY$139,LS_current!V$149, FALSE))/2)</f>
        <v>-1170.4666694448233</v>
      </c>
      <c r="CG110" s="382">
        <f t="array" ref="CG110">IF($BI110=0, INDEX(LS_current!$D$4:$AY$139, MATCH('Staging Table'!$A110, LS_current!$B$4:$B$139, 0), MATCH(CG$4&amp;CG$5, LS_current!$D$2:$AY$2&amp;LS_current!$D$3:$AY$3, 0)),SUM(VLOOKUP($A110, LS_current!$B$4:$AY$139, LS_current!W$149, FALSE), VLOOKUP($A110, LS_current!$B$4:$AY$139,LS_current!W$149, FALSE))/2)</f>
        <v>-115.21220384860862</v>
      </c>
      <c r="CH110" s="382">
        <f t="array" ref="CH110">IF($BI110=0, INDEX(LS_current!$D$4:$AY$139, MATCH('Staging Table'!$A110, LS_current!$B$4:$B$139, 0), MATCH(CH$4&amp;CH$5, LS_current!$D$2:$AY$2&amp;LS_current!$D$3:$AY$3, 0)),SUM(VLOOKUP($A110, LS_current!$B$4:$AY$139, LS_current!X$149, FALSE), VLOOKUP($A110, LS_current!$B$4:$AY$139,LS_current!X$149, FALSE))/2)</f>
        <v>-1452.6848116995125</v>
      </c>
      <c r="CI110" s="382">
        <f t="array" ref="CI110">IF($BI110=0, INDEX(LS_current!$D$4:$AY$139, MATCH('Staging Table'!$A110, LS_current!$B$4:$B$139, 0), MATCH(CI$4&amp;CI$5, LS_current!$D$2:$AY$2&amp;LS_current!$D$3:$AY$3, 0)),SUM(VLOOKUP($A110, LS_current!$B$4:$AY$139, LS_current!Y$149, FALSE), VLOOKUP($A110, LS_current!$B$4:$AY$139,LS_current!Y$149, FALSE))/2)</f>
        <v>-651.58586166194664</v>
      </c>
      <c r="CJ110" s="382">
        <f t="array" ref="CJ110">IF($BI110=0, INDEX(LS_current!$D$4:$AY$139, MATCH('Staging Table'!$A110, LS_current!$B$4:$B$139, 0), MATCH(CJ$4&amp;CJ$5, LS_current!$D$2:$AY$2&amp;LS_current!$D$3:$AY$3, 0)),SUM(VLOOKUP($A110, LS_current!$B$4:$AY$139, LS_current!Z$149, FALSE), VLOOKUP($A110, LS_current!$B$4:$AY$139,LS_current!Z$149, FALSE))/2)</f>
        <v>-1136.9157472608113</v>
      </c>
      <c r="CK110" s="382">
        <f t="array" ref="CK110">IF($BI110=0, INDEX(LS_current!$D$4:$AY$139, MATCH('Staging Table'!$A110, LS_current!$B$4:$B$139, 0), MATCH(CK$4&amp;CK$5, LS_current!$D$2:$AY$2&amp;LS_current!$D$3:$AY$3, 0)),SUM(VLOOKUP($A110, LS_current!$B$4:$AY$139, LS_current!AA$149, FALSE), VLOOKUP($A110, LS_current!$B$4:$AY$139,LS_current!AA$149, FALSE))/2)</f>
        <v>-329.62674748344944</v>
      </c>
      <c r="CL110" s="384">
        <f t="array" ref="CL110">INDEX(Demand_current!$D$4:$AY$138, MATCH($A110, Demand_current!$B$4:$B$138, 0), MATCH(CL$4&amp;CL$5,Demand_current!$D$2:$AY$2&amp;Demand_current!$D$3:$AY$3, 0))/1000</f>
        <v>2.1455480769230784</v>
      </c>
      <c r="CM110" s="384">
        <f t="array" ref="CM110">INDEX(Demand_current!$D$4:$AY$138, MATCH($A110, Demand_current!$B$4:$B$138, 0), MATCH(CM$4&amp;CM$5,Demand_current!$D$2:$AY$2&amp;Demand_current!$D$3:$AY$3, 0))/1000</f>
        <v>1.71136</v>
      </c>
      <c r="CN110" s="384">
        <f t="array" ref="CN110">INDEX(Demand_current!$D$4:$AY$138, MATCH($A110, Demand_current!$B$4:$B$138, 0), MATCH(CN$4&amp;CN$5,Demand_current!$D$2:$AY$2&amp;Demand_current!$D$3:$AY$3, 0))/1000</f>
        <v>1.6960124999999997</v>
      </c>
      <c r="CO110" s="384">
        <f t="array" ref="CO110">INDEX(Demand_current!$D$4:$AY$138, MATCH($A110, Demand_current!$B$4:$B$138, 0), MATCH(CO$4&amp;CO$5,Demand_current!$D$2:$AY$2&amp;Demand_current!$D$3:$AY$3, 0))/1000</f>
        <v>4.4749206730769231</v>
      </c>
      <c r="CP110" s="384">
        <f t="array" ref="CP110">INDEX(Demand_current!$D$4:$AY$138, MATCH($A110, Demand_current!$B$4:$B$138, 0), MATCH(CP$4&amp;CP$5,Demand_current!$D$2:$AY$2&amp;Demand_current!$D$3:$AY$3, 0))/1000</f>
        <v>0.49801562500000074</v>
      </c>
      <c r="CQ110" s="384">
        <f t="array" ref="CQ110">INDEX(Demand_current!$D$4:$AY$138, MATCH($A110, Demand_current!$B$4:$B$138, 0), MATCH(CQ$4&amp;CQ$5,Demand_current!$D$2:$AY$2&amp;Demand_current!$D$3:$AY$3, 0))/1000</f>
        <v>5.0525532407407416</v>
      </c>
      <c r="CR110" s="384">
        <f t="array" ref="CR110">INDEX(Demand_current!$D$4:$AY$138, MATCH($A110, Demand_current!$B$4:$B$138, 0), MATCH(CR$4&amp;CR$5,Demand_current!$D$2:$AY$2&amp;Demand_current!$D$3:$AY$3, 0))/1000</f>
        <v>1.9159625</v>
      </c>
      <c r="CS110" s="384">
        <f t="array" ref="CS110">INDEX(Demand_current!$D$4:$AY$138, MATCH($A110, Demand_current!$B$4:$B$138, 0), MATCH(CS$4&amp;CS$5,Demand_current!$D$2:$AY$2&amp;Demand_current!$D$3:$AY$3, 0))/1000</f>
        <v>0</v>
      </c>
      <c r="CT110" s="384">
        <f t="array" ref="CT110">INDEX(Demand_current!$D$4:$AY$138, MATCH($A110, Demand_current!$B$4:$B$138, 0), MATCH(CT$4&amp;CT$5,Demand_current!$D$2:$AY$2&amp;Demand_current!$D$3:$AY$3, 0))/1000</f>
        <v>1.6111562500000001</v>
      </c>
      <c r="CU110" s="384">
        <f t="array" ref="CU110">INDEX(Demand_current!$D$4:$AY$138, MATCH($A110, Demand_current!$B$4:$B$138, 0), MATCH(CU$4&amp;CU$5,Demand_current!$D$2:$AY$2&amp;Demand_current!$D$3:$AY$3, 0))/1000</f>
        <v>1.3909975000000006</v>
      </c>
      <c r="CV110" s="384">
        <f t="array" ref="CV110">INDEX(Demand_current!$D$4:$AY$138, MATCH($A110, Demand_current!$B$4:$B$138, 0), MATCH(CV$4&amp;CV$5,Demand_current!$D$2:$AY$2&amp;Demand_current!$D$3:$AY$3, 0))/1000</f>
        <v>2.1773310185185188</v>
      </c>
      <c r="CW110" s="384">
        <f t="array" ref="CW110">INDEX(Demand_current!$D$4:$AY$138, MATCH($A110, Demand_current!$B$4:$B$138, 0), MATCH(CW$4&amp;CW$5,Demand_current!$D$2:$AY$2&amp;Demand_current!$D$3:$AY$3, 0))/1000</f>
        <v>1.2041250000000003</v>
      </c>
      <c r="CX110" s="384">
        <f>IF(D110=0,IF(C110=0,MAX(0,DA110 - (VLOOKUP($A110,TOCA_current!$A$2:$AI$137,MATCH("RHWM 2018",TOCA_current!$A$2:$AI$2,0),FALSE)*$BH$2)), 0),0)</f>
        <v>0</v>
      </c>
      <c r="CY110" s="427">
        <f>VLOOKUP($A110,REP_current!$A$1:$D$135,MATCH("FY "&amp;$BH$1&amp; " Total Refund",REP_current!$A$1:$D$1,0),0)</f>
        <v>197551.89390883379</v>
      </c>
      <c r="CZ110" s="432">
        <f>MIN(VLOOKUP($A110,TOCA_current!$A$2:$AI$137,MATCH("TRL - NLSL - Existing Resource "&amp;$BH$1,TOCA_current!$A$2:$AI$2,0),FALSE)*$BH$2, VLOOKUP($A110,TOCA_current!$A$2:$AI$137,MATCH("RHWM 2018",TOCA_current!$A$2:$AI$2,0),FALSE)*$BH$2)</f>
        <v>133572.47999999998</v>
      </c>
      <c r="DA110" s="397">
        <f>SUM(BN110:CK110)+(BH110*RT1SC!$C$4*$BH$2)</f>
        <v>133569.59294872015</v>
      </c>
      <c r="DB110" s="432">
        <f>VLOOKUP($A110,TOCA_current!$A$2:$AI$137,MATCH("Above RHWM Not Served with LS "&amp;$BH$1,TOCA_current!$A$2:$AI$2,0),FALSE)*$BH$2</f>
        <v>0</v>
      </c>
      <c r="DC110" s="401">
        <f t="shared" si="27"/>
        <v>-2.887051279831212</v>
      </c>
      <c r="DD110" s="397">
        <f>(VLOOKUP($A110,TOCA_current!$A$2:$AI$137,MATCH("RHWM 2018",TOCA_current!$A$2:$AI$2,0),FALSE)*$BH$2) - $CZ110</f>
        <v>3530.2800000000279</v>
      </c>
      <c r="DE110" s="397">
        <f t="shared" si="28"/>
        <v>0</v>
      </c>
      <c r="DF110" s="397">
        <f t="shared" si="29"/>
        <v>2.887051279831212</v>
      </c>
      <c r="DG110" s="397">
        <f t="shared" si="30"/>
        <v>0</v>
      </c>
      <c r="DH110" s="397">
        <f t="shared" si="31"/>
        <v>2.887051279831212</v>
      </c>
    </row>
    <row r="111" spans="1:112">
      <c r="A111" s="274">
        <v>10354</v>
      </c>
      <c r="B111" s="275" t="s">
        <v>112</v>
      </c>
      <c r="C111" s="397">
        <v>0</v>
      </c>
      <c r="D111" s="397">
        <v>1</v>
      </c>
      <c r="E111" s="205">
        <f>VLOOKUP($A111,TOCA_previous!$A$2:$AI$137,MATCH(E$4,TOCA_previous!$A$2:$AI$2,0),FALSE)</f>
        <v>0.11054600000000001</v>
      </c>
      <c r="F111" s="206">
        <f>VLOOKUP($A111,TOCA_previous!$A$2:$AI$137,MATCH(F$4,TOCA_previous!$A$2:$AI$2,0),FALSE)</f>
        <v>5.6107100000000007E-2</v>
      </c>
      <c r="G111" s="206">
        <f t="shared" si="16"/>
        <v>5.4438899999999998E-2</v>
      </c>
      <c r="H111" s="206">
        <f>VLOOKUP($A111,TOCA_previous!$A$2:$AI$137,MATCH(H$4,TOCA_previous!$A$2:$AI$2,0),FALSE)</f>
        <v>0</v>
      </c>
      <c r="I111" s="206">
        <f t="shared" si="17"/>
        <v>0</v>
      </c>
      <c r="J111" s="206">
        <f t="shared" si="18"/>
        <v>0</v>
      </c>
      <c r="K111" s="381">
        <f>VLOOKUP(A111, IRD!$A$5:$C$139, 3, FALSE)</f>
        <v>0</v>
      </c>
      <c r="L111" s="382">
        <f t="array" ref="L111">IF($G111=0, INDEX(LS_previous!$D$4:$AY$138, MATCH('Staging Table'!$A111, LS_previous!$B$4:$B$138, 0), MATCH(L$4&amp;L$5, LS_previous!$D$2:$AY$2&amp;LS_previous!$D$3:$AY$3, 0)),SUM(VLOOKUP($A111, LS_previous!$B$4:$AY$138, LS_previous!D$149, FALSE), VLOOKUP('Staging Table'!$A111, LS_previous!$B$4:$AY$138,LS_previous!AB$149, FALSE))/2)</f>
        <v>-9791.0799005679874</v>
      </c>
      <c r="M111" s="382">
        <f t="array" ref="M111">IF($G111=0, INDEX(LS_previous!$D$4:$AY$138, MATCH('Staging Table'!$A111, LS_previous!$B$4:$B$138, 0), MATCH(M$4&amp;M$5, LS_previous!$D$2:$AY$2&amp;LS_previous!$D$3:$AY$3, 0)),SUM(VLOOKUP($A111, LS_previous!$B$4:$AY$138, LS_previous!E$149, FALSE), VLOOKUP('Staging Table'!$A111, LS_previous!$B$4:$AY$138,LS_previous!AC$149, FALSE))/2)</f>
        <v>24673.006873022678</v>
      </c>
      <c r="N111" s="382">
        <f t="array" ref="N111">IF($G111=0, INDEX(LS_previous!$D$4:$AY$138, MATCH('Staging Table'!$A111, LS_previous!$B$4:$B$138, 0), MATCH(N$4&amp;N$5, LS_previous!$D$2:$AY$2&amp;LS_previous!$D$3:$AY$3, 0)),SUM(VLOOKUP($A111, LS_previous!$B$4:$AY$138, LS_previous!F$149, FALSE), VLOOKUP('Staging Table'!$A111, LS_previous!$B$4:$AY$138,LS_previous!AD$149, FALSE))/2)</f>
        <v>-29133.397505101151</v>
      </c>
      <c r="O111" s="382">
        <f t="array" ref="O111">IF($G111=0, INDEX(LS_previous!$D$4:$AY$138, MATCH('Staging Table'!$A111, LS_previous!$B$4:$B$138, 0), MATCH(O$4&amp;O$5, LS_previous!$D$2:$AY$2&amp;LS_previous!$D$3:$AY$3, 0)),SUM(VLOOKUP($A111, LS_previous!$B$4:$AY$138, LS_previous!G$149, FALSE), VLOOKUP('Staging Table'!$A111, LS_previous!$B$4:$AY$138,LS_previous!AE$149, FALSE))/2)</f>
        <v>23186.754851474914</v>
      </c>
      <c r="P111" s="382">
        <f t="array" ref="P111">IF($G111=0, INDEX(LS_previous!$D$4:$AY$138, MATCH('Staging Table'!$A111, LS_previous!$B$4:$B$138, 0), MATCH(P$4&amp;P$5, LS_previous!$D$2:$AY$2&amp;LS_previous!$D$3:$AY$3, 0)),SUM(VLOOKUP($A111, LS_previous!$B$4:$AY$138, LS_previous!H$149, FALSE), VLOOKUP('Staging Table'!$A111, LS_previous!$B$4:$AY$138,LS_previous!AF$149, FALSE))/2)</f>
        <v>12127.220392417614</v>
      </c>
      <c r="Q111" s="382">
        <f t="array" ref="Q111">IF($G111=0, INDEX(LS_previous!$D$4:$AY$138, MATCH('Staging Table'!$A111, LS_previous!$B$4:$B$138, 0), MATCH(Q$4&amp;Q$5, LS_previous!$D$2:$AY$2&amp;LS_previous!$D$3:$AY$3, 0)),SUM(VLOOKUP($A111, LS_previous!$B$4:$AY$138, LS_previous!I$149, FALSE), VLOOKUP('Staging Table'!$A111, LS_previous!$B$4:$AY$138,LS_previous!AG$149, FALSE))/2)</f>
        <v>42764.272847265856</v>
      </c>
      <c r="R111" s="382">
        <f t="array" ref="R111">IF($G111=0, INDEX(LS_previous!$D$4:$AY$138, MATCH('Staging Table'!$A111, LS_previous!$B$4:$B$138, 0), MATCH(R$4&amp;R$5, LS_previous!$D$2:$AY$2&amp;LS_previous!$D$3:$AY$3, 0)),SUM(VLOOKUP($A111, LS_previous!$B$4:$AY$138, LS_previous!J$149, FALSE), VLOOKUP('Staging Table'!$A111, LS_previous!$B$4:$AY$138,LS_previous!AH$149, FALSE))/2)</f>
        <v>26728.9779534931</v>
      </c>
      <c r="S111" s="382">
        <f t="array" ref="S111">IF($G111=0, INDEX(LS_previous!$D$4:$AY$138, MATCH('Staging Table'!$A111, LS_previous!$B$4:$B$138, 0), MATCH(S$4&amp;S$5, LS_previous!$D$2:$AY$2&amp;LS_previous!$D$3:$AY$3, 0)),SUM(VLOOKUP($A111, LS_previous!$B$4:$AY$138, LS_previous!K$149, FALSE), VLOOKUP('Staging Table'!$A111, LS_previous!$B$4:$AY$138,LS_previous!AI$149, FALSE))/2)</f>
        <v>63283.748954078619</v>
      </c>
      <c r="T111" s="382">
        <f t="array" ref="T111">IF($G111=0, INDEX(LS_previous!$D$4:$AY$138, MATCH('Staging Table'!$A111, LS_previous!$B$4:$B$138, 0), MATCH(T$4&amp;T$5, LS_previous!$D$2:$AY$2&amp;LS_previous!$D$3:$AY$3, 0)),SUM(VLOOKUP($A111, LS_previous!$B$4:$AY$138, LS_previous!L$149, FALSE), VLOOKUP('Staging Table'!$A111, LS_previous!$B$4:$AY$138,LS_previous!AJ$149, FALSE))/2)</f>
        <v>23039.583693417691</v>
      </c>
      <c r="U111" s="382">
        <f t="array" ref="U111">IF($G111=0, INDEX(LS_previous!$D$4:$AY$138, MATCH('Staging Table'!$A111, LS_previous!$B$4:$B$138, 0), MATCH(U$4&amp;U$5, LS_previous!$D$2:$AY$2&amp;LS_previous!$D$3:$AY$3, 0)),SUM(VLOOKUP($A111, LS_previous!$B$4:$AY$138, LS_previous!M$149, FALSE), VLOOKUP('Staging Table'!$A111, LS_previous!$B$4:$AY$138,LS_previous!AK$149, FALSE))/2)</f>
        <v>39249.974958966784</v>
      </c>
      <c r="V111" s="382">
        <f t="array" ref="V111">IF($G111=0, INDEX(LS_previous!$D$4:$AY$138, MATCH('Staging Table'!$A111, LS_previous!$B$4:$B$138, 0), MATCH(V$4&amp;V$5, LS_previous!$D$2:$AY$2&amp;LS_previous!$D$3:$AY$3, 0)),SUM(VLOOKUP($A111, LS_previous!$B$4:$AY$138, LS_previous!N$149, FALSE), VLOOKUP('Staging Table'!$A111, LS_previous!$B$4:$AY$138,LS_previous!AL$149, FALSE))/2)</f>
        <v>318.35535423418332</v>
      </c>
      <c r="W111" s="382">
        <f t="array" ref="W111">IF($G111=0, INDEX(LS_previous!$D$4:$AY$138, MATCH('Staging Table'!$A111, LS_previous!$B$4:$B$138, 0), MATCH(W$4&amp;W$5, LS_previous!$D$2:$AY$2&amp;LS_previous!$D$3:$AY$3, 0)),SUM(VLOOKUP($A111, LS_previous!$B$4:$AY$138, LS_previous!O$149, FALSE), VLOOKUP('Staging Table'!$A111, LS_previous!$B$4:$AY$138,LS_previous!AM$149, FALSE))/2)</f>
        <v>20254.820332072712</v>
      </c>
      <c r="X111" s="382">
        <f t="array" ref="X111">IF($G111=0, INDEX(LS_previous!$D$4:$AY$138, MATCH('Staging Table'!$A111, LS_previous!$B$4:$B$138, 0), MATCH(X$4&amp;X$5, LS_previous!$D$2:$AY$2&amp;LS_previous!$D$3:$AY$3, 0)),SUM(VLOOKUP($A111, LS_previous!$B$4:$AY$138, LS_previous!P$149, FALSE), VLOOKUP('Staging Table'!$A111, LS_previous!$B$4:$AY$138,LS_previous!AN$149, FALSE))/2)</f>
        <v>4301.3015001102467</v>
      </c>
      <c r="Y111" s="382">
        <f t="array" ref="Y111">IF($G111=0, INDEX(LS_previous!$D$4:$AY$138, MATCH('Staging Table'!$A111, LS_previous!$B$4:$B$138, 0), MATCH(Y$4&amp;Y$5, LS_previous!$D$2:$AY$2&amp;LS_previous!$D$3:$AY$3, 0)),SUM(VLOOKUP($A111, LS_previous!$B$4:$AY$138, LS_previous!Q$149, FALSE), VLOOKUP('Staging Table'!$A111, LS_previous!$B$4:$AY$138,LS_previous!AO$149, FALSE))/2)</f>
        <v>26458.779154016054</v>
      </c>
      <c r="Z111" s="382">
        <f t="array" ref="Z111">IF($G111=0, INDEX(LS_previous!$D$4:$AY$138, MATCH('Staging Table'!$A111, LS_previous!$B$4:$B$138, 0), MATCH(Z$4&amp;Z$5, LS_previous!$D$2:$AY$2&amp;LS_previous!$D$3:$AY$3, 0)),SUM(VLOOKUP($A111, LS_previous!$B$4:$AY$138, LS_previous!R$149, FALSE), VLOOKUP('Staging Table'!$A111, LS_previous!$B$4:$AY$138,LS_previous!AP$149, FALSE))/2)</f>
        <v>-103584.23782576228</v>
      </c>
      <c r="AA111" s="382">
        <f t="array" ref="AA111">IF($G111=0, INDEX(LS_previous!$D$4:$AY$138, MATCH('Staging Table'!$A111, LS_previous!$B$4:$B$138, 0), MATCH(AA$4&amp;AA$5, LS_previous!$D$2:$AY$2&amp;LS_previous!$D$3:$AY$3, 0)),SUM(VLOOKUP($A111, LS_previous!$B$4:$AY$138, LS_previous!S$149, FALSE), VLOOKUP('Staging Table'!$A111, LS_previous!$B$4:$AY$138,LS_previous!AQ$149, FALSE))/2)</f>
        <v>-19657.900420095692</v>
      </c>
      <c r="AB111" s="382">
        <f t="array" ref="AB111">IF($G111=0, INDEX(LS_previous!$D$4:$AY$138, MATCH('Staging Table'!$A111, LS_previous!$B$4:$B$138, 0), MATCH(AB$4&amp;AB$5, LS_previous!$D$2:$AY$2&amp;LS_previous!$D$3:$AY$3, 0)),SUM(VLOOKUP($A111, LS_previous!$B$4:$AY$138, LS_previous!T$149, FALSE), VLOOKUP('Staging Table'!$A111, LS_previous!$B$4:$AY$138,LS_previous!AR$149, FALSE))/2)</f>
        <v>-54658.934411729759</v>
      </c>
      <c r="AC111" s="382">
        <f t="array" ref="AC111">IF($G111=0, INDEX(LS_previous!$D$4:$AY$138, MATCH('Staging Table'!$A111, LS_previous!$B$4:$B$138, 0), MATCH(AC$4&amp;AC$5, LS_previous!$D$2:$AY$2&amp;LS_previous!$D$3:$AY$3, 0)),SUM(VLOOKUP($A111, LS_previous!$B$4:$AY$138, LS_previous!U$149, FALSE), VLOOKUP('Staging Table'!$A111, LS_previous!$B$4:$AY$138,LS_previous!AS$149, FALSE))/2)</f>
        <v>-7366.3237373217707</v>
      </c>
      <c r="AD111" s="382">
        <f t="array" ref="AD111">IF($G111=0, INDEX(LS_previous!$D$4:$AY$138, MATCH('Staging Table'!$A111, LS_previous!$B$4:$B$138, 0), MATCH(AD$4&amp;AD$5, LS_previous!$D$2:$AY$2&amp;LS_previous!$D$3:$AY$3, 0)),SUM(VLOOKUP($A111, LS_previous!$B$4:$AY$138, LS_previous!V$149, FALSE), VLOOKUP('Staging Table'!$A111, LS_previous!$B$4:$AY$138,LS_previous!AT$149, FALSE))/2)</f>
        <v>-50783.789796675308</v>
      </c>
      <c r="AE111" s="382">
        <f t="array" ref="AE111">IF($G111=0, INDEX(LS_previous!$D$4:$AY$138, MATCH('Staging Table'!$A111, LS_previous!$B$4:$B$138, 0), MATCH(AE$4&amp;AE$5, LS_previous!$D$2:$AY$2&amp;LS_previous!$D$3:$AY$3, 0)),SUM(VLOOKUP($A111, LS_previous!$B$4:$AY$138, LS_previous!W$149, FALSE), VLOOKUP('Staging Table'!$A111, LS_previous!$B$4:$AY$138,LS_previous!AU$149, FALSE))/2)</f>
        <v>16080.602366787694</v>
      </c>
      <c r="AF111" s="382">
        <f t="array" ref="AF111">IF($G111=0, INDEX(LS_previous!$D$4:$AY$138, MATCH('Staging Table'!$A111, LS_previous!$B$4:$B$138, 0), MATCH(AF$4&amp;AF$5, LS_previous!$D$2:$AY$2&amp;LS_previous!$D$3:$AY$3, 0)),SUM(VLOOKUP($A111, LS_previous!$B$4:$AY$138, LS_previous!X$149, FALSE), VLOOKUP('Staging Table'!$A111, LS_previous!$B$4:$AY$138,LS_previous!AV$149, FALSE))/2)</f>
        <v>-52941.284627271365</v>
      </c>
      <c r="AG111" s="382">
        <f t="array" ref="AG111">IF($G111=0, INDEX(LS_previous!$D$4:$AY$138, MATCH('Staging Table'!$A111, LS_previous!$B$4:$B$138, 0), MATCH(AG$4&amp;AG$5, LS_previous!$D$2:$AY$2&amp;LS_previous!$D$3:$AY$3, 0)),SUM(VLOOKUP($A111, LS_previous!$B$4:$AY$138, LS_previous!Y$149, FALSE), VLOOKUP('Staging Table'!$A111, LS_previous!$B$4:$AY$138,LS_previous!AW$149, FALSE))/2)</f>
        <v>3838.4698397875254</v>
      </c>
      <c r="AH111" s="382">
        <f t="array" ref="AH111">IF($G111=0, INDEX(LS_previous!$D$4:$AY$138, MATCH('Staging Table'!$A111, LS_previous!$B$4:$B$138, 0), MATCH(AH$4&amp;AH$5, LS_previous!$D$2:$AY$2&amp;LS_previous!$D$3:$AY$3, 0)),SUM(VLOOKUP($A111, LS_previous!$B$4:$AY$138, LS_previous!Z$149, FALSE), VLOOKUP('Staging Table'!$A111, LS_previous!$B$4:$AY$138,LS_previous!AX$149, FALSE))/2)</f>
        <v>-14094.648237075264</v>
      </c>
      <c r="AI111" s="382">
        <f t="array" ref="AI111">IF($G111=0, INDEX(LS_previous!$D$4:$AY$138, MATCH('Staging Table'!$A111, LS_previous!$B$4:$B$138, 0), MATCH(AI$4&amp;AI$5, LS_previous!$D$2:$AY$2&amp;LS_previous!$D$3:$AY$3, 0)),SUM(VLOOKUP($A111, LS_previous!$B$4:$AY$138, LS_previous!AA$149, FALSE), VLOOKUP('Staging Table'!$A111, LS_previous!$B$4:$AY$138,LS_previous!AY$149, FALSE))/2)</f>
        <v>15704.817850456959</v>
      </c>
      <c r="AJ111" s="384">
        <f t="array" ref="AJ111">INDEX(Demand_previous!$D$4:$AY$138, MATCH('Staging Table'!$A111, Demand_previous!$B$4:$B$138, 0), MATCH(AJ$4&amp;AJ$5,Demand_previous!$D$2:$AY$2&amp;Demand_previous!$D$3:$AY$3, 0))/1000</f>
        <v>0</v>
      </c>
      <c r="AK111" s="384">
        <f t="array" ref="AK111">INDEX(Demand_previous!$D$4:$AY$138, MATCH('Staging Table'!$A111, Demand_previous!$B$4:$B$138, 0), MATCH(AK$4&amp;AK$5,Demand_previous!$D$2:$AY$2&amp;Demand_previous!$D$3:$AY$3, 0))/1000</f>
        <v>0</v>
      </c>
      <c r="AL111" s="384">
        <f t="array" ref="AL111">INDEX(Demand_previous!$D$4:$AY$138, MATCH('Staging Table'!$A111, Demand_previous!$B$4:$B$138, 0), MATCH(AL$4&amp;AL$5,Demand_previous!$D$2:$AY$2&amp;Demand_previous!$D$3:$AY$3, 0))/1000</f>
        <v>0</v>
      </c>
      <c r="AM111" s="384">
        <f t="array" ref="AM111">INDEX(Demand_previous!$D$4:$AY$138, MATCH('Staging Table'!$A111, Demand_previous!$B$4:$B$138, 0), MATCH(AM$4&amp;AM$5,Demand_previous!$D$2:$AY$2&amp;Demand_previous!$D$3:$AY$3, 0))/1000</f>
        <v>0</v>
      </c>
      <c r="AN111" s="384">
        <f t="array" ref="AN111">INDEX(Demand_previous!$D$4:$AY$138, MATCH('Staging Table'!$A111, Demand_previous!$B$4:$B$138, 0), MATCH(AN$4&amp;AN$5,Demand_previous!$D$2:$AY$2&amp;Demand_previous!$D$3:$AY$3, 0))/1000</f>
        <v>0</v>
      </c>
      <c r="AO111" s="384">
        <f t="array" ref="AO111">INDEX(Demand_previous!$D$4:$AY$138, MATCH('Staging Table'!$A111, Demand_previous!$B$4:$B$138, 0), MATCH(AO$4&amp;AO$5,Demand_previous!$D$2:$AY$2&amp;Demand_previous!$D$3:$AY$3, 0))/1000</f>
        <v>0</v>
      </c>
      <c r="AP111" s="384">
        <f t="array" ref="AP111">INDEX(Demand_previous!$D$4:$AY$138, MATCH('Staging Table'!$A111, Demand_previous!$B$4:$B$138, 0), MATCH(AP$4&amp;AP$5,Demand_previous!$D$2:$AY$2&amp;Demand_previous!$D$3:$AY$3, 0))/1000</f>
        <v>0</v>
      </c>
      <c r="AQ111" s="384">
        <f t="array" ref="AQ111">INDEX(Demand_previous!$D$4:$AY$138, MATCH('Staging Table'!$A111, Demand_previous!$B$4:$B$138, 0), MATCH(AQ$4&amp;AQ$5,Demand_previous!$D$2:$AY$2&amp;Demand_previous!$D$3:$AY$3, 0))/1000</f>
        <v>0</v>
      </c>
      <c r="AR111" s="384">
        <f t="array" ref="AR111">INDEX(Demand_previous!$D$4:$AY$138, MATCH('Staging Table'!$A111, Demand_previous!$B$4:$B$138, 0), MATCH(AR$4&amp;AR$5,Demand_previous!$D$2:$AY$2&amp;Demand_previous!$D$3:$AY$3, 0))/1000</f>
        <v>0</v>
      </c>
      <c r="AS111" s="384">
        <f t="array" ref="AS111">INDEX(Demand_previous!$D$4:$AY$138, MATCH('Staging Table'!$A111, Demand_previous!$B$4:$B$138, 0), MATCH(AS$4&amp;AS$5,Demand_previous!$D$2:$AY$2&amp;Demand_previous!$D$3:$AY$3, 0))/1000</f>
        <v>0</v>
      </c>
      <c r="AT111" s="384">
        <f t="array" ref="AT111">INDEX(Demand_previous!$D$4:$AY$138, MATCH('Staging Table'!$A111, Demand_previous!$B$4:$B$138, 0), MATCH(AT$4&amp;AT$5,Demand_previous!$D$2:$AY$2&amp;Demand_previous!$D$3:$AY$3, 0))/1000</f>
        <v>0</v>
      </c>
      <c r="AU111" s="384">
        <f t="array" ref="AU111">INDEX(Demand_previous!$D$4:$AY$138, MATCH('Staging Table'!$A111, Demand_previous!$B$4:$B$138, 0), MATCH(AU$4&amp;AU$5,Demand_previous!$D$2:$AY$2&amp;Demand_previous!$D$3:$AY$3, 0))/1000</f>
        <v>0</v>
      </c>
      <c r="AV111" s="384">
        <f>IF($D111=0,IF(C111=0, MAX(AY111 - (VLOOKUP($A111,TOCA_previous!$A$2:$AI$137,MATCH("RHWM 2016",TOCA_previous!$A$2:$AI$2,0),FALSE)*$F$2*TOCA_previous!C108),0),0), 0)</f>
        <v>0</v>
      </c>
      <c r="AW111" s="427">
        <f>VLOOKUP($A111,REP_previous!$A$1:$D$135,MATCH("FY "&amp;$F$1&amp; " Total Refund",REP_previous!$A$1:$D$1,0),0)</f>
        <v>8677394.1929976046</v>
      </c>
      <c r="AX111" s="398">
        <f>MIN(VLOOKUP($A111,TOCA_previous!$A$2:$AI$137,MATCH("TRL - NLSL - Exisiting Resource "&amp;$F$1,TOCA_previous!$A$2:$AI$2,0),FALSE)*$F$2,(VLOOKUP($A111,TOCA_previous!$A$2:$AI$137,MATCH("RHWM 2016",TOCA_previous!$A$2:$AI$2,0),FALSE)*$F$2))</f>
        <v>6780826.3679999998</v>
      </c>
      <c r="AY111" s="384">
        <f>SUM(L111:AI111)+(F111*RT1SC!$C$3*$F$2)</f>
        <v>3441575.9860363468</v>
      </c>
      <c r="AZ111" s="398">
        <f>VLOOKUP($A111,TOCA_previous!$A$2:$AI$137,MATCH("Above RHWM Not Served with LS "&amp;$F$1,TOCA_previous!$A$2:$AI$2,0),FALSE)*$F$2</f>
        <v>0</v>
      </c>
      <c r="BA111" s="206">
        <f t="shared" si="19"/>
        <v>-3339250.381963653</v>
      </c>
      <c r="BB111" s="399">
        <f>(VLOOKUP($A111,TOCA_previous!$A$2:$AI$137,MATCH("RHWM 2016",TOCA_previous!$A$2:$AI$2,0),FALSE)*$F$2) - $AX111</f>
        <v>169715.6640000008</v>
      </c>
      <c r="BC111" s="206">
        <f t="shared" si="20"/>
        <v>0</v>
      </c>
      <c r="BD111" s="400">
        <f t="shared" si="21"/>
        <v>3339250.381963653</v>
      </c>
      <c r="BE111" s="392">
        <f t="shared" si="22"/>
        <v>0</v>
      </c>
      <c r="BF111" s="399">
        <f t="shared" si="23"/>
        <v>0</v>
      </c>
      <c r="BG111" s="206">
        <f>VLOOKUP($A111,TOCA_current!$A$2:$AI$137,MATCH(BG$4,TOCA_current!$A$2:$AI$2,0),FALSE)</f>
        <v>0.1114733</v>
      </c>
      <c r="BH111" s="206">
        <f>VLOOKUP($A111,TOCA_current!$A$2:$AI$137,MATCH(BH$4,TOCA_current!$A$2:$AI$2,0),FALSE)</f>
        <v>5.7080499999999999E-2</v>
      </c>
      <c r="BI111" s="391">
        <f t="shared" si="24"/>
        <v>5.4392799999999998E-2</v>
      </c>
      <c r="BJ111" s="206">
        <f>VLOOKUP($A111,TOCA_current!A107:BG242,MATCH(BJ$4,TOCA_current!$A$2:$BG$2,0),FALSE)</f>
        <v>0</v>
      </c>
      <c r="BK111" s="206">
        <f t="shared" si="25"/>
        <v>0</v>
      </c>
      <c r="BL111" s="206">
        <f t="shared" si="26"/>
        <v>0</v>
      </c>
      <c r="BM111" s="381">
        <f>VLOOKUP($A111,IRD!$A$4:$G$139, 7, FALSE)</f>
        <v>0</v>
      </c>
      <c r="BN111" s="382">
        <f t="array" ref="BN111">IF($BI111=0, INDEX(LS_current!$D$4:$AY$139, MATCH('Staging Table'!$A111, LS_current!$B$4:$B$139, 0), MATCH(BN$4&amp;BN$5, LS_current!$D$2:$AY$2&amp;LS_current!$D$3:$AY$3, 0)),SUM(VLOOKUP($A111, LS_current!$B$4:$AY$139, LS_current!D$149, FALSE), VLOOKUP($A111, LS_current!$B$4:$AY$139,LS_current!D$149, FALSE))/2)</f>
        <v>-16413.465936852794</v>
      </c>
      <c r="BO111" s="382">
        <f t="array" ref="BO111">IF($BI111=0, INDEX(LS_current!$D$4:$AY$139, MATCH('Staging Table'!$A111, LS_current!$B$4:$B$139, 0), MATCH(BO$4&amp;BO$5, LS_current!$D$2:$AY$2&amp;LS_current!$D$3:$AY$3, 0)),SUM(VLOOKUP($A111, LS_current!$B$4:$AY$139, LS_current!E$149, FALSE), VLOOKUP($A111, LS_current!$B$4:$AY$139,LS_current!E$149, FALSE))/2)</f>
        <v>30748.262040778936</v>
      </c>
      <c r="BP111" s="382">
        <f t="array" ref="BP111">IF($BI111=0, INDEX(LS_current!$D$4:$AY$139, MATCH('Staging Table'!$A111, LS_current!$B$4:$B$139, 0), MATCH(BP$4&amp;BP$5, LS_current!$D$2:$AY$2&amp;LS_current!$D$3:$AY$3, 0)),SUM(VLOOKUP($A111, LS_current!$B$4:$AY$139, LS_current!F$149, FALSE), VLOOKUP($A111, LS_current!$B$4:$AY$139,LS_current!F$149, FALSE))/2)</f>
        <v>-33230.954066765466</v>
      </c>
      <c r="BQ111" s="382">
        <f t="array" ref="BQ111">IF($BI111=0, INDEX(LS_current!$D$4:$AY$139, MATCH('Staging Table'!$A111, LS_current!$B$4:$B$139, 0), MATCH(BQ$4&amp;BQ$5, LS_current!$D$2:$AY$2&amp;LS_current!$D$3:$AY$3, 0)),SUM(VLOOKUP($A111, LS_current!$B$4:$AY$139, LS_current!G$149, FALSE), VLOOKUP($A111, LS_current!$B$4:$AY$139,LS_current!G$149, FALSE))/2)</f>
        <v>18244.767860735548</v>
      </c>
      <c r="BR111" s="382">
        <f t="array" ref="BR111">IF($BI111=0, INDEX(LS_current!$D$4:$AY$139, MATCH('Staging Table'!$A111, LS_current!$B$4:$B$139, 0), MATCH(BR$4&amp;BR$5, LS_current!$D$2:$AY$2&amp;LS_current!$D$3:$AY$3, 0)),SUM(VLOOKUP($A111, LS_current!$B$4:$AY$139, LS_current!H$149, FALSE), VLOOKUP($A111, LS_current!$B$4:$AY$139,LS_current!H$149, FALSE))/2)</f>
        <v>-5987.5872183495085</v>
      </c>
      <c r="BS111" s="382">
        <f t="array" ref="BS111">IF($BI111=0, INDEX(LS_current!$D$4:$AY$139, MATCH('Staging Table'!$A111, LS_current!$B$4:$B$139, 0), MATCH(BS$4&amp;BS$5, LS_current!$D$2:$AY$2&amp;LS_current!$D$3:$AY$3, 0)),SUM(VLOOKUP($A111, LS_current!$B$4:$AY$139, LS_current!I$149, FALSE), VLOOKUP($A111, LS_current!$B$4:$AY$139,LS_current!I$149, FALSE))/2)</f>
        <v>46711.723451657221</v>
      </c>
      <c r="BT111" s="382">
        <f t="array" ref="BT111">IF($BI111=0, INDEX(LS_current!$D$4:$AY$139, MATCH('Staging Table'!$A111, LS_current!$B$4:$B$139, 0), MATCH(BT$4&amp;BT$5, LS_current!$D$2:$AY$2&amp;LS_current!$D$3:$AY$3, 0)),SUM(VLOOKUP($A111, LS_current!$B$4:$AY$139, LS_current!J$149, FALSE), VLOOKUP($A111, LS_current!$B$4:$AY$139,LS_current!J$149, FALSE))/2)</f>
        <v>29247.312022270227</v>
      </c>
      <c r="BU111" s="382">
        <f t="array" ref="BU111">IF($BI111=0, INDEX(LS_current!$D$4:$AY$139, MATCH('Staging Table'!$A111, LS_current!$B$4:$B$139, 0), MATCH(BU$4&amp;BU$5, LS_current!$D$2:$AY$2&amp;LS_current!$D$3:$AY$3, 0)),SUM(VLOOKUP($A111, LS_current!$B$4:$AY$139, LS_current!K$149, FALSE), VLOOKUP($A111, LS_current!$B$4:$AY$139,LS_current!K$149, FALSE))/2)</f>
        <v>52363.100704389391</v>
      </c>
      <c r="BV111" s="382">
        <f t="array" ref="BV111">IF($BI111=0, INDEX(LS_current!$D$4:$AY$139, MATCH('Staging Table'!$A111, LS_current!$B$4:$B$139, 0), MATCH(BV$4&amp;BV$5, LS_current!$D$2:$AY$2&amp;LS_current!$D$3:$AY$3, 0)),SUM(VLOOKUP($A111, LS_current!$B$4:$AY$139, LS_current!L$149, FALSE), VLOOKUP($A111, LS_current!$B$4:$AY$139,LS_current!L$149, FALSE))/2)</f>
        <v>28199.668146762851</v>
      </c>
      <c r="BW111" s="382">
        <f t="array" ref="BW111">IF($BI111=0, INDEX(LS_current!$D$4:$AY$139, MATCH('Staging Table'!$A111, LS_current!$B$4:$B$139, 0), MATCH(BW$4&amp;BW$5, LS_current!$D$2:$AY$2&amp;LS_current!$D$3:$AY$3, 0)),SUM(VLOOKUP($A111, LS_current!$B$4:$AY$139, LS_current!M$149, FALSE), VLOOKUP($A111, LS_current!$B$4:$AY$139,LS_current!M$149, FALSE))/2)</f>
        <v>45286.232772673538</v>
      </c>
      <c r="BX111" s="382">
        <f t="array" ref="BX111">IF($BI111=0, INDEX(LS_current!$D$4:$AY$139, MATCH('Staging Table'!$A111, LS_current!$B$4:$B$139, 0), MATCH(BX$4&amp;BX$5, LS_current!$D$2:$AY$2&amp;LS_current!$D$3:$AY$3, 0)),SUM(VLOOKUP($A111, LS_current!$B$4:$AY$139, LS_current!N$149, FALSE), VLOOKUP($A111, LS_current!$B$4:$AY$139,LS_current!N$149, FALSE))/2)</f>
        <v>6163.2359466842609</v>
      </c>
      <c r="BY111" s="382">
        <f t="array" ref="BY111">IF($BI111=0, INDEX(LS_current!$D$4:$AY$139, MATCH('Staging Table'!$A111, LS_current!$B$4:$B$139, 0), MATCH(BY$4&amp;BY$5, LS_current!$D$2:$AY$2&amp;LS_current!$D$3:$AY$3, 0)),SUM(VLOOKUP($A111, LS_current!$B$4:$AY$139, LS_current!O$149, FALSE), VLOOKUP($A111, LS_current!$B$4:$AY$139,LS_current!O$149, FALSE))/2)</f>
        <v>28183.785673679697</v>
      </c>
      <c r="BZ111" s="382">
        <f t="array" ref="BZ111">IF($BI111=0, INDEX(LS_current!$D$4:$AY$139, MATCH('Staging Table'!$A111, LS_current!$B$4:$B$139, 0), MATCH(BZ$4&amp;BZ$5, LS_current!$D$2:$AY$2&amp;LS_current!$D$3:$AY$3, 0)),SUM(VLOOKUP($A111, LS_current!$B$4:$AY$139, LS_current!P$149, FALSE), VLOOKUP($A111, LS_current!$B$4:$AY$139,LS_current!P$149, FALSE))/2)</f>
        <v>-18725.953389187111</v>
      </c>
      <c r="CA111" s="382">
        <f t="array" ref="CA111">IF($BI111=0, INDEX(LS_current!$D$4:$AY$139, MATCH('Staging Table'!$A111, LS_current!$B$4:$B$139, 0), MATCH(CA$4&amp;CA$5, LS_current!$D$2:$AY$2&amp;LS_current!$D$3:$AY$3, 0)),SUM(VLOOKUP($A111, LS_current!$B$4:$AY$139, LS_current!Q$149, FALSE), VLOOKUP($A111, LS_current!$B$4:$AY$139,LS_current!Q$149, FALSE))/2)</f>
        <v>26070.565032639861</v>
      </c>
      <c r="CB111" s="382">
        <f t="array" ref="CB111">IF($BI111=0, INDEX(LS_current!$D$4:$AY$139, MATCH('Staging Table'!$A111, LS_current!$B$4:$B$139, 0), MATCH(CB$4&amp;CB$5, LS_current!$D$2:$AY$2&amp;LS_current!$D$3:$AY$3, 0)),SUM(VLOOKUP($A111, LS_current!$B$4:$AY$139, LS_current!R$149, FALSE), VLOOKUP($A111, LS_current!$B$4:$AY$139,LS_current!R$149, FALSE))/2)</f>
        <v>-101362.09093017966</v>
      </c>
      <c r="CC111" s="382">
        <f t="array" ref="CC111">IF($BI111=0, INDEX(LS_current!$D$4:$AY$139, MATCH('Staging Table'!$A111, LS_current!$B$4:$B$139, 0), MATCH(CC$4&amp;CC$5, LS_current!$D$2:$AY$2&amp;LS_current!$D$3:$AY$3, 0)),SUM(VLOOKUP($A111, LS_current!$B$4:$AY$139, LS_current!S$149, FALSE), VLOOKUP($A111, LS_current!$B$4:$AY$139,LS_current!S$149, FALSE))/2)</f>
        <v>-26448.458113658708</v>
      </c>
      <c r="CD111" s="382">
        <f t="array" ref="CD111">IF($BI111=0, INDEX(LS_current!$D$4:$AY$139, MATCH('Staging Table'!$A111, LS_current!$B$4:$B$139, 0), MATCH(CD$4&amp;CD$5, LS_current!$D$2:$AY$2&amp;LS_current!$D$3:$AY$3, 0)),SUM(VLOOKUP($A111, LS_current!$B$4:$AY$139, LS_current!T$149, FALSE), VLOOKUP($A111, LS_current!$B$4:$AY$139,LS_current!T$149, FALSE))/2)</f>
        <v>-56275.544813115179</v>
      </c>
      <c r="CE111" s="382">
        <f t="array" ref="CE111">IF($BI111=0, INDEX(LS_current!$D$4:$AY$139, MATCH('Staging Table'!$A111, LS_current!$B$4:$B$139, 0), MATCH(CE$4&amp;CE$5, LS_current!$D$2:$AY$2&amp;LS_current!$D$3:$AY$3, 0)),SUM(VLOOKUP($A111, LS_current!$B$4:$AY$139, LS_current!U$149, FALSE), VLOOKUP($A111, LS_current!$B$4:$AY$139,LS_current!U$149, FALSE))/2)</f>
        <v>-1236.3471658688213</v>
      </c>
      <c r="CF111" s="382">
        <f t="array" ref="CF111">IF($BI111=0, INDEX(LS_current!$D$4:$AY$139, MATCH('Staging Table'!$A111, LS_current!$B$4:$B$139, 0), MATCH(CF$4&amp;CF$5, LS_current!$D$2:$AY$2&amp;LS_current!$D$3:$AY$3, 0)),SUM(VLOOKUP($A111, LS_current!$B$4:$AY$139, LS_current!V$149, FALSE), VLOOKUP($A111, LS_current!$B$4:$AY$139,LS_current!V$149, FALSE))/2)</f>
        <v>-41935.890146540914</v>
      </c>
      <c r="CG111" s="382">
        <f t="array" ref="CG111">IF($BI111=0, INDEX(LS_current!$D$4:$AY$139, MATCH('Staging Table'!$A111, LS_current!$B$4:$B$139, 0), MATCH(CG$4&amp;CG$5, LS_current!$D$2:$AY$2&amp;LS_current!$D$3:$AY$3, 0)),SUM(VLOOKUP($A111, LS_current!$B$4:$AY$139, LS_current!W$149, FALSE), VLOOKUP($A111, LS_current!$B$4:$AY$139,LS_current!W$149, FALSE))/2)</f>
        <v>21144.894713617905</v>
      </c>
      <c r="CH111" s="382">
        <f t="array" ref="CH111">IF($BI111=0, INDEX(LS_current!$D$4:$AY$139, MATCH('Staging Table'!$A111, LS_current!$B$4:$B$139, 0), MATCH(CH$4&amp;CH$5, LS_current!$D$2:$AY$2&amp;LS_current!$D$3:$AY$3, 0)),SUM(VLOOKUP($A111, LS_current!$B$4:$AY$139, LS_current!X$149, FALSE), VLOOKUP($A111, LS_current!$B$4:$AY$139,LS_current!X$149, FALSE))/2)</f>
        <v>-54524.843262303708</v>
      </c>
      <c r="CI111" s="382">
        <f t="array" ref="CI111">IF($BI111=0, INDEX(LS_current!$D$4:$AY$139, MATCH('Staging Table'!$A111, LS_current!$B$4:$B$139, 0), MATCH(CI$4&amp;CI$5, LS_current!$D$2:$AY$2&amp;LS_current!$D$3:$AY$3, 0)),SUM(VLOOKUP($A111, LS_current!$B$4:$AY$139, LS_current!Y$149, FALSE), VLOOKUP($A111, LS_current!$B$4:$AY$139,LS_current!Y$149, FALSE))/2)</f>
        <v>5254.7755615345377</v>
      </c>
      <c r="CJ111" s="382">
        <f t="array" ref="CJ111">IF($BI111=0, INDEX(LS_current!$D$4:$AY$139, MATCH('Staging Table'!$A111, LS_current!$B$4:$B$139, 0), MATCH(CJ$4&amp;CJ$5, LS_current!$D$2:$AY$2&amp;LS_current!$D$3:$AY$3, 0)),SUM(VLOOKUP($A111, LS_current!$B$4:$AY$139, LS_current!Z$149, FALSE), VLOOKUP($A111, LS_current!$B$4:$AY$139,LS_current!Z$149, FALSE))/2)</f>
        <v>-37762.520994498424</v>
      </c>
      <c r="CK111" s="382">
        <f t="array" ref="CK111">IF($BI111=0, INDEX(LS_current!$D$4:$AY$139, MATCH('Staging Table'!$A111, LS_current!$B$4:$B$139, 0), MATCH(CK$4&amp;CK$5, LS_current!$D$2:$AY$2&amp;LS_current!$D$3:$AY$3, 0)),SUM(VLOOKUP($A111, LS_current!$B$4:$AY$139, LS_current!AA$149, FALSE), VLOOKUP($A111, LS_current!$B$4:$AY$139,LS_current!AA$149, FALSE))/2)</f>
        <v>19722.511549813687</v>
      </c>
      <c r="CL111" s="384">
        <f t="array" ref="CL111">INDEX(Demand_current!$D$4:$AY$138, MATCH($A111, Demand_current!$B$4:$B$138, 0), MATCH(CL$4&amp;CL$5,Demand_current!$D$2:$AY$2&amp;Demand_current!$D$3:$AY$3, 0))/1000</f>
        <v>0</v>
      </c>
      <c r="CM111" s="384">
        <f t="array" ref="CM111">INDEX(Demand_current!$D$4:$AY$138, MATCH($A111, Demand_current!$B$4:$B$138, 0), MATCH(CM$4&amp;CM$5,Demand_current!$D$2:$AY$2&amp;Demand_current!$D$3:$AY$3, 0))/1000</f>
        <v>0</v>
      </c>
      <c r="CN111" s="384">
        <f t="array" ref="CN111">INDEX(Demand_current!$D$4:$AY$138, MATCH($A111, Demand_current!$B$4:$B$138, 0), MATCH(CN$4&amp;CN$5,Demand_current!$D$2:$AY$2&amp;Demand_current!$D$3:$AY$3, 0))/1000</f>
        <v>0</v>
      </c>
      <c r="CO111" s="384">
        <f t="array" ref="CO111">INDEX(Demand_current!$D$4:$AY$138, MATCH($A111, Demand_current!$B$4:$B$138, 0), MATCH(CO$4&amp;CO$5,Demand_current!$D$2:$AY$2&amp;Demand_current!$D$3:$AY$3, 0))/1000</f>
        <v>0</v>
      </c>
      <c r="CP111" s="384">
        <f t="array" ref="CP111">INDEX(Demand_current!$D$4:$AY$138, MATCH($A111, Demand_current!$B$4:$B$138, 0), MATCH(CP$4&amp;CP$5,Demand_current!$D$2:$AY$2&amp;Demand_current!$D$3:$AY$3, 0))/1000</f>
        <v>0</v>
      </c>
      <c r="CQ111" s="384">
        <f t="array" ref="CQ111">INDEX(Demand_current!$D$4:$AY$138, MATCH($A111, Demand_current!$B$4:$B$138, 0), MATCH(CQ$4&amp;CQ$5,Demand_current!$D$2:$AY$2&amp;Demand_current!$D$3:$AY$3, 0))/1000</f>
        <v>0</v>
      </c>
      <c r="CR111" s="384">
        <f t="array" ref="CR111">INDEX(Demand_current!$D$4:$AY$138, MATCH($A111, Demand_current!$B$4:$B$138, 0), MATCH(CR$4&amp;CR$5,Demand_current!$D$2:$AY$2&amp;Demand_current!$D$3:$AY$3, 0))/1000</f>
        <v>0</v>
      </c>
      <c r="CS111" s="384">
        <f t="array" ref="CS111">INDEX(Demand_current!$D$4:$AY$138, MATCH($A111, Demand_current!$B$4:$B$138, 0), MATCH(CS$4&amp;CS$5,Demand_current!$D$2:$AY$2&amp;Demand_current!$D$3:$AY$3, 0))/1000</f>
        <v>0</v>
      </c>
      <c r="CT111" s="384">
        <f t="array" ref="CT111">INDEX(Demand_current!$D$4:$AY$138, MATCH($A111, Demand_current!$B$4:$B$138, 0), MATCH(CT$4&amp;CT$5,Demand_current!$D$2:$AY$2&amp;Demand_current!$D$3:$AY$3, 0))/1000</f>
        <v>0</v>
      </c>
      <c r="CU111" s="384">
        <f t="array" ref="CU111">INDEX(Demand_current!$D$4:$AY$138, MATCH($A111, Demand_current!$B$4:$B$138, 0), MATCH(CU$4&amp;CU$5,Demand_current!$D$2:$AY$2&amp;Demand_current!$D$3:$AY$3, 0))/1000</f>
        <v>0</v>
      </c>
      <c r="CV111" s="384">
        <f t="array" ref="CV111">INDEX(Demand_current!$D$4:$AY$138, MATCH($A111, Demand_current!$B$4:$B$138, 0), MATCH(CV$4&amp;CV$5,Demand_current!$D$2:$AY$2&amp;Demand_current!$D$3:$AY$3, 0))/1000</f>
        <v>0</v>
      </c>
      <c r="CW111" s="384">
        <f t="array" ref="CW111">INDEX(Demand_current!$D$4:$AY$138, MATCH($A111, Demand_current!$B$4:$B$138, 0), MATCH(CW$4&amp;CW$5,Demand_current!$D$2:$AY$2&amp;Demand_current!$D$3:$AY$3, 0))/1000</f>
        <v>0</v>
      </c>
      <c r="CX111" s="384">
        <f>IF(D111=0,IF(C111=0,MAX(0,DA111 - (VLOOKUP($A111,TOCA_current!$A$2:$AI$137,MATCH("RHWM 2018",TOCA_current!$A$2:$AI$2,0),FALSE)*$BH$2)), 0),0)</f>
        <v>0</v>
      </c>
      <c r="CY111" s="427">
        <f>VLOOKUP($A111,REP_current!$A$1:$D$135,MATCH("FY "&amp;$BH$1&amp; " Total Refund",REP_current!$A$1:$D$1,0),0)</f>
        <v>8816685.9150738344</v>
      </c>
      <c r="CZ111" s="432">
        <f>MIN(VLOOKUP($A111,TOCA_current!$A$2:$AI$137,MATCH("TRL - NLSL - Existing Resource "&amp;$BH$1,TOCA_current!$A$2:$AI$2,0),FALSE)*$BH$2, VLOOKUP($A111,TOCA_current!$A$2:$AI$137,MATCH("RHWM 2018",TOCA_current!$A$2:$AI$2,0),FALSE)*$BH$2)</f>
        <v>6781685.3999999994</v>
      </c>
      <c r="DA111" s="397">
        <f>SUM(BN111:CK111)+(BH111*RT1SC!$C$4*$BH$2)</f>
        <v>3436035.0506621972</v>
      </c>
      <c r="DB111" s="432">
        <f>VLOOKUP($A111,TOCA_current!$A$2:$AI$137,MATCH("Above RHWM Not Served with LS "&amp;$BH$1,TOCA_current!$A$2:$AI$2,0),FALSE)*$BH$2</f>
        <v>0</v>
      </c>
      <c r="DC111" s="401">
        <f t="shared" si="27"/>
        <v>-3345650.3493378023</v>
      </c>
      <c r="DD111" s="397">
        <f>(VLOOKUP($A111,TOCA_current!$A$2:$AI$137,MATCH("RHWM 2018",TOCA_current!$A$2:$AI$2,0),FALSE)*$BH$2) - $CZ111</f>
        <v>105820.80000000075</v>
      </c>
      <c r="DE111" s="397">
        <f t="shared" si="28"/>
        <v>0</v>
      </c>
      <c r="DF111" s="397">
        <f t="shared" si="29"/>
        <v>3345650.3493378023</v>
      </c>
      <c r="DG111" s="397">
        <f t="shared" si="30"/>
        <v>0</v>
      </c>
      <c r="DH111" s="397">
        <f t="shared" si="31"/>
        <v>0</v>
      </c>
    </row>
    <row r="112" spans="1:112">
      <c r="A112" s="274">
        <v>10360</v>
      </c>
      <c r="B112" s="275" t="s">
        <v>113</v>
      </c>
      <c r="C112" s="397">
        <v>0</v>
      </c>
      <c r="D112" s="397">
        <v>0</v>
      </c>
      <c r="E112" s="205">
        <f>VLOOKUP($A112,TOCA_previous!$A$2:$AI$137,MATCH(E$4,TOCA_previous!$A$2:$AI$2,0),FALSE)</f>
        <v>9.5929999999999995E-4</v>
      </c>
      <c r="F112" s="206">
        <f>VLOOKUP($A112,TOCA_previous!$A$2:$AI$137,MATCH(F$4,TOCA_previous!$A$2:$AI$2,0),FALSE)</f>
        <v>9.5929999999999995E-4</v>
      </c>
      <c r="G112" s="206">
        <f t="shared" si="16"/>
        <v>0</v>
      </c>
      <c r="H112" s="206">
        <f>VLOOKUP($A112,TOCA_previous!$A$2:$AI$137,MATCH(H$4,TOCA_previous!$A$2:$AI$2,0),FALSE)</f>
        <v>4.8809999999999999E-2</v>
      </c>
      <c r="I112" s="206">
        <f t="shared" si="17"/>
        <v>0</v>
      </c>
      <c r="J112" s="206">
        <f t="shared" si="18"/>
        <v>0</v>
      </c>
      <c r="K112" s="381">
        <f>VLOOKUP(A112, IRD!$A$5:$C$139, 3, FALSE)</f>
        <v>20009.34</v>
      </c>
      <c r="L112" s="382">
        <f t="array" ref="L112">IF($G112=0, INDEX(LS_previous!$D$4:$AY$138, MATCH('Staging Table'!$A112, LS_previous!$B$4:$B$138, 0), MATCH(L$4&amp;L$5, LS_previous!$D$2:$AY$2&amp;LS_previous!$D$3:$AY$3, 0)),SUM(VLOOKUP($A112, LS_previous!$B$4:$AY$138, LS_previous!D$149, FALSE), VLOOKUP('Staging Table'!$A112, LS_previous!$B$4:$AY$138,LS_previous!AB$149, FALSE))/2)</f>
        <v>-1241.8577364542703</v>
      </c>
      <c r="M112" s="382">
        <f t="array" ref="M112">IF($G112=0, INDEX(LS_previous!$D$4:$AY$138, MATCH('Staging Table'!$A112, LS_previous!$B$4:$B$138, 0), MATCH(M$4&amp;M$5, LS_previous!$D$2:$AY$2&amp;LS_previous!$D$3:$AY$3, 0)),SUM(VLOOKUP($A112, LS_previous!$B$4:$AY$138, LS_previous!E$149, FALSE), VLOOKUP('Staging Table'!$A112, LS_previous!$B$4:$AY$138,LS_previous!AC$149, FALSE))/2)</f>
        <v>-439.57038910747201</v>
      </c>
      <c r="N112" s="382">
        <f t="array" ref="N112">IF($G112=0, INDEX(LS_previous!$D$4:$AY$138, MATCH('Staging Table'!$A112, LS_previous!$B$4:$B$138, 0), MATCH(N$4&amp;N$5, LS_previous!$D$2:$AY$2&amp;LS_previous!$D$3:$AY$3, 0)),SUM(VLOOKUP($A112, LS_previous!$B$4:$AY$138, LS_previous!F$149, FALSE), VLOOKUP('Staging Table'!$A112, LS_previous!$B$4:$AY$138,LS_previous!AD$149, FALSE))/2)</f>
        <v>-1796.3779277190765</v>
      </c>
      <c r="O112" s="382">
        <f t="array" ref="O112">IF($G112=0, INDEX(LS_previous!$D$4:$AY$138, MATCH('Staging Table'!$A112, LS_previous!$B$4:$B$138, 0), MATCH(O$4&amp;O$5, LS_previous!$D$2:$AY$2&amp;LS_previous!$D$3:$AY$3, 0)),SUM(VLOOKUP($A112, LS_previous!$B$4:$AY$138, LS_previous!G$149, FALSE), VLOOKUP('Staging Table'!$A112, LS_previous!$B$4:$AY$138,LS_previous!AE$149, FALSE))/2)</f>
        <v>-785.18882454201548</v>
      </c>
      <c r="P112" s="382">
        <f t="array" ref="P112">IF($G112=0, INDEX(LS_previous!$D$4:$AY$138, MATCH('Staging Table'!$A112, LS_previous!$B$4:$B$138, 0), MATCH(P$4&amp;P$5, LS_previous!$D$2:$AY$2&amp;LS_previous!$D$3:$AY$3, 0)),SUM(VLOOKUP($A112, LS_previous!$B$4:$AY$138, LS_previous!H$149, FALSE), VLOOKUP('Staging Table'!$A112, LS_previous!$B$4:$AY$138,LS_previous!AF$149, FALSE))/2)</f>
        <v>-1203.3819208717186</v>
      </c>
      <c r="Q112" s="382">
        <f t="array" ref="Q112">IF($G112=0, INDEX(LS_previous!$D$4:$AY$138, MATCH('Staging Table'!$A112, LS_previous!$B$4:$B$138, 0), MATCH(Q$4&amp;Q$5, LS_previous!$D$2:$AY$2&amp;LS_previous!$D$3:$AY$3, 0)),SUM(VLOOKUP($A112, LS_previous!$B$4:$AY$138, LS_previous!I$149, FALSE), VLOOKUP('Staging Table'!$A112, LS_previous!$B$4:$AY$138,LS_previous!AG$149, FALSE))/2)</f>
        <v>-312.34618882212294</v>
      </c>
      <c r="R112" s="382">
        <f t="array" ref="R112">IF($G112=0, INDEX(LS_previous!$D$4:$AY$138, MATCH('Staging Table'!$A112, LS_previous!$B$4:$B$138, 0), MATCH(R$4&amp;R$5, LS_previous!$D$2:$AY$2&amp;LS_previous!$D$3:$AY$3, 0)),SUM(VLOOKUP($A112, LS_previous!$B$4:$AY$138, LS_previous!J$149, FALSE), VLOOKUP('Staging Table'!$A112, LS_previous!$B$4:$AY$138,LS_previous!AH$149, FALSE))/2)</f>
        <v>-676.18792493819728</v>
      </c>
      <c r="S112" s="382">
        <f t="array" ref="S112">IF($G112=0, INDEX(LS_previous!$D$4:$AY$138, MATCH('Staging Table'!$A112, LS_previous!$B$4:$B$138, 0), MATCH(S$4&amp;S$5, LS_previous!$D$2:$AY$2&amp;LS_previous!$D$3:$AY$3, 0)),SUM(VLOOKUP($A112, LS_previous!$B$4:$AY$138, LS_previous!K$149, FALSE), VLOOKUP('Staging Table'!$A112, LS_previous!$B$4:$AY$138,LS_previous!AI$149, FALSE))/2)</f>
        <v>-63.262290222914544</v>
      </c>
      <c r="T112" s="382">
        <f t="array" ref="T112">IF($G112=0, INDEX(LS_previous!$D$4:$AY$138, MATCH('Staging Table'!$A112, LS_previous!$B$4:$B$138, 0), MATCH(T$4&amp;T$5, LS_previous!$D$2:$AY$2&amp;LS_previous!$D$3:$AY$3, 0)),SUM(VLOOKUP($A112, LS_previous!$B$4:$AY$138, LS_previous!L$149, FALSE), VLOOKUP('Staging Table'!$A112, LS_previous!$B$4:$AY$138,LS_previous!AJ$149, FALSE))/2)</f>
        <v>-827.25429260989222</v>
      </c>
      <c r="U112" s="382">
        <f t="array" ref="U112">IF($G112=0, INDEX(LS_previous!$D$4:$AY$138, MATCH('Staging Table'!$A112, LS_previous!$B$4:$B$138, 0), MATCH(U$4&amp;U$5, LS_previous!$D$2:$AY$2&amp;LS_previous!$D$3:$AY$3, 0)),SUM(VLOOKUP($A112, LS_previous!$B$4:$AY$138, LS_previous!M$149, FALSE), VLOOKUP('Staging Table'!$A112, LS_previous!$B$4:$AY$138,LS_previous!AK$149, FALSE))/2)</f>
        <v>-239.11630875266383</v>
      </c>
      <c r="V112" s="382">
        <f t="array" ref="V112">IF($G112=0, INDEX(LS_previous!$D$4:$AY$138, MATCH('Staging Table'!$A112, LS_previous!$B$4:$B$138, 0), MATCH(V$4&amp;V$5, LS_previous!$D$2:$AY$2&amp;LS_previous!$D$3:$AY$3, 0)),SUM(VLOOKUP($A112, LS_previous!$B$4:$AY$138, LS_previous!N$149, FALSE), VLOOKUP('Staging Table'!$A112, LS_previous!$B$4:$AY$138,LS_previous!AL$149, FALSE))/2)</f>
        <v>-1445.0391516305915</v>
      </c>
      <c r="W112" s="382">
        <f t="array" ref="W112">IF($G112=0, INDEX(LS_previous!$D$4:$AY$138, MATCH('Staging Table'!$A112, LS_previous!$B$4:$B$138, 0), MATCH(W$4&amp;W$5, LS_previous!$D$2:$AY$2&amp;LS_previous!$D$3:$AY$3, 0)),SUM(VLOOKUP($A112, LS_previous!$B$4:$AY$138, LS_previous!O$149, FALSE), VLOOKUP('Staging Table'!$A112, LS_previous!$B$4:$AY$138,LS_previous!AM$149, FALSE))/2)</f>
        <v>-717.75168186925839</v>
      </c>
      <c r="X112" s="382">
        <f t="array" ref="X112">IF($G112=0, INDEX(LS_previous!$D$4:$AY$138, MATCH('Staging Table'!$A112, LS_previous!$B$4:$B$138, 0), MATCH(X$4&amp;X$5, LS_previous!$D$2:$AY$2&amp;LS_previous!$D$3:$AY$3, 0)),SUM(VLOOKUP($A112, LS_previous!$B$4:$AY$138, LS_previous!P$149, FALSE), VLOOKUP('Staging Table'!$A112, LS_previous!$B$4:$AY$138,LS_previous!AN$149, FALSE))/2)</f>
        <v>-371.26043436987402</v>
      </c>
      <c r="Y112" s="382">
        <f t="array" ref="Y112">IF($G112=0, INDEX(LS_previous!$D$4:$AY$138, MATCH('Staging Table'!$A112, LS_previous!$B$4:$B$138, 0), MATCH(Y$4&amp;Y$5, LS_previous!$D$2:$AY$2&amp;LS_previous!$D$3:$AY$3, 0)),SUM(VLOOKUP($A112, LS_previous!$B$4:$AY$138, LS_previous!Q$149, FALSE), VLOOKUP('Staging Table'!$A112, LS_previous!$B$4:$AY$138,LS_previous!AO$149, FALSE))/2)</f>
        <v>94.195974707127561</v>
      </c>
      <c r="Z112" s="382">
        <f t="array" ref="Z112">IF($G112=0, INDEX(LS_previous!$D$4:$AY$138, MATCH('Staging Table'!$A112, LS_previous!$B$4:$B$138, 0), MATCH(Z$4&amp;Z$5, LS_previous!$D$2:$AY$2&amp;LS_previous!$D$3:$AY$3, 0)),SUM(VLOOKUP($A112, LS_previous!$B$4:$AY$138, LS_previous!R$149, FALSE), VLOOKUP('Staging Table'!$A112, LS_previous!$B$4:$AY$138,LS_previous!AP$149, FALSE))/2)</f>
        <v>-466.20914957924833</v>
      </c>
      <c r="AA112" s="382">
        <f t="array" ref="AA112">IF($G112=0, INDEX(LS_previous!$D$4:$AY$138, MATCH('Staging Table'!$A112, LS_previous!$B$4:$B$138, 0), MATCH(AA$4&amp;AA$5, LS_previous!$D$2:$AY$2&amp;LS_previous!$D$3:$AY$3, 0)),SUM(VLOOKUP($A112, LS_previous!$B$4:$AY$138, LS_previous!S$149, FALSE), VLOOKUP('Staging Table'!$A112, LS_previous!$B$4:$AY$138,LS_previous!AQ$149, FALSE))/2)</f>
        <v>351.51081817458999</v>
      </c>
      <c r="AB112" s="382">
        <f t="array" ref="AB112">IF($G112=0, INDEX(LS_previous!$D$4:$AY$138, MATCH('Staging Table'!$A112, LS_previous!$B$4:$B$138, 0), MATCH(AB$4&amp;AB$5, LS_previous!$D$2:$AY$2&amp;LS_previous!$D$3:$AY$3, 0)),SUM(VLOOKUP($A112, LS_previous!$B$4:$AY$138, LS_previous!T$149, FALSE), VLOOKUP('Staging Table'!$A112, LS_previous!$B$4:$AY$138,LS_previous!AR$149, FALSE))/2)</f>
        <v>2364.1427905133278</v>
      </c>
      <c r="AC112" s="382">
        <f t="array" ref="AC112">IF($G112=0, INDEX(LS_previous!$D$4:$AY$138, MATCH('Staging Table'!$A112, LS_previous!$B$4:$B$138, 0), MATCH(AC$4&amp;AC$5, LS_previous!$D$2:$AY$2&amp;LS_previous!$D$3:$AY$3, 0)),SUM(VLOOKUP($A112, LS_previous!$B$4:$AY$138, LS_previous!U$149, FALSE), VLOOKUP('Staging Table'!$A112, LS_previous!$B$4:$AY$138,LS_previous!AS$149, FALSE))/2)</f>
        <v>2016.7255526597514</v>
      </c>
      <c r="AD112" s="382">
        <f t="array" ref="AD112">IF($G112=0, INDEX(LS_previous!$D$4:$AY$138, MATCH('Staging Table'!$A112, LS_previous!$B$4:$B$138, 0), MATCH(AD$4&amp;AD$5, LS_previous!$D$2:$AY$2&amp;LS_previous!$D$3:$AY$3, 0)),SUM(VLOOKUP($A112, LS_previous!$B$4:$AY$138, LS_previous!V$149, FALSE), VLOOKUP('Staging Table'!$A112, LS_previous!$B$4:$AY$138,LS_previous!AT$149, FALSE))/2)</f>
        <v>2248.0028421350212</v>
      </c>
      <c r="AE112" s="382">
        <f t="array" ref="AE112">IF($G112=0, INDEX(LS_previous!$D$4:$AY$138, MATCH('Staging Table'!$A112, LS_previous!$B$4:$B$138, 0), MATCH(AE$4&amp;AE$5, LS_previous!$D$2:$AY$2&amp;LS_previous!$D$3:$AY$3, 0)),SUM(VLOOKUP($A112, LS_previous!$B$4:$AY$138, LS_previous!W$149, FALSE), VLOOKUP('Staging Table'!$A112, LS_previous!$B$4:$AY$138,LS_previous!AU$149, FALSE))/2)</f>
        <v>2685.256842599204</v>
      </c>
      <c r="AF112" s="382">
        <f t="array" ref="AF112">IF($G112=0, INDEX(LS_previous!$D$4:$AY$138, MATCH('Staging Table'!$A112, LS_previous!$B$4:$B$138, 0), MATCH(AF$4&amp;AF$5, LS_previous!$D$2:$AY$2&amp;LS_previous!$D$3:$AY$3, 0)),SUM(VLOOKUP($A112, LS_previous!$B$4:$AY$138, LS_previous!X$149, FALSE), VLOOKUP('Staging Table'!$A112, LS_previous!$B$4:$AY$138,LS_previous!AV$149, FALSE))/2)</f>
        <v>1961.4680058631088</v>
      </c>
      <c r="AG112" s="382">
        <f t="array" ref="AG112">IF($G112=0, INDEX(LS_previous!$D$4:$AY$138, MATCH('Staging Table'!$A112, LS_previous!$B$4:$B$138, 0), MATCH(AG$4&amp;AG$5, LS_previous!$D$2:$AY$2&amp;LS_previous!$D$3:$AY$3, 0)),SUM(VLOOKUP($A112, LS_previous!$B$4:$AY$138, LS_previous!Y$149, FALSE), VLOOKUP('Staging Table'!$A112, LS_previous!$B$4:$AY$138,LS_previous!AW$149, FALSE))/2)</f>
        <v>1819.069653499032</v>
      </c>
      <c r="AH112" s="382">
        <f t="array" ref="AH112">IF($G112=0, INDEX(LS_previous!$D$4:$AY$138, MATCH('Staging Table'!$A112, LS_previous!$B$4:$B$138, 0), MATCH(AH$4&amp;AH$5, LS_previous!$D$2:$AY$2&amp;LS_previous!$D$3:$AY$3, 0)),SUM(VLOOKUP($A112, LS_previous!$B$4:$AY$138, LS_previous!Z$149, FALSE), VLOOKUP('Staging Table'!$A112, LS_previous!$B$4:$AY$138,LS_previous!AX$149, FALSE))/2)</f>
        <v>172.11712924465292</v>
      </c>
      <c r="AI112" s="382">
        <f t="array" ref="AI112">IF($G112=0, INDEX(LS_previous!$D$4:$AY$138, MATCH('Staging Table'!$A112, LS_previous!$B$4:$B$138, 0), MATCH(AI$4&amp;AI$5, LS_previous!$D$2:$AY$2&amp;LS_previous!$D$3:$AY$3, 0)),SUM(VLOOKUP($A112, LS_previous!$B$4:$AY$138, LS_previous!AA$149, FALSE), VLOOKUP('Staging Table'!$A112, LS_previous!$B$4:$AY$138,LS_previous!AY$149, FALSE))/2)</f>
        <v>663.76444924678731</v>
      </c>
      <c r="AJ112" s="384">
        <f t="array" ref="AJ112">INDEX(Demand_previous!$D$4:$AY$138, MATCH('Staging Table'!$A112, Demand_previous!$B$4:$B$138, 0), MATCH(AJ$4&amp;AJ$5,Demand_previous!$D$2:$AY$2&amp;Demand_previous!$D$3:$AY$3, 0))/1000</f>
        <v>2.4867916666666661</v>
      </c>
      <c r="AK112" s="384">
        <f t="array" ref="AK112">INDEX(Demand_previous!$D$4:$AY$138, MATCH('Staging Table'!$A112, Demand_previous!$B$4:$B$138, 0), MATCH(AK$4&amp;AK$5,Demand_previous!$D$2:$AY$2&amp;Demand_previous!$D$3:$AY$3, 0))/1000</f>
        <v>0.54348958333333375</v>
      </c>
      <c r="AL112" s="384">
        <f t="array" ref="AL112">INDEX(Demand_previous!$D$4:$AY$138, MATCH('Staging Table'!$A112, Demand_previous!$B$4:$B$138, 0), MATCH(AL$4&amp;AL$5,Demand_previous!$D$2:$AY$2&amp;Demand_previous!$D$3:$AY$3, 0))/1000</f>
        <v>0.82100961538461514</v>
      </c>
      <c r="AM112" s="384">
        <f t="array" ref="AM112">INDEX(Demand_previous!$D$4:$AY$138, MATCH('Staging Table'!$A112, Demand_previous!$B$4:$B$138, 0), MATCH(AM$4&amp;AM$5,Demand_previous!$D$2:$AY$2&amp;Demand_previous!$D$3:$AY$3, 0))/1000</f>
        <v>0.60736999999999974</v>
      </c>
      <c r="AN112" s="384">
        <f t="array" ref="AN112">INDEX(Demand_previous!$D$4:$AY$138, MATCH('Staging Table'!$A112, Demand_previous!$B$4:$B$138, 0), MATCH(AN$4&amp;AN$5,Demand_previous!$D$2:$AY$2&amp;Demand_previous!$D$3:$AY$3, 0))/1000</f>
        <v>0.76169749999999992</v>
      </c>
      <c r="AO112" s="384">
        <f t="array" ref="AO112">INDEX(Demand_previous!$D$4:$AY$138, MATCH('Staging Table'!$A112, Demand_previous!$B$4:$B$138, 0), MATCH(AO$4&amp;AO$5,Demand_previous!$D$2:$AY$2&amp;Demand_previous!$D$3:$AY$3, 0))/1000</f>
        <v>0.8547083333333334</v>
      </c>
      <c r="AP112" s="384">
        <f t="array" ref="AP112">INDEX(Demand_previous!$D$4:$AY$138, MATCH('Staging Table'!$A112, Demand_previous!$B$4:$B$138, 0), MATCH(AP$4&amp;AP$5,Demand_previous!$D$2:$AY$2&amp;Demand_previous!$D$3:$AY$3, 0))/1000</f>
        <v>2.8617403846153837</v>
      </c>
      <c r="AQ112" s="384">
        <f t="array" ref="AQ112">INDEX(Demand_previous!$D$4:$AY$138, MATCH('Staging Table'!$A112, Demand_previous!$B$4:$B$138, 0), MATCH(AQ$4&amp;AQ$5,Demand_previous!$D$2:$AY$2&amp;Demand_previous!$D$3:$AY$3, 0))/1000</f>
        <v>0.11473999999999895</v>
      </c>
      <c r="AR112" s="384">
        <f t="array" ref="AR112">INDEX(Demand_previous!$D$4:$AY$138, MATCH('Staging Table'!$A112, Demand_previous!$B$4:$B$138, 0), MATCH(AR$4&amp;AR$5,Demand_previous!$D$2:$AY$2&amp;Demand_previous!$D$3:$AY$3, 0))/1000</f>
        <v>0.989747596153848</v>
      </c>
      <c r="AS112" s="384">
        <f t="array" ref="AS112">INDEX(Demand_previous!$D$4:$AY$138, MATCH('Staging Table'!$A112, Demand_previous!$B$4:$B$138, 0), MATCH(AS$4&amp;AS$5,Demand_previous!$D$2:$AY$2&amp;Demand_previous!$D$3:$AY$3, 0))/1000</f>
        <v>1.5843700000000007</v>
      </c>
      <c r="AT112" s="384">
        <f t="array" ref="AT112">INDEX(Demand_previous!$D$4:$AY$138, MATCH('Staging Table'!$A112, Demand_previous!$B$4:$B$138, 0), MATCH(AT$4&amp;AT$5,Demand_previous!$D$2:$AY$2&amp;Demand_previous!$D$3:$AY$3, 0))/1000</f>
        <v>0.85624537037037141</v>
      </c>
      <c r="AU112" s="384">
        <f t="array" ref="AU112">INDEX(Demand_previous!$D$4:$AY$138, MATCH('Staging Table'!$A112, Demand_previous!$B$4:$B$138, 0), MATCH(AU$4&amp;AU$5,Demand_previous!$D$2:$AY$2&amp;Demand_previous!$D$3:$AY$3, 0))/1000</f>
        <v>0.77190499999999984</v>
      </c>
      <c r="AV112" s="384">
        <f>IF($D112=0,IF(C112=0, MAX(AY112 - (VLOOKUP($A112,TOCA_previous!$A$2:$AI$137,MATCH("RHWM 2016",TOCA_previous!$A$2:$AI$2,0),FALSE)*$F$2*TOCA_previous!C109),0),0), 0)</f>
        <v>3790.3381385052926</v>
      </c>
      <c r="AW112" s="427">
        <f>VLOOKUP($A112,REP_previous!$A$1:$D$135,MATCH("FY "&amp;$F$1&amp; " Total Refund",REP_previous!$A$1:$D$1,0),0)</f>
        <v>37470.181453103993</v>
      </c>
      <c r="AX112" s="398">
        <f>MIN(VLOOKUP($A112,TOCA_previous!$A$2:$AI$137,MATCH("TRL - NLSL - Exisiting Resource "&amp;$F$1,TOCA_previous!$A$2:$AI$2,0),FALSE)*$F$2,(VLOOKUP($A112,TOCA_previous!$A$2:$AI$137,MATCH("RHWM 2016",TOCA_previous!$A$2:$AI$2,0),FALSE)*$F$2))</f>
        <v>58844.015999999996</v>
      </c>
      <c r="AY112" s="384">
        <f>SUM(L112:AI112)+(F112*RT1SC!$C$3*$F$2)</f>
        <v>62634.354138505289</v>
      </c>
      <c r="AZ112" s="398">
        <f>VLOOKUP($A112,TOCA_previous!$A$2:$AI$137,MATCH("Above RHWM Not Served with LS "&amp;$F$1,TOCA_previous!$A$2:$AI$2,0),FALSE)*$F$2</f>
        <v>0</v>
      </c>
      <c r="BA112" s="206">
        <f t="shared" si="19"/>
        <v>3790.3381385052926</v>
      </c>
      <c r="BB112" s="399">
        <f>(VLOOKUP($A112,TOCA_previous!$A$2:$AI$137,MATCH("RHWM 2016",TOCA_previous!$A$2:$AI$2,0),FALSE)*$F$2) - $AX112</f>
        <v>0</v>
      </c>
      <c r="BC112" s="206">
        <f t="shared" si="20"/>
        <v>0</v>
      </c>
      <c r="BD112" s="400">
        <f t="shared" si="21"/>
        <v>0</v>
      </c>
      <c r="BE112" s="392">
        <f t="shared" si="22"/>
        <v>0</v>
      </c>
      <c r="BF112" s="399">
        <f t="shared" si="23"/>
        <v>0</v>
      </c>
      <c r="BG112" s="206">
        <f>VLOOKUP($A112,TOCA_current!$A$2:$AI$137,MATCH(BG$4,TOCA_current!$A$2:$AI$2,0),FALSE)</f>
        <v>9.5859999999999999E-4</v>
      </c>
      <c r="BH112" s="206">
        <f>VLOOKUP($A112,TOCA_current!$A$2:$AI$137,MATCH(BH$4,TOCA_current!$A$2:$AI$2,0),FALSE)</f>
        <v>9.5859999999999999E-4</v>
      </c>
      <c r="BI112" s="391">
        <f t="shared" si="24"/>
        <v>0</v>
      </c>
      <c r="BJ112" s="206">
        <f>VLOOKUP($A112,TOCA_current!A108:BG243,MATCH(BJ$4,TOCA_current!$A$2:$BG$2,0),FALSE)</f>
        <v>4.7082018927444791E-2</v>
      </c>
      <c r="BK112" s="206">
        <f t="shared" si="25"/>
        <v>0</v>
      </c>
      <c r="BL112" s="206">
        <f t="shared" si="26"/>
        <v>0</v>
      </c>
      <c r="BM112" s="381">
        <f>VLOOKUP($A112,IRD!$A$4:$G$139, 7, FALSE)</f>
        <v>20009.34</v>
      </c>
      <c r="BN112" s="382">
        <f t="array" ref="BN112">IF($BI112=0, INDEX(LS_current!$D$4:$AY$139, MATCH('Staging Table'!$A112, LS_current!$B$4:$B$139, 0), MATCH(BN$4&amp;BN$5, LS_current!$D$2:$AY$2&amp;LS_current!$D$3:$AY$3, 0)),SUM(VLOOKUP($A112, LS_current!$B$4:$AY$139, LS_current!D$149, FALSE), VLOOKUP($A112, LS_current!$B$4:$AY$139,LS_current!D$149, FALSE))/2)</f>
        <v>-1255.384719231035</v>
      </c>
      <c r="BO112" s="382">
        <f t="array" ref="BO112">IF($BI112=0, INDEX(LS_current!$D$4:$AY$139, MATCH('Staging Table'!$A112, LS_current!$B$4:$B$139, 0), MATCH(BO$4&amp;BO$5, LS_current!$D$2:$AY$2&amp;LS_current!$D$3:$AY$3, 0)),SUM(VLOOKUP($A112, LS_current!$B$4:$AY$139, LS_current!E$149, FALSE), VLOOKUP($A112, LS_current!$B$4:$AY$139,LS_current!E$149, FALSE))/2)</f>
        <v>-353.06615979553976</v>
      </c>
      <c r="BP112" s="382">
        <f t="array" ref="BP112">IF($BI112=0, INDEX(LS_current!$D$4:$AY$139, MATCH('Staging Table'!$A112, LS_current!$B$4:$B$139, 0), MATCH(BP$4&amp;BP$5, LS_current!$D$2:$AY$2&amp;LS_current!$D$3:$AY$3, 0)),SUM(VLOOKUP($A112, LS_current!$B$4:$AY$139, LS_current!F$149, FALSE), VLOOKUP($A112, LS_current!$B$4:$AY$139,LS_current!F$149, FALSE))/2)</f>
        <v>-1865.4692304097089</v>
      </c>
      <c r="BQ112" s="382">
        <f t="array" ref="BQ112">IF($BI112=0, INDEX(LS_current!$D$4:$AY$139, MATCH('Staging Table'!$A112, LS_current!$B$4:$B$139, 0), MATCH(BQ$4&amp;BQ$5, LS_current!$D$2:$AY$2&amp;LS_current!$D$3:$AY$3, 0)),SUM(VLOOKUP($A112, LS_current!$B$4:$AY$139, LS_current!G$149, FALSE), VLOOKUP($A112, LS_current!$B$4:$AY$139,LS_current!G$149, FALSE))/2)</f>
        <v>-764.99792325223007</v>
      </c>
      <c r="BR112" s="382">
        <f t="array" ref="BR112">IF($BI112=0, INDEX(LS_current!$D$4:$AY$139, MATCH('Staging Table'!$A112, LS_current!$B$4:$B$139, 0), MATCH(BR$4&amp;BR$5, LS_current!$D$2:$AY$2&amp;LS_current!$D$3:$AY$3, 0)),SUM(VLOOKUP($A112, LS_current!$B$4:$AY$139, LS_current!H$149, FALSE), VLOOKUP($A112, LS_current!$B$4:$AY$139,LS_current!H$149, FALSE))/2)</f>
        <v>-1311.1465690298764</v>
      </c>
      <c r="BS112" s="382">
        <f t="array" ref="BS112">IF($BI112=0, INDEX(LS_current!$D$4:$AY$139, MATCH('Staging Table'!$A112, LS_current!$B$4:$B$139, 0), MATCH(BS$4&amp;BS$5, LS_current!$D$2:$AY$2&amp;LS_current!$D$3:$AY$3, 0)),SUM(VLOOKUP($A112, LS_current!$B$4:$AY$139, LS_current!I$149, FALSE), VLOOKUP($A112, LS_current!$B$4:$AY$139,LS_current!I$149, FALSE))/2)</f>
        <v>-330.35709172556994</v>
      </c>
      <c r="BT112" s="382">
        <f t="array" ref="BT112">IF($BI112=0, INDEX(LS_current!$D$4:$AY$139, MATCH('Staging Table'!$A112, LS_current!$B$4:$B$139, 0), MATCH(BT$4&amp;BT$5, LS_current!$D$2:$AY$2&amp;LS_current!$D$3:$AY$3, 0)),SUM(VLOOKUP($A112, LS_current!$B$4:$AY$139, LS_current!J$149, FALSE), VLOOKUP($A112, LS_current!$B$4:$AY$139,LS_current!J$149, FALSE))/2)</f>
        <v>-706.49611004549251</v>
      </c>
      <c r="BU112" s="382">
        <f t="array" ref="BU112">IF($BI112=0, INDEX(LS_current!$D$4:$AY$139, MATCH('Staging Table'!$A112, LS_current!$B$4:$B$139, 0), MATCH(BU$4&amp;BU$5, LS_current!$D$2:$AY$2&amp;LS_current!$D$3:$AY$3, 0)),SUM(VLOOKUP($A112, LS_current!$B$4:$AY$139, LS_current!K$149, FALSE), VLOOKUP($A112, LS_current!$B$4:$AY$139,LS_current!K$149, FALSE))/2)</f>
        <v>-68.889066086883076</v>
      </c>
      <c r="BV112" s="382">
        <f t="array" ref="BV112">IF($BI112=0, INDEX(LS_current!$D$4:$AY$139, MATCH('Staging Table'!$A112, LS_current!$B$4:$B$139, 0), MATCH(BV$4&amp;BV$5, LS_current!$D$2:$AY$2&amp;LS_current!$D$3:$AY$3, 0)),SUM(VLOOKUP($A112, LS_current!$B$4:$AY$139, LS_current!L$149, FALSE), VLOOKUP($A112, LS_current!$B$4:$AY$139,LS_current!L$149, FALSE))/2)</f>
        <v>-626.27185070230871</v>
      </c>
      <c r="BW112" s="382">
        <f t="array" ref="BW112">IF($BI112=0, INDEX(LS_current!$D$4:$AY$139, MATCH('Staging Table'!$A112, LS_current!$B$4:$B$139, 0), MATCH(BW$4&amp;BW$5, LS_current!$D$2:$AY$2&amp;LS_current!$D$3:$AY$3, 0)),SUM(VLOOKUP($A112, LS_current!$B$4:$AY$139, LS_current!M$149, FALSE), VLOOKUP($A112, LS_current!$B$4:$AY$139,LS_current!M$149, FALSE))/2)</f>
        <v>-81.344758387105003</v>
      </c>
      <c r="BX112" s="382">
        <f t="array" ref="BX112">IF($BI112=0, INDEX(LS_current!$D$4:$AY$139, MATCH('Staging Table'!$A112, LS_current!$B$4:$B$139, 0), MATCH(BX$4&amp;BX$5, LS_current!$D$2:$AY$2&amp;LS_current!$D$3:$AY$3, 0)),SUM(VLOOKUP($A112, LS_current!$B$4:$AY$139, LS_current!N$149, FALSE), VLOOKUP($A112, LS_current!$B$4:$AY$139,LS_current!N$149, FALSE))/2)</f>
        <v>-1287.9551269261563</v>
      </c>
      <c r="BY112" s="382">
        <f t="array" ref="BY112">IF($BI112=0, INDEX(LS_current!$D$4:$AY$139, MATCH('Staging Table'!$A112, LS_current!$B$4:$B$139, 0), MATCH(BY$4&amp;BY$5, LS_current!$D$2:$AY$2&amp;LS_current!$D$3:$AY$3, 0)),SUM(VLOOKUP($A112, LS_current!$B$4:$AY$139, LS_current!O$149, FALSE), VLOOKUP($A112, LS_current!$B$4:$AY$139,LS_current!O$149, FALSE))/2)</f>
        <v>-543.25906671649068</v>
      </c>
      <c r="BZ112" s="382">
        <f t="array" ref="BZ112">IF($BI112=0, INDEX(LS_current!$D$4:$AY$139, MATCH('Staging Table'!$A112, LS_current!$B$4:$B$139, 0), MATCH(BZ$4&amp;BZ$5, LS_current!$D$2:$AY$2&amp;LS_current!$D$3:$AY$3, 0)),SUM(VLOOKUP($A112, LS_current!$B$4:$AY$139, LS_current!P$149, FALSE), VLOOKUP($A112, LS_current!$B$4:$AY$139,LS_current!P$149, FALSE))/2)</f>
        <v>-660.909755746266</v>
      </c>
      <c r="CA112" s="382">
        <f t="array" ref="CA112">IF($BI112=0, INDEX(LS_current!$D$4:$AY$139, MATCH('Staging Table'!$A112, LS_current!$B$4:$B$139, 0), MATCH(CA$4&amp;CA$5, LS_current!$D$2:$AY$2&amp;LS_current!$D$3:$AY$3, 0)),SUM(VLOOKUP($A112, LS_current!$B$4:$AY$139, LS_current!Q$149, FALSE), VLOOKUP($A112, LS_current!$B$4:$AY$139,LS_current!Q$149, FALSE))/2)</f>
        <v>74.266461397299736</v>
      </c>
      <c r="CB112" s="382">
        <f t="array" ref="CB112">IF($BI112=0, INDEX(LS_current!$D$4:$AY$139, MATCH('Staging Table'!$A112, LS_current!$B$4:$B$139, 0), MATCH(CB$4&amp;CB$5, LS_current!$D$2:$AY$2&amp;LS_current!$D$3:$AY$3, 0)),SUM(VLOOKUP($A112, LS_current!$B$4:$AY$139, LS_current!R$149, FALSE), VLOOKUP($A112, LS_current!$B$4:$AY$139,LS_current!R$149, FALSE))/2)</f>
        <v>-427.04459480330797</v>
      </c>
      <c r="CC112" s="382">
        <f t="array" ref="CC112">IF($BI112=0, INDEX(LS_current!$D$4:$AY$139, MATCH('Staging Table'!$A112, LS_current!$B$4:$B$139, 0), MATCH(CC$4&amp;CC$5, LS_current!$D$2:$AY$2&amp;LS_current!$D$3:$AY$3, 0)),SUM(VLOOKUP($A112, LS_current!$B$4:$AY$139, LS_current!S$149, FALSE), VLOOKUP($A112, LS_current!$B$4:$AY$139,LS_current!S$149, FALSE))/2)</f>
        <v>317.4939346492547</v>
      </c>
      <c r="CD112" s="382">
        <f t="array" ref="CD112">IF($BI112=0, INDEX(LS_current!$D$4:$AY$139, MATCH('Staging Table'!$A112, LS_current!$B$4:$B$139, 0), MATCH(CD$4&amp;CD$5, LS_current!$D$2:$AY$2&amp;LS_current!$D$3:$AY$3, 0)),SUM(VLOOKUP($A112, LS_current!$B$4:$AY$139, LS_current!T$149, FALSE), VLOOKUP($A112, LS_current!$B$4:$AY$139,LS_current!T$149, FALSE))/2)</f>
        <v>2382.1467226574359</v>
      </c>
      <c r="CE112" s="382">
        <f t="array" ref="CE112">IF($BI112=0, INDEX(LS_current!$D$4:$AY$139, MATCH('Staging Table'!$A112, LS_current!$B$4:$B$139, 0), MATCH(CE$4&amp;CE$5, LS_current!$D$2:$AY$2&amp;LS_current!$D$3:$AY$3, 0)),SUM(VLOOKUP($A112, LS_current!$B$4:$AY$139, LS_current!U$149, FALSE), VLOOKUP($A112, LS_current!$B$4:$AY$139,LS_current!U$149, FALSE))/2)</f>
        <v>2150.900441145367</v>
      </c>
      <c r="CF112" s="382">
        <f t="array" ref="CF112">IF($BI112=0, INDEX(LS_current!$D$4:$AY$139, MATCH('Staging Table'!$A112, LS_current!$B$4:$B$139, 0), MATCH(CF$4&amp;CF$5, LS_current!$D$2:$AY$2&amp;LS_current!$D$3:$AY$3, 0)),SUM(VLOOKUP($A112, LS_current!$B$4:$AY$139, LS_current!V$149, FALSE), VLOOKUP($A112, LS_current!$B$4:$AY$139,LS_current!V$149, FALSE))/2)</f>
        <v>2439.0379410048245</v>
      </c>
      <c r="CG112" s="382">
        <f t="array" ref="CG112">IF($BI112=0, INDEX(LS_current!$D$4:$AY$139, MATCH('Staging Table'!$A112, LS_current!$B$4:$B$139, 0), MATCH(CG$4&amp;CG$5, LS_current!$D$2:$AY$2&amp;LS_current!$D$3:$AY$3, 0)),SUM(VLOOKUP($A112, LS_current!$B$4:$AY$139, LS_current!W$149, FALSE), VLOOKUP($A112, LS_current!$B$4:$AY$139,LS_current!W$149, FALSE))/2)</f>
        <v>2803.5666832714169</v>
      </c>
      <c r="CH112" s="382">
        <f t="array" ref="CH112">IF($BI112=0, INDEX(LS_current!$D$4:$AY$139, MATCH('Staging Table'!$A112, LS_current!$B$4:$B$139, 0), MATCH(CH$4&amp;CH$5, LS_current!$D$2:$AY$2&amp;LS_current!$D$3:$AY$3, 0)),SUM(VLOOKUP($A112, LS_current!$B$4:$AY$139, LS_current!X$149, FALSE), VLOOKUP($A112, LS_current!$B$4:$AY$139,LS_current!X$149, FALSE))/2)</f>
        <v>1980.6112490912951</v>
      </c>
      <c r="CI112" s="382">
        <f t="array" ref="CI112">IF($BI112=0, INDEX(LS_current!$D$4:$AY$139, MATCH('Staging Table'!$A112, LS_current!$B$4:$B$139, 0), MATCH(CI$4&amp;CI$5, LS_current!$D$2:$AY$2&amp;LS_current!$D$3:$AY$3, 0)),SUM(VLOOKUP($A112, LS_current!$B$4:$AY$139, LS_current!Y$149, FALSE), VLOOKUP($A112, LS_current!$B$4:$AY$139,LS_current!Y$149, FALSE))/2)</f>
        <v>1873.6047833898967</v>
      </c>
      <c r="CJ112" s="382">
        <f t="array" ref="CJ112">IF($BI112=0, INDEX(LS_current!$D$4:$AY$139, MATCH('Staging Table'!$A112, LS_current!$B$4:$B$139, 0), MATCH(CJ$4&amp;CJ$5, LS_current!$D$2:$AY$2&amp;LS_current!$D$3:$AY$3, 0)),SUM(VLOOKUP($A112, LS_current!$B$4:$AY$139, LS_current!Z$149, FALSE), VLOOKUP($A112, LS_current!$B$4:$AY$139,LS_current!Z$149, FALSE))/2)</f>
        <v>-92.536490856355613</v>
      </c>
      <c r="CK112" s="382">
        <f t="array" ref="CK112">IF($BI112=0, INDEX(LS_current!$D$4:$AY$139, MATCH('Staging Table'!$A112, LS_current!$B$4:$B$139, 0), MATCH(CK$4&amp;CK$5, LS_current!$D$2:$AY$2&amp;LS_current!$D$3:$AY$3, 0)),SUM(VLOOKUP($A112, LS_current!$B$4:$AY$139, LS_current!AA$149, FALSE), VLOOKUP($A112, LS_current!$B$4:$AY$139,LS_current!AA$149, FALSE))/2)</f>
        <v>669.64981766367509</v>
      </c>
      <c r="CL112" s="384">
        <f t="array" ref="CL112">INDEX(Demand_current!$D$4:$AY$138, MATCH($A112, Demand_current!$B$4:$B$138, 0), MATCH(CL$4&amp;CL$5,Demand_current!$D$2:$AY$2&amp;Demand_current!$D$3:$AY$3, 0))/1000</f>
        <v>2.3382836538461538</v>
      </c>
      <c r="CM112" s="384">
        <f t="array" ref="CM112">INDEX(Demand_current!$D$4:$AY$138, MATCH($A112, Demand_current!$B$4:$B$138, 0), MATCH(CM$4&amp;CM$5,Demand_current!$D$2:$AY$2&amp;Demand_current!$D$3:$AY$3, 0))/1000</f>
        <v>0.71379000000000037</v>
      </c>
      <c r="CN112" s="384">
        <f t="array" ref="CN112">INDEX(Demand_current!$D$4:$AY$138, MATCH($A112, Demand_current!$B$4:$B$138, 0), MATCH(CN$4&amp;CN$5,Demand_current!$D$2:$AY$2&amp;Demand_current!$D$3:$AY$3, 0))/1000</f>
        <v>0.61833000000000005</v>
      </c>
      <c r="CO112" s="384">
        <f t="array" ref="CO112">INDEX(Demand_current!$D$4:$AY$138, MATCH($A112, Demand_current!$B$4:$B$138, 0), MATCH(CO$4&amp;CO$5,Demand_current!$D$2:$AY$2&amp;Demand_current!$D$3:$AY$3, 0))/1000</f>
        <v>0.81800961538461547</v>
      </c>
      <c r="CP112" s="384">
        <f t="array" ref="CP112">INDEX(Demand_current!$D$4:$AY$138, MATCH($A112, Demand_current!$B$4:$B$138, 0), MATCH(CP$4&amp;CP$5,Demand_current!$D$2:$AY$2&amp;Demand_current!$D$3:$AY$3, 0))/1000</f>
        <v>0.57397656249999995</v>
      </c>
      <c r="CQ112" s="384">
        <f t="array" ref="CQ112">INDEX(Demand_current!$D$4:$AY$138, MATCH($A112, Demand_current!$B$4:$B$138, 0), MATCH(CQ$4&amp;CQ$5,Demand_current!$D$2:$AY$2&amp;Demand_current!$D$3:$AY$3, 0))/1000</f>
        <v>0.8547083333333334</v>
      </c>
      <c r="CR112" s="384">
        <f t="array" ref="CR112">INDEX(Demand_current!$D$4:$AY$138, MATCH($A112, Demand_current!$B$4:$B$138, 0), MATCH(CR$4&amp;CR$5,Demand_current!$D$2:$AY$2&amp;Demand_current!$D$3:$AY$3, 0))/1000</f>
        <v>2.6547699999999987</v>
      </c>
      <c r="CS112" s="384">
        <f t="array" ref="CS112">INDEX(Demand_current!$D$4:$AY$138, MATCH($A112, Demand_current!$B$4:$B$138, 0), MATCH(CS$4&amp;CS$5,Demand_current!$D$2:$AY$2&amp;Demand_current!$D$3:$AY$3, 0))/1000</f>
        <v>0.46709615384615288</v>
      </c>
      <c r="CT112" s="384">
        <f t="array" ref="CT112">INDEX(Demand_current!$D$4:$AY$138, MATCH($A112, Demand_current!$B$4:$B$138, 0), MATCH(CT$4&amp;CT$5,Demand_current!$D$2:$AY$2&amp;Demand_current!$D$3:$AY$3, 0))/1000</f>
        <v>0.989747596153848</v>
      </c>
      <c r="CU112" s="384">
        <f t="array" ref="CU112">INDEX(Demand_current!$D$4:$AY$138, MATCH($A112, Demand_current!$B$4:$B$138, 0), MATCH(CU$4&amp;CU$5,Demand_current!$D$2:$AY$2&amp;Demand_current!$D$3:$AY$3, 0))/1000</f>
        <v>1.5843700000000007</v>
      </c>
      <c r="CV112" s="384">
        <f t="array" ref="CV112">INDEX(Demand_current!$D$4:$AY$138, MATCH($A112, Demand_current!$B$4:$B$138, 0), MATCH(CV$4&amp;CV$5,Demand_current!$D$2:$AY$2&amp;Demand_current!$D$3:$AY$3, 0))/1000</f>
        <v>0.85624537037037141</v>
      </c>
      <c r="CW112" s="384">
        <f t="array" ref="CW112">INDEX(Demand_current!$D$4:$AY$138, MATCH($A112, Demand_current!$B$4:$B$138, 0), MATCH(CW$4&amp;CW$5,Demand_current!$D$2:$AY$2&amp;Demand_current!$D$3:$AY$3, 0))/1000</f>
        <v>0.48440104166666709</v>
      </c>
      <c r="CX112" s="384">
        <f>IF(D112=0,IF(C112=0,MAX(0,DA112 - (VLOOKUP($A112,TOCA_current!$A$2:$AI$137,MATCH("RHWM 2018",TOCA_current!$A$2:$AI$2,0),FALSE)*$BH$2)), 0),0)</f>
        <v>4319.0348508121388</v>
      </c>
      <c r="CY112" s="427">
        <f>VLOOKUP($A112,REP_current!$A$1:$D$135,MATCH("FY "&amp;$BH$1&amp; " Total Refund",REP_current!$A$1:$D$1,0),0)</f>
        <v>38025.107164965273</v>
      </c>
      <c r="CZ112" s="432">
        <f>MIN(VLOOKUP($A112,TOCA_current!$A$2:$AI$137,MATCH("TRL - NLSL - Existing Resource "&amp;$BH$1,TOCA_current!$A$2:$AI$2,0),FALSE)*$BH$2, VLOOKUP($A112,TOCA_current!$A$2:$AI$137,MATCH("RHWM 2018",TOCA_current!$A$2:$AI$2,0),FALSE)*$BH$2)</f>
        <v>58315.32</v>
      </c>
      <c r="DA112" s="397">
        <f>SUM(BN112:CK112)+(BH112*RT1SC!$C$4*$BH$2)</f>
        <v>62634.354850812138</v>
      </c>
      <c r="DB112" s="432">
        <f>VLOOKUP($A112,TOCA_current!$A$2:$AI$137,MATCH("Above RHWM Not Served with LS "&amp;$BH$1,TOCA_current!$A$2:$AI$2,0),FALSE)*$BH$2</f>
        <v>0</v>
      </c>
      <c r="DC112" s="401">
        <f t="shared" si="27"/>
        <v>4319.0348508121388</v>
      </c>
      <c r="DD112" s="397">
        <f>(VLOOKUP($A112,TOCA_current!$A$2:$AI$137,MATCH("RHWM 2018",TOCA_current!$A$2:$AI$2,0),FALSE)*$BH$2) - $CZ112</f>
        <v>0</v>
      </c>
      <c r="DE112" s="397">
        <f t="shared" si="28"/>
        <v>0</v>
      </c>
      <c r="DF112" s="397">
        <f t="shared" si="29"/>
        <v>0</v>
      </c>
      <c r="DG112" s="397">
        <f t="shared" si="30"/>
        <v>0</v>
      </c>
      <c r="DH112" s="397">
        <f t="shared" si="31"/>
        <v>0</v>
      </c>
    </row>
    <row r="113" spans="1:112">
      <c r="A113" s="274">
        <v>10363</v>
      </c>
      <c r="B113" s="275" t="s">
        <v>114</v>
      </c>
      <c r="C113" s="397">
        <v>0</v>
      </c>
      <c r="D113" s="397">
        <v>0</v>
      </c>
      <c r="E113" s="205">
        <f>VLOOKUP($A113,TOCA_previous!$A$2:$AI$137,MATCH(E$4,TOCA_previous!$A$2:$AI$2,0),FALSE)</f>
        <v>1.30671E-2</v>
      </c>
      <c r="F113" s="206">
        <f>VLOOKUP($A113,TOCA_previous!$A$2:$AI$137,MATCH(F$4,TOCA_previous!$A$2:$AI$2,0),FALSE)</f>
        <v>1.30671E-2</v>
      </c>
      <c r="G113" s="206">
        <f t="shared" si="16"/>
        <v>0</v>
      </c>
      <c r="H113" s="206">
        <f>VLOOKUP($A113,TOCA_previous!$A$2:$AI$137,MATCH(H$4,TOCA_previous!$A$2:$AI$2,0),FALSE)</f>
        <v>0</v>
      </c>
      <c r="I113" s="206">
        <f t="shared" si="17"/>
        <v>0</v>
      </c>
      <c r="J113" s="206">
        <f t="shared" si="18"/>
        <v>0</v>
      </c>
      <c r="K113" s="381">
        <f>VLOOKUP(A113, IRD!$A$5:$C$139, 3, FALSE)</f>
        <v>0</v>
      </c>
      <c r="L113" s="382">
        <f t="array" ref="L113">IF($G113=0, INDEX(LS_previous!$D$4:$AY$138, MATCH('Staging Table'!$A113, LS_previous!$B$4:$B$138, 0), MATCH(L$4&amp;L$5, LS_previous!$D$2:$AY$2&amp;LS_previous!$D$3:$AY$3, 0)),SUM(VLOOKUP($A113, LS_previous!$B$4:$AY$138, LS_previous!D$149, FALSE), VLOOKUP('Staging Table'!$A113, LS_previous!$B$4:$AY$138,LS_previous!AB$149, FALSE))/2)</f>
        <v>-792.34024499280349</v>
      </c>
      <c r="M113" s="382">
        <f t="array" ref="M113">IF($G113=0, INDEX(LS_previous!$D$4:$AY$138, MATCH('Staging Table'!$A113, LS_previous!$B$4:$B$138, 0), MATCH(M$4&amp;M$5, LS_previous!$D$2:$AY$2&amp;LS_previous!$D$3:$AY$3, 0)),SUM(VLOOKUP($A113, LS_previous!$B$4:$AY$138, LS_previous!E$149, FALSE), VLOOKUP('Staging Table'!$A113, LS_previous!$B$4:$AY$138,LS_previous!AC$149, FALSE))/2)</f>
        <v>881.06541852783266</v>
      </c>
      <c r="N113" s="382">
        <f t="array" ref="N113">IF($G113=0, INDEX(LS_previous!$D$4:$AY$138, MATCH('Staging Table'!$A113, LS_previous!$B$4:$B$138, 0), MATCH(N$4&amp;N$5, LS_previous!$D$2:$AY$2&amp;LS_previous!$D$3:$AY$3, 0)),SUM(VLOOKUP($A113, LS_previous!$B$4:$AY$138, LS_previous!F$149, FALSE), VLOOKUP('Staging Table'!$A113, LS_previous!$B$4:$AY$138,LS_previous!AD$149, FALSE))/2)</f>
        <v>619.7313569290709</v>
      </c>
      <c r="O113" s="382">
        <f t="array" ref="O113">IF($G113=0, INDEX(LS_previous!$D$4:$AY$138, MATCH('Staging Table'!$A113, LS_previous!$B$4:$B$138, 0), MATCH(O$4&amp;O$5, LS_previous!$D$2:$AY$2&amp;LS_previous!$D$3:$AY$3, 0)),SUM(VLOOKUP($A113, LS_previous!$B$4:$AY$138, LS_previous!G$149, FALSE), VLOOKUP('Staging Table'!$A113, LS_previous!$B$4:$AY$138,LS_previous!AE$149, FALSE))/2)</f>
        <v>2247.3172418711838</v>
      </c>
      <c r="P113" s="382">
        <f t="array" ref="P113">IF($G113=0, INDEX(LS_previous!$D$4:$AY$138, MATCH('Staging Table'!$A113, LS_previous!$B$4:$B$138, 0), MATCH(P$4&amp;P$5, LS_previous!$D$2:$AY$2&amp;LS_previous!$D$3:$AY$3, 0)),SUM(VLOOKUP($A113, LS_previous!$B$4:$AY$138, LS_previous!H$149, FALSE), VLOOKUP('Staging Table'!$A113, LS_previous!$B$4:$AY$138,LS_previous!AF$149, FALSE))/2)</f>
        <v>6973.3062889368957</v>
      </c>
      <c r="Q113" s="382">
        <f t="array" ref="Q113">IF($G113=0, INDEX(LS_previous!$D$4:$AY$138, MATCH('Staging Table'!$A113, LS_previous!$B$4:$B$138, 0), MATCH(Q$4&amp;Q$5, LS_previous!$D$2:$AY$2&amp;LS_previous!$D$3:$AY$3, 0)),SUM(VLOOKUP($A113, LS_previous!$B$4:$AY$138, LS_previous!I$149, FALSE), VLOOKUP('Staging Table'!$A113, LS_previous!$B$4:$AY$138,LS_previous!AG$149, FALSE))/2)</f>
        <v>8276.6203991894472</v>
      </c>
      <c r="R113" s="382">
        <f t="array" ref="R113">IF($G113=0, INDEX(LS_previous!$D$4:$AY$138, MATCH('Staging Table'!$A113, LS_previous!$B$4:$B$138, 0), MATCH(R$4&amp;R$5, LS_previous!$D$2:$AY$2&amp;LS_previous!$D$3:$AY$3, 0)),SUM(VLOOKUP($A113, LS_previous!$B$4:$AY$138, LS_previous!J$149, FALSE), VLOOKUP('Staging Table'!$A113, LS_previous!$B$4:$AY$138,LS_previous!AH$149, FALSE))/2)</f>
        <v>13446.635755384224</v>
      </c>
      <c r="S113" s="382">
        <f t="array" ref="S113">IF($G113=0, INDEX(LS_previous!$D$4:$AY$138, MATCH('Staging Table'!$A113, LS_previous!$B$4:$B$138, 0), MATCH(S$4&amp;S$5, LS_previous!$D$2:$AY$2&amp;LS_previous!$D$3:$AY$3, 0)),SUM(VLOOKUP($A113, LS_previous!$B$4:$AY$138, LS_previous!K$149, FALSE), VLOOKUP('Staging Table'!$A113, LS_previous!$B$4:$AY$138,LS_previous!AI$149, FALSE))/2)</f>
        <v>9119.796468391698</v>
      </c>
      <c r="T113" s="382">
        <f t="array" ref="T113">IF($G113=0, INDEX(LS_previous!$D$4:$AY$138, MATCH('Staging Table'!$A113, LS_previous!$B$4:$B$138, 0), MATCH(T$4&amp;T$5, LS_previous!$D$2:$AY$2&amp;LS_previous!$D$3:$AY$3, 0)),SUM(VLOOKUP($A113, LS_previous!$B$4:$AY$138, LS_previous!L$149, FALSE), VLOOKUP('Staging Table'!$A113, LS_previous!$B$4:$AY$138,LS_previous!AJ$149, FALSE))/2)</f>
        <v>11212.443019323749</v>
      </c>
      <c r="U113" s="382">
        <f t="array" ref="U113">IF($G113=0, INDEX(LS_previous!$D$4:$AY$138, MATCH('Staging Table'!$A113, LS_previous!$B$4:$B$138, 0), MATCH(U$4&amp;U$5, LS_previous!$D$2:$AY$2&amp;LS_previous!$D$3:$AY$3, 0)),SUM(VLOOKUP($A113, LS_previous!$B$4:$AY$138, LS_previous!M$149, FALSE), VLOOKUP('Staging Table'!$A113, LS_previous!$B$4:$AY$138,LS_previous!AK$149, FALSE))/2)</f>
        <v>7222.1066917523895</v>
      </c>
      <c r="V113" s="382">
        <f t="array" ref="V113">IF($G113=0, INDEX(LS_previous!$D$4:$AY$138, MATCH('Staging Table'!$A113, LS_previous!$B$4:$B$138, 0), MATCH(V$4&amp;V$5, LS_previous!$D$2:$AY$2&amp;LS_previous!$D$3:$AY$3, 0)),SUM(VLOOKUP($A113, LS_previous!$B$4:$AY$138, LS_previous!N$149, FALSE), VLOOKUP('Staging Table'!$A113, LS_previous!$B$4:$AY$138,LS_previous!AL$149, FALSE))/2)</f>
        <v>4313.9142215447719</v>
      </c>
      <c r="W113" s="382">
        <f t="array" ref="W113">IF($G113=0, INDEX(LS_previous!$D$4:$AY$138, MATCH('Staging Table'!$A113, LS_previous!$B$4:$B$138, 0), MATCH(W$4&amp;W$5, LS_previous!$D$2:$AY$2&amp;LS_previous!$D$3:$AY$3, 0)),SUM(VLOOKUP($A113, LS_previous!$B$4:$AY$138, LS_previous!O$149, FALSE), VLOOKUP('Staging Table'!$A113, LS_previous!$B$4:$AY$138,LS_previous!AM$149, FALSE))/2)</f>
        <v>1213.5217334996487</v>
      </c>
      <c r="X113" s="382">
        <f t="array" ref="X113">IF($G113=0, INDEX(LS_previous!$D$4:$AY$138, MATCH('Staging Table'!$A113, LS_previous!$B$4:$B$138, 0), MATCH(X$4&amp;X$5, LS_previous!$D$2:$AY$2&amp;LS_previous!$D$3:$AY$3, 0)),SUM(VLOOKUP($A113, LS_previous!$B$4:$AY$138, LS_previous!P$149, FALSE), VLOOKUP('Staging Table'!$A113, LS_previous!$B$4:$AY$138,LS_previous!AN$149, FALSE))/2)</f>
        <v>5807.8952378248869</v>
      </c>
      <c r="Y113" s="382">
        <f t="array" ref="Y113">IF($G113=0, INDEX(LS_previous!$D$4:$AY$138, MATCH('Staging Table'!$A113, LS_previous!$B$4:$B$138, 0), MATCH(Y$4&amp;Y$5, LS_previous!$D$2:$AY$2&amp;LS_previous!$D$3:$AY$3, 0)),SUM(VLOOKUP($A113, LS_previous!$B$4:$AY$138, LS_previous!Q$149, FALSE), VLOOKUP('Staging Table'!$A113, LS_previous!$B$4:$AY$138,LS_previous!AO$149, FALSE))/2)</f>
        <v>4546.6630745288312</v>
      </c>
      <c r="Z113" s="382">
        <f t="array" ref="Z113">IF($G113=0, INDEX(LS_previous!$D$4:$AY$138, MATCH('Staging Table'!$A113, LS_previous!$B$4:$B$138, 0), MATCH(Z$4&amp;Z$5, LS_previous!$D$2:$AY$2&amp;LS_previous!$D$3:$AY$3, 0)),SUM(VLOOKUP($A113, LS_previous!$B$4:$AY$138, LS_previous!R$149, FALSE), VLOOKUP('Staging Table'!$A113, LS_previous!$B$4:$AY$138,LS_previous!AP$149, FALSE))/2)</f>
        <v>-18317.452852462207</v>
      </c>
      <c r="AA113" s="382">
        <f t="array" ref="AA113">IF($G113=0, INDEX(LS_previous!$D$4:$AY$138, MATCH('Staging Table'!$A113, LS_previous!$B$4:$B$138, 0), MATCH(AA$4&amp;AA$5, LS_previous!$D$2:$AY$2&amp;LS_previous!$D$3:$AY$3, 0)),SUM(VLOOKUP($A113, LS_previous!$B$4:$AY$138, LS_previous!S$149, FALSE), VLOOKUP('Staging Table'!$A113, LS_previous!$B$4:$AY$138,LS_previous!AQ$149, FALSE))/2)</f>
        <v>-8336.4648265723117</v>
      </c>
      <c r="AB113" s="382">
        <f t="array" ref="AB113">IF($G113=0, INDEX(LS_previous!$D$4:$AY$138, MATCH('Staging Table'!$A113, LS_previous!$B$4:$B$138, 0), MATCH(AB$4&amp;AB$5, LS_previous!$D$2:$AY$2&amp;LS_previous!$D$3:$AY$3, 0)),SUM(VLOOKUP($A113, LS_previous!$B$4:$AY$138, LS_previous!T$149, FALSE), VLOOKUP('Staging Table'!$A113, LS_previous!$B$4:$AY$138,LS_previous!AR$149, FALSE))/2)</f>
        <v>-8773.3139503630664</v>
      </c>
      <c r="AC113" s="382">
        <f t="array" ref="AC113">IF($G113=0, INDEX(LS_previous!$D$4:$AY$138, MATCH('Staging Table'!$A113, LS_previous!$B$4:$B$138, 0), MATCH(AC$4&amp;AC$5, LS_previous!$D$2:$AY$2&amp;LS_previous!$D$3:$AY$3, 0)),SUM(VLOOKUP($A113, LS_previous!$B$4:$AY$138, LS_previous!U$149, FALSE), VLOOKUP('Staging Table'!$A113, LS_previous!$B$4:$AY$138,LS_previous!AS$149, FALSE))/2)</f>
        <v>-5594.9618665065791</v>
      </c>
      <c r="AD113" s="382">
        <f t="array" ref="AD113">IF($G113=0, INDEX(LS_previous!$D$4:$AY$138, MATCH('Staging Table'!$A113, LS_previous!$B$4:$B$138, 0), MATCH(AD$4&amp;AD$5, LS_previous!$D$2:$AY$2&amp;LS_previous!$D$3:$AY$3, 0)),SUM(VLOOKUP($A113, LS_previous!$B$4:$AY$138, LS_previous!V$149, FALSE), VLOOKUP('Staging Table'!$A113, LS_previous!$B$4:$AY$138,LS_previous!AT$149, FALSE))/2)</f>
        <v>-4184.5225147893871</v>
      </c>
      <c r="AE113" s="382">
        <f t="array" ref="AE113">IF($G113=0, INDEX(LS_previous!$D$4:$AY$138, MATCH('Staging Table'!$A113, LS_previous!$B$4:$B$138, 0), MATCH(AE$4&amp;AE$5, LS_previous!$D$2:$AY$2&amp;LS_previous!$D$3:$AY$3, 0)),SUM(VLOOKUP($A113, LS_previous!$B$4:$AY$138, LS_previous!W$149, FALSE), VLOOKUP('Staging Table'!$A113, LS_previous!$B$4:$AY$138,LS_previous!AU$149, FALSE))/2)</f>
        <v>1721.6203412155301</v>
      </c>
      <c r="AF113" s="382">
        <f t="array" ref="AF113">IF($G113=0, INDEX(LS_previous!$D$4:$AY$138, MATCH('Staging Table'!$A113, LS_previous!$B$4:$B$138, 0), MATCH(AF$4&amp;AF$5, LS_previous!$D$2:$AY$2&amp;LS_previous!$D$3:$AY$3, 0)),SUM(VLOOKUP($A113, LS_previous!$B$4:$AY$138, LS_previous!X$149, FALSE), VLOOKUP('Staging Table'!$A113, LS_previous!$B$4:$AY$138,LS_previous!AV$149, FALSE))/2)</f>
        <v>-4011.9045205735165</v>
      </c>
      <c r="AG113" s="382">
        <f t="array" ref="AG113">IF($G113=0, INDEX(LS_previous!$D$4:$AY$138, MATCH('Staging Table'!$A113, LS_previous!$B$4:$B$138, 0), MATCH(AG$4&amp;AG$5, LS_previous!$D$2:$AY$2&amp;LS_previous!$D$3:$AY$3, 0)),SUM(VLOOKUP($A113, LS_previous!$B$4:$AY$138, LS_previous!Y$149, FALSE), VLOOKUP('Staging Table'!$A113, LS_previous!$B$4:$AY$138,LS_previous!AW$149, FALSE))/2)</f>
        <v>-1113.6403757560656</v>
      </c>
      <c r="AH113" s="382">
        <f t="array" ref="AH113">IF($G113=0, INDEX(LS_previous!$D$4:$AY$138, MATCH('Staging Table'!$A113, LS_previous!$B$4:$B$138, 0), MATCH(AH$4&amp;AH$5, LS_previous!$D$2:$AY$2&amp;LS_previous!$D$3:$AY$3, 0)),SUM(VLOOKUP($A113, LS_previous!$B$4:$AY$138, LS_previous!Z$149, FALSE), VLOOKUP('Staging Table'!$A113, LS_previous!$B$4:$AY$138,LS_previous!AX$149, FALSE))/2)</f>
        <v>-1174.3347872898885</v>
      </c>
      <c r="AI113" s="382">
        <f t="array" ref="AI113">IF($G113=0, INDEX(LS_previous!$D$4:$AY$138, MATCH('Staging Table'!$A113, LS_previous!$B$4:$B$138, 0), MATCH(AI$4&amp;AI$5, LS_previous!$D$2:$AY$2&amp;LS_previous!$D$3:$AY$3, 0)),SUM(VLOOKUP($A113, LS_previous!$B$4:$AY$138, LS_previous!AA$149, FALSE), VLOOKUP('Staging Table'!$A113, LS_previous!$B$4:$AY$138,LS_previous!AY$149, FALSE))/2)</f>
        <v>3.5652662907268677</v>
      </c>
      <c r="AJ113" s="384">
        <f t="array" ref="AJ113">INDEX(Demand_previous!$D$4:$AY$138, MATCH('Staging Table'!$A113, Demand_previous!$B$4:$B$138, 0), MATCH(AJ$4&amp;AJ$5,Demand_previous!$D$2:$AY$2&amp;Demand_previous!$D$3:$AY$3, 0))/1000</f>
        <v>12.175379629629624</v>
      </c>
      <c r="AK113" s="384">
        <f t="array" ref="AK113">INDEX(Demand_previous!$D$4:$AY$138, MATCH('Staging Table'!$A113, Demand_previous!$B$4:$B$138, 0), MATCH(AK$4&amp;AK$5,Demand_previous!$D$2:$AY$2&amp;Demand_previous!$D$3:$AY$3, 0))/1000</f>
        <v>1.1921874999999922</v>
      </c>
      <c r="AL113" s="384">
        <f t="array" ref="AL113">INDEX(Demand_previous!$D$4:$AY$138, MATCH('Staging Table'!$A113, Demand_previous!$B$4:$B$138, 0), MATCH(AL$4&amp;AL$5,Demand_previous!$D$2:$AY$2&amp;Demand_previous!$D$3:$AY$3, 0))/1000</f>
        <v>26.218749999999996</v>
      </c>
      <c r="AM113" s="384">
        <f t="array" ref="AM113">INDEX(Demand_previous!$D$4:$AY$138, MATCH('Staging Table'!$A113, Demand_previous!$B$4:$B$138, 0), MATCH(AM$4&amp;AM$5,Demand_previous!$D$2:$AY$2&amp;Demand_previous!$D$3:$AY$3, 0))/1000</f>
        <v>12.069797500000018</v>
      </c>
      <c r="AN113" s="384">
        <f t="array" ref="AN113">INDEX(Demand_previous!$D$4:$AY$138, MATCH('Staging Table'!$A113, Demand_previous!$B$4:$B$138, 0), MATCH(AN$4&amp;AN$5,Demand_previous!$D$2:$AY$2&amp;Demand_previous!$D$3:$AY$3, 0))/1000</f>
        <v>12.747837500000024</v>
      </c>
      <c r="AO113" s="384">
        <f t="array" ref="AO113">INDEX(Demand_previous!$D$4:$AY$138, MATCH('Staging Table'!$A113, Demand_previous!$B$4:$B$138, 0), MATCH(AO$4&amp;AO$5,Demand_previous!$D$2:$AY$2&amp;Demand_previous!$D$3:$AY$3, 0))/1000</f>
        <v>15.107518518518503</v>
      </c>
      <c r="AP113" s="384">
        <f t="array" ref="AP113">INDEX(Demand_previous!$D$4:$AY$138, MATCH('Staging Table'!$A113, Demand_previous!$B$4:$B$138, 0), MATCH(AP$4&amp;AP$5,Demand_previous!$D$2:$AY$2&amp;Demand_previous!$D$3:$AY$3, 0))/1000</f>
        <v>14.983019230769241</v>
      </c>
      <c r="AQ113" s="384">
        <f t="array" ref="AQ113">INDEX(Demand_previous!$D$4:$AY$138, MATCH('Staging Table'!$A113, Demand_previous!$B$4:$B$138, 0), MATCH(AQ$4&amp;AQ$5,Demand_previous!$D$2:$AY$2&amp;Demand_previous!$D$3:$AY$3, 0))/1000</f>
        <v>0</v>
      </c>
      <c r="AR113" s="384">
        <f t="array" ref="AR113">INDEX(Demand_previous!$D$4:$AY$138, MATCH('Staging Table'!$A113, Demand_previous!$B$4:$B$138, 0), MATCH(AR$4&amp;AR$5,Demand_previous!$D$2:$AY$2&amp;Demand_previous!$D$3:$AY$3, 0))/1000</f>
        <v>7.9428124999999898</v>
      </c>
      <c r="AS113" s="384">
        <f t="array" ref="AS113">INDEX(Demand_previous!$D$4:$AY$138, MATCH('Staging Table'!$A113, Demand_previous!$B$4:$B$138, 0), MATCH(AS$4&amp;AS$5,Demand_previous!$D$2:$AY$2&amp;Demand_previous!$D$3:$AY$3, 0))/1000</f>
        <v>6.1377224999999918</v>
      </c>
      <c r="AT113" s="384">
        <f t="array" ref="AT113">INDEX(Demand_previous!$D$4:$AY$138, MATCH('Staging Table'!$A113, Demand_previous!$B$4:$B$138, 0), MATCH(AT$4&amp;AT$5,Demand_previous!$D$2:$AY$2&amp;Demand_previous!$D$3:$AY$3, 0))/1000</f>
        <v>13.059356481481485</v>
      </c>
      <c r="AU113" s="384">
        <f t="array" ref="AU113">INDEX(Demand_previous!$D$4:$AY$138, MATCH('Staging Table'!$A113, Demand_previous!$B$4:$B$138, 0), MATCH(AU$4&amp;AU$5,Demand_previous!$D$2:$AY$2&amp;Demand_previous!$D$3:$AY$3, 0))/1000</f>
        <v>17.787459999999989</v>
      </c>
      <c r="AV113" s="384">
        <f>IF($D113=0,IF(C113=0, MAX(AY113 - (VLOOKUP($A113,TOCA_previous!$A$2:$AI$137,MATCH("RHWM 2016",TOCA_previous!$A$2:$AI$2,0),FALSE)*$F$2*TOCA_previous!C110),0),0), 0)</f>
        <v>0</v>
      </c>
      <c r="AW113" s="427">
        <f>VLOOKUP($A113,REP_previous!$A$1:$D$135,MATCH("FY "&amp;$F$1&amp; " Total Refund",REP_previous!$A$1:$D$1,0),0)</f>
        <v>1001136.3563995336</v>
      </c>
      <c r="AX113" s="398">
        <f>MIN(VLOOKUP($A113,TOCA_previous!$A$2:$AI$137,MATCH("TRL - NLSL - Exisiting Resource "&amp;$F$1,TOCA_previous!$A$2:$AI$2,0),FALSE)*$F$2,(VLOOKUP($A113,TOCA_previous!$A$2:$AI$137,MATCH("RHWM 2016",TOCA_previous!$A$2:$AI$2,0),FALSE)*$F$2))</f>
        <v>801531.21600000001</v>
      </c>
      <c r="AY113" s="384">
        <f>SUM(L113:AI113)+(F113*RT1SC!$C$3*$F$2)</f>
        <v>826835.58388664899</v>
      </c>
      <c r="AZ113" s="398">
        <f>VLOOKUP($A113,TOCA_previous!$A$2:$AI$137,MATCH("Above RHWM Not Served with LS "&amp;$F$1,TOCA_previous!$A$2:$AI$2,0),FALSE)*$F$2</f>
        <v>0</v>
      </c>
      <c r="BA113" s="206">
        <f t="shared" si="19"/>
        <v>25304.367886648979</v>
      </c>
      <c r="BB113" s="399">
        <f>(VLOOKUP($A113,TOCA_previous!$A$2:$AI$137,MATCH("RHWM 2016",TOCA_previous!$A$2:$AI$2,0),FALSE)*$F$2) - $AX113</f>
        <v>74435.615999999922</v>
      </c>
      <c r="BC113" s="206">
        <f t="shared" si="20"/>
        <v>-25304.367886648979</v>
      </c>
      <c r="BD113" s="400">
        <f t="shared" si="21"/>
        <v>0</v>
      </c>
      <c r="BE113" s="392">
        <f t="shared" si="22"/>
        <v>0</v>
      </c>
      <c r="BF113" s="399">
        <f t="shared" si="23"/>
        <v>-25304.367886648979</v>
      </c>
      <c r="BG113" s="206">
        <f>VLOOKUP($A113,TOCA_current!$A$2:$AI$137,MATCH(BG$4,TOCA_current!$A$2:$AI$2,0),FALSE)</f>
        <v>1.35911E-2</v>
      </c>
      <c r="BH113" s="206">
        <f>VLOOKUP($A113,TOCA_current!$A$2:$AI$137,MATCH(BH$4,TOCA_current!$A$2:$AI$2,0),FALSE)</f>
        <v>1.35911E-2</v>
      </c>
      <c r="BI113" s="391">
        <f t="shared" si="24"/>
        <v>0</v>
      </c>
      <c r="BJ113" s="206">
        <f>VLOOKUP($A113,TOCA_current!A109:BG244,MATCH(BJ$4,TOCA_current!$A$2:$BG$2,0),FALSE)</f>
        <v>0</v>
      </c>
      <c r="BK113" s="206">
        <f t="shared" si="25"/>
        <v>0</v>
      </c>
      <c r="BL113" s="206">
        <f t="shared" si="26"/>
        <v>0</v>
      </c>
      <c r="BM113" s="381">
        <f>VLOOKUP($A113,IRD!$A$4:$G$139, 7, FALSE)</f>
        <v>0</v>
      </c>
      <c r="BN113" s="382">
        <f t="array" ref="BN113">IF($BI113=0, INDEX(LS_current!$D$4:$AY$139, MATCH('Staging Table'!$A113, LS_current!$B$4:$B$139, 0), MATCH(BN$4&amp;BN$5, LS_current!$D$2:$AY$2&amp;LS_current!$D$3:$AY$3, 0)),SUM(VLOOKUP($A113, LS_current!$B$4:$AY$139, LS_current!D$149, FALSE), VLOOKUP($A113, LS_current!$B$4:$AY$139,LS_current!D$149, FALSE))/2)</f>
        <v>-2603.7110633642005</v>
      </c>
      <c r="BO113" s="382">
        <f t="array" ref="BO113">IF($BI113=0, INDEX(LS_current!$D$4:$AY$139, MATCH('Staging Table'!$A113, LS_current!$B$4:$B$139, 0), MATCH(BO$4&amp;BO$5, LS_current!$D$2:$AY$2&amp;LS_current!$D$3:$AY$3, 0)),SUM(VLOOKUP($A113, LS_current!$B$4:$AY$139, LS_current!E$149, FALSE), VLOOKUP($A113, LS_current!$B$4:$AY$139,LS_current!E$149, FALSE))/2)</f>
        <v>1184.836150952262</v>
      </c>
      <c r="BP113" s="382">
        <f t="array" ref="BP113">IF($BI113=0, INDEX(LS_current!$D$4:$AY$139, MATCH('Staging Table'!$A113, LS_current!$B$4:$B$139, 0), MATCH(BP$4&amp;BP$5, LS_current!$D$2:$AY$2&amp;LS_current!$D$3:$AY$3, 0)),SUM(VLOOKUP($A113, LS_current!$B$4:$AY$139, LS_current!F$149, FALSE), VLOOKUP($A113, LS_current!$B$4:$AY$139,LS_current!F$149, FALSE))/2)</f>
        <v>-2269.6127863774163</v>
      </c>
      <c r="BQ113" s="382">
        <f t="array" ref="BQ113">IF($BI113=0, INDEX(LS_current!$D$4:$AY$139, MATCH('Staging Table'!$A113, LS_current!$B$4:$B$139, 0), MATCH(BQ$4&amp;BQ$5, LS_current!$D$2:$AY$2&amp;LS_current!$D$3:$AY$3, 0)),SUM(VLOOKUP($A113, LS_current!$B$4:$AY$139, LS_current!G$149, FALSE), VLOOKUP($A113, LS_current!$B$4:$AY$139,LS_current!G$149, FALSE))/2)</f>
        <v>1378.704094498873</v>
      </c>
      <c r="BR113" s="382">
        <f t="array" ref="BR113">IF($BI113=0, INDEX(LS_current!$D$4:$AY$139, MATCH('Staging Table'!$A113, LS_current!$B$4:$B$139, 0), MATCH(BR$4&amp;BR$5, LS_current!$D$2:$AY$2&amp;LS_current!$D$3:$AY$3, 0)),SUM(VLOOKUP($A113, LS_current!$B$4:$AY$139, LS_current!H$149, FALSE), VLOOKUP($A113, LS_current!$B$4:$AY$139,LS_current!H$149, FALSE))/2)</f>
        <v>3602.4446263906211</v>
      </c>
      <c r="BS113" s="382">
        <f t="array" ref="BS113">IF($BI113=0, INDEX(LS_current!$D$4:$AY$139, MATCH('Staging Table'!$A113, LS_current!$B$4:$B$139, 0), MATCH(BS$4&amp;BS$5, LS_current!$D$2:$AY$2&amp;LS_current!$D$3:$AY$3, 0)),SUM(VLOOKUP($A113, LS_current!$B$4:$AY$139, LS_current!I$149, FALSE), VLOOKUP($A113, LS_current!$B$4:$AY$139,LS_current!I$149, FALSE))/2)</f>
        <v>6879.4998658967343</v>
      </c>
      <c r="BT113" s="382">
        <f t="array" ref="BT113">IF($BI113=0, INDEX(LS_current!$D$4:$AY$139, MATCH('Staging Table'!$A113, LS_current!$B$4:$B$139, 0), MATCH(BT$4&amp;BT$5, LS_current!$D$2:$AY$2&amp;LS_current!$D$3:$AY$3, 0)),SUM(VLOOKUP($A113, LS_current!$B$4:$AY$139, LS_current!J$149, FALSE), VLOOKUP($A113, LS_current!$B$4:$AY$139,LS_current!J$149, FALSE))/2)</f>
        <v>11421.305954684649</v>
      </c>
      <c r="BU113" s="382">
        <f t="array" ref="BU113">IF($BI113=0, INDEX(LS_current!$D$4:$AY$139, MATCH('Staging Table'!$A113, LS_current!$B$4:$B$139, 0), MATCH(BU$4&amp;BU$5, LS_current!$D$2:$AY$2&amp;LS_current!$D$3:$AY$3, 0)),SUM(VLOOKUP($A113, LS_current!$B$4:$AY$139, LS_current!K$149, FALSE), VLOOKUP($A113, LS_current!$B$4:$AY$139,LS_current!K$149, FALSE))/2)</f>
        <v>8045.6617576742792</v>
      </c>
      <c r="BV113" s="382">
        <f t="array" ref="BV113">IF($BI113=0, INDEX(LS_current!$D$4:$AY$139, MATCH('Staging Table'!$A113, LS_current!$B$4:$B$139, 0), MATCH(BV$4&amp;BV$5, LS_current!$D$2:$AY$2&amp;LS_current!$D$3:$AY$3, 0)),SUM(VLOOKUP($A113, LS_current!$B$4:$AY$139, LS_current!L$149, FALSE), VLOOKUP($A113, LS_current!$B$4:$AY$139,LS_current!L$149, FALSE))/2)</f>
        <v>12598.535860442156</v>
      </c>
      <c r="BW113" s="382">
        <f t="array" ref="BW113">IF($BI113=0, INDEX(LS_current!$D$4:$AY$139, MATCH('Staging Table'!$A113, LS_current!$B$4:$B$139, 0), MATCH(BW$4&amp;BW$5, LS_current!$D$2:$AY$2&amp;LS_current!$D$3:$AY$3, 0)),SUM(VLOOKUP($A113, LS_current!$B$4:$AY$139, LS_current!M$149, FALSE), VLOOKUP($A113, LS_current!$B$4:$AY$139,LS_current!M$149, FALSE))/2)</f>
        <v>8583.1049320728307</v>
      </c>
      <c r="BX113" s="382">
        <f t="array" ref="BX113">IF($BI113=0, INDEX(LS_current!$D$4:$AY$139, MATCH('Staging Table'!$A113, LS_current!$B$4:$B$139, 0), MATCH(BX$4&amp;BX$5, LS_current!$D$2:$AY$2&amp;LS_current!$D$3:$AY$3, 0)),SUM(VLOOKUP($A113, LS_current!$B$4:$AY$139, LS_current!N$149, FALSE), VLOOKUP($A113, LS_current!$B$4:$AY$139,LS_current!N$149, FALSE))/2)</f>
        <v>4851.6518279093652</v>
      </c>
      <c r="BY113" s="382">
        <f t="array" ref="BY113">IF($BI113=0, INDEX(LS_current!$D$4:$AY$139, MATCH('Staging Table'!$A113, LS_current!$B$4:$B$139, 0), MATCH(BY$4&amp;BY$5, LS_current!$D$2:$AY$2&amp;LS_current!$D$3:$AY$3, 0)),SUM(VLOOKUP($A113, LS_current!$B$4:$AY$139, LS_current!O$149, FALSE), VLOOKUP($A113, LS_current!$B$4:$AY$139,LS_current!O$149, FALSE))/2)</f>
        <v>2659.0566416122492</v>
      </c>
      <c r="BZ113" s="382">
        <f t="array" ref="BZ113">IF($BI113=0, INDEX(LS_current!$D$4:$AY$139, MATCH('Staging Table'!$A113, LS_current!$B$4:$B$139, 0), MATCH(BZ$4&amp;BZ$5, LS_current!$D$2:$AY$2&amp;LS_current!$D$3:$AY$3, 0)),SUM(VLOOKUP($A113, LS_current!$B$4:$AY$139, LS_current!P$149, FALSE), VLOOKUP($A113, LS_current!$B$4:$AY$139,LS_current!P$149, FALSE))/2)</f>
        <v>296.56281147185655</v>
      </c>
      <c r="CA113" s="382">
        <f t="array" ref="CA113">IF($BI113=0, INDEX(LS_current!$D$4:$AY$139, MATCH('Staging Table'!$A113, LS_current!$B$4:$B$139, 0), MATCH(CA$4&amp;CA$5, LS_current!$D$2:$AY$2&amp;LS_current!$D$3:$AY$3, 0)),SUM(VLOOKUP($A113, LS_current!$B$4:$AY$139, LS_current!Q$149, FALSE), VLOOKUP($A113, LS_current!$B$4:$AY$139,LS_current!Q$149, FALSE))/2)</f>
        <v>3406.2021187114951</v>
      </c>
      <c r="CB113" s="382">
        <f t="array" ref="CB113">IF($BI113=0, INDEX(LS_current!$D$4:$AY$139, MATCH('Staging Table'!$A113, LS_current!$B$4:$B$139, 0), MATCH(CB$4&amp;CB$5, LS_current!$D$2:$AY$2&amp;LS_current!$D$3:$AY$3, 0)),SUM(VLOOKUP($A113, LS_current!$B$4:$AY$139, LS_current!R$149, FALSE), VLOOKUP($A113, LS_current!$B$4:$AY$139,LS_current!R$149, FALSE))/2)</f>
        <v>-20061.236340320509</v>
      </c>
      <c r="CC113" s="382">
        <f t="array" ref="CC113">IF($BI113=0, INDEX(LS_current!$D$4:$AY$139, MATCH('Staging Table'!$A113, LS_current!$B$4:$B$139, 0), MATCH(CC$4&amp;CC$5, LS_current!$D$2:$AY$2&amp;LS_current!$D$3:$AY$3, 0)),SUM(VLOOKUP($A113, LS_current!$B$4:$AY$139, LS_current!S$149, FALSE), VLOOKUP($A113, LS_current!$B$4:$AY$139,LS_current!S$149, FALSE))/2)</f>
        <v>-10095.557214154513</v>
      </c>
      <c r="CD113" s="382">
        <f t="array" ref="CD113">IF($BI113=0, INDEX(LS_current!$D$4:$AY$139, MATCH('Staging Table'!$A113, LS_current!$B$4:$B$139, 0), MATCH(CD$4&amp;CD$5, LS_current!$D$2:$AY$2&amp;LS_current!$D$3:$AY$3, 0)),SUM(VLOOKUP($A113, LS_current!$B$4:$AY$139, LS_current!T$149, FALSE), VLOOKUP($A113, LS_current!$B$4:$AY$139,LS_current!T$149, FALSE))/2)</f>
        <v>-10372.244814928563</v>
      </c>
      <c r="CE113" s="382">
        <f t="array" ref="CE113">IF($BI113=0, INDEX(LS_current!$D$4:$AY$139, MATCH('Staging Table'!$A113, LS_current!$B$4:$B$139, 0), MATCH(CE$4&amp;CE$5, LS_current!$D$2:$AY$2&amp;LS_current!$D$3:$AY$3, 0)),SUM(VLOOKUP($A113, LS_current!$B$4:$AY$139, LS_current!U$149, FALSE), VLOOKUP($A113, LS_current!$B$4:$AY$139,LS_current!U$149, FALSE))/2)</f>
        <v>-4742.1264854466899</v>
      </c>
      <c r="CF113" s="382">
        <f t="array" ref="CF113">IF($BI113=0, INDEX(LS_current!$D$4:$AY$139, MATCH('Staging Table'!$A113, LS_current!$B$4:$B$139, 0), MATCH(CF$4&amp;CF$5, LS_current!$D$2:$AY$2&amp;LS_current!$D$3:$AY$3, 0)),SUM(VLOOKUP($A113, LS_current!$B$4:$AY$139, LS_current!V$149, FALSE), VLOOKUP($A113, LS_current!$B$4:$AY$139,LS_current!V$149, FALSE))/2)</f>
        <v>-3200.6510250462452</v>
      </c>
      <c r="CG113" s="382">
        <f t="array" ref="CG113">IF($BI113=0, INDEX(LS_current!$D$4:$AY$139, MATCH('Staging Table'!$A113, LS_current!$B$4:$B$139, 0), MATCH(CG$4&amp;CG$5, LS_current!$D$2:$AY$2&amp;LS_current!$D$3:$AY$3, 0)),SUM(VLOOKUP($A113, LS_current!$B$4:$AY$139, LS_current!W$149, FALSE), VLOOKUP($A113, LS_current!$B$4:$AY$139,LS_current!W$149, FALSE))/2)</f>
        <v>2476.1720490404296</v>
      </c>
      <c r="CH113" s="382">
        <f t="array" ref="CH113">IF($BI113=0, INDEX(LS_current!$D$4:$AY$139, MATCH('Staging Table'!$A113, LS_current!$B$4:$B$139, 0), MATCH(CH$4&amp;CH$5, LS_current!$D$2:$AY$2&amp;LS_current!$D$3:$AY$3, 0)),SUM(VLOOKUP($A113, LS_current!$B$4:$AY$139, LS_current!X$149, FALSE), VLOOKUP($A113, LS_current!$B$4:$AY$139,LS_current!X$149, FALSE))/2)</f>
        <v>-5585.2335734146691</v>
      </c>
      <c r="CI113" s="382">
        <f t="array" ref="CI113">IF($BI113=0, INDEX(LS_current!$D$4:$AY$139, MATCH('Staging Table'!$A113, LS_current!$B$4:$B$139, 0), MATCH(CI$4&amp;CI$5, LS_current!$D$2:$AY$2&amp;LS_current!$D$3:$AY$3, 0)),SUM(VLOOKUP($A113, LS_current!$B$4:$AY$139, LS_current!Y$149, FALSE), VLOOKUP($A113, LS_current!$B$4:$AY$139,LS_current!Y$149, FALSE))/2)</f>
        <v>-1278.2147348941908</v>
      </c>
      <c r="CJ113" s="382">
        <f t="array" ref="CJ113">IF($BI113=0, INDEX(LS_current!$D$4:$AY$139, MATCH('Staging Table'!$A113, LS_current!$B$4:$B$139, 0), MATCH(CJ$4&amp;CJ$5, LS_current!$D$2:$AY$2&amp;LS_current!$D$3:$AY$3, 0)),SUM(VLOOKUP($A113, LS_current!$B$4:$AY$139, LS_current!Z$149, FALSE), VLOOKUP($A113, LS_current!$B$4:$AY$139,LS_current!Z$149, FALSE))/2)</f>
        <v>-6366.9910547442196</v>
      </c>
      <c r="CK113" s="382">
        <f t="array" ref="CK113">IF($BI113=0, INDEX(LS_current!$D$4:$AY$139, MATCH('Staging Table'!$A113, LS_current!$B$4:$B$139, 0), MATCH(CK$4&amp;CK$5, LS_current!$D$2:$AY$2&amp;LS_current!$D$3:$AY$3, 0)),SUM(VLOOKUP($A113, LS_current!$B$4:$AY$139, LS_current!AA$149, FALSE), VLOOKUP($A113, LS_current!$B$4:$AY$139,LS_current!AA$149, FALSE))/2)</f>
        <v>-812.29061824663586</v>
      </c>
      <c r="CL113" s="384">
        <f t="array" ref="CL113">INDEX(Demand_current!$D$4:$AY$138, MATCH($A113, Demand_current!$B$4:$B$138, 0), MATCH(CL$4&amp;CL$5,Demand_current!$D$2:$AY$2&amp;Demand_current!$D$3:$AY$3, 0))/1000</f>
        <v>8.7169711538461527</v>
      </c>
      <c r="CM113" s="384">
        <f t="array" ref="CM113">INDEX(Demand_current!$D$4:$AY$138, MATCH($A113, Demand_current!$B$4:$B$138, 0), MATCH(CM$4&amp;CM$5,Demand_current!$D$2:$AY$2&amp;Demand_current!$D$3:$AY$3, 0))/1000</f>
        <v>6.1253799999999963</v>
      </c>
      <c r="CN113" s="384">
        <f t="array" ref="CN113">INDEX(Demand_current!$D$4:$AY$138, MATCH($A113, Demand_current!$B$4:$B$138, 0), MATCH(CN$4&amp;CN$5,Demand_current!$D$2:$AY$2&amp;Demand_current!$D$3:$AY$3, 0))/1000</f>
        <v>21.211299999999991</v>
      </c>
      <c r="CO113" s="384">
        <f t="array" ref="CO113">INDEX(Demand_current!$D$4:$AY$138, MATCH($A113, Demand_current!$B$4:$B$138, 0), MATCH(CO$4&amp;CO$5,Demand_current!$D$2:$AY$2&amp;Demand_current!$D$3:$AY$3, 0))/1000</f>
        <v>17.117612980769234</v>
      </c>
      <c r="CP113" s="384">
        <f t="array" ref="CP113">INDEX(Demand_current!$D$4:$AY$138, MATCH($A113, Demand_current!$B$4:$B$138, 0), MATCH(CP$4&amp;CP$5,Demand_current!$D$2:$AY$2&amp;Demand_current!$D$3:$AY$3, 0))/1000</f>
        <v>7.8490390625000188</v>
      </c>
      <c r="CQ113" s="384">
        <f t="array" ref="CQ113">INDEX(Demand_current!$D$4:$AY$138, MATCH($A113, Demand_current!$B$4:$B$138, 0), MATCH(CQ$4&amp;CQ$5,Demand_current!$D$2:$AY$2&amp;Demand_current!$D$3:$AY$3, 0))/1000</f>
        <v>15.107518518518503</v>
      </c>
      <c r="CR113" s="384">
        <f t="array" ref="CR113">INDEX(Demand_current!$D$4:$AY$138, MATCH($A113, Demand_current!$B$4:$B$138, 0), MATCH(CR$4&amp;CR$5,Demand_current!$D$2:$AY$2&amp;Demand_current!$D$3:$AY$3, 0))/1000</f>
        <v>11.119060000000001</v>
      </c>
      <c r="CS113" s="384">
        <f t="array" ref="CS113">INDEX(Demand_current!$D$4:$AY$138, MATCH($A113, Demand_current!$B$4:$B$138, 0), MATCH(CS$4&amp;CS$5,Demand_current!$D$2:$AY$2&amp;Demand_current!$D$3:$AY$3, 0))/1000</f>
        <v>0</v>
      </c>
      <c r="CT113" s="384">
        <f t="array" ref="CT113">INDEX(Demand_current!$D$4:$AY$138, MATCH($A113, Demand_current!$B$4:$B$138, 0), MATCH(CT$4&amp;CT$5,Demand_current!$D$2:$AY$2&amp;Demand_current!$D$3:$AY$3, 0))/1000</f>
        <v>7.9428124999999898</v>
      </c>
      <c r="CU113" s="384">
        <f t="array" ref="CU113">INDEX(Demand_current!$D$4:$AY$138, MATCH($A113, Demand_current!$B$4:$B$138, 0), MATCH(CU$4&amp;CU$5,Demand_current!$D$2:$AY$2&amp;Demand_current!$D$3:$AY$3, 0))/1000</f>
        <v>6.1377224999999918</v>
      </c>
      <c r="CV113" s="384">
        <f t="array" ref="CV113">INDEX(Demand_current!$D$4:$AY$138, MATCH($A113, Demand_current!$B$4:$B$138, 0), MATCH(CV$4&amp;CV$5,Demand_current!$D$2:$AY$2&amp;Demand_current!$D$3:$AY$3, 0))/1000</f>
        <v>13.059356481481485</v>
      </c>
      <c r="CW113" s="384">
        <f t="array" ref="CW113">INDEX(Demand_current!$D$4:$AY$138, MATCH($A113, Demand_current!$B$4:$B$138, 0), MATCH(CW$4&amp;CW$5,Demand_current!$D$2:$AY$2&amp;Demand_current!$D$3:$AY$3, 0))/1000</f>
        <v>14.237770833333322</v>
      </c>
      <c r="CX113" s="384">
        <f>IF(D113=0,IF(C113=0,MAX(0,DA113 - (VLOOKUP($A113,TOCA_current!$A$2:$AI$137,MATCH("RHWM 2018",TOCA_current!$A$2:$AI$2,0),FALSE)*$BH$2)), 0),0)</f>
        <v>0</v>
      </c>
      <c r="CY113" s="427">
        <f>VLOOKUP($A113,REP_current!$A$1:$D$135,MATCH("FY "&amp;$BH$1&amp; " Total Refund",REP_current!$A$1:$D$1,0),0)</f>
        <v>1029859.1874471301</v>
      </c>
      <c r="CZ113" s="432">
        <f>MIN(VLOOKUP($A113,TOCA_current!$A$2:$AI$137,MATCH("TRL - NLSL - Existing Resource "&amp;$BH$1,TOCA_current!$A$2:$AI$2,0),FALSE)*$BH$2, VLOOKUP($A113,TOCA_current!$A$2:$AI$137,MATCH("RHWM 2018",TOCA_current!$A$2:$AI$2,0),FALSE)*$BH$2)</f>
        <v>826838.88</v>
      </c>
      <c r="DA113" s="397">
        <f>SUM(BN113:CK113)+(BH113*RT1SC!$C$4*$BH$2)</f>
        <v>826835.59406287584</v>
      </c>
      <c r="DB113" s="432">
        <f>VLOOKUP($A113,TOCA_current!$A$2:$AI$137,MATCH("Above RHWM Not Served with LS "&amp;$BH$1,TOCA_current!$A$2:$AI$2,0),FALSE)*$BH$2</f>
        <v>0</v>
      </c>
      <c r="DC113" s="401">
        <f t="shared" si="27"/>
        <v>-3.285937124164775</v>
      </c>
      <c r="DD113" s="397">
        <f>(VLOOKUP($A113,TOCA_current!$A$2:$AI$137,MATCH("RHWM 2018",TOCA_current!$A$2:$AI$2,0),FALSE)*$BH$2) - $CZ113</f>
        <v>41180.760000000009</v>
      </c>
      <c r="DE113" s="397">
        <f t="shared" si="28"/>
        <v>0</v>
      </c>
      <c r="DF113" s="397">
        <f t="shared" si="29"/>
        <v>3.285937124164775</v>
      </c>
      <c r="DG113" s="397">
        <f t="shared" si="30"/>
        <v>0</v>
      </c>
      <c r="DH113" s="397">
        <f t="shared" si="31"/>
        <v>3.285937124164775</v>
      </c>
    </row>
    <row r="114" spans="1:112">
      <c r="A114" s="274">
        <v>10369</v>
      </c>
      <c r="B114" s="275" t="s">
        <v>115</v>
      </c>
      <c r="C114" s="397">
        <v>0</v>
      </c>
      <c r="D114" s="397">
        <v>0</v>
      </c>
      <c r="E114" s="205">
        <f>VLOOKUP($A114,TOCA_previous!$A$2:$AI$137,MATCH(E$4,TOCA_previous!$A$2:$AI$2,0),FALSE)</f>
        <v>2.3159999999999999E-3</v>
      </c>
      <c r="F114" s="206">
        <f>VLOOKUP($A114,TOCA_previous!$A$2:$AI$137,MATCH(F$4,TOCA_previous!$A$2:$AI$2,0),FALSE)</f>
        <v>2.3159999999999999E-3</v>
      </c>
      <c r="G114" s="206">
        <f t="shared" si="16"/>
        <v>0</v>
      </c>
      <c r="H114" s="206">
        <f>VLOOKUP($A114,TOCA_previous!$A$2:$AI$137,MATCH(H$4,TOCA_previous!$A$2:$AI$2,0),FALSE)</f>
        <v>7.0000000000000007E-2</v>
      </c>
      <c r="I114" s="206">
        <f t="shared" si="17"/>
        <v>0</v>
      </c>
      <c r="J114" s="206">
        <f t="shared" si="18"/>
        <v>0</v>
      </c>
      <c r="K114" s="381">
        <f>VLOOKUP(A114, IRD!$A$5:$C$139, 3, FALSE)</f>
        <v>46210.901000000005</v>
      </c>
      <c r="L114" s="382">
        <f t="array" ref="L114">IF($G114=0, INDEX(LS_previous!$D$4:$AY$138, MATCH('Staging Table'!$A114, LS_previous!$B$4:$B$138, 0), MATCH(L$4&amp;L$5, LS_previous!$D$2:$AY$2&amp;LS_previous!$D$3:$AY$3, 0)),SUM(VLOOKUP($A114, LS_previous!$B$4:$AY$138, LS_previous!D$149, FALSE), VLOOKUP('Staging Table'!$A114, LS_previous!$B$4:$AY$138,LS_previous!AB$149, FALSE))/2)</f>
        <v>-1774.1256964746062</v>
      </c>
      <c r="M114" s="382">
        <f t="array" ref="M114">IF($G114=0, INDEX(LS_previous!$D$4:$AY$138, MATCH('Staging Table'!$A114, LS_previous!$B$4:$B$138, 0), MATCH(M$4&amp;M$5, LS_previous!$D$2:$AY$2&amp;LS_previous!$D$3:$AY$3, 0)),SUM(VLOOKUP($A114, LS_previous!$B$4:$AY$138, LS_previous!E$149, FALSE), VLOOKUP('Staging Table'!$A114, LS_previous!$B$4:$AY$138,LS_previous!AC$149, FALSE))/2)</f>
        <v>-450.98458477317399</v>
      </c>
      <c r="N114" s="382">
        <f t="array" ref="N114">IF($G114=0, INDEX(LS_previous!$D$4:$AY$138, MATCH('Staging Table'!$A114, LS_previous!$B$4:$B$138, 0), MATCH(N$4&amp;N$5, LS_previous!$D$2:$AY$2&amp;LS_previous!$D$3:$AY$3, 0)),SUM(VLOOKUP($A114, LS_previous!$B$4:$AY$138, LS_previous!F$149, FALSE), VLOOKUP('Staging Table'!$A114, LS_previous!$B$4:$AY$138,LS_previous!AD$149, FALSE))/2)</f>
        <v>-3727.4007879676637</v>
      </c>
      <c r="O114" s="382">
        <f t="array" ref="O114">IF($G114=0, INDEX(LS_previous!$D$4:$AY$138, MATCH('Staging Table'!$A114, LS_previous!$B$4:$B$138, 0), MATCH(O$4&amp;O$5, LS_previous!$D$2:$AY$2&amp;LS_previous!$D$3:$AY$3, 0)),SUM(VLOOKUP($A114, LS_previous!$B$4:$AY$138, LS_previous!G$149, FALSE), VLOOKUP('Staging Table'!$A114, LS_previous!$B$4:$AY$138,LS_previous!AE$149, FALSE))/2)</f>
        <v>-1729.9464748663695</v>
      </c>
      <c r="P114" s="382">
        <f t="array" ref="P114">IF($G114=0, INDEX(LS_previous!$D$4:$AY$138, MATCH('Staging Table'!$A114, LS_previous!$B$4:$B$138, 0), MATCH(P$4&amp;P$5, LS_previous!$D$2:$AY$2&amp;LS_previous!$D$3:$AY$3, 0)),SUM(VLOOKUP($A114, LS_previous!$B$4:$AY$138, LS_previous!H$149, FALSE), VLOOKUP('Staging Table'!$A114, LS_previous!$B$4:$AY$138,LS_previous!AF$149, FALSE))/2)</f>
        <v>-2566.7295525267391</v>
      </c>
      <c r="Q114" s="382">
        <f t="array" ref="Q114">IF($G114=0, INDEX(LS_previous!$D$4:$AY$138, MATCH('Staging Table'!$A114, LS_previous!$B$4:$B$138, 0), MATCH(Q$4&amp;Q$5, LS_previous!$D$2:$AY$2&amp;LS_previous!$D$3:$AY$3, 0)),SUM(VLOOKUP($A114, LS_previous!$B$4:$AY$138, LS_previous!I$149, FALSE), VLOOKUP('Staging Table'!$A114, LS_previous!$B$4:$AY$138,LS_previous!AG$149, FALSE))/2)</f>
        <v>-765.69457970607436</v>
      </c>
      <c r="R114" s="382">
        <f t="array" ref="R114">IF($G114=0, INDEX(LS_previous!$D$4:$AY$138, MATCH('Staging Table'!$A114, LS_previous!$B$4:$B$138, 0), MATCH(R$4&amp;R$5, LS_previous!$D$2:$AY$2&amp;LS_previous!$D$3:$AY$3, 0)),SUM(VLOOKUP($A114, LS_previous!$B$4:$AY$138, LS_previous!J$149, FALSE), VLOOKUP('Staging Table'!$A114, LS_previous!$B$4:$AY$138,LS_previous!AH$149, FALSE))/2)</f>
        <v>-1243.2770987770928</v>
      </c>
      <c r="S114" s="382">
        <f t="array" ref="S114">IF($G114=0, INDEX(LS_previous!$D$4:$AY$138, MATCH('Staging Table'!$A114, LS_previous!$B$4:$B$138, 0), MATCH(S$4&amp;S$5, LS_previous!$D$2:$AY$2&amp;LS_previous!$D$3:$AY$3, 0)),SUM(VLOOKUP($A114, LS_previous!$B$4:$AY$138, LS_previous!K$149, FALSE), VLOOKUP('Staging Table'!$A114, LS_previous!$B$4:$AY$138,LS_previous!AI$149, FALSE))/2)</f>
        <v>-225.26892917363739</v>
      </c>
      <c r="T114" s="382">
        <f t="array" ref="T114">IF($G114=0, INDEX(LS_previous!$D$4:$AY$138, MATCH('Staging Table'!$A114, LS_previous!$B$4:$B$138, 0), MATCH(T$4&amp;T$5, LS_previous!$D$2:$AY$2&amp;LS_previous!$D$3:$AY$3, 0)),SUM(VLOOKUP($A114, LS_previous!$B$4:$AY$138, LS_previous!L$149, FALSE), VLOOKUP('Staging Table'!$A114, LS_previous!$B$4:$AY$138,LS_previous!AJ$149, FALSE))/2)</f>
        <v>-1740.9346409720747</v>
      </c>
      <c r="U114" s="382">
        <f t="array" ref="U114">IF($G114=0, INDEX(LS_previous!$D$4:$AY$138, MATCH('Staging Table'!$A114, LS_previous!$B$4:$B$138, 0), MATCH(U$4&amp;U$5, LS_previous!$D$2:$AY$2&amp;LS_previous!$D$3:$AY$3, 0)),SUM(VLOOKUP($A114, LS_previous!$B$4:$AY$138, LS_previous!M$149, FALSE), VLOOKUP('Staging Table'!$A114, LS_previous!$B$4:$AY$138,LS_previous!AK$149, FALSE))/2)</f>
        <v>-645.49744779648609</v>
      </c>
      <c r="V114" s="382">
        <f t="array" ref="V114">IF($G114=0, INDEX(LS_previous!$D$4:$AY$138, MATCH('Staging Table'!$A114, LS_previous!$B$4:$B$138, 0), MATCH(V$4&amp;V$5, LS_previous!$D$2:$AY$2&amp;LS_previous!$D$3:$AY$3, 0)),SUM(VLOOKUP($A114, LS_previous!$B$4:$AY$138, LS_previous!N$149, FALSE), VLOOKUP('Staging Table'!$A114, LS_previous!$B$4:$AY$138,LS_previous!AL$149, FALSE))/2)</f>
        <v>-2605.3865655962154</v>
      </c>
      <c r="W114" s="382">
        <f t="array" ref="W114">IF($G114=0, INDEX(LS_previous!$D$4:$AY$138, MATCH('Staging Table'!$A114, LS_previous!$B$4:$B$138, 0), MATCH(W$4&amp;W$5, LS_previous!$D$2:$AY$2&amp;LS_previous!$D$3:$AY$3, 0)),SUM(VLOOKUP($A114, LS_previous!$B$4:$AY$138, LS_previous!O$149, FALSE), VLOOKUP('Staging Table'!$A114, LS_previous!$B$4:$AY$138,LS_previous!AM$149, FALSE))/2)</f>
        <v>-1366.4545533297219</v>
      </c>
      <c r="X114" s="382">
        <f t="array" ref="X114">IF($G114=0, INDEX(LS_previous!$D$4:$AY$138, MATCH('Staging Table'!$A114, LS_previous!$B$4:$B$138, 0), MATCH(X$4&amp;X$5, LS_previous!$D$2:$AY$2&amp;LS_previous!$D$3:$AY$3, 0)),SUM(VLOOKUP($A114, LS_previous!$B$4:$AY$138, LS_previous!P$149, FALSE), VLOOKUP('Staging Table'!$A114, LS_previous!$B$4:$AY$138,LS_previous!AN$149, FALSE))/2)</f>
        <v>-218.67655717776324</v>
      </c>
      <c r="Y114" s="382">
        <f t="array" ref="Y114">IF($G114=0, INDEX(LS_previous!$D$4:$AY$138, MATCH('Staging Table'!$A114, LS_previous!$B$4:$B$138, 0), MATCH(Y$4&amp;Y$5, LS_previous!$D$2:$AY$2&amp;LS_previous!$D$3:$AY$3, 0)),SUM(VLOOKUP($A114, LS_previous!$B$4:$AY$138, LS_previous!Q$149, FALSE), VLOOKUP('Staging Table'!$A114, LS_previous!$B$4:$AY$138,LS_previous!AO$149, FALSE))/2)</f>
        <v>430.29100356688014</v>
      </c>
      <c r="Z114" s="382">
        <f t="array" ref="Z114">IF($G114=0, INDEX(LS_previous!$D$4:$AY$138, MATCH('Staging Table'!$A114, LS_previous!$B$4:$B$138, 0), MATCH(Z$4&amp;Z$5, LS_previous!$D$2:$AY$2&amp;LS_previous!$D$3:$AY$3, 0)),SUM(VLOOKUP($A114, LS_previous!$B$4:$AY$138, LS_previous!R$149, FALSE), VLOOKUP('Staging Table'!$A114, LS_previous!$B$4:$AY$138,LS_previous!AP$149, FALSE))/2)</f>
        <v>-466.31917338219318</v>
      </c>
      <c r="AA114" s="382">
        <f t="array" ref="AA114">IF($G114=0, INDEX(LS_previous!$D$4:$AY$138, MATCH('Staging Table'!$A114, LS_previous!$B$4:$B$138, 0), MATCH(AA$4&amp;AA$5, LS_previous!$D$2:$AY$2&amp;LS_previous!$D$3:$AY$3, 0)),SUM(VLOOKUP($A114, LS_previous!$B$4:$AY$138, LS_previous!S$149, FALSE), VLOOKUP('Staging Table'!$A114, LS_previous!$B$4:$AY$138,LS_previous!AQ$149, FALSE))/2)</f>
        <v>1222.7747508520279</v>
      </c>
      <c r="AB114" s="382">
        <f t="array" ref="AB114">IF($G114=0, INDEX(LS_previous!$D$4:$AY$138, MATCH('Staging Table'!$A114, LS_previous!$B$4:$B$138, 0), MATCH(AB$4&amp;AB$5, LS_previous!$D$2:$AY$2&amp;LS_previous!$D$3:$AY$3, 0)),SUM(VLOOKUP($A114, LS_previous!$B$4:$AY$138, LS_previous!T$149, FALSE), VLOOKUP('Staging Table'!$A114, LS_previous!$B$4:$AY$138,LS_previous!AR$149, FALSE))/2)</f>
        <v>3804.9609469705692</v>
      </c>
      <c r="AC114" s="382">
        <f t="array" ref="AC114">IF($G114=0, INDEX(LS_previous!$D$4:$AY$138, MATCH('Staging Table'!$A114, LS_previous!$B$4:$B$138, 0), MATCH(AC$4&amp;AC$5, LS_previous!$D$2:$AY$2&amp;LS_previous!$D$3:$AY$3, 0)),SUM(VLOOKUP($A114, LS_previous!$B$4:$AY$138, LS_previous!U$149, FALSE), VLOOKUP('Staging Table'!$A114, LS_previous!$B$4:$AY$138,LS_previous!AS$149, FALSE))/2)</f>
        <v>3208.5461142082604</v>
      </c>
      <c r="AD114" s="382">
        <f t="array" ref="AD114">IF($G114=0, INDEX(LS_previous!$D$4:$AY$138, MATCH('Staging Table'!$A114, LS_previous!$B$4:$B$138, 0), MATCH(AD$4&amp;AD$5, LS_previous!$D$2:$AY$2&amp;LS_previous!$D$3:$AY$3, 0)),SUM(VLOOKUP($A114, LS_previous!$B$4:$AY$138, LS_previous!V$149, FALSE), VLOOKUP('Staging Table'!$A114, LS_previous!$B$4:$AY$138,LS_previous!AT$149, FALSE))/2)</f>
        <v>5370.4350502290299</v>
      </c>
      <c r="AE114" s="382">
        <f t="array" ref="AE114">IF($G114=0, INDEX(LS_previous!$D$4:$AY$138, MATCH('Staging Table'!$A114, LS_previous!$B$4:$B$138, 0), MATCH(AE$4&amp;AE$5, LS_previous!$D$2:$AY$2&amp;LS_previous!$D$3:$AY$3, 0)),SUM(VLOOKUP($A114, LS_previous!$B$4:$AY$138, LS_previous!W$149, FALSE), VLOOKUP('Staging Table'!$A114, LS_previous!$B$4:$AY$138,LS_previous!AU$149, FALSE))/2)</f>
        <v>6128.4848391115993</v>
      </c>
      <c r="AF114" s="382">
        <f t="array" ref="AF114">IF($G114=0, INDEX(LS_previous!$D$4:$AY$138, MATCH('Staging Table'!$A114, LS_previous!$B$4:$B$138, 0), MATCH(AF$4&amp;AF$5, LS_previous!$D$2:$AY$2&amp;LS_previous!$D$3:$AY$3, 0)),SUM(VLOOKUP($A114, LS_previous!$B$4:$AY$138, LS_previous!X$149, FALSE), VLOOKUP('Staging Table'!$A114, LS_previous!$B$4:$AY$138,LS_previous!AV$149, FALSE))/2)</f>
        <v>5444.7219514009794</v>
      </c>
      <c r="AG114" s="382">
        <f t="array" ref="AG114">IF($G114=0, INDEX(LS_previous!$D$4:$AY$138, MATCH('Staging Table'!$A114, LS_previous!$B$4:$B$138, 0), MATCH(AG$4&amp;AG$5, LS_previous!$D$2:$AY$2&amp;LS_previous!$D$3:$AY$3, 0)),SUM(VLOOKUP($A114, LS_previous!$B$4:$AY$138, LS_previous!Y$149, FALSE), VLOOKUP('Staging Table'!$A114, LS_previous!$B$4:$AY$138,LS_previous!AW$149, FALSE))/2)</f>
        <v>4788.5128185174171</v>
      </c>
      <c r="AH114" s="382">
        <f t="array" ref="AH114">IF($G114=0, INDEX(LS_previous!$D$4:$AY$138, MATCH('Staging Table'!$A114, LS_previous!$B$4:$B$138, 0), MATCH(AH$4&amp;AH$5, LS_previous!$D$2:$AY$2&amp;LS_previous!$D$3:$AY$3, 0)),SUM(VLOOKUP($A114, LS_previous!$B$4:$AY$138, LS_previous!Z$149, FALSE), VLOOKUP('Staging Table'!$A114, LS_previous!$B$4:$AY$138,LS_previous!AX$149, FALSE))/2)</f>
        <v>2259.7971280419224</v>
      </c>
      <c r="AI114" s="382">
        <f t="array" ref="AI114">IF($G114=0, INDEX(LS_previous!$D$4:$AY$138, MATCH('Staging Table'!$A114, LS_previous!$B$4:$B$138, 0), MATCH(AI$4&amp;AI$5, LS_previous!$D$2:$AY$2&amp;LS_previous!$D$3:$AY$3, 0)),SUM(VLOOKUP($A114, LS_previous!$B$4:$AY$138, LS_previous!AA$149, FALSE), VLOOKUP('Staging Table'!$A114, LS_previous!$B$4:$AY$138,LS_previous!AY$149, FALSE))/2)</f>
        <v>2836.0978037689561</v>
      </c>
      <c r="AJ114" s="384">
        <f t="array" ref="AJ114">INDEX(Demand_previous!$D$4:$AY$138, MATCH('Staging Table'!$A114, Demand_previous!$B$4:$B$138, 0), MATCH(AJ$4&amp;AJ$5,Demand_previous!$D$2:$AY$2&amp;Demand_previous!$D$3:$AY$3, 0))/1000</f>
        <v>3.4666064814814819</v>
      </c>
      <c r="AK114" s="384">
        <f t="array" ref="AK114">INDEX(Demand_previous!$D$4:$AY$138, MATCH('Staging Table'!$A114, Demand_previous!$B$4:$B$138, 0), MATCH(AK$4&amp;AK$5,Demand_previous!$D$2:$AY$2&amp;Demand_previous!$D$3:$AY$3, 0))/1000</f>
        <v>0.29996093749999897</v>
      </c>
      <c r="AL114" s="384">
        <f t="array" ref="AL114">INDEX(Demand_previous!$D$4:$AY$138, MATCH('Staging Table'!$A114, Demand_previous!$B$4:$B$138, 0), MATCH(AL$4&amp;AL$5,Demand_previous!$D$2:$AY$2&amp;Demand_previous!$D$3:$AY$3, 0))/1000</f>
        <v>3.0761490384615398</v>
      </c>
      <c r="AM114" s="384">
        <f t="array" ref="AM114">INDEX(Demand_previous!$D$4:$AY$138, MATCH('Staging Table'!$A114, Demand_previous!$B$4:$B$138, 0), MATCH(AM$4&amp;AM$5,Demand_previous!$D$2:$AY$2&amp;Demand_previous!$D$3:$AY$3, 0))/1000</f>
        <v>1.8369475000000004</v>
      </c>
      <c r="AN114" s="384">
        <f t="array" ref="AN114">INDEX(Demand_previous!$D$4:$AY$138, MATCH('Staging Table'!$A114, Demand_previous!$B$4:$B$138, 0), MATCH(AN$4&amp;AN$5,Demand_previous!$D$2:$AY$2&amp;Demand_previous!$D$3:$AY$3, 0))/1000</f>
        <v>1.8913450000000003</v>
      </c>
      <c r="AO114" s="384">
        <f t="array" ref="AO114">INDEX(Demand_previous!$D$4:$AY$138, MATCH('Staging Table'!$A114, Demand_previous!$B$4:$B$138, 0), MATCH(AO$4&amp;AO$5,Demand_previous!$D$2:$AY$2&amp;Demand_previous!$D$3:$AY$3, 0))/1000</f>
        <v>1.8596944444444419</v>
      </c>
      <c r="AP114" s="384">
        <f t="array" ref="AP114">INDEX(Demand_previous!$D$4:$AY$138, MATCH('Staging Table'!$A114, Demand_previous!$B$4:$B$138, 0), MATCH(AP$4&amp;AP$5,Demand_previous!$D$2:$AY$2&amp;Demand_previous!$D$3:$AY$3, 0))/1000</f>
        <v>6.8060408653846123</v>
      </c>
      <c r="AQ114" s="384">
        <f t="array" ref="AQ114">INDEX(Demand_previous!$D$4:$AY$138, MATCH('Staging Table'!$A114, Demand_previous!$B$4:$B$138, 0), MATCH(AQ$4&amp;AQ$5,Demand_previous!$D$2:$AY$2&amp;Demand_previous!$D$3:$AY$3, 0))/1000</f>
        <v>2.0482549999999966</v>
      </c>
      <c r="AR114" s="384">
        <f t="array" ref="AR114">INDEX(Demand_previous!$D$4:$AY$138, MATCH('Staging Table'!$A114, Demand_previous!$B$4:$B$138, 0), MATCH(AR$4&amp;AR$5,Demand_previous!$D$2:$AY$2&amp;Demand_previous!$D$3:$AY$3, 0))/1000</f>
        <v>3.7825384615384658</v>
      </c>
      <c r="AS114" s="384">
        <f t="array" ref="AS114">INDEX(Demand_previous!$D$4:$AY$138, MATCH('Staging Table'!$A114, Demand_previous!$B$4:$B$138, 0), MATCH(AS$4&amp;AS$5,Demand_previous!$D$2:$AY$2&amp;Demand_previous!$D$3:$AY$3, 0))/1000</f>
        <v>4.7505474999999997</v>
      </c>
      <c r="AT114" s="384">
        <f t="array" ref="AT114">INDEX(Demand_previous!$D$4:$AY$138, MATCH('Staging Table'!$A114, Demand_previous!$B$4:$B$138, 0), MATCH(AT$4&amp;AT$5,Demand_previous!$D$2:$AY$2&amp;Demand_previous!$D$3:$AY$3, 0))/1000</f>
        <v>4.2515000000000018</v>
      </c>
      <c r="AU114" s="384">
        <f t="array" ref="AU114">INDEX(Demand_previous!$D$4:$AY$138, MATCH('Staging Table'!$A114, Demand_previous!$B$4:$B$138, 0), MATCH(AU$4&amp;AU$5,Demand_previous!$D$2:$AY$2&amp;Demand_previous!$D$3:$AY$3, 0))/1000</f>
        <v>2.5397200000000018</v>
      </c>
      <c r="AV114" s="384">
        <f>IF($D114=0,IF(C114=0, MAX(AY114 - (VLOOKUP($A114,TOCA_previous!$A$2:$AI$137,MATCH("RHWM 2016",TOCA_previous!$A$2:$AI$2,0),FALSE)*$F$2*TOCA_previous!C111),0),0), 0)</f>
        <v>15096.771334387828</v>
      </c>
      <c r="AW114" s="427">
        <f>VLOOKUP($A114,REP_previous!$A$1:$D$135,MATCH("FY "&amp;$F$1&amp; " Total Refund",REP_previous!$A$1:$D$1,0),0)</f>
        <v>172242.5806939849</v>
      </c>
      <c r="AX114" s="398">
        <f>MIN(VLOOKUP($A114,TOCA_previous!$A$2:$AI$137,MATCH("TRL - NLSL - Exisiting Resource "&amp;$F$1,TOCA_previous!$A$2:$AI$2,0),FALSE)*$F$2,(VLOOKUP($A114,TOCA_previous!$A$2:$AI$137,MATCH("RHWM 2016",TOCA_previous!$A$2:$AI$2,0),FALSE)*$F$2))</f>
        <v>142063.63199999998</v>
      </c>
      <c r="AY114" s="384">
        <f>SUM(L114:AI114)+(F114*RT1SC!$C$3*$F$2)</f>
        <v>158030.01933438782</v>
      </c>
      <c r="AZ114" s="398">
        <f>VLOOKUP($A114,TOCA_previous!$A$2:$AI$137,MATCH("Above RHWM Not Served with LS "&amp;$F$1,TOCA_previous!$A$2:$AI$2,0),FALSE)*$F$2</f>
        <v>0</v>
      </c>
      <c r="BA114" s="206">
        <f t="shared" si="19"/>
        <v>15966.387334387837</v>
      </c>
      <c r="BB114" s="399">
        <f>(VLOOKUP($A114,TOCA_previous!$A$2:$AI$137,MATCH("RHWM 2016",TOCA_previous!$A$2:$AI$2,0),FALSE)*$F$2) - $AX114</f>
        <v>869.61600000000908</v>
      </c>
      <c r="BC114" s="206">
        <f t="shared" si="20"/>
        <v>-869.61600000000908</v>
      </c>
      <c r="BD114" s="400">
        <f t="shared" si="21"/>
        <v>0</v>
      </c>
      <c r="BE114" s="392">
        <f t="shared" si="22"/>
        <v>0</v>
      </c>
      <c r="BF114" s="399">
        <f t="shared" si="23"/>
        <v>-869.61600000000908</v>
      </c>
      <c r="BG114" s="206">
        <f>VLOOKUP($A114,TOCA_current!$A$2:$AI$137,MATCH(BG$4,TOCA_current!$A$2:$AI$2,0),FALSE)</f>
        <v>2.3281E-3</v>
      </c>
      <c r="BH114" s="206">
        <f>VLOOKUP($A114,TOCA_current!$A$2:$AI$137,MATCH(BH$4,TOCA_current!$A$2:$AI$2,0),FALSE)</f>
        <v>2.3281E-3</v>
      </c>
      <c r="BI114" s="391">
        <f t="shared" si="24"/>
        <v>0</v>
      </c>
      <c r="BJ114" s="206">
        <f>VLOOKUP($A114,TOCA_current!A110:BG245,MATCH(BJ$4,TOCA_current!$A$2:$BG$2,0),FALSE)</f>
        <v>7.3060984661058884E-2</v>
      </c>
      <c r="BK114" s="206">
        <f t="shared" si="25"/>
        <v>0</v>
      </c>
      <c r="BL114" s="206">
        <f t="shared" si="26"/>
        <v>0</v>
      </c>
      <c r="BM114" s="381">
        <f>VLOOKUP($A114,IRD!$A$4:$G$139, 7, FALSE)</f>
        <v>46210.901000000005</v>
      </c>
      <c r="BN114" s="382">
        <f t="array" ref="BN114">IF($BI114=0, INDEX(LS_current!$D$4:$AY$139, MATCH('Staging Table'!$A114, LS_current!$B$4:$B$139, 0), MATCH(BN$4&amp;BN$5, LS_current!$D$2:$AY$2&amp;LS_current!$D$3:$AY$3, 0)),SUM(VLOOKUP($A114, LS_current!$B$4:$AY$139, LS_current!D$149, FALSE), VLOOKUP($A114, LS_current!$B$4:$AY$139,LS_current!D$149, FALSE))/2)</f>
        <v>-1848.8384383911671</v>
      </c>
      <c r="BO114" s="382">
        <f t="array" ref="BO114">IF($BI114=0, INDEX(LS_current!$D$4:$AY$139, MATCH('Staging Table'!$A114, LS_current!$B$4:$B$139, 0), MATCH(BO$4&amp;BO$5, LS_current!$D$2:$AY$2&amp;LS_current!$D$3:$AY$3, 0)),SUM(VLOOKUP($A114, LS_current!$B$4:$AY$139, LS_current!E$149, FALSE), VLOOKUP($A114, LS_current!$B$4:$AY$139,LS_current!E$149, FALSE))/2)</f>
        <v>-264.74475622782847</v>
      </c>
      <c r="BP114" s="382">
        <f t="array" ref="BP114">IF($BI114=0, INDEX(LS_current!$D$4:$AY$139, MATCH('Staging Table'!$A114, LS_current!$B$4:$B$139, 0), MATCH(BP$4&amp;BP$5, LS_current!$D$2:$AY$2&amp;LS_current!$D$3:$AY$3, 0)),SUM(VLOOKUP($A114, LS_current!$B$4:$AY$139, LS_current!F$149, FALSE), VLOOKUP($A114, LS_current!$B$4:$AY$139,LS_current!F$149, FALSE))/2)</f>
        <v>-3944.5596685967494</v>
      </c>
      <c r="BQ114" s="382">
        <f t="array" ref="BQ114">IF($BI114=0, INDEX(LS_current!$D$4:$AY$139, MATCH('Staging Table'!$A114, LS_current!$B$4:$B$139, 0), MATCH(BQ$4&amp;BQ$5, LS_current!$D$2:$AY$2&amp;LS_current!$D$3:$AY$3, 0)),SUM(VLOOKUP($A114, LS_current!$B$4:$AY$139, LS_current!G$149, FALSE), VLOOKUP($A114, LS_current!$B$4:$AY$139,LS_current!G$149, FALSE))/2)</f>
        <v>-1710.7594936610858</v>
      </c>
      <c r="BR114" s="382">
        <f t="array" ref="BR114">IF($BI114=0, INDEX(LS_current!$D$4:$AY$139, MATCH('Staging Table'!$A114, LS_current!$B$4:$B$139, 0), MATCH(BR$4&amp;BR$5, LS_current!$D$2:$AY$2&amp;LS_current!$D$3:$AY$3, 0)),SUM(VLOOKUP($A114, LS_current!$B$4:$AY$139, LS_current!H$149, FALSE), VLOOKUP($A114, LS_current!$B$4:$AY$139,LS_current!H$149, FALSE))/2)</f>
        <v>-2876.0858587090079</v>
      </c>
      <c r="BS114" s="382">
        <f t="array" ref="BS114">IF($BI114=0, INDEX(LS_current!$D$4:$AY$139, MATCH('Staging Table'!$A114, LS_current!$B$4:$B$139, 0), MATCH(BS$4&amp;BS$5, LS_current!$D$2:$AY$2&amp;LS_current!$D$3:$AY$3, 0)),SUM(VLOOKUP($A114, LS_current!$B$4:$AY$139, LS_current!I$149, FALSE), VLOOKUP($A114, LS_current!$B$4:$AY$139,LS_current!I$149, FALSE))/2)</f>
        <v>-838.9471356627364</v>
      </c>
      <c r="BT114" s="382">
        <f t="array" ref="BT114">IF($BI114=0, INDEX(LS_current!$D$4:$AY$139, MATCH('Staging Table'!$A114, LS_current!$B$4:$B$139, 0), MATCH(BT$4&amp;BT$5, LS_current!$D$2:$AY$2&amp;LS_current!$D$3:$AY$3, 0)),SUM(VLOOKUP($A114, LS_current!$B$4:$AY$139, LS_current!J$149, FALSE), VLOOKUP($A114, LS_current!$B$4:$AY$139,LS_current!J$149, FALSE))/2)</f>
        <v>-1358.1260008313293</v>
      </c>
      <c r="BU114" s="382">
        <f t="array" ref="BU114">IF($BI114=0, INDEX(LS_current!$D$4:$AY$139, MATCH('Staging Table'!$A114, LS_current!$B$4:$B$139, 0), MATCH(BU$4&amp;BU$5, LS_current!$D$2:$AY$2&amp;LS_current!$D$3:$AY$3, 0)),SUM(VLOOKUP($A114, LS_current!$B$4:$AY$139, LS_current!K$149, FALSE), VLOOKUP($A114, LS_current!$B$4:$AY$139,LS_current!K$149, FALSE))/2)</f>
        <v>-264.63498806266716</v>
      </c>
      <c r="BV114" s="382">
        <f t="array" ref="BV114">IF($BI114=0, INDEX(LS_current!$D$4:$AY$139, MATCH('Staging Table'!$A114, LS_current!$B$4:$B$139, 0), MATCH(BV$4&amp;BV$5, LS_current!$D$2:$AY$2&amp;LS_current!$D$3:$AY$3, 0)),SUM(VLOOKUP($A114, LS_current!$B$4:$AY$139, LS_current!L$149, FALSE), VLOOKUP($A114, LS_current!$B$4:$AY$139,LS_current!L$149, FALSE))/2)</f>
        <v>-1290.6444424369338</v>
      </c>
      <c r="BW114" s="382">
        <f t="array" ref="BW114">IF($BI114=0, INDEX(LS_current!$D$4:$AY$139, MATCH('Staging Table'!$A114, LS_current!$B$4:$B$139, 0), MATCH(BW$4&amp;BW$5, LS_current!$D$2:$AY$2&amp;LS_current!$D$3:$AY$3, 0)),SUM(VLOOKUP($A114, LS_current!$B$4:$AY$139, LS_current!M$149, FALSE), VLOOKUP($A114, LS_current!$B$4:$AY$139,LS_current!M$149, FALSE))/2)</f>
        <v>-284.96506342689236</v>
      </c>
      <c r="BX114" s="382">
        <f t="array" ref="BX114">IF($BI114=0, INDEX(LS_current!$D$4:$AY$139, MATCH('Staging Table'!$A114, LS_current!$B$4:$B$139, 0), MATCH(BX$4&amp;BX$5, LS_current!$D$2:$AY$2&amp;LS_current!$D$3:$AY$3, 0)),SUM(VLOOKUP($A114, LS_current!$B$4:$AY$139, LS_current!N$149, FALSE), VLOOKUP($A114, LS_current!$B$4:$AY$139,LS_current!N$149, FALSE))/2)</f>
        <v>-2267.5503496732572</v>
      </c>
      <c r="BY114" s="382">
        <f t="array" ref="BY114">IF($BI114=0, INDEX(LS_current!$D$4:$AY$139, MATCH('Staging Table'!$A114, LS_current!$B$4:$B$139, 0), MATCH(BY$4&amp;BY$5, LS_current!$D$2:$AY$2&amp;LS_current!$D$3:$AY$3, 0)),SUM(VLOOKUP($A114, LS_current!$B$4:$AY$139, LS_current!O$149, FALSE), VLOOKUP($A114, LS_current!$B$4:$AY$139,LS_current!O$149, FALSE))/2)</f>
        <v>-969.25513031781929</v>
      </c>
      <c r="BZ114" s="382">
        <f t="array" ref="BZ114">IF($BI114=0, INDEX(LS_current!$D$4:$AY$139, MATCH('Staging Table'!$A114, LS_current!$B$4:$B$139, 0), MATCH(BZ$4&amp;BZ$5, LS_current!$D$2:$AY$2&amp;LS_current!$D$3:$AY$3, 0)),SUM(VLOOKUP($A114, LS_current!$B$4:$AY$139, LS_current!P$149, FALSE), VLOOKUP($A114, LS_current!$B$4:$AY$139,LS_current!P$149, FALSE))/2)</f>
        <v>-958.43775730532252</v>
      </c>
      <c r="CA114" s="382">
        <f t="array" ref="CA114">IF($BI114=0, INDEX(LS_current!$D$4:$AY$139, MATCH('Staging Table'!$A114, LS_current!$B$4:$B$139, 0), MATCH(CA$4&amp;CA$5, LS_current!$D$2:$AY$2&amp;LS_current!$D$3:$AY$3, 0)),SUM(VLOOKUP($A114, LS_current!$B$4:$AY$139, LS_current!Q$149, FALSE), VLOOKUP($A114, LS_current!$B$4:$AY$139,LS_current!Q$149, FALSE))/2)</f>
        <v>359.71563893078883</v>
      </c>
      <c r="CB114" s="382">
        <f t="array" ref="CB114">IF($BI114=0, INDEX(LS_current!$D$4:$AY$139, MATCH('Staging Table'!$A114, LS_current!$B$4:$B$139, 0), MATCH(CB$4&amp;CB$5, LS_current!$D$2:$AY$2&amp;LS_current!$D$3:$AY$3, 0)),SUM(VLOOKUP($A114, LS_current!$B$4:$AY$139, LS_current!R$149, FALSE), VLOOKUP($A114, LS_current!$B$4:$AY$139,LS_current!R$149, FALSE))/2)</f>
        <v>-430.6248912597348</v>
      </c>
      <c r="CC114" s="382">
        <f t="array" ref="CC114">IF($BI114=0, INDEX(LS_current!$D$4:$AY$139, MATCH('Staging Table'!$A114, LS_current!$B$4:$B$139, 0), MATCH(CC$4&amp;CC$5, LS_current!$D$2:$AY$2&amp;LS_current!$D$3:$AY$3, 0)),SUM(VLOOKUP($A114, LS_current!$B$4:$AY$139, LS_current!S$149, FALSE), VLOOKUP($A114, LS_current!$B$4:$AY$139,LS_current!S$149, FALSE))/2)</f>
        <v>1107.1590857051215</v>
      </c>
      <c r="CD114" s="382">
        <f t="array" ref="CD114">IF($BI114=0, INDEX(LS_current!$D$4:$AY$139, MATCH('Staging Table'!$A114, LS_current!$B$4:$B$139, 0), MATCH(CD$4&amp;CD$5, LS_current!$D$2:$AY$2&amp;LS_current!$D$3:$AY$3, 0)),SUM(VLOOKUP($A114, LS_current!$B$4:$AY$139, LS_current!T$149, FALSE), VLOOKUP($A114, LS_current!$B$4:$AY$139,LS_current!T$149, FALSE))/2)</f>
        <v>3800.7618611712669</v>
      </c>
      <c r="CE114" s="382">
        <f t="array" ref="CE114">IF($BI114=0, INDEX(LS_current!$D$4:$AY$139, MATCH('Staging Table'!$A114, LS_current!$B$4:$B$139, 0), MATCH(CE$4&amp;CE$5, LS_current!$D$2:$AY$2&amp;LS_current!$D$3:$AY$3, 0)),SUM(VLOOKUP($A114, LS_current!$B$4:$AY$139, LS_current!U$149, FALSE), VLOOKUP($A114, LS_current!$B$4:$AY$139,LS_current!U$149, FALSE))/2)</f>
        <v>3507.2834206452426</v>
      </c>
      <c r="CF114" s="382">
        <f t="array" ref="CF114">IF($BI114=0, INDEX(LS_current!$D$4:$AY$139, MATCH('Staging Table'!$A114, LS_current!$B$4:$B$139, 0), MATCH(CF$4&amp;CF$5, LS_current!$D$2:$AY$2&amp;LS_current!$D$3:$AY$3, 0)),SUM(VLOOKUP($A114, LS_current!$B$4:$AY$139, LS_current!V$149, FALSE), VLOOKUP($A114, LS_current!$B$4:$AY$139,LS_current!V$149, FALSE))/2)</f>
        <v>5789.8159147228571</v>
      </c>
      <c r="CG114" s="382">
        <f t="array" ref="CG114">IF($BI114=0, INDEX(LS_current!$D$4:$AY$139, MATCH('Staging Table'!$A114, LS_current!$B$4:$B$139, 0), MATCH(CG$4&amp;CG$5, LS_current!$D$2:$AY$2&amp;LS_current!$D$3:$AY$3, 0)),SUM(VLOOKUP($A114, LS_current!$B$4:$AY$139, LS_current!W$149, FALSE), VLOOKUP($A114, LS_current!$B$4:$AY$139,LS_current!W$149, FALSE))/2)</f>
        <v>6391.9650681454059</v>
      </c>
      <c r="CH114" s="382">
        <f t="array" ref="CH114">IF($BI114=0, INDEX(LS_current!$D$4:$AY$139, MATCH('Staging Table'!$A114, LS_current!$B$4:$B$139, 0), MATCH(CH$4&amp;CH$5, LS_current!$D$2:$AY$2&amp;LS_current!$D$3:$AY$3, 0)),SUM(VLOOKUP($A114, LS_current!$B$4:$AY$139, LS_current!X$149, FALSE), VLOOKUP($A114, LS_current!$B$4:$AY$139,LS_current!X$149, FALSE))/2)</f>
        <v>5443.5340609320292</v>
      </c>
      <c r="CI114" s="382">
        <f t="array" ref="CI114">IF($BI114=0, INDEX(LS_current!$D$4:$AY$139, MATCH('Staging Table'!$A114, LS_current!$B$4:$B$139, 0), MATCH(CI$4&amp;CI$5, LS_current!$D$2:$AY$2&amp;LS_current!$D$3:$AY$3, 0)),SUM(VLOOKUP($A114, LS_current!$B$4:$AY$139, LS_current!Y$149, FALSE), VLOOKUP($A114, LS_current!$B$4:$AY$139,LS_current!Y$149, FALSE))/2)</f>
        <v>4896.7211327039622</v>
      </c>
      <c r="CJ114" s="382">
        <f t="array" ref="CJ114">IF($BI114=0, INDEX(LS_current!$D$4:$AY$139, MATCH('Staging Table'!$A114, LS_current!$B$4:$B$139, 0), MATCH(CJ$4&amp;CJ$5, LS_current!$D$2:$AY$2&amp;LS_current!$D$3:$AY$3, 0)),SUM(VLOOKUP($A114, LS_current!$B$4:$AY$139, LS_current!Z$149, FALSE), VLOOKUP($A114, LS_current!$B$4:$AY$139,LS_current!Z$149, FALSE))/2)</f>
        <v>1579.8185385325669</v>
      </c>
      <c r="CK114" s="382">
        <f t="array" ref="CK114">IF($BI114=0, INDEX(LS_current!$D$4:$AY$139, MATCH('Staging Table'!$A114, LS_current!$B$4:$B$139, 0), MATCH(CK$4&amp;CK$5, LS_current!$D$2:$AY$2&amp;LS_current!$D$3:$AY$3, 0)),SUM(VLOOKUP($A114, LS_current!$B$4:$AY$139, LS_current!AA$149, FALSE), VLOOKUP($A114, LS_current!$B$4:$AY$139,LS_current!AA$149, FALSE))/2)</f>
        <v>2827.1475994187381</v>
      </c>
      <c r="CL114" s="384">
        <f t="array" ref="CL114">INDEX(Demand_current!$D$4:$AY$138, MATCH($A114, Demand_current!$B$4:$B$138, 0), MATCH(CL$4&amp;CL$5,Demand_current!$D$2:$AY$2&amp;Demand_current!$D$3:$AY$3, 0))/1000</f>
        <v>2.999091346153846</v>
      </c>
      <c r="CM114" s="384">
        <f t="array" ref="CM114">INDEX(Demand_current!$D$4:$AY$138, MATCH($A114, Demand_current!$B$4:$B$138, 0), MATCH(CM$4&amp;CM$5,Demand_current!$D$2:$AY$2&amp;Demand_current!$D$3:$AY$3, 0))/1000</f>
        <v>0.77460249999999942</v>
      </c>
      <c r="CN114" s="384">
        <f t="array" ref="CN114">INDEX(Demand_current!$D$4:$AY$138, MATCH($A114, Demand_current!$B$4:$B$138, 0), MATCH(CN$4&amp;CN$5,Demand_current!$D$2:$AY$2&amp;Demand_current!$D$3:$AY$3, 0))/1000</f>
        <v>2.5542750000000014</v>
      </c>
      <c r="CO114" s="384">
        <f t="array" ref="CO114">INDEX(Demand_current!$D$4:$AY$138, MATCH($A114, Demand_current!$B$4:$B$138, 0), MATCH(CO$4&amp;CO$5,Demand_current!$D$2:$AY$2&amp;Demand_current!$D$3:$AY$3, 0))/1000</f>
        <v>2.3829110576923074</v>
      </c>
      <c r="CP114" s="384">
        <f t="array" ref="CP114">INDEX(Demand_current!$D$4:$AY$138, MATCH($A114, Demand_current!$B$4:$B$138, 0), MATCH(CP$4&amp;CP$5,Demand_current!$D$2:$AY$2&amp;Demand_current!$D$3:$AY$3, 0))/1000</f>
        <v>1.4114427083333334</v>
      </c>
      <c r="CQ114" s="384">
        <f t="array" ref="CQ114">INDEX(Demand_current!$D$4:$AY$138, MATCH($A114, Demand_current!$B$4:$B$138, 0), MATCH(CQ$4&amp;CQ$5,Demand_current!$D$2:$AY$2&amp;Demand_current!$D$3:$AY$3, 0))/1000</f>
        <v>1.8596944444444419</v>
      </c>
      <c r="CR114" s="384">
        <f t="array" ref="CR114">INDEX(Demand_current!$D$4:$AY$138, MATCH($A114, Demand_current!$B$4:$B$138, 0), MATCH(CR$4&amp;CR$5,Demand_current!$D$2:$AY$2&amp;Demand_current!$D$3:$AY$3, 0))/1000</f>
        <v>6.2412024999999973</v>
      </c>
      <c r="CS114" s="384">
        <f t="array" ref="CS114">INDEX(Demand_current!$D$4:$AY$138, MATCH($A114, Demand_current!$B$4:$B$138, 0), MATCH(CS$4&amp;CS$5,Demand_current!$D$2:$AY$2&amp;Demand_current!$D$3:$AY$3, 0))/1000</f>
        <v>2.9623221153846115</v>
      </c>
      <c r="CT114" s="384">
        <f t="array" ref="CT114">INDEX(Demand_current!$D$4:$AY$138, MATCH($A114, Demand_current!$B$4:$B$138, 0), MATCH(CT$4&amp;CT$5,Demand_current!$D$2:$AY$2&amp;Demand_current!$D$3:$AY$3, 0))/1000</f>
        <v>3.7825384615384658</v>
      </c>
      <c r="CU114" s="384">
        <f t="array" ref="CU114">INDEX(Demand_current!$D$4:$AY$138, MATCH($A114, Demand_current!$B$4:$B$138, 0), MATCH(CU$4&amp;CU$5,Demand_current!$D$2:$AY$2&amp;Demand_current!$D$3:$AY$3, 0))/1000</f>
        <v>4.7505474999999997</v>
      </c>
      <c r="CV114" s="384">
        <f t="array" ref="CV114">INDEX(Demand_current!$D$4:$AY$138, MATCH($A114, Demand_current!$B$4:$B$138, 0), MATCH(CV$4&amp;CV$5,Demand_current!$D$2:$AY$2&amp;Demand_current!$D$3:$AY$3, 0))/1000</f>
        <v>4.2515000000000018</v>
      </c>
      <c r="CW114" s="384">
        <f t="array" ref="CW114">INDEX(Demand_current!$D$4:$AY$138, MATCH($A114, Demand_current!$B$4:$B$138, 0), MATCH(CW$4&amp;CW$5,Demand_current!$D$2:$AY$2&amp;Demand_current!$D$3:$AY$3, 0))/1000</f>
        <v>1.6535000000000002</v>
      </c>
      <c r="CX114" s="384">
        <f>IF(D114=0,IF(C114=0,MAX(0,DA114 - (VLOOKUP($A114,TOCA_current!$A$2:$AI$137,MATCH("RHWM 2018",TOCA_current!$A$2:$AI$2,0),FALSE)*$BH$2)), 0),0)</f>
        <v>16398.341066321445</v>
      </c>
      <c r="CY114" s="427">
        <f>VLOOKUP($A114,REP_current!$A$1:$D$135,MATCH("FY "&amp;$BH$1&amp; " Total Refund",REP_current!$A$1:$D$1,0),0)</f>
        <v>174129.32770838495</v>
      </c>
      <c r="CZ114" s="432">
        <f>MIN(VLOOKUP($A114,TOCA_current!$A$2:$AI$137,MATCH("TRL - NLSL - Existing Resource "&amp;$BH$1,TOCA_current!$A$2:$AI$2,0),FALSE)*$BH$2, VLOOKUP($A114,TOCA_current!$A$2:$AI$137,MATCH("RHWM 2018",TOCA_current!$A$2:$AI$2,0),FALSE)*$BH$2)</f>
        <v>141631.67999999999</v>
      </c>
      <c r="DA114" s="397">
        <f>SUM(BN114:CK114)+(BH114*RT1SC!$C$4*$BH$2)</f>
        <v>158030.02106632144</v>
      </c>
      <c r="DB114" s="432">
        <f>VLOOKUP($A114,TOCA_current!$A$2:$AI$137,MATCH("Above RHWM Not Served with LS "&amp;$BH$1,TOCA_current!$A$2:$AI$2,0),FALSE)*$BH$2</f>
        <v>0</v>
      </c>
      <c r="DC114" s="401">
        <f t="shared" si="27"/>
        <v>16398.341066321445</v>
      </c>
      <c r="DD114" s="397">
        <f>(VLOOKUP($A114,TOCA_current!$A$2:$AI$137,MATCH("RHWM 2018",TOCA_current!$A$2:$AI$2,0),FALSE)*$BH$2) - $CZ114</f>
        <v>0</v>
      </c>
      <c r="DE114" s="397">
        <f t="shared" si="28"/>
        <v>0</v>
      </c>
      <c r="DF114" s="397">
        <f t="shared" si="29"/>
        <v>0</v>
      </c>
      <c r="DG114" s="397">
        <f t="shared" si="30"/>
        <v>0</v>
      </c>
      <c r="DH114" s="397">
        <f t="shared" si="31"/>
        <v>0</v>
      </c>
    </row>
    <row r="115" spans="1:112">
      <c r="A115" s="274">
        <v>10370</v>
      </c>
      <c r="B115" s="275" t="s">
        <v>116</v>
      </c>
      <c r="C115" s="397">
        <v>0</v>
      </c>
      <c r="D115" s="397">
        <v>1</v>
      </c>
      <c r="E115" s="205">
        <f>VLOOKUP($A115,TOCA_previous!$A$2:$AI$137,MATCH(E$4,TOCA_previous!$A$2:$AI$2,0),FALSE)</f>
        <v>5.3596699999999997E-2</v>
      </c>
      <c r="F115" s="206">
        <f>VLOOKUP($A115,TOCA_previous!$A$2:$AI$137,MATCH(F$4,TOCA_previous!$A$2:$AI$2,0),FALSE)</f>
        <v>2.3944699999999996E-2</v>
      </c>
      <c r="G115" s="206">
        <f t="shared" si="16"/>
        <v>2.9652000000000001E-2</v>
      </c>
      <c r="H115" s="206">
        <f>VLOOKUP($A115,TOCA_previous!$A$2:$AI$137,MATCH(H$4,TOCA_previous!$A$2:$AI$2,0),FALSE)</f>
        <v>0</v>
      </c>
      <c r="I115" s="206">
        <f t="shared" si="17"/>
        <v>0</v>
      </c>
      <c r="J115" s="206">
        <f t="shared" si="18"/>
        <v>0</v>
      </c>
      <c r="K115" s="381">
        <f>VLOOKUP(A115, IRD!$A$5:$C$139, 3, FALSE)</f>
        <v>0</v>
      </c>
      <c r="L115" s="382">
        <f t="array" ref="L115">IF($G115=0, INDEX(LS_previous!$D$4:$AY$138, MATCH('Staging Table'!$A115, LS_previous!$B$4:$B$138, 0), MATCH(L$4&amp;L$5, LS_previous!$D$2:$AY$2&amp;LS_previous!$D$3:$AY$3, 0)),SUM(VLOOKUP($A115, LS_previous!$B$4:$AY$138, LS_previous!D$149, FALSE), VLOOKUP('Staging Table'!$A115, LS_previous!$B$4:$AY$138,LS_previous!AB$149, FALSE))/2)</f>
        <v>-16436.068711768501</v>
      </c>
      <c r="M115" s="382">
        <f t="array" ref="M115">IF($G115=0, INDEX(LS_previous!$D$4:$AY$138, MATCH('Staging Table'!$A115, LS_previous!$B$4:$B$138, 0), MATCH(M$4&amp;M$5, LS_previous!$D$2:$AY$2&amp;LS_previous!$D$3:$AY$3, 0)),SUM(VLOOKUP($A115, LS_previous!$B$4:$AY$138, LS_previous!E$149, FALSE), VLOOKUP('Staging Table'!$A115, LS_previous!$B$4:$AY$138,LS_previous!AC$149, FALSE))/2)</f>
        <v>1621.8997330800448</v>
      </c>
      <c r="N115" s="382">
        <f t="array" ref="N115">IF($G115=0, INDEX(LS_previous!$D$4:$AY$138, MATCH('Staging Table'!$A115, LS_previous!$B$4:$B$138, 0), MATCH(N$4&amp;N$5, LS_previous!$D$2:$AY$2&amp;LS_previous!$D$3:$AY$3, 0)),SUM(VLOOKUP($A115, LS_previous!$B$4:$AY$138, LS_previous!F$149, FALSE), VLOOKUP('Staging Table'!$A115, LS_previous!$B$4:$AY$138,LS_previous!AD$149, FALSE))/2)</f>
        <v>-15989.536673212904</v>
      </c>
      <c r="O115" s="382">
        <f t="array" ref="O115">IF($G115=0, INDEX(LS_previous!$D$4:$AY$138, MATCH('Staging Table'!$A115, LS_previous!$B$4:$B$138, 0), MATCH(O$4&amp;O$5, LS_previous!$D$2:$AY$2&amp;LS_previous!$D$3:$AY$3, 0)),SUM(VLOOKUP($A115, LS_previous!$B$4:$AY$138, LS_previous!G$149, FALSE), VLOOKUP('Staging Table'!$A115, LS_previous!$B$4:$AY$138,LS_previous!AE$149, FALSE))/2)</f>
        <v>7303.9578017636995</v>
      </c>
      <c r="P115" s="382">
        <f t="array" ref="P115">IF($G115=0, INDEX(LS_previous!$D$4:$AY$138, MATCH('Staging Table'!$A115, LS_previous!$B$4:$B$138, 0), MATCH(P$4&amp;P$5, LS_previous!$D$2:$AY$2&amp;LS_previous!$D$3:$AY$3, 0)),SUM(VLOOKUP($A115, LS_previous!$B$4:$AY$138, LS_previous!H$149, FALSE), VLOOKUP('Staging Table'!$A115, LS_previous!$B$4:$AY$138,LS_previous!AF$149, FALSE))/2)</f>
        <v>6990.0654422650259</v>
      </c>
      <c r="Q115" s="382">
        <f t="array" ref="Q115">IF($G115=0, INDEX(LS_previous!$D$4:$AY$138, MATCH('Staging Table'!$A115, LS_previous!$B$4:$B$138, 0), MATCH(Q$4&amp;Q$5, LS_previous!$D$2:$AY$2&amp;LS_previous!$D$3:$AY$3, 0)),SUM(VLOOKUP($A115, LS_previous!$B$4:$AY$138, LS_previous!I$149, FALSE), VLOOKUP('Staging Table'!$A115, LS_previous!$B$4:$AY$138,LS_previous!AG$149, FALSE))/2)</f>
        <v>19997.902839275335</v>
      </c>
      <c r="R115" s="382">
        <f t="array" ref="R115">IF($G115=0, INDEX(LS_previous!$D$4:$AY$138, MATCH('Staging Table'!$A115, LS_previous!$B$4:$B$138, 0), MATCH(R$4&amp;R$5, LS_previous!$D$2:$AY$2&amp;LS_previous!$D$3:$AY$3, 0)),SUM(VLOOKUP($A115, LS_previous!$B$4:$AY$138, LS_previous!J$149, FALSE), VLOOKUP('Staging Table'!$A115, LS_previous!$B$4:$AY$138,LS_previous!AH$149, FALSE))/2)</f>
        <v>10023.230215669479</v>
      </c>
      <c r="S115" s="382">
        <f t="array" ref="S115">IF($G115=0, INDEX(LS_previous!$D$4:$AY$138, MATCH('Staging Table'!$A115, LS_previous!$B$4:$B$138, 0), MATCH(S$4&amp;S$5, LS_previous!$D$2:$AY$2&amp;LS_previous!$D$3:$AY$3, 0)),SUM(VLOOKUP($A115, LS_previous!$B$4:$AY$138, LS_previous!K$149, FALSE), VLOOKUP('Staging Table'!$A115, LS_previous!$B$4:$AY$138,LS_previous!AI$149, FALSE))/2)</f>
        <v>26201.831870686205</v>
      </c>
      <c r="T115" s="382">
        <f t="array" ref="T115">IF($G115=0, INDEX(LS_previous!$D$4:$AY$138, MATCH('Staging Table'!$A115, LS_previous!$B$4:$B$138, 0), MATCH(T$4&amp;T$5, LS_previous!$D$2:$AY$2&amp;LS_previous!$D$3:$AY$3, 0)),SUM(VLOOKUP($A115, LS_previous!$B$4:$AY$138, LS_previous!L$149, FALSE), VLOOKUP('Staging Table'!$A115, LS_previous!$B$4:$AY$138,LS_previous!AJ$149, FALSE))/2)</f>
        <v>10074.791734878498</v>
      </c>
      <c r="U115" s="382">
        <f t="array" ref="U115">IF($G115=0, INDEX(LS_previous!$D$4:$AY$138, MATCH('Staging Table'!$A115, LS_previous!$B$4:$B$138, 0), MATCH(U$4&amp;U$5, LS_previous!$D$2:$AY$2&amp;LS_previous!$D$3:$AY$3, 0)),SUM(VLOOKUP($A115, LS_previous!$B$4:$AY$138, LS_previous!M$149, FALSE), VLOOKUP('Staging Table'!$A115, LS_previous!$B$4:$AY$138,LS_previous!AK$149, FALSE))/2)</f>
        <v>17143.415356363752</v>
      </c>
      <c r="V115" s="382">
        <f t="array" ref="V115">IF($G115=0, INDEX(LS_previous!$D$4:$AY$138, MATCH('Staging Table'!$A115, LS_previous!$B$4:$B$138, 0), MATCH(V$4&amp;V$5, LS_previous!$D$2:$AY$2&amp;LS_previous!$D$3:$AY$3, 0)),SUM(VLOOKUP($A115, LS_previous!$B$4:$AY$138, LS_previous!N$149, FALSE), VLOOKUP('Staging Table'!$A115, LS_previous!$B$4:$AY$138,LS_previous!AL$149, FALSE))/2)</f>
        <v>10753.381033283462</v>
      </c>
      <c r="W115" s="382">
        <f t="array" ref="W115">IF($G115=0, INDEX(LS_previous!$D$4:$AY$138, MATCH('Staging Table'!$A115, LS_previous!$B$4:$B$138, 0), MATCH(W$4&amp;W$5, LS_previous!$D$2:$AY$2&amp;LS_previous!$D$3:$AY$3, 0)),SUM(VLOOKUP($A115, LS_previous!$B$4:$AY$138, LS_previous!O$149, FALSE), VLOOKUP('Staging Table'!$A115, LS_previous!$B$4:$AY$138,LS_previous!AM$149, FALSE))/2)</f>
        <v>16478.79562806696</v>
      </c>
      <c r="X115" s="382">
        <f t="array" ref="X115">IF($G115=0, INDEX(LS_previous!$D$4:$AY$138, MATCH('Staging Table'!$A115, LS_previous!$B$4:$B$138, 0), MATCH(X$4&amp;X$5, LS_previous!$D$2:$AY$2&amp;LS_previous!$D$3:$AY$3, 0)),SUM(VLOOKUP($A115, LS_previous!$B$4:$AY$138, LS_previous!P$149, FALSE), VLOOKUP('Staging Table'!$A115, LS_previous!$B$4:$AY$138,LS_previous!AN$149, FALSE))/2)</f>
        <v>7874.7419165271058</v>
      </c>
      <c r="Y115" s="382">
        <f t="array" ref="Y115">IF($G115=0, INDEX(LS_previous!$D$4:$AY$138, MATCH('Staging Table'!$A115, LS_previous!$B$4:$B$138, 0), MATCH(Y$4&amp;Y$5, LS_previous!$D$2:$AY$2&amp;LS_previous!$D$3:$AY$3, 0)),SUM(VLOOKUP($A115, LS_previous!$B$4:$AY$138, LS_previous!Q$149, FALSE), VLOOKUP('Staging Table'!$A115, LS_previous!$B$4:$AY$138,LS_previous!AO$149, FALSE))/2)</f>
        <v>16194.212990029755</v>
      </c>
      <c r="Z115" s="382">
        <f t="array" ref="Z115">IF($G115=0, INDEX(LS_previous!$D$4:$AY$138, MATCH('Staging Table'!$A115, LS_previous!$B$4:$B$138, 0), MATCH(Z$4&amp;Z$5, LS_previous!$D$2:$AY$2&amp;LS_previous!$D$3:$AY$3, 0)),SUM(VLOOKUP($A115, LS_previous!$B$4:$AY$138, LS_previous!R$149, FALSE), VLOOKUP('Staging Table'!$A115, LS_previous!$B$4:$AY$138,LS_previous!AP$149, FALSE))/2)</f>
        <v>-43498.047702332871</v>
      </c>
      <c r="AA115" s="382">
        <f t="array" ref="AA115">IF($G115=0, INDEX(LS_previous!$D$4:$AY$138, MATCH('Staging Table'!$A115, LS_previous!$B$4:$B$138, 0), MATCH(AA$4&amp;AA$5, LS_previous!$D$2:$AY$2&amp;LS_previous!$D$3:$AY$3, 0)),SUM(VLOOKUP($A115, LS_previous!$B$4:$AY$138, LS_previous!S$149, FALSE), VLOOKUP('Staging Table'!$A115, LS_previous!$B$4:$AY$138,LS_previous!AQ$149, FALSE))/2)</f>
        <v>-7233.6792042661982</v>
      </c>
      <c r="AB115" s="382">
        <f t="array" ref="AB115">IF($G115=0, INDEX(LS_previous!$D$4:$AY$138, MATCH('Staging Table'!$A115, LS_previous!$B$4:$B$138, 0), MATCH(AB$4&amp;AB$5, LS_previous!$D$2:$AY$2&amp;LS_previous!$D$3:$AY$3, 0)),SUM(VLOOKUP($A115, LS_previous!$B$4:$AY$138, LS_previous!T$149, FALSE), VLOOKUP('Staging Table'!$A115, LS_previous!$B$4:$AY$138,LS_previous!AR$149, FALSE))/2)</f>
        <v>-26487.655584826633</v>
      </c>
      <c r="AC115" s="382">
        <f t="array" ref="AC115">IF($G115=0, INDEX(LS_previous!$D$4:$AY$138, MATCH('Staging Table'!$A115, LS_previous!$B$4:$B$138, 0), MATCH(AC$4&amp;AC$5, LS_previous!$D$2:$AY$2&amp;LS_previous!$D$3:$AY$3, 0)),SUM(VLOOKUP($A115, LS_previous!$B$4:$AY$138, LS_previous!U$149, FALSE), VLOOKUP('Staging Table'!$A115, LS_previous!$B$4:$AY$138,LS_previous!AS$149, FALSE))/2)</f>
        <v>-5142.8491907813295</v>
      </c>
      <c r="AD115" s="382">
        <f t="array" ref="AD115">IF($G115=0, INDEX(LS_previous!$D$4:$AY$138, MATCH('Staging Table'!$A115, LS_previous!$B$4:$B$138, 0), MATCH(AD$4&amp;AD$5, LS_previous!$D$2:$AY$2&amp;LS_previous!$D$3:$AY$3, 0)),SUM(VLOOKUP($A115, LS_previous!$B$4:$AY$138, LS_previous!V$149, FALSE), VLOOKUP('Staging Table'!$A115, LS_previous!$B$4:$AY$138,LS_previous!AT$149, FALSE))/2)</f>
        <v>-20522.985210148552</v>
      </c>
      <c r="AE115" s="382">
        <f t="array" ref="AE115">IF($G115=0, INDEX(LS_previous!$D$4:$AY$138, MATCH('Staging Table'!$A115, LS_previous!$B$4:$B$138, 0), MATCH(AE$4&amp;AE$5, LS_previous!$D$2:$AY$2&amp;LS_previous!$D$3:$AY$3, 0)),SUM(VLOOKUP($A115, LS_previous!$B$4:$AY$138, LS_previous!W$149, FALSE), VLOOKUP('Staging Table'!$A115, LS_previous!$B$4:$AY$138,LS_previous!AU$149, FALSE))/2)</f>
        <v>8421.7074097785589</v>
      </c>
      <c r="AF115" s="382">
        <f t="array" ref="AF115">IF($G115=0, INDEX(LS_previous!$D$4:$AY$138, MATCH('Staging Table'!$A115, LS_previous!$B$4:$B$138, 0), MATCH(AF$4&amp;AF$5, LS_previous!$D$2:$AY$2&amp;LS_previous!$D$3:$AY$3, 0)),SUM(VLOOKUP($A115, LS_previous!$B$4:$AY$138, LS_previous!X$149, FALSE), VLOOKUP('Staging Table'!$A115, LS_previous!$B$4:$AY$138,LS_previous!AV$149, FALSE))/2)</f>
        <v>-24867.776527342747</v>
      </c>
      <c r="AG115" s="382">
        <f t="array" ref="AG115">IF($G115=0, INDEX(LS_previous!$D$4:$AY$138, MATCH('Staging Table'!$A115, LS_previous!$B$4:$B$138, 0), MATCH(AG$4&amp;AG$5, LS_previous!$D$2:$AY$2&amp;LS_previous!$D$3:$AY$3, 0)),SUM(VLOOKUP($A115, LS_previous!$B$4:$AY$138, LS_previous!Y$149, FALSE), VLOOKUP('Staging Table'!$A115, LS_previous!$B$4:$AY$138,LS_previous!AW$149, FALSE))/2)</f>
        <v>397.11967664520489</v>
      </c>
      <c r="AH115" s="382">
        <f t="array" ref="AH115">IF($G115=0, INDEX(LS_previous!$D$4:$AY$138, MATCH('Staging Table'!$A115, LS_previous!$B$4:$B$138, 0), MATCH(AH$4&amp;AH$5, LS_previous!$D$2:$AY$2&amp;LS_previous!$D$3:$AY$3, 0)),SUM(VLOOKUP($A115, LS_previous!$B$4:$AY$138, LS_previous!Z$149, FALSE), VLOOKUP('Staging Table'!$A115, LS_previous!$B$4:$AY$138,LS_previous!AX$149, FALSE))/2)</f>
        <v>-6151.4906204272629</v>
      </c>
      <c r="AI115" s="382">
        <f t="array" ref="AI115">IF($G115=0, INDEX(LS_previous!$D$4:$AY$138, MATCH('Staging Table'!$A115, LS_previous!$B$4:$B$138, 0), MATCH(AI$4&amp;AI$5, LS_previous!$D$2:$AY$2&amp;LS_previous!$D$3:$AY$3, 0)),SUM(VLOOKUP($A115, LS_previous!$B$4:$AY$138, LS_previous!AA$149, FALSE), VLOOKUP('Staging Table'!$A115, LS_previous!$B$4:$AY$138,LS_previous!AY$149, FALSE))/2)</f>
        <v>6850.6484645952914</v>
      </c>
      <c r="AJ115" s="384">
        <f t="array" ref="AJ115">INDEX(Demand_previous!$D$4:$AY$138, MATCH('Staging Table'!$A115, Demand_previous!$B$4:$B$138, 0), MATCH(AJ$4&amp;AJ$5,Demand_previous!$D$2:$AY$2&amp;Demand_previous!$D$3:$AY$3, 0))/1000</f>
        <v>0</v>
      </c>
      <c r="AK115" s="384">
        <f t="array" ref="AK115">INDEX(Demand_previous!$D$4:$AY$138, MATCH('Staging Table'!$A115, Demand_previous!$B$4:$B$138, 0), MATCH(AK$4&amp;AK$5,Demand_previous!$D$2:$AY$2&amp;Demand_previous!$D$3:$AY$3, 0))/1000</f>
        <v>0</v>
      </c>
      <c r="AL115" s="384">
        <f t="array" ref="AL115">INDEX(Demand_previous!$D$4:$AY$138, MATCH('Staging Table'!$A115, Demand_previous!$B$4:$B$138, 0), MATCH(AL$4&amp;AL$5,Demand_previous!$D$2:$AY$2&amp;Demand_previous!$D$3:$AY$3, 0))/1000</f>
        <v>0</v>
      </c>
      <c r="AM115" s="384">
        <f t="array" ref="AM115">INDEX(Demand_previous!$D$4:$AY$138, MATCH('Staging Table'!$A115, Demand_previous!$B$4:$B$138, 0), MATCH(AM$4&amp;AM$5,Demand_previous!$D$2:$AY$2&amp;Demand_previous!$D$3:$AY$3, 0))/1000</f>
        <v>0</v>
      </c>
      <c r="AN115" s="384">
        <f t="array" ref="AN115">INDEX(Demand_previous!$D$4:$AY$138, MATCH('Staging Table'!$A115, Demand_previous!$B$4:$B$138, 0), MATCH(AN$4&amp;AN$5,Demand_previous!$D$2:$AY$2&amp;Demand_previous!$D$3:$AY$3, 0))/1000</f>
        <v>0</v>
      </c>
      <c r="AO115" s="384">
        <f t="array" ref="AO115">INDEX(Demand_previous!$D$4:$AY$138, MATCH('Staging Table'!$A115, Demand_previous!$B$4:$B$138, 0), MATCH(AO$4&amp;AO$5,Demand_previous!$D$2:$AY$2&amp;Demand_previous!$D$3:$AY$3, 0))/1000</f>
        <v>0</v>
      </c>
      <c r="AP115" s="384">
        <f t="array" ref="AP115">INDEX(Demand_previous!$D$4:$AY$138, MATCH('Staging Table'!$A115, Demand_previous!$B$4:$B$138, 0), MATCH(AP$4&amp;AP$5,Demand_previous!$D$2:$AY$2&amp;Demand_previous!$D$3:$AY$3, 0))/1000</f>
        <v>0</v>
      </c>
      <c r="AQ115" s="384">
        <f t="array" ref="AQ115">INDEX(Demand_previous!$D$4:$AY$138, MATCH('Staging Table'!$A115, Demand_previous!$B$4:$B$138, 0), MATCH(AQ$4&amp;AQ$5,Demand_previous!$D$2:$AY$2&amp;Demand_previous!$D$3:$AY$3, 0))/1000</f>
        <v>0</v>
      </c>
      <c r="AR115" s="384">
        <f t="array" ref="AR115">INDEX(Demand_previous!$D$4:$AY$138, MATCH('Staging Table'!$A115, Demand_previous!$B$4:$B$138, 0), MATCH(AR$4&amp;AR$5,Demand_previous!$D$2:$AY$2&amp;Demand_previous!$D$3:$AY$3, 0))/1000</f>
        <v>0</v>
      </c>
      <c r="AS115" s="384">
        <f t="array" ref="AS115">INDEX(Demand_previous!$D$4:$AY$138, MATCH('Staging Table'!$A115, Demand_previous!$B$4:$B$138, 0), MATCH(AS$4&amp;AS$5,Demand_previous!$D$2:$AY$2&amp;Demand_previous!$D$3:$AY$3, 0))/1000</f>
        <v>0</v>
      </c>
      <c r="AT115" s="384">
        <f t="array" ref="AT115">INDEX(Demand_previous!$D$4:$AY$138, MATCH('Staging Table'!$A115, Demand_previous!$B$4:$B$138, 0), MATCH(AT$4&amp;AT$5,Demand_previous!$D$2:$AY$2&amp;Demand_previous!$D$3:$AY$3, 0))/1000</f>
        <v>0</v>
      </c>
      <c r="AU115" s="384">
        <f t="array" ref="AU115">INDEX(Demand_previous!$D$4:$AY$138, MATCH('Staging Table'!$A115, Demand_previous!$B$4:$B$138, 0), MATCH(AU$4&amp;AU$5,Demand_previous!$D$2:$AY$2&amp;Demand_previous!$D$3:$AY$3, 0))/1000</f>
        <v>0</v>
      </c>
      <c r="AV115" s="384">
        <f>IF($D115=0,IF(C115=0, MAX(AY115 - (VLOOKUP($A115,TOCA_previous!$A$2:$AI$137,MATCH("RHWM 2016",TOCA_previous!$A$2:$AI$2,0),FALSE)*$F$2*TOCA_previous!C112),0),0), 0)</f>
        <v>0</v>
      </c>
      <c r="AW115" s="427">
        <f>VLOOKUP($A115,REP_previous!$A$1:$D$135,MATCH("FY "&amp;$F$1&amp; " Total Refund",REP_previous!$A$1:$D$1,0),0)</f>
        <v>5207830.5943228714</v>
      </c>
      <c r="AX115" s="398">
        <f>MIN(VLOOKUP($A115,TOCA_previous!$A$2:$AI$137,MATCH("TRL - NLSL - Exisiting Resource "&amp;$F$1,TOCA_previous!$A$2:$AI$2,0),FALSE)*$F$2,(VLOOKUP($A115,TOCA_previous!$A$2:$AI$137,MATCH("RHWM 2016",TOCA_previous!$A$2:$AI$2,0),FALSE)*$F$2))</f>
        <v>3287587.6799999997</v>
      </c>
      <c r="AY115" s="384">
        <f>SUM(L115:AI115)+(F115*RT1SC!$C$3*$F$2)</f>
        <v>1468751.5901970093</v>
      </c>
      <c r="AZ115" s="398">
        <f>VLOOKUP($A115,TOCA_previous!$A$2:$AI$137,MATCH("Above RHWM Not Served with LS "&amp;$F$1,TOCA_previous!$A$2:$AI$2,0),FALSE)*$F$2</f>
        <v>43928.784</v>
      </c>
      <c r="BA115" s="206">
        <f t="shared" si="19"/>
        <v>-1818836.0898029904</v>
      </c>
      <c r="BB115" s="399">
        <f>(VLOOKUP($A115,TOCA_previous!$A$2:$AI$137,MATCH("RHWM 2016",TOCA_previous!$A$2:$AI$2,0),FALSE)*$F$2) - $AX115</f>
        <v>212520.09600000037</v>
      </c>
      <c r="BC115" s="206">
        <f t="shared" si="20"/>
        <v>0</v>
      </c>
      <c r="BD115" s="400">
        <f t="shared" si="21"/>
        <v>1774907.3058029904</v>
      </c>
      <c r="BE115" s="392">
        <f t="shared" si="22"/>
        <v>0</v>
      </c>
      <c r="BF115" s="399">
        <f t="shared" si="23"/>
        <v>0</v>
      </c>
      <c r="BG115" s="206">
        <f>VLOOKUP($A115,TOCA_current!$A$2:$AI$137,MATCH(BG$4,TOCA_current!$A$2:$AI$2,0),FALSE)</f>
        <v>5.41173E-2</v>
      </c>
      <c r="BH115" s="206">
        <f>VLOOKUP($A115,TOCA_current!$A$2:$AI$137,MATCH(BH$4,TOCA_current!$A$2:$AI$2,0),FALSE)</f>
        <v>2.4490399999999999E-2</v>
      </c>
      <c r="BI115" s="391">
        <f t="shared" si="24"/>
        <v>2.9626900000000001E-2</v>
      </c>
      <c r="BJ115" s="206">
        <f>VLOOKUP($A115,TOCA_current!A111:BG246,MATCH(BJ$4,TOCA_current!$A$2:$BG$2,0),FALSE)</f>
        <v>0</v>
      </c>
      <c r="BK115" s="206">
        <f t="shared" si="25"/>
        <v>0</v>
      </c>
      <c r="BL115" s="206">
        <f t="shared" si="26"/>
        <v>0</v>
      </c>
      <c r="BM115" s="381">
        <f>VLOOKUP($A115,IRD!$A$4:$G$139, 7, FALSE)</f>
        <v>0</v>
      </c>
      <c r="BN115" s="382">
        <f t="array" ref="BN115">IF($BI115=0, INDEX(LS_current!$D$4:$AY$139, MATCH('Staging Table'!$A115, LS_current!$B$4:$B$139, 0), MATCH(BN$4&amp;BN$5, LS_current!$D$2:$AY$2&amp;LS_current!$D$3:$AY$3, 0)),SUM(VLOOKUP($A115, LS_current!$B$4:$AY$139, LS_current!D$149, FALSE), VLOOKUP($A115, LS_current!$B$4:$AY$139,LS_current!D$149, FALSE))/2)</f>
        <v>-18943.971755326245</v>
      </c>
      <c r="BO115" s="382">
        <f t="array" ref="BO115">IF($BI115=0, INDEX(LS_current!$D$4:$AY$139, MATCH('Staging Table'!$A115, LS_current!$B$4:$B$139, 0), MATCH(BO$4&amp;BO$5, LS_current!$D$2:$AY$2&amp;LS_current!$D$3:$AY$3, 0)),SUM(VLOOKUP($A115, LS_current!$B$4:$AY$139, LS_current!E$149, FALSE), VLOOKUP($A115, LS_current!$B$4:$AY$139,LS_current!E$149, FALSE))/2)</f>
        <v>3808.4594193024313</v>
      </c>
      <c r="BP115" s="382">
        <f t="array" ref="BP115">IF($BI115=0, INDEX(LS_current!$D$4:$AY$139, MATCH('Staging Table'!$A115, LS_current!$B$4:$B$139, 0), MATCH(BP$4&amp;BP$5, LS_current!$D$2:$AY$2&amp;LS_current!$D$3:$AY$3, 0)),SUM(VLOOKUP($A115, LS_current!$B$4:$AY$139, LS_current!F$149, FALSE), VLOOKUP($A115, LS_current!$B$4:$AY$139,LS_current!F$149, FALSE))/2)</f>
        <v>-17827.342743611443</v>
      </c>
      <c r="BQ115" s="382">
        <f t="array" ref="BQ115">IF($BI115=0, INDEX(LS_current!$D$4:$AY$139, MATCH('Staging Table'!$A115, LS_current!$B$4:$B$139, 0), MATCH(BQ$4&amp;BQ$5, LS_current!$D$2:$AY$2&amp;LS_current!$D$3:$AY$3, 0)),SUM(VLOOKUP($A115, LS_current!$B$4:$AY$139, LS_current!G$149, FALSE), VLOOKUP($A115, LS_current!$B$4:$AY$139,LS_current!G$149, FALSE))/2)</f>
        <v>4963.321153748795</v>
      </c>
      <c r="BR115" s="382">
        <f t="array" ref="BR115">IF($BI115=0, INDEX(LS_current!$D$4:$AY$139, MATCH('Staging Table'!$A115, LS_current!$B$4:$B$139, 0), MATCH(BR$4&amp;BR$5, LS_current!$D$2:$AY$2&amp;LS_current!$D$3:$AY$3, 0)),SUM(VLOOKUP($A115, LS_current!$B$4:$AY$139, LS_current!H$149, FALSE), VLOOKUP($A115, LS_current!$B$4:$AY$139,LS_current!H$149, FALSE))/2)</f>
        <v>-1349.2952236274577</v>
      </c>
      <c r="BS115" s="382">
        <f t="array" ref="BS115">IF($BI115=0, INDEX(LS_current!$D$4:$AY$139, MATCH('Staging Table'!$A115, LS_current!$B$4:$B$139, 0), MATCH(BS$4&amp;BS$5, LS_current!$D$2:$AY$2&amp;LS_current!$D$3:$AY$3, 0)),SUM(VLOOKUP($A115, LS_current!$B$4:$AY$139, LS_current!I$149, FALSE), VLOOKUP($A115, LS_current!$B$4:$AY$139,LS_current!I$149, FALSE))/2)</f>
        <v>21090.599374926045</v>
      </c>
      <c r="BT115" s="382">
        <f t="array" ref="BT115">IF($BI115=0, INDEX(LS_current!$D$4:$AY$139, MATCH('Staging Table'!$A115, LS_current!$B$4:$B$139, 0), MATCH(BT$4&amp;BT$5, LS_current!$D$2:$AY$2&amp;LS_current!$D$3:$AY$3, 0)),SUM(VLOOKUP($A115, LS_current!$B$4:$AY$139, LS_current!J$149, FALSE), VLOOKUP($A115, LS_current!$B$4:$AY$139,LS_current!J$149, FALSE))/2)</f>
        <v>10431.39654260574</v>
      </c>
      <c r="BU115" s="382">
        <f t="array" ref="BU115">IF($BI115=0, INDEX(LS_current!$D$4:$AY$139, MATCH('Staging Table'!$A115, LS_current!$B$4:$B$139, 0), MATCH(BU$4&amp;BU$5, LS_current!$D$2:$AY$2&amp;LS_current!$D$3:$AY$3, 0)),SUM(VLOOKUP($A115, LS_current!$B$4:$AY$139, LS_current!K$149, FALSE), VLOOKUP($A115, LS_current!$B$4:$AY$139,LS_current!K$149, FALSE))/2)</f>
        <v>20797.0929037198</v>
      </c>
      <c r="BV115" s="382">
        <f t="array" ref="BV115">IF($BI115=0, INDEX(LS_current!$D$4:$AY$139, MATCH('Staging Table'!$A115, LS_current!$B$4:$B$139, 0), MATCH(BV$4&amp;BV$5, LS_current!$D$2:$AY$2&amp;LS_current!$D$3:$AY$3, 0)),SUM(VLOOKUP($A115, LS_current!$B$4:$AY$139, LS_current!L$149, FALSE), VLOOKUP($A115, LS_current!$B$4:$AY$139,LS_current!L$149, FALSE))/2)</f>
        <v>11687.198549092616</v>
      </c>
      <c r="BW115" s="382">
        <f t="array" ref="BW115">IF($BI115=0, INDEX(LS_current!$D$4:$AY$139, MATCH('Staging Table'!$A115, LS_current!$B$4:$B$139, 0), MATCH(BW$4&amp;BW$5, LS_current!$D$2:$AY$2&amp;LS_current!$D$3:$AY$3, 0)),SUM(VLOOKUP($A115, LS_current!$B$4:$AY$139, LS_current!M$149, FALSE), VLOOKUP($A115, LS_current!$B$4:$AY$139,LS_current!M$149, FALSE))/2)</f>
        <v>19121.16122136078</v>
      </c>
      <c r="BX115" s="382">
        <f t="array" ref="BX115">IF($BI115=0, INDEX(LS_current!$D$4:$AY$139, MATCH('Staging Table'!$A115, LS_current!$B$4:$B$139, 0), MATCH(BX$4&amp;BX$5, LS_current!$D$2:$AY$2&amp;LS_current!$D$3:$AY$3, 0)),SUM(VLOOKUP($A115, LS_current!$B$4:$AY$139, LS_current!N$149, FALSE), VLOOKUP($A115, LS_current!$B$4:$AY$139,LS_current!N$149, FALSE))/2)</f>
        <v>12865.616328320117</v>
      </c>
      <c r="BY115" s="382">
        <f t="array" ref="BY115">IF($BI115=0, INDEX(LS_current!$D$4:$AY$139, MATCH('Staging Table'!$A115, LS_current!$B$4:$B$139, 0), MATCH(BY$4&amp;BY$5, LS_current!$D$2:$AY$2&amp;LS_current!$D$3:$AY$3, 0)),SUM(VLOOKUP($A115, LS_current!$B$4:$AY$139, LS_current!O$149, FALSE), VLOOKUP($A115, LS_current!$B$4:$AY$139,LS_current!O$149, FALSE))/2)</f>
        <v>19450.63316303616</v>
      </c>
      <c r="BZ115" s="382">
        <f t="array" ref="BZ115">IF($BI115=0, INDEX(LS_current!$D$4:$AY$139, MATCH('Staging Table'!$A115, LS_current!$B$4:$B$139, 0), MATCH(BZ$4&amp;BZ$5, LS_current!$D$2:$AY$2&amp;LS_current!$D$3:$AY$3, 0)),SUM(VLOOKUP($A115, LS_current!$B$4:$AY$139, LS_current!P$149, FALSE), VLOOKUP($A115, LS_current!$B$4:$AY$139,LS_current!P$149, FALSE))/2)</f>
        <v>-2677.0439796874125</v>
      </c>
      <c r="CA115" s="382">
        <f t="array" ref="CA115">IF($BI115=0, INDEX(LS_current!$D$4:$AY$139, MATCH('Staging Table'!$A115, LS_current!$B$4:$B$139, 0), MATCH(CA$4&amp;CA$5, LS_current!$D$2:$AY$2&amp;LS_current!$D$3:$AY$3, 0)),SUM(VLOOKUP($A115, LS_current!$B$4:$AY$139, LS_current!Q$149, FALSE), VLOOKUP($A115, LS_current!$B$4:$AY$139,LS_current!Q$149, FALSE))/2)</f>
        <v>15471.445237434207</v>
      </c>
      <c r="CB115" s="382">
        <f t="array" ref="CB115">IF($BI115=0, INDEX(LS_current!$D$4:$AY$139, MATCH('Staging Table'!$A115, LS_current!$B$4:$B$139, 0), MATCH(CB$4&amp;CB$5, LS_current!$D$2:$AY$2&amp;LS_current!$D$3:$AY$3, 0)),SUM(VLOOKUP($A115, LS_current!$B$4:$AY$139, LS_current!R$149, FALSE), VLOOKUP($A115, LS_current!$B$4:$AY$139,LS_current!R$149, FALSE))/2)</f>
        <v>-42131.255691811952</v>
      </c>
      <c r="CC115" s="382">
        <f t="array" ref="CC115">IF($BI115=0, INDEX(LS_current!$D$4:$AY$139, MATCH('Staging Table'!$A115, LS_current!$B$4:$B$139, 0), MATCH(CC$4&amp;CC$5, LS_current!$D$2:$AY$2&amp;LS_current!$D$3:$AY$3, 0)),SUM(VLOOKUP($A115, LS_current!$B$4:$AY$139, LS_current!S$149, FALSE), VLOOKUP($A115, LS_current!$B$4:$AY$139,LS_current!S$149, FALSE))/2)</f>
        <v>-10276.851621600137</v>
      </c>
      <c r="CD115" s="382">
        <f t="array" ref="CD115">IF($BI115=0, INDEX(LS_current!$D$4:$AY$139, MATCH('Staging Table'!$A115, LS_current!$B$4:$B$139, 0), MATCH(CD$4&amp;CD$5, LS_current!$D$2:$AY$2&amp;LS_current!$D$3:$AY$3, 0)),SUM(VLOOKUP($A115, LS_current!$B$4:$AY$139, LS_current!T$149, FALSE), VLOOKUP($A115, LS_current!$B$4:$AY$139,LS_current!T$149, FALSE))/2)</f>
        <v>-26827.409365564701</v>
      </c>
      <c r="CE115" s="382">
        <f t="array" ref="CE115">IF($BI115=0, INDEX(LS_current!$D$4:$AY$139, MATCH('Staging Table'!$A115, LS_current!$B$4:$B$139, 0), MATCH(CE$4&amp;CE$5, LS_current!$D$2:$AY$2&amp;LS_current!$D$3:$AY$3, 0)),SUM(VLOOKUP($A115, LS_current!$B$4:$AY$139, LS_current!U$149, FALSE), VLOOKUP($A115, LS_current!$B$4:$AY$139,LS_current!U$149, FALSE))/2)</f>
        <v>-2490.652517602226</v>
      </c>
      <c r="CF115" s="382">
        <f t="array" ref="CF115">IF($BI115=0, INDEX(LS_current!$D$4:$AY$139, MATCH('Staging Table'!$A115, LS_current!$B$4:$B$139, 0), MATCH(CF$4&amp;CF$5, LS_current!$D$2:$AY$2&amp;LS_current!$D$3:$AY$3, 0)),SUM(VLOOKUP($A115, LS_current!$B$4:$AY$139, LS_current!V$149, FALSE), VLOOKUP($A115, LS_current!$B$4:$AY$139,LS_current!V$149, FALSE))/2)</f>
        <v>-16683.988473206191</v>
      </c>
      <c r="CG115" s="382">
        <f t="array" ref="CG115">IF($BI115=0, INDEX(LS_current!$D$4:$AY$139, MATCH('Staging Table'!$A115, LS_current!$B$4:$B$139, 0), MATCH(CG$4&amp;CG$5, LS_current!$D$2:$AY$2&amp;LS_current!$D$3:$AY$3, 0)),SUM(VLOOKUP($A115, LS_current!$B$4:$AY$139, LS_current!W$149, FALSE), VLOOKUP($A115, LS_current!$B$4:$AY$139,LS_current!W$149, FALSE))/2)</f>
        <v>10197.629044846981</v>
      </c>
      <c r="CH115" s="382">
        <f t="array" ref="CH115">IF($BI115=0, INDEX(LS_current!$D$4:$AY$139, MATCH('Staging Table'!$A115, LS_current!$B$4:$B$139, 0), MATCH(CH$4&amp;CH$5, LS_current!$D$2:$AY$2&amp;LS_current!$D$3:$AY$3, 0)),SUM(VLOOKUP($A115, LS_current!$B$4:$AY$139, LS_current!X$149, FALSE), VLOOKUP($A115, LS_current!$B$4:$AY$139,LS_current!X$149, FALSE))/2)</f>
        <v>-25436.592248335641</v>
      </c>
      <c r="CI115" s="382">
        <f t="array" ref="CI115">IF($BI115=0, INDEX(LS_current!$D$4:$AY$139, MATCH('Staging Table'!$A115, LS_current!$B$4:$B$139, 0), MATCH(CI$4&amp;CI$5, LS_current!$D$2:$AY$2&amp;LS_current!$D$3:$AY$3, 0)),SUM(VLOOKUP($A115, LS_current!$B$4:$AY$139, LS_current!Y$149, FALSE), VLOOKUP($A115, LS_current!$B$4:$AY$139,LS_current!Y$149, FALSE))/2)</f>
        <v>779.28113825571927</v>
      </c>
      <c r="CJ115" s="382">
        <f t="array" ref="CJ115">IF($BI115=0, INDEX(LS_current!$D$4:$AY$139, MATCH('Staging Table'!$A115, LS_current!$B$4:$B$139, 0), MATCH(CJ$4&amp;CJ$5, LS_current!$D$2:$AY$2&amp;LS_current!$D$3:$AY$3, 0)),SUM(VLOOKUP($A115, LS_current!$B$4:$AY$139, LS_current!Z$149, FALSE), VLOOKUP($A115, LS_current!$B$4:$AY$139,LS_current!Z$149, FALSE))/2)</f>
        <v>-16429.83257966669</v>
      </c>
      <c r="CK115" s="382">
        <f t="array" ref="CK115">IF($BI115=0, INDEX(LS_current!$D$4:$AY$139, MATCH('Staging Table'!$A115, LS_current!$B$4:$B$139, 0), MATCH(CK$4&amp;CK$5, LS_current!$D$2:$AY$2&amp;LS_current!$D$3:$AY$3, 0)),SUM(VLOOKUP($A115, LS_current!$B$4:$AY$139, LS_current!AA$149, FALSE), VLOOKUP($A115, LS_current!$B$4:$AY$139,LS_current!AA$149, FALSE))/2)</f>
        <v>8262.6091092327042</v>
      </c>
      <c r="CL115" s="384">
        <f t="array" ref="CL115">INDEX(Demand_current!$D$4:$AY$138, MATCH($A115, Demand_current!$B$4:$B$138, 0), MATCH(CL$4&amp;CL$5,Demand_current!$D$2:$AY$2&amp;Demand_current!$D$3:$AY$3, 0))/1000</f>
        <v>0</v>
      </c>
      <c r="CM115" s="384">
        <f t="array" ref="CM115">INDEX(Demand_current!$D$4:$AY$138, MATCH($A115, Demand_current!$B$4:$B$138, 0), MATCH(CM$4&amp;CM$5,Demand_current!$D$2:$AY$2&amp;Demand_current!$D$3:$AY$3, 0))/1000</f>
        <v>0</v>
      </c>
      <c r="CN115" s="384">
        <f t="array" ref="CN115">INDEX(Demand_current!$D$4:$AY$138, MATCH($A115, Demand_current!$B$4:$B$138, 0), MATCH(CN$4&amp;CN$5,Demand_current!$D$2:$AY$2&amp;Demand_current!$D$3:$AY$3, 0))/1000</f>
        <v>0</v>
      </c>
      <c r="CO115" s="384">
        <f t="array" ref="CO115">INDEX(Demand_current!$D$4:$AY$138, MATCH($A115, Demand_current!$B$4:$B$138, 0), MATCH(CO$4&amp;CO$5,Demand_current!$D$2:$AY$2&amp;Demand_current!$D$3:$AY$3, 0))/1000</f>
        <v>0</v>
      </c>
      <c r="CP115" s="384">
        <f t="array" ref="CP115">INDEX(Demand_current!$D$4:$AY$138, MATCH($A115, Demand_current!$B$4:$B$138, 0), MATCH(CP$4&amp;CP$5,Demand_current!$D$2:$AY$2&amp;Demand_current!$D$3:$AY$3, 0))/1000</f>
        <v>0</v>
      </c>
      <c r="CQ115" s="384">
        <f t="array" ref="CQ115">INDEX(Demand_current!$D$4:$AY$138, MATCH($A115, Demand_current!$B$4:$B$138, 0), MATCH(CQ$4&amp;CQ$5,Demand_current!$D$2:$AY$2&amp;Demand_current!$D$3:$AY$3, 0))/1000</f>
        <v>0</v>
      </c>
      <c r="CR115" s="384">
        <f t="array" ref="CR115">INDEX(Demand_current!$D$4:$AY$138, MATCH($A115, Demand_current!$B$4:$B$138, 0), MATCH(CR$4&amp;CR$5,Demand_current!$D$2:$AY$2&amp;Demand_current!$D$3:$AY$3, 0))/1000</f>
        <v>0</v>
      </c>
      <c r="CS115" s="384">
        <f t="array" ref="CS115">INDEX(Demand_current!$D$4:$AY$138, MATCH($A115, Demand_current!$B$4:$B$138, 0), MATCH(CS$4&amp;CS$5,Demand_current!$D$2:$AY$2&amp;Demand_current!$D$3:$AY$3, 0))/1000</f>
        <v>0</v>
      </c>
      <c r="CT115" s="384">
        <f t="array" ref="CT115">INDEX(Demand_current!$D$4:$AY$138, MATCH($A115, Demand_current!$B$4:$B$138, 0), MATCH(CT$4&amp;CT$5,Demand_current!$D$2:$AY$2&amp;Demand_current!$D$3:$AY$3, 0))/1000</f>
        <v>0</v>
      </c>
      <c r="CU115" s="384">
        <f t="array" ref="CU115">INDEX(Demand_current!$D$4:$AY$138, MATCH($A115, Demand_current!$B$4:$B$138, 0), MATCH(CU$4&amp;CU$5,Demand_current!$D$2:$AY$2&amp;Demand_current!$D$3:$AY$3, 0))/1000</f>
        <v>0</v>
      </c>
      <c r="CV115" s="384">
        <f t="array" ref="CV115">INDEX(Demand_current!$D$4:$AY$138, MATCH($A115, Demand_current!$B$4:$B$138, 0), MATCH(CV$4&amp;CV$5,Demand_current!$D$2:$AY$2&amp;Demand_current!$D$3:$AY$3, 0))/1000</f>
        <v>0</v>
      </c>
      <c r="CW115" s="384">
        <f t="array" ref="CW115">INDEX(Demand_current!$D$4:$AY$138, MATCH($A115, Demand_current!$B$4:$B$138, 0), MATCH(CW$4&amp;CW$5,Demand_current!$D$2:$AY$2&amp;Demand_current!$D$3:$AY$3, 0))/1000</f>
        <v>0</v>
      </c>
      <c r="CX115" s="384">
        <f>IF(D115=0,IF(C115=0,MAX(0,DA115 - (VLOOKUP($A115,TOCA_current!$A$2:$AI$137,MATCH("RHWM 2018",TOCA_current!$A$2:$AI$2,0),FALSE)*$BH$2)), 0),0)</f>
        <v>0</v>
      </c>
      <c r="CY115" s="427">
        <f>VLOOKUP($A115,REP_current!$A$1:$D$135,MATCH("FY "&amp;$BH$1&amp; " Total Refund",REP_current!$A$1:$D$1,0),0)</f>
        <v>5125709.8285247767</v>
      </c>
      <c r="CZ115" s="432">
        <f>MIN(VLOOKUP($A115,TOCA_current!$A$2:$AI$137,MATCH("TRL - NLSL - Existing Resource "&amp;$BH$1,TOCA_current!$A$2:$AI$2,0),FALSE)*$BH$2, VLOOKUP($A115,TOCA_current!$A$2:$AI$137,MATCH("RHWM 2018",TOCA_current!$A$2:$AI$2,0),FALSE)*$BH$2)</f>
        <v>3292323.3600000003</v>
      </c>
      <c r="DA115" s="397">
        <f>SUM(BN115:CK115)+(BH115*RT1SC!$C$4*$BH$2)</f>
        <v>1467771.0217366258</v>
      </c>
      <c r="DB115" s="432">
        <f>VLOOKUP($A115,TOCA_current!$A$2:$AI$137,MATCH("Above RHWM Not Served with LS "&amp;$BH$1,TOCA_current!$A$2:$AI$2,0),FALSE)*$BH$2</f>
        <v>0</v>
      </c>
      <c r="DC115" s="401">
        <f t="shared" si="27"/>
        <v>-1824552.3382633745</v>
      </c>
      <c r="DD115" s="397">
        <f>(VLOOKUP($A115,TOCA_current!$A$2:$AI$137,MATCH("RHWM 2018",TOCA_current!$A$2:$AI$2,0),FALSE)*$BH$2) - $CZ115</f>
        <v>176040.95999999996</v>
      </c>
      <c r="DE115" s="397">
        <f t="shared" si="28"/>
        <v>0</v>
      </c>
      <c r="DF115" s="397">
        <f t="shared" si="29"/>
        <v>1824552.3382633745</v>
      </c>
      <c r="DG115" s="397">
        <f t="shared" si="30"/>
        <v>0</v>
      </c>
      <c r="DH115" s="397">
        <f t="shared" si="31"/>
        <v>0</v>
      </c>
    </row>
    <row r="116" spans="1:112">
      <c r="A116" s="274">
        <v>10371</v>
      </c>
      <c r="B116" s="275" t="s">
        <v>117</v>
      </c>
      <c r="C116" s="397">
        <v>0</v>
      </c>
      <c r="D116" s="397">
        <v>0</v>
      </c>
      <c r="E116" s="205">
        <f>VLOOKUP($A116,TOCA_previous!$A$2:$AI$137,MATCH(E$4,TOCA_previous!$A$2:$AI$2,0),FALSE)</f>
        <v>1.5644999999999999E-3</v>
      </c>
      <c r="F116" s="206">
        <f>VLOOKUP($A116,TOCA_previous!$A$2:$AI$137,MATCH(F$4,TOCA_previous!$A$2:$AI$2,0),FALSE)</f>
        <v>1.5644999999999999E-3</v>
      </c>
      <c r="G116" s="206">
        <f t="shared" si="16"/>
        <v>0</v>
      </c>
      <c r="H116" s="206">
        <f>VLOOKUP($A116,TOCA_previous!$A$2:$AI$137,MATCH(H$4,TOCA_previous!$A$2:$AI$2,0),FALSE)</f>
        <v>0</v>
      </c>
      <c r="I116" s="206">
        <f t="shared" si="17"/>
        <v>0</v>
      </c>
      <c r="J116" s="206">
        <f t="shared" si="18"/>
        <v>0</v>
      </c>
      <c r="K116" s="381">
        <f>VLOOKUP(A116, IRD!$A$5:$C$139, 3, FALSE)</f>
        <v>0</v>
      </c>
      <c r="L116" s="382">
        <f t="array" ref="L116">IF($G116=0, INDEX(LS_previous!$D$4:$AY$138, MATCH('Staging Table'!$A116, LS_previous!$B$4:$B$138, 0), MATCH(L$4&amp;L$5, LS_previous!$D$2:$AY$2&amp;LS_previous!$D$3:$AY$3, 0)),SUM(VLOOKUP($A116, LS_previous!$B$4:$AY$138, LS_previous!D$149, FALSE), VLOOKUP('Staging Table'!$A116, LS_previous!$B$4:$AY$138,LS_previous!AB$149, FALSE))/2)</f>
        <v>-203.7416239786362</v>
      </c>
      <c r="M116" s="382">
        <f t="array" ref="M116">IF($G116=0, INDEX(LS_previous!$D$4:$AY$138, MATCH('Staging Table'!$A116, LS_previous!$B$4:$B$138, 0), MATCH(M$4&amp;M$5, LS_previous!$D$2:$AY$2&amp;LS_previous!$D$3:$AY$3, 0)),SUM(VLOOKUP($A116, LS_previous!$B$4:$AY$138, LS_previous!E$149, FALSE), VLOOKUP('Staging Table'!$A116, LS_previous!$B$4:$AY$138,LS_previous!AC$149, FALSE))/2)</f>
        <v>-62.513103574106026</v>
      </c>
      <c r="N116" s="382">
        <f t="array" ref="N116">IF($G116=0, INDEX(LS_previous!$D$4:$AY$138, MATCH('Staging Table'!$A116, LS_previous!$B$4:$B$138, 0), MATCH(N$4&amp;N$5, LS_previous!$D$2:$AY$2&amp;LS_previous!$D$3:$AY$3, 0)),SUM(VLOOKUP($A116, LS_previous!$B$4:$AY$138, LS_previous!F$149, FALSE), VLOOKUP('Staging Table'!$A116, LS_previous!$B$4:$AY$138,LS_previous!AD$149, FALSE))/2)</f>
        <v>-382.49606402219797</v>
      </c>
      <c r="O116" s="382">
        <f t="array" ref="O116">IF($G116=0, INDEX(LS_previous!$D$4:$AY$138, MATCH('Staging Table'!$A116, LS_previous!$B$4:$B$138, 0), MATCH(O$4&amp;O$5, LS_previous!$D$2:$AY$2&amp;LS_previous!$D$3:$AY$3, 0)),SUM(VLOOKUP($A116, LS_previous!$B$4:$AY$138, LS_previous!G$149, FALSE), VLOOKUP('Staging Table'!$A116, LS_previous!$B$4:$AY$138,LS_previous!AE$149, FALSE))/2)</f>
        <v>27.517099555943787</v>
      </c>
      <c r="P116" s="382">
        <f t="array" ref="P116">IF($G116=0, INDEX(LS_previous!$D$4:$AY$138, MATCH('Staging Table'!$A116, LS_previous!$B$4:$B$138, 0), MATCH(P$4&amp;P$5, LS_previous!$D$2:$AY$2&amp;LS_previous!$D$3:$AY$3, 0)),SUM(VLOOKUP($A116, LS_previous!$B$4:$AY$138, LS_previous!H$149, FALSE), VLOOKUP('Staging Table'!$A116, LS_previous!$B$4:$AY$138,LS_previous!AF$149, FALSE))/2)</f>
        <v>381.87371937474836</v>
      </c>
      <c r="Q116" s="382">
        <f t="array" ref="Q116">IF($G116=0, INDEX(LS_previous!$D$4:$AY$138, MATCH('Staging Table'!$A116, LS_previous!$B$4:$B$138, 0), MATCH(Q$4&amp;Q$5, LS_previous!$D$2:$AY$2&amp;LS_previous!$D$3:$AY$3, 0)),SUM(VLOOKUP($A116, LS_previous!$B$4:$AY$138, LS_previous!I$149, FALSE), VLOOKUP('Staging Table'!$A116, LS_previous!$B$4:$AY$138,LS_previous!AG$149, FALSE))/2)</f>
        <v>346.62879233585818</v>
      </c>
      <c r="R116" s="382">
        <f t="array" ref="R116">IF($G116=0, INDEX(LS_previous!$D$4:$AY$138, MATCH('Staging Table'!$A116, LS_previous!$B$4:$B$138, 0), MATCH(R$4&amp;R$5, LS_previous!$D$2:$AY$2&amp;LS_previous!$D$3:$AY$3, 0)),SUM(VLOOKUP($A116, LS_previous!$B$4:$AY$138, LS_previous!J$149, FALSE), VLOOKUP('Staging Table'!$A116, LS_previous!$B$4:$AY$138,LS_previous!AH$149, FALSE))/2)</f>
        <v>932.20561850744434</v>
      </c>
      <c r="S116" s="382">
        <f t="array" ref="S116">IF($G116=0, INDEX(LS_previous!$D$4:$AY$138, MATCH('Staging Table'!$A116, LS_previous!$B$4:$B$138, 0), MATCH(S$4&amp;S$5, LS_previous!$D$2:$AY$2&amp;LS_previous!$D$3:$AY$3, 0)),SUM(VLOOKUP($A116, LS_previous!$B$4:$AY$138, LS_previous!K$149, FALSE), VLOOKUP('Staging Table'!$A116, LS_previous!$B$4:$AY$138,LS_previous!AI$149, FALSE))/2)</f>
        <v>828.40374538335254</v>
      </c>
      <c r="T116" s="382">
        <f t="array" ref="T116">IF($G116=0, INDEX(LS_previous!$D$4:$AY$138, MATCH('Staging Table'!$A116, LS_previous!$B$4:$B$138, 0), MATCH(T$4&amp;T$5, LS_previous!$D$2:$AY$2&amp;LS_previous!$D$3:$AY$3, 0)),SUM(VLOOKUP($A116, LS_previous!$B$4:$AY$138, LS_previous!L$149, FALSE), VLOOKUP('Staging Table'!$A116, LS_previous!$B$4:$AY$138,LS_previous!AJ$149, FALSE))/2)</f>
        <v>783.5091499132941</v>
      </c>
      <c r="U116" s="382">
        <f t="array" ref="U116">IF($G116=0, INDEX(LS_previous!$D$4:$AY$138, MATCH('Staging Table'!$A116, LS_previous!$B$4:$B$138, 0), MATCH(U$4&amp;U$5, LS_previous!$D$2:$AY$2&amp;LS_previous!$D$3:$AY$3, 0)),SUM(VLOOKUP($A116, LS_previous!$B$4:$AY$138, LS_previous!M$149, FALSE), VLOOKUP('Staging Table'!$A116, LS_previous!$B$4:$AY$138,LS_previous!AK$149, FALSE))/2)</f>
        <v>604.69298442245145</v>
      </c>
      <c r="V116" s="382">
        <f t="array" ref="V116">IF($G116=0, INDEX(LS_previous!$D$4:$AY$138, MATCH('Staging Table'!$A116, LS_previous!$B$4:$B$138, 0), MATCH(V$4&amp;V$5, LS_previous!$D$2:$AY$2&amp;LS_previous!$D$3:$AY$3, 0)),SUM(VLOOKUP($A116, LS_previous!$B$4:$AY$138, LS_previous!N$149, FALSE), VLOOKUP('Staging Table'!$A116, LS_previous!$B$4:$AY$138,LS_previous!AL$149, FALSE))/2)</f>
        <v>115.3158031626599</v>
      </c>
      <c r="W116" s="382">
        <f t="array" ref="W116">IF($G116=0, INDEX(LS_previous!$D$4:$AY$138, MATCH('Staging Table'!$A116, LS_previous!$B$4:$B$138, 0), MATCH(W$4&amp;W$5, LS_previous!$D$2:$AY$2&amp;LS_previous!$D$3:$AY$3, 0)),SUM(VLOOKUP($A116, LS_previous!$B$4:$AY$138, LS_previous!O$149, FALSE), VLOOKUP('Staging Table'!$A116, LS_previous!$B$4:$AY$138,LS_previous!AM$149, FALSE))/2)</f>
        <v>58.972312744235751</v>
      </c>
      <c r="X116" s="382">
        <f t="array" ref="X116">IF($G116=0, INDEX(LS_previous!$D$4:$AY$138, MATCH('Staging Table'!$A116, LS_previous!$B$4:$B$138, 0), MATCH(X$4&amp;X$5, LS_previous!$D$2:$AY$2&amp;LS_previous!$D$3:$AY$3, 0)),SUM(VLOOKUP($A116, LS_previous!$B$4:$AY$138, LS_previous!P$149, FALSE), VLOOKUP('Staging Table'!$A116, LS_previous!$B$4:$AY$138,LS_previous!AN$149, FALSE))/2)</f>
        <v>410.03100638833712</v>
      </c>
      <c r="Y116" s="382">
        <f t="array" ref="Y116">IF($G116=0, INDEX(LS_previous!$D$4:$AY$138, MATCH('Staging Table'!$A116, LS_previous!$B$4:$B$138, 0), MATCH(Y$4&amp;Y$5, LS_previous!$D$2:$AY$2&amp;LS_previous!$D$3:$AY$3, 0)),SUM(VLOOKUP($A116, LS_previous!$B$4:$AY$138, LS_previous!Q$149, FALSE), VLOOKUP('Staging Table'!$A116, LS_previous!$B$4:$AY$138,LS_previous!AO$149, FALSE))/2)</f>
        <v>246.1573676944663</v>
      </c>
      <c r="Z116" s="382">
        <f t="array" ref="Z116">IF($G116=0, INDEX(LS_previous!$D$4:$AY$138, MATCH('Staging Table'!$A116, LS_previous!$B$4:$B$138, 0), MATCH(Z$4&amp;Z$5, LS_previous!$D$2:$AY$2&amp;LS_previous!$D$3:$AY$3, 0)),SUM(VLOOKUP($A116, LS_previous!$B$4:$AY$138, LS_previous!R$149, FALSE), VLOOKUP('Staging Table'!$A116, LS_previous!$B$4:$AY$138,LS_previous!AP$149, FALSE))/2)</f>
        <v>-2671.3067511901736</v>
      </c>
      <c r="AA116" s="382">
        <f t="array" ref="AA116">IF($G116=0, INDEX(LS_previous!$D$4:$AY$138, MATCH('Staging Table'!$A116, LS_previous!$B$4:$B$138, 0), MATCH(AA$4&amp;AA$5, LS_previous!$D$2:$AY$2&amp;LS_previous!$D$3:$AY$3, 0)),SUM(VLOOKUP($A116, LS_previous!$B$4:$AY$138, LS_previous!S$149, FALSE), VLOOKUP('Staging Table'!$A116, LS_previous!$B$4:$AY$138,LS_previous!AQ$149, FALSE))/2)</f>
        <v>-1022.7357583298799</v>
      </c>
      <c r="AB116" s="382">
        <f t="array" ref="AB116">IF($G116=0, INDEX(LS_previous!$D$4:$AY$138, MATCH('Staging Table'!$A116, LS_previous!$B$4:$B$138, 0), MATCH(AB$4&amp;AB$5, LS_previous!$D$2:$AY$2&amp;LS_previous!$D$3:$AY$3, 0)),SUM(VLOOKUP($A116, LS_previous!$B$4:$AY$138, LS_previous!T$149, FALSE), VLOOKUP('Staging Table'!$A116, LS_previous!$B$4:$AY$138,LS_previous!AR$149, FALSE))/2)</f>
        <v>-1454.1872722213056</v>
      </c>
      <c r="AC116" s="382">
        <f t="array" ref="AC116">IF($G116=0, INDEX(LS_previous!$D$4:$AY$138, MATCH('Staging Table'!$A116, LS_previous!$B$4:$B$138, 0), MATCH(AC$4&amp;AC$5, LS_previous!$D$2:$AY$2&amp;LS_previous!$D$3:$AY$3, 0)),SUM(VLOOKUP($A116, LS_previous!$B$4:$AY$138, LS_previous!U$149, FALSE), VLOOKUP('Staging Table'!$A116, LS_previous!$B$4:$AY$138,LS_previous!AS$149, FALSE))/2)</f>
        <v>-671.50429590724343</v>
      </c>
      <c r="AD116" s="382">
        <f t="array" ref="AD116">IF($G116=0, INDEX(LS_previous!$D$4:$AY$138, MATCH('Staging Table'!$A116, LS_previous!$B$4:$B$138, 0), MATCH(AD$4&amp;AD$5, LS_previous!$D$2:$AY$2&amp;LS_previous!$D$3:$AY$3, 0)),SUM(VLOOKUP($A116, LS_previous!$B$4:$AY$138, LS_previous!V$149, FALSE), VLOOKUP('Staging Table'!$A116, LS_previous!$B$4:$AY$138,LS_previous!AT$149, FALSE))/2)</f>
        <v>-1056.4046538932125</v>
      </c>
      <c r="AE116" s="382">
        <f t="array" ref="AE116">IF($G116=0, INDEX(LS_previous!$D$4:$AY$138, MATCH('Staging Table'!$A116, LS_previous!$B$4:$B$138, 0), MATCH(AE$4&amp;AE$5, LS_previous!$D$2:$AY$2&amp;LS_previous!$D$3:$AY$3, 0)),SUM(VLOOKUP($A116, LS_previous!$B$4:$AY$138, LS_previous!W$149, FALSE), VLOOKUP('Staging Table'!$A116, LS_previous!$B$4:$AY$138,LS_previous!AU$149, FALSE))/2)</f>
        <v>-136.61167992655646</v>
      </c>
      <c r="AF116" s="382">
        <f t="array" ref="AF116">IF($G116=0, INDEX(LS_previous!$D$4:$AY$138, MATCH('Staging Table'!$A116, LS_previous!$B$4:$B$138, 0), MATCH(AF$4&amp;AF$5, LS_previous!$D$2:$AY$2&amp;LS_previous!$D$3:$AY$3, 0)),SUM(VLOOKUP($A116, LS_previous!$B$4:$AY$138, LS_previous!X$149, FALSE), VLOOKUP('Staging Table'!$A116, LS_previous!$B$4:$AY$138,LS_previous!AV$149, FALSE))/2)</f>
        <v>-1263.4291584771881</v>
      </c>
      <c r="AG116" s="382">
        <f t="array" ref="AG116">IF($G116=0, INDEX(LS_previous!$D$4:$AY$138, MATCH('Staging Table'!$A116, LS_previous!$B$4:$B$138, 0), MATCH(AG$4&amp;AG$5, LS_previous!$D$2:$AY$2&amp;LS_previous!$D$3:$AY$3, 0)),SUM(VLOOKUP($A116, LS_previous!$B$4:$AY$138, LS_previous!Y$149, FALSE), VLOOKUP('Staging Table'!$A116, LS_previous!$B$4:$AY$138,LS_previous!AW$149, FALSE))/2)</f>
        <v>-298.80468477094155</v>
      </c>
      <c r="AH116" s="382">
        <f t="array" ref="AH116">IF($G116=0, INDEX(LS_previous!$D$4:$AY$138, MATCH('Staging Table'!$A116, LS_previous!$B$4:$B$138, 0), MATCH(AH$4&amp;AH$5, LS_previous!$D$2:$AY$2&amp;LS_previous!$D$3:$AY$3, 0)),SUM(VLOOKUP($A116, LS_previous!$B$4:$AY$138, LS_previous!Z$149, FALSE), VLOOKUP('Staging Table'!$A116, LS_previous!$B$4:$AY$138,LS_previous!AX$149, FALSE))/2)</f>
        <v>-240.09580016338987</v>
      </c>
      <c r="AI116" s="382">
        <f t="array" ref="AI116">IF($G116=0, INDEX(LS_previous!$D$4:$AY$138, MATCH('Staging Table'!$A116, LS_previous!$B$4:$B$138, 0), MATCH(AI$4&amp;AI$5, LS_previous!$D$2:$AY$2&amp;LS_previous!$D$3:$AY$3, 0)),SUM(VLOOKUP($A116, LS_previous!$B$4:$AY$138, LS_previous!AA$149, FALSE), VLOOKUP('Staging Table'!$A116, LS_previous!$B$4:$AY$138,LS_previous!AY$149, FALSE))/2)</f>
        <v>-58.410989422913644</v>
      </c>
      <c r="AJ116" s="384">
        <f t="array" ref="AJ116">INDEX(Demand_previous!$D$4:$AY$138, MATCH('Staging Table'!$A116, Demand_previous!$B$4:$B$138, 0), MATCH(AJ$4&amp;AJ$5,Demand_previous!$D$2:$AY$2&amp;Demand_previous!$D$3:$AY$3, 0))/1000</f>
        <v>0.17023611111111056</v>
      </c>
      <c r="AK116" s="384">
        <f t="array" ref="AK116">INDEX(Demand_previous!$D$4:$AY$138, MATCH('Staging Table'!$A116, Demand_previous!$B$4:$B$138, 0), MATCH(AK$4&amp;AK$5,Demand_previous!$D$2:$AY$2&amp;Demand_previous!$D$3:$AY$3, 0))/1000</f>
        <v>0.67025781249999961</v>
      </c>
      <c r="AL116" s="384">
        <f t="array" ref="AL116">INDEX(Demand_previous!$D$4:$AY$138, MATCH('Staging Table'!$A116, Demand_previous!$B$4:$B$138, 0), MATCH(AL$4&amp;AL$5,Demand_previous!$D$2:$AY$2&amp;Demand_previous!$D$3:$AY$3, 0))/1000</f>
        <v>1.9026875000000016</v>
      </c>
      <c r="AM116" s="384">
        <f t="array" ref="AM116">INDEX(Demand_previous!$D$4:$AY$138, MATCH('Staging Table'!$A116, Demand_previous!$B$4:$B$138, 0), MATCH(AM$4&amp;AM$5,Demand_previous!$D$2:$AY$2&amp;Demand_previous!$D$3:$AY$3, 0))/1000</f>
        <v>1.7228299999999992</v>
      </c>
      <c r="AN116" s="384">
        <f t="array" ref="AN116">INDEX(Demand_previous!$D$4:$AY$138, MATCH('Staging Table'!$A116, Demand_previous!$B$4:$B$138, 0), MATCH(AN$4&amp;AN$5,Demand_previous!$D$2:$AY$2&amp;Demand_previous!$D$3:$AY$3, 0))/1000</f>
        <v>1.7667599999999997</v>
      </c>
      <c r="AO116" s="384">
        <f t="array" ref="AO116">INDEX(Demand_previous!$D$4:$AY$138, MATCH('Staging Table'!$A116, Demand_previous!$B$4:$B$138, 0), MATCH(AO$4&amp;AO$5,Demand_previous!$D$2:$AY$2&amp;Demand_previous!$D$3:$AY$3, 0))/1000</f>
        <v>0.8010532407407398</v>
      </c>
      <c r="AP116" s="384">
        <f t="array" ref="AP116">INDEX(Demand_previous!$D$4:$AY$138, MATCH('Staging Table'!$A116, Demand_previous!$B$4:$B$138, 0), MATCH(AP$4&amp;AP$5,Demand_previous!$D$2:$AY$2&amp;Demand_previous!$D$3:$AY$3, 0))/1000</f>
        <v>0</v>
      </c>
      <c r="AQ116" s="384">
        <f t="array" ref="AQ116">INDEX(Demand_previous!$D$4:$AY$138, MATCH('Staging Table'!$A116, Demand_previous!$B$4:$B$138, 0), MATCH(AQ$4&amp;AQ$5,Demand_previous!$D$2:$AY$2&amp;Demand_previous!$D$3:$AY$3, 0))/1000</f>
        <v>0</v>
      </c>
      <c r="AR116" s="384">
        <f t="array" ref="AR116">INDEX(Demand_previous!$D$4:$AY$138, MATCH('Staging Table'!$A116, Demand_previous!$B$4:$B$138, 0), MATCH(AR$4&amp;AR$5,Demand_previous!$D$2:$AY$2&amp;Demand_previous!$D$3:$AY$3, 0))/1000</f>
        <v>1.2852283653846166</v>
      </c>
      <c r="AS116" s="384">
        <f t="array" ref="AS116">INDEX(Demand_previous!$D$4:$AY$138, MATCH('Staging Table'!$A116, Demand_previous!$B$4:$B$138, 0), MATCH(AS$4&amp;AS$5,Demand_previous!$D$2:$AY$2&amp;Demand_previous!$D$3:$AY$3, 0))/1000</f>
        <v>1.0542249999999991</v>
      </c>
      <c r="AT116" s="384">
        <f t="array" ref="AT116">INDEX(Demand_previous!$D$4:$AY$138, MATCH('Staging Table'!$A116, Demand_previous!$B$4:$B$138, 0), MATCH(AT$4&amp;AT$5,Demand_previous!$D$2:$AY$2&amp;Demand_previous!$D$3:$AY$3, 0))/1000</f>
        <v>1.3829976851851853</v>
      </c>
      <c r="AU116" s="384">
        <f t="array" ref="AU116">INDEX(Demand_previous!$D$4:$AY$138, MATCH('Staging Table'!$A116, Demand_previous!$B$4:$B$138, 0), MATCH(AU$4&amp;AU$5,Demand_previous!$D$2:$AY$2&amp;Demand_previous!$D$3:$AY$3, 0))/1000</f>
        <v>0.88179000000000052</v>
      </c>
      <c r="AV116" s="384">
        <f>IF($D116=0,IF(C116=0, MAX(AY116 - (VLOOKUP($A116,TOCA_previous!$A$2:$AI$137,MATCH("RHWM 2016",TOCA_previous!$A$2:$AI$2,0),FALSE)*$F$2*TOCA_previous!C113),0),0), 0)</f>
        <v>0</v>
      </c>
      <c r="AW116" s="427">
        <f>VLOOKUP($A116,REP_previous!$A$1:$D$135,MATCH("FY "&amp;$F$1&amp; " Total Refund",REP_previous!$A$1:$D$1,0),0)</f>
        <v>120518.54504210596</v>
      </c>
      <c r="AX116" s="398">
        <f>MIN(VLOOKUP($A116,TOCA_previous!$A$2:$AI$137,MATCH("TRL - NLSL - Exisiting Resource "&amp;$F$1,TOCA_previous!$A$2:$AI$2,0),FALSE)*$F$2,(VLOOKUP($A116,TOCA_previous!$A$2:$AI$137,MATCH("RHWM 2016",TOCA_previous!$A$2:$AI$2,0),FALSE)*$F$2))</f>
        <v>95965.200000000012</v>
      </c>
      <c r="AY116" s="384">
        <f>SUM(L116:AI116)+(F116*RT1SC!$C$3*$F$2)</f>
        <v>91178.586225885039</v>
      </c>
      <c r="AZ116" s="398">
        <f>VLOOKUP($A116,TOCA_previous!$A$2:$AI$137,MATCH("Above RHWM Not Served with LS "&amp;$F$1,TOCA_previous!$A$2:$AI$2,0),FALSE)*$F$2</f>
        <v>8546.8320000000003</v>
      </c>
      <c r="BA116" s="206">
        <f t="shared" si="19"/>
        <v>-4786.6137741149723</v>
      </c>
      <c r="BB116" s="399">
        <f>(VLOOKUP($A116,TOCA_previous!$A$2:$AI$137,MATCH("RHWM 2016",TOCA_previous!$A$2:$AI$2,0),FALSE)*$F$2) - $AX116</f>
        <v>0</v>
      </c>
      <c r="BC116" s="206">
        <f t="shared" si="20"/>
        <v>0</v>
      </c>
      <c r="BD116" s="400">
        <f t="shared" si="21"/>
        <v>0</v>
      </c>
      <c r="BE116" s="392">
        <f t="shared" si="22"/>
        <v>0</v>
      </c>
      <c r="BF116" s="399">
        <f t="shared" si="23"/>
        <v>0</v>
      </c>
      <c r="BG116" s="206">
        <f>VLOOKUP($A116,TOCA_current!$A$2:$AI$137,MATCH(BG$4,TOCA_current!$A$2:$AI$2,0),FALSE)</f>
        <v>1.5629999999999999E-3</v>
      </c>
      <c r="BH116" s="206">
        <f>VLOOKUP($A116,TOCA_current!$A$2:$AI$137,MATCH(BH$4,TOCA_current!$A$2:$AI$2,0),FALSE)</f>
        <v>1.5629999999999999E-3</v>
      </c>
      <c r="BI116" s="391">
        <f t="shared" si="24"/>
        <v>0</v>
      </c>
      <c r="BJ116" s="206">
        <f>VLOOKUP($A116,TOCA_current!A112:BG247,MATCH(BJ$4,TOCA_current!$A$2:$BG$2,0),FALSE)</f>
        <v>0</v>
      </c>
      <c r="BK116" s="206">
        <f t="shared" si="25"/>
        <v>0</v>
      </c>
      <c r="BL116" s="206">
        <f t="shared" si="26"/>
        <v>0</v>
      </c>
      <c r="BM116" s="381">
        <f>VLOOKUP($A116,IRD!$A$4:$G$139, 7, FALSE)</f>
        <v>0</v>
      </c>
      <c r="BN116" s="382">
        <f t="array" ref="BN116">IF($BI116=0, INDEX(LS_current!$D$4:$AY$139, MATCH('Staging Table'!$A116, LS_current!$B$4:$B$139, 0), MATCH(BN$4&amp;BN$5, LS_current!$D$2:$AY$2&amp;LS_current!$D$3:$AY$3, 0)),SUM(VLOOKUP($A116, LS_current!$B$4:$AY$139, LS_current!D$149, FALSE), VLOOKUP($A116, LS_current!$B$4:$AY$139,LS_current!D$149, FALSE))/2)</f>
        <v>-177.10949985197931</v>
      </c>
      <c r="BO116" s="382">
        <f t="array" ref="BO116">IF($BI116=0, INDEX(LS_current!$D$4:$AY$139, MATCH('Staging Table'!$A116, LS_current!$B$4:$B$139, 0), MATCH(BO$4&amp;BO$5, LS_current!$D$2:$AY$2&amp;LS_current!$D$3:$AY$3, 0)),SUM(VLOOKUP($A116, LS_current!$B$4:$AY$139, LS_current!E$149, FALSE), VLOOKUP($A116, LS_current!$B$4:$AY$139,LS_current!E$149, FALSE))/2)</f>
        <v>88.840077237191053</v>
      </c>
      <c r="BP116" s="382">
        <f t="array" ref="BP116">IF($BI116=0, INDEX(LS_current!$D$4:$AY$139, MATCH('Staging Table'!$A116, LS_current!$B$4:$B$139, 0), MATCH(BP$4&amp;BP$5, LS_current!$D$2:$AY$2&amp;LS_current!$D$3:$AY$3, 0)),SUM(VLOOKUP($A116, LS_current!$B$4:$AY$139, LS_current!F$149, FALSE), VLOOKUP($A116, LS_current!$B$4:$AY$139,LS_current!F$149, FALSE))/2)</f>
        <v>-478.6348013043762</v>
      </c>
      <c r="BQ116" s="382">
        <f t="array" ref="BQ116">IF($BI116=0, INDEX(LS_current!$D$4:$AY$139, MATCH('Staging Table'!$A116, LS_current!$B$4:$B$139, 0), MATCH(BQ$4&amp;BQ$5, LS_current!$D$2:$AY$2&amp;LS_current!$D$3:$AY$3, 0)),SUM(VLOOKUP($A116, LS_current!$B$4:$AY$139, LS_current!G$149, FALSE), VLOOKUP($A116, LS_current!$B$4:$AY$139,LS_current!G$149, FALSE))/2)</f>
        <v>101.49917813140519</v>
      </c>
      <c r="BR116" s="382">
        <f t="array" ref="BR116">IF($BI116=0, INDEX(LS_current!$D$4:$AY$139, MATCH('Staging Table'!$A116, LS_current!$B$4:$B$139, 0), MATCH(BR$4&amp;BR$5, LS_current!$D$2:$AY$2&amp;LS_current!$D$3:$AY$3, 0)),SUM(VLOOKUP($A116, LS_current!$B$4:$AY$139, LS_current!H$149, FALSE), VLOOKUP($A116, LS_current!$B$4:$AY$139,LS_current!H$149, FALSE))/2)</f>
        <v>253.76911517452936</v>
      </c>
      <c r="BS116" s="382">
        <f t="array" ref="BS116">IF($BI116=0, INDEX(LS_current!$D$4:$AY$139, MATCH('Staging Table'!$A116, LS_current!$B$4:$B$139, 0), MATCH(BS$4&amp;BS$5, LS_current!$D$2:$AY$2&amp;LS_current!$D$3:$AY$3, 0)),SUM(VLOOKUP($A116, LS_current!$B$4:$AY$139, LS_current!I$149, FALSE), VLOOKUP($A116, LS_current!$B$4:$AY$139,LS_current!I$149, FALSE))/2)</f>
        <v>328.94890823381456</v>
      </c>
      <c r="BT116" s="382">
        <f t="array" ref="BT116">IF($BI116=0, INDEX(LS_current!$D$4:$AY$139, MATCH('Staging Table'!$A116, LS_current!$B$4:$B$139, 0), MATCH(BT$4&amp;BT$5, LS_current!$D$2:$AY$2&amp;LS_current!$D$3:$AY$3, 0)),SUM(VLOOKUP($A116, LS_current!$B$4:$AY$139, LS_current!J$149, FALSE), VLOOKUP($A116, LS_current!$B$4:$AY$139,LS_current!J$149, FALSE))/2)</f>
        <v>900.32384644157719</v>
      </c>
      <c r="BU116" s="382">
        <f t="array" ref="BU116">IF($BI116=0, INDEX(LS_current!$D$4:$AY$139, MATCH('Staging Table'!$A116, LS_current!$B$4:$B$139, 0), MATCH(BU$4&amp;BU$5, LS_current!$D$2:$AY$2&amp;LS_current!$D$3:$AY$3, 0)),SUM(VLOOKUP($A116, LS_current!$B$4:$AY$139, LS_current!K$149, FALSE), VLOOKUP($A116, LS_current!$B$4:$AY$139,LS_current!K$149, FALSE))/2)</f>
        <v>860.72120186334405</v>
      </c>
      <c r="BV116" s="382">
        <f t="array" ref="BV116">IF($BI116=0, INDEX(LS_current!$D$4:$AY$139, MATCH('Staging Table'!$A116, LS_current!$B$4:$B$139, 0), MATCH(BV$4&amp;BV$5, LS_current!$D$2:$AY$2&amp;LS_current!$D$3:$AY$3, 0)),SUM(VLOOKUP($A116, LS_current!$B$4:$AY$139, LS_current!L$149, FALSE), VLOOKUP($A116, LS_current!$B$4:$AY$139,LS_current!L$149, FALSE))/2)</f>
        <v>1157.3306171002409</v>
      </c>
      <c r="BW116" s="382">
        <f t="array" ref="BW116">IF($BI116=0, INDEX(LS_current!$D$4:$AY$139, MATCH('Staging Table'!$A116, LS_current!$B$4:$B$139, 0), MATCH(BW$4&amp;BW$5, LS_current!$D$2:$AY$2&amp;LS_current!$D$3:$AY$3, 0)),SUM(VLOOKUP($A116, LS_current!$B$4:$AY$139, LS_current!M$149, FALSE), VLOOKUP($A116, LS_current!$B$4:$AY$139,LS_current!M$149, FALSE))/2)</f>
        <v>892.48830027222493</v>
      </c>
      <c r="BX116" s="382">
        <f t="array" ref="BX116">IF($BI116=0, INDEX(LS_current!$D$4:$AY$139, MATCH('Staging Table'!$A116, LS_current!$B$4:$B$139, 0), MATCH(BX$4&amp;BX$5, LS_current!$D$2:$AY$2&amp;LS_current!$D$3:$AY$3, 0)),SUM(VLOOKUP($A116, LS_current!$B$4:$AY$139, LS_current!N$149, FALSE), VLOOKUP($A116, LS_current!$B$4:$AY$139,LS_current!N$149, FALSE))/2)</f>
        <v>405.84055958107365</v>
      </c>
      <c r="BY116" s="382">
        <f t="array" ref="BY116">IF($BI116=0, INDEX(LS_current!$D$4:$AY$139, MATCH('Staging Table'!$A116, LS_current!$B$4:$B$139, 0), MATCH(BY$4&amp;BY$5, LS_current!$D$2:$AY$2&amp;LS_current!$D$3:$AY$3, 0)),SUM(VLOOKUP($A116, LS_current!$B$4:$AY$139, LS_current!O$149, FALSE), VLOOKUP($A116, LS_current!$B$4:$AY$139,LS_current!O$149, FALSE))/2)</f>
        <v>368.1208332173228</v>
      </c>
      <c r="BZ116" s="382">
        <f t="array" ref="BZ116">IF($BI116=0, INDEX(LS_current!$D$4:$AY$139, MATCH('Staging Table'!$A116, LS_current!$B$4:$B$139, 0), MATCH(BZ$4&amp;BZ$5, LS_current!$D$2:$AY$2&amp;LS_current!$D$3:$AY$3, 0)),SUM(VLOOKUP($A116, LS_current!$B$4:$AY$139, LS_current!P$149, FALSE), VLOOKUP($A116, LS_current!$B$4:$AY$139,LS_current!P$149, FALSE))/2)</f>
        <v>-14.931486992920327</v>
      </c>
      <c r="CA116" s="382">
        <f t="array" ref="CA116">IF($BI116=0, INDEX(LS_current!$D$4:$AY$139, MATCH('Staging Table'!$A116, LS_current!$B$4:$B$139, 0), MATCH(CA$4&amp;CA$5, LS_current!$D$2:$AY$2&amp;LS_current!$D$3:$AY$3, 0)),SUM(VLOOKUP($A116, LS_current!$B$4:$AY$139, LS_current!Q$149, FALSE), VLOOKUP($A116, LS_current!$B$4:$AY$139,LS_current!Q$149, FALSE))/2)</f>
        <v>223.31050820360906</v>
      </c>
      <c r="CB116" s="382">
        <f t="array" ref="CB116">IF($BI116=0, INDEX(LS_current!$D$4:$AY$139, MATCH('Staging Table'!$A116, LS_current!$B$4:$B$139, 0), MATCH(CB$4&amp;CB$5, LS_current!$D$2:$AY$2&amp;LS_current!$D$3:$AY$3, 0)),SUM(VLOOKUP($A116, LS_current!$B$4:$AY$139, LS_current!R$149, FALSE), VLOOKUP($A116, LS_current!$B$4:$AY$139,LS_current!R$149, FALSE))/2)</f>
        <v>-2589.4405081134673</v>
      </c>
      <c r="CC116" s="382">
        <f t="array" ref="CC116">IF($BI116=0, INDEX(LS_current!$D$4:$AY$139, MATCH('Staging Table'!$A116, LS_current!$B$4:$B$139, 0), MATCH(CC$4&amp;CC$5, LS_current!$D$2:$AY$2&amp;LS_current!$D$3:$AY$3, 0)),SUM(VLOOKUP($A116, LS_current!$B$4:$AY$139, LS_current!S$149, FALSE), VLOOKUP($A116, LS_current!$B$4:$AY$139,LS_current!S$149, FALSE))/2)</f>
        <v>-1036.5187312155381</v>
      </c>
      <c r="CD116" s="382">
        <f t="array" ref="CD116">IF($BI116=0, INDEX(LS_current!$D$4:$AY$139, MATCH('Staging Table'!$A116, LS_current!$B$4:$B$139, 0), MATCH(CD$4&amp;CD$5, LS_current!$D$2:$AY$2&amp;LS_current!$D$3:$AY$3, 0)),SUM(VLOOKUP($A116, LS_current!$B$4:$AY$139, LS_current!T$149, FALSE), VLOOKUP($A116, LS_current!$B$4:$AY$139,LS_current!T$149, FALSE))/2)</f>
        <v>-1391.5543117947291</v>
      </c>
      <c r="CE116" s="382">
        <f t="array" ref="CE116">IF($BI116=0, INDEX(LS_current!$D$4:$AY$139, MATCH('Staging Table'!$A116, LS_current!$B$4:$B$139, 0), MATCH(CE$4&amp;CE$5, LS_current!$D$2:$AY$2&amp;LS_current!$D$3:$AY$3, 0)),SUM(VLOOKUP($A116, LS_current!$B$4:$AY$139, LS_current!U$149, FALSE), VLOOKUP($A116, LS_current!$B$4:$AY$139,LS_current!U$149, FALSE))/2)</f>
        <v>-428.61878790923265</v>
      </c>
      <c r="CF116" s="382">
        <f t="array" ref="CF116">IF($BI116=0, INDEX(LS_current!$D$4:$AY$139, MATCH('Staging Table'!$A116, LS_current!$B$4:$B$139, 0), MATCH(CF$4&amp;CF$5, LS_current!$D$2:$AY$2&amp;LS_current!$D$3:$AY$3, 0)),SUM(VLOOKUP($A116, LS_current!$B$4:$AY$139, LS_current!V$149, FALSE), VLOOKUP($A116, LS_current!$B$4:$AY$139,LS_current!V$149, FALSE))/2)</f>
        <v>-712.96291279935258</v>
      </c>
      <c r="CG116" s="382">
        <f t="array" ref="CG116">IF($BI116=0, INDEX(LS_current!$D$4:$AY$139, MATCH('Staging Table'!$A116, LS_current!$B$4:$B$139, 0), MATCH(CG$4&amp;CG$5, LS_current!$D$2:$AY$2&amp;LS_current!$D$3:$AY$3, 0)),SUM(VLOOKUP($A116, LS_current!$B$4:$AY$139, LS_current!W$149, FALSE), VLOOKUP($A116, LS_current!$B$4:$AY$139,LS_current!W$149, FALSE))/2)</f>
        <v>83.400748125625796</v>
      </c>
      <c r="CH116" s="382">
        <f t="array" ref="CH116">IF($BI116=0, INDEX(LS_current!$D$4:$AY$139, MATCH('Staging Table'!$A116, LS_current!$B$4:$B$139, 0), MATCH(CH$4&amp;CH$5, LS_current!$D$2:$AY$2&amp;LS_current!$D$3:$AY$3, 0)),SUM(VLOOKUP($A116, LS_current!$B$4:$AY$139, LS_current!X$149, FALSE), VLOOKUP($A116, LS_current!$B$4:$AY$139,LS_current!X$149, FALSE))/2)</f>
        <v>-1197.7128949199932</v>
      </c>
      <c r="CI116" s="382">
        <f t="array" ref="CI116">IF($BI116=0, INDEX(LS_current!$D$4:$AY$139, MATCH('Staging Table'!$A116, LS_current!$B$4:$B$139, 0), MATCH(CI$4&amp;CI$5, LS_current!$D$2:$AY$2&amp;LS_current!$D$3:$AY$3, 0)),SUM(VLOOKUP($A116, LS_current!$B$4:$AY$139, LS_current!Y$149, FALSE), VLOOKUP($A116, LS_current!$B$4:$AY$139,LS_current!Y$149, FALSE))/2)</f>
        <v>-185.23107778175608</v>
      </c>
      <c r="CJ116" s="382">
        <f t="array" ref="CJ116">IF($BI116=0, INDEX(LS_current!$D$4:$AY$139, MATCH('Staging Table'!$A116, LS_current!$B$4:$B$139, 0), MATCH(CJ$4&amp;CJ$5, LS_current!$D$2:$AY$2&amp;LS_current!$D$3:$AY$3, 0)),SUM(VLOOKUP($A116, LS_current!$B$4:$AY$139, LS_current!Z$149, FALSE), VLOOKUP($A116, LS_current!$B$4:$AY$139,LS_current!Z$149, FALSE))/2)</f>
        <v>-625.51074192414262</v>
      </c>
      <c r="CK116" s="382">
        <f t="array" ref="CK116">IF($BI116=0, INDEX(LS_current!$D$4:$AY$139, MATCH('Staging Table'!$A116, LS_current!$B$4:$B$139, 0), MATCH(CK$4&amp;CK$5, LS_current!$D$2:$AY$2&amp;LS_current!$D$3:$AY$3, 0)),SUM(VLOOKUP($A116, LS_current!$B$4:$AY$139, LS_current!AA$149, FALSE), VLOOKUP($A116, LS_current!$B$4:$AY$139,LS_current!AA$149, FALSE))/2)</f>
        <v>-37.906802202874587</v>
      </c>
      <c r="CL116" s="384">
        <f t="array" ref="CL116">INDEX(Demand_current!$D$4:$AY$138, MATCH($A116, Demand_current!$B$4:$B$138, 0), MATCH(CL$4&amp;CL$5,Demand_current!$D$2:$AY$2&amp;Demand_current!$D$3:$AY$3, 0))/1000</f>
        <v>0</v>
      </c>
      <c r="CM116" s="384">
        <f t="array" ref="CM116">INDEX(Demand_current!$D$4:$AY$138, MATCH($A116, Demand_current!$B$4:$B$138, 0), MATCH(CM$4&amp;CM$5,Demand_current!$D$2:$AY$2&amp;Demand_current!$D$3:$AY$3, 0))/1000</f>
        <v>1.2522474999999997</v>
      </c>
      <c r="CN116" s="384">
        <f t="array" ref="CN116">INDEX(Demand_current!$D$4:$AY$138, MATCH($A116, Demand_current!$B$4:$B$138, 0), MATCH(CN$4&amp;CN$5,Demand_current!$D$2:$AY$2&amp;Demand_current!$D$3:$AY$3, 0))/1000</f>
        <v>1.3077950000000014</v>
      </c>
      <c r="CO116" s="384">
        <f t="array" ref="CO116">INDEX(Demand_current!$D$4:$AY$138, MATCH($A116, Demand_current!$B$4:$B$138, 0), MATCH(CO$4&amp;CO$5,Demand_current!$D$2:$AY$2&amp;Demand_current!$D$3:$AY$3, 0))/1000</f>
        <v>2.2994519230769237</v>
      </c>
      <c r="CP116" s="384">
        <f t="array" ref="CP116">INDEX(Demand_current!$D$4:$AY$138, MATCH($A116, Demand_current!$B$4:$B$138, 0), MATCH(CP$4&amp;CP$5,Demand_current!$D$2:$AY$2&amp;Demand_current!$D$3:$AY$3, 0))/1000</f>
        <v>1.1979166666666661</v>
      </c>
      <c r="CQ116" s="384">
        <f t="array" ref="CQ116">INDEX(Demand_current!$D$4:$AY$138, MATCH($A116, Demand_current!$B$4:$B$138, 0), MATCH(CQ$4&amp;CQ$5,Demand_current!$D$2:$AY$2&amp;Demand_current!$D$3:$AY$3, 0))/1000</f>
        <v>0.8010532407407398</v>
      </c>
      <c r="CR116" s="384">
        <f t="array" ref="CR116">INDEX(Demand_current!$D$4:$AY$138, MATCH($A116, Demand_current!$B$4:$B$138, 0), MATCH(CR$4&amp;CR$5,Demand_current!$D$2:$AY$2&amp;Demand_current!$D$3:$AY$3, 0))/1000</f>
        <v>0</v>
      </c>
      <c r="CS116" s="384">
        <f t="array" ref="CS116">INDEX(Demand_current!$D$4:$AY$138, MATCH($A116, Demand_current!$B$4:$B$138, 0), MATCH(CS$4&amp;CS$5,Demand_current!$D$2:$AY$2&amp;Demand_current!$D$3:$AY$3, 0))/1000</f>
        <v>0.23288221153846012</v>
      </c>
      <c r="CT116" s="384">
        <f t="array" ref="CT116">INDEX(Demand_current!$D$4:$AY$138, MATCH($A116, Demand_current!$B$4:$B$138, 0), MATCH(CT$4&amp;CT$5,Demand_current!$D$2:$AY$2&amp;Demand_current!$D$3:$AY$3, 0))/1000</f>
        <v>1.2852283653846166</v>
      </c>
      <c r="CU116" s="384">
        <f t="array" ref="CU116">INDEX(Demand_current!$D$4:$AY$138, MATCH($A116, Demand_current!$B$4:$B$138, 0), MATCH(CU$4&amp;CU$5,Demand_current!$D$2:$AY$2&amp;Demand_current!$D$3:$AY$3, 0))/1000</f>
        <v>1.0542249999999991</v>
      </c>
      <c r="CV116" s="384">
        <f t="array" ref="CV116">INDEX(Demand_current!$D$4:$AY$138, MATCH($A116, Demand_current!$B$4:$B$138, 0), MATCH(CV$4&amp;CV$5,Demand_current!$D$2:$AY$2&amp;Demand_current!$D$3:$AY$3, 0))/1000</f>
        <v>1.3829976851851853</v>
      </c>
      <c r="CW116" s="384">
        <f t="array" ref="CW116">INDEX(Demand_current!$D$4:$AY$138, MATCH($A116, Demand_current!$B$4:$B$138, 0), MATCH(CW$4&amp;CW$5,Demand_current!$D$2:$AY$2&amp;Demand_current!$D$3:$AY$3, 0))/1000</f>
        <v>0.42661458333333435</v>
      </c>
      <c r="CX116" s="384">
        <f>IF(D116=0,IF(C116=0,MAX(0,DA116 - (VLOOKUP($A116,TOCA_current!$A$2:$AI$137,MATCH("RHWM 2018",TOCA_current!$A$2:$AI$2,0),FALSE)*$BH$2)), 0),0)</f>
        <v>0</v>
      </c>
      <c r="CY116" s="427">
        <f>VLOOKUP($A116,REP_current!$A$1:$D$135,MATCH("FY "&amp;$BH$1&amp; " Total Refund",REP_current!$A$1:$D$1,0),0)</f>
        <v>121409.34421493355</v>
      </c>
      <c r="CZ116" s="432">
        <f>MIN(VLOOKUP($A116,TOCA_current!$A$2:$AI$137,MATCH("TRL - NLSL - Existing Resource "&amp;$BH$1,TOCA_current!$A$2:$AI$2,0),FALSE)*$BH$2, VLOOKUP($A116,TOCA_current!$A$2:$AI$137,MATCH("RHWM 2018",TOCA_current!$A$2:$AI$2,0),FALSE)*$BH$2)</f>
        <v>95089.8</v>
      </c>
      <c r="DA116" s="397">
        <f>SUM(BN116:CK116)+(BH116*RT1SC!$C$4*$BH$2)</f>
        <v>91876.459387251583</v>
      </c>
      <c r="DB116" s="432">
        <f>VLOOKUP($A116,TOCA_current!$A$2:$AI$137,MATCH("Above RHWM Not Served with LS "&amp;$BH$1,TOCA_current!$A$2:$AI$2,0),FALSE)*$BH$2</f>
        <v>7848.96</v>
      </c>
      <c r="DC116" s="401">
        <f t="shared" si="27"/>
        <v>-3213.3406127484195</v>
      </c>
      <c r="DD116" s="397">
        <f>(VLOOKUP($A116,TOCA_current!$A$2:$AI$137,MATCH("RHWM 2018",TOCA_current!$A$2:$AI$2,0),FALSE)*$BH$2) - $CZ116</f>
        <v>0</v>
      </c>
      <c r="DE116" s="397">
        <f t="shared" si="28"/>
        <v>0</v>
      </c>
      <c r="DF116" s="397">
        <f t="shared" si="29"/>
        <v>0</v>
      </c>
      <c r="DG116" s="397">
        <f t="shared" si="30"/>
        <v>0</v>
      </c>
      <c r="DH116" s="397">
        <f t="shared" si="31"/>
        <v>0</v>
      </c>
    </row>
    <row r="117" spans="1:112">
      <c r="A117" s="274">
        <v>10376</v>
      </c>
      <c r="B117" s="275" t="s">
        <v>118</v>
      </c>
      <c r="C117" s="397">
        <v>0</v>
      </c>
      <c r="D117" s="397">
        <v>0</v>
      </c>
      <c r="E117" s="205">
        <f>VLOOKUP($A117,TOCA_previous!$A$2:$AI$137,MATCH(E$4,TOCA_previous!$A$2:$AI$2,0),FALSE)</f>
        <v>7.8521000000000007E-3</v>
      </c>
      <c r="F117" s="206">
        <f>VLOOKUP($A117,TOCA_previous!$A$2:$AI$137,MATCH(F$4,TOCA_previous!$A$2:$AI$2,0),FALSE)</f>
        <v>7.8521000000000007E-3</v>
      </c>
      <c r="G117" s="206">
        <f t="shared" si="16"/>
        <v>0</v>
      </c>
      <c r="H117" s="206">
        <f>VLOOKUP($A117,TOCA_previous!$A$2:$AI$137,MATCH(H$4,TOCA_previous!$A$2:$AI$2,0),FALSE)</f>
        <v>0</v>
      </c>
      <c r="I117" s="206">
        <f t="shared" si="17"/>
        <v>0</v>
      </c>
      <c r="J117" s="206">
        <f t="shared" si="18"/>
        <v>0</v>
      </c>
      <c r="K117" s="381">
        <f>VLOOKUP(A117, IRD!$A$5:$C$139, 3, FALSE)</f>
        <v>0</v>
      </c>
      <c r="L117" s="382">
        <f t="array" ref="L117">IF($G117=0, INDEX(LS_previous!$D$4:$AY$138, MATCH('Staging Table'!$A117, LS_previous!$B$4:$B$138, 0), MATCH(L$4&amp;L$5, LS_previous!$D$2:$AY$2&amp;LS_previous!$D$3:$AY$3, 0)),SUM(VLOOKUP($A117, LS_previous!$B$4:$AY$138, LS_previous!D$149, FALSE), VLOOKUP('Staging Table'!$A117, LS_previous!$B$4:$AY$138,LS_previous!AB$149, FALSE))/2)</f>
        <v>-835.12149839735139</v>
      </c>
      <c r="M117" s="382">
        <f t="array" ref="M117">IF($G117=0, INDEX(LS_previous!$D$4:$AY$138, MATCH('Staging Table'!$A117, LS_previous!$B$4:$B$138, 0), MATCH(M$4&amp;M$5, LS_previous!$D$2:$AY$2&amp;LS_previous!$D$3:$AY$3, 0)),SUM(VLOOKUP($A117, LS_previous!$B$4:$AY$138, LS_previous!E$149, FALSE), VLOOKUP('Staging Table'!$A117, LS_previous!$B$4:$AY$138,LS_previous!AC$149, FALSE))/2)</f>
        <v>816.32176377485303</v>
      </c>
      <c r="N117" s="382">
        <f t="array" ref="N117">IF($G117=0, INDEX(LS_previous!$D$4:$AY$138, MATCH('Staging Table'!$A117, LS_previous!$B$4:$B$138, 0), MATCH(N$4&amp;N$5, LS_previous!$D$2:$AY$2&amp;LS_previous!$D$3:$AY$3, 0)),SUM(VLOOKUP($A117, LS_previous!$B$4:$AY$138, LS_previous!F$149, FALSE), VLOOKUP('Staging Table'!$A117, LS_previous!$B$4:$AY$138,LS_previous!AD$149, FALSE))/2)</f>
        <v>-967.80476299693692</v>
      </c>
      <c r="O117" s="382">
        <f t="array" ref="O117">IF($G117=0, INDEX(LS_previous!$D$4:$AY$138, MATCH('Staging Table'!$A117, LS_previous!$B$4:$B$138, 0), MATCH(O$4&amp;O$5, LS_previous!$D$2:$AY$2&amp;LS_previous!$D$3:$AY$3, 0)),SUM(VLOOKUP($A117, LS_previous!$B$4:$AY$138, LS_previous!G$149, FALSE), VLOOKUP('Staging Table'!$A117, LS_previous!$B$4:$AY$138,LS_previous!AE$149, FALSE))/2)</f>
        <v>1000.0295766847012</v>
      </c>
      <c r="P117" s="382">
        <f t="array" ref="P117">IF($G117=0, INDEX(LS_previous!$D$4:$AY$138, MATCH('Staging Table'!$A117, LS_previous!$B$4:$B$138, 0), MATCH(P$4&amp;P$5, LS_previous!$D$2:$AY$2&amp;LS_previous!$D$3:$AY$3, 0)),SUM(VLOOKUP($A117, LS_previous!$B$4:$AY$138, LS_previous!H$149, FALSE), VLOOKUP('Staging Table'!$A117, LS_previous!$B$4:$AY$138,LS_previous!AF$149, FALSE))/2)</f>
        <v>2116.3032243543967</v>
      </c>
      <c r="Q117" s="382">
        <f t="array" ref="Q117">IF($G117=0, INDEX(LS_previous!$D$4:$AY$138, MATCH('Staging Table'!$A117, LS_previous!$B$4:$B$138, 0), MATCH(Q$4&amp;Q$5, LS_previous!$D$2:$AY$2&amp;LS_previous!$D$3:$AY$3, 0)),SUM(VLOOKUP($A117, LS_previous!$B$4:$AY$138, LS_previous!I$149, FALSE), VLOOKUP('Staging Table'!$A117, LS_previous!$B$4:$AY$138,LS_previous!AG$149, FALSE))/2)</f>
        <v>4046.9524247365844</v>
      </c>
      <c r="R117" s="382">
        <f t="array" ref="R117">IF($G117=0, INDEX(LS_previous!$D$4:$AY$138, MATCH('Staging Table'!$A117, LS_previous!$B$4:$B$138, 0), MATCH(R$4&amp;R$5, LS_previous!$D$2:$AY$2&amp;LS_previous!$D$3:$AY$3, 0)),SUM(VLOOKUP($A117, LS_previous!$B$4:$AY$138, LS_previous!J$149, FALSE), VLOOKUP('Staging Table'!$A117, LS_previous!$B$4:$AY$138,LS_previous!AH$149, FALSE))/2)</f>
        <v>7462.2293603594044</v>
      </c>
      <c r="S117" s="382">
        <f t="array" ref="S117">IF($G117=0, INDEX(LS_previous!$D$4:$AY$138, MATCH('Staging Table'!$A117, LS_previous!$B$4:$B$138, 0), MATCH(S$4&amp;S$5, LS_previous!$D$2:$AY$2&amp;LS_previous!$D$3:$AY$3, 0)),SUM(VLOOKUP($A117, LS_previous!$B$4:$AY$138, LS_previous!K$149, FALSE), VLOOKUP('Staging Table'!$A117, LS_previous!$B$4:$AY$138,LS_previous!AI$149, FALSE))/2)</f>
        <v>5873.1179837805194</v>
      </c>
      <c r="T117" s="382">
        <f t="array" ref="T117">IF($G117=0, INDEX(LS_previous!$D$4:$AY$138, MATCH('Staging Table'!$A117, LS_previous!$B$4:$B$138, 0), MATCH(T$4&amp;T$5, LS_previous!$D$2:$AY$2&amp;LS_previous!$D$3:$AY$3, 0)),SUM(VLOOKUP($A117, LS_previous!$B$4:$AY$138, LS_previous!L$149, FALSE), VLOOKUP('Staging Table'!$A117, LS_previous!$B$4:$AY$138,LS_previous!AJ$149, FALSE))/2)</f>
        <v>4587.1291862794351</v>
      </c>
      <c r="U117" s="382">
        <f t="array" ref="U117">IF($G117=0, INDEX(LS_previous!$D$4:$AY$138, MATCH('Staging Table'!$A117, LS_previous!$B$4:$B$138, 0), MATCH(U$4&amp;U$5, LS_previous!$D$2:$AY$2&amp;LS_previous!$D$3:$AY$3, 0)),SUM(VLOOKUP($A117, LS_previous!$B$4:$AY$138, LS_previous!M$149, FALSE), VLOOKUP('Staging Table'!$A117, LS_previous!$B$4:$AY$138,LS_previous!AK$149, FALSE))/2)</f>
        <v>3178.1514103442169</v>
      </c>
      <c r="V117" s="382">
        <f t="array" ref="V117">IF($G117=0, INDEX(LS_previous!$D$4:$AY$138, MATCH('Staging Table'!$A117, LS_previous!$B$4:$B$138, 0), MATCH(V$4&amp;V$5, LS_previous!$D$2:$AY$2&amp;LS_previous!$D$3:$AY$3, 0)),SUM(VLOOKUP($A117, LS_previous!$B$4:$AY$138, LS_previous!N$149, FALSE), VLOOKUP('Staging Table'!$A117, LS_previous!$B$4:$AY$138,LS_previous!AL$149, FALSE))/2)</f>
        <v>3387.4715443359019</v>
      </c>
      <c r="W117" s="382">
        <f t="array" ref="W117">IF($G117=0, INDEX(LS_previous!$D$4:$AY$138, MATCH('Staging Table'!$A117, LS_previous!$B$4:$B$138, 0), MATCH(W$4&amp;W$5, LS_previous!$D$2:$AY$2&amp;LS_previous!$D$3:$AY$3, 0)),SUM(VLOOKUP($A117, LS_previous!$B$4:$AY$138, LS_previous!O$149, FALSE), VLOOKUP('Staging Table'!$A117, LS_previous!$B$4:$AY$138,LS_previous!AM$149, FALSE))/2)</f>
        <v>1500.3256910188611</v>
      </c>
      <c r="X117" s="382">
        <f t="array" ref="X117">IF($G117=0, INDEX(LS_previous!$D$4:$AY$138, MATCH('Staging Table'!$A117, LS_previous!$B$4:$B$138, 0), MATCH(X$4&amp;X$5, LS_previous!$D$2:$AY$2&amp;LS_previous!$D$3:$AY$3, 0)),SUM(VLOOKUP($A117, LS_previous!$B$4:$AY$138, LS_previous!P$149, FALSE), VLOOKUP('Staging Table'!$A117, LS_previous!$B$4:$AY$138,LS_previous!AN$149, FALSE))/2)</f>
        <v>2506.3065498637661</v>
      </c>
      <c r="Y117" s="382">
        <f t="array" ref="Y117">IF($G117=0, INDEX(LS_previous!$D$4:$AY$138, MATCH('Staging Table'!$A117, LS_previous!$B$4:$B$138, 0), MATCH(Y$4&amp;Y$5, LS_previous!$D$2:$AY$2&amp;LS_previous!$D$3:$AY$3, 0)),SUM(VLOOKUP($A117, LS_previous!$B$4:$AY$138, LS_previous!Q$149, FALSE), VLOOKUP('Staging Table'!$A117, LS_previous!$B$4:$AY$138,LS_previous!AO$149, FALSE))/2)</f>
        <v>2394.4111822139421</v>
      </c>
      <c r="Z117" s="382">
        <f t="array" ref="Z117">IF($G117=0, INDEX(LS_previous!$D$4:$AY$138, MATCH('Staging Table'!$A117, LS_previous!$B$4:$B$138, 0), MATCH(Z$4&amp;Z$5, LS_previous!$D$2:$AY$2&amp;LS_previous!$D$3:$AY$3, 0)),SUM(VLOOKUP($A117, LS_previous!$B$4:$AY$138, LS_previous!R$149, FALSE), VLOOKUP('Staging Table'!$A117, LS_previous!$B$4:$AY$138,LS_previous!AP$149, FALSE))/2)</f>
        <v>-13071.838348494963</v>
      </c>
      <c r="AA117" s="382">
        <f t="array" ref="AA117">IF($G117=0, INDEX(LS_previous!$D$4:$AY$138, MATCH('Staging Table'!$A117, LS_previous!$B$4:$B$138, 0), MATCH(AA$4&amp;AA$5, LS_previous!$D$2:$AY$2&amp;LS_previous!$D$3:$AY$3, 0)),SUM(VLOOKUP($A117, LS_previous!$B$4:$AY$138, LS_previous!S$149, FALSE), VLOOKUP('Staging Table'!$A117, LS_previous!$B$4:$AY$138,LS_previous!AQ$149, FALSE))/2)</f>
        <v>-5703.3156321393762</v>
      </c>
      <c r="AB117" s="382">
        <f t="array" ref="AB117">IF($G117=0, INDEX(LS_previous!$D$4:$AY$138, MATCH('Staging Table'!$A117, LS_previous!$B$4:$B$138, 0), MATCH(AB$4&amp;AB$5, LS_previous!$D$2:$AY$2&amp;LS_previous!$D$3:$AY$3, 0)),SUM(VLOOKUP($A117, LS_previous!$B$4:$AY$138, LS_previous!T$149, FALSE), VLOOKUP('Staging Table'!$A117, LS_previous!$B$4:$AY$138,LS_previous!AR$149, FALSE))/2)</f>
        <v>-6864.0140429587227</v>
      </c>
      <c r="AC117" s="382">
        <f t="array" ref="AC117">IF($G117=0, INDEX(LS_previous!$D$4:$AY$138, MATCH('Staging Table'!$A117, LS_previous!$B$4:$B$138, 0), MATCH(AC$4&amp;AC$5, LS_previous!$D$2:$AY$2&amp;LS_previous!$D$3:$AY$3, 0)),SUM(VLOOKUP($A117, LS_previous!$B$4:$AY$138, LS_previous!U$149, FALSE), VLOOKUP('Staging Table'!$A117, LS_previous!$B$4:$AY$138,LS_previous!AS$149, FALSE))/2)</f>
        <v>-3737.9525468157699</v>
      </c>
      <c r="AD117" s="382">
        <f t="array" ref="AD117">IF($G117=0, INDEX(LS_previous!$D$4:$AY$138, MATCH('Staging Table'!$A117, LS_previous!$B$4:$B$138, 0), MATCH(AD$4&amp;AD$5, LS_previous!$D$2:$AY$2&amp;LS_previous!$D$3:$AY$3, 0)),SUM(VLOOKUP($A117, LS_previous!$B$4:$AY$138, LS_previous!V$149, FALSE), VLOOKUP('Staging Table'!$A117, LS_previous!$B$4:$AY$138,LS_previous!AT$149, FALSE))/2)</f>
        <v>-5954.6786684786821</v>
      </c>
      <c r="AE117" s="382">
        <f t="array" ref="AE117">IF($G117=0, INDEX(LS_previous!$D$4:$AY$138, MATCH('Staging Table'!$A117, LS_previous!$B$4:$B$138, 0), MATCH(AE$4&amp;AE$5, LS_previous!$D$2:$AY$2&amp;LS_previous!$D$3:$AY$3, 0)),SUM(VLOOKUP($A117, LS_previous!$B$4:$AY$138, LS_previous!W$149, FALSE), VLOOKUP('Staging Table'!$A117, LS_previous!$B$4:$AY$138,LS_previous!AU$149, FALSE))/2)</f>
        <v>-275.73205902928385</v>
      </c>
      <c r="AF117" s="382">
        <f t="array" ref="AF117">IF($G117=0, INDEX(LS_previous!$D$4:$AY$138, MATCH('Staging Table'!$A117, LS_previous!$B$4:$B$138, 0), MATCH(AF$4&amp;AF$5, LS_previous!$D$2:$AY$2&amp;LS_previous!$D$3:$AY$3, 0)),SUM(VLOOKUP($A117, LS_previous!$B$4:$AY$138, LS_previous!X$149, FALSE), VLOOKUP('Staging Table'!$A117, LS_previous!$B$4:$AY$138,LS_previous!AV$149, FALSE))/2)</f>
        <v>-5533.4906589828897</v>
      </c>
      <c r="AG117" s="382">
        <f t="array" ref="AG117">IF($G117=0, INDEX(LS_previous!$D$4:$AY$138, MATCH('Staging Table'!$A117, LS_previous!$B$4:$B$138, 0), MATCH(AG$4&amp;AG$5, LS_previous!$D$2:$AY$2&amp;LS_previous!$D$3:$AY$3, 0)),SUM(VLOOKUP($A117, LS_previous!$B$4:$AY$138, LS_previous!Y$149, FALSE), VLOOKUP('Staging Table'!$A117, LS_previous!$B$4:$AY$138,LS_previous!AW$149, FALSE))/2)</f>
        <v>-1719.2334265195987</v>
      </c>
      <c r="AH117" s="382">
        <f t="array" ref="AH117">IF($G117=0, INDEX(LS_previous!$D$4:$AY$138, MATCH('Staging Table'!$A117, LS_previous!$B$4:$B$138, 0), MATCH(AH$4&amp;AH$5, LS_previous!$D$2:$AY$2&amp;LS_previous!$D$3:$AY$3, 0)),SUM(VLOOKUP($A117, LS_previous!$B$4:$AY$138, LS_previous!Z$149, FALSE), VLOOKUP('Staging Table'!$A117, LS_previous!$B$4:$AY$138,LS_previous!AX$149, FALSE))/2)</f>
        <v>-1468.3294534119304</v>
      </c>
      <c r="AI117" s="382">
        <f t="array" ref="AI117">IF($G117=0, INDEX(LS_previous!$D$4:$AY$138, MATCH('Staging Table'!$A117, LS_previous!$B$4:$B$138, 0), MATCH(AI$4&amp;AI$5, LS_previous!$D$2:$AY$2&amp;LS_previous!$D$3:$AY$3, 0)),SUM(VLOOKUP($A117, LS_previous!$B$4:$AY$138, LS_previous!AA$149, FALSE), VLOOKUP('Staging Table'!$A117, LS_previous!$B$4:$AY$138,LS_previous!AY$149, FALSE))/2)</f>
        <v>523.61923103377194</v>
      </c>
      <c r="AJ117" s="384">
        <f t="array" ref="AJ117">INDEX(Demand_previous!$D$4:$AY$138, MATCH('Staging Table'!$A117, Demand_previous!$B$4:$B$138, 0), MATCH(AJ$4&amp;AJ$5,Demand_previous!$D$2:$AY$2&amp;Demand_previous!$D$3:$AY$3, 0))/1000</f>
        <v>9.5500740740740682</v>
      </c>
      <c r="AK117" s="384">
        <f t="array" ref="AK117">INDEX(Demand_previous!$D$4:$AY$138, MATCH('Staging Table'!$A117, Demand_previous!$B$4:$B$138, 0), MATCH(AK$4&amp;AK$5,Demand_previous!$D$2:$AY$2&amp;Demand_previous!$D$3:$AY$3, 0))/1000</f>
        <v>1.6859192708333275</v>
      </c>
      <c r="AL117" s="384">
        <f t="array" ref="AL117">INDEX(Demand_previous!$D$4:$AY$138, MATCH('Staging Table'!$A117, Demand_previous!$B$4:$B$138, 0), MATCH(AL$4&amp;AL$5,Demand_previous!$D$2:$AY$2&amp;Demand_previous!$D$3:$AY$3, 0))/1000</f>
        <v>13.807721153846156</v>
      </c>
      <c r="AM117" s="384">
        <f t="array" ref="AM117">INDEX(Demand_previous!$D$4:$AY$138, MATCH('Staging Table'!$A117, Demand_previous!$B$4:$B$138, 0), MATCH(AM$4&amp;AM$5,Demand_previous!$D$2:$AY$2&amp;Demand_previous!$D$3:$AY$3, 0))/1000</f>
        <v>12.001999999999995</v>
      </c>
      <c r="AN117" s="384">
        <f t="array" ref="AN117">INDEX(Demand_previous!$D$4:$AY$138, MATCH('Staging Table'!$A117, Demand_previous!$B$4:$B$138, 0), MATCH(AN$4&amp;AN$5,Demand_previous!$D$2:$AY$2&amp;Demand_previous!$D$3:$AY$3, 0))/1000</f>
        <v>10.004012500000002</v>
      </c>
      <c r="AO117" s="384">
        <f t="array" ref="AO117">INDEX(Demand_previous!$D$4:$AY$138, MATCH('Staging Table'!$A117, Demand_previous!$B$4:$B$138, 0), MATCH(AO$4&amp;AO$5,Demand_previous!$D$2:$AY$2&amp;Demand_previous!$D$3:$AY$3, 0))/1000</f>
        <v>12.26000925925926</v>
      </c>
      <c r="AP117" s="384">
        <f t="array" ref="AP117">INDEX(Demand_previous!$D$4:$AY$138, MATCH('Staging Table'!$A117, Demand_previous!$B$4:$B$138, 0), MATCH(AP$4&amp;AP$5,Demand_previous!$D$2:$AY$2&amp;Demand_previous!$D$3:$AY$3, 0))/1000</f>
        <v>10.902057692307686</v>
      </c>
      <c r="AQ117" s="384">
        <f t="array" ref="AQ117">INDEX(Demand_previous!$D$4:$AY$138, MATCH('Staging Table'!$A117, Demand_previous!$B$4:$B$138, 0), MATCH(AQ$4&amp;AQ$5,Demand_previous!$D$2:$AY$2&amp;Demand_previous!$D$3:$AY$3, 0))/1000</f>
        <v>2.4724074999999957</v>
      </c>
      <c r="AR117" s="384">
        <f t="array" ref="AR117">INDEX(Demand_previous!$D$4:$AY$138, MATCH('Staging Table'!$A117, Demand_previous!$B$4:$B$138, 0), MATCH(AR$4&amp;AR$5,Demand_previous!$D$2:$AY$2&amp;Demand_previous!$D$3:$AY$3, 0))/1000</f>
        <v>2.4937475961538498</v>
      </c>
      <c r="AS117" s="384">
        <f t="array" ref="AS117">INDEX(Demand_previous!$D$4:$AY$138, MATCH('Staging Table'!$A117, Demand_previous!$B$4:$B$138, 0), MATCH(AS$4&amp;AS$5,Demand_previous!$D$2:$AY$2&amp;Demand_previous!$D$3:$AY$3, 0))/1000</f>
        <v>4.8762349999999941</v>
      </c>
      <c r="AT117" s="384">
        <f t="array" ref="AT117">INDEX(Demand_previous!$D$4:$AY$138, MATCH('Staging Table'!$A117, Demand_previous!$B$4:$B$138, 0), MATCH(AT$4&amp;AT$5,Demand_previous!$D$2:$AY$2&amp;Demand_previous!$D$3:$AY$3, 0))/1000</f>
        <v>4.1044768518518531</v>
      </c>
      <c r="AU117" s="384">
        <f t="array" ref="AU117">INDEX(Demand_previous!$D$4:$AY$138, MATCH('Staging Table'!$A117, Demand_previous!$B$4:$B$138, 0), MATCH(AU$4&amp;AU$5,Demand_previous!$D$2:$AY$2&amp;Demand_previous!$D$3:$AY$3, 0))/1000</f>
        <v>0</v>
      </c>
      <c r="AV117" s="384">
        <f>IF($D117=0,IF(C117=0, MAX(AY117 - (VLOOKUP($A117,TOCA_previous!$A$2:$AI$137,MATCH("RHWM 2016",TOCA_previous!$A$2:$AI$2,0),FALSE)*$F$2*TOCA_previous!C114),0),0), 0)</f>
        <v>0</v>
      </c>
      <c r="AW117" s="427">
        <f>VLOOKUP($A117,REP_previous!$A$1:$D$135,MATCH("FY "&amp;$F$1&amp; " Total Refund",REP_previous!$A$1:$D$1,0),0)</f>
        <v>594227.4537397353</v>
      </c>
      <c r="AX117" s="398">
        <f>MIN(VLOOKUP($A117,TOCA_previous!$A$2:$AI$137,MATCH("TRL - NLSL - Exisiting Resource "&amp;$F$1,TOCA_previous!$A$2:$AI$2,0),FALSE)*$F$2,(VLOOKUP($A117,TOCA_previous!$A$2:$AI$137,MATCH("RHWM 2016",TOCA_previous!$A$2:$AI$2,0),FALSE)*$F$2))</f>
        <v>481644.288</v>
      </c>
      <c r="AY117" s="384">
        <f>SUM(L117:AI117)+(F117*RT1SC!$C$3*$F$2)</f>
        <v>474904.10713369888</v>
      </c>
      <c r="AZ117" s="398">
        <f>VLOOKUP($A117,TOCA_previous!$A$2:$AI$137,MATCH("Above RHWM Not Served with LS "&amp;$F$1,TOCA_previous!$A$2:$AI$2,0),FALSE)*$F$2</f>
        <v>0</v>
      </c>
      <c r="BA117" s="206">
        <f t="shared" si="19"/>
        <v>-6740.1808663011179</v>
      </c>
      <c r="BB117" s="399">
        <f>(VLOOKUP($A117,TOCA_previous!$A$2:$AI$137,MATCH("RHWM 2016",TOCA_previous!$A$2:$AI$2,0),FALSE)*$F$2) - $AX117</f>
        <v>5709.5999999999767</v>
      </c>
      <c r="BC117" s="206">
        <f t="shared" si="20"/>
        <v>0</v>
      </c>
      <c r="BD117" s="400">
        <f t="shared" si="21"/>
        <v>6740.1808663011179</v>
      </c>
      <c r="BE117" s="392">
        <f t="shared" si="22"/>
        <v>0</v>
      </c>
      <c r="BF117" s="399">
        <f t="shared" si="23"/>
        <v>6740.1808663011179</v>
      </c>
      <c r="BG117" s="206">
        <f>VLOOKUP($A117,TOCA_current!$A$2:$AI$137,MATCH(BG$4,TOCA_current!$A$2:$AI$2,0),FALSE)</f>
        <v>7.8107999999999997E-3</v>
      </c>
      <c r="BH117" s="206">
        <f>VLOOKUP($A117,TOCA_current!$A$2:$AI$137,MATCH(BH$4,TOCA_current!$A$2:$AI$2,0),FALSE)</f>
        <v>7.8107999999999997E-3</v>
      </c>
      <c r="BI117" s="391">
        <f t="shared" si="24"/>
        <v>0</v>
      </c>
      <c r="BJ117" s="206">
        <f>VLOOKUP($A117,TOCA_current!A113:BG248,MATCH(BJ$4,TOCA_current!$A$2:$BG$2,0),FALSE)</f>
        <v>0</v>
      </c>
      <c r="BK117" s="206">
        <f t="shared" si="25"/>
        <v>0</v>
      </c>
      <c r="BL117" s="206">
        <f t="shared" si="26"/>
        <v>0</v>
      </c>
      <c r="BM117" s="381">
        <f>VLOOKUP($A117,IRD!$A$4:$G$139, 7, FALSE)</f>
        <v>0</v>
      </c>
      <c r="BN117" s="382">
        <f t="array" ref="BN117">IF($BI117=0, INDEX(LS_current!$D$4:$AY$139, MATCH('Staging Table'!$A117, LS_current!$B$4:$B$139, 0), MATCH(BN$4&amp;BN$5, LS_current!$D$2:$AY$2&amp;LS_current!$D$3:$AY$3, 0)),SUM(VLOOKUP($A117, LS_current!$B$4:$AY$139, LS_current!D$149, FALSE), VLOOKUP($A117, LS_current!$B$4:$AY$139,LS_current!D$149, FALSE))/2)</f>
        <v>-837.36482805108244</v>
      </c>
      <c r="BO117" s="382">
        <f t="array" ref="BO117">IF($BI117=0, INDEX(LS_current!$D$4:$AY$139, MATCH('Staging Table'!$A117, LS_current!$B$4:$B$139, 0), MATCH(BO$4&amp;BO$5, LS_current!$D$2:$AY$2&amp;LS_current!$D$3:$AY$3, 0)),SUM(VLOOKUP($A117, LS_current!$B$4:$AY$139, LS_current!E$149, FALSE), VLOOKUP($A117, LS_current!$B$4:$AY$139,LS_current!E$149, FALSE))/2)</f>
        <v>1582.6848335791765</v>
      </c>
      <c r="BP117" s="382">
        <f t="array" ref="BP117">IF($BI117=0, INDEX(LS_current!$D$4:$AY$139, MATCH('Staging Table'!$A117, LS_current!$B$4:$B$139, 0), MATCH(BP$4&amp;BP$5, LS_current!$D$2:$AY$2&amp;LS_current!$D$3:$AY$3, 0)),SUM(VLOOKUP($A117, LS_current!$B$4:$AY$139, LS_current!F$149, FALSE), VLOOKUP($A117, LS_current!$B$4:$AY$139,LS_current!F$149, FALSE))/2)</f>
        <v>-1403.4475955394882</v>
      </c>
      <c r="BQ117" s="382">
        <f t="array" ref="BQ117">IF($BI117=0, INDEX(LS_current!$D$4:$AY$139, MATCH('Staging Table'!$A117, LS_current!$B$4:$B$139, 0), MATCH(BQ$4&amp;BQ$5, LS_current!$D$2:$AY$2&amp;LS_current!$D$3:$AY$3, 0)),SUM(VLOOKUP($A117, LS_current!$B$4:$AY$139, LS_current!G$149, FALSE), VLOOKUP($A117, LS_current!$B$4:$AY$139,LS_current!G$149, FALSE))/2)</f>
        <v>1241.5426775104133</v>
      </c>
      <c r="BR117" s="382">
        <f t="array" ref="BR117">IF($BI117=0, INDEX(LS_current!$D$4:$AY$139, MATCH('Staging Table'!$A117, LS_current!$B$4:$B$139, 0), MATCH(BR$4&amp;BR$5, LS_current!$D$2:$AY$2&amp;LS_current!$D$3:$AY$3, 0)),SUM(VLOOKUP($A117, LS_current!$B$4:$AY$139, LS_current!H$149, FALSE), VLOOKUP($A117, LS_current!$B$4:$AY$139,LS_current!H$149, FALSE))/2)</f>
        <v>1361.0916104959761</v>
      </c>
      <c r="BS117" s="382">
        <f t="array" ref="BS117">IF($BI117=0, INDEX(LS_current!$D$4:$AY$139, MATCH('Staging Table'!$A117, LS_current!$B$4:$B$139, 0), MATCH(BS$4&amp;BS$5, LS_current!$D$2:$AY$2&amp;LS_current!$D$3:$AY$3, 0)),SUM(VLOOKUP($A117, LS_current!$B$4:$AY$139, LS_current!I$149, FALSE), VLOOKUP($A117, LS_current!$B$4:$AY$139,LS_current!I$149, FALSE))/2)</f>
        <v>3976.3174197266017</v>
      </c>
      <c r="BT117" s="382">
        <f t="array" ref="BT117">IF($BI117=0, INDEX(LS_current!$D$4:$AY$139, MATCH('Staging Table'!$A117, LS_current!$B$4:$B$139, 0), MATCH(BT$4&amp;BT$5, LS_current!$D$2:$AY$2&amp;LS_current!$D$3:$AY$3, 0)),SUM(VLOOKUP($A117, LS_current!$B$4:$AY$139, LS_current!J$149, FALSE), VLOOKUP($A117, LS_current!$B$4:$AY$139,LS_current!J$149, FALSE))/2)</f>
        <v>7321.6527665936446</v>
      </c>
      <c r="BU117" s="382">
        <f t="array" ref="BU117">IF($BI117=0, INDEX(LS_current!$D$4:$AY$139, MATCH('Staging Table'!$A117, LS_current!$B$4:$B$139, 0), MATCH(BU$4&amp;BU$5, LS_current!$D$2:$AY$2&amp;LS_current!$D$3:$AY$3, 0)),SUM(VLOOKUP($A117, LS_current!$B$4:$AY$139, LS_current!K$149, FALSE), VLOOKUP($A117, LS_current!$B$4:$AY$139,LS_current!K$149, FALSE))/2)</f>
        <v>5893.5632701946324</v>
      </c>
      <c r="BV117" s="382">
        <f t="array" ref="BV117">IF($BI117=0, INDEX(LS_current!$D$4:$AY$139, MATCH('Staging Table'!$A117, LS_current!$B$4:$B$139, 0), MATCH(BV$4&amp;BV$5, LS_current!$D$2:$AY$2&amp;LS_current!$D$3:$AY$3, 0)),SUM(VLOOKUP($A117, LS_current!$B$4:$AY$139, LS_current!L$149, FALSE), VLOOKUP($A117, LS_current!$B$4:$AY$139,LS_current!L$149, FALSE))/2)</f>
        <v>6322.3278205032402</v>
      </c>
      <c r="BW117" s="382">
        <f t="array" ref="BW117">IF($BI117=0, INDEX(LS_current!$D$4:$AY$139, MATCH('Staging Table'!$A117, LS_current!$B$4:$B$139, 0), MATCH(BW$4&amp;BW$5, LS_current!$D$2:$AY$2&amp;LS_current!$D$3:$AY$3, 0)),SUM(VLOOKUP($A117, LS_current!$B$4:$AY$139, LS_current!M$149, FALSE), VLOOKUP($A117, LS_current!$B$4:$AY$139,LS_current!M$149, FALSE))/2)</f>
        <v>4522.090333183809</v>
      </c>
      <c r="BX117" s="382">
        <f t="array" ref="BX117">IF($BI117=0, INDEX(LS_current!$D$4:$AY$139, MATCH('Staging Table'!$A117, LS_current!$B$4:$B$139, 0), MATCH(BX$4&amp;BX$5, LS_current!$D$2:$AY$2&amp;LS_current!$D$3:$AY$3, 0)),SUM(VLOOKUP($A117, LS_current!$B$4:$AY$139, LS_current!N$149, FALSE), VLOOKUP($A117, LS_current!$B$4:$AY$139,LS_current!N$149, FALSE))/2)</f>
        <v>4780.0446336377863</v>
      </c>
      <c r="BY117" s="382">
        <f t="array" ref="BY117">IF($BI117=0, INDEX(LS_current!$D$4:$AY$139, MATCH('Staging Table'!$A117, LS_current!$B$4:$B$139, 0), MATCH(BY$4&amp;BY$5, LS_current!$D$2:$AY$2&amp;LS_current!$D$3:$AY$3, 0)),SUM(VLOOKUP($A117, LS_current!$B$4:$AY$139, LS_current!O$149, FALSE), VLOOKUP($A117, LS_current!$B$4:$AY$139,LS_current!O$149, FALSE))/2)</f>
        <v>2990.6795016595388</v>
      </c>
      <c r="BZ117" s="382">
        <f t="array" ref="BZ117">IF($BI117=0, INDEX(LS_current!$D$4:$AY$139, MATCH('Staging Table'!$A117, LS_current!$B$4:$B$139, 0), MATCH(BZ$4&amp;BZ$5, LS_current!$D$2:$AY$2&amp;LS_current!$D$3:$AY$3, 0)),SUM(VLOOKUP($A117, LS_current!$B$4:$AY$139, LS_current!P$149, FALSE), VLOOKUP($A117, LS_current!$B$4:$AY$139,LS_current!P$149, FALSE))/2)</f>
        <v>239.85317402155852</v>
      </c>
      <c r="CA117" s="382">
        <f t="array" ref="CA117">IF($BI117=0, INDEX(LS_current!$D$4:$AY$139, MATCH('Staging Table'!$A117, LS_current!$B$4:$B$139, 0), MATCH(CA$4&amp;CA$5, LS_current!$D$2:$AY$2&amp;LS_current!$D$3:$AY$3, 0)),SUM(VLOOKUP($A117, LS_current!$B$4:$AY$139, LS_current!Q$149, FALSE), VLOOKUP($A117, LS_current!$B$4:$AY$139,LS_current!Q$149, FALSE))/2)</f>
        <v>2289.2182594221049</v>
      </c>
      <c r="CB117" s="382">
        <f t="array" ref="CB117">IF($BI117=0, INDEX(LS_current!$D$4:$AY$139, MATCH('Staging Table'!$A117, LS_current!$B$4:$B$139, 0), MATCH(CB$4&amp;CB$5, LS_current!$D$2:$AY$2&amp;LS_current!$D$3:$AY$3, 0)),SUM(VLOOKUP($A117, LS_current!$B$4:$AY$139, LS_current!R$149, FALSE), VLOOKUP($A117, LS_current!$B$4:$AY$139,LS_current!R$149, FALSE))/2)</f>
        <v>-12599.443872407344</v>
      </c>
      <c r="CC117" s="382">
        <f t="array" ref="CC117">IF($BI117=0, INDEX(LS_current!$D$4:$AY$139, MATCH('Staging Table'!$A117, LS_current!$B$4:$B$139, 0), MATCH(CC$4&amp;CC$5, LS_current!$D$2:$AY$2&amp;LS_current!$D$3:$AY$3, 0)),SUM(VLOOKUP($A117, LS_current!$B$4:$AY$139, LS_current!S$149, FALSE), VLOOKUP($A117, LS_current!$B$4:$AY$139,LS_current!S$149, FALSE))/2)</f>
        <v>-5895.3666276252879</v>
      </c>
      <c r="CD117" s="382">
        <f t="array" ref="CD117">IF($BI117=0, INDEX(LS_current!$D$4:$AY$139, MATCH('Staging Table'!$A117, LS_current!$B$4:$B$139, 0), MATCH(CD$4&amp;CD$5, LS_current!$D$2:$AY$2&amp;LS_current!$D$3:$AY$3, 0)),SUM(VLOOKUP($A117, LS_current!$B$4:$AY$139, LS_current!T$149, FALSE), VLOOKUP($A117, LS_current!$B$4:$AY$139,LS_current!T$149, FALSE))/2)</f>
        <v>-6593.6982003622979</v>
      </c>
      <c r="CE117" s="382">
        <f t="array" ref="CE117">IF($BI117=0, INDEX(LS_current!$D$4:$AY$139, MATCH('Staging Table'!$A117, LS_current!$B$4:$B$139, 0), MATCH(CE$4&amp;CE$5, LS_current!$D$2:$AY$2&amp;LS_current!$D$3:$AY$3, 0)),SUM(VLOOKUP($A117, LS_current!$B$4:$AY$139, LS_current!U$149, FALSE), VLOOKUP($A117, LS_current!$B$4:$AY$139,LS_current!U$149, FALSE))/2)</f>
        <v>-2574.7080779279822</v>
      </c>
      <c r="CF117" s="382">
        <f t="array" ref="CF117">IF($BI117=0, INDEX(LS_current!$D$4:$AY$139, MATCH('Staging Table'!$A117, LS_current!$B$4:$B$139, 0), MATCH(CF$4&amp;CF$5, LS_current!$D$2:$AY$2&amp;LS_current!$D$3:$AY$3, 0)),SUM(VLOOKUP($A117, LS_current!$B$4:$AY$139, LS_current!V$149, FALSE), VLOOKUP($A117, LS_current!$B$4:$AY$139,LS_current!V$149, FALSE))/2)</f>
        <v>-4283.1191742118899</v>
      </c>
      <c r="CG117" s="382">
        <f t="array" ref="CG117">IF($BI117=0, INDEX(LS_current!$D$4:$AY$139, MATCH('Staging Table'!$A117, LS_current!$B$4:$B$139, 0), MATCH(CG$4&amp;CG$5, LS_current!$D$2:$AY$2&amp;LS_current!$D$3:$AY$3, 0)),SUM(VLOOKUP($A117, LS_current!$B$4:$AY$139, LS_current!W$149, FALSE), VLOOKUP($A117, LS_current!$B$4:$AY$139,LS_current!W$149, FALSE))/2)</f>
        <v>749.79810483662186</v>
      </c>
      <c r="CH117" s="382">
        <f t="array" ref="CH117">IF($BI117=0, INDEX(LS_current!$D$4:$AY$139, MATCH('Staging Table'!$A117, LS_current!$B$4:$B$139, 0), MATCH(CH$4&amp;CH$5, LS_current!$D$2:$AY$2&amp;LS_current!$D$3:$AY$3, 0)),SUM(VLOOKUP($A117, LS_current!$B$4:$AY$139, LS_current!X$149, FALSE), VLOOKUP($A117, LS_current!$B$4:$AY$139,LS_current!X$149, FALSE))/2)</f>
        <v>-5254.5214871664029</v>
      </c>
      <c r="CI117" s="382">
        <f t="array" ref="CI117">IF($BI117=0, INDEX(LS_current!$D$4:$AY$139, MATCH('Staging Table'!$A117, LS_current!$B$4:$B$139, 0), MATCH(CI$4&amp;CI$5, LS_current!$D$2:$AY$2&amp;LS_current!$D$3:$AY$3, 0)),SUM(VLOOKUP($A117, LS_current!$B$4:$AY$139, LS_current!Y$149, FALSE), VLOOKUP($A117, LS_current!$B$4:$AY$139,LS_current!Y$149, FALSE))/2)</f>
        <v>-1212.3531238245287</v>
      </c>
      <c r="CJ117" s="382">
        <f t="array" ref="CJ117">IF($BI117=0, INDEX(LS_current!$D$4:$AY$139, MATCH('Staging Table'!$A117, LS_current!$B$4:$B$139, 0), MATCH(CJ$4&amp;CJ$5, LS_current!$D$2:$AY$2&amp;LS_current!$D$3:$AY$3, 0)),SUM(VLOOKUP($A117, LS_current!$B$4:$AY$139, LS_current!Z$149, FALSE), VLOOKUP($A117, LS_current!$B$4:$AY$139,LS_current!Z$149, FALSE))/2)</f>
        <v>-3528.7334696232247</v>
      </c>
      <c r="CK117" s="382">
        <f t="array" ref="CK117">IF($BI117=0, INDEX(LS_current!$D$4:$AY$139, MATCH('Staging Table'!$A117, LS_current!$B$4:$B$139, 0), MATCH(CK$4&amp;CK$5, LS_current!$D$2:$AY$2&amp;LS_current!$D$3:$AY$3, 0)),SUM(VLOOKUP($A117, LS_current!$B$4:$AY$139, LS_current!AA$149, FALSE), VLOOKUP($A117, LS_current!$B$4:$AY$139,LS_current!AA$149, FALSE))/2)</f>
        <v>631.52950553665141</v>
      </c>
      <c r="CL117" s="384">
        <f t="array" ref="CL117">INDEX(Demand_current!$D$4:$AY$138, MATCH($A117, Demand_current!$B$4:$B$138, 0), MATCH(CL$4&amp;CL$5,Demand_current!$D$2:$AY$2&amp;Demand_current!$D$3:$AY$3, 0))/1000</f>
        <v>7.4780384615384614</v>
      </c>
      <c r="CM117" s="384">
        <f t="array" ref="CM117">INDEX(Demand_current!$D$4:$AY$138, MATCH($A117, Demand_current!$B$4:$B$138, 0), MATCH(CM$4&amp;CM$5,Demand_current!$D$2:$AY$2&amp;Demand_current!$D$3:$AY$3, 0))/1000</f>
        <v>4.5397624999999984</v>
      </c>
      <c r="CN117" s="384">
        <f t="array" ref="CN117">INDEX(Demand_current!$D$4:$AY$138, MATCH($A117, Demand_current!$B$4:$B$138, 0), MATCH(CN$4&amp;CN$5,Demand_current!$D$2:$AY$2&amp;Demand_current!$D$3:$AY$3, 0))/1000</f>
        <v>10.971309999999999</v>
      </c>
      <c r="CO117" s="384">
        <f t="array" ref="CO117">INDEX(Demand_current!$D$4:$AY$138, MATCH($A117, Demand_current!$B$4:$B$138, 0), MATCH(CO$4&amp;CO$5,Demand_current!$D$2:$AY$2&amp;Demand_current!$D$3:$AY$3, 0))/1000</f>
        <v>15.003730769230771</v>
      </c>
      <c r="CP117" s="384">
        <f t="array" ref="CP117">INDEX(Demand_current!$D$4:$AY$138, MATCH($A117, Demand_current!$B$4:$B$138, 0), MATCH(CP$4&amp;CP$5,Demand_current!$D$2:$AY$2&amp;Demand_current!$D$3:$AY$3, 0))/1000</f>
        <v>7.2563880208333416</v>
      </c>
      <c r="CQ117" s="384">
        <f t="array" ref="CQ117">INDEX(Demand_current!$D$4:$AY$138, MATCH($A117, Demand_current!$B$4:$B$138, 0), MATCH(CQ$4&amp;CQ$5,Demand_current!$D$2:$AY$2&amp;Demand_current!$D$3:$AY$3, 0))/1000</f>
        <v>12.26000925925926</v>
      </c>
      <c r="CR117" s="384">
        <f t="array" ref="CR117">INDEX(Demand_current!$D$4:$AY$138, MATCH($A117, Demand_current!$B$4:$B$138, 0), MATCH(CR$4&amp;CR$5,Demand_current!$D$2:$AY$2&amp;Demand_current!$D$3:$AY$3, 0))/1000</f>
        <v>8.6479399999999913</v>
      </c>
      <c r="CS117" s="384">
        <f t="array" ref="CS117">INDEX(Demand_current!$D$4:$AY$138, MATCH($A117, Demand_current!$B$4:$B$138, 0), MATCH(CS$4&amp;CS$5,Demand_current!$D$2:$AY$2&amp;Demand_current!$D$3:$AY$3, 0))/1000</f>
        <v>4.4944302884615297</v>
      </c>
      <c r="CT117" s="384">
        <f t="array" ref="CT117">INDEX(Demand_current!$D$4:$AY$138, MATCH($A117, Demand_current!$B$4:$B$138, 0), MATCH(CT$4&amp;CT$5,Demand_current!$D$2:$AY$2&amp;Demand_current!$D$3:$AY$3, 0))/1000</f>
        <v>2.4937475961538498</v>
      </c>
      <c r="CU117" s="384">
        <f t="array" ref="CU117">INDEX(Demand_current!$D$4:$AY$138, MATCH($A117, Demand_current!$B$4:$B$138, 0), MATCH(CU$4&amp;CU$5,Demand_current!$D$2:$AY$2&amp;Demand_current!$D$3:$AY$3, 0))/1000</f>
        <v>4.8762349999999941</v>
      </c>
      <c r="CV117" s="384">
        <f t="array" ref="CV117">INDEX(Demand_current!$D$4:$AY$138, MATCH($A117, Demand_current!$B$4:$B$138, 0), MATCH(CV$4&amp;CV$5,Demand_current!$D$2:$AY$2&amp;Demand_current!$D$3:$AY$3, 0))/1000</f>
        <v>4.1044768518518531</v>
      </c>
      <c r="CW117" s="384">
        <f t="array" ref="CW117">INDEX(Demand_current!$D$4:$AY$138, MATCH($A117, Demand_current!$B$4:$B$138, 0), MATCH(CW$4&amp;CW$5,Demand_current!$D$2:$AY$2&amp;Demand_current!$D$3:$AY$3, 0))/1000</f>
        <v>0</v>
      </c>
      <c r="CX117" s="384">
        <f>IF(D117=0,IF(C117=0,MAX(0,DA117 - (VLOOKUP($A117,TOCA_current!$A$2:$AI$137,MATCH("RHWM 2018",TOCA_current!$A$2:$AI$2,0),FALSE)*$BH$2)), 0),0)</f>
        <v>0</v>
      </c>
      <c r="CY117" s="427">
        <f>VLOOKUP($A117,REP_current!$A$1:$D$135,MATCH("FY "&amp;$BH$1&amp; " Total Refund",REP_current!$A$1:$D$1,0),0)</f>
        <v>597358.67315951898</v>
      </c>
      <c r="CZ117" s="432">
        <f>MIN(VLOOKUP($A117,TOCA_current!$A$2:$AI$137,MATCH("TRL - NLSL - Existing Resource "&amp;$BH$1,TOCA_current!$A$2:$AI$2,0),FALSE)*$BH$2, VLOOKUP($A117,TOCA_current!$A$2:$AI$137,MATCH("RHWM 2018",TOCA_current!$A$2:$AI$2,0),FALSE)*$BH$2)</f>
        <v>475186.19999999995</v>
      </c>
      <c r="DA117" s="397">
        <f>SUM(BN117:CK117)+(BH117*RT1SC!$C$4*$BH$2)</f>
        <v>474904.11293253017</v>
      </c>
      <c r="DB117" s="432">
        <f>VLOOKUP($A117,TOCA_current!$A$2:$AI$137,MATCH("Above RHWM Not Served with LS "&amp;$BH$1,TOCA_current!$A$2:$AI$2,0),FALSE)*$BH$2</f>
        <v>0</v>
      </c>
      <c r="DC117" s="401">
        <f t="shared" si="27"/>
        <v>-282.08706746977987</v>
      </c>
      <c r="DD117" s="397">
        <f>(VLOOKUP($A117,TOCA_current!$A$2:$AI$137,MATCH("RHWM 2018",TOCA_current!$A$2:$AI$2,0),FALSE)*$BH$2) - $CZ117</f>
        <v>7752.6000000000931</v>
      </c>
      <c r="DE117" s="397">
        <f t="shared" si="28"/>
        <v>0</v>
      </c>
      <c r="DF117" s="397">
        <f t="shared" si="29"/>
        <v>282.08706746977987</v>
      </c>
      <c r="DG117" s="397">
        <f t="shared" si="30"/>
        <v>0</v>
      </c>
      <c r="DH117" s="397">
        <f t="shared" si="31"/>
        <v>282.08706746977987</v>
      </c>
    </row>
    <row r="118" spans="1:112">
      <c r="A118" s="274">
        <v>10378</v>
      </c>
      <c r="B118" s="275" t="s">
        <v>119</v>
      </c>
      <c r="C118" s="397">
        <v>0</v>
      </c>
      <c r="D118" s="397">
        <v>0</v>
      </c>
      <c r="E118" s="205">
        <f>VLOOKUP($A118,TOCA_previous!$A$2:$AI$137,MATCH(E$4,TOCA_previous!$A$2:$AI$2,0),FALSE)</f>
        <v>2.8650000000000003E-4</v>
      </c>
      <c r="F118" s="206">
        <f>VLOOKUP($A118,TOCA_previous!$A$2:$AI$137,MATCH(F$4,TOCA_previous!$A$2:$AI$2,0),FALSE)</f>
        <v>2.8650000000000003E-4</v>
      </c>
      <c r="G118" s="206">
        <f t="shared" si="16"/>
        <v>0</v>
      </c>
      <c r="H118" s="206">
        <f>VLOOKUP($A118,TOCA_previous!$A$2:$AI$137,MATCH(H$4,TOCA_previous!$A$2:$AI$2,0),FALSE)</f>
        <v>0</v>
      </c>
      <c r="I118" s="206">
        <f t="shared" si="17"/>
        <v>0</v>
      </c>
      <c r="J118" s="206">
        <f t="shared" si="18"/>
        <v>0</v>
      </c>
      <c r="K118" s="381">
        <f>VLOOKUP(A118, IRD!$A$5:$C$139, 3, FALSE)</f>
        <v>0</v>
      </c>
      <c r="L118" s="382">
        <f t="array" ref="L118">IF($G118=0, INDEX(LS_previous!$D$4:$AY$138, MATCH('Staging Table'!$A118, LS_previous!$B$4:$B$138, 0), MATCH(L$4&amp;L$5, LS_previous!$D$2:$AY$2&amp;LS_previous!$D$3:$AY$3, 0)),SUM(VLOOKUP($A118, LS_previous!$B$4:$AY$138, LS_previous!D$149, FALSE), VLOOKUP('Staging Table'!$A118, LS_previous!$B$4:$AY$138,LS_previous!AB$149, FALSE))/2)</f>
        <v>-221.95388991363336</v>
      </c>
      <c r="M118" s="382">
        <f t="array" ref="M118">IF($G118=0, INDEX(LS_previous!$D$4:$AY$138, MATCH('Staging Table'!$A118, LS_previous!$B$4:$B$138, 0), MATCH(M$4&amp;M$5, LS_previous!$D$2:$AY$2&amp;LS_previous!$D$3:$AY$3, 0)),SUM(VLOOKUP($A118, LS_previous!$B$4:$AY$138, LS_previous!E$149, FALSE), VLOOKUP('Staging Table'!$A118, LS_previous!$B$4:$AY$138,LS_previous!AC$149, FALSE))/2)</f>
        <v>-116.22392596611155</v>
      </c>
      <c r="N118" s="382">
        <f t="array" ref="N118">IF($G118=0, INDEX(LS_previous!$D$4:$AY$138, MATCH('Staging Table'!$A118, LS_previous!$B$4:$B$138, 0), MATCH(N$4&amp;N$5, LS_previous!$D$2:$AY$2&amp;LS_previous!$D$3:$AY$3, 0)),SUM(VLOOKUP($A118, LS_previous!$B$4:$AY$138, LS_previous!F$149, FALSE), VLOOKUP('Staging Table'!$A118, LS_previous!$B$4:$AY$138,LS_previous!AD$149, FALSE))/2)</f>
        <v>-83.058455635896394</v>
      </c>
      <c r="O118" s="382">
        <f t="array" ref="O118">IF($G118=0, INDEX(LS_previous!$D$4:$AY$138, MATCH('Staging Table'!$A118, LS_previous!$B$4:$B$138, 0), MATCH(O$4&amp;O$5, LS_previous!$D$2:$AY$2&amp;LS_previous!$D$3:$AY$3, 0)),SUM(VLOOKUP($A118, LS_previous!$B$4:$AY$138, LS_previous!G$149, FALSE), VLOOKUP('Staging Table'!$A118, LS_previous!$B$4:$AY$138,LS_previous!AE$149, FALSE))/2)</f>
        <v>68.790327914846671</v>
      </c>
      <c r="P118" s="382">
        <f t="array" ref="P118">IF($G118=0, INDEX(LS_previous!$D$4:$AY$138, MATCH('Staging Table'!$A118, LS_previous!$B$4:$B$138, 0), MATCH(P$4&amp;P$5, LS_previous!$D$2:$AY$2&amp;LS_previous!$D$3:$AY$3, 0)),SUM(VLOOKUP($A118, LS_previous!$B$4:$AY$138, LS_previous!H$149, FALSE), VLOOKUP('Staging Table'!$A118, LS_previous!$B$4:$AY$138,LS_previous!AF$149, FALSE))/2)</f>
        <v>242.19976260841509</v>
      </c>
      <c r="Q118" s="382">
        <f t="array" ref="Q118">IF($G118=0, INDEX(LS_previous!$D$4:$AY$138, MATCH('Staging Table'!$A118, LS_previous!$B$4:$B$138, 0), MATCH(Q$4&amp;Q$5, LS_previous!$D$2:$AY$2&amp;LS_previous!$D$3:$AY$3, 0)),SUM(VLOOKUP($A118, LS_previous!$B$4:$AY$138, LS_previous!I$149, FALSE), VLOOKUP('Staging Table'!$A118, LS_previous!$B$4:$AY$138,LS_previous!AG$149, FALSE))/2)</f>
        <v>289.23871844309565</v>
      </c>
      <c r="R118" s="382">
        <f t="array" ref="R118">IF($G118=0, INDEX(LS_previous!$D$4:$AY$138, MATCH('Staging Table'!$A118, LS_previous!$B$4:$B$138, 0), MATCH(R$4&amp;R$5, LS_previous!$D$2:$AY$2&amp;LS_previous!$D$3:$AY$3, 0)),SUM(VLOOKUP($A118, LS_previous!$B$4:$AY$138, LS_previous!J$149, FALSE), VLOOKUP('Staging Table'!$A118, LS_previous!$B$4:$AY$138,LS_previous!AH$149, FALSE))/2)</f>
        <v>385.74514969791142</v>
      </c>
      <c r="S118" s="382">
        <f t="array" ref="S118">IF($G118=0, INDEX(LS_previous!$D$4:$AY$138, MATCH('Staging Table'!$A118, LS_previous!$B$4:$B$138, 0), MATCH(S$4&amp;S$5, LS_previous!$D$2:$AY$2&amp;LS_previous!$D$3:$AY$3, 0)),SUM(VLOOKUP($A118, LS_previous!$B$4:$AY$138, LS_previous!K$149, FALSE), VLOOKUP('Staging Table'!$A118, LS_previous!$B$4:$AY$138,LS_previous!AI$149, FALSE))/2)</f>
        <v>375.33095241440094</v>
      </c>
      <c r="T118" s="382">
        <f t="array" ref="T118">IF($G118=0, INDEX(LS_previous!$D$4:$AY$138, MATCH('Staging Table'!$A118, LS_previous!$B$4:$B$138, 0), MATCH(T$4&amp;T$5, LS_previous!$D$2:$AY$2&amp;LS_previous!$D$3:$AY$3, 0)),SUM(VLOOKUP($A118, LS_previous!$B$4:$AY$138, LS_previous!L$149, FALSE), VLOOKUP('Staging Table'!$A118, LS_previous!$B$4:$AY$138,LS_previous!AJ$149, FALSE))/2)</f>
        <v>334.82021345487931</v>
      </c>
      <c r="U118" s="382">
        <f t="array" ref="U118">IF($G118=0, INDEX(LS_previous!$D$4:$AY$138, MATCH('Staging Table'!$A118, LS_previous!$B$4:$B$138, 0), MATCH(U$4&amp;U$5, LS_previous!$D$2:$AY$2&amp;LS_previous!$D$3:$AY$3, 0)),SUM(VLOOKUP($A118, LS_previous!$B$4:$AY$138, LS_previous!M$149, FALSE), VLOOKUP('Staging Table'!$A118, LS_previous!$B$4:$AY$138,LS_previous!AK$149, FALSE))/2)</f>
        <v>325.15353981274029</v>
      </c>
      <c r="V118" s="382">
        <f t="array" ref="V118">IF($G118=0, INDEX(LS_previous!$D$4:$AY$138, MATCH('Staging Table'!$A118, LS_previous!$B$4:$B$138, 0), MATCH(V$4&amp;V$5, LS_previous!$D$2:$AY$2&amp;LS_previous!$D$3:$AY$3, 0)),SUM(VLOOKUP($A118, LS_previous!$B$4:$AY$138, LS_previous!N$149, FALSE), VLOOKUP('Staging Table'!$A118, LS_previous!$B$4:$AY$138,LS_previous!AL$149, FALSE))/2)</f>
        <v>43.434591950208983</v>
      </c>
      <c r="W118" s="382">
        <f t="array" ref="W118">IF($G118=0, INDEX(LS_previous!$D$4:$AY$138, MATCH('Staging Table'!$A118, LS_previous!$B$4:$B$138, 0), MATCH(W$4&amp;W$5, LS_previous!$D$2:$AY$2&amp;LS_previous!$D$3:$AY$3, 0)),SUM(VLOOKUP($A118, LS_previous!$B$4:$AY$138, LS_previous!O$149, FALSE), VLOOKUP('Staging Table'!$A118, LS_previous!$B$4:$AY$138,LS_previous!AM$149, FALSE))/2)</f>
        <v>108.5529652292895</v>
      </c>
      <c r="X118" s="382">
        <f t="array" ref="X118">IF($G118=0, INDEX(LS_previous!$D$4:$AY$138, MATCH('Staging Table'!$A118, LS_previous!$B$4:$B$138, 0), MATCH(X$4&amp;X$5, LS_previous!$D$2:$AY$2&amp;LS_previous!$D$3:$AY$3, 0)),SUM(VLOOKUP($A118, LS_previous!$B$4:$AY$138, LS_previous!P$149, FALSE), VLOOKUP('Staging Table'!$A118, LS_previous!$B$4:$AY$138,LS_previous!AN$149, FALSE))/2)</f>
        <v>-95.885963355539502</v>
      </c>
      <c r="Y118" s="382">
        <f t="array" ref="Y118">IF($G118=0, INDEX(LS_previous!$D$4:$AY$138, MATCH('Staging Table'!$A118, LS_previous!$B$4:$B$138, 0), MATCH(Y$4&amp;Y$5, LS_previous!$D$2:$AY$2&amp;LS_previous!$D$3:$AY$3, 0)),SUM(VLOOKUP($A118, LS_previous!$B$4:$AY$138, LS_previous!Q$149, FALSE), VLOOKUP('Staging Table'!$A118, LS_previous!$B$4:$AY$138,LS_previous!AO$149, FALSE))/2)</f>
        <v>-16.022162771195667</v>
      </c>
      <c r="Z118" s="382">
        <f t="array" ref="Z118">IF($G118=0, INDEX(LS_previous!$D$4:$AY$138, MATCH('Staging Table'!$A118, LS_previous!$B$4:$B$138, 0), MATCH(Z$4&amp;Z$5, LS_previous!$D$2:$AY$2&amp;LS_previous!$D$3:$AY$3, 0)),SUM(VLOOKUP($A118, LS_previous!$B$4:$AY$138, LS_previous!R$149, FALSE), VLOOKUP('Staging Table'!$A118, LS_previous!$B$4:$AY$138,LS_previous!AP$149, FALSE))/2)</f>
        <v>-632.70424877979224</v>
      </c>
      <c r="AA118" s="382">
        <f t="array" ref="AA118">IF($G118=0, INDEX(LS_previous!$D$4:$AY$138, MATCH('Staging Table'!$A118, LS_previous!$B$4:$B$138, 0), MATCH(AA$4&amp;AA$5, LS_previous!$D$2:$AY$2&amp;LS_previous!$D$3:$AY$3, 0)),SUM(VLOOKUP($A118, LS_previous!$B$4:$AY$138, LS_previous!S$149, FALSE), VLOOKUP('Staging Table'!$A118, LS_previous!$B$4:$AY$138,LS_previous!AQ$149, FALSE))/2)</f>
        <v>-305.59261825599924</v>
      </c>
      <c r="AB118" s="382">
        <f t="array" ref="AB118">IF($G118=0, INDEX(LS_previous!$D$4:$AY$138, MATCH('Staging Table'!$A118, LS_previous!$B$4:$B$138, 0), MATCH(AB$4&amp;AB$5, LS_previous!$D$2:$AY$2&amp;LS_previous!$D$3:$AY$3, 0)),SUM(VLOOKUP($A118, LS_previous!$B$4:$AY$138, LS_previous!T$149, FALSE), VLOOKUP('Staging Table'!$A118, LS_previous!$B$4:$AY$138,LS_previous!AR$149, FALSE))/2)</f>
        <v>-427.15460306257853</v>
      </c>
      <c r="AC118" s="382">
        <f t="array" ref="AC118">IF($G118=0, INDEX(LS_previous!$D$4:$AY$138, MATCH('Staging Table'!$A118, LS_previous!$B$4:$B$138, 0), MATCH(AC$4&amp;AC$5, LS_previous!$D$2:$AY$2&amp;LS_previous!$D$3:$AY$3, 0)),SUM(VLOOKUP($A118, LS_previous!$B$4:$AY$138, LS_previous!U$149, FALSE), VLOOKUP('Staging Table'!$A118, LS_previous!$B$4:$AY$138,LS_previous!AS$149, FALSE))/2)</f>
        <v>-213.78505322941857</v>
      </c>
      <c r="AD118" s="382">
        <f t="array" ref="AD118">IF($G118=0, INDEX(LS_previous!$D$4:$AY$138, MATCH('Staging Table'!$A118, LS_previous!$B$4:$B$138, 0), MATCH(AD$4&amp;AD$5, LS_previous!$D$2:$AY$2&amp;LS_previous!$D$3:$AY$3, 0)),SUM(VLOOKUP($A118, LS_previous!$B$4:$AY$138, LS_previous!V$149, FALSE), VLOOKUP('Staging Table'!$A118, LS_previous!$B$4:$AY$138,LS_previous!AT$149, FALSE))/2)</f>
        <v>-240.82489922684931</v>
      </c>
      <c r="AE118" s="382">
        <f t="array" ref="AE118">IF($G118=0, INDEX(LS_previous!$D$4:$AY$138, MATCH('Staging Table'!$A118, LS_previous!$B$4:$B$138, 0), MATCH(AE$4&amp;AE$5, LS_previous!$D$2:$AY$2&amp;LS_previous!$D$3:$AY$3, 0)),SUM(VLOOKUP($A118, LS_previous!$B$4:$AY$138, LS_previous!W$149, FALSE), VLOOKUP('Staging Table'!$A118, LS_previous!$B$4:$AY$138,LS_previous!AU$149, FALSE))/2)</f>
        <v>-67.97646679383729</v>
      </c>
      <c r="AF118" s="382">
        <f t="array" ref="AF118">IF($G118=0, INDEX(LS_previous!$D$4:$AY$138, MATCH('Staging Table'!$A118, LS_previous!$B$4:$B$138, 0), MATCH(AF$4&amp;AF$5, LS_previous!$D$2:$AY$2&amp;LS_previous!$D$3:$AY$3, 0)),SUM(VLOOKUP($A118, LS_previous!$B$4:$AY$138, LS_previous!X$149, FALSE), VLOOKUP('Staging Table'!$A118, LS_previous!$B$4:$AY$138,LS_previous!AV$149, FALSE))/2)</f>
        <v>-307.16656689275453</v>
      </c>
      <c r="AG118" s="382">
        <f t="array" ref="AG118">IF($G118=0, INDEX(LS_previous!$D$4:$AY$138, MATCH('Staging Table'!$A118, LS_previous!$B$4:$B$138, 0), MATCH(AG$4&amp;AG$5, LS_previous!$D$2:$AY$2&amp;LS_previous!$D$3:$AY$3, 0)),SUM(VLOOKUP($A118, LS_previous!$B$4:$AY$138, LS_previous!Y$149, FALSE), VLOOKUP('Staging Table'!$A118, LS_previous!$B$4:$AY$138,LS_previous!AW$149, FALSE))/2)</f>
        <v>-112.36936700982733</v>
      </c>
      <c r="AH118" s="382">
        <f t="array" ref="AH118">IF($G118=0, INDEX(LS_previous!$D$4:$AY$138, MATCH('Staging Table'!$A118, LS_previous!$B$4:$B$138, 0), MATCH(AH$4&amp;AH$5, LS_previous!$D$2:$AY$2&amp;LS_previous!$D$3:$AY$3, 0)),SUM(VLOOKUP($A118, LS_previous!$B$4:$AY$138, LS_previous!Z$149, FALSE), VLOOKUP('Staging Table'!$A118, LS_previous!$B$4:$AY$138,LS_previous!AX$149, FALSE))/2)</f>
        <v>-261.85720501553953</v>
      </c>
      <c r="AI118" s="382">
        <f t="array" ref="AI118">IF($G118=0, INDEX(LS_previous!$D$4:$AY$138, MATCH('Staging Table'!$A118, LS_previous!$B$4:$B$138, 0), MATCH(AI$4&amp;AI$5, LS_previous!$D$2:$AY$2&amp;LS_previous!$D$3:$AY$3, 0)),SUM(VLOOKUP($A118, LS_previous!$B$4:$AY$138, LS_previous!AA$149, FALSE), VLOOKUP('Staging Table'!$A118, LS_previous!$B$4:$AY$138,LS_previous!AY$149, FALSE))/2)</f>
        <v>-150.09219461148285</v>
      </c>
      <c r="AJ118" s="384">
        <f t="array" ref="AJ118">INDEX(Demand_previous!$D$4:$AY$138, MATCH('Staging Table'!$A118, Demand_previous!$B$4:$B$138, 0), MATCH(AJ$4&amp;AJ$5,Demand_previous!$D$2:$AY$2&amp;Demand_previous!$D$3:$AY$3, 0))/1000</f>
        <v>0</v>
      </c>
      <c r="AK118" s="384">
        <f t="array" ref="AK118">INDEX(Demand_previous!$D$4:$AY$138, MATCH('Staging Table'!$A118, Demand_previous!$B$4:$B$138, 0), MATCH(AK$4&amp;AK$5,Demand_previous!$D$2:$AY$2&amp;Demand_previous!$D$3:$AY$3, 0))/1000</f>
        <v>0</v>
      </c>
      <c r="AL118" s="384">
        <f t="array" ref="AL118">INDEX(Demand_previous!$D$4:$AY$138, MATCH('Staging Table'!$A118, Demand_previous!$B$4:$B$138, 0), MATCH(AL$4&amp;AL$5,Demand_previous!$D$2:$AY$2&amp;Demand_previous!$D$3:$AY$3, 0))/1000</f>
        <v>0.42757211538461515</v>
      </c>
      <c r="AM118" s="384">
        <f t="array" ref="AM118">INDEX(Demand_previous!$D$4:$AY$138, MATCH('Staging Table'!$A118, Demand_previous!$B$4:$B$138, 0), MATCH(AM$4&amp;AM$5,Demand_previous!$D$2:$AY$2&amp;Demand_previous!$D$3:$AY$3, 0))/1000</f>
        <v>0.13014499999999962</v>
      </c>
      <c r="AN118" s="384">
        <f t="array" ref="AN118">INDEX(Demand_previous!$D$4:$AY$138, MATCH('Staging Table'!$A118, Demand_previous!$B$4:$B$138, 0), MATCH(AN$4&amp;AN$5,Demand_previous!$D$2:$AY$2&amp;Demand_previous!$D$3:$AY$3, 0))/1000</f>
        <v>0.14975750000000021</v>
      </c>
      <c r="AO118" s="384">
        <f t="array" ref="AO118">INDEX(Demand_previous!$D$4:$AY$138, MATCH('Staging Table'!$A118, Demand_previous!$B$4:$B$138, 0), MATCH(AO$4&amp;AO$5,Demand_previous!$D$2:$AY$2&amp;Demand_previous!$D$3:$AY$3, 0))/1000</f>
        <v>0.14701851851851833</v>
      </c>
      <c r="AP118" s="384">
        <f t="array" ref="AP118">INDEX(Demand_previous!$D$4:$AY$138, MATCH('Staging Table'!$A118, Demand_previous!$B$4:$B$138, 0), MATCH(AP$4&amp;AP$5,Demand_previous!$D$2:$AY$2&amp;Demand_previous!$D$3:$AY$3, 0))/1000</f>
        <v>9.6394230769232259E-3</v>
      </c>
      <c r="AQ118" s="384">
        <f t="array" ref="AQ118">INDEX(Demand_previous!$D$4:$AY$138, MATCH('Staging Table'!$A118, Demand_previous!$B$4:$B$138, 0), MATCH(AQ$4&amp;AQ$5,Demand_previous!$D$2:$AY$2&amp;Demand_previous!$D$3:$AY$3, 0))/1000</f>
        <v>8.0612499999999587E-2</v>
      </c>
      <c r="AR118" s="384">
        <f t="array" ref="AR118">INDEX(Demand_previous!$D$4:$AY$138, MATCH('Staging Table'!$A118, Demand_previous!$B$4:$B$138, 0), MATCH(AR$4&amp;AR$5,Demand_previous!$D$2:$AY$2&amp;Demand_previous!$D$3:$AY$3, 0))/1000</f>
        <v>2.8117788461538454E-2</v>
      </c>
      <c r="AS118" s="384">
        <f t="array" ref="AS118">INDEX(Demand_previous!$D$4:$AY$138, MATCH('Staging Table'!$A118, Demand_previous!$B$4:$B$138, 0), MATCH(AS$4&amp;AS$5,Demand_previous!$D$2:$AY$2&amp;Demand_previous!$D$3:$AY$3, 0))/1000</f>
        <v>8.6492499999999806E-2</v>
      </c>
      <c r="AT118" s="384">
        <f t="array" ref="AT118">INDEX(Demand_previous!$D$4:$AY$138, MATCH('Staging Table'!$A118, Demand_previous!$B$4:$B$138, 0), MATCH(AT$4&amp;AT$5,Demand_previous!$D$2:$AY$2&amp;Demand_previous!$D$3:$AY$3, 0))/1000</f>
        <v>0.1726550925925926</v>
      </c>
      <c r="AU118" s="384">
        <f t="array" ref="AU118">INDEX(Demand_previous!$D$4:$AY$138, MATCH('Staging Table'!$A118, Demand_previous!$B$4:$B$138, 0), MATCH(AU$4&amp;AU$5,Demand_previous!$D$2:$AY$2&amp;Demand_previous!$D$3:$AY$3, 0))/1000</f>
        <v>0.15440250000000005</v>
      </c>
      <c r="AV118" s="384">
        <f>IF($D118=0,IF(C118=0, MAX(AY118 - (VLOOKUP($A118,TOCA_previous!$A$2:$AI$137,MATCH("RHWM 2016",TOCA_previous!$A$2:$AI$2,0),FALSE)*$F$2*TOCA_previous!C115),0),0), 0)</f>
        <v>0</v>
      </c>
      <c r="AW118" s="427">
        <f>VLOOKUP($A118,REP_previous!$A$1:$D$135,MATCH("FY "&amp;$F$1&amp; " Total Refund",REP_previous!$A$1:$D$1,0),0)</f>
        <v>11190.667138866147</v>
      </c>
      <c r="AX118" s="398">
        <f>MIN(VLOOKUP($A118,TOCA_previous!$A$2:$AI$137,MATCH("TRL - NLSL - Exisiting Resource "&amp;$F$1,TOCA_previous!$A$2:$AI$2,0),FALSE)*$F$2,(VLOOKUP($A118,TOCA_previous!$A$2:$AI$137,MATCH("RHWM 2016",TOCA_previous!$A$2:$AI$2,0),FALSE)*$F$2))</f>
        <v>17576.784</v>
      </c>
      <c r="AY118" s="384">
        <f>SUM(L118:AI118)+(F118*RT1SC!$C$3*$F$2)</f>
        <v>16494.342041365333</v>
      </c>
      <c r="AZ118" s="398">
        <f>VLOOKUP($A118,TOCA_previous!$A$2:$AI$137,MATCH("Above RHWM Not Served with LS "&amp;$F$1,TOCA_previous!$A$2:$AI$2,0),FALSE)*$F$2</f>
        <v>0</v>
      </c>
      <c r="BA118" s="206">
        <f t="shared" si="19"/>
        <v>-1082.4419586346667</v>
      </c>
      <c r="BB118" s="399">
        <f>(VLOOKUP($A118,TOCA_previous!$A$2:$AI$137,MATCH("RHWM 2016",TOCA_previous!$A$2:$AI$2,0),FALSE)*$F$2) - $AX118</f>
        <v>0</v>
      </c>
      <c r="BC118" s="206">
        <f t="shared" si="20"/>
        <v>0</v>
      </c>
      <c r="BD118" s="400">
        <f t="shared" si="21"/>
        <v>1082.4419586346667</v>
      </c>
      <c r="BE118" s="392">
        <f t="shared" si="22"/>
        <v>0</v>
      </c>
      <c r="BF118" s="399">
        <f t="shared" si="23"/>
        <v>1082.4419586346667</v>
      </c>
      <c r="BG118" s="206">
        <f>VLOOKUP($A118,TOCA_current!$A$2:$AI$137,MATCH(BG$4,TOCA_current!$A$2:$AI$2,0),FALSE)</f>
        <v>2.7109999999999998E-4</v>
      </c>
      <c r="BH118" s="206">
        <f>VLOOKUP($A118,TOCA_current!$A$2:$AI$137,MATCH(BH$4,TOCA_current!$A$2:$AI$2,0),FALSE)</f>
        <v>2.7109999999999998E-4</v>
      </c>
      <c r="BI118" s="391">
        <f t="shared" si="24"/>
        <v>0</v>
      </c>
      <c r="BJ118" s="206">
        <f>VLOOKUP($A118,TOCA_current!A114:BG249,MATCH(BJ$4,TOCA_current!$A$2:$BG$2,0),FALSE)</f>
        <v>0</v>
      </c>
      <c r="BK118" s="206">
        <f t="shared" si="25"/>
        <v>0</v>
      </c>
      <c r="BL118" s="206">
        <f t="shared" si="26"/>
        <v>0</v>
      </c>
      <c r="BM118" s="381">
        <f>VLOOKUP($A118,IRD!$A$4:$G$139, 7, FALSE)</f>
        <v>0</v>
      </c>
      <c r="BN118" s="382">
        <f t="array" ref="BN118">IF($BI118=0, INDEX(LS_current!$D$4:$AY$139, MATCH('Staging Table'!$A118, LS_current!$B$4:$B$139, 0), MATCH(BN$4&amp;BN$5, LS_current!$D$2:$AY$2&amp;LS_current!$D$3:$AY$3, 0)),SUM(VLOOKUP($A118, LS_current!$B$4:$AY$139, LS_current!D$149, FALSE), VLOOKUP($A118, LS_current!$B$4:$AY$139,LS_current!D$149, FALSE))/2)</f>
        <v>-179.66622969281616</v>
      </c>
      <c r="BO118" s="382">
        <f t="array" ref="BO118">IF($BI118=0, INDEX(LS_current!$D$4:$AY$139, MATCH('Staging Table'!$A118, LS_current!$B$4:$B$139, 0), MATCH(BO$4&amp;BO$5, LS_current!$D$2:$AY$2&amp;LS_current!$D$3:$AY$3, 0)),SUM(VLOOKUP($A118, LS_current!$B$4:$AY$139, LS_current!E$149, FALSE), VLOOKUP($A118, LS_current!$B$4:$AY$139,LS_current!E$149, FALSE))/2)</f>
        <v>-65.488687690977258</v>
      </c>
      <c r="BP118" s="382">
        <f t="array" ref="BP118">IF($BI118=0, INDEX(LS_current!$D$4:$AY$139, MATCH('Staging Table'!$A118, LS_current!$B$4:$B$139, 0), MATCH(BP$4&amp;BP$5, LS_current!$D$2:$AY$2&amp;LS_current!$D$3:$AY$3, 0)),SUM(VLOOKUP($A118, LS_current!$B$4:$AY$139, LS_current!F$149, FALSE), VLOOKUP($A118, LS_current!$B$4:$AY$139,LS_current!F$149, FALSE))/2)</f>
        <v>-48.222813649146701</v>
      </c>
      <c r="BQ118" s="382">
        <f t="array" ref="BQ118">IF($BI118=0, INDEX(LS_current!$D$4:$AY$139, MATCH('Staging Table'!$A118, LS_current!$B$4:$B$139, 0), MATCH(BQ$4&amp;BQ$5, LS_current!$D$2:$AY$2&amp;LS_current!$D$3:$AY$3, 0)),SUM(VLOOKUP($A118, LS_current!$B$4:$AY$139, LS_current!G$149, FALSE), VLOOKUP($A118, LS_current!$B$4:$AY$139,LS_current!G$149, FALSE))/2)</f>
        <v>107.38254382048876</v>
      </c>
      <c r="BR118" s="382">
        <f t="array" ref="BR118">IF($BI118=0, INDEX(LS_current!$D$4:$AY$139, MATCH('Staging Table'!$A118, LS_current!$B$4:$B$139, 0), MATCH(BR$4&amp;BR$5, LS_current!$D$2:$AY$2&amp;LS_current!$D$3:$AY$3, 0)),SUM(VLOOKUP($A118, LS_current!$B$4:$AY$139, LS_current!H$149, FALSE), VLOOKUP($A118, LS_current!$B$4:$AY$139,LS_current!H$149, FALSE))/2)</f>
        <v>264.19643181306151</v>
      </c>
      <c r="BS118" s="382">
        <f t="array" ref="BS118">IF($BI118=0, INDEX(LS_current!$D$4:$AY$139, MATCH('Staging Table'!$A118, LS_current!$B$4:$B$139, 0), MATCH(BS$4&amp;BS$5, LS_current!$D$2:$AY$2&amp;LS_current!$D$3:$AY$3, 0)),SUM(VLOOKUP($A118, LS_current!$B$4:$AY$139, LS_current!I$149, FALSE), VLOOKUP($A118, LS_current!$B$4:$AY$139,LS_current!I$149, FALSE))/2)</f>
        <v>316.65357691758607</v>
      </c>
      <c r="BT118" s="382">
        <f t="array" ref="BT118">IF($BI118=0, INDEX(LS_current!$D$4:$AY$139, MATCH('Staging Table'!$A118, LS_current!$B$4:$B$139, 0), MATCH(BT$4&amp;BT$5, LS_current!$D$2:$AY$2&amp;LS_current!$D$3:$AY$3, 0)),SUM(VLOOKUP($A118, LS_current!$B$4:$AY$139, LS_current!J$149, FALSE), VLOOKUP($A118, LS_current!$B$4:$AY$139,LS_current!J$149, FALSE))/2)</f>
        <v>422.6045781000073</v>
      </c>
      <c r="BU118" s="382">
        <f t="array" ref="BU118">IF($BI118=0, INDEX(LS_current!$D$4:$AY$139, MATCH('Staging Table'!$A118, LS_current!$B$4:$B$139, 0), MATCH(BU$4&amp;BU$5, LS_current!$D$2:$AY$2&amp;LS_current!$D$3:$AY$3, 0)),SUM(VLOOKUP($A118, LS_current!$B$4:$AY$139, LS_current!K$149, FALSE), VLOOKUP($A118, LS_current!$B$4:$AY$139,LS_current!K$149, FALSE))/2)</f>
        <v>402.05125619011682</v>
      </c>
      <c r="BV118" s="382">
        <f t="array" ref="BV118">IF($BI118=0, INDEX(LS_current!$D$4:$AY$139, MATCH('Staging Table'!$A118, LS_current!$B$4:$B$139, 0), MATCH(BV$4&amp;BV$5, LS_current!$D$2:$AY$2&amp;LS_current!$D$3:$AY$3, 0)),SUM(VLOOKUP($A118, LS_current!$B$4:$AY$139, LS_current!L$149, FALSE), VLOOKUP($A118, LS_current!$B$4:$AY$139,LS_current!L$149, FALSE))/2)</f>
        <v>433.32743832109759</v>
      </c>
      <c r="BW118" s="382">
        <f t="array" ref="BW118">IF($BI118=0, INDEX(LS_current!$D$4:$AY$139, MATCH('Staging Table'!$A118, LS_current!$B$4:$B$139, 0), MATCH(BW$4&amp;BW$5, LS_current!$D$2:$AY$2&amp;LS_current!$D$3:$AY$3, 0)),SUM(VLOOKUP($A118, LS_current!$B$4:$AY$139, LS_current!M$149, FALSE), VLOOKUP($A118, LS_current!$B$4:$AY$139,LS_current!M$149, FALSE))/2)</f>
        <v>394.71142687383252</v>
      </c>
      <c r="BX118" s="382">
        <f t="array" ref="BX118">IF($BI118=0, INDEX(LS_current!$D$4:$AY$139, MATCH('Staging Table'!$A118, LS_current!$B$4:$B$139, 0), MATCH(BX$4&amp;BX$5, LS_current!$D$2:$AY$2&amp;LS_current!$D$3:$AY$3, 0)),SUM(VLOOKUP($A118, LS_current!$B$4:$AY$139, LS_current!N$149, FALSE), VLOOKUP($A118, LS_current!$B$4:$AY$139,LS_current!N$149, FALSE))/2)</f>
        <v>135.96057927218772</v>
      </c>
      <c r="BY118" s="382">
        <f t="array" ref="BY118">IF($BI118=0, INDEX(LS_current!$D$4:$AY$139, MATCH('Staging Table'!$A118, LS_current!$B$4:$B$139, 0), MATCH(BY$4&amp;BY$5, LS_current!$D$2:$AY$2&amp;LS_current!$D$3:$AY$3, 0)),SUM(VLOOKUP($A118, LS_current!$B$4:$AY$139, LS_current!O$149, FALSE), VLOOKUP($A118, LS_current!$B$4:$AY$139,LS_current!O$149, FALSE))/2)</f>
        <v>187.18274432835329</v>
      </c>
      <c r="BZ118" s="382">
        <f t="array" ref="BZ118">IF($BI118=0, INDEX(LS_current!$D$4:$AY$139, MATCH('Staging Table'!$A118, LS_current!$B$4:$B$139, 0), MATCH(BZ$4&amp;BZ$5, LS_current!$D$2:$AY$2&amp;LS_current!$D$3:$AY$3, 0)),SUM(VLOOKUP($A118, LS_current!$B$4:$AY$139, LS_current!P$149, FALSE), VLOOKUP($A118, LS_current!$B$4:$AY$139,LS_current!P$149, FALSE))/2)</f>
        <v>-137.80726098770367</v>
      </c>
      <c r="CA118" s="382">
        <f t="array" ref="CA118">IF($BI118=0, INDEX(LS_current!$D$4:$AY$139, MATCH('Staging Table'!$A118, LS_current!$B$4:$B$139, 0), MATCH(CA$4&amp;CA$5, LS_current!$D$2:$AY$2&amp;LS_current!$D$3:$AY$3, 0)),SUM(VLOOKUP($A118, LS_current!$B$4:$AY$139, LS_current!Q$149, FALSE), VLOOKUP($A118, LS_current!$B$4:$AY$139,LS_current!Q$149, FALSE))/2)</f>
        <v>2.7679144427373217</v>
      </c>
      <c r="CB118" s="382">
        <f t="array" ref="CB118">IF($BI118=0, INDEX(LS_current!$D$4:$AY$139, MATCH('Staging Table'!$A118, LS_current!$B$4:$B$139, 0), MATCH(CB$4&amp;CB$5, LS_current!$D$2:$AY$2&amp;LS_current!$D$3:$AY$3, 0)),SUM(VLOOKUP($A118, LS_current!$B$4:$AY$139, LS_current!R$149, FALSE), VLOOKUP($A118, LS_current!$B$4:$AY$139,LS_current!R$149, FALSE))/2)</f>
        <v>-556.16874718461997</v>
      </c>
      <c r="CC118" s="382">
        <f t="array" ref="CC118">IF($BI118=0, INDEX(LS_current!$D$4:$AY$139, MATCH('Staging Table'!$A118, LS_current!$B$4:$B$139, 0), MATCH(CC$4&amp;CC$5, LS_current!$D$2:$AY$2&amp;LS_current!$D$3:$AY$3, 0)),SUM(VLOOKUP($A118, LS_current!$B$4:$AY$139, LS_current!S$149, FALSE), VLOOKUP($A118, LS_current!$B$4:$AY$139,LS_current!S$149, FALSE))/2)</f>
        <v>-278.85955082055807</v>
      </c>
      <c r="CD118" s="382">
        <f t="array" ref="CD118">IF($BI118=0, INDEX(LS_current!$D$4:$AY$139, MATCH('Staging Table'!$A118, LS_current!$B$4:$B$139, 0), MATCH(CD$4&amp;CD$5, LS_current!$D$2:$AY$2&amp;LS_current!$D$3:$AY$3, 0)),SUM(VLOOKUP($A118, LS_current!$B$4:$AY$139, LS_current!T$149, FALSE), VLOOKUP($A118, LS_current!$B$4:$AY$139,LS_current!T$149, FALSE))/2)</f>
        <v>-369.2699332230012</v>
      </c>
      <c r="CE118" s="382">
        <f t="array" ref="CE118">IF($BI118=0, INDEX(LS_current!$D$4:$AY$139, MATCH('Staging Table'!$A118, LS_current!$B$4:$B$139, 0), MATCH(CE$4&amp;CE$5, LS_current!$D$2:$AY$2&amp;LS_current!$D$3:$AY$3, 0)),SUM(VLOOKUP($A118, LS_current!$B$4:$AY$139, LS_current!U$149, FALSE), VLOOKUP($A118, LS_current!$B$4:$AY$139,LS_current!U$149, FALSE))/2)</f>
        <v>-145.95749635457003</v>
      </c>
      <c r="CF118" s="382">
        <f t="array" ref="CF118">IF($BI118=0, INDEX(LS_current!$D$4:$AY$139, MATCH('Staging Table'!$A118, LS_current!$B$4:$B$139, 0), MATCH(CF$4&amp;CF$5, LS_current!$D$2:$AY$2&amp;LS_current!$D$3:$AY$3, 0)),SUM(VLOOKUP($A118, LS_current!$B$4:$AY$139, LS_current!V$149, FALSE), VLOOKUP($A118, LS_current!$B$4:$AY$139,LS_current!V$149, FALSE))/2)</f>
        <v>-137.6942787331443</v>
      </c>
      <c r="CG118" s="382">
        <f t="array" ref="CG118">IF($BI118=0, INDEX(LS_current!$D$4:$AY$139, MATCH('Staging Table'!$A118, LS_current!$B$4:$B$139, 0), MATCH(CG$4&amp;CG$5, LS_current!$D$2:$AY$2&amp;LS_current!$D$3:$AY$3, 0)),SUM(VLOOKUP($A118, LS_current!$B$4:$AY$139, LS_current!W$149, FALSE), VLOOKUP($A118, LS_current!$B$4:$AY$139,LS_current!W$149, FALSE))/2)</f>
        <v>-8.2417468862077499</v>
      </c>
      <c r="CH118" s="382">
        <f t="array" ref="CH118">IF($BI118=0, INDEX(LS_current!$D$4:$AY$139, MATCH('Staging Table'!$A118, LS_current!$B$4:$B$139, 0), MATCH(CH$4&amp;CH$5, LS_current!$D$2:$AY$2&amp;LS_current!$D$3:$AY$3, 0)),SUM(VLOOKUP($A118, LS_current!$B$4:$AY$139, LS_current!X$149, FALSE), VLOOKUP($A118, LS_current!$B$4:$AY$139,LS_current!X$149, FALSE))/2)</f>
        <v>-249.22871267614221</v>
      </c>
      <c r="CI118" s="382">
        <f t="array" ref="CI118">IF($BI118=0, INDEX(LS_current!$D$4:$AY$139, MATCH('Staging Table'!$A118, LS_current!$B$4:$B$139, 0), MATCH(CI$4&amp;CI$5, LS_current!$D$2:$AY$2&amp;LS_current!$D$3:$AY$3, 0)),SUM(VLOOKUP($A118, LS_current!$B$4:$AY$139, LS_current!Y$149, FALSE), VLOOKUP($A118, LS_current!$B$4:$AY$139,LS_current!Y$149, FALSE))/2)</f>
        <v>-70.245753414353146</v>
      </c>
      <c r="CJ118" s="382">
        <f t="array" ref="CJ118">IF($BI118=0, INDEX(LS_current!$D$4:$AY$139, MATCH('Staging Table'!$A118, LS_current!$B$4:$B$139, 0), MATCH(CJ$4&amp;CJ$5, LS_current!$D$2:$AY$2&amp;LS_current!$D$3:$AY$3, 0)),SUM(VLOOKUP($A118, LS_current!$B$4:$AY$139, LS_current!Z$149, FALSE), VLOOKUP($A118, LS_current!$B$4:$AY$139,LS_current!Z$149, FALSE))/2)</f>
        <v>-295.69263412388682</v>
      </c>
      <c r="CK118" s="382">
        <f t="array" ref="CK118">IF($BI118=0, INDEX(LS_current!$D$4:$AY$139, MATCH('Staging Table'!$A118, LS_current!$B$4:$B$139, 0), MATCH(CK$4&amp;CK$5, LS_current!$D$2:$AY$2&amp;LS_current!$D$3:$AY$3, 0)),SUM(VLOOKUP($A118, LS_current!$B$4:$AY$139, LS_current!AA$149, FALSE), VLOOKUP($A118, LS_current!$B$4:$AY$139,LS_current!AA$149, FALSE))/2)</f>
        <v>-122.82269928163748</v>
      </c>
      <c r="CL118" s="384">
        <f t="array" ref="CL118">INDEX(Demand_current!$D$4:$AY$138, MATCH($A118, Demand_current!$B$4:$B$138, 0), MATCH(CL$4&amp;CL$5,Demand_current!$D$2:$AY$2&amp;Demand_current!$D$3:$AY$3, 0))/1000</f>
        <v>0</v>
      </c>
      <c r="CM118" s="384">
        <f t="array" ref="CM118">INDEX(Demand_current!$D$4:$AY$138, MATCH($A118, Demand_current!$B$4:$B$138, 0), MATCH(CM$4&amp;CM$5,Demand_current!$D$2:$AY$2&amp;Demand_current!$D$3:$AY$3, 0))/1000</f>
        <v>0</v>
      </c>
      <c r="CN118" s="384">
        <f t="array" ref="CN118">INDEX(Demand_current!$D$4:$AY$138, MATCH($A118, Demand_current!$B$4:$B$138, 0), MATCH(CN$4&amp;CN$5,Demand_current!$D$2:$AY$2&amp;Demand_current!$D$3:$AY$3, 0))/1000</f>
        <v>0.30919499999999978</v>
      </c>
      <c r="CO118" s="384">
        <f t="array" ref="CO118">INDEX(Demand_current!$D$4:$AY$138, MATCH($A118, Demand_current!$B$4:$B$138, 0), MATCH(CO$4&amp;CO$5,Demand_current!$D$2:$AY$2&amp;Demand_current!$D$3:$AY$3, 0))/1000</f>
        <v>0.24956249999999958</v>
      </c>
      <c r="CP118" s="384">
        <f t="array" ref="CP118">INDEX(Demand_current!$D$4:$AY$138, MATCH($A118, Demand_current!$B$4:$B$138, 0), MATCH(CP$4&amp;CP$5,Demand_current!$D$2:$AY$2&amp;Demand_current!$D$3:$AY$3, 0))/1000</f>
        <v>3.3080729166667037E-2</v>
      </c>
      <c r="CQ118" s="384">
        <f t="array" ref="CQ118">INDEX(Demand_current!$D$4:$AY$138, MATCH($A118, Demand_current!$B$4:$B$138, 0), MATCH(CQ$4&amp;CQ$5,Demand_current!$D$2:$AY$2&amp;Demand_current!$D$3:$AY$3, 0))/1000</f>
        <v>0.14701851851851833</v>
      </c>
      <c r="CR118" s="384">
        <f t="array" ref="CR118">INDEX(Demand_current!$D$4:$AY$138, MATCH($A118, Demand_current!$B$4:$B$138, 0), MATCH(CR$4&amp;CR$5,Demand_current!$D$2:$AY$2&amp;Demand_current!$D$3:$AY$3, 0))/1000</f>
        <v>0</v>
      </c>
      <c r="CS118" s="384">
        <f t="array" ref="CS118">INDEX(Demand_current!$D$4:$AY$138, MATCH($A118, Demand_current!$B$4:$B$138, 0), MATCH(CS$4&amp;CS$5,Demand_current!$D$2:$AY$2&amp;Demand_current!$D$3:$AY$3, 0))/1000</f>
        <v>0.13839663461538426</v>
      </c>
      <c r="CT118" s="384">
        <f t="array" ref="CT118">INDEX(Demand_current!$D$4:$AY$138, MATCH($A118, Demand_current!$B$4:$B$138, 0), MATCH(CT$4&amp;CT$5,Demand_current!$D$2:$AY$2&amp;Demand_current!$D$3:$AY$3, 0))/1000</f>
        <v>2.8117788461538454E-2</v>
      </c>
      <c r="CU118" s="384">
        <f t="array" ref="CU118">INDEX(Demand_current!$D$4:$AY$138, MATCH($A118, Demand_current!$B$4:$B$138, 0), MATCH(CU$4&amp;CU$5,Demand_current!$D$2:$AY$2&amp;Demand_current!$D$3:$AY$3, 0))/1000</f>
        <v>8.6492499999999806E-2</v>
      </c>
      <c r="CV118" s="384">
        <f t="array" ref="CV118">INDEX(Demand_current!$D$4:$AY$138, MATCH($A118, Demand_current!$B$4:$B$138, 0), MATCH(CV$4&amp;CV$5,Demand_current!$D$2:$AY$2&amp;Demand_current!$D$3:$AY$3, 0))/1000</f>
        <v>0.1726550925925926</v>
      </c>
      <c r="CW118" s="384">
        <f t="array" ref="CW118">INDEX(Demand_current!$D$4:$AY$138, MATCH($A118, Demand_current!$B$4:$B$138, 0), MATCH(CW$4&amp;CW$5,Demand_current!$D$2:$AY$2&amp;Demand_current!$D$3:$AY$3, 0))/1000</f>
        <v>0.10116927083333344</v>
      </c>
      <c r="CX118" s="384">
        <f>IF(D118=0,IF(C118=0,MAX(0,DA118 - (VLOOKUP($A118,TOCA_current!$A$2:$AI$137,MATCH("RHWM 2018",TOCA_current!$A$2:$AI$2,0),FALSE)*$BH$2)), 0),0)</f>
        <v>0</v>
      </c>
      <c r="CY118" s="427">
        <f>VLOOKUP($A118,REP_current!$A$1:$D$135,MATCH("FY "&amp;$BH$1&amp; " Total Refund",REP_current!$A$1:$D$1,0),0)</f>
        <v>10753.814471544005</v>
      </c>
      <c r="CZ118" s="432">
        <f>MIN(VLOOKUP($A118,TOCA_current!$A$2:$AI$137,MATCH("TRL - NLSL - Existing Resource "&amp;$BH$1,TOCA_current!$A$2:$AI$2,0),FALSE)*$BH$2, VLOOKUP($A118,TOCA_current!$A$2:$AI$137,MATCH("RHWM 2018",TOCA_current!$A$2:$AI$2,0),FALSE)*$BH$2)</f>
        <v>16495.080000000002</v>
      </c>
      <c r="DA118" s="397">
        <f>SUM(BN118:CK118)+(BH118*RT1SC!$C$4*$BH$2)</f>
        <v>16494.342240616701</v>
      </c>
      <c r="DB118" s="432">
        <f>VLOOKUP($A118,TOCA_current!$A$2:$AI$137,MATCH("Above RHWM Not Served with LS "&amp;$BH$1,TOCA_current!$A$2:$AI$2,0),FALSE)*$BH$2</f>
        <v>0</v>
      </c>
      <c r="DC118" s="401">
        <f t="shared" si="27"/>
        <v>-0.73775938330072677</v>
      </c>
      <c r="DD118" s="397">
        <f>(VLOOKUP($A118,TOCA_current!$A$2:$AI$137,MATCH("RHWM 2018",TOCA_current!$A$2:$AI$2,0),FALSE)*$BH$2) - $CZ118</f>
        <v>919.79999999999927</v>
      </c>
      <c r="DE118" s="397">
        <f t="shared" si="28"/>
        <v>0</v>
      </c>
      <c r="DF118" s="397">
        <f t="shared" si="29"/>
        <v>0.73775938330072677</v>
      </c>
      <c r="DG118" s="397">
        <f t="shared" si="30"/>
        <v>0</v>
      </c>
      <c r="DH118" s="397">
        <f t="shared" si="31"/>
        <v>0.73775938330072677</v>
      </c>
    </row>
    <row r="119" spans="1:112">
      <c r="A119" s="274">
        <v>10379</v>
      </c>
      <c r="B119" s="275" t="s">
        <v>120</v>
      </c>
      <c r="C119" s="397">
        <v>0</v>
      </c>
      <c r="D119" s="397">
        <v>0</v>
      </c>
      <c r="E119" s="205">
        <f>VLOOKUP($A119,TOCA_previous!$A$2:$AI$137,MATCH(E$4,TOCA_previous!$A$2:$AI$2,0),FALSE)</f>
        <v>6.8179999999999998E-4</v>
      </c>
      <c r="F119" s="206">
        <f>VLOOKUP($A119,TOCA_previous!$A$2:$AI$137,MATCH(F$4,TOCA_previous!$A$2:$AI$2,0),FALSE)</f>
        <v>6.8179999999999998E-4</v>
      </c>
      <c r="G119" s="206">
        <f t="shared" si="16"/>
        <v>0</v>
      </c>
      <c r="H119" s="206">
        <f>VLOOKUP($A119,TOCA_previous!$A$2:$AI$137,MATCH(H$4,TOCA_previous!$A$2:$AI$2,0),FALSE)</f>
        <v>0</v>
      </c>
      <c r="I119" s="206">
        <f t="shared" si="17"/>
        <v>0</v>
      </c>
      <c r="J119" s="206">
        <f t="shared" si="18"/>
        <v>0</v>
      </c>
      <c r="K119" s="381">
        <f>VLOOKUP(A119, IRD!$A$5:$C$139, 3, FALSE)</f>
        <v>0</v>
      </c>
      <c r="L119" s="382">
        <f t="array" ref="L119">IF($G119=0, INDEX(LS_previous!$D$4:$AY$138, MATCH('Staging Table'!$A119, LS_previous!$B$4:$B$138, 0), MATCH(L$4&amp;L$5, LS_previous!$D$2:$AY$2&amp;LS_previous!$D$3:$AY$3, 0)),SUM(VLOOKUP($A119, LS_previous!$B$4:$AY$138, LS_previous!D$149, FALSE), VLOOKUP('Staging Table'!$A119, LS_previous!$B$4:$AY$138,LS_previous!AB$149, FALSE))/2)</f>
        <v>-68.929062977714239</v>
      </c>
      <c r="M119" s="382">
        <f t="array" ref="M119">IF($G119=0, INDEX(LS_previous!$D$4:$AY$138, MATCH('Staging Table'!$A119, LS_previous!$B$4:$B$138, 0), MATCH(M$4&amp;M$5, LS_previous!$D$2:$AY$2&amp;LS_previous!$D$3:$AY$3, 0)),SUM(VLOOKUP($A119, LS_previous!$B$4:$AY$138, LS_previous!E$149, FALSE), VLOOKUP('Staging Table'!$A119, LS_previous!$B$4:$AY$138,LS_previous!AC$149, FALSE))/2)</f>
        <v>17.641345467033716</v>
      </c>
      <c r="N119" s="382">
        <f t="array" ref="N119">IF($G119=0, INDEX(LS_previous!$D$4:$AY$138, MATCH('Staging Table'!$A119, LS_previous!$B$4:$B$138, 0), MATCH(N$4&amp;N$5, LS_previous!$D$2:$AY$2&amp;LS_previous!$D$3:$AY$3, 0)),SUM(VLOOKUP($A119, LS_previous!$B$4:$AY$138, LS_previous!F$149, FALSE), VLOOKUP('Staging Table'!$A119, LS_previous!$B$4:$AY$138,LS_previous!AD$149, FALSE))/2)</f>
        <v>43.216974336634848</v>
      </c>
      <c r="O119" s="382">
        <f t="array" ref="O119">IF($G119=0, INDEX(LS_previous!$D$4:$AY$138, MATCH('Staging Table'!$A119, LS_previous!$B$4:$B$138, 0), MATCH(O$4&amp;O$5, LS_previous!$D$2:$AY$2&amp;LS_previous!$D$3:$AY$3, 0)),SUM(VLOOKUP($A119, LS_previous!$B$4:$AY$138, LS_previous!G$149, FALSE), VLOOKUP('Staging Table'!$A119, LS_previous!$B$4:$AY$138,LS_previous!AE$149, FALSE))/2)</f>
        <v>233.50981072370882</v>
      </c>
      <c r="P119" s="382">
        <f t="array" ref="P119">IF($G119=0, INDEX(LS_previous!$D$4:$AY$138, MATCH('Staging Table'!$A119, LS_previous!$B$4:$B$138, 0), MATCH(P$4&amp;P$5, LS_previous!$D$2:$AY$2&amp;LS_previous!$D$3:$AY$3, 0)),SUM(VLOOKUP($A119, LS_previous!$B$4:$AY$138, LS_previous!H$149, FALSE), VLOOKUP('Staging Table'!$A119, LS_previous!$B$4:$AY$138,LS_previous!AF$149, FALSE))/2)</f>
        <v>414.5096964970935</v>
      </c>
      <c r="Q119" s="382">
        <f t="array" ref="Q119">IF($G119=0, INDEX(LS_previous!$D$4:$AY$138, MATCH('Staging Table'!$A119, LS_previous!$B$4:$B$138, 0), MATCH(Q$4&amp;Q$5, LS_previous!$D$2:$AY$2&amp;LS_previous!$D$3:$AY$3, 0)),SUM(VLOOKUP($A119, LS_previous!$B$4:$AY$138, LS_previous!I$149, FALSE), VLOOKUP('Staging Table'!$A119, LS_previous!$B$4:$AY$138,LS_previous!AG$149, FALSE))/2)</f>
        <v>345.95322001571617</v>
      </c>
      <c r="R119" s="382">
        <f t="array" ref="R119">IF($G119=0, INDEX(LS_previous!$D$4:$AY$138, MATCH('Staging Table'!$A119, LS_previous!$B$4:$B$138, 0), MATCH(R$4&amp;R$5, LS_previous!$D$2:$AY$2&amp;LS_previous!$D$3:$AY$3, 0)),SUM(VLOOKUP($A119, LS_previous!$B$4:$AY$138, LS_previous!J$149, FALSE), VLOOKUP('Staging Table'!$A119, LS_previous!$B$4:$AY$138,LS_previous!AH$149, FALSE))/2)</f>
        <v>778.61068922874711</v>
      </c>
      <c r="S119" s="382">
        <f t="array" ref="S119">IF($G119=0, INDEX(LS_previous!$D$4:$AY$138, MATCH('Staging Table'!$A119, LS_previous!$B$4:$B$138, 0), MATCH(S$4&amp;S$5, LS_previous!$D$2:$AY$2&amp;LS_previous!$D$3:$AY$3, 0)),SUM(VLOOKUP($A119, LS_previous!$B$4:$AY$138, LS_previous!K$149, FALSE), VLOOKUP('Staging Table'!$A119, LS_previous!$B$4:$AY$138,LS_previous!AI$149, FALSE))/2)</f>
        <v>667.52455167936705</v>
      </c>
      <c r="T119" s="382">
        <f t="array" ref="T119">IF($G119=0, INDEX(LS_previous!$D$4:$AY$138, MATCH('Staging Table'!$A119, LS_previous!$B$4:$B$138, 0), MATCH(T$4&amp;T$5, LS_previous!$D$2:$AY$2&amp;LS_previous!$D$3:$AY$3, 0)),SUM(VLOOKUP($A119, LS_previous!$B$4:$AY$138, LS_previous!L$149, FALSE), VLOOKUP('Staging Table'!$A119, LS_previous!$B$4:$AY$138,LS_previous!AJ$149, FALSE))/2)</f>
        <v>608.84411320606182</v>
      </c>
      <c r="U119" s="382">
        <f t="array" ref="U119">IF($G119=0, INDEX(LS_previous!$D$4:$AY$138, MATCH('Staging Table'!$A119, LS_previous!$B$4:$B$138, 0), MATCH(U$4&amp;U$5, LS_previous!$D$2:$AY$2&amp;LS_previous!$D$3:$AY$3, 0)),SUM(VLOOKUP($A119, LS_previous!$B$4:$AY$138, LS_previous!M$149, FALSE), VLOOKUP('Staging Table'!$A119, LS_previous!$B$4:$AY$138,LS_previous!AK$149, FALSE))/2)</f>
        <v>468.69973907269241</v>
      </c>
      <c r="V119" s="382">
        <f t="array" ref="V119">IF($G119=0, INDEX(LS_previous!$D$4:$AY$138, MATCH('Staging Table'!$A119, LS_previous!$B$4:$B$138, 0), MATCH(V$4&amp;V$5, LS_previous!$D$2:$AY$2&amp;LS_previous!$D$3:$AY$3, 0)),SUM(VLOOKUP($A119, LS_previous!$B$4:$AY$138, LS_previous!N$149, FALSE), VLOOKUP('Staging Table'!$A119, LS_previous!$B$4:$AY$138,LS_previous!AL$149, FALSE))/2)</f>
        <v>143.19701846999124</v>
      </c>
      <c r="W119" s="382">
        <f t="array" ref="W119">IF($G119=0, INDEX(LS_previous!$D$4:$AY$138, MATCH('Staging Table'!$A119, LS_previous!$B$4:$B$138, 0), MATCH(W$4&amp;W$5, LS_previous!$D$2:$AY$2&amp;LS_previous!$D$3:$AY$3, 0)),SUM(VLOOKUP($A119, LS_previous!$B$4:$AY$138, LS_previous!O$149, FALSE), VLOOKUP('Staging Table'!$A119, LS_previous!$B$4:$AY$138,LS_previous!AM$149, FALSE))/2)</f>
        <v>127.03274971493761</v>
      </c>
      <c r="X119" s="382">
        <f t="array" ref="X119">IF($G119=0, INDEX(LS_previous!$D$4:$AY$138, MATCH('Staging Table'!$A119, LS_previous!$B$4:$B$138, 0), MATCH(X$4&amp;X$5, LS_previous!$D$2:$AY$2&amp;LS_previous!$D$3:$AY$3, 0)),SUM(VLOOKUP($A119, LS_previous!$B$4:$AY$138, LS_previous!P$149, FALSE), VLOOKUP('Staging Table'!$A119, LS_previous!$B$4:$AY$138,LS_previous!AN$149, FALSE))/2)</f>
        <v>254.53108511062192</v>
      </c>
      <c r="Y119" s="382">
        <f t="array" ref="Y119">IF($G119=0, INDEX(LS_previous!$D$4:$AY$138, MATCH('Staging Table'!$A119, LS_previous!$B$4:$B$138, 0), MATCH(Y$4&amp;Y$5, LS_previous!$D$2:$AY$2&amp;LS_previous!$D$3:$AY$3, 0)),SUM(VLOOKUP($A119, LS_previous!$B$4:$AY$138, LS_previous!Q$149, FALSE), VLOOKUP('Staging Table'!$A119, LS_previous!$B$4:$AY$138,LS_previous!AO$149, FALSE))/2)</f>
        <v>198.11812712948972</v>
      </c>
      <c r="Z119" s="382">
        <f t="array" ref="Z119">IF($G119=0, INDEX(LS_previous!$D$4:$AY$138, MATCH('Staging Table'!$A119, LS_previous!$B$4:$B$138, 0), MATCH(Z$4&amp;Z$5, LS_previous!$D$2:$AY$2&amp;LS_previous!$D$3:$AY$3, 0)),SUM(VLOOKUP($A119, LS_previous!$B$4:$AY$138, LS_previous!R$149, FALSE), VLOOKUP('Staging Table'!$A119, LS_previous!$B$4:$AY$138,LS_previous!AP$149, FALSE))/2)</f>
        <v>-1219.9835944784027</v>
      </c>
      <c r="AA119" s="382">
        <f t="array" ref="AA119">IF($G119=0, INDEX(LS_previous!$D$4:$AY$138, MATCH('Staging Table'!$A119, LS_previous!$B$4:$B$138, 0), MATCH(AA$4&amp;AA$5, LS_previous!$D$2:$AY$2&amp;LS_previous!$D$3:$AY$3, 0)),SUM(VLOOKUP($A119, LS_previous!$B$4:$AY$138, LS_previous!S$149, FALSE), VLOOKUP('Staging Table'!$A119, LS_previous!$B$4:$AY$138,LS_previous!AQ$149, FALSE))/2)</f>
        <v>-445.64567723190316</v>
      </c>
      <c r="AB119" s="382">
        <f t="array" ref="AB119">IF($G119=0, INDEX(LS_previous!$D$4:$AY$138, MATCH('Staging Table'!$A119, LS_previous!$B$4:$B$138, 0), MATCH(AB$4&amp;AB$5, LS_previous!$D$2:$AY$2&amp;LS_previous!$D$3:$AY$3, 0)),SUM(VLOOKUP($A119, LS_previous!$B$4:$AY$138, LS_previous!T$149, FALSE), VLOOKUP('Staging Table'!$A119, LS_previous!$B$4:$AY$138,LS_previous!AR$149, FALSE))/2)</f>
        <v>-767.83344212239467</v>
      </c>
      <c r="AC119" s="382">
        <f t="array" ref="AC119">IF($G119=0, INDEX(LS_previous!$D$4:$AY$138, MATCH('Staging Table'!$A119, LS_previous!$B$4:$B$138, 0), MATCH(AC$4&amp;AC$5, LS_previous!$D$2:$AY$2&amp;LS_previous!$D$3:$AY$3, 0)),SUM(VLOOKUP($A119, LS_previous!$B$4:$AY$138, LS_previous!U$149, FALSE), VLOOKUP('Staging Table'!$A119, LS_previous!$B$4:$AY$138,LS_previous!AS$149, FALSE))/2)</f>
        <v>-361.58719159447662</v>
      </c>
      <c r="AD119" s="382">
        <f t="array" ref="AD119">IF($G119=0, INDEX(LS_previous!$D$4:$AY$138, MATCH('Staging Table'!$A119, LS_previous!$B$4:$B$138, 0), MATCH(AD$4&amp;AD$5, LS_previous!$D$2:$AY$2&amp;LS_previous!$D$3:$AY$3, 0)),SUM(VLOOKUP($A119, LS_previous!$B$4:$AY$138, LS_previous!V$149, FALSE), VLOOKUP('Staging Table'!$A119, LS_previous!$B$4:$AY$138,LS_previous!AT$149, FALSE))/2)</f>
        <v>-668.66229212169537</v>
      </c>
      <c r="AE119" s="382">
        <f t="array" ref="AE119">IF($G119=0, INDEX(LS_previous!$D$4:$AY$138, MATCH('Staging Table'!$A119, LS_previous!$B$4:$B$138, 0), MATCH(AE$4&amp;AE$5, LS_previous!$D$2:$AY$2&amp;LS_previous!$D$3:$AY$3, 0)),SUM(VLOOKUP($A119, LS_previous!$B$4:$AY$138, LS_previous!W$149, FALSE), VLOOKUP('Staging Table'!$A119, LS_previous!$B$4:$AY$138,LS_previous!AU$149, FALSE))/2)</f>
        <v>-119.44960055859769</v>
      </c>
      <c r="AF119" s="382">
        <f t="array" ref="AF119">IF($G119=0, INDEX(LS_previous!$D$4:$AY$138, MATCH('Staging Table'!$A119, LS_previous!$B$4:$B$138, 0), MATCH(AF$4&amp;AF$5, LS_previous!$D$2:$AY$2&amp;LS_previous!$D$3:$AY$3, 0)),SUM(VLOOKUP($A119, LS_previous!$B$4:$AY$138, LS_previous!X$149, FALSE), VLOOKUP('Staging Table'!$A119, LS_previous!$B$4:$AY$138,LS_previous!AV$149, FALSE))/2)</f>
        <v>-748.78999479050594</v>
      </c>
      <c r="AG119" s="382">
        <f t="array" ref="AG119">IF($G119=0, INDEX(LS_previous!$D$4:$AY$138, MATCH('Staging Table'!$A119, LS_previous!$B$4:$B$138, 0), MATCH(AG$4&amp;AG$5, LS_previous!$D$2:$AY$2&amp;LS_previous!$D$3:$AY$3, 0)),SUM(VLOOKUP($A119, LS_previous!$B$4:$AY$138, LS_previous!Y$149, FALSE), VLOOKUP('Staging Table'!$A119, LS_previous!$B$4:$AY$138,LS_previous!AW$149, FALSE))/2)</f>
        <v>-195.33044651762725</v>
      </c>
      <c r="AH119" s="382">
        <f t="array" ref="AH119">IF($G119=0, INDEX(LS_previous!$D$4:$AY$138, MATCH('Staging Table'!$A119, LS_previous!$B$4:$B$138, 0), MATCH(AH$4&amp;AH$5, LS_previous!$D$2:$AY$2&amp;LS_previous!$D$3:$AY$3, 0)),SUM(VLOOKUP($A119, LS_previous!$B$4:$AY$138, LS_previous!Z$149, FALSE), VLOOKUP('Staging Table'!$A119, LS_previous!$B$4:$AY$138,LS_previous!AX$149, FALSE))/2)</f>
        <v>-236.70012767746857</v>
      </c>
      <c r="AI119" s="382">
        <f t="array" ref="AI119">IF($G119=0, INDEX(LS_previous!$D$4:$AY$138, MATCH('Staging Table'!$A119, LS_previous!$B$4:$B$138, 0), MATCH(AI$4&amp;AI$5, LS_previous!$D$2:$AY$2&amp;LS_previous!$D$3:$AY$3, 0)),SUM(VLOOKUP($A119, LS_previous!$B$4:$AY$138, LS_previous!AA$149, FALSE), VLOOKUP('Staging Table'!$A119, LS_previous!$B$4:$AY$138,LS_previous!AY$149, FALSE))/2)</f>
        <v>-111.21722089392301</v>
      </c>
      <c r="AJ119" s="384">
        <f t="array" ref="AJ119">INDEX(Demand_previous!$D$4:$AY$138, MATCH('Staging Table'!$A119, Demand_previous!$B$4:$B$138, 0), MATCH(AJ$4&amp;AJ$5,Demand_previous!$D$2:$AY$2&amp;Demand_previous!$D$3:$AY$3, 0))/1000</f>
        <v>0.98818981481481583</v>
      </c>
      <c r="AK119" s="384">
        <f t="array" ref="AK119">INDEX(Demand_previous!$D$4:$AY$138, MATCH('Staging Table'!$A119, Demand_previous!$B$4:$B$138, 0), MATCH(AK$4&amp;AK$5,Demand_previous!$D$2:$AY$2&amp;Demand_previous!$D$3:$AY$3, 0))/1000</f>
        <v>0.65770312500000028</v>
      </c>
      <c r="AL119" s="384">
        <f t="array" ref="AL119">INDEX(Demand_previous!$D$4:$AY$138, MATCH('Staging Table'!$A119, Demand_previous!$B$4:$B$138, 0), MATCH(AL$4&amp;AL$5,Demand_previous!$D$2:$AY$2&amp;Demand_previous!$D$3:$AY$3, 0))/1000</f>
        <v>2.0603870192307694</v>
      </c>
      <c r="AM119" s="384">
        <f t="array" ref="AM119">INDEX(Demand_previous!$D$4:$AY$138, MATCH('Staging Table'!$A119, Demand_previous!$B$4:$B$138, 0), MATCH(AM$4&amp;AM$5,Demand_previous!$D$2:$AY$2&amp;Demand_previous!$D$3:$AY$3, 0))/1000</f>
        <v>1.6326249999999998</v>
      </c>
      <c r="AN119" s="384">
        <f t="array" ref="AN119">INDEX(Demand_previous!$D$4:$AY$138, MATCH('Staging Table'!$A119, Demand_previous!$B$4:$B$138, 0), MATCH(AN$4&amp;AN$5,Demand_previous!$D$2:$AY$2&amp;Demand_previous!$D$3:$AY$3, 0))/1000</f>
        <v>1.7129725000000002</v>
      </c>
      <c r="AO119" s="384">
        <f t="array" ref="AO119">INDEX(Demand_previous!$D$4:$AY$138, MATCH('Staging Table'!$A119, Demand_previous!$B$4:$B$138, 0), MATCH(AO$4&amp;AO$5,Demand_previous!$D$2:$AY$2&amp;Demand_previous!$D$3:$AY$3, 0))/1000</f>
        <v>1.0787546296296306</v>
      </c>
      <c r="AP119" s="384">
        <f t="array" ref="AP119">INDEX(Demand_previous!$D$4:$AY$138, MATCH('Staging Table'!$A119, Demand_previous!$B$4:$B$138, 0), MATCH(AP$4&amp;AP$5,Demand_previous!$D$2:$AY$2&amp;Demand_previous!$D$3:$AY$3, 0))/1000</f>
        <v>0.22537259615384642</v>
      </c>
      <c r="AQ119" s="384">
        <f t="array" ref="AQ119">INDEX(Demand_previous!$D$4:$AY$138, MATCH('Staging Table'!$A119, Demand_previous!$B$4:$B$138, 0), MATCH(AQ$4&amp;AQ$5,Demand_previous!$D$2:$AY$2&amp;Demand_previous!$D$3:$AY$3, 0))/1000</f>
        <v>0.73444000000000065</v>
      </c>
      <c r="AR119" s="384">
        <f t="array" ref="AR119">INDEX(Demand_previous!$D$4:$AY$138, MATCH('Staging Table'!$A119, Demand_previous!$B$4:$B$138, 0), MATCH(AR$4&amp;AR$5,Demand_previous!$D$2:$AY$2&amp;Demand_previous!$D$3:$AY$3, 0))/1000</f>
        <v>0.91210096153846143</v>
      </c>
      <c r="AS119" s="384">
        <f t="array" ref="AS119">INDEX(Demand_previous!$D$4:$AY$138, MATCH('Staging Table'!$A119, Demand_previous!$B$4:$B$138, 0), MATCH(AS$4&amp;AS$5,Demand_previous!$D$2:$AY$2&amp;Demand_previous!$D$3:$AY$3, 0))/1000</f>
        <v>0.72192499999999926</v>
      </c>
      <c r="AT119" s="384">
        <f t="array" ref="AT119">INDEX(Demand_previous!$D$4:$AY$138, MATCH('Staging Table'!$A119, Demand_previous!$B$4:$B$138, 0), MATCH(AT$4&amp;AT$5,Demand_previous!$D$2:$AY$2&amp;Demand_previous!$D$3:$AY$3, 0))/1000</f>
        <v>1.018388888888889</v>
      </c>
      <c r="AU119" s="384">
        <f t="array" ref="AU119">INDEX(Demand_previous!$D$4:$AY$138, MATCH('Staging Table'!$A119, Demand_previous!$B$4:$B$138, 0), MATCH(AU$4&amp;AU$5,Demand_previous!$D$2:$AY$2&amp;Demand_previous!$D$3:$AY$3, 0))/1000</f>
        <v>0.95048999999999928</v>
      </c>
      <c r="AV119" s="384">
        <f>IF($D119=0,IF(C119=0, MAX(AY119 - (VLOOKUP($A119,TOCA_previous!$A$2:$AI$137,MATCH("RHWM 2016",TOCA_previous!$A$2:$AI$2,0),FALSE)*$F$2*TOCA_previous!C116),0),0), 0)</f>
        <v>0</v>
      </c>
      <c r="AW119" s="427">
        <f>VLOOKUP($A119,REP_previous!$A$1:$D$135,MATCH("FY "&amp;$F$1&amp; " Total Refund",REP_previous!$A$1:$D$1,0),0)</f>
        <v>62158.072153845111</v>
      </c>
      <c r="AX119" s="398">
        <f>MIN(VLOOKUP($A119,TOCA_previous!$A$2:$AI$137,MATCH("TRL - NLSL - Exisiting Resource "&amp;$F$1,TOCA_previous!$A$2:$AI$2,0),FALSE)*$F$2,(VLOOKUP($A119,TOCA_previous!$A$2:$AI$137,MATCH("RHWM 2016",TOCA_previous!$A$2:$AI$2,0),FALSE)*$F$2))</f>
        <v>41820.624000000003</v>
      </c>
      <c r="AY119" s="384">
        <f>SUM(L119:AI119)+(F119*RT1SC!$C$3*$F$2)</f>
        <v>41178.476098439387</v>
      </c>
      <c r="AZ119" s="398">
        <f>VLOOKUP($A119,TOCA_previous!$A$2:$AI$137,MATCH("Above RHWM Not Served with LS "&amp;$F$1,TOCA_previous!$A$2:$AI$2,0),FALSE)*$F$2</f>
        <v>0</v>
      </c>
      <c r="BA119" s="206">
        <f t="shared" si="19"/>
        <v>-642.14790156061645</v>
      </c>
      <c r="BB119" s="399">
        <f>(VLOOKUP($A119,TOCA_previous!$A$2:$AI$137,MATCH("RHWM 2016",TOCA_previous!$A$2:$AI$2,0),FALSE)*$F$2) - $AX119</f>
        <v>0</v>
      </c>
      <c r="BC119" s="206">
        <f t="shared" si="20"/>
        <v>0</v>
      </c>
      <c r="BD119" s="400">
        <f t="shared" si="21"/>
        <v>642.14790156061645</v>
      </c>
      <c r="BE119" s="392">
        <f t="shared" si="22"/>
        <v>0</v>
      </c>
      <c r="BF119" s="399">
        <f t="shared" si="23"/>
        <v>642.14790156061645</v>
      </c>
      <c r="BG119" s="206">
        <f>VLOOKUP($A119,TOCA_current!$A$2:$AI$137,MATCH(BG$4,TOCA_current!$A$2:$AI$2,0),FALSE)</f>
        <v>6.7690000000000003E-4</v>
      </c>
      <c r="BH119" s="206">
        <f>VLOOKUP($A119,TOCA_current!$A$2:$AI$137,MATCH(BH$4,TOCA_current!$A$2:$AI$2,0),FALSE)</f>
        <v>6.7690000000000003E-4</v>
      </c>
      <c r="BI119" s="391">
        <f t="shared" si="24"/>
        <v>0</v>
      </c>
      <c r="BJ119" s="206">
        <f>VLOOKUP($A119,TOCA_current!A115:BG250,MATCH(BJ$4,TOCA_current!$A$2:$BG$2,0),FALSE)</f>
        <v>0</v>
      </c>
      <c r="BK119" s="206">
        <f t="shared" si="25"/>
        <v>0</v>
      </c>
      <c r="BL119" s="206">
        <f t="shared" si="26"/>
        <v>0</v>
      </c>
      <c r="BM119" s="381">
        <f>VLOOKUP($A119,IRD!$A$4:$G$139, 7, FALSE)</f>
        <v>0</v>
      </c>
      <c r="BN119" s="382">
        <f t="array" ref="BN119">IF($BI119=0, INDEX(LS_current!$D$4:$AY$139, MATCH('Staging Table'!$A119, LS_current!$B$4:$B$139, 0), MATCH(BN$4&amp;BN$5, LS_current!$D$2:$AY$2&amp;LS_current!$D$3:$AY$3, 0)),SUM(VLOOKUP($A119, LS_current!$B$4:$AY$139, LS_current!D$149, FALSE), VLOOKUP($A119, LS_current!$B$4:$AY$139,LS_current!D$149, FALSE))/2)</f>
        <v>-65.116843154065918</v>
      </c>
      <c r="BO119" s="382">
        <f t="array" ref="BO119">IF($BI119=0, INDEX(LS_current!$D$4:$AY$139, MATCH('Staging Table'!$A119, LS_current!$B$4:$B$139, 0), MATCH(BO$4&amp;BO$5, LS_current!$D$2:$AY$2&amp;LS_current!$D$3:$AY$3, 0)),SUM(VLOOKUP($A119, LS_current!$B$4:$AY$139, LS_current!E$149, FALSE), VLOOKUP($A119, LS_current!$B$4:$AY$139,LS_current!E$149, FALSE))/2)</f>
        <v>86.338561792613291</v>
      </c>
      <c r="BP119" s="382">
        <f t="array" ref="BP119">IF($BI119=0, INDEX(LS_current!$D$4:$AY$139, MATCH('Staging Table'!$A119, LS_current!$B$4:$B$139, 0), MATCH(BP$4&amp;BP$5, LS_current!$D$2:$AY$2&amp;LS_current!$D$3:$AY$3, 0)),SUM(VLOOKUP($A119, LS_current!$B$4:$AY$139, LS_current!F$149, FALSE), VLOOKUP($A119, LS_current!$B$4:$AY$139,LS_current!F$149, FALSE))/2)</f>
        <v>10.187763337854904</v>
      </c>
      <c r="BQ119" s="382">
        <f t="array" ref="BQ119">IF($BI119=0, INDEX(LS_current!$D$4:$AY$139, MATCH('Staging Table'!$A119, LS_current!$B$4:$B$139, 0), MATCH(BQ$4&amp;BQ$5, LS_current!$D$2:$AY$2&amp;LS_current!$D$3:$AY$3, 0)),SUM(VLOOKUP($A119, LS_current!$B$4:$AY$139, LS_current!G$149, FALSE), VLOOKUP($A119, LS_current!$B$4:$AY$139,LS_current!G$149, FALSE))/2)</f>
        <v>257.29685212869367</v>
      </c>
      <c r="BR119" s="382">
        <f t="array" ref="BR119">IF($BI119=0, INDEX(LS_current!$D$4:$AY$139, MATCH('Staging Table'!$A119, LS_current!$B$4:$B$139, 0), MATCH(BR$4&amp;BR$5, LS_current!$D$2:$AY$2&amp;LS_current!$D$3:$AY$3, 0)),SUM(VLOOKUP($A119, LS_current!$B$4:$AY$139, LS_current!H$149, FALSE), VLOOKUP($A119, LS_current!$B$4:$AY$139,LS_current!H$149, FALSE))/2)</f>
        <v>353.62075320642225</v>
      </c>
      <c r="BS119" s="382">
        <f t="array" ref="BS119">IF($BI119=0, INDEX(LS_current!$D$4:$AY$139, MATCH('Staging Table'!$A119, LS_current!$B$4:$B$139, 0), MATCH(BS$4&amp;BS$5, LS_current!$D$2:$AY$2&amp;LS_current!$D$3:$AY$3, 0)),SUM(VLOOKUP($A119, LS_current!$B$4:$AY$139, LS_current!I$149, FALSE), VLOOKUP($A119, LS_current!$B$4:$AY$139,LS_current!I$149, FALSE))/2)</f>
        <v>342.65640581156026</v>
      </c>
      <c r="BT119" s="382">
        <f t="array" ref="BT119">IF($BI119=0, INDEX(LS_current!$D$4:$AY$139, MATCH('Staging Table'!$A119, LS_current!$B$4:$B$139, 0), MATCH(BT$4&amp;BT$5, LS_current!$D$2:$AY$2&amp;LS_current!$D$3:$AY$3, 0)),SUM(VLOOKUP($A119, LS_current!$B$4:$AY$139, LS_current!J$149, FALSE), VLOOKUP($A119, LS_current!$B$4:$AY$139,LS_current!J$149, FALSE))/2)</f>
        <v>770.37537482808875</v>
      </c>
      <c r="BU119" s="382">
        <f t="array" ref="BU119">IF($BI119=0, INDEX(LS_current!$D$4:$AY$139, MATCH('Staging Table'!$A119, LS_current!$B$4:$B$139, 0), MATCH(BU$4&amp;BU$5, LS_current!$D$2:$AY$2&amp;LS_current!$D$3:$AY$3, 0)),SUM(VLOOKUP($A119, LS_current!$B$4:$AY$139, LS_current!K$149, FALSE), VLOOKUP($A119, LS_current!$B$4:$AY$139,LS_current!K$149, FALSE))/2)</f>
        <v>671.7562885101072</v>
      </c>
      <c r="BV119" s="382">
        <f t="array" ref="BV119">IF($BI119=0, INDEX(LS_current!$D$4:$AY$139, MATCH('Staging Table'!$A119, LS_current!$B$4:$B$139, 0), MATCH(BV$4&amp;BV$5, LS_current!$D$2:$AY$2&amp;LS_current!$D$3:$AY$3, 0)),SUM(VLOOKUP($A119, LS_current!$B$4:$AY$139, LS_current!L$149, FALSE), VLOOKUP($A119, LS_current!$B$4:$AY$139,LS_current!L$149, FALSE))/2)</f>
        <v>762.84037550553626</v>
      </c>
      <c r="BW119" s="382">
        <f t="array" ref="BW119">IF($BI119=0, INDEX(LS_current!$D$4:$AY$139, MATCH('Staging Table'!$A119, LS_current!$B$4:$B$139, 0), MATCH(BW$4&amp;BW$5, LS_current!$D$2:$AY$2&amp;LS_current!$D$3:$AY$3, 0)),SUM(VLOOKUP($A119, LS_current!$B$4:$AY$139, LS_current!M$149, FALSE), VLOOKUP($A119, LS_current!$B$4:$AY$139,LS_current!M$149, FALSE))/2)</f>
        <v>587.33510457726732</v>
      </c>
      <c r="BX119" s="382">
        <f t="array" ref="BX119">IF($BI119=0, INDEX(LS_current!$D$4:$AY$139, MATCH('Staging Table'!$A119, LS_current!$B$4:$B$139, 0), MATCH(BX$4&amp;BX$5, LS_current!$D$2:$AY$2&amp;LS_current!$D$3:$AY$3, 0)),SUM(VLOOKUP($A119, LS_current!$B$4:$AY$139, LS_current!N$149, FALSE), VLOOKUP($A119, LS_current!$B$4:$AY$139,LS_current!N$149, FALSE))/2)</f>
        <v>268.05964112631409</v>
      </c>
      <c r="BY119" s="382">
        <f t="array" ref="BY119">IF($BI119=0, INDEX(LS_current!$D$4:$AY$139, MATCH('Staging Table'!$A119, LS_current!$B$4:$B$139, 0), MATCH(BY$4&amp;BY$5, LS_current!$D$2:$AY$2&amp;LS_current!$D$3:$AY$3, 0)),SUM(VLOOKUP($A119, LS_current!$B$4:$AY$139, LS_current!O$149, FALSE), VLOOKUP($A119, LS_current!$B$4:$AY$139,LS_current!O$149, FALSE))/2)</f>
        <v>258.73408349635656</v>
      </c>
      <c r="BZ119" s="382">
        <f t="array" ref="BZ119">IF($BI119=0, INDEX(LS_current!$D$4:$AY$139, MATCH('Staging Table'!$A119, LS_current!$B$4:$B$139, 0), MATCH(BZ$4&amp;BZ$5, LS_current!$D$2:$AY$2&amp;LS_current!$D$3:$AY$3, 0)),SUM(VLOOKUP($A119, LS_current!$B$4:$AY$139, LS_current!P$149, FALSE), VLOOKUP($A119, LS_current!$B$4:$AY$139,LS_current!P$149, FALSE))/2)</f>
        <v>61.590518396987363</v>
      </c>
      <c r="CA119" s="382">
        <f t="array" ref="CA119">IF($BI119=0, INDEX(LS_current!$D$4:$AY$139, MATCH('Staging Table'!$A119, LS_current!$B$4:$B$139, 0), MATCH(CA$4&amp;CA$5, LS_current!$D$2:$AY$2&amp;LS_current!$D$3:$AY$3, 0)),SUM(VLOOKUP($A119, LS_current!$B$4:$AY$139, LS_current!Q$149, FALSE), VLOOKUP($A119, LS_current!$B$4:$AY$139,LS_current!Q$149, FALSE))/2)</f>
        <v>191.12421721242663</v>
      </c>
      <c r="CB119" s="382">
        <f t="array" ref="CB119">IF($BI119=0, INDEX(LS_current!$D$4:$AY$139, MATCH('Staging Table'!$A119, LS_current!$B$4:$B$139, 0), MATCH(CB$4&amp;CB$5, LS_current!$D$2:$AY$2&amp;LS_current!$D$3:$AY$3, 0)),SUM(VLOOKUP($A119, LS_current!$B$4:$AY$139, LS_current!R$149, FALSE), VLOOKUP($A119, LS_current!$B$4:$AY$139,LS_current!R$149, FALSE))/2)</f>
        <v>-1173.3573517863124</v>
      </c>
      <c r="CC119" s="382">
        <f t="array" ref="CC119">IF($BI119=0, INDEX(LS_current!$D$4:$AY$139, MATCH('Staging Table'!$A119, LS_current!$B$4:$B$139, 0), MATCH(CC$4&amp;CC$5, LS_current!$D$2:$AY$2&amp;LS_current!$D$3:$AY$3, 0)),SUM(VLOOKUP($A119, LS_current!$B$4:$AY$139, LS_current!S$149, FALSE), VLOOKUP($A119, LS_current!$B$4:$AY$139,LS_current!S$149, FALSE))/2)</f>
        <v>-459.13058557888553</v>
      </c>
      <c r="CD119" s="382">
        <f t="array" ref="CD119">IF($BI119=0, INDEX(LS_current!$D$4:$AY$139, MATCH('Staging Table'!$A119, LS_current!$B$4:$B$139, 0), MATCH(CD$4&amp;CD$5, LS_current!$D$2:$AY$2&amp;LS_current!$D$3:$AY$3, 0)),SUM(VLOOKUP($A119, LS_current!$B$4:$AY$139, LS_current!T$149, FALSE), VLOOKUP($A119, LS_current!$B$4:$AY$139,LS_current!T$149, FALSE))/2)</f>
        <v>-739.82029619568289</v>
      </c>
      <c r="CE119" s="382">
        <f t="array" ref="CE119">IF($BI119=0, INDEX(LS_current!$D$4:$AY$139, MATCH('Staging Table'!$A119, LS_current!$B$4:$B$139, 0), MATCH(CE$4&amp;CE$5, LS_current!$D$2:$AY$2&amp;LS_current!$D$3:$AY$3, 0)),SUM(VLOOKUP($A119, LS_current!$B$4:$AY$139, LS_current!U$149, FALSE), VLOOKUP($A119, LS_current!$B$4:$AY$139,LS_current!U$149, FALSE))/2)</f>
        <v>-258.18169746369779</v>
      </c>
      <c r="CF119" s="382">
        <f t="array" ref="CF119">IF($BI119=0, INDEX(LS_current!$D$4:$AY$139, MATCH('Staging Table'!$A119, LS_current!$B$4:$B$139, 0), MATCH(CF$4&amp;CF$5, LS_current!$D$2:$AY$2&amp;LS_current!$D$3:$AY$3, 0)),SUM(VLOOKUP($A119, LS_current!$B$4:$AY$139, LS_current!V$149, FALSE), VLOOKUP($A119, LS_current!$B$4:$AY$139,LS_current!V$149, FALSE))/2)</f>
        <v>-519.53498699544571</v>
      </c>
      <c r="CG119" s="382">
        <f t="array" ref="CG119">IF($BI119=0, INDEX(LS_current!$D$4:$AY$139, MATCH('Staging Table'!$A119, LS_current!$B$4:$B$139, 0), MATCH(CG$4&amp;CG$5, LS_current!$D$2:$AY$2&amp;LS_current!$D$3:$AY$3, 0)),SUM(VLOOKUP($A119, LS_current!$B$4:$AY$139, LS_current!W$149, FALSE), VLOOKUP($A119, LS_current!$B$4:$AY$139,LS_current!W$149, FALSE))/2)</f>
        <v>-28.292031601896269</v>
      </c>
      <c r="CH119" s="382">
        <f t="array" ref="CH119">IF($BI119=0, INDEX(LS_current!$D$4:$AY$139, MATCH('Staging Table'!$A119, LS_current!$B$4:$B$139, 0), MATCH(CH$4&amp;CH$5, LS_current!$D$2:$AY$2&amp;LS_current!$D$3:$AY$3, 0)),SUM(VLOOKUP($A119, LS_current!$B$4:$AY$139, LS_current!X$149, FALSE), VLOOKUP($A119, LS_current!$B$4:$AY$139,LS_current!X$149, FALSE))/2)</f>
        <v>-720.05030804308603</v>
      </c>
      <c r="CI119" s="382">
        <f t="array" ref="CI119">IF($BI119=0, INDEX(LS_current!$D$4:$AY$139, MATCH('Staging Table'!$A119, LS_current!$B$4:$B$139, 0), MATCH(CI$4&amp;CI$5, LS_current!$D$2:$AY$2&amp;LS_current!$D$3:$AY$3, 0)),SUM(VLOOKUP($A119, LS_current!$B$4:$AY$139, LS_current!Y$149, FALSE), VLOOKUP($A119, LS_current!$B$4:$AY$139,LS_current!Y$149, FALSE))/2)</f>
        <v>-149.08322274502279</v>
      </c>
      <c r="CJ119" s="382">
        <f t="array" ref="CJ119">IF($BI119=0, INDEX(LS_current!$D$4:$AY$139, MATCH('Staging Table'!$A119, LS_current!$B$4:$B$139, 0), MATCH(CJ$4&amp;CJ$5, LS_current!$D$2:$AY$2&amp;LS_current!$D$3:$AY$3, 0)),SUM(VLOOKUP($A119, LS_current!$B$4:$AY$139, LS_current!Z$149, FALSE), VLOOKUP($A119, LS_current!$B$4:$AY$139,LS_current!Z$149, FALSE))/2)</f>
        <v>-411.69567959593883</v>
      </c>
      <c r="CK119" s="382">
        <f t="array" ref="CK119">IF($BI119=0, INDEX(LS_current!$D$4:$AY$139, MATCH('Staging Table'!$A119, LS_current!$B$4:$B$139, 0), MATCH(CK$4&amp;CK$5, LS_current!$D$2:$AY$2&amp;LS_current!$D$3:$AY$3, 0)),SUM(VLOOKUP($A119, LS_current!$B$4:$AY$139, LS_current!AA$149, FALSE), VLOOKUP($A119, LS_current!$B$4:$AY$139,LS_current!AA$149, FALSE))/2)</f>
        <v>-99.640750806862343</v>
      </c>
      <c r="CL119" s="384">
        <f t="array" ref="CL119">INDEX(Demand_current!$D$4:$AY$138, MATCH($A119, Demand_current!$B$4:$B$138, 0), MATCH(CL$4&amp;CL$5,Demand_current!$D$2:$AY$2&amp;Demand_current!$D$3:$AY$3, 0))/1000</f>
        <v>0.81019711538461614</v>
      </c>
      <c r="CM119" s="384">
        <f t="array" ref="CM119">INDEX(Demand_current!$D$4:$AY$138, MATCH($A119, Demand_current!$B$4:$B$138, 0), MATCH(CM$4&amp;CM$5,Demand_current!$D$2:$AY$2&amp;Demand_current!$D$3:$AY$3, 0))/1000</f>
        <v>0.91623500000000035</v>
      </c>
      <c r="CN119" s="384">
        <f t="array" ref="CN119">INDEX(Demand_current!$D$4:$AY$138, MATCH($A119, Demand_current!$B$4:$B$138, 0), MATCH(CN$4&amp;CN$5,Demand_current!$D$2:$AY$2&amp;Demand_current!$D$3:$AY$3, 0))/1000</f>
        <v>1.7942425</v>
      </c>
      <c r="CO119" s="384">
        <f t="array" ref="CO119">INDEX(Demand_current!$D$4:$AY$138, MATCH($A119, Demand_current!$B$4:$B$138, 0), MATCH(CO$4&amp;CO$5,Demand_current!$D$2:$AY$2&amp;Demand_current!$D$3:$AY$3, 0))/1000</f>
        <v>1.9034086538461537</v>
      </c>
      <c r="CP119" s="384">
        <f t="array" ref="CP119">INDEX(Demand_current!$D$4:$AY$138, MATCH($A119, Demand_current!$B$4:$B$138, 0), MATCH(CP$4&amp;CP$5,Demand_current!$D$2:$AY$2&amp;Demand_current!$D$3:$AY$3, 0))/1000</f>
        <v>1.4548880208333337</v>
      </c>
      <c r="CQ119" s="384">
        <f t="array" ref="CQ119">INDEX(Demand_current!$D$4:$AY$138, MATCH($A119, Demand_current!$B$4:$B$138, 0), MATCH(CQ$4&amp;CQ$5,Demand_current!$D$2:$AY$2&amp;Demand_current!$D$3:$AY$3, 0))/1000</f>
        <v>1.0787546296296306</v>
      </c>
      <c r="CR119" s="384">
        <f t="array" ref="CR119">INDEX(Demand_current!$D$4:$AY$138, MATCH($A119, Demand_current!$B$4:$B$138, 0), MATCH(CR$4&amp;CR$5,Demand_current!$D$2:$AY$2&amp;Demand_current!$D$3:$AY$3, 0))/1000</f>
        <v>2.8427500000000272E-2</v>
      </c>
      <c r="CS119" s="384">
        <f t="array" ref="CS119">INDEX(Demand_current!$D$4:$AY$138, MATCH($A119, Demand_current!$B$4:$B$138, 0), MATCH(CS$4&amp;CS$5,Demand_current!$D$2:$AY$2&amp;Demand_current!$D$3:$AY$3, 0))/1000</f>
        <v>0.89942307692307688</v>
      </c>
      <c r="CT119" s="384">
        <f t="array" ref="CT119">INDEX(Demand_current!$D$4:$AY$138, MATCH($A119, Demand_current!$B$4:$B$138, 0), MATCH(CT$4&amp;CT$5,Demand_current!$D$2:$AY$2&amp;Demand_current!$D$3:$AY$3, 0))/1000</f>
        <v>0.91210096153846143</v>
      </c>
      <c r="CU119" s="384">
        <f t="array" ref="CU119">INDEX(Demand_current!$D$4:$AY$138, MATCH($A119, Demand_current!$B$4:$B$138, 0), MATCH(CU$4&amp;CU$5,Demand_current!$D$2:$AY$2&amp;Demand_current!$D$3:$AY$3, 0))/1000</f>
        <v>0.72192499999999926</v>
      </c>
      <c r="CV119" s="384">
        <f t="array" ref="CV119">INDEX(Demand_current!$D$4:$AY$138, MATCH($A119, Demand_current!$B$4:$B$138, 0), MATCH(CV$4&amp;CV$5,Demand_current!$D$2:$AY$2&amp;Demand_current!$D$3:$AY$3, 0))/1000</f>
        <v>1.018388888888889</v>
      </c>
      <c r="CW119" s="384">
        <f t="array" ref="CW119">INDEX(Demand_current!$D$4:$AY$138, MATCH($A119, Demand_current!$B$4:$B$138, 0), MATCH(CW$4&amp;CW$5,Demand_current!$D$2:$AY$2&amp;Demand_current!$D$3:$AY$3, 0))/1000</f>
        <v>0.78355208333333326</v>
      </c>
      <c r="CX119" s="384">
        <f>IF(D119=0,IF(C119=0,MAX(0,DA119 - (VLOOKUP($A119,TOCA_current!$A$2:$AI$137,MATCH("RHWM 2018",TOCA_current!$A$2:$AI$2,0),FALSE)*$BH$2)), 0),0)</f>
        <v>0</v>
      </c>
      <c r="CY119" s="427">
        <f>VLOOKUP($A119,REP_current!$A$1:$D$135,MATCH("FY "&amp;$BH$1&amp; " Total Refund",REP_current!$A$1:$D$1,0),0)</f>
        <v>62377.837502015303</v>
      </c>
      <c r="CZ119" s="432">
        <f>MIN(VLOOKUP($A119,TOCA_current!$A$2:$AI$137,MATCH("TRL - NLSL - Existing Resource "&amp;$BH$1,TOCA_current!$A$2:$AI$2,0),FALSE)*$BH$2, VLOOKUP($A119,TOCA_current!$A$2:$AI$137,MATCH("RHWM 2018",TOCA_current!$A$2:$AI$2,0),FALSE)*$BH$2)</f>
        <v>41180.759999999995</v>
      </c>
      <c r="DA119" s="397">
        <f>SUM(BN119:CK119)+(BH119*RT1SC!$C$4*$BH$2)</f>
        <v>41178.476600787333</v>
      </c>
      <c r="DB119" s="432">
        <f>VLOOKUP($A119,TOCA_current!$A$2:$AI$137,MATCH("Above RHWM Not Served with LS "&amp;$BH$1,TOCA_current!$A$2:$AI$2,0),FALSE)*$BH$2</f>
        <v>0</v>
      </c>
      <c r="DC119" s="401">
        <f t="shared" si="27"/>
        <v>-2.2833992126616067</v>
      </c>
      <c r="DD119" s="397">
        <f>(VLOOKUP($A119,TOCA_current!$A$2:$AI$137,MATCH("RHWM 2018",TOCA_current!$A$2:$AI$2,0),FALSE)*$BH$2) - $CZ119</f>
        <v>262.80000000000291</v>
      </c>
      <c r="DE119" s="397">
        <f t="shared" si="28"/>
        <v>0</v>
      </c>
      <c r="DF119" s="397">
        <f t="shared" si="29"/>
        <v>2.2833992126616067</v>
      </c>
      <c r="DG119" s="397">
        <f t="shared" si="30"/>
        <v>0</v>
      </c>
      <c r="DH119" s="397">
        <f t="shared" si="31"/>
        <v>2.2833992126616067</v>
      </c>
    </row>
    <row r="120" spans="1:112">
      <c r="A120" s="274">
        <v>10388</v>
      </c>
      <c r="B120" s="275" t="s">
        <v>121</v>
      </c>
      <c r="C120" s="397">
        <v>1</v>
      </c>
      <c r="D120" s="397">
        <v>0</v>
      </c>
      <c r="E120" s="205">
        <f>VLOOKUP($A120,TOCA_previous!$A$2:$AI$137,MATCH(E$4,TOCA_previous!$A$2:$AI$2,0),FALSE)</f>
        <v>1.6055699999999999E-2</v>
      </c>
      <c r="F120" s="206">
        <f>VLOOKUP($A120,TOCA_previous!$A$2:$AI$137,MATCH(F$4,TOCA_previous!$A$2:$AI$2,0),FALSE)</f>
        <v>1.6055699999999999E-2</v>
      </c>
      <c r="G120" s="206">
        <f t="shared" si="16"/>
        <v>0</v>
      </c>
      <c r="H120" s="206">
        <f>VLOOKUP($A120,TOCA_previous!$A$2:$AI$137,MATCH(H$4,TOCA_previous!$A$2:$AI$2,0),FALSE)</f>
        <v>7.4060000000000001E-2</v>
      </c>
      <c r="I120" s="206">
        <f t="shared" si="17"/>
        <v>7.4060000000000001E-2</v>
      </c>
      <c r="J120" s="206">
        <f t="shared" si="18"/>
        <v>1.6055699999999999E-2</v>
      </c>
      <c r="K120" s="381">
        <f>VLOOKUP(A120, IRD!$A$5:$C$139, 3, FALSE)</f>
        <v>228772.42700000003</v>
      </c>
      <c r="L120" s="382">
        <f t="array" ref="L120">IF($G120=0, INDEX(LS_previous!$D$4:$AY$138, MATCH('Staging Table'!$A120, LS_previous!$B$4:$B$138, 0), MATCH(L$4&amp;L$5, LS_previous!$D$2:$AY$2&amp;LS_previous!$D$3:$AY$3, 0)),SUM(VLOOKUP($A120, LS_previous!$B$4:$AY$138, LS_previous!D$149, FALSE), VLOOKUP('Staging Table'!$A120, LS_previous!$B$4:$AY$138,LS_previous!AB$149, FALSE))/2)</f>
        <v>0</v>
      </c>
      <c r="M120" s="382">
        <f t="array" ref="M120">IF($G120=0, INDEX(LS_previous!$D$4:$AY$138, MATCH('Staging Table'!$A120, LS_previous!$B$4:$B$138, 0), MATCH(M$4&amp;M$5, LS_previous!$D$2:$AY$2&amp;LS_previous!$D$3:$AY$3, 0)),SUM(VLOOKUP($A120, LS_previous!$B$4:$AY$138, LS_previous!E$149, FALSE), VLOOKUP('Staging Table'!$A120, LS_previous!$B$4:$AY$138,LS_previous!AC$149, FALSE))/2)</f>
        <v>0</v>
      </c>
      <c r="N120" s="382">
        <f t="array" ref="N120">IF($G120=0, INDEX(LS_previous!$D$4:$AY$138, MATCH('Staging Table'!$A120, LS_previous!$B$4:$B$138, 0), MATCH(N$4&amp;N$5, LS_previous!$D$2:$AY$2&amp;LS_previous!$D$3:$AY$3, 0)),SUM(VLOOKUP($A120, LS_previous!$B$4:$AY$138, LS_previous!F$149, FALSE), VLOOKUP('Staging Table'!$A120, LS_previous!$B$4:$AY$138,LS_previous!AD$149, FALSE))/2)</f>
        <v>0</v>
      </c>
      <c r="O120" s="382">
        <f t="array" ref="O120">IF($G120=0, INDEX(LS_previous!$D$4:$AY$138, MATCH('Staging Table'!$A120, LS_previous!$B$4:$B$138, 0), MATCH(O$4&amp;O$5, LS_previous!$D$2:$AY$2&amp;LS_previous!$D$3:$AY$3, 0)),SUM(VLOOKUP($A120, LS_previous!$B$4:$AY$138, LS_previous!G$149, FALSE), VLOOKUP('Staging Table'!$A120, LS_previous!$B$4:$AY$138,LS_previous!AE$149, FALSE))/2)</f>
        <v>0</v>
      </c>
      <c r="P120" s="382">
        <f t="array" ref="P120">IF($G120=0, INDEX(LS_previous!$D$4:$AY$138, MATCH('Staging Table'!$A120, LS_previous!$B$4:$B$138, 0), MATCH(P$4&amp;P$5, LS_previous!$D$2:$AY$2&amp;LS_previous!$D$3:$AY$3, 0)),SUM(VLOOKUP($A120, LS_previous!$B$4:$AY$138, LS_previous!H$149, FALSE), VLOOKUP('Staging Table'!$A120, LS_previous!$B$4:$AY$138,LS_previous!AF$149, FALSE))/2)</f>
        <v>0</v>
      </c>
      <c r="Q120" s="382">
        <f t="array" ref="Q120">IF($G120=0, INDEX(LS_previous!$D$4:$AY$138, MATCH('Staging Table'!$A120, LS_previous!$B$4:$B$138, 0), MATCH(Q$4&amp;Q$5, LS_previous!$D$2:$AY$2&amp;LS_previous!$D$3:$AY$3, 0)),SUM(VLOOKUP($A120, LS_previous!$B$4:$AY$138, LS_previous!I$149, FALSE), VLOOKUP('Staging Table'!$A120, LS_previous!$B$4:$AY$138,LS_previous!AG$149, FALSE))/2)</f>
        <v>0</v>
      </c>
      <c r="R120" s="382">
        <f t="array" ref="R120">IF($G120=0, INDEX(LS_previous!$D$4:$AY$138, MATCH('Staging Table'!$A120, LS_previous!$B$4:$B$138, 0), MATCH(R$4&amp;R$5, LS_previous!$D$2:$AY$2&amp;LS_previous!$D$3:$AY$3, 0)),SUM(VLOOKUP($A120, LS_previous!$B$4:$AY$138, LS_previous!J$149, FALSE), VLOOKUP('Staging Table'!$A120, LS_previous!$B$4:$AY$138,LS_previous!AH$149, FALSE))/2)</f>
        <v>0</v>
      </c>
      <c r="S120" s="382">
        <f t="array" ref="S120">IF($G120=0, INDEX(LS_previous!$D$4:$AY$138, MATCH('Staging Table'!$A120, LS_previous!$B$4:$B$138, 0), MATCH(S$4&amp;S$5, LS_previous!$D$2:$AY$2&amp;LS_previous!$D$3:$AY$3, 0)),SUM(VLOOKUP($A120, LS_previous!$B$4:$AY$138, LS_previous!K$149, FALSE), VLOOKUP('Staging Table'!$A120, LS_previous!$B$4:$AY$138,LS_previous!AI$149, FALSE))/2)</f>
        <v>0</v>
      </c>
      <c r="T120" s="382">
        <f t="array" ref="T120">IF($G120=0, INDEX(LS_previous!$D$4:$AY$138, MATCH('Staging Table'!$A120, LS_previous!$B$4:$B$138, 0), MATCH(T$4&amp;T$5, LS_previous!$D$2:$AY$2&amp;LS_previous!$D$3:$AY$3, 0)),SUM(VLOOKUP($A120, LS_previous!$B$4:$AY$138, LS_previous!L$149, FALSE), VLOOKUP('Staging Table'!$A120, LS_previous!$B$4:$AY$138,LS_previous!AJ$149, FALSE))/2)</f>
        <v>0</v>
      </c>
      <c r="U120" s="382">
        <f t="array" ref="U120">IF($G120=0, INDEX(LS_previous!$D$4:$AY$138, MATCH('Staging Table'!$A120, LS_previous!$B$4:$B$138, 0), MATCH(U$4&amp;U$5, LS_previous!$D$2:$AY$2&amp;LS_previous!$D$3:$AY$3, 0)),SUM(VLOOKUP($A120, LS_previous!$B$4:$AY$138, LS_previous!M$149, FALSE), VLOOKUP('Staging Table'!$A120, LS_previous!$B$4:$AY$138,LS_previous!AK$149, FALSE))/2)</f>
        <v>0</v>
      </c>
      <c r="V120" s="382">
        <f t="array" ref="V120">IF($G120=0, INDEX(LS_previous!$D$4:$AY$138, MATCH('Staging Table'!$A120, LS_previous!$B$4:$B$138, 0), MATCH(V$4&amp;V$5, LS_previous!$D$2:$AY$2&amp;LS_previous!$D$3:$AY$3, 0)),SUM(VLOOKUP($A120, LS_previous!$B$4:$AY$138, LS_previous!N$149, FALSE), VLOOKUP('Staging Table'!$A120, LS_previous!$B$4:$AY$138,LS_previous!AL$149, FALSE))/2)</f>
        <v>0</v>
      </c>
      <c r="W120" s="382">
        <f t="array" ref="W120">IF($G120=0, INDEX(LS_previous!$D$4:$AY$138, MATCH('Staging Table'!$A120, LS_previous!$B$4:$B$138, 0), MATCH(W$4&amp;W$5, LS_previous!$D$2:$AY$2&amp;LS_previous!$D$3:$AY$3, 0)),SUM(VLOOKUP($A120, LS_previous!$B$4:$AY$138, LS_previous!O$149, FALSE), VLOOKUP('Staging Table'!$A120, LS_previous!$B$4:$AY$138,LS_previous!AM$149, FALSE))/2)</f>
        <v>0</v>
      </c>
      <c r="X120" s="382">
        <f t="array" ref="X120">IF($G120=0, INDEX(LS_previous!$D$4:$AY$138, MATCH('Staging Table'!$A120, LS_previous!$B$4:$B$138, 0), MATCH(X$4&amp;X$5, LS_previous!$D$2:$AY$2&amp;LS_previous!$D$3:$AY$3, 0)),SUM(VLOOKUP($A120, LS_previous!$B$4:$AY$138, LS_previous!P$149, FALSE), VLOOKUP('Staging Table'!$A120, LS_previous!$B$4:$AY$138,LS_previous!AN$149, FALSE))/2)</f>
        <v>0</v>
      </c>
      <c r="Y120" s="382">
        <f t="array" ref="Y120">IF($G120=0, INDEX(LS_previous!$D$4:$AY$138, MATCH('Staging Table'!$A120, LS_previous!$B$4:$B$138, 0), MATCH(Y$4&amp;Y$5, LS_previous!$D$2:$AY$2&amp;LS_previous!$D$3:$AY$3, 0)),SUM(VLOOKUP($A120, LS_previous!$B$4:$AY$138, LS_previous!Q$149, FALSE), VLOOKUP('Staging Table'!$A120, LS_previous!$B$4:$AY$138,LS_previous!AO$149, FALSE))/2)</f>
        <v>0</v>
      </c>
      <c r="Z120" s="382">
        <f t="array" ref="Z120">IF($G120=0, INDEX(LS_previous!$D$4:$AY$138, MATCH('Staging Table'!$A120, LS_previous!$B$4:$B$138, 0), MATCH(Z$4&amp;Z$5, LS_previous!$D$2:$AY$2&amp;LS_previous!$D$3:$AY$3, 0)),SUM(VLOOKUP($A120, LS_previous!$B$4:$AY$138, LS_previous!R$149, FALSE), VLOOKUP('Staging Table'!$A120, LS_previous!$B$4:$AY$138,LS_previous!AP$149, FALSE))/2)</f>
        <v>0</v>
      </c>
      <c r="AA120" s="382">
        <f t="array" ref="AA120">IF($G120=0, INDEX(LS_previous!$D$4:$AY$138, MATCH('Staging Table'!$A120, LS_previous!$B$4:$B$138, 0), MATCH(AA$4&amp;AA$5, LS_previous!$D$2:$AY$2&amp;LS_previous!$D$3:$AY$3, 0)),SUM(VLOOKUP($A120, LS_previous!$B$4:$AY$138, LS_previous!S$149, FALSE), VLOOKUP('Staging Table'!$A120, LS_previous!$B$4:$AY$138,LS_previous!AQ$149, FALSE))/2)</f>
        <v>0</v>
      </c>
      <c r="AB120" s="382">
        <f t="array" ref="AB120">IF($G120=0, INDEX(LS_previous!$D$4:$AY$138, MATCH('Staging Table'!$A120, LS_previous!$B$4:$B$138, 0), MATCH(AB$4&amp;AB$5, LS_previous!$D$2:$AY$2&amp;LS_previous!$D$3:$AY$3, 0)),SUM(VLOOKUP($A120, LS_previous!$B$4:$AY$138, LS_previous!T$149, FALSE), VLOOKUP('Staging Table'!$A120, LS_previous!$B$4:$AY$138,LS_previous!AR$149, FALSE))/2)</f>
        <v>0</v>
      </c>
      <c r="AC120" s="382">
        <f t="array" ref="AC120">IF($G120=0, INDEX(LS_previous!$D$4:$AY$138, MATCH('Staging Table'!$A120, LS_previous!$B$4:$B$138, 0), MATCH(AC$4&amp;AC$5, LS_previous!$D$2:$AY$2&amp;LS_previous!$D$3:$AY$3, 0)),SUM(VLOOKUP($A120, LS_previous!$B$4:$AY$138, LS_previous!U$149, FALSE), VLOOKUP('Staging Table'!$A120, LS_previous!$B$4:$AY$138,LS_previous!AS$149, FALSE))/2)</f>
        <v>0</v>
      </c>
      <c r="AD120" s="382">
        <f t="array" ref="AD120">IF($G120=0, INDEX(LS_previous!$D$4:$AY$138, MATCH('Staging Table'!$A120, LS_previous!$B$4:$B$138, 0), MATCH(AD$4&amp;AD$5, LS_previous!$D$2:$AY$2&amp;LS_previous!$D$3:$AY$3, 0)),SUM(VLOOKUP($A120, LS_previous!$B$4:$AY$138, LS_previous!V$149, FALSE), VLOOKUP('Staging Table'!$A120, LS_previous!$B$4:$AY$138,LS_previous!AT$149, FALSE))/2)</f>
        <v>0</v>
      </c>
      <c r="AE120" s="382">
        <f t="array" ref="AE120">IF($G120=0, INDEX(LS_previous!$D$4:$AY$138, MATCH('Staging Table'!$A120, LS_previous!$B$4:$B$138, 0), MATCH(AE$4&amp;AE$5, LS_previous!$D$2:$AY$2&amp;LS_previous!$D$3:$AY$3, 0)),SUM(VLOOKUP($A120, LS_previous!$B$4:$AY$138, LS_previous!W$149, FALSE), VLOOKUP('Staging Table'!$A120, LS_previous!$B$4:$AY$138,LS_previous!AU$149, FALSE))/2)</f>
        <v>0</v>
      </c>
      <c r="AF120" s="382">
        <f t="array" ref="AF120">IF($G120=0, INDEX(LS_previous!$D$4:$AY$138, MATCH('Staging Table'!$A120, LS_previous!$B$4:$B$138, 0), MATCH(AF$4&amp;AF$5, LS_previous!$D$2:$AY$2&amp;LS_previous!$D$3:$AY$3, 0)),SUM(VLOOKUP($A120, LS_previous!$B$4:$AY$138, LS_previous!X$149, FALSE), VLOOKUP('Staging Table'!$A120, LS_previous!$B$4:$AY$138,LS_previous!AV$149, FALSE))/2)</f>
        <v>0</v>
      </c>
      <c r="AG120" s="382">
        <f t="array" ref="AG120">IF($G120=0, INDEX(LS_previous!$D$4:$AY$138, MATCH('Staging Table'!$A120, LS_previous!$B$4:$B$138, 0), MATCH(AG$4&amp;AG$5, LS_previous!$D$2:$AY$2&amp;LS_previous!$D$3:$AY$3, 0)),SUM(VLOOKUP($A120, LS_previous!$B$4:$AY$138, LS_previous!Y$149, FALSE), VLOOKUP('Staging Table'!$A120, LS_previous!$B$4:$AY$138,LS_previous!AW$149, FALSE))/2)</f>
        <v>0</v>
      </c>
      <c r="AH120" s="382">
        <f t="array" ref="AH120">IF($G120=0, INDEX(LS_previous!$D$4:$AY$138, MATCH('Staging Table'!$A120, LS_previous!$B$4:$B$138, 0), MATCH(AH$4&amp;AH$5, LS_previous!$D$2:$AY$2&amp;LS_previous!$D$3:$AY$3, 0)),SUM(VLOOKUP($A120, LS_previous!$B$4:$AY$138, LS_previous!Z$149, FALSE), VLOOKUP('Staging Table'!$A120, LS_previous!$B$4:$AY$138,LS_previous!AX$149, FALSE))/2)</f>
        <v>0</v>
      </c>
      <c r="AI120" s="382">
        <f t="array" ref="AI120">IF($G120=0, INDEX(LS_previous!$D$4:$AY$138, MATCH('Staging Table'!$A120, LS_previous!$B$4:$B$138, 0), MATCH(AI$4&amp;AI$5, LS_previous!$D$2:$AY$2&amp;LS_previous!$D$3:$AY$3, 0)),SUM(VLOOKUP($A120, LS_previous!$B$4:$AY$138, LS_previous!AA$149, FALSE), VLOOKUP('Staging Table'!$A120, LS_previous!$B$4:$AY$138,LS_previous!AY$149, FALSE))/2)</f>
        <v>0</v>
      </c>
      <c r="AJ120" s="384">
        <f t="array" ref="AJ120">INDEX(Demand_previous!$D$4:$AY$138, MATCH('Staging Table'!$A120, Demand_previous!$B$4:$B$138, 0), MATCH(AJ$4&amp;AJ$5,Demand_previous!$D$2:$AY$2&amp;Demand_previous!$D$3:$AY$3, 0))/1000</f>
        <v>0</v>
      </c>
      <c r="AK120" s="384">
        <f t="array" ref="AK120">INDEX(Demand_previous!$D$4:$AY$138, MATCH('Staging Table'!$A120, Demand_previous!$B$4:$B$138, 0), MATCH(AK$4&amp;AK$5,Demand_previous!$D$2:$AY$2&amp;Demand_previous!$D$3:$AY$3, 0))/1000</f>
        <v>0</v>
      </c>
      <c r="AL120" s="384">
        <f t="array" ref="AL120">INDEX(Demand_previous!$D$4:$AY$138, MATCH('Staging Table'!$A120, Demand_previous!$B$4:$B$138, 0), MATCH(AL$4&amp;AL$5,Demand_previous!$D$2:$AY$2&amp;Demand_previous!$D$3:$AY$3, 0))/1000</f>
        <v>0</v>
      </c>
      <c r="AM120" s="384">
        <f t="array" ref="AM120">INDEX(Demand_previous!$D$4:$AY$138, MATCH('Staging Table'!$A120, Demand_previous!$B$4:$B$138, 0), MATCH(AM$4&amp;AM$5,Demand_previous!$D$2:$AY$2&amp;Demand_previous!$D$3:$AY$3, 0))/1000</f>
        <v>0</v>
      </c>
      <c r="AN120" s="384">
        <f t="array" ref="AN120">INDEX(Demand_previous!$D$4:$AY$138, MATCH('Staging Table'!$A120, Demand_previous!$B$4:$B$138, 0), MATCH(AN$4&amp;AN$5,Demand_previous!$D$2:$AY$2&amp;Demand_previous!$D$3:$AY$3, 0))/1000</f>
        <v>0</v>
      </c>
      <c r="AO120" s="384">
        <f t="array" ref="AO120">INDEX(Demand_previous!$D$4:$AY$138, MATCH('Staging Table'!$A120, Demand_previous!$B$4:$B$138, 0), MATCH(AO$4&amp;AO$5,Demand_previous!$D$2:$AY$2&amp;Demand_previous!$D$3:$AY$3, 0))/1000</f>
        <v>0</v>
      </c>
      <c r="AP120" s="384">
        <f t="array" ref="AP120">INDEX(Demand_previous!$D$4:$AY$138, MATCH('Staging Table'!$A120, Demand_previous!$B$4:$B$138, 0), MATCH(AP$4&amp;AP$5,Demand_previous!$D$2:$AY$2&amp;Demand_previous!$D$3:$AY$3, 0))/1000</f>
        <v>0</v>
      </c>
      <c r="AQ120" s="384">
        <f t="array" ref="AQ120">INDEX(Demand_previous!$D$4:$AY$138, MATCH('Staging Table'!$A120, Demand_previous!$B$4:$B$138, 0), MATCH(AQ$4&amp;AQ$5,Demand_previous!$D$2:$AY$2&amp;Demand_previous!$D$3:$AY$3, 0))/1000</f>
        <v>0</v>
      </c>
      <c r="AR120" s="384">
        <f t="array" ref="AR120">INDEX(Demand_previous!$D$4:$AY$138, MATCH('Staging Table'!$A120, Demand_previous!$B$4:$B$138, 0), MATCH(AR$4&amp;AR$5,Demand_previous!$D$2:$AY$2&amp;Demand_previous!$D$3:$AY$3, 0))/1000</f>
        <v>0</v>
      </c>
      <c r="AS120" s="384">
        <f t="array" ref="AS120">INDEX(Demand_previous!$D$4:$AY$138, MATCH('Staging Table'!$A120, Demand_previous!$B$4:$B$138, 0), MATCH(AS$4&amp;AS$5,Demand_previous!$D$2:$AY$2&amp;Demand_previous!$D$3:$AY$3, 0))/1000</f>
        <v>0</v>
      </c>
      <c r="AT120" s="384">
        <f t="array" ref="AT120">INDEX(Demand_previous!$D$4:$AY$138, MATCH('Staging Table'!$A120, Demand_previous!$B$4:$B$138, 0), MATCH(AT$4&amp;AT$5,Demand_previous!$D$2:$AY$2&amp;Demand_previous!$D$3:$AY$3, 0))/1000</f>
        <v>0</v>
      </c>
      <c r="AU120" s="384">
        <f t="array" ref="AU120">INDEX(Demand_previous!$D$4:$AY$138, MATCH('Staging Table'!$A120, Demand_previous!$B$4:$B$138, 0), MATCH(AU$4&amp;AU$5,Demand_previous!$D$2:$AY$2&amp;Demand_previous!$D$3:$AY$3, 0))/1000</f>
        <v>0</v>
      </c>
      <c r="AV120" s="384">
        <f>IF($D120=0,IF(C120=0, MAX(AY120 - (VLOOKUP($A120,TOCA_previous!$A$2:$AI$137,MATCH("RHWM 2016",TOCA_previous!$A$2:$AI$2,0),FALSE)*$F$2*TOCA_previous!C117),0),0), 0)</f>
        <v>0</v>
      </c>
      <c r="AW120" s="427">
        <f>VLOOKUP($A120,REP_previous!$A$1:$D$135,MATCH("FY "&amp;$F$1&amp; " Total Refund",REP_previous!$A$1:$D$1,0),0)</f>
        <v>1185014.750502951</v>
      </c>
      <c r="AX120" s="398">
        <f>MIN(VLOOKUP($A120,TOCA_previous!$A$2:$AI$137,MATCH("TRL - NLSL - Exisiting Resource "&amp;$F$1,TOCA_previous!$A$2:$AI$2,0),FALSE)*$F$2,(VLOOKUP($A120,TOCA_previous!$A$2:$AI$137,MATCH("RHWM 2016",TOCA_previous!$A$2:$AI$2,0),FALSE)*$F$2))</f>
        <v>984844.51199999999</v>
      </c>
      <c r="AY120" s="384">
        <f>SUM(L120:AI120)+(F120*RT1SC!$C$3*$F$2)</f>
        <v>984847.30385824793</v>
      </c>
      <c r="AZ120" s="398">
        <f>VLOOKUP($A120,TOCA_previous!$A$2:$AI$137,MATCH("Above RHWM Not Served with LS "&amp;$F$1,TOCA_previous!$A$2:$AI$2,0),FALSE)*$F$2</f>
        <v>341249.61599999998</v>
      </c>
      <c r="BA120" s="206">
        <f t="shared" si="19"/>
        <v>2.7918582479469478</v>
      </c>
      <c r="BB120" s="399">
        <f>(VLOOKUP($A120,TOCA_previous!$A$2:$AI$137,MATCH("RHWM 2016",TOCA_previous!$A$2:$AI$2,0),FALSE)*$F$2) - $AX120</f>
        <v>0</v>
      </c>
      <c r="BC120" s="206">
        <f t="shared" si="20"/>
        <v>0</v>
      </c>
      <c r="BD120" s="400">
        <f t="shared" si="21"/>
        <v>0</v>
      </c>
      <c r="BE120" s="392">
        <f t="shared" si="22"/>
        <v>0</v>
      </c>
      <c r="BF120" s="399">
        <f t="shared" si="23"/>
        <v>0</v>
      </c>
      <c r="BG120" s="206">
        <f>VLOOKUP($A120,TOCA_current!$A$2:$AI$137,MATCH(BG$4,TOCA_current!$A$2:$AI$2,0),FALSE)</f>
        <v>1.60415E-2</v>
      </c>
      <c r="BH120" s="206">
        <f>VLOOKUP($A120,TOCA_current!$A$2:$AI$137,MATCH(BH$4,TOCA_current!$A$2:$AI$2,0),FALSE)</f>
        <v>1.60415E-2</v>
      </c>
      <c r="BI120" s="391">
        <f t="shared" si="24"/>
        <v>0</v>
      </c>
      <c r="BJ120" s="206">
        <f>VLOOKUP($A120,TOCA_current!A116:BG251,MATCH(BJ$4,TOCA_current!$A$2:$BG$2,0),FALSE)</f>
        <v>8.9369692835215328E-2</v>
      </c>
      <c r="BK120" s="206">
        <f t="shared" si="25"/>
        <v>8.9369692835215328E-2</v>
      </c>
      <c r="BL120" s="206">
        <f t="shared" si="26"/>
        <v>1.60415E-2</v>
      </c>
      <c r="BM120" s="381">
        <f>VLOOKUP($A120,IRD!$A$4:$G$139, 7, FALSE)</f>
        <v>228772.42700000003</v>
      </c>
      <c r="BN120" s="382">
        <f t="array" ref="BN120">IF($BI120=0, INDEX(LS_current!$D$4:$AY$139, MATCH('Staging Table'!$A120, LS_current!$B$4:$B$139, 0), MATCH(BN$4&amp;BN$5, LS_current!$D$2:$AY$2&amp;LS_current!$D$3:$AY$3, 0)),SUM(VLOOKUP($A120, LS_current!$B$4:$AY$139, LS_current!D$149, FALSE), VLOOKUP($A120, LS_current!$B$4:$AY$139,LS_current!D$149, FALSE))/2)</f>
        <v>0</v>
      </c>
      <c r="BO120" s="382">
        <f t="array" ref="BO120">IF($BI120=0, INDEX(LS_current!$D$4:$AY$139, MATCH('Staging Table'!$A120, LS_current!$B$4:$B$139, 0), MATCH(BO$4&amp;BO$5, LS_current!$D$2:$AY$2&amp;LS_current!$D$3:$AY$3, 0)),SUM(VLOOKUP($A120, LS_current!$B$4:$AY$139, LS_current!E$149, FALSE), VLOOKUP($A120, LS_current!$B$4:$AY$139,LS_current!E$149, FALSE))/2)</f>
        <v>0</v>
      </c>
      <c r="BP120" s="382">
        <f t="array" ref="BP120">IF($BI120=0, INDEX(LS_current!$D$4:$AY$139, MATCH('Staging Table'!$A120, LS_current!$B$4:$B$139, 0), MATCH(BP$4&amp;BP$5, LS_current!$D$2:$AY$2&amp;LS_current!$D$3:$AY$3, 0)),SUM(VLOOKUP($A120, LS_current!$B$4:$AY$139, LS_current!F$149, FALSE), VLOOKUP($A120, LS_current!$B$4:$AY$139,LS_current!F$149, FALSE))/2)</f>
        <v>0</v>
      </c>
      <c r="BQ120" s="382">
        <f t="array" ref="BQ120">IF($BI120=0, INDEX(LS_current!$D$4:$AY$139, MATCH('Staging Table'!$A120, LS_current!$B$4:$B$139, 0), MATCH(BQ$4&amp;BQ$5, LS_current!$D$2:$AY$2&amp;LS_current!$D$3:$AY$3, 0)),SUM(VLOOKUP($A120, LS_current!$B$4:$AY$139, LS_current!G$149, FALSE), VLOOKUP($A120, LS_current!$B$4:$AY$139,LS_current!G$149, FALSE))/2)</f>
        <v>0</v>
      </c>
      <c r="BR120" s="382">
        <f t="array" ref="BR120">IF($BI120=0, INDEX(LS_current!$D$4:$AY$139, MATCH('Staging Table'!$A120, LS_current!$B$4:$B$139, 0), MATCH(BR$4&amp;BR$5, LS_current!$D$2:$AY$2&amp;LS_current!$D$3:$AY$3, 0)),SUM(VLOOKUP($A120, LS_current!$B$4:$AY$139, LS_current!H$149, FALSE), VLOOKUP($A120, LS_current!$B$4:$AY$139,LS_current!H$149, FALSE))/2)</f>
        <v>0</v>
      </c>
      <c r="BS120" s="382">
        <f t="array" ref="BS120">IF($BI120=0, INDEX(LS_current!$D$4:$AY$139, MATCH('Staging Table'!$A120, LS_current!$B$4:$B$139, 0), MATCH(BS$4&amp;BS$5, LS_current!$D$2:$AY$2&amp;LS_current!$D$3:$AY$3, 0)),SUM(VLOOKUP($A120, LS_current!$B$4:$AY$139, LS_current!I$149, FALSE), VLOOKUP($A120, LS_current!$B$4:$AY$139,LS_current!I$149, FALSE))/2)</f>
        <v>0</v>
      </c>
      <c r="BT120" s="382">
        <f t="array" ref="BT120">IF($BI120=0, INDEX(LS_current!$D$4:$AY$139, MATCH('Staging Table'!$A120, LS_current!$B$4:$B$139, 0), MATCH(BT$4&amp;BT$5, LS_current!$D$2:$AY$2&amp;LS_current!$D$3:$AY$3, 0)),SUM(VLOOKUP($A120, LS_current!$B$4:$AY$139, LS_current!J$149, FALSE), VLOOKUP($A120, LS_current!$B$4:$AY$139,LS_current!J$149, FALSE))/2)</f>
        <v>0</v>
      </c>
      <c r="BU120" s="382">
        <f t="array" ref="BU120">IF($BI120=0, INDEX(LS_current!$D$4:$AY$139, MATCH('Staging Table'!$A120, LS_current!$B$4:$B$139, 0), MATCH(BU$4&amp;BU$5, LS_current!$D$2:$AY$2&amp;LS_current!$D$3:$AY$3, 0)),SUM(VLOOKUP($A120, LS_current!$B$4:$AY$139, LS_current!K$149, FALSE), VLOOKUP($A120, LS_current!$B$4:$AY$139,LS_current!K$149, FALSE))/2)</f>
        <v>0</v>
      </c>
      <c r="BV120" s="382">
        <f t="array" ref="BV120">IF($BI120=0, INDEX(LS_current!$D$4:$AY$139, MATCH('Staging Table'!$A120, LS_current!$B$4:$B$139, 0), MATCH(BV$4&amp;BV$5, LS_current!$D$2:$AY$2&amp;LS_current!$D$3:$AY$3, 0)),SUM(VLOOKUP($A120, LS_current!$B$4:$AY$139, LS_current!L$149, FALSE), VLOOKUP($A120, LS_current!$B$4:$AY$139,LS_current!L$149, FALSE))/2)</f>
        <v>0</v>
      </c>
      <c r="BW120" s="382">
        <f t="array" ref="BW120">IF($BI120=0, INDEX(LS_current!$D$4:$AY$139, MATCH('Staging Table'!$A120, LS_current!$B$4:$B$139, 0), MATCH(BW$4&amp;BW$5, LS_current!$D$2:$AY$2&amp;LS_current!$D$3:$AY$3, 0)),SUM(VLOOKUP($A120, LS_current!$B$4:$AY$139, LS_current!M$149, FALSE), VLOOKUP($A120, LS_current!$B$4:$AY$139,LS_current!M$149, FALSE))/2)</f>
        <v>0</v>
      </c>
      <c r="BX120" s="382">
        <f t="array" ref="BX120">IF($BI120=0, INDEX(LS_current!$D$4:$AY$139, MATCH('Staging Table'!$A120, LS_current!$B$4:$B$139, 0), MATCH(BX$4&amp;BX$5, LS_current!$D$2:$AY$2&amp;LS_current!$D$3:$AY$3, 0)),SUM(VLOOKUP($A120, LS_current!$B$4:$AY$139, LS_current!N$149, FALSE), VLOOKUP($A120, LS_current!$B$4:$AY$139,LS_current!N$149, FALSE))/2)</f>
        <v>0</v>
      </c>
      <c r="BY120" s="382">
        <f t="array" ref="BY120">IF($BI120=0, INDEX(LS_current!$D$4:$AY$139, MATCH('Staging Table'!$A120, LS_current!$B$4:$B$139, 0), MATCH(BY$4&amp;BY$5, LS_current!$D$2:$AY$2&amp;LS_current!$D$3:$AY$3, 0)),SUM(VLOOKUP($A120, LS_current!$B$4:$AY$139, LS_current!O$149, FALSE), VLOOKUP($A120, LS_current!$B$4:$AY$139,LS_current!O$149, FALSE))/2)</f>
        <v>0</v>
      </c>
      <c r="BZ120" s="382">
        <f t="array" ref="BZ120">IF($BI120=0, INDEX(LS_current!$D$4:$AY$139, MATCH('Staging Table'!$A120, LS_current!$B$4:$B$139, 0), MATCH(BZ$4&amp;BZ$5, LS_current!$D$2:$AY$2&amp;LS_current!$D$3:$AY$3, 0)),SUM(VLOOKUP($A120, LS_current!$B$4:$AY$139, LS_current!P$149, FALSE), VLOOKUP($A120, LS_current!$B$4:$AY$139,LS_current!P$149, FALSE))/2)</f>
        <v>0</v>
      </c>
      <c r="CA120" s="382">
        <f t="array" ref="CA120">IF($BI120=0, INDEX(LS_current!$D$4:$AY$139, MATCH('Staging Table'!$A120, LS_current!$B$4:$B$139, 0), MATCH(CA$4&amp;CA$5, LS_current!$D$2:$AY$2&amp;LS_current!$D$3:$AY$3, 0)),SUM(VLOOKUP($A120, LS_current!$B$4:$AY$139, LS_current!Q$149, FALSE), VLOOKUP($A120, LS_current!$B$4:$AY$139,LS_current!Q$149, FALSE))/2)</f>
        <v>0</v>
      </c>
      <c r="CB120" s="382">
        <f t="array" ref="CB120">IF($BI120=0, INDEX(LS_current!$D$4:$AY$139, MATCH('Staging Table'!$A120, LS_current!$B$4:$B$139, 0), MATCH(CB$4&amp;CB$5, LS_current!$D$2:$AY$2&amp;LS_current!$D$3:$AY$3, 0)),SUM(VLOOKUP($A120, LS_current!$B$4:$AY$139, LS_current!R$149, FALSE), VLOOKUP($A120, LS_current!$B$4:$AY$139,LS_current!R$149, FALSE))/2)</f>
        <v>0</v>
      </c>
      <c r="CC120" s="382">
        <f t="array" ref="CC120">IF($BI120=0, INDEX(LS_current!$D$4:$AY$139, MATCH('Staging Table'!$A120, LS_current!$B$4:$B$139, 0), MATCH(CC$4&amp;CC$5, LS_current!$D$2:$AY$2&amp;LS_current!$D$3:$AY$3, 0)),SUM(VLOOKUP($A120, LS_current!$B$4:$AY$139, LS_current!S$149, FALSE), VLOOKUP($A120, LS_current!$B$4:$AY$139,LS_current!S$149, FALSE))/2)</f>
        <v>0</v>
      </c>
      <c r="CD120" s="382">
        <f t="array" ref="CD120">IF($BI120=0, INDEX(LS_current!$D$4:$AY$139, MATCH('Staging Table'!$A120, LS_current!$B$4:$B$139, 0), MATCH(CD$4&amp;CD$5, LS_current!$D$2:$AY$2&amp;LS_current!$D$3:$AY$3, 0)),SUM(VLOOKUP($A120, LS_current!$B$4:$AY$139, LS_current!T$149, FALSE), VLOOKUP($A120, LS_current!$B$4:$AY$139,LS_current!T$149, FALSE))/2)</f>
        <v>0</v>
      </c>
      <c r="CE120" s="382">
        <f t="array" ref="CE120">IF($BI120=0, INDEX(LS_current!$D$4:$AY$139, MATCH('Staging Table'!$A120, LS_current!$B$4:$B$139, 0), MATCH(CE$4&amp;CE$5, LS_current!$D$2:$AY$2&amp;LS_current!$D$3:$AY$3, 0)),SUM(VLOOKUP($A120, LS_current!$B$4:$AY$139, LS_current!U$149, FALSE), VLOOKUP($A120, LS_current!$B$4:$AY$139,LS_current!U$149, FALSE))/2)</f>
        <v>0</v>
      </c>
      <c r="CF120" s="382">
        <f t="array" ref="CF120">IF($BI120=0, INDEX(LS_current!$D$4:$AY$139, MATCH('Staging Table'!$A120, LS_current!$B$4:$B$139, 0), MATCH(CF$4&amp;CF$5, LS_current!$D$2:$AY$2&amp;LS_current!$D$3:$AY$3, 0)),SUM(VLOOKUP($A120, LS_current!$B$4:$AY$139, LS_current!V$149, FALSE), VLOOKUP($A120, LS_current!$B$4:$AY$139,LS_current!V$149, FALSE))/2)</f>
        <v>0</v>
      </c>
      <c r="CG120" s="382">
        <f t="array" ref="CG120">IF($BI120=0, INDEX(LS_current!$D$4:$AY$139, MATCH('Staging Table'!$A120, LS_current!$B$4:$B$139, 0), MATCH(CG$4&amp;CG$5, LS_current!$D$2:$AY$2&amp;LS_current!$D$3:$AY$3, 0)),SUM(VLOOKUP($A120, LS_current!$B$4:$AY$139, LS_current!W$149, FALSE), VLOOKUP($A120, LS_current!$B$4:$AY$139,LS_current!W$149, FALSE))/2)</f>
        <v>0</v>
      </c>
      <c r="CH120" s="382">
        <f t="array" ref="CH120">IF($BI120=0, INDEX(LS_current!$D$4:$AY$139, MATCH('Staging Table'!$A120, LS_current!$B$4:$B$139, 0), MATCH(CH$4&amp;CH$5, LS_current!$D$2:$AY$2&amp;LS_current!$D$3:$AY$3, 0)),SUM(VLOOKUP($A120, LS_current!$B$4:$AY$139, LS_current!X$149, FALSE), VLOOKUP($A120, LS_current!$B$4:$AY$139,LS_current!X$149, FALSE))/2)</f>
        <v>0</v>
      </c>
      <c r="CI120" s="382">
        <f t="array" ref="CI120">IF($BI120=0, INDEX(LS_current!$D$4:$AY$139, MATCH('Staging Table'!$A120, LS_current!$B$4:$B$139, 0), MATCH(CI$4&amp;CI$5, LS_current!$D$2:$AY$2&amp;LS_current!$D$3:$AY$3, 0)),SUM(VLOOKUP($A120, LS_current!$B$4:$AY$139, LS_current!Y$149, FALSE), VLOOKUP($A120, LS_current!$B$4:$AY$139,LS_current!Y$149, FALSE))/2)</f>
        <v>0</v>
      </c>
      <c r="CJ120" s="382">
        <f t="array" ref="CJ120">IF($BI120=0, INDEX(LS_current!$D$4:$AY$139, MATCH('Staging Table'!$A120, LS_current!$B$4:$B$139, 0), MATCH(CJ$4&amp;CJ$5, LS_current!$D$2:$AY$2&amp;LS_current!$D$3:$AY$3, 0)),SUM(VLOOKUP($A120, LS_current!$B$4:$AY$139, LS_current!Z$149, FALSE), VLOOKUP($A120, LS_current!$B$4:$AY$139,LS_current!Z$149, FALSE))/2)</f>
        <v>0</v>
      </c>
      <c r="CK120" s="382">
        <f t="array" ref="CK120">IF($BI120=0, INDEX(LS_current!$D$4:$AY$139, MATCH('Staging Table'!$A120, LS_current!$B$4:$B$139, 0), MATCH(CK$4&amp;CK$5, LS_current!$D$2:$AY$2&amp;LS_current!$D$3:$AY$3, 0)),SUM(VLOOKUP($A120, LS_current!$B$4:$AY$139, LS_current!AA$149, FALSE), VLOOKUP($A120, LS_current!$B$4:$AY$139,LS_current!AA$149, FALSE))/2)</f>
        <v>0</v>
      </c>
      <c r="CL120" s="384">
        <f t="array" ref="CL120">INDEX(Demand_current!$D$4:$AY$138, MATCH($A120, Demand_current!$B$4:$B$138, 0), MATCH(CL$4&amp;CL$5,Demand_current!$D$2:$AY$2&amp;Demand_current!$D$3:$AY$3, 0))/1000</f>
        <v>0</v>
      </c>
      <c r="CM120" s="384">
        <f t="array" ref="CM120">INDEX(Demand_current!$D$4:$AY$138, MATCH($A120, Demand_current!$B$4:$B$138, 0), MATCH(CM$4&amp;CM$5,Demand_current!$D$2:$AY$2&amp;Demand_current!$D$3:$AY$3, 0))/1000</f>
        <v>0</v>
      </c>
      <c r="CN120" s="384">
        <f t="array" ref="CN120">INDEX(Demand_current!$D$4:$AY$138, MATCH($A120, Demand_current!$B$4:$B$138, 0), MATCH(CN$4&amp;CN$5,Demand_current!$D$2:$AY$2&amp;Demand_current!$D$3:$AY$3, 0))/1000</f>
        <v>0</v>
      </c>
      <c r="CO120" s="384">
        <f t="array" ref="CO120">INDEX(Demand_current!$D$4:$AY$138, MATCH($A120, Demand_current!$B$4:$B$138, 0), MATCH(CO$4&amp;CO$5,Demand_current!$D$2:$AY$2&amp;Demand_current!$D$3:$AY$3, 0))/1000</f>
        <v>0</v>
      </c>
      <c r="CP120" s="384">
        <f t="array" ref="CP120">INDEX(Demand_current!$D$4:$AY$138, MATCH($A120, Demand_current!$B$4:$B$138, 0), MATCH(CP$4&amp;CP$5,Demand_current!$D$2:$AY$2&amp;Demand_current!$D$3:$AY$3, 0))/1000</f>
        <v>0</v>
      </c>
      <c r="CQ120" s="384">
        <f t="array" ref="CQ120">INDEX(Demand_current!$D$4:$AY$138, MATCH($A120, Demand_current!$B$4:$B$138, 0), MATCH(CQ$4&amp;CQ$5,Demand_current!$D$2:$AY$2&amp;Demand_current!$D$3:$AY$3, 0))/1000</f>
        <v>0</v>
      </c>
      <c r="CR120" s="384">
        <f t="array" ref="CR120">INDEX(Demand_current!$D$4:$AY$138, MATCH($A120, Demand_current!$B$4:$B$138, 0), MATCH(CR$4&amp;CR$5,Demand_current!$D$2:$AY$2&amp;Demand_current!$D$3:$AY$3, 0))/1000</f>
        <v>0</v>
      </c>
      <c r="CS120" s="384">
        <f t="array" ref="CS120">INDEX(Demand_current!$D$4:$AY$138, MATCH($A120, Demand_current!$B$4:$B$138, 0), MATCH(CS$4&amp;CS$5,Demand_current!$D$2:$AY$2&amp;Demand_current!$D$3:$AY$3, 0))/1000</f>
        <v>0</v>
      </c>
      <c r="CT120" s="384">
        <f t="array" ref="CT120">INDEX(Demand_current!$D$4:$AY$138, MATCH($A120, Demand_current!$B$4:$B$138, 0), MATCH(CT$4&amp;CT$5,Demand_current!$D$2:$AY$2&amp;Demand_current!$D$3:$AY$3, 0))/1000</f>
        <v>0</v>
      </c>
      <c r="CU120" s="384">
        <f t="array" ref="CU120">INDEX(Demand_current!$D$4:$AY$138, MATCH($A120, Demand_current!$B$4:$B$138, 0), MATCH(CU$4&amp;CU$5,Demand_current!$D$2:$AY$2&amp;Demand_current!$D$3:$AY$3, 0))/1000</f>
        <v>0</v>
      </c>
      <c r="CV120" s="384">
        <f t="array" ref="CV120">INDEX(Demand_current!$D$4:$AY$138, MATCH($A120, Demand_current!$B$4:$B$138, 0), MATCH(CV$4&amp;CV$5,Demand_current!$D$2:$AY$2&amp;Demand_current!$D$3:$AY$3, 0))/1000</f>
        <v>0</v>
      </c>
      <c r="CW120" s="384">
        <f t="array" ref="CW120">INDEX(Demand_current!$D$4:$AY$138, MATCH($A120, Demand_current!$B$4:$B$138, 0), MATCH(CW$4&amp;CW$5,Demand_current!$D$2:$AY$2&amp;Demand_current!$D$3:$AY$3, 0))/1000</f>
        <v>0</v>
      </c>
      <c r="CX120" s="384">
        <f>IF(D120=0,IF(C120=0,MAX(0,DA120 - (VLOOKUP($A120,TOCA_current!$A$2:$AI$137,MATCH("RHWM 2018",TOCA_current!$A$2:$AI$2,0),FALSE)*$BH$2)), 0),0)</f>
        <v>0</v>
      </c>
      <c r="CY120" s="427">
        <f>VLOOKUP($A120,REP_current!$A$1:$D$135,MATCH("FY "&amp;$BH$1&amp; " Total Refund",REP_current!$A$1:$D$1,0),0)</f>
        <v>1194203.9412840679</v>
      </c>
      <c r="CZ120" s="432">
        <f>MIN(VLOOKUP($A120,TOCA_current!$A$2:$AI$137,MATCH("TRL - NLSL - Existing Resource "&amp;$BH$1,TOCA_current!$A$2:$AI$2,0),FALSE)*$BH$2, VLOOKUP($A120,TOCA_current!$A$2:$AI$137,MATCH("RHWM 2018",TOCA_current!$A$2:$AI$2,0),FALSE)*$BH$2)</f>
        <v>975916.56</v>
      </c>
      <c r="DA120" s="397">
        <f>SUM(BN120:CK120)+(BH120*RT1SC!$C$4*$BH$2)</f>
        <v>975914.34467483987</v>
      </c>
      <c r="DB120" s="432">
        <f>VLOOKUP($A120,TOCA_current!$A$2:$AI$137,MATCH("Above RHWM Not Served with LS "&amp;$BH$1,TOCA_current!$A$2:$AI$2,0),FALSE)*$BH$2</f>
        <v>609853.67999999993</v>
      </c>
      <c r="DC120" s="401">
        <f t="shared" si="27"/>
        <v>-2.2153251601848751</v>
      </c>
      <c r="DD120" s="397">
        <f>(VLOOKUP($A120,TOCA_current!$A$2:$AI$137,MATCH("RHWM 2018",TOCA_current!$A$2:$AI$2,0),FALSE)*$BH$2) - $CZ120</f>
        <v>0</v>
      </c>
      <c r="DE120" s="397">
        <f t="shared" si="28"/>
        <v>0</v>
      </c>
      <c r="DF120" s="397">
        <f t="shared" si="29"/>
        <v>0</v>
      </c>
      <c r="DG120" s="397">
        <f t="shared" si="30"/>
        <v>0</v>
      </c>
      <c r="DH120" s="397">
        <f t="shared" si="31"/>
        <v>0</v>
      </c>
    </row>
    <row r="121" spans="1:112">
      <c r="A121" s="274">
        <v>10391</v>
      </c>
      <c r="B121" s="275" t="s">
        <v>122</v>
      </c>
      <c r="C121" s="397">
        <v>0</v>
      </c>
      <c r="D121" s="397">
        <v>0</v>
      </c>
      <c r="E121" s="205">
        <f>VLOOKUP($A121,TOCA_previous!$A$2:$AI$137,MATCH(E$4,TOCA_previous!$A$2:$AI$2,0),FALSE)</f>
        <v>4.2507999999999999E-3</v>
      </c>
      <c r="F121" s="206">
        <f>VLOOKUP($A121,TOCA_previous!$A$2:$AI$137,MATCH(F$4,TOCA_previous!$A$2:$AI$2,0),FALSE)</f>
        <v>4.2507999999999999E-3</v>
      </c>
      <c r="G121" s="206">
        <f t="shared" si="16"/>
        <v>0</v>
      </c>
      <c r="H121" s="206">
        <f>VLOOKUP($A121,TOCA_previous!$A$2:$AI$137,MATCH(H$4,TOCA_previous!$A$2:$AI$2,0),FALSE)</f>
        <v>3.9059999999999997E-2</v>
      </c>
      <c r="I121" s="206">
        <f t="shared" si="17"/>
        <v>0</v>
      </c>
      <c r="J121" s="206">
        <f t="shared" si="18"/>
        <v>0</v>
      </c>
      <c r="K121" s="381">
        <f>VLOOKUP(A121, IRD!$A$5:$C$139, 3, FALSE)</f>
        <v>44270.152999999998</v>
      </c>
      <c r="L121" s="382">
        <f t="array" ref="L121">IF($G121=0, INDEX(LS_previous!$D$4:$AY$138, MATCH('Staging Table'!$A121, LS_previous!$B$4:$B$138, 0), MATCH(L$4&amp;L$5, LS_previous!$D$2:$AY$2&amp;LS_previous!$D$3:$AY$3, 0)),SUM(VLOOKUP($A121, LS_previous!$B$4:$AY$138, LS_previous!D$149, FALSE), VLOOKUP('Staging Table'!$A121, LS_previous!$B$4:$AY$138,LS_previous!AB$149, FALSE))/2)</f>
        <v>-1971.8885589698857</v>
      </c>
      <c r="M121" s="382">
        <f t="array" ref="M121">IF($G121=0, INDEX(LS_previous!$D$4:$AY$138, MATCH('Staging Table'!$A121, LS_previous!$B$4:$B$138, 0), MATCH(M$4&amp;M$5, LS_previous!$D$2:$AY$2&amp;LS_previous!$D$3:$AY$3, 0)),SUM(VLOOKUP($A121, LS_previous!$B$4:$AY$138, LS_previous!E$149, FALSE), VLOOKUP('Staging Table'!$A121, LS_previous!$B$4:$AY$138,LS_previous!AC$149, FALSE))/2)</f>
        <v>-481.40010749300836</v>
      </c>
      <c r="N121" s="382">
        <f t="array" ref="N121">IF($G121=0, INDEX(LS_previous!$D$4:$AY$138, MATCH('Staging Table'!$A121, LS_previous!$B$4:$B$138, 0), MATCH(N$4&amp;N$5, LS_previous!$D$2:$AY$2&amp;LS_previous!$D$3:$AY$3, 0)),SUM(VLOOKUP($A121, LS_previous!$B$4:$AY$138, LS_previous!F$149, FALSE), VLOOKUP('Staging Table'!$A121, LS_previous!$B$4:$AY$138,LS_previous!AD$149, FALSE))/2)</f>
        <v>-4247.7954398501497</v>
      </c>
      <c r="O121" s="382">
        <f t="array" ref="O121">IF($G121=0, INDEX(LS_previous!$D$4:$AY$138, MATCH('Staging Table'!$A121, LS_previous!$B$4:$B$138, 0), MATCH(O$4&amp;O$5, LS_previous!$D$2:$AY$2&amp;LS_previous!$D$3:$AY$3, 0)),SUM(VLOOKUP($A121, LS_previous!$B$4:$AY$138, LS_previous!G$149, FALSE), VLOOKUP('Staging Table'!$A121, LS_previous!$B$4:$AY$138,LS_previous!AE$149, FALSE))/2)</f>
        <v>-1192.1867902253716</v>
      </c>
      <c r="P121" s="382">
        <f t="array" ref="P121">IF($G121=0, INDEX(LS_previous!$D$4:$AY$138, MATCH('Staging Table'!$A121, LS_previous!$B$4:$B$138, 0), MATCH(P$4&amp;P$5, LS_previous!$D$2:$AY$2&amp;LS_previous!$D$3:$AY$3, 0)),SUM(VLOOKUP($A121, LS_previous!$B$4:$AY$138, LS_previous!H$149, FALSE), VLOOKUP('Staging Table'!$A121, LS_previous!$B$4:$AY$138,LS_previous!AF$149, FALSE))/2)</f>
        <v>-1551.4895103111648</v>
      </c>
      <c r="Q121" s="382">
        <f t="array" ref="Q121">IF($G121=0, INDEX(LS_previous!$D$4:$AY$138, MATCH('Staging Table'!$A121, LS_previous!$B$4:$B$138, 0), MATCH(Q$4&amp;Q$5, LS_previous!$D$2:$AY$2&amp;LS_previous!$D$3:$AY$3, 0)),SUM(VLOOKUP($A121, LS_previous!$B$4:$AY$138, LS_previous!I$149, FALSE), VLOOKUP('Staging Table'!$A121, LS_previous!$B$4:$AY$138,LS_previous!AG$149, FALSE))/2)</f>
        <v>555.94347175536313</v>
      </c>
      <c r="R121" s="382">
        <f t="array" ref="R121">IF($G121=0, INDEX(LS_previous!$D$4:$AY$138, MATCH('Staging Table'!$A121, LS_previous!$B$4:$B$138, 0), MATCH(R$4&amp;R$5, LS_previous!$D$2:$AY$2&amp;LS_previous!$D$3:$AY$3, 0)),SUM(VLOOKUP($A121, LS_previous!$B$4:$AY$138, LS_previous!J$149, FALSE), VLOOKUP('Staging Table'!$A121, LS_previous!$B$4:$AY$138,LS_previous!AH$149, FALSE))/2)</f>
        <v>657.55982630325343</v>
      </c>
      <c r="S121" s="382">
        <f t="array" ref="S121">IF($G121=0, INDEX(LS_previous!$D$4:$AY$138, MATCH('Staging Table'!$A121, LS_previous!$B$4:$B$138, 0), MATCH(S$4&amp;S$5, LS_previous!$D$2:$AY$2&amp;LS_previous!$D$3:$AY$3, 0)),SUM(VLOOKUP($A121, LS_previous!$B$4:$AY$138, LS_previous!K$149, FALSE), VLOOKUP('Staging Table'!$A121, LS_previous!$B$4:$AY$138,LS_previous!AI$149, FALSE))/2)</f>
        <v>1839.4523201505626</v>
      </c>
      <c r="T121" s="382">
        <f t="array" ref="T121">IF($G121=0, INDEX(LS_previous!$D$4:$AY$138, MATCH('Staging Table'!$A121, LS_previous!$B$4:$B$138, 0), MATCH(T$4&amp;T$5, LS_previous!$D$2:$AY$2&amp;LS_previous!$D$3:$AY$3, 0)),SUM(VLOOKUP($A121, LS_previous!$B$4:$AY$138, LS_previous!L$149, FALSE), VLOOKUP('Staging Table'!$A121, LS_previous!$B$4:$AY$138,LS_previous!AJ$149, FALSE))/2)</f>
        <v>-198.49531150435723</v>
      </c>
      <c r="U121" s="382">
        <f t="array" ref="U121">IF($G121=0, INDEX(LS_previous!$D$4:$AY$138, MATCH('Staging Table'!$A121, LS_previous!$B$4:$B$138, 0), MATCH(U$4&amp;U$5, LS_previous!$D$2:$AY$2&amp;LS_previous!$D$3:$AY$3, 0)),SUM(VLOOKUP($A121, LS_previous!$B$4:$AY$138, LS_previous!M$149, FALSE), VLOOKUP('Staging Table'!$A121, LS_previous!$B$4:$AY$138,LS_previous!AK$149, FALSE))/2)</f>
        <v>989.67499244675946</v>
      </c>
      <c r="V121" s="382">
        <f t="array" ref="V121">IF($G121=0, INDEX(LS_previous!$D$4:$AY$138, MATCH('Staging Table'!$A121, LS_previous!$B$4:$B$138, 0), MATCH(V$4&amp;V$5, LS_previous!$D$2:$AY$2&amp;LS_previous!$D$3:$AY$3, 0)),SUM(VLOOKUP($A121, LS_previous!$B$4:$AY$138, LS_previous!N$149, FALSE), VLOOKUP('Staging Table'!$A121, LS_previous!$B$4:$AY$138,LS_previous!AL$149, FALSE))/2)</f>
        <v>-2356.5958971659729</v>
      </c>
      <c r="W121" s="382">
        <f t="array" ref="W121">IF($G121=0, INDEX(LS_previous!$D$4:$AY$138, MATCH('Staging Table'!$A121, LS_previous!$B$4:$B$138, 0), MATCH(W$4&amp;W$5, LS_previous!$D$2:$AY$2&amp;LS_previous!$D$3:$AY$3, 0)),SUM(VLOOKUP($A121, LS_previous!$B$4:$AY$138, LS_previous!O$149, FALSE), VLOOKUP('Staging Table'!$A121, LS_previous!$B$4:$AY$138,LS_previous!AM$149, FALSE))/2)</f>
        <v>-713.66400280396465</v>
      </c>
      <c r="X121" s="382">
        <f t="array" ref="X121">IF($G121=0, INDEX(LS_previous!$D$4:$AY$138, MATCH('Staging Table'!$A121, LS_previous!$B$4:$B$138, 0), MATCH(X$4&amp;X$5, LS_previous!$D$2:$AY$2&amp;LS_previous!$D$3:$AY$3, 0)),SUM(VLOOKUP($A121, LS_previous!$B$4:$AY$138, LS_previous!P$149, FALSE), VLOOKUP('Staging Table'!$A121, LS_previous!$B$4:$AY$138,LS_previous!AN$149, FALSE))/2)</f>
        <v>1177.6891751074108</v>
      </c>
      <c r="Y121" s="382">
        <f t="array" ref="Y121">IF($G121=0, INDEX(LS_previous!$D$4:$AY$138, MATCH('Staging Table'!$A121, LS_previous!$B$4:$B$138, 0), MATCH(Y$4&amp;Y$5, LS_previous!$D$2:$AY$2&amp;LS_previous!$D$3:$AY$3, 0)),SUM(VLOOKUP($A121, LS_previous!$B$4:$AY$138, LS_previous!Q$149, FALSE), VLOOKUP('Staging Table'!$A121, LS_previous!$B$4:$AY$138,LS_previous!AO$149, FALSE))/2)</f>
        <v>1053.3501343532353</v>
      </c>
      <c r="Z121" s="382">
        <f t="array" ref="Z121">IF($G121=0, INDEX(LS_previous!$D$4:$AY$138, MATCH('Staging Table'!$A121, LS_previous!$B$4:$B$138, 0), MATCH(Z$4&amp;Z$5, LS_previous!$D$2:$AY$2&amp;LS_previous!$D$3:$AY$3, 0)),SUM(VLOOKUP($A121, LS_previous!$B$4:$AY$138, LS_previous!R$149, FALSE), VLOOKUP('Staging Table'!$A121, LS_previous!$B$4:$AY$138,LS_previous!AP$149, FALSE))/2)</f>
        <v>-3503.6721211627955</v>
      </c>
      <c r="AA121" s="382">
        <f t="array" ref="AA121">IF($G121=0, INDEX(LS_previous!$D$4:$AY$138, MATCH('Staging Table'!$A121, LS_previous!$B$4:$B$138, 0), MATCH(AA$4&amp;AA$5, LS_previous!$D$2:$AY$2&amp;LS_previous!$D$3:$AY$3, 0)),SUM(VLOOKUP($A121, LS_previous!$B$4:$AY$138, LS_previous!S$149, FALSE), VLOOKUP('Staging Table'!$A121, LS_previous!$B$4:$AY$138,LS_previous!AQ$149, FALSE))/2)</f>
        <v>100.14958260872118</v>
      </c>
      <c r="AB121" s="382">
        <f t="array" ref="AB121">IF($G121=0, INDEX(LS_previous!$D$4:$AY$138, MATCH('Staging Table'!$A121, LS_previous!$B$4:$B$138, 0), MATCH(AB$4&amp;AB$5, LS_previous!$D$2:$AY$2&amp;LS_previous!$D$3:$AY$3, 0)),SUM(VLOOKUP($A121, LS_previous!$B$4:$AY$138, LS_previous!T$149, FALSE), VLOOKUP('Staging Table'!$A121, LS_previous!$B$4:$AY$138,LS_previous!AR$149, FALSE))/2)</f>
        <v>4367.2668237402813</v>
      </c>
      <c r="AC121" s="382">
        <f t="array" ref="AC121">IF($G121=0, INDEX(LS_previous!$D$4:$AY$138, MATCH('Staging Table'!$A121, LS_previous!$B$4:$B$138, 0), MATCH(AC$4&amp;AC$5, LS_previous!$D$2:$AY$2&amp;LS_previous!$D$3:$AY$3, 0)),SUM(VLOOKUP($A121, LS_previous!$B$4:$AY$138, LS_previous!U$149, FALSE), VLOOKUP('Staging Table'!$A121, LS_previous!$B$4:$AY$138,LS_previous!AS$149, FALSE))/2)</f>
        <v>3954.9537840571993</v>
      </c>
      <c r="AD121" s="382">
        <f t="array" ref="AD121">IF($G121=0, INDEX(LS_previous!$D$4:$AY$138, MATCH('Staging Table'!$A121, LS_previous!$B$4:$B$138, 0), MATCH(AD$4&amp;AD$5, LS_previous!$D$2:$AY$2&amp;LS_previous!$D$3:$AY$3, 0)),SUM(VLOOKUP($A121, LS_previous!$B$4:$AY$138, LS_previous!V$149, FALSE), VLOOKUP('Staging Table'!$A121, LS_previous!$B$4:$AY$138,LS_previous!AT$149, FALSE))/2)</f>
        <v>4882.1978742286556</v>
      </c>
      <c r="AE121" s="382">
        <f t="array" ref="AE121">IF($G121=0, INDEX(LS_previous!$D$4:$AY$138, MATCH('Staging Table'!$A121, LS_previous!$B$4:$B$138, 0), MATCH(AE$4&amp;AE$5, LS_previous!$D$2:$AY$2&amp;LS_previous!$D$3:$AY$3, 0)),SUM(VLOOKUP($A121, LS_previous!$B$4:$AY$138, LS_previous!W$149, FALSE), VLOOKUP('Staging Table'!$A121, LS_previous!$B$4:$AY$138,LS_previous!AU$149, FALSE))/2)</f>
        <v>5892.5758863970568</v>
      </c>
      <c r="AF121" s="382">
        <f t="array" ref="AF121">IF($G121=0, INDEX(LS_previous!$D$4:$AY$138, MATCH('Staging Table'!$A121, LS_previous!$B$4:$B$138, 0), MATCH(AF$4&amp;AF$5, LS_previous!$D$2:$AY$2&amp;LS_previous!$D$3:$AY$3, 0)),SUM(VLOOKUP($A121, LS_previous!$B$4:$AY$138, LS_previous!X$149, FALSE), VLOOKUP('Staging Table'!$A121, LS_previous!$B$4:$AY$138,LS_previous!AV$149, FALSE))/2)</f>
        <v>1688.8369415437355</v>
      </c>
      <c r="AG121" s="382">
        <f t="array" ref="AG121">IF($G121=0, INDEX(LS_previous!$D$4:$AY$138, MATCH('Staging Table'!$A121, LS_previous!$B$4:$B$138, 0), MATCH(AG$4&amp;AG$5, LS_previous!$D$2:$AY$2&amp;LS_previous!$D$3:$AY$3, 0)),SUM(VLOOKUP($A121, LS_previous!$B$4:$AY$138, LS_previous!Y$149, FALSE), VLOOKUP('Staging Table'!$A121, LS_previous!$B$4:$AY$138,LS_previous!AW$149, FALSE))/2)</f>
        <v>2648.7576848678054</v>
      </c>
      <c r="AH121" s="382">
        <f t="array" ref="AH121">IF($G121=0, INDEX(LS_previous!$D$4:$AY$138, MATCH('Staging Table'!$A121, LS_previous!$B$4:$B$138, 0), MATCH(AH$4&amp;AH$5, LS_previous!$D$2:$AY$2&amp;LS_previous!$D$3:$AY$3, 0)),SUM(VLOOKUP($A121, LS_previous!$B$4:$AY$138, LS_previous!Z$149, FALSE), VLOOKUP('Staging Table'!$A121, LS_previous!$B$4:$AY$138,LS_previous!AX$149, FALSE))/2)</f>
        <v>1146.1993550434399</v>
      </c>
      <c r="AI121" s="382">
        <f t="array" ref="AI121">IF($G121=0, INDEX(LS_previous!$D$4:$AY$138, MATCH('Staging Table'!$A121, LS_previous!$B$4:$B$138, 0), MATCH(AI$4&amp;AI$5, LS_previous!$D$2:$AY$2&amp;LS_previous!$D$3:$AY$3, 0)),SUM(VLOOKUP($A121, LS_previous!$B$4:$AY$138, LS_previous!AA$149, FALSE), VLOOKUP('Staging Table'!$A121, LS_previous!$B$4:$AY$138,LS_previous!AY$149, FALSE))/2)</f>
        <v>1463.4697457085813</v>
      </c>
      <c r="AJ121" s="384">
        <f t="array" ref="AJ121">INDEX(Demand_previous!$D$4:$AY$138, MATCH('Staging Table'!$A121, Demand_previous!$B$4:$B$138, 0), MATCH(AJ$4&amp;AJ$5,Demand_previous!$D$2:$AY$2&amp;Demand_previous!$D$3:$AY$3, 0))/1000</f>
        <v>2.512881944444449</v>
      </c>
      <c r="AK121" s="384">
        <f t="array" ref="AK121">INDEX(Demand_previous!$D$4:$AY$138, MATCH('Staging Table'!$A121, Demand_previous!$B$4:$B$138, 0), MATCH(AK$4&amp;AK$5,Demand_previous!$D$2:$AY$2&amp;Demand_previous!$D$3:$AY$3, 0))/1000</f>
        <v>2.7171015624999928</v>
      </c>
      <c r="AL121" s="384">
        <f t="array" ref="AL121">INDEX(Demand_previous!$D$4:$AY$138, MATCH('Staging Table'!$A121, Demand_previous!$B$4:$B$138, 0), MATCH(AL$4&amp;AL$5,Demand_previous!$D$2:$AY$2&amp;Demand_previous!$D$3:$AY$3, 0))/1000</f>
        <v>9.2397788461538486</v>
      </c>
      <c r="AM121" s="384">
        <f t="array" ref="AM121">INDEX(Demand_previous!$D$4:$AY$138, MATCH('Staging Table'!$A121, Demand_previous!$B$4:$B$138, 0), MATCH(AM$4&amp;AM$5,Demand_previous!$D$2:$AY$2&amp;Demand_previous!$D$3:$AY$3, 0))/1000</f>
        <v>3.8896224999999998</v>
      </c>
      <c r="AN121" s="384">
        <f t="array" ref="AN121">INDEX(Demand_previous!$D$4:$AY$138, MATCH('Staging Table'!$A121, Demand_previous!$B$4:$B$138, 0), MATCH(AN$4&amp;AN$5,Demand_previous!$D$2:$AY$2&amp;Demand_previous!$D$3:$AY$3, 0))/1000</f>
        <v>4.5793625000000038</v>
      </c>
      <c r="AO121" s="384">
        <f t="array" ref="AO121">INDEX(Demand_previous!$D$4:$AY$138, MATCH('Staging Table'!$A121, Demand_previous!$B$4:$B$138, 0), MATCH(AO$4&amp;AO$5,Demand_previous!$D$2:$AY$2&amp;Demand_previous!$D$3:$AY$3, 0))/1000</f>
        <v>2.2685555555555545</v>
      </c>
      <c r="AP121" s="384">
        <f t="array" ref="AP121">INDEX(Demand_previous!$D$4:$AY$138, MATCH('Staging Table'!$A121, Demand_previous!$B$4:$B$138, 0), MATCH(AP$4&amp;AP$5,Demand_previous!$D$2:$AY$2&amp;Demand_previous!$D$3:$AY$3, 0))/1000</f>
        <v>1.9145168269230748</v>
      </c>
      <c r="AQ121" s="384">
        <f t="array" ref="AQ121">INDEX(Demand_previous!$D$4:$AY$138, MATCH('Staging Table'!$A121, Demand_previous!$B$4:$B$138, 0), MATCH(AQ$4&amp;AQ$5,Demand_previous!$D$2:$AY$2&amp;Demand_previous!$D$3:$AY$3, 0))/1000</f>
        <v>3.7126799999999998</v>
      </c>
      <c r="AR121" s="384">
        <f t="array" ref="AR121">INDEX(Demand_previous!$D$4:$AY$138, MATCH('Staging Table'!$A121, Demand_previous!$B$4:$B$138, 0), MATCH(AR$4&amp;AR$5,Demand_previous!$D$2:$AY$2&amp;Demand_previous!$D$3:$AY$3, 0))/1000</f>
        <v>4.2091706730769252</v>
      </c>
      <c r="AS121" s="384">
        <f t="array" ref="AS121">INDEX(Demand_previous!$D$4:$AY$138, MATCH('Staging Table'!$A121, Demand_previous!$B$4:$B$138, 0), MATCH(AS$4&amp;AS$5,Demand_previous!$D$2:$AY$2&amp;Demand_previous!$D$3:$AY$3, 0))/1000</f>
        <v>8.6150750000000009</v>
      </c>
      <c r="AT121" s="384">
        <f t="array" ref="AT121">INDEX(Demand_previous!$D$4:$AY$138, MATCH('Staging Table'!$A121, Demand_previous!$B$4:$B$138, 0), MATCH(AT$4&amp;AT$5,Demand_previous!$D$2:$AY$2&amp;Demand_previous!$D$3:$AY$3, 0))/1000</f>
        <v>8.603474537037032</v>
      </c>
      <c r="AU121" s="384">
        <f t="array" ref="AU121">INDEX(Demand_previous!$D$4:$AY$138, MATCH('Staging Table'!$A121, Demand_previous!$B$4:$B$138, 0), MATCH(AU$4&amp;AU$5,Demand_previous!$D$2:$AY$2&amp;Demand_previous!$D$3:$AY$3, 0))/1000</f>
        <v>0</v>
      </c>
      <c r="AV121" s="384">
        <f>IF($D121=0,IF(C121=0, MAX(AY121 - (VLOOKUP($A121,TOCA_previous!$A$2:$AI$137,MATCH("RHWM 2016",TOCA_previous!$A$2:$AI$2,0),FALSE)*$F$2*TOCA_previous!C118),0),0), 0)</f>
        <v>16198.234613737353</v>
      </c>
      <c r="AW121" s="427">
        <f>VLOOKUP($A121,REP_previous!$A$1:$D$135,MATCH("FY "&amp;$F$1&amp; " Total Refund",REP_previous!$A$1:$D$1,0),0)</f>
        <v>310191.66291800578</v>
      </c>
      <c r="AX121" s="398">
        <f>MIN(VLOOKUP($A121,TOCA_previous!$A$2:$AI$137,MATCH("TRL - NLSL - Exisiting Resource "&amp;$F$1,TOCA_previous!$A$2:$AI$2,0),FALSE)*$F$2,(VLOOKUP($A121,TOCA_previous!$A$2:$AI$137,MATCH("RHWM 2016",TOCA_previous!$A$2:$AI$2,0),FALSE)*$F$2))</f>
        <v>260744.25600000002</v>
      </c>
      <c r="AY121" s="384">
        <f>SUM(L121:AI121)+(F121*RT1SC!$C$3*$F$2)</f>
        <v>276942.49061373738</v>
      </c>
      <c r="AZ121" s="398">
        <f>VLOOKUP($A121,TOCA_previous!$A$2:$AI$137,MATCH("Above RHWM Not Served with LS "&amp;$F$1,TOCA_previous!$A$2:$AI$2,0),FALSE)*$F$2</f>
        <v>30278.448</v>
      </c>
      <c r="BA121" s="206">
        <f t="shared" si="19"/>
        <v>16198.234613737353</v>
      </c>
      <c r="BB121" s="399">
        <f>(VLOOKUP($A121,TOCA_previous!$A$2:$AI$137,MATCH("RHWM 2016",TOCA_previous!$A$2:$AI$2,0),FALSE)*$F$2) - $AX121</f>
        <v>0</v>
      </c>
      <c r="BC121" s="206">
        <f t="shared" si="20"/>
        <v>0</v>
      </c>
      <c r="BD121" s="400">
        <f t="shared" si="21"/>
        <v>0</v>
      </c>
      <c r="BE121" s="392">
        <f t="shared" si="22"/>
        <v>0</v>
      </c>
      <c r="BF121" s="399">
        <f t="shared" si="23"/>
        <v>0</v>
      </c>
      <c r="BG121" s="206">
        <f>VLOOKUP($A121,TOCA_current!$A$2:$AI$137,MATCH(BG$4,TOCA_current!$A$2:$AI$2,0),FALSE)</f>
        <v>4.2471999999999996E-3</v>
      </c>
      <c r="BH121" s="206">
        <f>VLOOKUP($A121,TOCA_current!$A$2:$AI$137,MATCH(BH$4,TOCA_current!$A$2:$AI$2,0),FALSE)</f>
        <v>4.2471999999999996E-3</v>
      </c>
      <c r="BI121" s="391">
        <f t="shared" si="24"/>
        <v>0</v>
      </c>
      <c r="BJ121" s="206">
        <f>VLOOKUP($A121,TOCA_current!A117:BG252,MATCH(BJ$4,TOCA_current!$A$2:$BG$2,0),FALSE)</f>
        <v>4.1615303770002714E-2</v>
      </c>
      <c r="BK121" s="206">
        <f t="shared" si="25"/>
        <v>0</v>
      </c>
      <c r="BL121" s="206">
        <f t="shared" si="26"/>
        <v>0</v>
      </c>
      <c r="BM121" s="381">
        <f>VLOOKUP($A121,IRD!$A$4:$G$139, 7, FALSE)</f>
        <v>44270.152999999998</v>
      </c>
      <c r="BN121" s="382">
        <f t="array" ref="BN121">IF($BI121=0, INDEX(LS_current!$D$4:$AY$139, MATCH('Staging Table'!$A121, LS_current!$B$4:$B$139, 0), MATCH(BN$4&amp;BN$5, LS_current!$D$2:$AY$2&amp;LS_current!$D$3:$AY$3, 0)),SUM(VLOOKUP($A121, LS_current!$B$4:$AY$139, LS_current!D$149, FALSE), VLOOKUP($A121, LS_current!$B$4:$AY$139,LS_current!D$149, FALSE))/2)</f>
        <v>-2860.4052757334139</v>
      </c>
      <c r="BO121" s="382">
        <f t="array" ref="BO121">IF($BI121=0, INDEX(LS_current!$D$4:$AY$139, MATCH('Staging Table'!$A121, LS_current!$B$4:$B$139, 0), MATCH(BO$4&amp;BO$5, LS_current!$D$2:$AY$2&amp;LS_current!$D$3:$AY$3, 0)),SUM(VLOOKUP($A121, LS_current!$B$4:$AY$139, LS_current!E$149, FALSE), VLOOKUP($A121, LS_current!$B$4:$AY$139,LS_current!E$149, FALSE))/2)</f>
        <v>-850.40646868726981</v>
      </c>
      <c r="BP121" s="382">
        <f t="array" ref="BP121">IF($BI121=0, INDEX(LS_current!$D$4:$AY$139, MATCH('Staging Table'!$A121, LS_current!$B$4:$B$139, 0), MATCH(BP$4&amp;BP$5, LS_current!$D$2:$AY$2&amp;LS_current!$D$3:$AY$3, 0)),SUM(VLOOKUP($A121, LS_current!$B$4:$AY$139, LS_current!F$149, FALSE), VLOOKUP($A121, LS_current!$B$4:$AY$139,LS_current!F$149, FALSE))/2)</f>
        <v>-5458.4820296224843</v>
      </c>
      <c r="BQ121" s="382">
        <f t="array" ref="BQ121">IF($BI121=0, INDEX(LS_current!$D$4:$AY$139, MATCH('Staging Table'!$A121, LS_current!$B$4:$B$139, 0), MATCH(BQ$4&amp;BQ$5, LS_current!$D$2:$AY$2&amp;LS_current!$D$3:$AY$3, 0)),SUM(VLOOKUP($A121, LS_current!$B$4:$AY$139, LS_current!G$149, FALSE), VLOOKUP($A121, LS_current!$B$4:$AY$139,LS_current!G$149, FALSE))/2)</f>
        <v>-1729.5860294563618</v>
      </c>
      <c r="BR121" s="382">
        <f t="array" ref="BR121">IF($BI121=0, INDEX(LS_current!$D$4:$AY$139, MATCH('Staging Table'!$A121, LS_current!$B$4:$B$139, 0), MATCH(BR$4&amp;BR$5, LS_current!$D$2:$AY$2&amp;LS_current!$D$3:$AY$3, 0)),SUM(VLOOKUP($A121, LS_current!$B$4:$AY$139, LS_current!H$149, FALSE), VLOOKUP($A121, LS_current!$B$4:$AY$139,LS_current!H$149, FALSE))/2)</f>
        <v>-2823.2816790983597</v>
      </c>
      <c r="BS121" s="382">
        <f t="array" ref="BS121">IF($BI121=0, INDEX(LS_current!$D$4:$AY$139, MATCH('Staging Table'!$A121, LS_current!$B$4:$B$139, 0), MATCH(BS$4&amp;BS$5, LS_current!$D$2:$AY$2&amp;LS_current!$D$3:$AY$3, 0)),SUM(VLOOKUP($A121, LS_current!$B$4:$AY$139, LS_current!I$149, FALSE), VLOOKUP($A121, LS_current!$B$4:$AY$139,LS_current!I$149, FALSE))/2)</f>
        <v>-309.974002270852</v>
      </c>
      <c r="BT121" s="382">
        <f t="array" ref="BT121">IF($BI121=0, INDEX(LS_current!$D$4:$AY$139, MATCH('Staging Table'!$A121, LS_current!$B$4:$B$139, 0), MATCH(BT$4&amp;BT$5, LS_current!$D$2:$AY$2&amp;LS_current!$D$3:$AY$3, 0)),SUM(VLOOKUP($A121, LS_current!$B$4:$AY$139, LS_current!J$149, FALSE), VLOOKUP($A121, LS_current!$B$4:$AY$139,LS_current!J$149, FALSE))/2)</f>
        <v>-415.63453409682552</v>
      </c>
      <c r="BU121" s="382">
        <f t="array" ref="BU121">IF($BI121=0, INDEX(LS_current!$D$4:$AY$139, MATCH('Staging Table'!$A121, LS_current!$B$4:$B$139, 0), MATCH(BU$4&amp;BU$5, LS_current!$D$2:$AY$2&amp;LS_current!$D$3:$AY$3, 0)),SUM(VLOOKUP($A121, LS_current!$B$4:$AY$139, LS_current!K$149, FALSE), VLOOKUP($A121, LS_current!$B$4:$AY$139,LS_current!K$149, FALSE))/2)</f>
        <v>1172.6186665092746</v>
      </c>
      <c r="BV121" s="382">
        <f t="array" ref="BV121">IF($BI121=0, INDEX(LS_current!$D$4:$AY$139, MATCH('Staging Table'!$A121, LS_current!$B$4:$B$139, 0), MATCH(BV$4&amp;BV$5, LS_current!$D$2:$AY$2&amp;LS_current!$D$3:$AY$3, 0)),SUM(VLOOKUP($A121, LS_current!$B$4:$AY$139, LS_current!L$149, FALSE), VLOOKUP($A121, LS_current!$B$4:$AY$139,LS_current!L$149, FALSE))/2)</f>
        <v>-68.650357294853166</v>
      </c>
      <c r="BW121" s="382">
        <f t="array" ref="BW121">IF($BI121=0, INDEX(LS_current!$D$4:$AY$139, MATCH('Staging Table'!$A121, LS_current!$B$4:$B$139, 0), MATCH(BW$4&amp;BW$5, LS_current!$D$2:$AY$2&amp;LS_current!$D$3:$AY$3, 0)),SUM(VLOOKUP($A121, LS_current!$B$4:$AY$139, LS_current!M$149, FALSE), VLOOKUP($A121, LS_current!$B$4:$AY$139,LS_current!M$149, FALSE))/2)</f>
        <v>1104.2319244505397</v>
      </c>
      <c r="BX121" s="382">
        <f t="array" ref="BX121">IF($BI121=0, INDEX(LS_current!$D$4:$AY$139, MATCH('Staging Table'!$A121, LS_current!$B$4:$B$139, 0), MATCH(BX$4&amp;BX$5, LS_current!$D$2:$AY$2&amp;LS_current!$D$3:$AY$3, 0)),SUM(VLOOKUP($A121, LS_current!$B$4:$AY$139, LS_current!N$149, FALSE), VLOOKUP($A121, LS_current!$B$4:$AY$139,LS_current!N$149, FALSE))/2)</f>
        <v>-2578.3335054045165</v>
      </c>
      <c r="BY121" s="382">
        <f t="array" ref="BY121">IF($BI121=0, INDEX(LS_current!$D$4:$AY$139, MATCH('Staging Table'!$A121, LS_current!$B$4:$B$139, 0), MATCH(BY$4&amp;BY$5, LS_current!$D$2:$AY$2&amp;LS_current!$D$3:$AY$3, 0)),SUM(VLOOKUP($A121, LS_current!$B$4:$AY$139, LS_current!O$149, FALSE), VLOOKUP($A121, LS_current!$B$4:$AY$139,LS_current!O$149, FALSE))/2)</f>
        <v>-601.39982031950603</v>
      </c>
      <c r="BZ121" s="382">
        <f t="array" ref="BZ121">IF($BI121=0, INDEX(LS_current!$D$4:$AY$139, MATCH('Staging Table'!$A121, LS_current!$B$4:$B$139, 0), MATCH(BZ$4&amp;BZ$5, LS_current!$D$2:$AY$2&amp;LS_current!$D$3:$AY$3, 0)),SUM(VLOOKUP($A121, LS_current!$B$4:$AY$139, LS_current!P$149, FALSE), VLOOKUP($A121, LS_current!$B$4:$AY$139,LS_current!P$149, FALSE))/2)</f>
        <v>-900.37559191064065</v>
      </c>
      <c r="CA121" s="382">
        <f t="array" ref="CA121">IF($BI121=0, INDEX(LS_current!$D$4:$AY$139, MATCH('Staging Table'!$A121, LS_current!$B$4:$B$139, 0), MATCH(CA$4&amp;CA$5, LS_current!$D$2:$AY$2&amp;LS_current!$D$3:$AY$3, 0)),SUM(VLOOKUP($A121, LS_current!$B$4:$AY$139, LS_current!Q$149, FALSE), VLOOKUP($A121, LS_current!$B$4:$AY$139,LS_current!Q$149, FALSE))/2)</f>
        <v>229.73895101879134</v>
      </c>
      <c r="CB121" s="382">
        <f t="array" ref="CB121">IF($BI121=0, INDEX(LS_current!$D$4:$AY$139, MATCH('Staging Table'!$A121, LS_current!$B$4:$B$139, 0), MATCH(CB$4&amp;CB$5, LS_current!$D$2:$AY$2&amp;LS_current!$D$3:$AY$3, 0)),SUM(VLOOKUP($A121, LS_current!$B$4:$AY$139, LS_current!R$149, FALSE), VLOOKUP($A121, LS_current!$B$4:$AY$139,LS_current!R$149, FALSE))/2)</f>
        <v>-4268.4017640815873</v>
      </c>
      <c r="CC121" s="382">
        <f t="array" ref="CC121">IF($BI121=0, INDEX(LS_current!$D$4:$AY$139, MATCH('Staging Table'!$A121, LS_current!$B$4:$B$139, 0), MATCH(CC$4&amp;CC$5, LS_current!$D$2:$AY$2&amp;LS_current!$D$3:$AY$3, 0)),SUM(VLOOKUP($A121, LS_current!$B$4:$AY$139, LS_current!S$149, FALSE), VLOOKUP($A121, LS_current!$B$4:$AY$139,LS_current!S$149, FALSE))/2)</f>
        <v>-692.20634358198004</v>
      </c>
      <c r="CD121" s="382">
        <f t="array" ref="CD121">IF($BI121=0, INDEX(LS_current!$D$4:$AY$139, MATCH('Staging Table'!$A121, LS_current!$B$4:$B$139, 0), MATCH(CD$4&amp;CD$5, LS_current!$D$2:$AY$2&amp;LS_current!$D$3:$AY$3, 0)),SUM(VLOOKUP($A121, LS_current!$B$4:$AY$139, LS_current!T$149, FALSE), VLOOKUP($A121, LS_current!$B$4:$AY$139,LS_current!T$149, FALSE))/2)</f>
        <v>3563.5189299714821</v>
      </c>
      <c r="CE121" s="382">
        <f t="array" ref="CE121">IF($BI121=0, INDEX(LS_current!$D$4:$AY$139, MATCH('Staging Table'!$A121, LS_current!$B$4:$B$139, 0), MATCH(CE$4&amp;CE$5, LS_current!$D$2:$AY$2&amp;LS_current!$D$3:$AY$3, 0)),SUM(VLOOKUP($A121, LS_current!$B$4:$AY$139, LS_current!U$149, FALSE), VLOOKUP($A121, LS_current!$B$4:$AY$139,LS_current!U$149, FALSE))/2)</f>
        <v>3903.500794108706</v>
      </c>
      <c r="CF121" s="382">
        <f t="array" ref="CF121">IF($BI121=0, INDEX(LS_current!$D$4:$AY$139, MATCH('Staging Table'!$A121, LS_current!$B$4:$B$139, 0), MATCH(CF$4&amp;CF$5, LS_current!$D$2:$AY$2&amp;LS_current!$D$3:$AY$3, 0)),SUM(VLOOKUP($A121, LS_current!$B$4:$AY$139, LS_current!V$149, FALSE), VLOOKUP($A121, LS_current!$B$4:$AY$139,LS_current!V$149, FALSE))/2)</f>
        <v>4879.0137394488738</v>
      </c>
      <c r="CG121" s="382">
        <f t="array" ref="CG121">IF($BI121=0, INDEX(LS_current!$D$4:$AY$139, MATCH('Staging Table'!$A121, LS_current!$B$4:$B$139, 0), MATCH(CG$4&amp;CG$5, LS_current!$D$2:$AY$2&amp;LS_current!$D$3:$AY$3, 0)),SUM(VLOOKUP($A121, LS_current!$B$4:$AY$139, LS_current!W$149, FALSE), VLOOKUP($A121, LS_current!$B$4:$AY$139,LS_current!W$149, FALSE))/2)</f>
        <v>5685.5925080224961</v>
      </c>
      <c r="CH121" s="382">
        <f t="array" ref="CH121">IF($BI121=0, INDEX(LS_current!$D$4:$AY$139, MATCH('Staging Table'!$A121, LS_current!$B$4:$B$139, 0), MATCH(CH$4&amp;CH$5, LS_current!$D$2:$AY$2&amp;LS_current!$D$3:$AY$3, 0)),SUM(VLOOKUP($A121, LS_current!$B$4:$AY$139, LS_current!X$149, FALSE), VLOOKUP($A121, LS_current!$B$4:$AY$139,LS_current!X$149, FALSE))/2)</f>
        <v>856.08008860896189</v>
      </c>
      <c r="CI121" s="382">
        <f t="array" ref="CI121">IF($BI121=0, INDEX(LS_current!$D$4:$AY$139, MATCH('Staging Table'!$A121, LS_current!$B$4:$B$139, 0), MATCH(CI$4&amp;CI$5, LS_current!$D$2:$AY$2&amp;LS_current!$D$3:$AY$3, 0)),SUM(VLOOKUP($A121, LS_current!$B$4:$AY$139, LS_current!Y$149, FALSE), VLOOKUP($A121, LS_current!$B$4:$AY$139,LS_current!Y$149, FALSE))/2)</f>
        <v>2227.3222224218343</v>
      </c>
      <c r="CJ121" s="382">
        <f t="array" ref="CJ121">IF($BI121=0, INDEX(LS_current!$D$4:$AY$139, MATCH('Staging Table'!$A121, LS_current!$B$4:$B$139, 0), MATCH(CJ$4&amp;CJ$5, LS_current!$D$2:$AY$2&amp;LS_current!$D$3:$AY$3, 0)),SUM(VLOOKUP($A121, LS_current!$B$4:$AY$139, LS_current!Z$149, FALSE), VLOOKUP($A121, LS_current!$B$4:$AY$139,LS_current!Z$149, FALSE))/2)</f>
        <v>-787.03740889329492</v>
      </c>
      <c r="CK121" s="382">
        <f t="array" ref="CK121">IF($BI121=0, INDEX(LS_current!$D$4:$AY$139, MATCH('Staging Table'!$A121, LS_current!$B$4:$B$139, 0), MATCH(CK$4&amp;CK$5, LS_current!$D$2:$AY$2&amp;LS_current!$D$3:$AY$3, 0)),SUM(VLOOKUP($A121, LS_current!$B$4:$AY$139, LS_current!AA$149, FALSE), VLOOKUP($A121, LS_current!$B$4:$AY$139,LS_current!AA$149, FALSE))/2)</f>
        <v>720.22535821110068</v>
      </c>
      <c r="CL121" s="384">
        <f t="array" ref="CL121">INDEX(Demand_current!$D$4:$AY$138, MATCH($A121, Demand_current!$B$4:$B$138, 0), MATCH(CL$4&amp;CL$5,Demand_current!$D$2:$AY$2&amp;Demand_current!$D$3:$AY$3, 0))/1000</f>
        <v>1.4078774038461583</v>
      </c>
      <c r="CM121" s="384">
        <f t="array" ref="CM121">INDEX(Demand_current!$D$4:$AY$138, MATCH($A121, Demand_current!$B$4:$B$138, 0), MATCH(CM$4&amp;CM$5,Demand_current!$D$2:$AY$2&amp;Demand_current!$D$3:$AY$3, 0))/1000</f>
        <v>3.9962974999999989</v>
      </c>
      <c r="CN121" s="384">
        <f t="array" ref="CN121">INDEX(Demand_current!$D$4:$AY$138, MATCH($A121, Demand_current!$B$4:$B$138, 0), MATCH(CN$4&amp;CN$5,Demand_current!$D$2:$AY$2&amp;Demand_current!$D$3:$AY$3, 0))/1000</f>
        <v>7.8402499999999993</v>
      </c>
      <c r="CO121" s="384">
        <f t="array" ref="CO121">INDEX(Demand_current!$D$4:$AY$138, MATCH($A121, Demand_current!$B$4:$B$138, 0), MATCH(CO$4&amp;CO$5,Demand_current!$D$2:$AY$2&amp;Demand_current!$D$3:$AY$3, 0))/1000</f>
        <v>5.3069062500000026</v>
      </c>
      <c r="CP121" s="384">
        <f t="array" ref="CP121">INDEX(Demand_current!$D$4:$AY$138, MATCH($A121, Demand_current!$B$4:$B$138, 0), MATCH(CP$4&amp;CP$5,Demand_current!$D$2:$AY$2&amp;Demand_current!$D$3:$AY$3, 0))/1000</f>
        <v>3.242752604166677</v>
      </c>
      <c r="CQ121" s="384">
        <f t="array" ref="CQ121">INDEX(Demand_current!$D$4:$AY$138, MATCH($A121, Demand_current!$B$4:$B$138, 0), MATCH(CQ$4&amp;CQ$5,Demand_current!$D$2:$AY$2&amp;Demand_current!$D$3:$AY$3, 0))/1000</f>
        <v>2.2685555555555545</v>
      </c>
      <c r="CR121" s="384">
        <f t="array" ref="CR121">INDEX(Demand_current!$D$4:$AY$138, MATCH($A121, Demand_current!$B$4:$B$138, 0), MATCH(CR$4&amp;CR$5,Demand_current!$D$2:$AY$2&amp;Demand_current!$D$3:$AY$3, 0))/1000</f>
        <v>0.58809750000000172</v>
      </c>
      <c r="CS121" s="384">
        <f t="array" ref="CS121">INDEX(Demand_current!$D$4:$AY$138, MATCH($A121, Demand_current!$B$4:$B$138, 0), MATCH(CS$4&amp;CS$5,Demand_current!$D$2:$AY$2&amp;Demand_current!$D$3:$AY$3, 0))/1000</f>
        <v>5.2683461538461538</v>
      </c>
      <c r="CT121" s="384">
        <f t="array" ref="CT121">INDEX(Demand_current!$D$4:$AY$138, MATCH($A121, Demand_current!$B$4:$B$138, 0), MATCH(CT$4&amp;CT$5,Demand_current!$D$2:$AY$2&amp;Demand_current!$D$3:$AY$3, 0))/1000</f>
        <v>4.2091706730769252</v>
      </c>
      <c r="CU121" s="384">
        <f t="array" ref="CU121">INDEX(Demand_current!$D$4:$AY$138, MATCH($A121, Demand_current!$B$4:$B$138, 0), MATCH(CU$4&amp;CU$5,Demand_current!$D$2:$AY$2&amp;Demand_current!$D$3:$AY$3, 0))/1000</f>
        <v>8.6150750000000009</v>
      </c>
      <c r="CV121" s="384">
        <f t="array" ref="CV121">INDEX(Demand_current!$D$4:$AY$138, MATCH($A121, Demand_current!$B$4:$B$138, 0), MATCH(CV$4&amp;CV$5,Demand_current!$D$2:$AY$2&amp;Demand_current!$D$3:$AY$3, 0))/1000</f>
        <v>8.603474537037032</v>
      </c>
      <c r="CW121" s="384">
        <f t="array" ref="CW121">INDEX(Demand_current!$D$4:$AY$138, MATCH($A121, Demand_current!$B$4:$B$138, 0), MATCH(CW$4&amp;CW$5,Demand_current!$D$2:$AY$2&amp;Demand_current!$D$3:$AY$3, 0))/1000</f>
        <v>0</v>
      </c>
      <c r="CX121" s="384">
        <f>IF(D121=0,IF(C121=0,MAX(0,DA121 - (VLOOKUP($A121,TOCA_current!$A$2:$AI$137,MATCH("RHWM 2018",TOCA_current!$A$2:$AI$2,0),FALSE)*$BH$2)), 0),0)</f>
        <v>0</v>
      </c>
      <c r="CY121" s="427">
        <f>VLOOKUP($A121,REP_current!$A$1:$D$135,MATCH("FY "&amp;$BH$1&amp; " Total Refund",REP_current!$A$1:$D$1,0),0)</f>
        <v>312630.8585849707</v>
      </c>
      <c r="CZ121" s="432">
        <f>MIN(VLOOKUP($A121,TOCA_current!$A$2:$AI$137,MATCH("TRL - NLSL - Existing Resource "&amp;$BH$1,TOCA_current!$A$2:$AI$2,0),FALSE)*$BH$2, VLOOKUP($A121,TOCA_current!$A$2:$AI$137,MATCH("RHWM 2018",TOCA_current!$A$2:$AI$2,0),FALSE)*$BH$2)</f>
        <v>258384.96</v>
      </c>
      <c r="DA121" s="397">
        <f>SUM(BN121:CK121)+(BH121*RT1SC!$C$4*$BH$2)</f>
        <v>258383.94176963207</v>
      </c>
      <c r="DB121" s="432">
        <f>VLOOKUP($A121,TOCA_current!$A$2:$AI$137,MATCH("Above RHWM Not Served with LS "&amp;$BH$1,TOCA_current!$A$2:$AI$2,0),FALSE)*$BH$2</f>
        <v>48837</v>
      </c>
      <c r="DC121" s="401">
        <f t="shared" si="27"/>
        <v>-1.0182303679175675</v>
      </c>
      <c r="DD121" s="397">
        <f>(VLOOKUP($A121,TOCA_current!$A$2:$AI$137,MATCH("RHWM 2018",TOCA_current!$A$2:$AI$2,0),FALSE)*$BH$2) - $CZ121</f>
        <v>0</v>
      </c>
      <c r="DE121" s="397">
        <f t="shared" si="28"/>
        <v>0</v>
      </c>
      <c r="DF121" s="397">
        <f t="shared" si="29"/>
        <v>0</v>
      </c>
      <c r="DG121" s="397">
        <f t="shared" si="30"/>
        <v>0</v>
      </c>
      <c r="DH121" s="397">
        <f t="shared" si="31"/>
        <v>0</v>
      </c>
    </row>
    <row r="122" spans="1:112">
      <c r="A122" s="274">
        <v>10406</v>
      </c>
      <c r="B122" s="275" t="s">
        <v>123</v>
      </c>
      <c r="C122" s="397">
        <v>0</v>
      </c>
      <c r="D122" s="397">
        <v>0</v>
      </c>
      <c r="E122" s="205">
        <f>VLOOKUP($A122,TOCA_previous!$A$2:$AI$137,MATCH(E$4,TOCA_previous!$A$2:$AI$2,0),FALSE)</f>
        <v>6.4999999999999994E-5</v>
      </c>
      <c r="F122" s="206">
        <f>VLOOKUP($A122,TOCA_previous!$A$2:$AI$137,MATCH(F$4,TOCA_previous!$A$2:$AI$2,0),FALSE)</f>
        <v>6.4999999999999994E-5</v>
      </c>
      <c r="G122" s="206">
        <f t="shared" si="16"/>
        <v>0</v>
      </c>
      <c r="H122" s="206">
        <f>VLOOKUP($A122,TOCA_previous!$A$2:$AI$137,MATCH(H$4,TOCA_previous!$A$2:$AI$2,0),FALSE)</f>
        <v>0</v>
      </c>
      <c r="I122" s="206">
        <f t="shared" si="17"/>
        <v>0</v>
      </c>
      <c r="J122" s="206">
        <f t="shared" si="18"/>
        <v>0</v>
      </c>
      <c r="K122" s="381">
        <f>VLOOKUP(A122, IRD!$A$5:$C$139, 3, FALSE)</f>
        <v>0</v>
      </c>
      <c r="L122" s="382">
        <f t="array" ref="L122">IF($G122=0, INDEX(LS_previous!$D$4:$AY$138, MATCH('Staging Table'!$A122, LS_previous!$B$4:$B$138, 0), MATCH(L$4&amp;L$5, LS_previous!$D$2:$AY$2&amp;LS_previous!$D$3:$AY$3, 0)),SUM(VLOOKUP($A122, LS_previous!$B$4:$AY$138, LS_previous!D$149, FALSE), VLOOKUP('Staging Table'!$A122, LS_previous!$B$4:$AY$138,LS_previous!AB$149, FALSE))/2)</f>
        <v>-1.7522298233373874</v>
      </c>
      <c r="M122" s="382">
        <f t="array" ref="M122">IF($G122=0, INDEX(LS_previous!$D$4:$AY$138, MATCH('Staging Table'!$A122, LS_previous!$B$4:$B$138, 0), MATCH(M$4&amp;M$5, LS_previous!$D$2:$AY$2&amp;LS_previous!$D$3:$AY$3, 0)),SUM(VLOOKUP($A122, LS_previous!$B$4:$AY$138, LS_previous!E$149, FALSE), VLOOKUP('Staging Table'!$A122, LS_previous!$B$4:$AY$138,LS_previous!AC$149, FALSE))/2)</f>
        <v>31.599395505070689</v>
      </c>
      <c r="N122" s="382">
        <f t="array" ref="N122">IF($G122=0, INDEX(LS_previous!$D$4:$AY$138, MATCH('Staging Table'!$A122, LS_previous!$B$4:$B$138, 0), MATCH(N$4&amp;N$5, LS_previous!$D$2:$AY$2&amp;LS_previous!$D$3:$AY$3, 0)),SUM(VLOOKUP($A122, LS_previous!$B$4:$AY$138, LS_previous!F$149, FALSE), VLOOKUP('Staging Table'!$A122, LS_previous!$B$4:$AY$138,LS_previous!AD$149, FALSE))/2)</f>
        <v>44.429446365328914</v>
      </c>
      <c r="O122" s="382">
        <f t="array" ref="O122">IF($G122=0, INDEX(LS_previous!$D$4:$AY$138, MATCH('Staging Table'!$A122, LS_previous!$B$4:$B$138, 0), MATCH(O$4&amp;O$5, LS_previous!$D$2:$AY$2&amp;LS_previous!$D$3:$AY$3, 0)),SUM(VLOOKUP($A122, LS_previous!$B$4:$AY$138, LS_previous!G$149, FALSE), VLOOKUP('Staging Table'!$A122, LS_previous!$B$4:$AY$138,LS_previous!AE$149, FALSE))/2)</f>
        <v>82.287734081902414</v>
      </c>
      <c r="P122" s="382">
        <f t="array" ref="P122">IF($G122=0, INDEX(LS_previous!$D$4:$AY$138, MATCH('Staging Table'!$A122, LS_previous!$B$4:$B$138, 0), MATCH(P$4&amp;P$5, LS_previous!$D$2:$AY$2&amp;LS_previous!$D$3:$AY$3, 0)),SUM(VLOOKUP($A122, LS_previous!$B$4:$AY$138, LS_previous!H$149, FALSE), VLOOKUP('Staging Table'!$A122, LS_previous!$B$4:$AY$138,LS_previous!AF$149, FALSE))/2)</f>
        <v>116.56518872442228</v>
      </c>
      <c r="Q122" s="382">
        <f t="array" ref="Q122">IF($G122=0, INDEX(LS_previous!$D$4:$AY$138, MATCH('Staging Table'!$A122, LS_previous!$B$4:$B$138, 0), MATCH(Q$4&amp;Q$5, LS_previous!$D$2:$AY$2&amp;LS_previous!$D$3:$AY$3, 0)),SUM(VLOOKUP($A122, LS_previous!$B$4:$AY$138, LS_previous!I$149, FALSE), VLOOKUP('Staging Table'!$A122, LS_previous!$B$4:$AY$138,LS_previous!AG$149, FALSE))/2)</f>
        <v>149.90103036230795</v>
      </c>
      <c r="R122" s="382">
        <f t="array" ref="R122">IF($G122=0, INDEX(LS_previous!$D$4:$AY$138, MATCH('Staging Table'!$A122, LS_previous!$B$4:$B$138, 0), MATCH(R$4&amp;R$5, LS_previous!$D$2:$AY$2&amp;LS_previous!$D$3:$AY$3, 0)),SUM(VLOOKUP($A122, LS_previous!$B$4:$AY$138, LS_previous!J$149, FALSE), VLOOKUP('Staging Table'!$A122, LS_previous!$B$4:$AY$138,LS_previous!AH$149, FALSE))/2)</f>
        <v>150.42340569062563</v>
      </c>
      <c r="S122" s="382">
        <f t="array" ref="S122">IF($G122=0, INDEX(LS_previous!$D$4:$AY$138, MATCH('Staging Table'!$A122, LS_previous!$B$4:$B$138, 0), MATCH(S$4&amp;S$5, LS_previous!$D$2:$AY$2&amp;LS_previous!$D$3:$AY$3, 0)),SUM(VLOOKUP($A122, LS_previous!$B$4:$AY$138, LS_previous!K$149, FALSE), VLOOKUP('Staging Table'!$A122, LS_previous!$B$4:$AY$138,LS_previous!AI$149, FALSE))/2)</f>
        <v>148.23584784270878</v>
      </c>
      <c r="T122" s="382">
        <f t="array" ref="T122">IF($G122=0, INDEX(LS_previous!$D$4:$AY$138, MATCH('Staging Table'!$A122, LS_previous!$B$4:$B$138, 0), MATCH(T$4&amp;T$5, LS_previous!$D$2:$AY$2&amp;LS_previous!$D$3:$AY$3, 0)),SUM(VLOOKUP($A122, LS_previous!$B$4:$AY$138, LS_previous!L$149, FALSE), VLOOKUP('Staging Table'!$A122, LS_previous!$B$4:$AY$138,LS_previous!AJ$149, FALSE))/2)</f>
        <v>132.68447251157826</v>
      </c>
      <c r="U122" s="382">
        <f t="array" ref="U122">IF($G122=0, INDEX(LS_previous!$D$4:$AY$138, MATCH('Staging Table'!$A122, LS_previous!$B$4:$B$138, 0), MATCH(U$4&amp;U$5, LS_previous!$D$2:$AY$2&amp;LS_previous!$D$3:$AY$3, 0)),SUM(VLOOKUP($A122, LS_previous!$B$4:$AY$138, LS_previous!M$149, FALSE), VLOOKUP('Staging Table'!$A122, LS_previous!$B$4:$AY$138,LS_previous!AK$149, FALSE))/2)</f>
        <v>128.65913294180848</v>
      </c>
      <c r="V122" s="382">
        <f t="array" ref="V122">IF($G122=0, INDEX(LS_previous!$D$4:$AY$138, MATCH('Staging Table'!$A122, LS_previous!$B$4:$B$138, 0), MATCH(V$4&amp;V$5, LS_previous!$D$2:$AY$2&amp;LS_previous!$D$3:$AY$3, 0)),SUM(VLOOKUP($A122, LS_previous!$B$4:$AY$138, LS_previous!N$149, FALSE), VLOOKUP('Staging Table'!$A122, LS_previous!$B$4:$AY$138,LS_previous!AL$149, FALSE))/2)</f>
        <v>72.069059255719338</v>
      </c>
      <c r="W122" s="382">
        <f t="array" ref="W122">IF($G122=0, INDEX(LS_previous!$D$4:$AY$138, MATCH('Staging Table'!$A122, LS_previous!$B$4:$B$138, 0), MATCH(W$4&amp;W$5, LS_previous!$D$2:$AY$2&amp;LS_previous!$D$3:$AY$3, 0)),SUM(VLOOKUP($A122, LS_previous!$B$4:$AY$138, LS_previous!O$149, FALSE), VLOOKUP('Staging Table'!$A122, LS_previous!$B$4:$AY$138,LS_previous!AM$149, FALSE))/2)</f>
        <v>78.481421430728872</v>
      </c>
      <c r="X122" s="382">
        <f t="array" ref="X122">IF($G122=0, INDEX(LS_previous!$D$4:$AY$138, MATCH('Staging Table'!$A122, LS_previous!$B$4:$B$138, 0), MATCH(X$4&amp;X$5, LS_previous!$D$2:$AY$2&amp;LS_previous!$D$3:$AY$3, 0)),SUM(VLOOKUP($A122, LS_previous!$B$4:$AY$138, LS_previous!P$149, FALSE), VLOOKUP('Staging Table'!$A122, LS_previous!$B$4:$AY$138,LS_previous!AN$149, FALSE))/2)</f>
        <v>63.672238680244106</v>
      </c>
      <c r="Y122" s="382">
        <f t="array" ref="Y122">IF($G122=0, INDEX(LS_previous!$D$4:$AY$138, MATCH('Staging Table'!$A122, LS_previous!$B$4:$B$138, 0), MATCH(Y$4&amp;Y$5, LS_previous!$D$2:$AY$2&amp;LS_previous!$D$3:$AY$3, 0)),SUM(VLOOKUP($A122, LS_previous!$B$4:$AY$138, LS_previous!Q$149, FALSE), VLOOKUP('Staging Table'!$A122, LS_previous!$B$4:$AY$138,LS_previous!AO$149, FALSE))/2)</f>
        <v>85.773369702870113</v>
      </c>
      <c r="Z122" s="382">
        <f t="array" ref="Z122">IF($G122=0, INDEX(LS_previous!$D$4:$AY$138, MATCH('Staging Table'!$A122, LS_previous!$B$4:$B$138, 0), MATCH(Z$4&amp;Z$5, LS_previous!$D$2:$AY$2&amp;LS_previous!$D$3:$AY$3, 0)),SUM(VLOOKUP($A122, LS_previous!$B$4:$AY$138, LS_previous!R$149, FALSE), VLOOKUP('Staging Table'!$A122, LS_previous!$B$4:$AY$138,LS_previous!AP$149, FALSE))/2)</f>
        <v>-92.966787681279186</v>
      </c>
      <c r="AA122" s="382">
        <f t="array" ref="AA122">IF($G122=0, INDEX(LS_previous!$D$4:$AY$138, MATCH('Staging Table'!$A122, LS_previous!$B$4:$B$138, 0), MATCH(AA$4&amp;AA$5, LS_previous!$D$2:$AY$2&amp;LS_previous!$D$3:$AY$3, 0)),SUM(VLOOKUP($A122, LS_previous!$B$4:$AY$138, LS_previous!S$149, FALSE), VLOOKUP('Staging Table'!$A122, LS_previous!$B$4:$AY$138,LS_previous!AQ$149, FALSE))/2)</f>
        <v>-11.810487562443058</v>
      </c>
      <c r="AB122" s="382">
        <f t="array" ref="AB122">IF($G122=0, INDEX(LS_previous!$D$4:$AY$138, MATCH('Staging Table'!$A122, LS_previous!$B$4:$B$138, 0), MATCH(AB$4&amp;AB$5, LS_previous!$D$2:$AY$2&amp;LS_previous!$D$3:$AY$3, 0)),SUM(VLOOKUP($A122, LS_previous!$B$4:$AY$138, LS_previous!T$149, FALSE), VLOOKUP('Staging Table'!$A122, LS_previous!$B$4:$AY$138,LS_previous!AR$149, FALSE))/2)</f>
        <v>-60.143368932173104</v>
      </c>
      <c r="AC122" s="382">
        <f t="array" ref="AC122">IF($G122=0, INDEX(LS_previous!$D$4:$AY$138, MATCH('Staging Table'!$A122, LS_previous!$B$4:$B$138, 0), MATCH(AC$4&amp;AC$5, LS_previous!$D$2:$AY$2&amp;LS_previous!$D$3:$AY$3, 0)),SUM(VLOOKUP($A122, LS_previous!$B$4:$AY$138, LS_previous!U$149, FALSE), VLOOKUP('Staging Table'!$A122, LS_previous!$B$4:$AY$138,LS_previous!AS$149, FALSE))/2)</f>
        <v>-13.813870715225832</v>
      </c>
      <c r="AD122" s="382">
        <f t="array" ref="AD122">IF($G122=0, INDEX(LS_previous!$D$4:$AY$138, MATCH('Staging Table'!$A122, LS_previous!$B$4:$B$138, 0), MATCH(AD$4&amp;AD$5, LS_previous!$D$2:$AY$2&amp;LS_previous!$D$3:$AY$3, 0)),SUM(VLOOKUP($A122, LS_previous!$B$4:$AY$138, LS_previous!V$149, FALSE), VLOOKUP('Staging Table'!$A122, LS_previous!$B$4:$AY$138,LS_previous!AT$149, FALSE))/2)</f>
        <v>-60.871464047976218</v>
      </c>
      <c r="AE122" s="382">
        <f t="array" ref="AE122">IF($G122=0, INDEX(LS_previous!$D$4:$AY$138, MATCH('Staging Table'!$A122, LS_previous!$B$4:$B$138, 0), MATCH(AE$4&amp;AE$5, LS_previous!$D$2:$AY$2&amp;LS_previous!$D$3:$AY$3, 0)),SUM(VLOOKUP($A122, LS_previous!$B$4:$AY$138, LS_previous!W$149, FALSE), VLOOKUP('Staging Table'!$A122, LS_previous!$B$4:$AY$138,LS_previous!AU$149, FALSE))/2)</f>
        <v>1.8837614603859691</v>
      </c>
      <c r="AF122" s="382">
        <f t="array" ref="AF122">IF($G122=0, INDEX(LS_previous!$D$4:$AY$138, MATCH('Staging Table'!$A122, LS_previous!$B$4:$B$138, 0), MATCH(AF$4&amp;AF$5, LS_previous!$D$2:$AY$2&amp;LS_previous!$D$3:$AY$3, 0)),SUM(VLOOKUP($A122, LS_previous!$B$4:$AY$138, LS_previous!X$149, FALSE), VLOOKUP('Staging Table'!$A122, LS_previous!$B$4:$AY$138,LS_previous!AV$149, FALSE))/2)</f>
        <v>-60.640098946000109</v>
      </c>
      <c r="AG122" s="382">
        <f t="array" ref="AG122">IF($G122=0, INDEX(LS_previous!$D$4:$AY$138, MATCH('Staging Table'!$A122, LS_previous!$B$4:$B$138, 0), MATCH(AG$4&amp;AG$5, LS_previous!$D$2:$AY$2&amp;LS_previous!$D$3:$AY$3, 0)),SUM(VLOOKUP($A122, LS_previous!$B$4:$AY$138, LS_previous!Y$149, FALSE), VLOOKUP('Staging Table'!$A122, LS_previous!$B$4:$AY$138,LS_previous!AW$149, FALSE))/2)</f>
        <v>-11.007039635737414</v>
      </c>
      <c r="AH122" s="382">
        <f t="array" ref="AH122">IF($G122=0, INDEX(LS_previous!$D$4:$AY$138, MATCH('Staging Table'!$A122, LS_previous!$B$4:$B$138, 0), MATCH(AH$4&amp;AH$5, LS_previous!$D$2:$AY$2&amp;LS_previous!$D$3:$AY$3, 0)),SUM(VLOOKUP($A122, LS_previous!$B$4:$AY$138, LS_previous!Z$149, FALSE), VLOOKUP('Staging Table'!$A122, LS_previous!$B$4:$AY$138,LS_previous!AX$149, FALSE))/2)</f>
        <v>-24.36066954977332</v>
      </c>
      <c r="AI122" s="382">
        <f t="array" ref="AI122">IF($G122=0, INDEX(LS_previous!$D$4:$AY$138, MATCH('Staging Table'!$A122, LS_previous!$B$4:$B$138, 0), MATCH(AI$4&amp;AI$5, LS_previous!$D$2:$AY$2&amp;LS_previous!$D$3:$AY$3, 0)),SUM(VLOOKUP($A122, LS_previous!$B$4:$AY$138, LS_previous!AA$149, FALSE), VLOOKUP('Staging Table'!$A122, LS_previous!$B$4:$AY$138,LS_previous!AY$149, FALSE))/2)</f>
        <v>7.4483101230492963</v>
      </c>
      <c r="AJ122" s="384">
        <f t="array" ref="AJ122">INDEX(Demand_previous!$D$4:$AY$138, MATCH('Staging Table'!$A122, Demand_previous!$B$4:$B$138, 0), MATCH(AJ$4&amp;AJ$5,Demand_previous!$D$2:$AY$2&amp;Demand_previous!$D$3:$AY$3, 0))/1000</f>
        <v>0.15964814814814812</v>
      </c>
      <c r="AK122" s="384">
        <f t="array" ref="AK122">INDEX(Demand_previous!$D$4:$AY$138, MATCH('Staging Table'!$A122, Demand_previous!$B$4:$B$138, 0), MATCH(AK$4&amp;AK$5,Demand_previous!$D$2:$AY$2&amp;Demand_previous!$D$3:$AY$3, 0))/1000</f>
        <v>0.14284374999999999</v>
      </c>
      <c r="AL122" s="384">
        <f t="array" ref="AL122">INDEX(Demand_previous!$D$4:$AY$138, MATCH('Staging Table'!$A122, Demand_previous!$B$4:$B$138, 0), MATCH(AL$4&amp;AL$5,Demand_previous!$D$2:$AY$2&amp;Demand_previous!$D$3:$AY$3, 0))/1000</f>
        <v>9.6461538461538321E-2</v>
      </c>
      <c r="AM122" s="384">
        <f t="array" ref="AM122">INDEX(Demand_previous!$D$4:$AY$138, MATCH('Staging Table'!$A122, Demand_previous!$B$4:$B$138, 0), MATCH(AM$4&amp;AM$5,Demand_previous!$D$2:$AY$2&amp;Demand_previous!$D$3:$AY$3, 0))/1000</f>
        <v>0.14731500000000017</v>
      </c>
      <c r="AN122" s="384">
        <f t="array" ref="AN122">INDEX(Demand_previous!$D$4:$AY$138, MATCH('Staging Table'!$A122, Demand_previous!$B$4:$B$138, 0), MATCH(AN$4&amp;AN$5,Demand_previous!$D$2:$AY$2&amp;Demand_previous!$D$3:$AY$3, 0))/1000</f>
        <v>0.13588749999999983</v>
      </c>
      <c r="AO122" s="384">
        <f t="array" ref="AO122">INDEX(Demand_previous!$D$4:$AY$138, MATCH('Staging Table'!$A122, Demand_previous!$B$4:$B$138, 0), MATCH(AO$4&amp;AO$5,Demand_previous!$D$2:$AY$2&amp;Demand_previous!$D$3:$AY$3, 0))/1000</f>
        <v>0.26208796296296305</v>
      </c>
      <c r="AP122" s="384">
        <f t="array" ref="AP122">INDEX(Demand_previous!$D$4:$AY$138, MATCH('Staging Table'!$A122, Demand_previous!$B$4:$B$138, 0), MATCH(AP$4&amp;AP$5,Demand_previous!$D$2:$AY$2&amp;Demand_previous!$D$3:$AY$3, 0))/1000</f>
        <v>6.287500000000007E-2</v>
      </c>
      <c r="AQ122" s="384">
        <f t="array" ref="AQ122">INDEX(Demand_previous!$D$4:$AY$138, MATCH('Staging Table'!$A122, Demand_previous!$B$4:$B$138, 0), MATCH(AQ$4&amp;AQ$5,Demand_previous!$D$2:$AY$2&amp;Demand_previous!$D$3:$AY$3, 0))/1000</f>
        <v>0</v>
      </c>
      <c r="AR122" s="384">
        <f t="array" ref="AR122">INDEX(Demand_previous!$D$4:$AY$138, MATCH('Staging Table'!$A122, Demand_previous!$B$4:$B$138, 0), MATCH(AR$4&amp;AR$5,Demand_previous!$D$2:$AY$2&amp;Demand_previous!$D$3:$AY$3, 0))/1000</f>
        <v>6.5956730769230698E-2</v>
      </c>
      <c r="AS122" s="384">
        <f t="array" ref="AS122">INDEX(Demand_previous!$D$4:$AY$138, MATCH('Staging Table'!$A122, Demand_previous!$B$4:$B$138, 0), MATCH(AS$4&amp;AS$5,Demand_previous!$D$2:$AY$2&amp;Demand_previous!$D$3:$AY$3, 0))/1000</f>
        <v>0</v>
      </c>
      <c r="AT122" s="384">
        <f t="array" ref="AT122">INDEX(Demand_previous!$D$4:$AY$138, MATCH('Staging Table'!$A122, Demand_previous!$B$4:$B$138, 0), MATCH(AT$4&amp;AT$5,Demand_previous!$D$2:$AY$2&amp;Demand_previous!$D$3:$AY$3, 0))/1000</f>
        <v>2.5511574074074145E-2</v>
      </c>
      <c r="AU122" s="384">
        <f t="array" ref="AU122">INDEX(Demand_previous!$D$4:$AY$138, MATCH('Staging Table'!$A122, Demand_previous!$B$4:$B$138, 0), MATCH(AU$4&amp;AU$5,Demand_previous!$D$2:$AY$2&amp;Demand_previous!$D$3:$AY$3, 0))/1000</f>
        <v>3.6522499999999958E-2</v>
      </c>
      <c r="AV122" s="384">
        <f>IF($D122=0,IF(C122=0, MAX(AY122 - (VLOOKUP($A122,TOCA_previous!$A$2:$AI$137,MATCH("RHWM 2016",TOCA_previous!$A$2:$AI$2,0),FALSE)*$F$2*TOCA_previous!C119),0),0), 0)</f>
        <v>955.87400938480505</v>
      </c>
      <c r="AW122" s="427">
        <f>VLOOKUP($A122,REP_previous!$A$1:$D$135,MATCH("FY "&amp;$F$1&amp; " Total Refund",REP_previous!$A$1:$D$1,0),0)</f>
        <v>5843.2055271770278</v>
      </c>
      <c r="AX122" s="398">
        <f>MIN(VLOOKUP($A122,TOCA_previous!$A$2:$AI$137,MATCH("TRL - NLSL - Exisiting Resource "&amp;$F$1,TOCA_previous!$A$2:$AI$2,0),FALSE)*$F$2,(VLOOKUP($A122,TOCA_previous!$A$2:$AI$137,MATCH("RHWM 2016",TOCA_previous!$A$2:$AI$2,0),FALSE)*$F$2))</f>
        <v>3987.9360000000001</v>
      </c>
      <c r="AY122" s="384">
        <f>SUM(L122:AI122)+(F122*RT1SC!$C$3*$F$2)</f>
        <v>4943.8100093848052</v>
      </c>
      <c r="AZ122" s="398">
        <f>VLOOKUP($A122,TOCA_previous!$A$2:$AI$137,MATCH("Above RHWM Not Served with LS "&amp;$F$1,TOCA_previous!$A$2:$AI$2,0),FALSE)*$F$2</f>
        <v>0</v>
      </c>
      <c r="BA122" s="206">
        <f t="shared" si="19"/>
        <v>955.87400938480505</v>
      </c>
      <c r="BB122" s="399">
        <f>(VLOOKUP($A122,TOCA_previous!$A$2:$AI$137,MATCH("RHWM 2016",TOCA_previous!$A$2:$AI$2,0),FALSE)*$F$2) - $AX122</f>
        <v>0</v>
      </c>
      <c r="BC122" s="206">
        <f t="shared" si="20"/>
        <v>0</v>
      </c>
      <c r="BD122" s="400">
        <f t="shared" si="21"/>
        <v>0</v>
      </c>
      <c r="BE122" s="392">
        <f t="shared" si="22"/>
        <v>0</v>
      </c>
      <c r="BF122" s="399">
        <f t="shared" si="23"/>
        <v>0</v>
      </c>
      <c r="BG122" s="206">
        <f>VLOOKUP($A122,TOCA_current!$A$2:$AI$137,MATCH(BG$4,TOCA_current!$A$2:$AI$2,0),FALSE)</f>
        <v>6.4900000000000005E-5</v>
      </c>
      <c r="BH122" s="206">
        <f>VLOOKUP($A122,TOCA_current!$A$2:$AI$137,MATCH(BH$4,TOCA_current!$A$2:$AI$2,0),FALSE)</f>
        <v>6.4900000000000005E-5</v>
      </c>
      <c r="BI122" s="391">
        <f t="shared" si="24"/>
        <v>0</v>
      </c>
      <c r="BJ122" s="206">
        <f>VLOOKUP($A122,TOCA_current!A118:BG253,MATCH(BJ$4,TOCA_current!$A$2:$BG$2,0),FALSE)</f>
        <v>0</v>
      </c>
      <c r="BK122" s="206">
        <f t="shared" si="25"/>
        <v>0</v>
      </c>
      <c r="BL122" s="206">
        <f t="shared" si="26"/>
        <v>0</v>
      </c>
      <c r="BM122" s="381">
        <f>VLOOKUP($A122,IRD!$A$4:$G$139, 7, FALSE)</f>
        <v>0</v>
      </c>
      <c r="BN122" s="382">
        <f t="array" ref="BN122">IF($BI122=0, INDEX(LS_current!$D$4:$AY$139, MATCH('Staging Table'!$A122, LS_current!$B$4:$B$139, 0), MATCH(BN$4&amp;BN$5, LS_current!$D$2:$AY$2&amp;LS_current!$D$3:$AY$3, 0)),SUM(VLOOKUP($A122, LS_current!$B$4:$AY$139, LS_current!D$149, FALSE), VLOOKUP($A122, LS_current!$B$4:$AY$139,LS_current!D$149, FALSE))/2)</f>
        <v>-2.5084670124078627</v>
      </c>
      <c r="BO122" s="382">
        <f t="array" ref="BO122">IF($BI122=0, INDEX(LS_current!$D$4:$AY$139, MATCH('Staging Table'!$A122, LS_current!$B$4:$B$139, 0), MATCH(BO$4&amp;BO$5, LS_current!$D$2:$AY$2&amp;LS_current!$D$3:$AY$3, 0)),SUM(VLOOKUP($A122, LS_current!$B$4:$AY$139, LS_current!E$149, FALSE), VLOOKUP($A122, LS_current!$B$4:$AY$139,LS_current!E$149, FALSE))/2)</f>
        <v>37.546896233329292</v>
      </c>
      <c r="BP122" s="382">
        <f t="array" ref="BP122">IF($BI122=0, INDEX(LS_current!$D$4:$AY$139, MATCH('Staging Table'!$A122, LS_current!$B$4:$B$139, 0), MATCH(BP$4&amp;BP$5, LS_current!$D$2:$AY$2&amp;LS_current!$D$3:$AY$3, 0)),SUM(VLOOKUP($A122, LS_current!$B$4:$AY$139, LS_current!F$149, FALSE), VLOOKUP($A122, LS_current!$B$4:$AY$139,LS_current!F$149, FALSE))/2)</f>
        <v>39.939935057802899</v>
      </c>
      <c r="BQ122" s="382">
        <f t="array" ref="BQ122">IF($BI122=0, INDEX(LS_current!$D$4:$AY$139, MATCH('Staging Table'!$A122, LS_current!$B$4:$B$139, 0), MATCH(BQ$4&amp;BQ$5, LS_current!$D$2:$AY$2&amp;LS_current!$D$3:$AY$3, 0)),SUM(VLOOKUP($A122, LS_current!$B$4:$AY$139, LS_current!G$149, FALSE), VLOOKUP($A122, LS_current!$B$4:$AY$139,LS_current!G$149, FALSE))/2)</f>
        <v>83.768507908335351</v>
      </c>
      <c r="BR122" s="382">
        <f t="array" ref="BR122">IF($BI122=0, INDEX(LS_current!$D$4:$AY$139, MATCH('Staging Table'!$A122, LS_current!$B$4:$B$139, 0), MATCH(BR$4&amp;BR$5, LS_current!$D$2:$AY$2&amp;LS_current!$D$3:$AY$3, 0)),SUM(VLOOKUP($A122, LS_current!$B$4:$AY$139, LS_current!H$149, FALSE), VLOOKUP($A122, LS_current!$B$4:$AY$139,LS_current!H$149, FALSE))/2)</f>
        <v>109.45079832042668</v>
      </c>
      <c r="BS122" s="382">
        <f t="array" ref="BS122">IF($BI122=0, INDEX(LS_current!$D$4:$AY$139, MATCH('Staging Table'!$A122, LS_current!$B$4:$B$139, 0), MATCH(BS$4&amp;BS$5, LS_current!$D$2:$AY$2&amp;LS_current!$D$3:$AY$3, 0)),SUM(VLOOKUP($A122, LS_current!$B$4:$AY$139, LS_current!I$149, FALSE), VLOOKUP($A122, LS_current!$B$4:$AY$139,LS_current!I$149, FALSE))/2)</f>
        <v>148.79413848008608</v>
      </c>
      <c r="BT122" s="382">
        <f t="array" ref="BT122">IF($BI122=0, INDEX(LS_current!$D$4:$AY$139, MATCH('Staging Table'!$A122, LS_current!$B$4:$B$139, 0), MATCH(BT$4&amp;BT$5, LS_current!$D$2:$AY$2&amp;LS_current!$D$3:$AY$3, 0)),SUM(VLOOKUP($A122, LS_current!$B$4:$AY$139, LS_current!J$149, FALSE), VLOOKUP($A122, LS_current!$B$4:$AY$139,LS_current!J$149, FALSE))/2)</f>
        <v>148.52867103906476</v>
      </c>
      <c r="BU122" s="382">
        <f t="array" ref="BU122">IF($BI122=0, INDEX(LS_current!$D$4:$AY$139, MATCH('Staging Table'!$A122, LS_current!$B$4:$B$139, 0), MATCH(BU$4&amp;BU$5, LS_current!$D$2:$AY$2&amp;LS_current!$D$3:$AY$3, 0)),SUM(VLOOKUP($A122, LS_current!$B$4:$AY$139, LS_current!K$149, FALSE), VLOOKUP($A122, LS_current!$B$4:$AY$139,LS_current!K$149, FALSE))/2)</f>
        <v>147.95287357705118</v>
      </c>
      <c r="BV122" s="382">
        <f t="array" ref="BV122">IF($BI122=0, INDEX(LS_current!$D$4:$AY$139, MATCH('Staging Table'!$A122, LS_current!$B$4:$B$139, 0), MATCH(BV$4&amp;BV$5, LS_current!$D$2:$AY$2&amp;LS_current!$D$3:$AY$3, 0)),SUM(VLOOKUP($A122, LS_current!$B$4:$AY$139, LS_current!L$149, FALSE), VLOOKUP($A122, LS_current!$B$4:$AY$139,LS_current!L$149, FALSE))/2)</f>
        <v>146.43576151619047</v>
      </c>
      <c r="BW122" s="382">
        <f t="array" ref="BW122">IF($BI122=0, INDEX(LS_current!$D$4:$AY$139, MATCH('Staging Table'!$A122, LS_current!$B$4:$B$139, 0), MATCH(BW$4&amp;BW$5, LS_current!$D$2:$AY$2&amp;LS_current!$D$3:$AY$3, 0)),SUM(VLOOKUP($A122, LS_current!$B$4:$AY$139, LS_current!M$149, FALSE), VLOOKUP($A122, LS_current!$B$4:$AY$139,LS_current!M$149, FALSE))/2)</f>
        <v>139.42702731136748</v>
      </c>
      <c r="BX122" s="382">
        <f t="array" ref="BX122">IF($BI122=0, INDEX(LS_current!$D$4:$AY$139, MATCH('Staging Table'!$A122, LS_current!$B$4:$B$139, 0), MATCH(BX$4&amp;BX$5, LS_current!$D$2:$AY$2&amp;LS_current!$D$3:$AY$3, 0)),SUM(VLOOKUP($A122, LS_current!$B$4:$AY$139, LS_current!N$149, FALSE), VLOOKUP($A122, LS_current!$B$4:$AY$139,LS_current!N$149, FALSE))/2)</f>
        <v>82.870562134876309</v>
      </c>
      <c r="BY122" s="382">
        <f t="array" ref="BY122">IF($BI122=0, INDEX(LS_current!$D$4:$AY$139, MATCH('Staging Table'!$A122, LS_current!$B$4:$B$139, 0), MATCH(BY$4&amp;BY$5, LS_current!$D$2:$AY$2&amp;LS_current!$D$3:$AY$3, 0)),SUM(VLOOKUP($A122, LS_current!$B$4:$AY$139, LS_current!O$149, FALSE), VLOOKUP($A122, LS_current!$B$4:$AY$139,LS_current!O$149, FALSE))/2)</f>
        <v>90.396409837366733</v>
      </c>
      <c r="BZ122" s="382">
        <f t="array" ref="BZ122">IF($BI122=0, INDEX(LS_current!$D$4:$AY$139, MATCH('Staging Table'!$A122, LS_current!$B$4:$B$139, 0), MATCH(BZ$4&amp;BZ$5, LS_current!$D$2:$AY$2&amp;LS_current!$D$3:$AY$3, 0)),SUM(VLOOKUP($A122, LS_current!$B$4:$AY$139, LS_current!P$149, FALSE), VLOOKUP($A122, LS_current!$B$4:$AY$139,LS_current!P$149, FALSE))/2)</f>
        <v>44.200542094791672</v>
      </c>
      <c r="CA122" s="382">
        <f t="array" ref="CA122">IF($BI122=0, INDEX(LS_current!$D$4:$AY$139, MATCH('Staging Table'!$A122, LS_current!$B$4:$B$139, 0), MATCH(CA$4&amp;CA$5, LS_current!$D$2:$AY$2&amp;LS_current!$D$3:$AY$3, 0)),SUM(VLOOKUP($A122, LS_current!$B$4:$AY$139, LS_current!Q$149, FALSE), VLOOKUP($A122, LS_current!$B$4:$AY$139,LS_current!Q$149, FALSE))/2)</f>
        <v>84.508613232510697</v>
      </c>
      <c r="CB122" s="382">
        <f t="array" ref="CB122">IF($BI122=0, INDEX(LS_current!$D$4:$AY$139, MATCH('Staging Table'!$A122, LS_current!$B$4:$B$139, 0), MATCH(CB$4&amp;CB$5, LS_current!$D$2:$AY$2&amp;LS_current!$D$3:$AY$3, 0)),SUM(VLOOKUP($A122, LS_current!$B$4:$AY$139, LS_current!R$149, FALSE), VLOOKUP($A122, LS_current!$B$4:$AY$139,LS_current!R$149, FALSE))/2)</f>
        <v>-90.088705615204162</v>
      </c>
      <c r="CC122" s="382">
        <f t="array" ref="CC122">IF($BI122=0, INDEX(LS_current!$D$4:$AY$139, MATCH('Staging Table'!$A122, LS_current!$B$4:$B$139, 0), MATCH(CC$4&amp;CC$5, LS_current!$D$2:$AY$2&amp;LS_current!$D$3:$AY$3, 0)),SUM(VLOOKUP($A122, LS_current!$B$4:$AY$139, LS_current!S$149, FALSE), VLOOKUP($A122, LS_current!$B$4:$AY$139,LS_current!S$149, FALSE))/2)</f>
        <v>-13.987725371649674</v>
      </c>
      <c r="CD122" s="382">
        <f t="array" ref="CD122">IF($BI122=0, INDEX(LS_current!$D$4:$AY$139, MATCH('Staging Table'!$A122, LS_current!$B$4:$B$139, 0), MATCH(CD$4&amp;CD$5, LS_current!$D$2:$AY$2&amp;LS_current!$D$3:$AY$3, 0)),SUM(VLOOKUP($A122, LS_current!$B$4:$AY$139, LS_current!T$149, FALSE), VLOOKUP($A122, LS_current!$B$4:$AY$139,LS_current!T$149, FALSE))/2)</f>
        <v>-58.741755684886698</v>
      </c>
      <c r="CE122" s="382">
        <f t="array" ref="CE122">IF($BI122=0, INDEX(LS_current!$D$4:$AY$139, MATCH('Staging Table'!$A122, LS_current!$B$4:$B$139, 0), MATCH(CE$4&amp;CE$5, LS_current!$D$2:$AY$2&amp;LS_current!$D$3:$AY$3, 0)),SUM(VLOOKUP($A122, LS_current!$B$4:$AY$139, LS_current!U$149, FALSE), VLOOKUP($A122, LS_current!$B$4:$AY$139,LS_current!U$149, FALSE))/2)</f>
        <v>-4.6264331000059116</v>
      </c>
      <c r="CF122" s="382">
        <f t="array" ref="CF122">IF($BI122=0, INDEX(LS_current!$D$4:$AY$139, MATCH('Staging Table'!$A122, LS_current!$B$4:$B$139, 0), MATCH(CF$4&amp;CF$5, LS_current!$D$2:$AY$2&amp;LS_current!$D$3:$AY$3, 0)),SUM(VLOOKUP($A122, LS_current!$B$4:$AY$139, LS_current!V$149, FALSE), VLOOKUP($A122, LS_current!$B$4:$AY$139,LS_current!V$149, FALSE))/2)</f>
        <v>-47.767904056735773</v>
      </c>
      <c r="CG122" s="382">
        <f t="array" ref="CG122">IF($BI122=0, INDEX(LS_current!$D$4:$AY$139, MATCH('Staging Table'!$A122, LS_current!$B$4:$B$139, 0), MATCH(CG$4&amp;CG$5, LS_current!$D$2:$AY$2&amp;LS_current!$D$3:$AY$3, 0)),SUM(VLOOKUP($A122, LS_current!$B$4:$AY$139, LS_current!W$149, FALSE), VLOOKUP($A122, LS_current!$B$4:$AY$139,LS_current!W$149, FALSE))/2)</f>
        <v>9.9846102068797791</v>
      </c>
      <c r="CH122" s="382">
        <f t="array" ref="CH122">IF($BI122=0, INDEX(LS_current!$D$4:$AY$139, MATCH('Staging Table'!$A122, LS_current!$B$4:$B$139, 0), MATCH(CH$4&amp;CH$5, LS_current!$D$2:$AY$2&amp;LS_current!$D$3:$AY$3, 0)),SUM(VLOOKUP($A122, LS_current!$B$4:$AY$139, LS_current!X$149, FALSE), VLOOKUP($A122, LS_current!$B$4:$AY$139,LS_current!X$149, FALSE))/2)</f>
        <v>-59.162282009153955</v>
      </c>
      <c r="CI122" s="382">
        <f t="array" ref="CI122">IF($BI122=0, INDEX(LS_current!$D$4:$AY$139, MATCH('Staging Table'!$A122, LS_current!$B$4:$B$139, 0), MATCH(CI$4&amp;CI$5, LS_current!$D$2:$AY$2&amp;LS_current!$D$3:$AY$3, 0)),SUM(VLOOKUP($A122, LS_current!$B$4:$AY$139, LS_current!Y$149, FALSE), VLOOKUP($A122, LS_current!$B$4:$AY$139,LS_current!Y$149, FALSE))/2)</f>
        <v>-7.2224533256787993</v>
      </c>
      <c r="CJ122" s="382">
        <f t="array" ref="CJ122">IF($BI122=0, INDEX(LS_current!$D$4:$AY$139, MATCH('Staging Table'!$A122, LS_current!$B$4:$B$139, 0), MATCH(CJ$4&amp;CJ$5, LS_current!$D$2:$AY$2&amp;LS_current!$D$3:$AY$3, 0)),SUM(VLOOKUP($A122, LS_current!$B$4:$AY$139, LS_current!Z$149, FALSE), VLOOKUP($A122, LS_current!$B$4:$AY$139,LS_current!Z$149, FALSE))/2)</f>
        <v>-42.136565675545029</v>
      </c>
      <c r="CK122" s="382">
        <f t="array" ref="CK122">IF($BI122=0, INDEX(LS_current!$D$4:$AY$139, MATCH('Staging Table'!$A122, LS_current!$B$4:$B$139, 0), MATCH(CK$4&amp;CK$5, LS_current!$D$2:$AY$2&amp;LS_current!$D$3:$AY$3, 0)),SUM(VLOOKUP($A122, LS_current!$B$4:$AY$139, LS_current!AA$149, FALSE), VLOOKUP($A122, LS_current!$B$4:$AY$139,LS_current!AA$149, FALSE))/2)</f>
        <v>7.9353751996375053</v>
      </c>
      <c r="CL122" s="384">
        <f t="array" ref="CL122">INDEX(Demand_current!$D$4:$AY$138, MATCH($A122, Demand_current!$B$4:$B$138, 0), MATCH(CL$4&amp;CL$5,Demand_current!$D$2:$AY$2&amp;Demand_current!$D$3:$AY$3, 0))/1000</f>
        <v>0.14224999999999996</v>
      </c>
      <c r="CM122" s="384">
        <f t="array" ref="CM122">INDEX(Demand_current!$D$4:$AY$138, MATCH($A122, Demand_current!$B$4:$B$138, 0), MATCH(CM$4&amp;CM$5,Demand_current!$D$2:$AY$2&amp;Demand_current!$D$3:$AY$3, 0))/1000</f>
        <v>0.17168999999999995</v>
      </c>
      <c r="CN122" s="384">
        <f t="array" ref="CN122">INDEX(Demand_current!$D$4:$AY$138, MATCH($A122, Demand_current!$B$4:$B$138, 0), MATCH(CN$4&amp;CN$5,Demand_current!$D$2:$AY$2&amp;Demand_current!$D$3:$AY$3, 0))/1000</f>
        <v>6.3679999999999903E-2</v>
      </c>
      <c r="CO122" s="384">
        <f t="array" ref="CO122">INDEX(Demand_current!$D$4:$AY$138, MATCH($A122, Demand_current!$B$4:$B$138, 0), MATCH(CO$4&amp;CO$5,Demand_current!$D$2:$AY$2&amp;Demand_current!$D$3:$AY$3, 0))/1000</f>
        <v>0.18045673076923094</v>
      </c>
      <c r="CP122" s="384">
        <f t="array" ref="CP122">INDEX(Demand_current!$D$4:$AY$138, MATCH($A122, Demand_current!$B$4:$B$138, 0), MATCH(CP$4&amp;CP$5,Demand_current!$D$2:$AY$2&amp;Demand_current!$D$3:$AY$3, 0))/1000</f>
        <v>0.10350781249999985</v>
      </c>
      <c r="CQ122" s="384">
        <f t="array" ref="CQ122">INDEX(Demand_current!$D$4:$AY$138, MATCH($A122, Demand_current!$B$4:$B$138, 0), MATCH(CQ$4&amp;CQ$5,Demand_current!$D$2:$AY$2&amp;Demand_current!$D$3:$AY$3, 0))/1000</f>
        <v>0.26208796296296305</v>
      </c>
      <c r="CR122" s="384">
        <f t="array" ref="CR122">INDEX(Demand_current!$D$4:$AY$138, MATCH($A122, Demand_current!$B$4:$B$138, 0), MATCH(CR$4&amp;CR$5,Demand_current!$D$2:$AY$2&amp;Demand_current!$D$3:$AY$3, 0))/1000</f>
        <v>4.0310000000000124E-2</v>
      </c>
      <c r="CS122" s="384">
        <f t="array" ref="CS122">INDEX(Demand_current!$D$4:$AY$138, MATCH($A122, Demand_current!$B$4:$B$138, 0), MATCH(CS$4&amp;CS$5,Demand_current!$D$2:$AY$2&amp;Demand_current!$D$3:$AY$3, 0))/1000</f>
        <v>1.7670673076923049E-2</v>
      </c>
      <c r="CT122" s="384">
        <f t="array" ref="CT122">INDEX(Demand_current!$D$4:$AY$138, MATCH($A122, Demand_current!$B$4:$B$138, 0), MATCH(CT$4&amp;CT$5,Demand_current!$D$2:$AY$2&amp;Demand_current!$D$3:$AY$3, 0))/1000</f>
        <v>6.5956730769230698E-2</v>
      </c>
      <c r="CU122" s="384">
        <f t="array" ref="CU122">INDEX(Demand_current!$D$4:$AY$138, MATCH($A122, Demand_current!$B$4:$B$138, 0), MATCH(CU$4&amp;CU$5,Demand_current!$D$2:$AY$2&amp;Demand_current!$D$3:$AY$3, 0))/1000</f>
        <v>0</v>
      </c>
      <c r="CV122" s="384">
        <f t="array" ref="CV122">INDEX(Demand_current!$D$4:$AY$138, MATCH($A122, Demand_current!$B$4:$B$138, 0), MATCH(CV$4&amp;CV$5,Demand_current!$D$2:$AY$2&amp;Demand_current!$D$3:$AY$3, 0))/1000</f>
        <v>2.5511574074074145E-2</v>
      </c>
      <c r="CW122" s="384">
        <f t="array" ref="CW122">INDEX(Demand_current!$D$4:$AY$138, MATCH($A122, Demand_current!$B$4:$B$138, 0), MATCH(CW$4&amp;CW$5,Demand_current!$D$2:$AY$2&amp;Demand_current!$D$3:$AY$3, 0))/1000</f>
        <v>2.0794270833333291E-2</v>
      </c>
      <c r="CX122" s="384">
        <f>IF(D122=0,IF(C122=0,MAX(0,DA122 - (VLOOKUP($A122,TOCA_current!$A$2:$AI$137,MATCH("RHWM 2018",TOCA_current!$A$2:$AI$2,0),FALSE)*$BH$2)), 0),0)</f>
        <v>993.05005760244876</v>
      </c>
      <c r="CY122" s="427">
        <f>VLOOKUP($A122,REP_current!$A$1:$D$135,MATCH("FY "&amp;$BH$1&amp; " Total Refund",REP_current!$A$1:$D$1,0),0)</f>
        <v>5878.7207440806742</v>
      </c>
      <c r="CZ122" s="432">
        <f>MIN(VLOOKUP($A122,TOCA_current!$A$2:$AI$137,MATCH("TRL - NLSL - Existing Resource "&amp;$BH$1,TOCA_current!$A$2:$AI$2,0),FALSE)*$BH$2, VLOOKUP($A122,TOCA_current!$A$2:$AI$137,MATCH("RHWM 2018",TOCA_current!$A$2:$AI$2,0),FALSE)*$BH$2)</f>
        <v>3950.76</v>
      </c>
      <c r="DA122" s="397">
        <f>SUM(BN122:CK122)+(BH122*RT1SC!$C$4*$BH$2)</f>
        <v>4943.810057602449</v>
      </c>
      <c r="DB122" s="432">
        <f>VLOOKUP($A122,TOCA_current!$A$2:$AI$137,MATCH("Above RHWM Not Served with LS "&amp;$BH$1,TOCA_current!$A$2:$AI$2,0),FALSE)*$BH$2</f>
        <v>0</v>
      </c>
      <c r="DC122" s="401">
        <f t="shared" si="27"/>
        <v>993.05005760244876</v>
      </c>
      <c r="DD122" s="397">
        <f>(VLOOKUP($A122,TOCA_current!$A$2:$AI$137,MATCH("RHWM 2018",TOCA_current!$A$2:$AI$2,0),FALSE)*$BH$2) - $CZ122</f>
        <v>0</v>
      </c>
      <c r="DE122" s="397">
        <f t="shared" si="28"/>
        <v>0</v>
      </c>
      <c r="DF122" s="397">
        <f t="shared" si="29"/>
        <v>0</v>
      </c>
      <c r="DG122" s="397">
        <f t="shared" si="30"/>
        <v>0</v>
      </c>
      <c r="DH122" s="397">
        <f t="shared" si="31"/>
        <v>0</v>
      </c>
    </row>
    <row r="123" spans="1:112">
      <c r="A123" s="274">
        <v>10408</v>
      </c>
      <c r="B123" s="275" t="s">
        <v>124</v>
      </c>
      <c r="C123" s="397">
        <v>0</v>
      </c>
      <c r="D123" s="397">
        <v>0</v>
      </c>
      <c r="E123" s="205">
        <f>VLOOKUP($A123,TOCA_previous!$A$2:$AI$137,MATCH(E$4,TOCA_previous!$A$2:$AI$2,0),FALSE)</f>
        <v>2.1210000000000001E-4</v>
      </c>
      <c r="F123" s="206">
        <f>VLOOKUP($A123,TOCA_previous!$A$2:$AI$137,MATCH(F$4,TOCA_previous!$A$2:$AI$2,0),FALSE)</f>
        <v>2.1210000000000001E-4</v>
      </c>
      <c r="G123" s="206">
        <f t="shared" si="16"/>
        <v>0</v>
      </c>
      <c r="H123" s="206">
        <f>VLOOKUP($A123,TOCA_previous!$A$2:$AI$137,MATCH(H$4,TOCA_previous!$A$2:$AI$2,0),FALSE)</f>
        <v>0</v>
      </c>
      <c r="I123" s="206">
        <f t="shared" si="17"/>
        <v>0</v>
      </c>
      <c r="J123" s="206">
        <f t="shared" si="18"/>
        <v>0</v>
      </c>
      <c r="K123" s="381">
        <f>VLOOKUP(A123, IRD!$A$5:$C$139, 3, FALSE)</f>
        <v>0</v>
      </c>
      <c r="L123" s="382">
        <f t="array" ref="L123">IF($G123=0, INDEX(LS_previous!$D$4:$AY$138, MATCH('Staging Table'!$A123, LS_previous!$B$4:$B$138, 0), MATCH(L$4&amp;L$5, LS_previous!$D$2:$AY$2&amp;LS_previous!$D$3:$AY$3, 0)),SUM(VLOOKUP($A123, LS_previous!$B$4:$AY$138, LS_previous!D$149, FALSE), VLOOKUP('Staging Table'!$A123, LS_previous!$B$4:$AY$138,LS_previous!AB$149, FALSE))/2)</f>
        <v>-18.224100700459417</v>
      </c>
      <c r="M123" s="382">
        <f t="array" ref="M123">IF($G123=0, INDEX(LS_previous!$D$4:$AY$138, MATCH('Staging Table'!$A123, LS_previous!$B$4:$B$138, 0), MATCH(M$4&amp;M$5, LS_previous!$D$2:$AY$2&amp;LS_previous!$D$3:$AY$3, 0)),SUM(VLOOKUP($A123, LS_previous!$B$4:$AY$138, LS_previous!E$149, FALSE), VLOOKUP('Staging Table'!$A123, LS_previous!$B$4:$AY$138,LS_previous!AC$149, FALSE))/2)</f>
        <v>112.70212287116135</v>
      </c>
      <c r="N123" s="382">
        <f t="array" ref="N123">IF($G123=0, INDEX(LS_previous!$D$4:$AY$138, MATCH('Staging Table'!$A123, LS_previous!$B$4:$B$138, 0), MATCH(N$4&amp;N$5, LS_previous!$D$2:$AY$2&amp;LS_previous!$D$3:$AY$3, 0)),SUM(VLOOKUP($A123, LS_previous!$B$4:$AY$138, LS_previous!F$149, FALSE), VLOOKUP('Staging Table'!$A123, LS_previous!$B$4:$AY$138,LS_previous!AD$149, FALSE))/2)</f>
        <v>-148.81461270636521</v>
      </c>
      <c r="O123" s="382">
        <f t="array" ref="O123">IF($G123=0, INDEX(LS_previous!$D$4:$AY$138, MATCH('Staging Table'!$A123, LS_previous!$B$4:$B$138, 0), MATCH(O$4&amp;O$5, LS_previous!$D$2:$AY$2&amp;LS_previous!$D$3:$AY$3, 0)),SUM(VLOOKUP($A123, LS_previous!$B$4:$AY$138, LS_previous!G$149, FALSE), VLOOKUP('Staging Table'!$A123, LS_previous!$B$4:$AY$138,LS_previous!AE$149, FALSE))/2)</f>
        <v>64.223832288792266</v>
      </c>
      <c r="P123" s="382">
        <f t="array" ref="P123">IF($G123=0, INDEX(LS_previous!$D$4:$AY$138, MATCH('Staging Table'!$A123, LS_previous!$B$4:$B$138, 0), MATCH(P$4&amp;P$5, LS_previous!$D$2:$AY$2&amp;LS_previous!$D$3:$AY$3, 0)),SUM(VLOOKUP($A123, LS_previous!$B$4:$AY$138, LS_previous!H$149, FALSE), VLOOKUP('Staging Table'!$A123, LS_previous!$B$4:$AY$138,LS_previous!AF$149, FALSE))/2)</f>
        <v>-64.261111870000605</v>
      </c>
      <c r="Q123" s="382">
        <f t="array" ref="Q123">IF($G123=0, INDEX(LS_previous!$D$4:$AY$138, MATCH('Staging Table'!$A123, LS_previous!$B$4:$B$138, 0), MATCH(Q$4&amp;Q$5, LS_previous!$D$2:$AY$2&amp;LS_previous!$D$3:$AY$3, 0)),SUM(VLOOKUP($A123, LS_previous!$B$4:$AY$138, LS_previous!I$149, FALSE), VLOOKUP('Staging Table'!$A123, LS_previous!$B$4:$AY$138,LS_previous!AG$149, FALSE))/2)</f>
        <v>107.78693292070011</v>
      </c>
      <c r="R123" s="382">
        <f t="array" ref="R123">IF($G123=0, INDEX(LS_previous!$D$4:$AY$138, MATCH('Staging Table'!$A123, LS_previous!$B$4:$B$138, 0), MATCH(R$4&amp;R$5, LS_previous!$D$2:$AY$2&amp;LS_previous!$D$3:$AY$3, 0)),SUM(VLOOKUP($A123, LS_previous!$B$4:$AY$138, LS_previous!J$149, FALSE), VLOOKUP('Staging Table'!$A123, LS_previous!$B$4:$AY$138,LS_previous!AH$149, FALSE))/2)</f>
        <v>36.337368415103015</v>
      </c>
      <c r="S123" s="382">
        <f t="array" ref="S123">IF($G123=0, INDEX(LS_previous!$D$4:$AY$138, MATCH('Staging Table'!$A123, LS_previous!$B$4:$B$138, 0), MATCH(S$4&amp;S$5, LS_previous!$D$2:$AY$2&amp;LS_previous!$D$3:$AY$3, 0)),SUM(VLOOKUP($A123, LS_previous!$B$4:$AY$138, LS_previous!K$149, FALSE), VLOOKUP('Staging Table'!$A123, LS_previous!$B$4:$AY$138,LS_previous!AI$149, FALSE))/2)</f>
        <v>173.0322527298236</v>
      </c>
      <c r="T123" s="382">
        <f t="array" ref="T123">IF($G123=0, INDEX(LS_previous!$D$4:$AY$138, MATCH('Staging Table'!$A123, LS_previous!$B$4:$B$138, 0), MATCH(T$4&amp;T$5, LS_previous!$D$2:$AY$2&amp;LS_previous!$D$3:$AY$3, 0)),SUM(VLOOKUP($A123, LS_previous!$B$4:$AY$138, LS_previous!L$149, FALSE), VLOOKUP('Staging Table'!$A123, LS_previous!$B$4:$AY$138,LS_previous!AJ$149, FALSE))/2)</f>
        <v>38.803494149319022</v>
      </c>
      <c r="U123" s="382">
        <f t="array" ref="U123">IF($G123=0, INDEX(LS_previous!$D$4:$AY$138, MATCH('Staging Table'!$A123, LS_previous!$B$4:$B$138, 0), MATCH(U$4&amp;U$5, LS_previous!$D$2:$AY$2&amp;LS_previous!$D$3:$AY$3, 0)),SUM(VLOOKUP($A123, LS_previous!$B$4:$AY$138, LS_previous!M$149, FALSE), VLOOKUP('Staging Table'!$A123, LS_previous!$B$4:$AY$138,LS_previous!AK$149, FALSE))/2)</f>
        <v>138.08801533780883</v>
      </c>
      <c r="V123" s="382">
        <f t="array" ref="V123">IF($G123=0, INDEX(LS_previous!$D$4:$AY$138, MATCH('Staging Table'!$A123, LS_previous!$B$4:$B$138, 0), MATCH(V$4&amp;V$5, LS_previous!$D$2:$AY$2&amp;LS_previous!$D$3:$AY$3, 0)),SUM(VLOOKUP($A123, LS_previous!$B$4:$AY$138, LS_previous!N$149, FALSE), VLOOKUP('Staging Table'!$A123, LS_previous!$B$4:$AY$138,LS_previous!AL$149, FALSE))/2)</f>
        <v>-14.890574336337409</v>
      </c>
      <c r="W123" s="382">
        <f t="array" ref="W123">IF($G123=0, INDEX(LS_previous!$D$4:$AY$138, MATCH('Staging Table'!$A123, LS_previous!$B$4:$B$138, 0), MATCH(W$4&amp;W$5, LS_previous!$D$2:$AY$2&amp;LS_previous!$D$3:$AY$3, 0)),SUM(VLOOKUP($A123, LS_previous!$B$4:$AY$138, LS_previous!O$149, FALSE), VLOOKUP('Staging Table'!$A123, LS_previous!$B$4:$AY$138,LS_previous!AM$149, FALSE))/2)</f>
        <v>110.68561823780908</v>
      </c>
      <c r="X123" s="382">
        <f t="array" ref="X123">IF($G123=0, INDEX(LS_previous!$D$4:$AY$138, MATCH('Staging Table'!$A123, LS_previous!$B$4:$B$138, 0), MATCH(X$4&amp;X$5, LS_previous!$D$2:$AY$2&amp;LS_previous!$D$3:$AY$3, 0)),SUM(VLOOKUP($A123, LS_previous!$B$4:$AY$138, LS_previous!P$149, FALSE), VLOOKUP('Staging Table'!$A123, LS_previous!$B$4:$AY$138,LS_previous!AN$149, FALSE))/2)</f>
        <v>64.883572678150358</v>
      </c>
      <c r="Y123" s="382">
        <f t="array" ref="Y123">IF($G123=0, INDEX(LS_previous!$D$4:$AY$138, MATCH('Staging Table'!$A123, LS_previous!$B$4:$B$138, 0), MATCH(Y$4&amp;Y$5, LS_previous!$D$2:$AY$2&amp;LS_previous!$D$3:$AY$3, 0)),SUM(VLOOKUP($A123, LS_previous!$B$4:$AY$138, LS_previous!Q$149, FALSE), VLOOKUP('Staging Table'!$A123, LS_previous!$B$4:$AY$138,LS_previous!AO$149, FALSE))/2)</f>
        <v>150.4491894458269</v>
      </c>
      <c r="Z123" s="382">
        <f t="array" ref="Z123">IF($G123=0, INDEX(LS_previous!$D$4:$AY$138, MATCH('Staging Table'!$A123, LS_previous!$B$4:$B$138, 0), MATCH(Z$4&amp;Z$5, LS_previous!$D$2:$AY$2&amp;LS_previous!$D$3:$AY$3, 0)),SUM(VLOOKUP($A123, LS_previous!$B$4:$AY$138, LS_previous!R$149, FALSE), VLOOKUP('Staging Table'!$A123, LS_previous!$B$4:$AY$138,LS_previous!AP$149, FALSE))/2)</f>
        <v>-356.78738103383569</v>
      </c>
      <c r="AA123" s="382">
        <f t="array" ref="AA123">IF($G123=0, INDEX(LS_previous!$D$4:$AY$138, MATCH('Staging Table'!$A123, LS_previous!$B$4:$B$138, 0), MATCH(AA$4&amp;AA$5, LS_previous!$D$2:$AY$2&amp;LS_previous!$D$3:$AY$3, 0)),SUM(VLOOKUP($A123, LS_previous!$B$4:$AY$138, LS_previous!S$149, FALSE), VLOOKUP('Staging Table'!$A123, LS_previous!$B$4:$AY$138,LS_previous!AQ$149, FALSE))/2)</f>
        <v>-23.372478646064337</v>
      </c>
      <c r="AB123" s="382">
        <f t="array" ref="AB123">IF($G123=0, INDEX(LS_previous!$D$4:$AY$138, MATCH('Staging Table'!$A123, LS_previous!$B$4:$B$138, 0), MATCH(AB$4&amp;AB$5, LS_previous!$D$2:$AY$2&amp;LS_previous!$D$3:$AY$3, 0)),SUM(VLOOKUP($A123, LS_previous!$B$4:$AY$138, LS_previous!T$149, FALSE), VLOOKUP('Staging Table'!$A123, LS_previous!$B$4:$AY$138,LS_previous!AR$149, FALSE))/2)</f>
        <v>-221.16629462329115</v>
      </c>
      <c r="AC123" s="382">
        <f t="array" ref="AC123">IF($G123=0, INDEX(LS_previous!$D$4:$AY$138, MATCH('Staging Table'!$A123, LS_previous!$B$4:$B$138, 0), MATCH(AC$4&amp;AC$5, LS_previous!$D$2:$AY$2&amp;LS_previous!$D$3:$AY$3, 0)),SUM(VLOOKUP($A123, LS_previous!$B$4:$AY$138, LS_previous!U$149, FALSE), VLOOKUP('Staging Table'!$A123, LS_previous!$B$4:$AY$138,LS_previous!AS$149, FALSE))/2)</f>
        <v>-8.0781273646062459</v>
      </c>
      <c r="AD123" s="382">
        <f t="array" ref="AD123">IF($G123=0, INDEX(LS_previous!$D$4:$AY$138, MATCH('Staging Table'!$A123, LS_previous!$B$4:$B$138, 0), MATCH(AD$4&amp;AD$5, LS_previous!$D$2:$AY$2&amp;LS_previous!$D$3:$AY$3, 0)),SUM(VLOOKUP($A123, LS_previous!$B$4:$AY$138, LS_previous!V$149, FALSE), VLOOKUP('Staging Table'!$A123, LS_previous!$B$4:$AY$138,LS_previous!AT$149, FALSE))/2)</f>
        <v>-263.30035576270404</v>
      </c>
      <c r="AE123" s="382">
        <f t="array" ref="AE123">IF($G123=0, INDEX(LS_previous!$D$4:$AY$138, MATCH('Staging Table'!$A123, LS_previous!$B$4:$B$138, 0), MATCH(AE$4&amp;AE$5, LS_previous!$D$2:$AY$2&amp;LS_previous!$D$3:$AY$3, 0)),SUM(VLOOKUP($A123, LS_previous!$B$4:$AY$138, LS_previous!W$149, FALSE), VLOOKUP('Staging Table'!$A123, LS_previous!$B$4:$AY$138,LS_previous!AU$149, FALSE))/2)</f>
        <v>13.302055473044049</v>
      </c>
      <c r="AF123" s="382">
        <f t="array" ref="AF123">IF($G123=0, INDEX(LS_previous!$D$4:$AY$138, MATCH('Staging Table'!$A123, LS_previous!$B$4:$B$138, 0), MATCH(AF$4&amp;AF$5, LS_previous!$D$2:$AY$2&amp;LS_previous!$D$3:$AY$3, 0)),SUM(VLOOKUP($A123, LS_previous!$B$4:$AY$138, LS_previous!X$149, FALSE), VLOOKUP('Staging Table'!$A123, LS_previous!$B$4:$AY$138,LS_previous!AV$149, FALSE))/2)</f>
        <v>-584.57387517610198</v>
      </c>
      <c r="AG123" s="382">
        <f t="array" ref="AG123">IF($G123=0, INDEX(LS_previous!$D$4:$AY$138, MATCH('Staging Table'!$A123, LS_previous!$B$4:$B$138, 0), MATCH(AG$4&amp;AG$5, LS_previous!$D$2:$AY$2&amp;LS_previous!$D$3:$AY$3, 0)),SUM(VLOOKUP($A123, LS_previous!$B$4:$AY$138, LS_previous!Y$149, FALSE), VLOOKUP('Staging Table'!$A123, LS_previous!$B$4:$AY$138,LS_previous!AW$149, FALSE))/2)</f>
        <v>-252.75530625753703</v>
      </c>
      <c r="AH123" s="382">
        <f t="array" ref="AH123">IF($G123=0, INDEX(LS_previous!$D$4:$AY$138, MATCH('Staging Table'!$A123, LS_previous!$B$4:$B$138, 0), MATCH(AH$4&amp;AH$5, LS_previous!$D$2:$AY$2&amp;LS_previous!$D$3:$AY$3, 0)),SUM(VLOOKUP($A123, LS_previous!$B$4:$AY$138, LS_previous!Z$149, FALSE), VLOOKUP('Staging Table'!$A123, LS_previous!$B$4:$AY$138,LS_previous!AX$149, FALSE))/2)</f>
        <v>-87.621986330875814</v>
      </c>
      <c r="AI123" s="382">
        <f t="array" ref="AI123">IF($G123=0, INDEX(LS_previous!$D$4:$AY$138, MATCH('Staging Table'!$A123, LS_previous!$B$4:$B$138, 0), MATCH(AI$4&amp;AI$5, LS_previous!$D$2:$AY$2&amp;LS_previous!$D$3:$AY$3, 0)),SUM(VLOOKUP($A123, LS_previous!$B$4:$AY$138, LS_previous!AA$149, FALSE), VLOOKUP('Staging Table'!$A123, LS_previous!$B$4:$AY$138,LS_previous!AY$149, FALSE))/2)</f>
        <v>65.302087339980801</v>
      </c>
      <c r="AJ123" s="384">
        <f t="array" ref="AJ123">INDEX(Demand_previous!$D$4:$AY$138, MATCH('Staging Table'!$A123, Demand_previous!$B$4:$B$138, 0), MATCH(AJ$4&amp;AJ$5,Demand_previous!$D$2:$AY$2&amp;Demand_previous!$D$3:$AY$3, 0))/1000</f>
        <v>0.15689120370370366</v>
      </c>
      <c r="AK123" s="384">
        <f t="array" ref="AK123">INDEX(Demand_previous!$D$4:$AY$138, MATCH('Staging Table'!$A123, Demand_previous!$B$4:$B$138, 0), MATCH(AK$4&amp;AK$5,Demand_previous!$D$2:$AY$2&amp;Demand_previous!$D$3:$AY$3, 0))/1000</f>
        <v>2.2893229166666806E-2</v>
      </c>
      <c r="AL123" s="384">
        <f t="array" ref="AL123">INDEX(Demand_previous!$D$4:$AY$138, MATCH('Staging Table'!$A123, Demand_previous!$B$4:$B$138, 0), MATCH(AL$4&amp;AL$5,Demand_previous!$D$2:$AY$2&amp;Demand_previous!$D$3:$AY$3, 0))/1000</f>
        <v>0.20958653846153849</v>
      </c>
      <c r="AM123" s="384">
        <f t="array" ref="AM123">INDEX(Demand_previous!$D$4:$AY$138, MATCH('Staging Table'!$A123, Demand_previous!$B$4:$B$138, 0), MATCH(AM$4&amp;AM$5,Demand_previous!$D$2:$AY$2&amp;Demand_previous!$D$3:$AY$3, 0))/1000</f>
        <v>0.11951999999999983</v>
      </c>
      <c r="AN123" s="384">
        <f t="array" ref="AN123">INDEX(Demand_previous!$D$4:$AY$138, MATCH('Staging Table'!$A123, Demand_previous!$B$4:$B$138, 0), MATCH(AN$4&amp;AN$5,Demand_previous!$D$2:$AY$2&amp;Demand_previous!$D$3:$AY$3, 0))/1000</f>
        <v>0.17861250000000001</v>
      </c>
      <c r="AO123" s="384">
        <f t="array" ref="AO123">INDEX(Demand_previous!$D$4:$AY$138, MATCH('Staging Table'!$A123, Demand_previous!$B$4:$B$138, 0), MATCH(AO$4&amp;AO$5,Demand_previous!$D$2:$AY$2&amp;Demand_previous!$D$3:$AY$3, 0))/1000</f>
        <v>0.26496527777777812</v>
      </c>
      <c r="AP123" s="384">
        <f t="array" ref="AP123">INDEX(Demand_previous!$D$4:$AY$138, MATCH('Staging Table'!$A123, Demand_previous!$B$4:$B$138, 0), MATCH(AP$4&amp;AP$5,Demand_previous!$D$2:$AY$2&amp;Demand_previous!$D$3:$AY$3, 0))/1000</f>
        <v>0.18068750000000022</v>
      </c>
      <c r="AQ123" s="384">
        <f t="array" ref="AQ123">INDEX(Demand_previous!$D$4:$AY$138, MATCH('Staging Table'!$A123, Demand_previous!$B$4:$B$138, 0), MATCH(AQ$4&amp;AQ$5,Demand_previous!$D$2:$AY$2&amp;Demand_previous!$D$3:$AY$3, 0))/1000</f>
        <v>0.14872999999999992</v>
      </c>
      <c r="AR123" s="384">
        <f t="array" ref="AR123">INDEX(Demand_previous!$D$4:$AY$138, MATCH('Staging Table'!$A123, Demand_previous!$B$4:$B$138, 0), MATCH(AR$4&amp;AR$5,Demand_previous!$D$2:$AY$2&amp;Demand_previous!$D$3:$AY$3, 0))/1000</f>
        <v>0.18304326923076936</v>
      </c>
      <c r="AS123" s="384">
        <f t="array" ref="AS123">INDEX(Demand_previous!$D$4:$AY$138, MATCH('Staging Table'!$A123, Demand_previous!$B$4:$B$138, 0), MATCH(AS$4&amp;AS$5,Demand_previous!$D$2:$AY$2&amp;Demand_previous!$D$3:$AY$3, 0))/1000</f>
        <v>0.35148249999999998</v>
      </c>
      <c r="AT123" s="384">
        <f t="array" ref="AT123">INDEX(Demand_previous!$D$4:$AY$138, MATCH('Staging Table'!$A123, Demand_previous!$B$4:$B$138, 0), MATCH(AT$4&amp;AT$5,Demand_previous!$D$2:$AY$2&amp;Demand_previous!$D$3:$AY$3, 0))/1000</f>
        <v>1.0948402777777777</v>
      </c>
      <c r="AU123" s="384">
        <f t="array" ref="AU123">INDEX(Demand_previous!$D$4:$AY$138, MATCH('Staging Table'!$A123, Demand_previous!$B$4:$B$138, 0), MATCH(AU$4&amp;AU$5,Demand_previous!$D$2:$AY$2&amp;Demand_previous!$D$3:$AY$3, 0))/1000</f>
        <v>0</v>
      </c>
      <c r="AV123" s="384">
        <f>IF($D123=0,IF(C123=0, MAX(AY123 - (VLOOKUP($A123,TOCA_previous!$A$2:$AI$137,MATCH("RHWM 2016",TOCA_previous!$A$2:$AI$2,0),FALSE)*$F$2*TOCA_previous!C120),0),0), 0)</f>
        <v>0</v>
      </c>
      <c r="AW123" s="427">
        <f>VLOOKUP($A123,REP_previous!$A$1:$D$135,MATCH("FY "&amp;$F$1&amp; " Total Refund",REP_previous!$A$1:$D$1,0),0)</f>
        <v>19067.298422171465</v>
      </c>
      <c r="AX123" s="398">
        <f>MIN(VLOOKUP($A123,TOCA_previous!$A$2:$AI$137,MATCH("TRL - NLSL - Exisiting Resource "&amp;$F$1,TOCA_previous!$A$2:$AI$2,0),FALSE)*$F$2,(VLOOKUP($A123,TOCA_previous!$A$2:$AI$137,MATCH("RHWM 2016",TOCA_previous!$A$2:$AI$2,0),FALSE)*$F$2))</f>
        <v>13009.104000000001</v>
      </c>
      <c r="AY123" s="384">
        <f>SUM(L123:AI123)+(F123*RT1SC!$C$3*$F$2)</f>
        <v>12041.84103062334</v>
      </c>
      <c r="AZ123" s="398">
        <f>VLOOKUP($A123,TOCA_previous!$A$2:$AI$137,MATCH("Above RHWM Not Served with LS "&amp;$F$1,TOCA_previous!$A$2:$AI$2,0),FALSE)*$F$2</f>
        <v>0</v>
      </c>
      <c r="BA123" s="206">
        <f t="shared" si="19"/>
        <v>-967.2629693766612</v>
      </c>
      <c r="BB123" s="399">
        <f>(VLOOKUP($A123,TOCA_previous!$A$2:$AI$137,MATCH("RHWM 2016",TOCA_previous!$A$2:$AI$2,0),FALSE)*$F$2) - $AX123</f>
        <v>272.30399999999827</v>
      </c>
      <c r="BC123" s="206">
        <f t="shared" si="20"/>
        <v>0</v>
      </c>
      <c r="BD123" s="400">
        <f t="shared" si="21"/>
        <v>967.2629693766612</v>
      </c>
      <c r="BE123" s="392">
        <f t="shared" si="22"/>
        <v>0</v>
      </c>
      <c r="BF123" s="399">
        <f t="shared" si="23"/>
        <v>967.2629693766612</v>
      </c>
      <c r="BG123" s="206">
        <f>VLOOKUP($A123,TOCA_current!$A$2:$AI$137,MATCH(BG$4,TOCA_current!$A$2:$AI$2,0),FALSE)</f>
        <v>2.0780000000000001E-4</v>
      </c>
      <c r="BH123" s="206">
        <f>VLOOKUP($A123,TOCA_current!$A$2:$AI$137,MATCH(BH$4,TOCA_current!$A$2:$AI$2,0),FALSE)</f>
        <v>2.0780000000000001E-4</v>
      </c>
      <c r="BI123" s="391">
        <f t="shared" si="24"/>
        <v>0</v>
      </c>
      <c r="BJ123" s="206">
        <f>VLOOKUP($A123,TOCA_current!A119:BG254,MATCH(BJ$4,TOCA_current!$A$2:$BG$2,0),FALSE)</f>
        <v>0</v>
      </c>
      <c r="BK123" s="206">
        <f t="shared" si="25"/>
        <v>0</v>
      </c>
      <c r="BL123" s="206">
        <f t="shared" si="26"/>
        <v>0</v>
      </c>
      <c r="BM123" s="381">
        <f>VLOOKUP($A123,IRD!$A$4:$G$139, 7, FALSE)</f>
        <v>0</v>
      </c>
      <c r="BN123" s="382">
        <f t="array" ref="BN123">IF($BI123=0, INDEX(LS_current!$D$4:$AY$139, MATCH('Staging Table'!$A123, LS_current!$B$4:$B$139, 0), MATCH(BN$4&amp;BN$5, LS_current!$D$2:$AY$2&amp;LS_current!$D$3:$AY$3, 0)),SUM(VLOOKUP($A123, LS_current!$B$4:$AY$139, LS_current!D$149, FALSE), VLOOKUP($A123, LS_current!$B$4:$AY$139,LS_current!D$149, FALSE))/2)</f>
        <v>-8.5732564742428394</v>
      </c>
      <c r="BO123" s="382">
        <f t="array" ref="BO123">IF($BI123=0, INDEX(LS_current!$D$4:$AY$139, MATCH('Staging Table'!$A123, LS_current!$B$4:$B$139, 0), MATCH(BO$4&amp;BO$5, LS_current!$D$2:$AY$2&amp;LS_current!$D$3:$AY$3, 0)),SUM(VLOOKUP($A123, LS_current!$B$4:$AY$139, LS_current!E$149, FALSE), VLOOKUP($A123, LS_current!$B$4:$AY$139,LS_current!E$149, FALSE))/2)</f>
        <v>138.62276944970455</v>
      </c>
      <c r="BP123" s="382">
        <f t="array" ref="BP123">IF($BI123=0, INDEX(LS_current!$D$4:$AY$139, MATCH('Staging Table'!$A123, LS_current!$B$4:$B$139, 0), MATCH(BP$4&amp;BP$5, LS_current!$D$2:$AY$2&amp;LS_current!$D$3:$AY$3, 0)),SUM(VLOOKUP($A123, LS_current!$B$4:$AY$139, LS_current!F$149, FALSE), VLOOKUP($A123, LS_current!$B$4:$AY$139,LS_current!F$149, FALSE))/2)</f>
        <v>-148.95419098595619</v>
      </c>
      <c r="BQ123" s="382">
        <f t="array" ref="BQ123">IF($BI123=0, INDEX(LS_current!$D$4:$AY$139, MATCH('Staging Table'!$A123, LS_current!$B$4:$B$139, 0), MATCH(BQ$4&amp;BQ$5, LS_current!$D$2:$AY$2&amp;LS_current!$D$3:$AY$3, 0)),SUM(VLOOKUP($A123, LS_current!$B$4:$AY$139, LS_current!G$149, FALSE), VLOOKUP($A123, LS_current!$B$4:$AY$139,LS_current!G$149, FALSE))/2)</f>
        <v>77.573402825147696</v>
      </c>
      <c r="BR123" s="382">
        <f t="array" ref="BR123">IF($BI123=0, INDEX(LS_current!$D$4:$AY$139, MATCH('Staging Table'!$A123, LS_current!$B$4:$B$139, 0), MATCH(BR$4&amp;BR$5, LS_current!$D$2:$AY$2&amp;LS_current!$D$3:$AY$3, 0)),SUM(VLOOKUP($A123, LS_current!$B$4:$AY$139, LS_current!H$149, FALSE), VLOOKUP($A123, LS_current!$B$4:$AY$139,LS_current!H$149, FALSE))/2)</f>
        <v>-73.303046363872681</v>
      </c>
      <c r="BS123" s="382">
        <f t="array" ref="BS123">IF($BI123=0, INDEX(LS_current!$D$4:$AY$139, MATCH('Staging Table'!$A123, LS_current!$B$4:$B$139, 0), MATCH(BS$4&amp;BS$5, LS_current!$D$2:$AY$2&amp;LS_current!$D$3:$AY$3, 0)),SUM(VLOOKUP($A123, LS_current!$B$4:$AY$139, LS_current!I$149, FALSE), VLOOKUP($A123, LS_current!$B$4:$AY$139,LS_current!I$149, FALSE))/2)</f>
        <v>112.75338946320312</v>
      </c>
      <c r="BT123" s="382">
        <f t="array" ref="BT123">IF($BI123=0, INDEX(LS_current!$D$4:$AY$139, MATCH('Staging Table'!$A123, LS_current!$B$4:$B$139, 0), MATCH(BT$4&amp;BT$5, LS_current!$D$2:$AY$2&amp;LS_current!$D$3:$AY$3, 0)),SUM(VLOOKUP($A123, LS_current!$B$4:$AY$139, LS_current!J$149, FALSE), VLOOKUP($A123, LS_current!$B$4:$AY$139,LS_current!J$149, FALSE))/2)</f>
        <v>42.164274913985537</v>
      </c>
      <c r="BU123" s="382">
        <f t="array" ref="BU123">IF($BI123=0, INDEX(LS_current!$D$4:$AY$139, MATCH('Staging Table'!$A123, LS_current!$B$4:$B$139, 0), MATCH(BU$4&amp;BU$5, LS_current!$D$2:$AY$2&amp;LS_current!$D$3:$AY$3, 0)),SUM(VLOOKUP($A123, LS_current!$B$4:$AY$139, LS_current!K$149, FALSE), VLOOKUP($A123, LS_current!$B$4:$AY$139,LS_current!K$149, FALSE))/2)</f>
        <v>179.53804513576637</v>
      </c>
      <c r="BV123" s="382">
        <f t="array" ref="BV123">IF($BI123=0, INDEX(LS_current!$D$4:$AY$139, MATCH('Staging Table'!$A123, LS_current!$B$4:$B$139, 0), MATCH(BV$4&amp;BV$5, LS_current!$D$2:$AY$2&amp;LS_current!$D$3:$AY$3, 0)),SUM(VLOOKUP($A123, LS_current!$B$4:$AY$139, LS_current!L$149, FALSE), VLOOKUP($A123, LS_current!$B$4:$AY$139,LS_current!L$149, FALSE))/2)</f>
        <v>93.741444423179814</v>
      </c>
      <c r="BW123" s="382">
        <f t="array" ref="BW123">IF($BI123=0, INDEX(LS_current!$D$4:$AY$139, MATCH('Staging Table'!$A123, LS_current!$B$4:$B$139, 0), MATCH(BW$4&amp;BW$5, LS_current!$D$2:$AY$2&amp;LS_current!$D$3:$AY$3, 0)),SUM(VLOOKUP($A123, LS_current!$B$4:$AY$139, LS_current!M$149, FALSE), VLOOKUP($A123, LS_current!$B$4:$AY$139,LS_current!M$149, FALSE))/2)</f>
        <v>179.09403505858495</v>
      </c>
      <c r="BX123" s="382">
        <f t="array" ref="BX123">IF($BI123=0, INDEX(LS_current!$D$4:$AY$139, MATCH('Staging Table'!$A123, LS_current!$B$4:$B$139, 0), MATCH(BX$4&amp;BX$5, LS_current!$D$2:$AY$2&amp;LS_current!$D$3:$AY$3, 0)),SUM(VLOOKUP($A123, LS_current!$B$4:$AY$139, LS_current!N$149, FALSE), VLOOKUP($A123, LS_current!$B$4:$AY$139,LS_current!N$149, FALSE))/2)</f>
        <v>32.286889239249604</v>
      </c>
      <c r="BY123" s="382">
        <f t="array" ref="BY123">IF($BI123=0, INDEX(LS_current!$D$4:$AY$139, MATCH('Staging Table'!$A123, LS_current!$B$4:$B$139, 0), MATCH(BY$4&amp;BY$5, LS_current!$D$2:$AY$2&amp;LS_current!$D$3:$AY$3, 0)),SUM(VLOOKUP($A123, LS_current!$B$4:$AY$139, LS_current!O$149, FALSE), VLOOKUP($A123, LS_current!$B$4:$AY$139,LS_current!O$149, FALSE))/2)</f>
        <v>156.5014447489184</v>
      </c>
      <c r="BZ123" s="382">
        <f t="array" ref="BZ123">IF($BI123=0, INDEX(LS_current!$D$4:$AY$139, MATCH('Staging Table'!$A123, LS_current!$B$4:$B$139, 0), MATCH(BZ$4&amp;BZ$5, LS_current!$D$2:$AY$2&amp;LS_current!$D$3:$AY$3, 0)),SUM(VLOOKUP($A123, LS_current!$B$4:$AY$139, LS_current!P$149, FALSE), VLOOKUP($A123, LS_current!$B$4:$AY$139,LS_current!P$149, FALSE))/2)</f>
        <v>13.008345875157261</v>
      </c>
      <c r="CA123" s="382">
        <f t="array" ref="CA123">IF($BI123=0, INDEX(LS_current!$D$4:$AY$139, MATCH('Staging Table'!$A123, LS_current!$B$4:$B$139, 0), MATCH(CA$4&amp;CA$5, LS_current!$D$2:$AY$2&amp;LS_current!$D$3:$AY$3, 0)),SUM(VLOOKUP($A123, LS_current!$B$4:$AY$139, LS_current!Q$149, FALSE), VLOOKUP($A123, LS_current!$B$4:$AY$139,LS_current!Q$149, FALSE))/2)</f>
        <v>152.7943132467754</v>
      </c>
      <c r="CB123" s="382">
        <f t="array" ref="CB123">IF($BI123=0, INDEX(LS_current!$D$4:$AY$139, MATCH('Staging Table'!$A123, LS_current!$B$4:$B$139, 0), MATCH(CB$4&amp;CB$5, LS_current!$D$2:$AY$2&amp;LS_current!$D$3:$AY$3, 0)),SUM(VLOOKUP($A123, LS_current!$B$4:$AY$139, LS_current!R$149, FALSE), VLOOKUP($A123, LS_current!$B$4:$AY$139,LS_current!R$149, FALSE))/2)</f>
        <v>-330.43524848751031</v>
      </c>
      <c r="CC123" s="382">
        <f t="array" ref="CC123">IF($BI123=0, INDEX(LS_current!$D$4:$AY$139, MATCH('Staging Table'!$A123, LS_current!$B$4:$B$139, 0), MATCH(CC$4&amp;CC$5, LS_current!$D$2:$AY$2&amp;LS_current!$D$3:$AY$3, 0)),SUM(VLOOKUP($A123, LS_current!$B$4:$AY$139, LS_current!S$149, FALSE), VLOOKUP($A123, LS_current!$B$4:$AY$139,LS_current!S$149, FALSE))/2)</f>
        <v>-20.826550573633369</v>
      </c>
      <c r="CD123" s="382">
        <f t="array" ref="CD123">IF($BI123=0, INDEX(LS_current!$D$4:$AY$139, MATCH('Staging Table'!$A123, LS_current!$B$4:$B$139, 0), MATCH(CD$4&amp;CD$5, LS_current!$D$2:$AY$2&amp;LS_current!$D$3:$AY$3, 0)),SUM(VLOOKUP($A123, LS_current!$B$4:$AY$139, LS_current!T$149, FALSE), VLOOKUP($A123, LS_current!$B$4:$AY$139,LS_current!T$149, FALSE))/2)</f>
        <v>-202.85759986624748</v>
      </c>
      <c r="CE123" s="382">
        <f t="array" ref="CE123">IF($BI123=0, INDEX(LS_current!$D$4:$AY$139, MATCH('Staging Table'!$A123, LS_current!$B$4:$B$139, 0), MATCH(CE$4&amp;CE$5, LS_current!$D$2:$AY$2&amp;LS_current!$D$3:$AY$3, 0)),SUM(VLOOKUP($A123, LS_current!$B$4:$AY$139, LS_current!U$149, FALSE), VLOOKUP($A123, LS_current!$B$4:$AY$139,LS_current!U$149, FALSE))/2)</f>
        <v>29.161560890890144</v>
      </c>
      <c r="CF123" s="382">
        <f t="array" ref="CF123">IF($BI123=0, INDEX(LS_current!$D$4:$AY$139, MATCH('Staging Table'!$A123, LS_current!$B$4:$B$139, 0), MATCH(CF$4&amp;CF$5, LS_current!$D$2:$AY$2&amp;LS_current!$D$3:$AY$3, 0)),SUM(VLOOKUP($A123, LS_current!$B$4:$AY$139, LS_current!V$149, FALSE), VLOOKUP($A123, LS_current!$B$4:$AY$139,LS_current!V$149, FALSE))/2)</f>
        <v>-208.48947554683662</v>
      </c>
      <c r="CG123" s="382">
        <f t="array" ref="CG123">IF($BI123=0, INDEX(LS_current!$D$4:$AY$139, MATCH('Staging Table'!$A123, LS_current!$B$4:$B$139, 0), MATCH(CG$4&amp;CG$5, LS_current!$D$2:$AY$2&amp;LS_current!$D$3:$AY$3, 0)),SUM(VLOOKUP($A123, LS_current!$B$4:$AY$139, LS_current!W$149, FALSE), VLOOKUP($A123, LS_current!$B$4:$AY$139,LS_current!W$149, FALSE))/2)</f>
        <v>46.118599398915592</v>
      </c>
      <c r="CH123" s="382">
        <f t="array" ref="CH123">IF($BI123=0, INDEX(LS_current!$D$4:$AY$139, MATCH('Staging Table'!$A123, LS_current!$B$4:$B$139, 0), MATCH(CH$4&amp;CH$5, LS_current!$D$2:$AY$2&amp;LS_current!$D$3:$AY$3, 0)),SUM(VLOOKUP($A123, LS_current!$B$4:$AY$139, LS_current!X$149, FALSE), VLOOKUP($A123, LS_current!$B$4:$AY$139,LS_current!X$149, FALSE))/2)</f>
        <v>-566.09161635596593</v>
      </c>
      <c r="CI123" s="382">
        <f t="array" ref="CI123">IF($BI123=0, INDEX(LS_current!$D$4:$AY$139, MATCH('Staging Table'!$A123, LS_current!$B$4:$B$139, 0), MATCH(CI$4&amp;CI$5, LS_current!$D$2:$AY$2&amp;LS_current!$D$3:$AY$3, 0)),SUM(VLOOKUP($A123, LS_current!$B$4:$AY$139, LS_current!Y$149, FALSE), VLOOKUP($A123, LS_current!$B$4:$AY$139,LS_current!Y$149, FALSE))/2)</f>
        <v>-233.64754393029358</v>
      </c>
      <c r="CJ123" s="382">
        <f t="array" ref="CJ123">IF($BI123=0, INDEX(LS_current!$D$4:$AY$139, MATCH('Staging Table'!$A123, LS_current!$B$4:$B$139, 0), MATCH(CJ$4&amp;CJ$5, LS_current!$D$2:$AY$2&amp;LS_current!$D$3:$AY$3, 0)),SUM(VLOOKUP($A123, LS_current!$B$4:$AY$139, LS_current!Z$149, FALSE), VLOOKUP($A123, LS_current!$B$4:$AY$139,LS_current!Z$149, FALSE))/2)</f>
        <v>-133.80130273310107</v>
      </c>
      <c r="CK123" s="382">
        <f t="array" ref="CK123">IF($BI123=0, INDEX(LS_current!$D$4:$AY$139, MATCH('Staging Table'!$A123, LS_current!$B$4:$B$139, 0), MATCH(CK$4&amp;CK$5, LS_current!$D$2:$AY$2&amp;LS_current!$D$3:$AY$3, 0)),SUM(VLOOKUP($A123, LS_current!$B$4:$AY$139, LS_current!AA$149, FALSE), VLOOKUP($A123, LS_current!$B$4:$AY$139,LS_current!AA$149, FALSE))/2)</f>
        <v>73.564871594525016</v>
      </c>
      <c r="CL123" s="384">
        <f t="array" ref="CL123">INDEX(Demand_current!$D$4:$AY$138, MATCH($A123, Demand_current!$B$4:$B$138, 0), MATCH(CL$4&amp;CL$5,Demand_current!$D$2:$AY$2&amp;Demand_current!$D$3:$AY$3, 0))/1000</f>
        <v>0.10123317307692323</v>
      </c>
      <c r="CM123" s="384">
        <f t="array" ref="CM123">INDEX(Demand_current!$D$4:$AY$138, MATCH($A123, Demand_current!$B$4:$B$138, 0), MATCH(CM$4&amp;CM$5,Demand_current!$D$2:$AY$2&amp;Demand_current!$D$3:$AY$3, 0))/1000</f>
        <v>8.6417500000000036E-2</v>
      </c>
      <c r="CN123" s="384">
        <f t="array" ref="CN123">INDEX(Demand_current!$D$4:$AY$138, MATCH($A123, Demand_current!$B$4:$B$138, 0), MATCH(CN$4&amp;CN$5,Demand_current!$D$2:$AY$2&amp;Demand_current!$D$3:$AY$3, 0))/1000</f>
        <v>0.14536999999999997</v>
      </c>
      <c r="CO123" s="384">
        <f t="array" ref="CO123">INDEX(Demand_current!$D$4:$AY$138, MATCH($A123, Demand_current!$B$4:$B$138, 0), MATCH(CO$4&amp;CO$5,Demand_current!$D$2:$AY$2&amp;Demand_current!$D$3:$AY$3, 0))/1000</f>
        <v>0.18396153846153829</v>
      </c>
      <c r="CP123" s="384">
        <f t="array" ref="CP123">INDEX(Demand_current!$D$4:$AY$138, MATCH($A123, Demand_current!$B$4:$B$138, 0), MATCH(CP$4&amp;CP$5,Demand_current!$D$2:$AY$2&amp;Demand_current!$D$3:$AY$3, 0))/1000</f>
        <v>0.11401302083333338</v>
      </c>
      <c r="CQ123" s="384">
        <f t="array" ref="CQ123">INDEX(Demand_current!$D$4:$AY$138, MATCH($A123, Demand_current!$B$4:$B$138, 0), MATCH(CQ$4&amp;CQ$5,Demand_current!$D$2:$AY$2&amp;Demand_current!$D$3:$AY$3, 0))/1000</f>
        <v>0.26496527777777812</v>
      </c>
      <c r="CR123" s="384">
        <f t="array" ref="CR123">INDEX(Demand_current!$D$4:$AY$138, MATCH($A123, Demand_current!$B$4:$B$138, 0), MATCH(CR$4&amp;CR$5,Demand_current!$D$2:$AY$2&amp;Demand_current!$D$3:$AY$3, 0))/1000</f>
        <v>0.12079500000000008</v>
      </c>
      <c r="CS123" s="384">
        <f t="array" ref="CS123">INDEX(Demand_current!$D$4:$AY$138, MATCH($A123, Demand_current!$B$4:$B$138, 0), MATCH(CS$4&amp;CS$5,Demand_current!$D$2:$AY$2&amp;Demand_current!$D$3:$AY$3, 0))/1000</f>
        <v>0.20224038461538452</v>
      </c>
      <c r="CT123" s="384">
        <f t="array" ref="CT123">INDEX(Demand_current!$D$4:$AY$138, MATCH($A123, Demand_current!$B$4:$B$138, 0), MATCH(CT$4&amp;CT$5,Demand_current!$D$2:$AY$2&amp;Demand_current!$D$3:$AY$3, 0))/1000</f>
        <v>0.18304326923076936</v>
      </c>
      <c r="CU123" s="384">
        <f t="array" ref="CU123">INDEX(Demand_current!$D$4:$AY$138, MATCH($A123, Demand_current!$B$4:$B$138, 0), MATCH(CU$4&amp;CU$5,Demand_current!$D$2:$AY$2&amp;Demand_current!$D$3:$AY$3, 0))/1000</f>
        <v>0.35148249999999998</v>
      </c>
      <c r="CV123" s="384">
        <f t="array" ref="CV123">INDEX(Demand_current!$D$4:$AY$138, MATCH($A123, Demand_current!$B$4:$B$138, 0), MATCH(CV$4&amp;CV$5,Demand_current!$D$2:$AY$2&amp;Demand_current!$D$3:$AY$3, 0))/1000</f>
        <v>1.0948402777777777</v>
      </c>
      <c r="CW123" s="384">
        <f t="array" ref="CW123">INDEX(Demand_current!$D$4:$AY$138, MATCH($A123, Demand_current!$B$4:$B$138, 0), MATCH(CW$4&amp;CW$5,Demand_current!$D$2:$AY$2&amp;Demand_current!$D$3:$AY$3, 0))/1000</f>
        <v>0</v>
      </c>
      <c r="CX123" s="384">
        <f>IF(D123=0,IF(C123=0,MAX(0,DA123 - (VLOOKUP($A123,TOCA_current!$A$2:$AI$137,MATCH("RHWM 2018",TOCA_current!$A$2:$AI$2,0),FALSE)*$BH$2)), 0),0)</f>
        <v>0</v>
      </c>
      <c r="CY123" s="427">
        <f>VLOOKUP($A123,REP_current!$A$1:$D$135,MATCH("FY "&amp;$BH$1&amp; " Total Refund",REP_current!$A$1:$D$1,0),0)</f>
        <v>19025.561523599932</v>
      </c>
      <c r="CZ123" s="432">
        <f>MIN(VLOOKUP($A123,TOCA_current!$A$2:$AI$137,MATCH("TRL - NLSL - Existing Resource "&amp;$BH$1,TOCA_current!$A$2:$AI$2,0),FALSE)*$BH$2, VLOOKUP($A123,TOCA_current!$A$2:$AI$137,MATCH("RHWM 2018",TOCA_current!$A$2:$AI$2,0),FALSE)*$BH$2)</f>
        <v>12640.68</v>
      </c>
      <c r="DA123" s="397">
        <f>SUM(BN123:CK123)+(BH123*RT1SC!$C$4*$BH$2)</f>
        <v>12041.841184434345</v>
      </c>
      <c r="DB123" s="432">
        <f>VLOOKUP($A123,TOCA_current!$A$2:$AI$137,MATCH("Above RHWM Not Served with LS "&amp;$BH$1,TOCA_current!$A$2:$AI$2,0),FALSE)*$BH$2</f>
        <v>0</v>
      </c>
      <c r="DC123" s="401">
        <f t="shared" si="27"/>
        <v>-598.83881556565575</v>
      </c>
      <c r="DD123" s="397">
        <f>(VLOOKUP($A123,TOCA_current!$A$2:$AI$137,MATCH("RHWM 2018",TOCA_current!$A$2:$AI$2,0),FALSE)*$BH$2) - $CZ123</f>
        <v>525.59999999999854</v>
      </c>
      <c r="DE123" s="397">
        <f t="shared" si="28"/>
        <v>0</v>
      </c>
      <c r="DF123" s="397">
        <f t="shared" si="29"/>
        <v>598.83881556565575</v>
      </c>
      <c r="DG123" s="397">
        <f t="shared" si="30"/>
        <v>0</v>
      </c>
      <c r="DH123" s="397">
        <f t="shared" si="31"/>
        <v>598.83881556565575</v>
      </c>
    </row>
    <row r="124" spans="1:112">
      <c r="A124" s="274">
        <v>10409</v>
      </c>
      <c r="B124" s="275" t="s">
        <v>125</v>
      </c>
      <c r="C124" s="397">
        <v>0</v>
      </c>
      <c r="D124" s="397">
        <v>0</v>
      </c>
      <c r="E124" s="205">
        <f>VLOOKUP($A124,TOCA_previous!$A$2:$AI$137,MATCH(E$4,TOCA_previous!$A$2:$AI$2,0),FALSE)</f>
        <v>2.8958999999999999E-3</v>
      </c>
      <c r="F124" s="206">
        <f>VLOOKUP($A124,TOCA_previous!$A$2:$AI$137,MATCH(F$4,TOCA_previous!$A$2:$AI$2,0),FALSE)</f>
        <v>2.8958999999999999E-3</v>
      </c>
      <c r="G124" s="206">
        <f t="shared" si="16"/>
        <v>0</v>
      </c>
      <c r="H124" s="206">
        <f>VLOOKUP($A124,TOCA_previous!$A$2:$AI$137,MATCH(H$4,TOCA_previous!$A$2:$AI$2,0),FALSE)</f>
        <v>0</v>
      </c>
      <c r="I124" s="206">
        <f t="shared" si="17"/>
        <v>0</v>
      </c>
      <c r="J124" s="206">
        <f t="shared" si="18"/>
        <v>0</v>
      </c>
      <c r="K124" s="381">
        <f>VLOOKUP(A124, IRD!$A$5:$C$139, 3, FALSE)</f>
        <v>0</v>
      </c>
      <c r="L124" s="382">
        <f t="array" ref="L124">IF($G124=0, INDEX(LS_previous!$D$4:$AY$138, MATCH('Staging Table'!$A124, LS_previous!$B$4:$B$138, 0), MATCH(L$4&amp;L$5, LS_previous!$D$2:$AY$2&amp;LS_previous!$D$3:$AY$3, 0)),SUM(VLOOKUP($A124, LS_previous!$B$4:$AY$138, LS_previous!D$149, FALSE), VLOOKUP('Staging Table'!$A124, LS_previous!$B$4:$AY$138,LS_previous!AB$149, FALSE))/2)</f>
        <v>-731.04764223696475</v>
      </c>
      <c r="M124" s="382">
        <f t="array" ref="M124">IF($G124=0, INDEX(LS_previous!$D$4:$AY$138, MATCH('Staging Table'!$A124, LS_previous!$B$4:$B$138, 0), MATCH(M$4&amp;M$5, LS_previous!$D$2:$AY$2&amp;LS_previous!$D$3:$AY$3, 0)),SUM(VLOOKUP($A124, LS_previous!$B$4:$AY$138, LS_previous!E$149, FALSE), VLOOKUP('Staging Table'!$A124, LS_previous!$B$4:$AY$138,LS_previous!AC$149, FALSE))/2)</f>
        <v>819.07944989437237</v>
      </c>
      <c r="N124" s="382">
        <f t="array" ref="N124">IF($G124=0, INDEX(LS_previous!$D$4:$AY$138, MATCH('Staging Table'!$A124, LS_previous!$B$4:$B$138, 0), MATCH(N$4&amp;N$5, LS_previous!$D$2:$AY$2&amp;LS_previous!$D$3:$AY$3, 0)),SUM(VLOOKUP($A124, LS_previous!$B$4:$AY$138, LS_previous!F$149, FALSE), VLOOKUP('Staging Table'!$A124, LS_previous!$B$4:$AY$138,LS_previous!AD$149, FALSE))/2)</f>
        <v>-1437.6068903176001</v>
      </c>
      <c r="O124" s="382">
        <f t="array" ref="O124">IF($G124=0, INDEX(LS_previous!$D$4:$AY$138, MATCH('Staging Table'!$A124, LS_previous!$B$4:$B$138, 0), MATCH(O$4&amp;O$5, LS_previous!$D$2:$AY$2&amp;LS_previous!$D$3:$AY$3, 0)),SUM(VLOOKUP($A124, LS_previous!$B$4:$AY$138, LS_previous!G$149, FALSE), VLOOKUP('Staging Table'!$A124, LS_previous!$B$4:$AY$138,LS_previous!AE$149, FALSE))/2)</f>
        <v>407.50545273509579</v>
      </c>
      <c r="P124" s="382">
        <f t="array" ref="P124">IF($G124=0, INDEX(LS_previous!$D$4:$AY$138, MATCH('Staging Table'!$A124, LS_previous!$B$4:$B$138, 0), MATCH(P$4&amp;P$5, LS_previous!$D$2:$AY$2&amp;LS_previous!$D$3:$AY$3, 0)),SUM(VLOOKUP($A124, LS_previous!$B$4:$AY$138, LS_previous!H$149, FALSE), VLOOKUP('Staging Table'!$A124, LS_previous!$B$4:$AY$138,LS_previous!AF$149, FALSE))/2)</f>
        <v>1.3179973392998363</v>
      </c>
      <c r="Q124" s="382">
        <f t="array" ref="Q124">IF($G124=0, INDEX(LS_previous!$D$4:$AY$138, MATCH('Staging Table'!$A124, LS_previous!$B$4:$B$138, 0), MATCH(Q$4&amp;Q$5, LS_previous!$D$2:$AY$2&amp;LS_previous!$D$3:$AY$3, 0)),SUM(VLOOKUP($A124, LS_previous!$B$4:$AY$138, LS_previous!I$149, FALSE), VLOOKUP('Staging Table'!$A124, LS_previous!$B$4:$AY$138,LS_previous!AG$149, FALSE))/2)</f>
        <v>1836.2906880955006</v>
      </c>
      <c r="R124" s="382">
        <f t="array" ref="R124">IF($G124=0, INDEX(LS_previous!$D$4:$AY$138, MATCH('Staging Table'!$A124, LS_previous!$B$4:$B$138, 0), MATCH(R$4&amp;R$5, LS_previous!$D$2:$AY$2&amp;LS_previous!$D$3:$AY$3, 0)),SUM(VLOOKUP($A124, LS_previous!$B$4:$AY$138, LS_previous!J$149, FALSE), VLOOKUP('Staging Table'!$A124, LS_previous!$B$4:$AY$138,LS_previous!AH$149, FALSE))/2)</f>
        <v>1123.7427529151209</v>
      </c>
      <c r="S124" s="382">
        <f t="array" ref="S124">IF($G124=0, INDEX(LS_previous!$D$4:$AY$138, MATCH('Staging Table'!$A124, LS_previous!$B$4:$B$138, 0), MATCH(S$4&amp;S$5, LS_previous!$D$2:$AY$2&amp;LS_previous!$D$3:$AY$3, 0)),SUM(VLOOKUP($A124, LS_previous!$B$4:$AY$138, LS_previous!K$149, FALSE), VLOOKUP('Staging Table'!$A124, LS_previous!$B$4:$AY$138,LS_previous!AI$149, FALSE))/2)</f>
        <v>1786.0487179646216</v>
      </c>
      <c r="T124" s="382">
        <f t="array" ref="T124">IF($G124=0, INDEX(LS_previous!$D$4:$AY$138, MATCH('Staging Table'!$A124, LS_previous!$B$4:$B$138, 0), MATCH(T$4&amp;T$5, LS_previous!$D$2:$AY$2&amp;LS_previous!$D$3:$AY$3, 0)),SUM(VLOOKUP($A124, LS_previous!$B$4:$AY$138, LS_previous!L$149, FALSE), VLOOKUP('Staging Table'!$A124, LS_previous!$B$4:$AY$138,LS_previous!AJ$149, FALSE))/2)</f>
        <v>629.43736071199055</v>
      </c>
      <c r="U124" s="382">
        <f t="array" ref="U124">IF($G124=0, INDEX(LS_previous!$D$4:$AY$138, MATCH('Staging Table'!$A124, LS_previous!$B$4:$B$138, 0), MATCH(U$4&amp;U$5, LS_previous!$D$2:$AY$2&amp;LS_previous!$D$3:$AY$3, 0)),SUM(VLOOKUP($A124, LS_previous!$B$4:$AY$138, LS_previous!M$149, FALSE), VLOOKUP('Staging Table'!$A124, LS_previous!$B$4:$AY$138,LS_previous!AK$149, FALSE))/2)</f>
        <v>1252.5142490182016</v>
      </c>
      <c r="V124" s="382">
        <f t="array" ref="V124">IF($G124=0, INDEX(LS_previous!$D$4:$AY$138, MATCH('Staging Table'!$A124, LS_previous!$B$4:$B$138, 0), MATCH(V$4&amp;V$5, LS_previous!$D$2:$AY$2&amp;LS_previous!$D$3:$AY$3, 0)),SUM(VLOOKUP($A124, LS_previous!$B$4:$AY$138, LS_previous!N$149, FALSE), VLOOKUP('Staging Table'!$A124, LS_previous!$B$4:$AY$138,LS_previous!AL$149, FALSE))/2)</f>
        <v>-358.74193079019096</v>
      </c>
      <c r="W124" s="382">
        <f t="array" ref="W124">IF($G124=0, INDEX(LS_previous!$D$4:$AY$138, MATCH('Staging Table'!$A124, LS_previous!$B$4:$B$138, 0), MATCH(W$4&amp;W$5, LS_previous!$D$2:$AY$2&amp;LS_previous!$D$3:$AY$3, 0)),SUM(VLOOKUP($A124, LS_previous!$B$4:$AY$138, LS_previous!O$149, FALSE), VLOOKUP('Staging Table'!$A124, LS_previous!$B$4:$AY$138,LS_previous!AM$149, FALSE))/2)</f>
        <v>347.59674801919573</v>
      </c>
      <c r="X124" s="382">
        <f t="array" ref="X124">IF($G124=0, INDEX(LS_previous!$D$4:$AY$138, MATCH('Staging Table'!$A124, LS_previous!$B$4:$B$138, 0), MATCH(X$4&amp;X$5, LS_previous!$D$2:$AY$2&amp;LS_previous!$D$3:$AY$3, 0)),SUM(VLOOKUP($A124, LS_previous!$B$4:$AY$138, LS_previous!P$149, FALSE), VLOOKUP('Staging Table'!$A124, LS_previous!$B$4:$AY$138,LS_previous!AN$149, FALSE))/2)</f>
        <v>-28.540190859708673</v>
      </c>
      <c r="Y124" s="382">
        <f t="array" ref="Y124">IF($G124=0, INDEX(LS_previous!$D$4:$AY$138, MATCH('Staging Table'!$A124, LS_previous!$B$4:$B$138, 0), MATCH(Y$4&amp;Y$5, LS_previous!$D$2:$AY$2&amp;LS_previous!$D$3:$AY$3, 0)),SUM(VLOOKUP($A124, LS_previous!$B$4:$AY$138, LS_previous!Q$149, FALSE), VLOOKUP('Staging Table'!$A124, LS_previous!$B$4:$AY$138,LS_previous!AO$149, FALSE))/2)</f>
        <v>1014.3569034237162</v>
      </c>
      <c r="Z124" s="382">
        <f t="array" ref="Z124">IF($G124=0, INDEX(LS_previous!$D$4:$AY$138, MATCH('Staging Table'!$A124, LS_previous!$B$4:$B$138, 0), MATCH(Z$4&amp;Z$5, LS_previous!$D$2:$AY$2&amp;LS_previous!$D$3:$AY$3, 0)),SUM(VLOOKUP($A124, LS_previous!$B$4:$AY$138, LS_previous!R$149, FALSE), VLOOKUP('Staging Table'!$A124, LS_previous!$B$4:$AY$138,LS_previous!AP$149, FALSE))/2)</f>
        <v>-4834.5738360956366</v>
      </c>
      <c r="AA124" s="382">
        <f t="array" ref="AA124">IF($G124=0, INDEX(LS_previous!$D$4:$AY$138, MATCH('Staging Table'!$A124, LS_previous!$B$4:$B$138, 0), MATCH(AA$4&amp;AA$5, LS_previous!$D$2:$AY$2&amp;LS_previous!$D$3:$AY$3, 0)),SUM(VLOOKUP($A124, LS_previous!$B$4:$AY$138, LS_previous!S$149, FALSE), VLOOKUP('Staging Table'!$A124, LS_previous!$B$4:$AY$138,LS_previous!AQ$149, FALSE))/2)</f>
        <v>-1317.8317728012144</v>
      </c>
      <c r="AB124" s="382">
        <f t="array" ref="AB124">IF($G124=0, INDEX(LS_previous!$D$4:$AY$138, MATCH('Staging Table'!$A124, LS_previous!$B$4:$B$138, 0), MATCH(AB$4&amp;AB$5, LS_previous!$D$2:$AY$2&amp;LS_previous!$D$3:$AY$3, 0)),SUM(VLOOKUP($A124, LS_previous!$B$4:$AY$138, LS_previous!T$149, FALSE), VLOOKUP('Staging Table'!$A124, LS_previous!$B$4:$AY$138,LS_previous!AR$149, FALSE))/2)</f>
        <v>-2584.3722998566191</v>
      </c>
      <c r="AC124" s="382">
        <f t="array" ref="AC124">IF($G124=0, INDEX(LS_previous!$D$4:$AY$138, MATCH('Staging Table'!$A124, LS_previous!$B$4:$B$138, 0), MATCH(AC$4&amp;AC$5, LS_previous!$D$2:$AY$2&amp;LS_previous!$D$3:$AY$3, 0)),SUM(VLOOKUP($A124, LS_previous!$B$4:$AY$138, LS_previous!U$149, FALSE), VLOOKUP('Staging Table'!$A124, LS_previous!$B$4:$AY$138,LS_previous!AS$149, FALSE))/2)</f>
        <v>-690.60093698803939</v>
      </c>
      <c r="AD124" s="382">
        <f t="array" ref="AD124">IF($G124=0, INDEX(LS_previous!$D$4:$AY$138, MATCH('Staging Table'!$A124, LS_previous!$B$4:$B$138, 0), MATCH(AD$4&amp;AD$5, LS_previous!$D$2:$AY$2&amp;LS_previous!$D$3:$AY$3, 0)),SUM(VLOOKUP($A124, LS_previous!$B$4:$AY$138, LS_previous!V$149, FALSE), VLOOKUP('Staging Table'!$A124, LS_previous!$B$4:$AY$138,LS_previous!AT$149, FALSE))/2)</f>
        <v>-2245.6265405620688</v>
      </c>
      <c r="AE124" s="382">
        <f t="array" ref="AE124">IF($G124=0, INDEX(LS_previous!$D$4:$AY$138, MATCH('Staging Table'!$A124, LS_previous!$B$4:$B$138, 0), MATCH(AE$4&amp;AE$5, LS_previous!$D$2:$AY$2&amp;LS_previous!$D$3:$AY$3, 0)),SUM(VLOOKUP($A124, LS_previous!$B$4:$AY$138, LS_previous!W$149, FALSE), VLOOKUP('Staging Table'!$A124, LS_previous!$B$4:$AY$138,LS_previous!AU$149, FALSE))/2)</f>
        <v>529.84370789433433</v>
      </c>
      <c r="AF124" s="382">
        <f t="array" ref="AF124">IF($G124=0, INDEX(LS_previous!$D$4:$AY$138, MATCH('Staging Table'!$A124, LS_previous!$B$4:$B$138, 0), MATCH(AF$4&amp;AF$5, LS_previous!$D$2:$AY$2&amp;LS_previous!$D$3:$AY$3, 0)),SUM(VLOOKUP($A124, LS_previous!$B$4:$AY$138, LS_previous!X$149, FALSE), VLOOKUP('Staging Table'!$A124, LS_previous!$B$4:$AY$138,LS_previous!AV$149, FALSE))/2)</f>
        <v>-2219.048117503412</v>
      </c>
      <c r="AG124" s="382">
        <f t="array" ref="AG124">IF($G124=0, INDEX(LS_previous!$D$4:$AY$138, MATCH('Staging Table'!$A124, LS_previous!$B$4:$B$138, 0), MATCH(AG$4&amp;AG$5, LS_previous!$D$2:$AY$2&amp;LS_previous!$D$3:$AY$3, 0)),SUM(VLOOKUP($A124, LS_previous!$B$4:$AY$138, LS_previous!Y$149, FALSE), VLOOKUP('Staging Table'!$A124, LS_previous!$B$4:$AY$138,LS_previous!AW$149, FALSE))/2)</f>
        <v>-4.5649735558763496</v>
      </c>
      <c r="AH124" s="382">
        <f t="array" ref="AH124">IF($G124=0, INDEX(LS_previous!$D$4:$AY$138, MATCH('Staging Table'!$A124, LS_previous!$B$4:$B$138, 0), MATCH(AH$4&amp;AH$5, LS_previous!$D$2:$AY$2&amp;LS_previous!$D$3:$AY$3, 0)),SUM(VLOOKUP($A124, LS_previous!$B$4:$AY$138, LS_previous!Z$149, FALSE), VLOOKUP('Staging Table'!$A124, LS_previous!$B$4:$AY$138,LS_previous!AX$149, FALSE))/2)</f>
        <v>-723.67853614136311</v>
      </c>
      <c r="AI124" s="382">
        <f t="array" ref="AI124">IF($G124=0, INDEX(LS_previous!$D$4:$AY$138, MATCH('Staging Table'!$A124, LS_previous!$B$4:$B$138, 0), MATCH(AI$4&amp;AI$5, LS_previous!$D$2:$AY$2&amp;LS_previous!$D$3:$AY$3, 0)),SUM(VLOOKUP($A124, LS_previous!$B$4:$AY$138, LS_previous!AA$149, FALSE), VLOOKUP('Staging Table'!$A124, LS_previous!$B$4:$AY$138,LS_previous!AY$149, FALSE))/2)</f>
        <v>738.88961823597492</v>
      </c>
      <c r="AJ124" s="384">
        <f t="array" ref="AJ124">INDEX(Demand_previous!$D$4:$AY$138, MATCH('Staging Table'!$A124, Demand_previous!$B$4:$B$138, 0), MATCH(AJ$4&amp;AJ$5,Demand_previous!$D$2:$AY$2&amp;Demand_previous!$D$3:$AY$3, 0))/1000</f>
        <v>2.1272129629629632</v>
      </c>
      <c r="AK124" s="384">
        <f t="array" ref="AK124">INDEX(Demand_previous!$D$4:$AY$138, MATCH('Staging Table'!$A124, Demand_previous!$B$4:$B$138, 0), MATCH(AK$4&amp;AK$5,Demand_previous!$D$2:$AY$2&amp;Demand_previous!$D$3:$AY$3, 0))/1000</f>
        <v>0</v>
      </c>
      <c r="AL124" s="384">
        <f t="array" ref="AL124">INDEX(Demand_previous!$D$4:$AY$138, MATCH('Staging Table'!$A124, Demand_previous!$B$4:$B$138, 0), MATCH(AL$4&amp;AL$5,Demand_previous!$D$2:$AY$2&amp;Demand_previous!$D$3:$AY$3, 0))/1000</f>
        <v>3.1792716346153855</v>
      </c>
      <c r="AM124" s="384">
        <f t="array" ref="AM124">INDEX(Demand_previous!$D$4:$AY$138, MATCH('Staging Table'!$A124, Demand_previous!$B$4:$B$138, 0), MATCH(AM$4&amp;AM$5,Demand_previous!$D$2:$AY$2&amp;Demand_previous!$D$3:$AY$3, 0))/1000</f>
        <v>0.54086249999999936</v>
      </c>
      <c r="AN124" s="384">
        <f t="array" ref="AN124">INDEX(Demand_previous!$D$4:$AY$138, MATCH('Staging Table'!$A124, Demand_previous!$B$4:$B$138, 0), MATCH(AN$4&amp;AN$5,Demand_previous!$D$2:$AY$2&amp;Demand_previous!$D$3:$AY$3, 0))/1000</f>
        <v>3.0387500000000003</v>
      </c>
      <c r="AO124" s="384">
        <f t="array" ref="AO124">INDEX(Demand_previous!$D$4:$AY$138, MATCH('Staging Table'!$A124, Demand_previous!$B$4:$B$138, 0), MATCH(AO$4&amp;AO$5,Demand_previous!$D$2:$AY$2&amp;Demand_previous!$D$3:$AY$3, 0))/1000</f>
        <v>1.5257129629629653</v>
      </c>
      <c r="AP124" s="384">
        <f t="array" ref="AP124">INDEX(Demand_previous!$D$4:$AY$138, MATCH('Staging Table'!$A124, Demand_previous!$B$4:$B$138, 0), MATCH(AP$4&amp;AP$5,Demand_previous!$D$2:$AY$2&amp;Demand_previous!$D$3:$AY$3, 0))/1000</f>
        <v>1.7446346153846153</v>
      </c>
      <c r="AQ124" s="384">
        <f t="array" ref="AQ124">INDEX(Demand_previous!$D$4:$AY$138, MATCH('Staging Table'!$A124, Demand_previous!$B$4:$B$138, 0), MATCH(AQ$4&amp;AQ$5,Demand_previous!$D$2:$AY$2&amp;Demand_previous!$D$3:$AY$3, 0))/1000</f>
        <v>0</v>
      </c>
      <c r="AR124" s="384">
        <f t="array" ref="AR124">INDEX(Demand_previous!$D$4:$AY$138, MATCH('Staging Table'!$A124, Demand_previous!$B$4:$B$138, 0), MATCH(AR$4&amp;AR$5,Demand_previous!$D$2:$AY$2&amp;Demand_previous!$D$3:$AY$3, 0))/1000</f>
        <v>1.6485192307692296</v>
      </c>
      <c r="AS124" s="384">
        <f t="array" ref="AS124">INDEX(Demand_previous!$D$4:$AY$138, MATCH('Staging Table'!$A124, Demand_previous!$B$4:$B$138, 0), MATCH(AS$4&amp;AS$5,Demand_previous!$D$2:$AY$2&amp;Demand_previous!$D$3:$AY$3, 0))/1000</f>
        <v>1.5538424999999982</v>
      </c>
      <c r="AT124" s="384">
        <f t="array" ref="AT124">INDEX(Demand_previous!$D$4:$AY$138, MATCH('Staging Table'!$A124, Demand_previous!$B$4:$B$138, 0), MATCH(AT$4&amp;AT$5,Demand_previous!$D$2:$AY$2&amp;Demand_previous!$D$3:$AY$3, 0))/1000</f>
        <v>1.3577662037037037</v>
      </c>
      <c r="AU124" s="384">
        <f t="array" ref="AU124">INDEX(Demand_previous!$D$4:$AY$138, MATCH('Staging Table'!$A124, Demand_previous!$B$4:$B$138, 0), MATCH(AU$4&amp;AU$5,Demand_previous!$D$2:$AY$2&amp;Demand_previous!$D$3:$AY$3, 0))/1000</f>
        <v>1.3893924999999974</v>
      </c>
      <c r="AV124" s="384">
        <f>IF($D124=0,IF(C124=0, MAX(AY124 - (VLOOKUP($A124,TOCA_previous!$A$2:$AI$137,MATCH("RHWM 2016",TOCA_previous!$A$2:$AI$2,0),FALSE)*$F$2*TOCA_previous!C121),0),0), 0)</f>
        <v>0</v>
      </c>
      <c r="AW124" s="427">
        <f>VLOOKUP($A124,REP_previous!$A$1:$D$135,MATCH("FY "&amp;$F$1&amp; " Total Refund",REP_previous!$A$1:$D$1,0),0)</f>
        <v>264660.94205283211</v>
      </c>
      <c r="AX124" s="398">
        <f>MIN(VLOOKUP($A124,TOCA_previous!$A$2:$AI$137,MATCH("TRL - NLSL - Exisiting Resource "&amp;$F$1,TOCA_previous!$A$2:$AI$2,0),FALSE)*$F$2,(VLOOKUP($A124,TOCA_previous!$A$2:$AI$137,MATCH("RHWM 2016",TOCA_previous!$A$2:$AI$2,0),FALSE)*$F$2))</f>
        <v>177630.04800000001</v>
      </c>
      <c r="AY124" s="384">
        <f>SUM(L124:AI124)+(F124*RT1SC!$C$3*$F$2)</f>
        <v>170943.21241811474</v>
      </c>
      <c r="AZ124" s="398">
        <f>VLOOKUP($A124,TOCA_previous!$A$2:$AI$137,MATCH("Above RHWM Not Served with LS "&amp;$F$1,TOCA_previous!$A$2:$AI$2,0),FALSE)*$F$2</f>
        <v>0</v>
      </c>
      <c r="BA124" s="206">
        <f t="shared" si="19"/>
        <v>-6686.8355818852724</v>
      </c>
      <c r="BB124" s="399">
        <f>(VLOOKUP($A124,TOCA_previous!$A$2:$AI$137,MATCH("RHWM 2016",TOCA_previous!$A$2:$AI$2,0),FALSE)*$F$2) - $AX124</f>
        <v>0</v>
      </c>
      <c r="BC124" s="206">
        <f t="shared" si="20"/>
        <v>0</v>
      </c>
      <c r="BD124" s="400">
        <f t="shared" si="21"/>
        <v>6686.8355818852724</v>
      </c>
      <c r="BE124" s="392">
        <f t="shared" si="22"/>
        <v>0</v>
      </c>
      <c r="BF124" s="399">
        <f t="shared" si="23"/>
        <v>6686.8355818852724</v>
      </c>
      <c r="BG124" s="206">
        <f>VLOOKUP($A124,TOCA_current!$A$2:$AI$137,MATCH(BG$4,TOCA_current!$A$2:$AI$2,0),FALSE)</f>
        <v>2.8021000000000001E-3</v>
      </c>
      <c r="BH124" s="206">
        <f>VLOOKUP($A124,TOCA_current!$A$2:$AI$137,MATCH(BH$4,TOCA_current!$A$2:$AI$2,0),FALSE)</f>
        <v>2.8021000000000001E-3</v>
      </c>
      <c r="BI124" s="391">
        <f t="shared" si="24"/>
        <v>0</v>
      </c>
      <c r="BJ124" s="206">
        <f>VLOOKUP($A124,TOCA_current!A120:BG255,MATCH(BJ$4,TOCA_current!$A$2:$BG$2,0),FALSE)</f>
        <v>0</v>
      </c>
      <c r="BK124" s="206">
        <f t="shared" si="25"/>
        <v>0</v>
      </c>
      <c r="BL124" s="206">
        <f t="shared" si="26"/>
        <v>0</v>
      </c>
      <c r="BM124" s="381">
        <f>VLOOKUP($A124,IRD!$A$4:$G$139, 7, FALSE)</f>
        <v>0</v>
      </c>
      <c r="BN124" s="382">
        <f t="array" ref="BN124">IF($BI124=0, INDEX(LS_current!$D$4:$AY$139, MATCH('Staging Table'!$A124, LS_current!$B$4:$B$139, 0), MATCH(BN$4&amp;BN$5, LS_current!$D$2:$AY$2&amp;LS_current!$D$3:$AY$3, 0)),SUM(VLOOKUP($A124, LS_current!$B$4:$AY$139, LS_current!D$149, FALSE), VLOOKUP($A124, LS_current!$B$4:$AY$139,LS_current!D$149, FALSE))/2)</f>
        <v>-492.26647481460714</v>
      </c>
      <c r="BO124" s="382">
        <f t="array" ref="BO124">IF($BI124=0, INDEX(LS_current!$D$4:$AY$139, MATCH('Staging Table'!$A124, LS_current!$B$4:$B$139, 0), MATCH(BO$4&amp;BO$5, LS_current!$D$2:$AY$2&amp;LS_current!$D$3:$AY$3, 0)),SUM(VLOOKUP($A124, LS_current!$B$4:$AY$139, LS_current!E$149, FALSE), VLOOKUP($A124, LS_current!$B$4:$AY$139,LS_current!E$149, FALSE))/2)</f>
        <v>1230.5041808229898</v>
      </c>
      <c r="BP124" s="382">
        <f t="array" ref="BP124">IF($BI124=0, INDEX(LS_current!$D$4:$AY$139, MATCH('Staging Table'!$A124, LS_current!$B$4:$B$139, 0), MATCH(BP$4&amp;BP$5, LS_current!$D$2:$AY$2&amp;LS_current!$D$3:$AY$3, 0)),SUM(VLOOKUP($A124, LS_current!$B$4:$AY$139, LS_current!F$149, FALSE), VLOOKUP($A124, LS_current!$B$4:$AY$139,LS_current!F$149, FALSE))/2)</f>
        <v>-1311.3801937523949</v>
      </c>
      <c r="BQ124" s="382">
        <f t="array" ref="BQ124">IF($BI124=0, INDEX(LS_current!$D$4:$AY$139, MATCH('Staging Table'!$A124, LS_current!$B$4:$B$139, 0), MATCH(BQ$4&amp;BQ$5, LS_current!$D$2:$AY$2&amp;LS_current!$D$3:$AY$3, 0)),SUM(VLOOKUP($A124, LS_current!$B$4:$AY$139, LS_current!G$149, FALSE), VLOOKUP($A124, LS_current!$B$4:$AY$139,LS_current!G$149, FALSE))/2)</f>
        <v>664.98970431350608</v>
      </c>
      <c r="BR124" s="382">
        <f t="array" ref="BR124">IF($BI124=0, INDEX(LS_current!$D$4:$AY$139, MATCH('Staging Table'!$A124, LS_current!$B$4:$B$139, 0), MATCH(BR$4&amp;BR$5, LS_current!$D$2:$AY$2&amp;LS_current!$D$3:$AY$3, 0)),SUM(VLOOKUP($A124, LS_current!$B$4:$AY$139, LS_current!H$149, FALSE), VLOOKUP($A124, LS_current!$B$4:$AY$139,LS_current!H$149, FALSE))/2)</f>
        <v>3.0192338007345825</v>
      </c>
      <c r="BS124" s="382">
        <f t="array" ref="BS124">IF($BI124=0, INDEX(LS_current!$D$4:$AY$139, MATCH('Staging Table'!$A124, LS_current!$B$4:$B$139, 0), MATCH(BS$4&amp;BS$5, LS_current!$D$2:$AY$2&amp;LS_current!$D$3:$AY$3, 0)),SUM(VLOOKUP($A124, LS_current!$B$4:$AY$139, LS_current!I$149, FALSE), VLOOKUP($A124, LS_current!$B$4:$AY$139,LS_current!I$149, FALSE))/2)</f>
        <v>1979.851855701836</v>
      </c>
      <c r="BT124" s="382">
        <f t="array" ref="BT124">IF($BI124=0, INDEX(LS_current!$D$4:$AY$139, MATCH('Staging Table'!$A124, LS_current!$B$4:$B$139, 0), MATCH(BT$4&amp;BT$5, LS_current!$D$2:$AY$2&amp;LS_current!$D$3:$AY$3, 0)),SUM(VLOOKUP($A124, LS_current!$B$4:$AY$139, LS_current!J$149, FALSE), VLOOKUP($A124, LS_current!$B$4:$AY$139,LS_current!J$149, FALSE))/2)</f>
        <v>1309.3519756327187</v>
      </c>
      <c r="BU124" s="382">
        <f t="array" ref="BU124">IF($BI124=0, INDEX(LS_current!$D$4:$AY$139, MATCH('Staging Table'!$A124, LS_current!$B$4:$B$139, 0), MATCH(BU$4&amp;BU$5, LS_current!$D$2:$AY$2&amp;LS_current!$D$3:$AY$3, 0)),SUM(VLOOKUP($A124, LS_current!$B$4:$AY$139, LS_current!K$149, FALSE), VLOOKUP($A124, LS_current!$B$4:$AY$139,LS_current!K$149, FALSE))/2)</f>
        <v>1940.4792842874449</v>
      </c>
      <c r="BV124" s="382">
        <f t="array" ref="BV124">IF($BI124=0, INDEX(LS_current!$D$4:$AY$139, MATCH('Staging Table'!$A124, LS_current!$B$4:$B$139, 0), MATCH(BV$4&amp;BV$5, LS_current!$D$2:$AY$2&amp;LS_current!$D$3:$AY$3, 0)),SUM(VLOOKUP($A124, LS_current!$B$4:$AY$139, LS_current!L$149, FALSE), VLOOKUP($A124, LS_current!$B$4:$AY$139,LS_current!L$149, FALSE))/2)</f>
        <v>1468.4234644763828</v>
      </c>
      <c r="BW124" s="382">
        <f t="array" ref="BW124">IF($BI124=0, INDEX(LS_current!$D$4:$AY$139, MATCH('Staging Table'!$A124, LS_current!$B$4:$B$139, 0), MATCH(BW$4&amp;BW$5, LS_current!$D$2:$AY$2&amp;LS_current!$D$3:$AY$3, 0)),SUM(VLOOKUP($A124, LS_current!$B$4:$AY$139, LS_current!M$149, FALSE), VLOOKUP($A124, LS_current!$B$4:$AY$139,LS_current!M$149, FALSE))/2)</f>
        <v>1864.2202022986576</v>
      </c>
      <c r="BX124" s="382">
        <f t="array" ref="BX124">IF($BI124=0, INDEX(LS_current!$D$4:$AY$139, MATCH('Staging Table'!$A124, LS_current!$B$4:$B$139, 0), MATCH(BX$4&amp;BX$5, LS_current!$D$2:$AY$2&amp;LS_current!$D$3:$AY$3, 0)),SUM(VLOOKUP($A124, LS_current!$B$4:$AY$139, LS_current!N$149, FALSE), VLOOKUP($A124, LS_current!$B$4:$AY$139,LS_current!N$149, FALSE))/2)</f>
        <v>390.75476052599333</v>
      </c>
      <c r="BY124" s="382">
        <f t="array" ref="BY124">IF($BI124=0, INDEX(LS_current!$D$4:$AY$139, MATCH('Staging Table'!$A124, LS_current!$B$4:$B$139, 0), MATCH(BY$4&amp;BY$5, LS_current!$D$2:$AY$2&amp;LS_current!$D$3:$AY$3, 0)),SUM(VLOOKUP($A124, LS_current!$B$4:$AY$139, LS_current!O$149, FALSE), VLOOKUP($A124, LS_current!$B$4:$AY$139,LS_current!O$149, FALSE))/2)</f>
        <v>1034.3932835945352</v>
      </c>
      <c r="BZ124" s="382">
        <f t="array" ref="BZ124">IF($BI124=0, INDEX(LS_current!$D$4:$AY$139, MATCH('Staging Table'!$A124, LS_current!$B$4:$B$139, 0), MATCH(BZ$4&amp;BZ$5, LS_current!$D$2:$AY$2&amp;LS_current!$D$3:$AY$3, 0)),SUM(VLOOKUP($A124, LS_current!$B$4:$AY$139, LS_current!P$149, FALSE), VLOOKUP($A124, LS_current!$B$4:$AY$139,LS_current!P$149, FALSE))/2)</f>
        <v>-633.83062860068094</v>
      </c>
      <c r="CA124" s="382">
        <f t="array" ref="CA124">IF($BI124=0, INDEX(LS_current!$D$4:$AY$139, MATCH('Staging Table'!$A124, LS_current!$B$4:$B$139, 0), MATCH(CA$4&amp;CA$5, LS_current!$D$2:$AY$2&amp;LS_current!$D$3:$AY$3, 0)),SUM(VLOOKUP($A124, LS_current!$B$4:$AY$139, LS_current!Q$149, FALSE), VLOOKUP($A124, LS_current!$B$4:$AY$139,LS_current!Q$149, FALSE))/2)</f>
        <v>1103.5287047583697</v>
      </c>
      <c r="CB124" s="382">
        <f t="array" ref="CB124">IF($BI124=0, INDEX(LS_current!$D$4:$AY$139, MATCH('Staging Table'!$A124, LS_current!$B$4:$B$139, 0), MATCH(CB$4&amp;CB$5, LS_current!$D$2:$AY$2&amp;LS_current!$D$3:$AY$3, 0)),SUM(VLOOKUP($A124, LS_current!$B$4:$AY$139, LS_current!R$149, FALSE), VLOOKUP($A124, LS_current!$B$4:$AY$139,LS_current!R$149, FALSE))/2)</f>
        <v>-4325.0024407452001</v>
      </c>
      <c r="CC124" s="382">
        <f t="array" ref="CC124">IF($BI124=0, INDEX(LS_current!$D$4:$AY$139, MATCH('Staging Table'!$A124, LS_current!$B$4:$B$139, 0), MATCH(CC$4&amp;CC$5, LS_current!$D$2:$AY$2&amp;LS_current!$D$3:$AY$3, 0)),SUM(VLOOKUP($A124, LS_current!$B$4:$AY$139, LS_current!S$149, FALSE), VLOOKUP($A124, LS_current!$B$4:$AY$139,LS_current!S$149, FALSE))/2)</f>
        <v>-1197.8519824946006</v>
      </c>
      <c r="CD124" s="382">
        <f t="array" ref="CD124">IF($BI124=0, INDEX(LS_current!$D$4:$AY$139, MATCH('Staging Table'!$A124, LS_current!$B$4:$B$139, 0), MATCH(CD$4&amp;CD$5, LS_current!$D$2:$AY$2&amp;LS_current!$D$3:$AY$3, 0)),SUM(VLOOKUP($A124, LS_current!$B$4:$AY$139, LS_current!T$149, FALSE), VLOOKUP($A124, LS_current!$B$4:$AY$139,LS_current!T$149, FALSE))/2)</f>
        <v>-2213.1057535380751</v>
      </c>
      <c r="CE124" s="382">
        <f t="array" ref="CE124">IF($BI124=0, INDEX(LS_current!$D$4:$AY$139, MATCH('Staging Table'!$A124, LS_current!$B$4:$B$139, 0), MATCH(CE$4&amp;CE$5, LS_current!$D$2:$AY$2&amp;LS_current!$D$3:$AY$3, 0)),SUM(VLOOKUP($A124, LS_current!$B$4:$AY$139, LS_current!U$149, FALSE), VLOOKUP($A124, LS_current!$B$4:$AY$139,LS_current!U$149, FALSE))/2)</f>
        <v>-118.03667626389142</v>
      </c>
      <c r="CF124" s="382">
        <f t="array" ref="CF124">IF($BI124=0, INDEX(LS_current!$D$4:$AY$139, MATCH('Staging Table'!$A124, LS_current!$B$4:$B$139, 0), MATCH(CF$4&amp;CF$5, LS_current!$D$2:$AY$2&amp;LS_current!$D$3:$AY$3, 0)),SUM(VLOOKUP($A124, LS_current!$B$4:$AY$139, LS_current!V$149, FALSE), VLOOKUP($A124, LS_current!$B$4:$AY$139,LS_current!V$149, FALSE))/2)</f>
        <v>-1390.8332181414371</v>
      </c>
      <c r="CG124" s="382">
        <f t="array" ref="CG124">IF($BI124=0, INDEX(LS_current!$D$4:$AY$139, MATCH('Staging Table'!$A124, LS_current!$B$4:$B$139, 0), MATCH(CG$4&amp;CG$5, LS_current!$D$2:$AY$2&amp;LS_current!$D$3:$AY$3, 0)),SUM(VLOOKUP($A124, LS_current!$B$4:$AY$139, LS_current!W$149, FALSE), VLOOKUP($A124, LS_current!$B$4:$AY$139,LS_current!W$149, FALSE))/2)</f>
        <v>1034.2676789013531</v>
      </c>
      <c r="CH124" s="382">
        <f t="array" ref="CH124">IF($BI124=0, INDEX(LS_current!$D$4:$AY$139, MATCH('Staging Table'!$A124, LS_current!$B$4:$B$139, 0), MATCH(CH$4&amp;CH$5, LS_current!$D$2:$AY$2&amp;LS_current!$D$3:$AY$3, 0)),SUM(VLOOKUP($A124, LS_current!$B$4:$AY$139, LS_current!X$149, FALSE), VLOOKUP($A124, LS_current!$B$4:$AY$139,LS_current!X$149, FALSE))/2)</f>
        <v>-1846.0749494275851</v>
      </c>
      <c r="CI124" s="382">
        <f t="array" ref="CI124">IF($BI124=0, INDEX(LS_current!$D$4:$AY$139, MATCH('Staging Table'!$A124, LS_current!$B$4:$B$139, 0), MATCH(CI$4&amp;CI$5, LS_current!$D$2:$AY$2&amp;LS_current!$D$3:$AY$3, 0)),SUM(VLOOKUP($A124, LS_current!$B$4:$AY$139, LS_current!Y$149, FALSE), VLOOKUP($A124, LS_current!$B$4:$AY$139,LS_current!Y$149, FALSE))/2)</f>
        <v>316.00264462427549</v>
      </c>
      <c r="CJ124" s="382">
        <f t="array" ref="CJ124">IF($BI124=0, INDEX(LS_current!$D$4:$AY$139, MATCH('Staging Table'!$A124, LS_current!$B$4:$B$139, 0), MATCH(CJ$4&amp;CJ$5, LS_current!$D$2:$AY$2&amp;LS_current!$D$3:$AY$3, 0)),SUM(VLOOKUP($A124, LS_current!$B$4:$AY$139, LS_current!Z$149, FALSE), VLOOKUP($A124, LS_current!$B$4:$AY$139,LS_current!Z$149, FALSE))/2)</f>
        <v>-1249.7661183273467</v>
      </c>
      <c r="CK124" s="382">
        <f t="array" ref="CK124">IF($BI124=0, INDEX(LS_current!$D$4:$AY$139, MATCH('Staging Table'!$A124, LS_current!$B$4:$B$139, 0), MATCH(CK$4&amp;CK$5, LS_current!$D$2:$AY$2&amp;LS_current!$D$3:$AY$3, 0)),SUM(VLOOKUP($A124, LS_current!$B$4:$AY$139, LS_current!AA$149, FALSE), VLOOKUP($A124, LS_current!$B$4:$AY$139,LS_current!AA$149, FALSE))/2)</f>
        <v>910.63587437448678</v>
      </c>
      <c r="CL124" s="384">
        <f t="array" ref="CL124">INDEX(Demand_current!$D$4:$AY$138, MATCH($A124, Demand_current!$B$4:$B$138, 0), MATCH(CL$4&amp;CL$5,Demand_current!$D$2:$AY$2&amp;Demand_current!$D$3:$AY$3, 0))/1000</f>
        <v>1.410221153846154</v>
      </c>
      <c r="CM124" s="384">
        <f t="array" ref="CM124">INDEX(Demand_current!$D$4:$AY$138, MATCH($A124, Demand_current!$B$4:$B$138, 0), MATCH(CM$4&amp;CM$5,Demand_current!$D$2:$AY$2&amp;Demand_current!$D$3:$AY$3, 0))/1000</f>
        <v>0.64159500000000147</v>
      </c>
      <c r="CN124" s="384">
        <f t="array" ref="CN124">INDEX(Demand_current!$D$4:$AY$138, MATCH($A124, Demand_current!$B$4:$B$138, 0), MATCH(CN$4&amp;CN$5,Demand_current!$D$2:$AY$2&amp;Demand_current!$D$3:$AY$3, 0))/1000</f>
        <v>2.2180025000000003</v>
      </c>
      <c r="CO124" s="384">
        <f t="array" ref="CO124">INDEX(Demand_current!$D$4:$AY$138, MATCH($A124, Demand_current!$B$4:$B$138, 0), MATCH(CO$4&amp;CO$5,Demand_current!$D$2:$AY$2&amp;Demand_current!$D$3:$AY$3, 0))/1000</f>
        <v>1.4810600961538469</v>
      </c>
      <c r="CP124" s="384">
        <f t="array" ref="CP124">INDEX(Demand_current!$D$4:$AY$138, MATCH($A124, Demand_current!$B$4:$B$138, 0), MATCH(CP$4&amp;CP$5,Demand_current!$D$2:$AY$2&amp;Demand_current!$D$3:$AY$3, 0))/1000</f>
        <v>2.1463645833333338</v>
      </c>
      <c r="CQ124" s="384">
        <f t="array" ref="CQ124">INDEX(Demand_current!$D$4:$AY$138, MATCH($A124, Demand_current!$B$4:$B$138, 0), MATCH(CQ$4&amp;CQ$5,Demand_current!$D$2:$AY$2&amp;Demand_current!$D$3:$AY$3, 0))/1000</f>
        <v>1.5257129629629653</v>
      </c>
      <c r="CR124" s="384">
        <f t="array" ref="CR124">INDEX(Demand_current!$D$4:$AY$138, MATCH($A124, Demand_current!$B$4:$B$138, 0), MATCH(CR$4&amp;CR$5,Demand_current!$D$2:$AY$2&amp;Demand_current!$D$3:$AY$3, 0))/1000</f>
        <v>1.0148199999999998</v>
      </c>
      <c r="CS124" s="384">
        <f t="array" ref="CS124">INDEX(Demand_current!$D$4:$AY$138, MATCH($A124, Demand_current!$B$4:$B$138, 0), MATCH(CS$4&amp;CS$5,Demand_current!$D$2:$AY$2&amp;Demand_current!$D$3:$AY$3, 0))/1000</f>
        <v>0.70445913461538356</v>
      </c>
      <c r="CT124" s="384">
        <f t="array" ref="CT124">INDEX(Demand_current!$D$4:$AY$138, MATCH($A124, Demand_current!$B$4:$B$138, 0), MATCH(CT$4&amp;CT$5,Demand_current!$D$2:$AY$2&amp;Demand_current!$D$3:$AY$3, 0))/1000</f>
        <v>1.6485192307692296</v>
      </c>
      <c r="CU124" s="384">
        <f t="array" ref="CU124">INDEX(Demand_current!$D$4:$AY$138, MATCH($A124, Demand_current!$B$4:$B$138, 0), MATCH(CU$4&amp;CU$5,Demand_current!$D$2:$AY$2&amp;Demand_current!$D$3:$AY$3, 0))/1000</f>
        <v>1.5538424999999982</v>
      </c>
      <c r="CV124" s="384">
        <f t="array" ref="CV124">INDEX(Demand_current!$D$4:$AY$138, MATCH($A124, Demand_current!$B$4:$B$138, 0), MATCH(CV$4&amp;CV$5,Demand_current!$D$2:$AY$2&amp;Demand_current!$D$3:$AY$3, 0))/1000</f>
        <v>1.3577662037037037</v>
      </c>
      <c r="CW124" s="384">
        <f t="array" ref="CW124">INDEX(Demand_current!$D$4:$AY$138, MATCH($A124, Demand_current!$B$4:$B$138, 0), MATCH(CW$4&amp;CW$5,Demand_current!$D$2:$AY$2&amp;Demand_current!$D$3:$AY$3, 0))/1000</f>
        <v>0.65099218749999954</v>
      </c>
      <c r="CX124" s="384">
        <f>IF(D124=0,IF(C124=0,MAX(0,DA124 - (VLOOKUP($A124,TOCA_current!$A$2:$AI$137,MATCH("RHWM 2018",TOCA_current!$A$2:$AI$2,0),FALSE)*$BH$2)), 0),0)</f>
        <v>0</v>
      </c>
      <c r="CY124" s="427">
        <f>VLOOKUP($A124,REP_current!$A$1:$D$135,MATCH("FY "&amp;$BH$1&amp; " Total Refund",REP_current!$A$1:$D$1,0),0)</f>
        <v>262699.15804798278</v>
      </c>
      <c r="CZ124" s="432">
        <f>MIN(VLOOKUP($A124,TOCA_current!$A$2:$AI$137,MATCH("TRL - NLSL - Existing Resource "&amp;$BH$1,TOCA_current!$A$2:$AI$2,0),FALSE)*$BH$2, VLOOKUP($A124,TOCA_current!$A$2:$AI$137,MATCH("RHWM 2018",TOCA_current!$A$2:$AI$2,0),FALSE)*$BH$2)</f>
        <v>170469.6</v>
      </c>
      <c r="DA124" s="397">
        <f>SUM(BN124:CK124)+(BH124*RT1SC!$C$4*$BH$2)</f>
        <v>170943.21448702348</v>
      </c>
      <c r="DB124" s="432">
        <f>VLOOKUP($A124,TOCA_current!$A$2:$AI$137,MATCH("Above RHWM Not Served with LS "&amp;$BH$1,TOCA_current!$A$2:$AI$2,0),FALSE)*$BH$2</f>
        <v>0</v>
      </c>
      <c r="DC124" s="401">
        <f t="shared" si="27"/>
        <v>473.61448702347116</v>
      </c>
      <c r="DD124" s="397">
        <f>(VLOOKUP($A124,TOCA_current!$A$2:$AI$137,MATCH("RHWM 2018",TOCA_current!$A$2:$AI$2,0),FALSE)*$BH$2) - $CZ124</f>
        <v>5553.8399999999965</v>
      </c>
      <c r="DE124" s="397">
        <f t="shared" si="28"/>
        <v>-473.61448702347116</v>
      </c>
      <c r="DF124" s="397">
        <f t="shared" si="29"/>
        <v>0</v>
      </c>
      <c r="DG124" s="397">
        <f t="shared" si="30"/>
        <v>0</v>
      </c>
      <c r="DH124" s="397">
        <f t="shared" si="31"/>
        <v>-473.61448702347116</v>
      </c>
    </row>
    <row r="125" spans="1:112">
      <c r="A125" s="274">
        <v>10426</v>
      </c>
      <c r="B125" s="275" t="s">
        <v>126</v>
      </c>
      <c r="C125" s="397">
        <v>0</v>
      </c>
      <c r="D125" s="397">
        <v>0</v>
      </c>
      <c r="E125" s="205">
        <f>VLOOKUP($A125,TOCA_previous!$A$2:$AI$137,MATCH(E$4,TOCA_previous!$A$2:$AI$2,0),FALSE)</f>
        <v>3.6962000000000002E-3</v>
      </c>
      <c r="F125" s="206">
        <f>VLOOKUP($A125,TOCA_previous!$A$2:$AI$137,MATCH(F$4,TOCA_previous!$A$2:$AI$2,0),FALSE)</f>
        <v>3.6962000000000002E-3</v>
      </c>
      <c r="G125" s="206">
        <f t="shared" si="16"/>
        <v>0</v>
      </c>
      <c r="H125" s="206">
        <f>VLOOKUP($A125,TOCA_previous!$A$2:$AI$137,MATCH(H$4,TOCA_previous!$A$2:$AI$2,0),FALSE)</f>
        <v>0</v>
      </c>
      <c r="I125" s="206">
        <f t="shared" si="17"/>
        <v>0</v>
      </c>
      <c r="J125" s="206">
        <f t="shared" si="18"/>
        <v>0</v>
      </c>
      <c r="K125" s="381">
        <f>VLOOKUP(A125, IRD!$A$5:$C$139, 3, FALSE)</f>
        <v>0</v>
      </c>
      <c r="L125" s="382">
        <f t="array" ref="L125">IF($G125=0, INDEX(LS_previous!$D$4:$AY$138, MATCH('Staging Table'!$A125, LS_previous!$B$4:$B$138, 0), MATCH(L$4&amp;L$5, LS_previous!$D$2:$AY$2&amp;LS_previous!$D$3:$AY$3, 0)),SUM(VLOOKUP($A125, LS_previous!$B$4:$AY$138, LS_previous!D$149, FALSE), VLOOKUP('Staging Table'!$A125, LS_previous!$B$4:$AY$138,LS_previous!AB$149, FALSE))/2)</f>
        <v>-5176.3385549695349</v>
      </c>
      <c r="M125" s="382">
        <f t="array" ref="M125">IF($G125=0, INDEX(LS_previous!$D$4:$AY$138, MATCH('Staging Table'!$A125, LS_previous!$B$4:$B$138, 0), MATCH(M$4&amp;M$5, LS_previous!$D$2:$AY$2&amp;LS_previous!$D$3:$AY$3, 0)),SUM(VLOOKUP($A125, LS_previous!$B$4:$AY$138, LS_previous!E$149, FALSE), VLOOKUP('Staging Table'!$A125, LS_previous!$B$4:$AY$138,LS_previous!AC$149, FALSE))/2)</f>
        <v>-1917.7558912947352</v>
      </c>
      <c r="N125" s="382">
        <f t="array" ref="N125">IF($G125=0, INDEX(LS_previous!$D$4:$AY$138, MATCH('Staging Table'!$A125, LS_previous!$B$4:$B$138, 0), MATCH(N$4&amp;N$5, LS_previous!$D$2:$AY$2&amp;LS_previous!$D$3:$AY$3, 0)),SUM(VLOOKUP($A125, LS_previous!$B$4:$AY$138, LS_previous!F$149, FALSE), VLOOKUP('Staging Table'!$A125, LS_previous!$B$4:$AY$138,LS_previous!AD$149, FALSE))/2)</f>
        <v>-5338.0193714534043</v>
      </c>
      <c r="O125" s="382">
        <f t="array" ref="O125">IF($G125=0, INDEX(LS_previous!$D$4:$AY$138, MATCH('Staging Table'!$A125, LS_previous!$B$4:$B$138, 0), MATCH(O$4&amp;O$5, LS_previous!$D$2:$AY$2&amp;LS_previous!$D$3:$AY$3, 0)),SUM(VLOOKUP($A125, LS_previous!$B$4:$AY$138, LS_previous!G$149, FALSE), VLOOKUP('Staging Table'!$A125, LS_previous!$B$4:$AY$138,LS_previous!AE$149, FALSE))/2)</f>
        <v>-1270.7007213303441</v>
      </c>
      <c r="P125" s="382">
        <f t="array" ref="P125">IF($G125=0, INDEX(LS_previous!$D$4:$AY$138, MATCH('Staging Table'!$A125, LS_previous!$B$4:$B$138, 0), MATCH(P$4&amp;P$5, LS_previous!$D$2:$AY$2&amp;LS_previous!$D$3:$AY$3, 0)),SUM(VLOOKUP($A125, LS_previous!$B$4:$AY$138, LS_previous!H$149, FALSE), VLOOKUP('Staging Table'!$A125, LS_previous!$B$4:$AY$138,LS_previous!AF$149, FALSE))/2)</f>
        <v>-2213.5459697967763</v>
      </c>
      <c r="Q125" s="382">
        <f t="array" ref="Q125">IF($G125=0, INDEX(LS_previous!$D$4:$AY$138, MATCH('Staging Table'!$A125, LS_previous!$B$4:$B$138, 0), MATCH(Q$4&amp;Q$5, LS_previous!$D$2:$AY$2&amp;LS_previous!$D$3:$AY$3, 0)),SUM(VLOOKUP($A125, LS_previous!$B$4:$AY$138, LS_previous!I$149, FALSE), VLOOKUP('Staging Table'!$A125, LS_previous!$B$4:$AY$138,LS_previous!AG$149, FALSE))/2)</f>
        <v>756.35891731019183</v>
      </c>
      <c r="R125" s="382">
        <f t="array" ref="R125">IF($G125=0, INDEX(LS_previous!$D$4:$AY$138, MATCH('Staging Table'!$A125, LS_previous!$B$4:$B$138, 0), MATCH(R$4&amp;R$5, LS_previous!$D$2:$AY$2&amp;LS_previous!$D$3:$AY$3, 0)),SUM(VLOOKUP($A125, LS_previous!$B$4:$AY$138, LS_previous!J$149, FALSE), VLOOKUP('Staging Table'!$A125, LS_previous!$B$4:$AY$138,LS_previous!AH$149, FALSE))/2)</f>
        <v>-548.02933363553166</v>
      </c>
      <c r="S125" s="382">
        <f t="array" ref="S125">IF($G125=0, INDEX(LS_previous!$D$4:$AY$138, MATCH('Staging Table'!$A125, LS_previous!$B$4:$B$138, 0), MATCH(S$4&amp;S$5, LS_previous!$D$2:$AY$2&amp;LS_previous!$D$3:$AY$3, 0)),SUM(VLOOKUP($A125, LS_previous!$B$4:$AY$138, LS_previous!K$149, FALSE), VLOOKUP('Staging Table'!$A125, LS_previous!$B$4:$AY$138,LS_previous!AI$149, FALSE))/2)</f>
        <v>1984.1410614803108</v>
      </c>
      <c r="T125" s="382">
        <f t="array" ref="T125">IF($G125=0, INDEX(LS_previous!$D$4:$AY$138, MATCH('Staging Table'!$A125, LS_previous!$B$4:$B$138, 0), MATCH(T$4&amp;T$5, LS_previous!$D$2:$AY$2&amp;LS_previous!$D$3:$AY$3, 0)),SUM(VLOOKUP($A125, LS_previous!$B$4:$AY$138, LS_previous!L$149, FALSE), VLOOKUP('Staging Table'!$A125, LS_previous!$B$4:$AY$138,LS_previous!AJ$149, FALSE))/2)</f>
        <v>-1629.4258723493022</v>
      </c>
      <c r="U125" s="382">
        <f t="array" ref="U125">IF($G125=0, INDEX(LS_previous!$D$4:$AY$138, MATCH('Staging Table'!$A125, LS_previous!$B$4:$B$138, 0), MATCH(U$4&amp;U$5, LS_previous!$D$2:$AY$2&amp;LS_previous!$D$3:$AY$3, 0)),SUM(VLOOKUP($A125, LS_previous!$B$4:$AY$138, LS_previous!M$149, FALSE), VLOOKUP('Staging Table'!$A125, LS_previous!$B$4:$AY$138,LS_previous!AK$149, FALSE))/2)</f>
        <v>730.83089199249844</v>
      </c>
      <c r="V125" s="382">
        <f t="array" ref="V125">IF($G125=0, INDEX(LS_previous!$D$4:$AY$138, MATCH('Staging Table'!$A125, LS_previous!$B$4:$B$138, 0), MATCH(V$4&amp;V$5, LS_previous!$D$2:$AY$2&amp;LS_previous!$D$3:$AY$3, 0)),SUM(VLOOKUP($A125, LS_previous!$B$4:$AY$138, LS_previous!N$149, FALSE), VLOOKUP('Staging Table'!$A125, LS_previous!$B$4:$AY$138,LS_previous!AL$149, FALSE))/2)</f>
        <v>-4361.6442119847743</v>
      </c>
      <c r="W125" s="382">
        <f t="array" ref="W125">IF($G125=0, INDEX(LS_previous!$D$4:$AY$138, MATCH('Staging Table'!$A125, LS_previous!$B$4:$B$138, 0), MATCH(W$4&amp;W$5, LS_previous!$D$2:$AY$2&amp;LS_previous!$D$3:$AY$3, 0)),SUM(VLOOKUP($A125, LS_previous!$B$4:$AY$138, LS_previous!O$149, FALSE), VLOOKUP('Staging Table'!$A125, LS_previous!$B$4:$AY$138,LS_previous!AM$149, FALSE))/2)</f>
        <v>-1215.3806108883082</v>
      </c>
      <c r="X125" s="382">
        <f t="array" ref="X125">IF($G125=0, INDEX(LS_previous!$D$4:$AY$138, MATCH('Staging Table'!$A125, LS_previous!$B$4:$B$138, 0), MATCH(X$4&amp;X$5, LS_previous!$D$2:$AY$2&amp;LS_previous!$D$3:$AY$3, 0)),SUM(VLOOKUP($A125, LS_previous!$B$4:$AY$138, LS_previous!P$149, FALSE), VLOOKUP('Staging Table'!$A125, LS_previous!$B$4:$AY$138,LS_previous!AN$149, FALSE))/2)</f>
        <v>-3376.7711167704883</v>
      </c>
      <c r="Y125" s="382">
        <f t="array" ref="Y125">IF($G125=0, INDEX(LS_previous!$D$4:$AY$138, MATCH('Staging Table'!$A125, LS_previous!$B$4:$B$138, 0), MATCH(Y$4&amp;Y$5, LS_previous!$D$2:$AY$2&amp;LS_previous!$D$3:$AY$3, 0)),SUM(VLOOKUP($A125, LS_previous!$B$4:$AY$138, LS_previous!Q$149, FALSE), VLOOKUP('Staging Table'!$A125, LS_previous!$B$4:$AY$138,LS_previous!AO$149, FALSE))/2)</f>
        <v>-1019.2512723731006</v>
      </c>
      <c r="Z125" s="382">
        <f t="array" ref="Z125">IF($G125=0, INDEX(LS_previous!$D$4:$AY$138, MATCH('Staging Table'!$A125, LS_previous!$B$4:$B$138, 0), MATCH(Z$4&amp;Z$5, LS_previous!$D$2:$AY$2&amp;LS_previous!$D$3:$AY$3, 0)),SUM(VLOOKUP($A125, LS_previous!$B$4:$AY$138, LS_previous!R$149, FALSE), VLOOKUP('Staging Table'!$A125, LS_previous!$B$4:$AY$138,LS_previous!AP$149, FALSE))/2)</f>
        <v>-10094.681397346834</v>
      </c>
      <c r="AA125" s="382">
        <f t="array" ref="AA125">IF($G125=0, INDEX(LS_previous!$D$4:$AY$138, MATCH('Staging Table'!$A125, LS_previous!$B$4:$B$138, 0), MATCH(AA$4&amp;AA$5, LS_previous!$D$2:$AY$2&amp;LS_previous!$D$3:$AY$3, 0)),SUM(VLOOKUP($A125, LS_previous!$B$4:$AY$138, LS_previous!S$149, FALSE), VLOOKUP('Staging Table'!$A125, LS_previous!$B$4:$AY$138,LS_previous!AQ$149, FALSE))/2)</f>
        <v>-4155.3769465892638</v>
      </c>
      <c r="AB125" s="382">
        <f t="array" ref="AB125">IF($G125=0, INDEX(LS_previous!$D$4:$AY$138, MATCH('Staging Table'!$A125, LS_previous!$B$4:$B$138, 0), MATCH(AB$4&amp;AB$5, LS_previous!$D$2:$AY$2&amp;LS_previous!$D$3:$AY$3, 0)),SUM(VLOOKUP($A125, LS_previous!$B$4:$AY$138, LS_previous!T$149, FALSE), VLOOKUP('Staging Table'!$A125, LS_previous!$B$4:$AY$138,LS_previous!AR$149, FALSE))/2)</f>
        <v>-6750.3837453399747</v>
      </c>
      <c r="AC125" s="382">
        <f t="array" ref="AC125">IF($G125=0, INDEX(LS_previous!$D$4:$AY$138, MATCH('Staging Table'!$A125, LS_previous!$B$4:$B$138, 0), MATCH(AC$4&amp;AC$5, LS_previous!$D$2:$AY$2&amp;LS_previous!$D$3:$AY$3, 0)),SUM(VLOOKUP($A125, LS_previous!$B$4:$AY$138, LS_previous!U$149, FALSE), VLOOKUP('Staging Table'!$A125, LS_previous!$B$4:$AY$138,LS_previous!AS$149, FALSE))/2)</f>
        <v>-3004.3969621171973</v>
      </c>
      <c r="AD125" s="382">
        <f t="array" ref="AD125">IF($G125=0, INDEX(LS_previous!$D$4:$AY$138, MATCH('Staging Table'!$A125, LS_previous!$B$4:$B$138, 0), MATCH(AD$4&amp;AD$5, LS_previous!$D$2:$AY$2&amp;LS_previous!$D$3:$AY$3, 0)),SUM(VLOOKUP($A125, LS_previous!$B$4:$AY$138, LS_previous!V$149, FALSE), VLOOKUP('Staging Table'!$A125, LS_previous!$B$4:$AY$138,LS_previous!AT$149, FALSE))/2)</f>
        <v>-4948.640440217383</v>
      </c>
      <c r="AE125" s="382">
        <f t="array" ref="AE125">IF($G125=0, INDEX(LS_previous!$D$4:$AY$138, MATCH('Staging Table'!$A125, LS_previous!$B$4:$B$138, 0), MATCH(AE$4&amp;AE$5, LS_previous!$D$2:$AY$2&amp;LS_previous!$D$3:$AY$3, 0)),SUM(VLOOKUP($A125, LS_previous!$B$4:$AY$138, LS_previous!W$149, FALSE), VLOOKUP('Staging Table'!$A125, LS_previous!$B$4:$AY$138,LS_previous!AU$149, FALSE))/2)</f>
        <v>-1385.9513736941753</v>
      </c>
      <c r="AF125" s="382">
        <f t="array" ref="AF125">IF($G125=0, INDEX(LS_previous!$D$4:$AY$138, MATCH('Staging Table'!$A125, LS_previous!$B$4:$B$138, 0), MATCH(AF$4&amp;AF$5, LS_previous!$D$2:$AY$2&amp;LS_previous!$D$3:$AY$3, 0)),SUM(VLOOKUP($A125, LS_previous!$B$4:$AY$138, LS_previous!X$149, FALSE), VLOOKUP('Staging Table'!$A125, LS_previous!$B$4:$AY$138,LS_previous!AV$149, FALSE))/2)</f>
        <v>-5600.1510849877805</v>
      </c>
      <c r="AG125" s="382">
        <f t="array" ref="AG125">IF($G125=0, INDEX(LS_previous!$D$4:$AY$138, MATCH('Staging Table'!$A125, LS_previous!$B$4:$B$138, 0), MATCH(AG$4&amp;AG$5, LS_previous!$D$2:$AY$2&amp;LS_previous!$D$3:$AY$3, 0)),SUM(VLOOKUP($A125, LS_previous!$B$4:$AY$138, LS_previous!Y$149, FALSE), VLOOKUP('Staging Table'!$A125, LS_previous!$B$4:$AY$138,LS_previous!AW$149, FALSE))/2)</f>
        <v>-1711.2870692555798</v>
      </c>
      <c r="AH125" s="382">
        <f t="array" ref="AH125">IF($G125=0, INDEX(LS_previous!$D$4:$AY$138, MATCH('Staging Table'!$A125, LS_previous!$B$4:$B$138, 0), MATCH(AH$4&amp;AH$5, LS_previous!$D$2:$AY$2&amp;LS_previous!$D$3:$AY$3, 0)),SUM(VLOOKUP($A125, LS_previous!$B$4:$AY$138, LS_previous!Z$149, FALSE), VLOOKUP('Staging Table'!$A125, LS_previous!$B$4:$AY$138,LS_previous!AX$149, FALSE))/2)</f>
        <v>-4068.888245998035</v>
      </c>
      <c r="AI125" s="382">
        <f t="array" ref="AI125">IF($G125=0, INDEX(LS_previous!$D$4:$AY$138, MATCH('Staging Table'!$A125, LS_previous!$B$4:$B$138, 0), MATCH(AI$4&amp;AI$5, LS_previous!$D$2:$AY$2&amp;LS_previous!$D$3:$AY$3, 0)),SUM(VLOOKUP($A125, LS_previous!$B$4:$AY$138, LS_previous!AA$149, FALSE), VLOOKUP('Staging Table'!$A125, LS_previous!$B$4:$AY$138,LS_previous!AY$149, FALSE))/2)</f>
        <v>-1747.6733218951576</v>
      </c>
      <c r="AJ125" s="384">
        <f t="array" ref="AJ125">INDEX(Demand_previous!$D$4:$AY$138, MATCH('Staging Table'!$A125, Demand_previous!$B$4:$B$138, 0), MATCH(AJ$4&amp;AJ$5,Demand_previous!$D$2:$AY$2&amp;Demand_previous!$D$3:$AY$3, 0))/1000</f>
        <v>0</v>
      </c>
      <c r="AK125" s="384">
        <f t="array" ref="AK125">INDEX(Demand_previous!$D$4:$AY$138, MATCH('Staging Table'!$A125, Demand_previous!$B$4:$B$138, 0), MATCH(AK$4&amp;AK$5,Demand_previous!$D$2:$AY$2&amp;Demand_previous!$D$3:$AY$3, 0))/1000</f>
        <v>0</v>
      </c>
      <c r="AL125" s="384">
        <f t="array" ref="AL125">INDEX(Demand_previous!$D$4:$AY$138, MATCH('Staging Table'!$A125, Demand_previous!$B$4:$B$138, 0), MATCH(AL$4&amp;AL$5,Demand_previous!$D$2:$AY$2&amp;Demand_previous!$D$3:$AY$3, 0))/1000</f>
        <v>0</v>
      </c>
      <c r="AM125" s="384">
        <f t="array" ref="AM125">INDEX(Demand_previous!$D$4:$AY$138, MATCH('Staging Table'!$A125, Demand_previous!$B$4:$B$138, 0), MATCH(AM$4&amp;AM$5,Demand_previous!$D$2:$AY$2&amp;Demand_previous!$D$3:$AY$3, 0))/1000</f>
        <v>0</v>
      </c>
      <c r="AN125" s="384">
        <f t="array" ref="AN125">INDEX(Demand_previous!$D$4:$AY$138, MATCH('Staging Table'!$A125, Demand_previous!$B$4:$B$138, 0), MATCH(AN$4&amp;AN$5,Demand_previous!$D$2:$AY$2&amp;Demand_previous!$D$3:$AY$3, 0))/1000</f>
        <v>0.77899000000000207</v>
      </c>
      <c r="AO125" s="384">
        <f t="array" ref="AO125">INDEX(Demand_previous!$D$4:$AY$138, MATCH('Staging Table'!$A125, Demand_previous!$B$4:$B$138, 0), MATCH(AO$4&amp;AO$5,Demand_previous!$D$2:$AY$2&amp;Demand_previous!$D$3:$AY$3, 0))/1000</f>
        <v>3.5969791666666655</v>
      </c>
      <c r="AP125" s="384">
        <f t="array" ref="AP125">INDEX(Demand_previous!$D$4:$AY$138, MATCH('Staging Table'!$A125, Demand_previous!$B$4:$B$138, 0), MATCH(AP$4&amp;AP$5,Demand_previous!$D$2:$AY$2&amp;Demand_previous!$D$3:$AY$3, 0))/1000</f>
        <v>0</v>
      </c>
      <c r="AQ125" s="384">
        <f t="array" ref="AQ125">INDEX(Demand_previous!$D$4:$AY$138, MATCH('Staging Table'!$A125, Demand_previous!$B$4:$B$138, 0), MATCH(AQ$4&amp;AQ$5,Demand_previous!$D$2:$AY$2&amp;Demand_previous!$D$3:$AY$3, 0))/1000</f>
        <v>0</v>
      </c>
      <c r="AR125" s="384">
        <f t="array" ref="AR125">INDEX(Demand_previous!$D$4:$AY$138, MATCH('Staging Table'!$A125, Demand_previous!$B$4:$B$138, 0), MATCH(AR$4&amp;AR$5,Demand_previous!$D$2:$AY$2&amp;Demand_previous!$D$3:$AY$3, 0))/1000</f>
        <v>0</v>
      </c>
      <c r="AS125" s="384">
        <f t="array" ref="AS125">INDEX(Demand_previous!$D$4:$AY$138, MATCH('Staging Table'!$A125, Demand_previous!$B$4:$B$138, 0), MATCH(AS$4&amp;AS$5,Demand_previous!$D$2:$AY$2&amp;Demand_previous!$D$3:$AY$3, 0))/1000</f>
        <v>0</v>
      </c>
      <c r="AT125" s="384">
        <f t="array" ref="AT125">INDEX(Demand_previous!$D$4:$AY$138, MATCH('Staging Table'!$A125, Demand_previous!$B$4:$B$138, 0), MATCH(AT$4&amp;AT$5,Demand_previous!$D$2:$AY$2&amp;Demand_previous!$D$3:$AY$3, 0))/1000</f>
        <v>0</v>
      </c>
      <c r="AU125" s="384">
        <f t="array" ref="AU125">INDEX(Demand_previous!$D$4:$AY$138, MATCH('Staging Table'!$A125, Demand_previous!$B$4:$B$138, 0), MATCH(AU$4&amp;AU$5,Demand_previous!$D$2:$AY$2&amp;Demand_previous!$D$3:$AY$3, 0))/1000</f>
        <v>0</v>
      </c>
      <c r="AV125" s="384">
        <f>IF($D125=0,IF(C125=0, MAX(AY125 - (VLOOKUP($A125,TOCA_previous!$A$2:$AI$137,MATCH("RHWM 2016",TOCA_previous!$A$2:$AI$2,0),FALSE)*$F$2*TOCA_previous!C122),0),0), 0)</f>
        <v>0</v>
      </c>
      <c r="AW125" s="427">
        <f>VLOOKUP($A125,REP_previous!$A$1:$D$135,MATCH("FY "&amp;$F$1&amp; " Total Refund",REP_previous!$A$1:$D$1,0),0)</f>
        <v>337760.18012841576</v>
      </c>
      <c r="AX125" s="398">
        <f>MIN(VLOOKUP($A125,TOCA_previous!$A$2:$AI$137,MATCH("TRL - NLSL - Exisiting Resource "&amp;$F$1,TOCA_previous!$A$2:$AI$2,0),FALSE)*$F$2,(VLOOKUP($A125,TOCA_previous!$A$2:$AI$137,MATCH("RHWM 2016",TOCA_previous!$A$2:$AI$2,0),FALSE)*$F$2))</f>
        <v>226723.82399999999</v>
      </c>
      <c r="AY125" s="384">
        <f>SUM(L125:AI125)+(F125*RT1SC!$C$3*$F$2)</f>
        <v>158659.79653366335</v>
      </c>
      <c r="AZ125" s="398">
        <f>VLOOKUP($A125,TOCA_previous!$A$2:$AI$137,MATCH("Above RHWM Not Served with LS "&amp;$F$1,TOCA_previous!$A$2:$AI$2,0),FALSE)*$F$2</f>
        <v>0</v>
      </c>
      <c r="BA125" s="206">
        <f t="shared" si="19"/>
        <v>-68064.027466336644</v>
      </c>
      <c r="BB125" s="399">
        <f>(VLOOKUP($A125,TOCA_previous!$A$2:$AI$137,MATCH("RHWM 2016",TOCA_previous!$A$2:$AI$2,0),FALSE)*$F$2) - $AX125</f>
        <v>1958.8319999999949</v>
      </c>
      <c r="BC125" s="206">
        <f t="shared" si="20"/>
        <v>0</v>
      </c>
      <c r="BD125" s="400">
        <f t="shared" si="21"/>
        <v>68064.027466336644</v>
      </c>
      <c r="BE125" s="392">
        <f t="shared" si="22"/>
        <v>0</v>
      </c>
      <c r="BF125" s="399">
        <f t="shared" si="23"/>
        <v>68064.027466336644</v>
      </c>
      <c r="BG125" s="206">
        <f>VLOOKUP($A125,TOCA_current!$A$2:$AI$137,MATCH(BG$4,TOCA_current!$A$2:$AI$2,0),FALSE)</f>
        <v>2.6080000000000001E-3</v>
      </c>
      <c r="BH125" s="206">
        <f>VLOOKUP($A125,TOCA_current!$A$2:$AI$137,MATCH(BH$4,TOCA_current!$A$2:$AI$2,0),FALSE)</f>
        <v>2.6080000000000001E-3</v>
      </c>
      <c r="BI125" s="391">
        <f t="shared" si="24"/>
        <v>0</v>
      </c>
      <c r="BJ125" s="206">
        <f>VLOOKUP($A125,TOCA_current!A121:BG256,MATCH(BJ$4,TOCA_current!$A$2:$BG$2,0),FALSE)</f>
        <v>0</v>
      </c>
      <c r="BK125" s="206">
        <f t="shared" si="25"/>
        <v>0</v>
      </c>
      <c r="BL125" s="206">
        <f t="shared" si="26"/>
        <v>0</v>
      </c>
      <c r="BM125" s="381">
        <f>VLOOKUP($A125,IRD!$A$4:$G$139, 7, FALSE)</f>
        <v>0</v>
      </c>
      <c r="BN125" s="382">
        <f t="array" ref="BN125">IF($BI125=0, INDEX(LS_current!$D$4:$AY$139, MATCH('Staging Table'!$A125, LS_current!$B$4:$B$139, 0), MATCH(BN$4&amp;BN$5, LS_current!$D$2:$AY$2&amp;LS_current!$D$3:$AY$3, 0)),SUM(VLOOKUP($A125, LS_current!$B$4:$AY$139, LS_current!D$149, FALSE), VLOOKUP($A125, LS_current!$B$4:$AY$139,LS_current!D$149, FALSE))/2)</f>
        <v>-1918.0178839500732</v>
      </c>
      <c r="BO125" s="382">
        <f t="array" ref="BO125">IF($BI125=0, INDEX(LS_current!$D$4:$AY$139, MATCH('Staging Table'!$A125, LS_current!$B$4:$B$139, 0), MATCH(BO$4&amp;BO$5, LS_current!$D$2:$AY$2&amp;LS_current!$D$3:$AY$3, 0)),SUM(VLOOKUP($A125, LS_current!$B$4:$AY$139, LS_current!E$149, FALSE), VLOOKUP($A125, LS_current!$B$4:$AY$139,LS_current!E$149, FALSE))/2)</f>
        <v>194.85299963825582</v>
      </c>
      <c r="BP125" s="382">
        <f t="array" ref="BP125">IF($BI125=0, INDEX(LS_current!$D$4:$AY$139, MATCH('Staging Table'!$A125, LS_current!$B$4:$B$139, 0), MATCH(BP$4&amp;BP$5, LS_current!$D$2:$AY$2&amp;LS_current!$D$3:$AY$3, 0)),SUM(VLOOKUP($A125, LS_current!$B$4:$AY$139, LS_current!F$149, FALSE), VLOOKUP($A125, LS_current!$B$4:$AY$139,LS_current!F$149, FALSE))/2)</f>
        <v>-1640.4869147804302</v>
      </c>
      <c r="BQ125" s="382">
        <f t="array" ref="BQ125">IF($BI125=0, INDEX(LS_current!$D$4:$AY$139, MATCH('Staging Table'!$A125, LS_current!$B$4:$B$139, 0), MATCH(BQ$4&amp;BQ$5, LS_current!$D$2:$AY$2&amp;LS_current!$D$3:$AY$3, 0)),SUM(VLOOKUP($A125, LS_current!$B$4:$AY$139, LS_current!G$149, FALSE), VLOOKUP($A125, LS_current!$B$4:$AY$139,LS_current!G$149, FALSE))/2)</f>
        <v>1133.8930681808724</v>
      </c>
      <c r="BR125" s="382">
        <f t="array" ref="BR125">IF($BI125=0, INDEX(LS_current!$D$4:$AY$139, MATCH('Staging Table'!$A125, LS_current!$B$4:$B$139, 0), MATCH(BR$4&amp;BR$5, LS_current!$D$2:$AY$2&amp;LS_current!$D$3:$AY$3, 0)),SUM(VLOOKUP($A125, LS_current!$B$4:$AY$139, LS_current!H$149, FALSE), VLOOKUP($A125, LS_current!$B$4:$AY$139,LS_current!H$149, FALSE))/2)</f>
        <v>1242.8708338932629</v>
      </c>
      <c r="BS125" s="382">
        <f t="array" ref="BS125">IF($BI125=0, INDEX(LS_current!$D$4:$AY$139, MATCH('Staging Table'!$A125, LS_current!$B$4:$B$139, 0), MATCH(BS$4&amp;BS$5, LS_current!$D$2:$AY$2&amp;LS_current!$D$3:$AY$3, 0)),SUM(VLOOKUP($A125, LS_current!$B$4:$AY$139, LS_current!I$149, FALSE), VLOOKUP($A125, LS_current!$B$4:$AY$139,LS_current!I$149, FALSE))/2)</f>
        <v>3030.3251718962165</v>
      </c>
      <c r="BT125" s="382">
        <f t="array" ref="BT125">IF($BI125=0, INDEX(LS_current!$D$4:$AY$139, MATCH('Staging Table'!$A125, LS_current!$B$4:$B$139, 0), MATCH(BT$4&amp;BT$5, LS_current!$D$2:$AY$2&amp;LS_current!$D$3:$AY$3, 0)),SUM(VLOOKUP($A125, LS_current!$B$4:$AY$139, LS_current!J$149, FALSE), VLOOKUP($A125, LS_current!$B$4:$AY$139,LS_current!J$149, FALSE))/2)</f>
        <v>2615.8756004604156</v>
      </c>
      <c r="BU125" s="382">
        <f t="array" ref="BU125">IF($BI125=0, INDEX(LS_current!$D$4:$AY$139, MATCH('Staging Table'!$A125, LS_current!$B$4:$B$139, 0), MATCH(BU$4&amp;BU$5, LS_current!$D$2:$AY$2&amp;LS_current!$D$3:$AY$3, 0)),SUM(VLOOKUP($A125, LS_current!$B$4:$AY$139, LS_current!K$149, FALSE), VLOOKUP($A125, LS_current!$B$4:$AY$139,LS_current!K$149, FALSE))/2)</f>
        <v>3991.9019120023031</v>
      </c>
      <c r="BV125" s="382">
        <f t="array" ref="BV125">IF($BI125=0, INDEX(LS_current!$D$4:$AY$139, MATCH('Staging Table'!$A125, LS_current!$B$4:$B$139, 0), MATCH(BV$4&amp;BV$5, LS_current!$D$2:$AY$2&amp;LS_current!$D$3:$AY$3, 0)),SUM(VLOOKUP($A125, LS_current!$B$4:$AY$139, LS_current!L$149, FALSE), VLOOKUP($A125, LS_current!$B$4:$AY$139,LS_current!L$149, FALSE))/2)</f>
        <v>1894.8352177846627</v>
      </c>
      <c r="BW125" s="382">
        <f t="array" ref="BW125">IF($BI125=0, INDEX(LS_current!$D$4:$AY$139, MATCH('Staging Table'!$A125, LS_current!$B$4:$B$139, 0), MATCH(BW$4&amp;BW$5, LS_current!$D$2:$AY$2&amp;LS_current!$D$3:$AY$3, 0)),SUM(VLOOKUP($A125, LS_current!$B$4:$AY$139, LS_current!M$149, FALSE), VLOOKUP($A125, LS_current!$B$4:$AY$139,LS_current!M$149, FALSE))/2)</f>
        <v>2942.1268586755996</v>
      </c>
      <c r="BX125" s="382">
        <f t="array" ref="BX125">IF($BI125=0, INDEX(LS_current!$D$4:$AY$139, MATCH('Staging Table'!$A125, LS_current!$B$4:$B$139, 0), MATCH(BX$4&amp;BX$5, LS_current!$D$2:$AY$2&amp;LS_current!$D$3:$AY$3, 0)),SUM(VLOOKUP($A125, LS_current!$B$4:$AY$139, LS_current!N$149, FALSE), VLOOKUP($A125, LS_current!$B$4:$AY$139,LS_current!N$149, FALSE))/2)</f>
        <v>-497.08747384040907</v>
      </c>
      <c r="BY125" s="382">
        <f t="array" ref="BY125">IF($BI125=0, INDEX(LS_current!$D$4:$AY$139, MATCH('Staging Table'!$A125, LS_current!$B$4:$B$139, 0), MATCH(BY$4&amp;BY$5, LS_current!$D$2:$AY$2&amp;LS_current!$D$3:$AY$3, 0)),SUM(VLOOKUP($A125, LS_current!$B$4:$AY$139, LS_current!O$149, FALSE), VLOOKUP($A125, LS_current!$B$4:$AY$139,LS_current!O$149, FALSE))/2)</f>
        <v>1351.7487204291592</v>
      </c>
      <c r="BZ125" s="382">
        <f t="array" ref="BZ125">IF($BI125=0, INDEX(LS_current!$D$4:$AY$139, MATCH('Staging Table'!$A125, LS_current!$B$4:$B$139, 0), MATCH(BZ$4&amp;BZ$5, LS_current!$D$2:$AY$2&amp;LS_current!$D$3:$AY$3, 0)),SUM(VLOOKUP($A125, LS_current!$B$4:$AY$139, LS_current!P$149, FALSE), VLOOKUP($A125, LS_current!$B$4:$AY$139,LS_current!P$149, FALSE))/2)</f>
        <v>-1306.9451990259358</v>
      </c>
      <c r="CA125" s="382">
        <f t="array" ref="CA125">IF($BI125=0, INDEX(LS_current!$D$4:$AY$139, MATCH('Staging Table'!$A125, LS_current!$B$4:$B$139, 0), MATCH(CA$4&amp;CA$5, LS_current!$D$2:$AY$2&amp;LS_current!$D$3:$AY$3, 0)),SUM(VLOOKUP($A125, LS_current!$B$4:$AY$139, LS_current!Q$149, FALSE), VLOOKUP($A125, LS_current!$B$4:$AY$139,LS_current!Q$149, FALSE))/2)</f>
        <v>671.96461957454449</v>
      </c>
      <c r="CB125" s="382">
        <f t="array" ref="CB125">IF($BI125=0, INDEX(LS_current!$D$4:$AY$139, MATCH('Staging Table'!$A125, LS_current!$B$4:$B$139, 0), MATCH(CB$4&amp;CB$5, LS_current!$D$2:$AY$2&amp;LS_current!$D$3:$AY$3, 0)),SUM(VLOOKUP($A125, LS_current!$B$4:$AY$139, LS_current!R$149, FALSE), VLOOKUP($A125, LS_current!$B$4:$AY$139,LS_current!R$149, FALSE))/2)</f>
        <v>-5310.5772764938747</v>
      </c>
      <c r="CC125" s="382">
        <f t="array" ref="CC125">IF($BI125=0, INDEX(LS_current!$D$4:$AY$139, MATCH('Staging Table'!$A125, LS_current!$B$4:$B$139, 0), MATCH(CC$4&amp;CC$5, LS_current!$D$2:$AY$2&amp;LS_current!$D$3:$AY$3, 0)),SUM(VLOOKUP($A125, LS_current!$B$4:$AY$139, LS_current!S$149, FALSE), VLOOKUP($A125, LS_current!$B$4:$AY$139,LS_current!S$149, FALSE))/2)</f>
        <v>-1650.2159533014237</v>
      </c>
      <c r="CD125" s="382">
        <f t="array" ref="CD125">IF($BI125=0, INDEX(LS_current!$D$4:$AY$139, MATCH('Staging Table'!$A125, LS_current!$B$4:$B$139, 0), MATCH(CD$4&amp;CD$5, LS_current!$D$2:$AY$2&amp;LS_current!$D$3:$AY$3, 0)),SUM(VLOOKUP($A125, LS_current!$B$4:$AY$139, LS_current!T$149, FALSE), VLOOKUP($A125, LS_current!$B$4:$AY$139,LS_current!T$149, FALSE))/2)</f>
        <v>-2928.9583948564641</v>
      </c>
      <c r="CE125" s="382">
        <f t="array" ref="CE125">IF($BI125=0, INDEX(LS_current!$D$4:$AY$139, MATCH('Staging Table'!$A125, LS_current!$B$4:$B$139, 0), MATCH(CE$4&amp;CE$5, LS_current!$D$2:$AY$2&amp;LS_current!$D$3:$AY$3, 0)),SUM(VLOOKUP($A125, LS_current!$B$4:$AY$139, LS_current!U$149, FALSE), VLOOKUP($A125, LS_current!$B$4:$AY$139,LS_current!U$149, FALSE))/2)</f>
        <v>-504.08564290932827</v>
      </c>
      <c r="CF125" s="382">
        <f t="array" ref="CF125">IF($BI125=0, INDEX(LS_current!$D$4:$AY$139, MATCH('Staging Table'!$A125, LS_current!$B$4:$B$139, 0), MATCH(CF$4&amp;CF$5, LS_current!$D$2:$AY$2&amp;LS_current!$D$3:$AY$3, 0)),SUM(VLOOKUP($A125, LS_current!$B$4:$AY$139, LS_current!V$149, FALSE), VLOOKUP($A125, LS_current!$B$4:$AY$139,LS_current!V$149, FALSE))/2)</f>
        <v>-920.0444187976409</v>
      </c>
      <c r="CG125" s="382">
        <f t="array" ref="CG125">IF($BI125=0, INDEX(LS_current!$D$4:$AY$139, MATCH('Staging Table'!$A125, LS_current!$B$4:$B$139, 0), MATCH(CG$4&amp;CG$5, LS_current!$D$2:$AY$2&amp;LS_current!$D$3:$AY$3, 0)),SUM(VLOOKUP($A125, LS_current!$B$4:$AY$139, LS_current!W$149, FALSE), VLOOKUP($A125, LS_current!$B$4:$AY$139,LS_current!W$149, FALSE))/2)</f>
        <v>813.51708196521577</v>
      </c>
      <c r="CH125" s="382">
        <f t="array" ref="CH125">IF($BI125=0, INDEX(LS_current!$D$4:$AY$139, MATCH('Staging Table'!$A125, LS_current!$B$4:$B$139, 0), MATCH(CH$4&amp;CH$5, LS_current!$D$2:$AY$2&amp;LS_current!$D$3:$AY$3, 0)),SUM(VLOOKUP($A125, LS_current!$B$4:$AY$139, LS_current!X$149, FALSE), VLOOKUP($A125, LS_current!$B$4:$AY$139,LS_current!X$149, FALSE))/2)</f>
        <v>-1794.8496730334891</v>
      </c>
      <c r="CI125" s="382">
        <f t="array" ref="CI125">IF($BI125=0, INDEX(LS_current!$D$4:$AY$139, MATCH('Staging Table'!$A125, LS_current!$B$4:$B$139, 0), MATCH(CI$4&amp;CI$5, LS_current!$D$2:$AY$2&amp;LS_current!$D$3:$AY$3, 0)),SUM(VLOOKUP($A125, LS_current!$B$4:$AY$139, LS_current!Y$149, FALSE), VLOOKUP($A125, LS_current!$B$4:$AY$139,LS_current!Y$149, FALSE))/2)</f>
        <v>345.03653816070346</v>
      </c>
      <c r="CJ125" s="382">
        <f t="array" ref="CJ125">IF($BI125=0, INDEX(LS_current!$D$4:$AY$139, MATCH('Staging Table'!$A125, LS_current!$B$4:$B$139, 0), MATCH(CJ$4&amp;CJ$5, LS_current!$D$2:$AY$2&amp;LS_current!$D$3:$AY$3, 0)),SUM(VLOOKUP($A125, LS_current!$B$4:$AY$139, LS_current!Z$149, FALSE), VLOOKUP($A125, LS_current!$B$4:$AY$139,LS_current!Z$149, FALSE))/2)</f>
        <v>-1858.3948841574957</v>
      </c>
      <c r="CK125" s="382">
        <f t="array" ref="CK125">IF($BI125=0, INDEX(LS_current!$D$4:$AY$139, MATCH('Staging Table'!$A125, LS_current!$B$4:$B$139, 0), MATCH(CK$4&amp;CK$5, LS_current!$D$2:$AY$2&amp;LS_current!$D$3:$AY$3, 0)),SUM(VLOOKUP($A125, LS_current!$B$4:$AY$139, LS_current!AA$149, FALSE), VLOOKUP($A125, LS_current!$B$4:$AY$139,LS_current!AA$149, FALSE))/2)</f>
        <v>98.006103554000219</v>
      </c>
      <c r="CL125" s="384">
        <f t="array" ref="CL125">INDEX(Demand_current!$D$4:$AY$138, MATCH($A125, Demand_current!$B$4:$B$138, 0), MATCH(CL$4&amp;CL$5,Demand_current!$D$2:$AY$2&amp;Demand_current!$D$3:$AY$3, 0))/1000</f>
        <v>0</v>
      </c>
      <c r="CM125" s="384">
        <f t="array" ref="CM125">INDEX(Demand_current!$D$4:$AY$138, MATCH($A125, Demand_current!$B$4:$B$138, 0), MATCH(CM$4&amp;CM$5,Demand_current!$D$2:$AY$2&amp;Demand_current!$D$3:$AY$3, 0))/1000</f>
        <v>0.25826499999999886</v>
      </c>
      <c r="CN125" s="384">
        <f t="array" ref="CN125">INDEX(Demand_current!$D$4:$AY$138, MATCH($A125, Demand_current!$B$4:$B$138, 0), MATCH(CN$4&amp;CN$5,Demand_current!$D$2:$AY$2&amp;Demand_current!$D$3:$AY$3, 0))/1000</f>
        <v>0</v>
      </c>
      <c r="CO125" s="384">
        <f t="array" ref="CO125">INDEX(Demand_current!$D$4:$AY$138, MATCH($A125, Demand_current!$B$4:$B$138, 0), MATCH(CO$4&amp;CO$5,Demand_current!$D$2:$AY$2&amp;Demand_current!$D$3:$AY$3, 0))/1000</f>
        <v>0.93052884615384546</v>
      </c>
      <c r="CP125" s="384">
        <f t="array" ref="CP125">INDEX(Demand_current!$D$4:$AY$138, MATCH($A125, Demand_current!$B$4:$B$138, 0), MATCH(CP$4&amp;CP$5,Demand_current!$D$2:$AY$2&amp;Demand_current!$D$3:$AY$3, 0))/1000</f>
        <v>0</v>
      </c>
      <c r="CQ125" s="384">
        <f t="array" ref="CQ125">INDEX(Demand_current!$D$4:$AY$138, MATCH($A125, Demand_current!$B$4:$B$138, 0), MATCH(CQ$4&amp;CQ$5,Demand_current!$D$2:$AY$2&amp;Demand_current!$D$3:$AY$3, 0))/1000</f>
        <v>3.5969791666666655</v>
      </c>
      <c r="CR125" s="384">
        <f t="array" ref="CR125">INDEX(Demand_current!$D$4:$AY$138, MATCH($A125, Demand_current!$B$4:$B$138, 0), MATCH(CR$4&amp;CR$5,Demand_current!$D$2:$AY$2&amp;Demand_current!$D$3:$AY$3, 0))/1000</f>
        <v>0</v>
      </c>
      <c r="CS125" s="384">
        <f t="array" ref="CS125">INDEX(Demand_current!$D$4:$AY$138, MATCH($A125, Demand_current!$B$4:$B$138, 0), MATCH(CS$4&amp;CS$5,Demand_current!$D$2:$AY$2&amp;Demand_current!$D$3:$AY$3, 0))/1000</f>
        <v>0</v>
      </c>
      <c r="CT125" s="384">
        <f t="array" ref="CT125">INDEX(Demand_current!$D$4:$AY$138, MATCH($A125, Demand_current!$B$4:$B$138, 0), MATCH(CT$4&amp;CT$5,Demand_current!$D$2:$AY$2&amp;Demand_current!$D$3:$AY$3, 0))/1000</f>
        <v>0</v>
      </c>
      <c r="CU125" s="384">
        <f t="array" ref="CU125">INDEX(Demand_current!$D$4:$AY$138, MATCH($A125, Demand_current!$B$4:$B$138, 0), MATCH(CU$4&amp;CU$5,Demand_current!$D$2:$AY$2&amp;Demand_current!$D$3:$AY$3, 0))/1000</f>
        <v>0</v>
      </c>
      <c r="CV125" s="384">
        <f t="array" ref="CV125">INDEX(Demand_current!$D$4:$AY$138, MATCH($A125, Demand_current!$B$4:$B$138, 0), MATCH(CV$4&amp;CV$5,Demand_current!$D$2:$AY$2&amp;Demand_current!$D$3:$AY$3, 0))/1000</f>
        <v>0</v>
      </c>
      <c r="CW125" s="384">
        <f t="array" ref="CW125">INDEX(Demand_current!$D$4:$AY$138, MATCH($A125, Demand_current!$B$4:$B$138, 0), MATCH(CW$4&amp;CW$5,Demand_current!$D$2:$AY$2&amp;Demand_current!$D$3:$AY$3, 0))/1000</f>
        <v>0</v>
      </c>
      <c r="CX125" s="384">
        <f>IF(D125=0,IF(C125=0,MAX(0,DA125 - (VLOOKUP($A125,TOCA_current!$A$2:$AI$137,MATCH("RHWM 2018",TOCA_current!$A$2:$AI$2,0),FALSE)*$BH$2)), 0),0)</f>
        <v>0</v>
      </c>
      <c r="CY125" s="427">
        <f>VLOOKUP($A125,REP_current!$A$1:$D$135,MATCH("FY "&amp;$BH$1&amp; " Total Refund",REP_current!$A$1:$D$1,0),0)</f>
        <v>296839.31229325075</v>
      </c>
      <c r="CZ125" s="432">
        <f>MIN(VLOOKUP($A125,TOCA_current!$A$2:$AI$137,MATCH("TRL - NLSL - Existing Resource "&amp;$BH$1,TOCA_current!$A$2:$AI$2,0),FALSE)*$BH$2, VLOOKUP($A125,TOCA_current!$A$2:$AI$137,MATCH("RHWM 2018",TOCA_current!$A$2:$AI$2,0),FALSE)*$BH$2)</f>
        <v>158661.12</v>
      </c>
      <c r="DA125" s="397">
        <f>SUM(BN125:CK125)+(BH125*RT1SC!$C$4*$BH$2)</f>
        <v>158659.79831474865</v>
      </c>
      <c r="DB125" s="432">
        <f>VLOOKUP($A125,TOCA_current!$A$2:$AI$137,MATCH("Above RHWM Not Served with LS "&amp;$BH$1,TOCA_current!$A$2:$AI$2,0),FALSE)*$BH$2</f>
        <v>0</v>
      </c>
      <c r="DC125" s="401">
        <f t="shared" si="27"/>
        <v>-1.3216852513432968</v>
      </c>
      <c r="DD125" s="397">
        <f>(VLOOKUP($A125,TOCA_current!$A$2:$AI$137,MATCH("RHWM 2018",TOCA_current!$A$2:$AI$2,0),FALSE)*$BH$2) - $CZ125</f>
        <v>111094.32</v>
      </c>
      <c r="DE125" s="397">
        <f t="shared" si="28"/>
        <v>0</v>
      </c>
      <c r="DF125" s="397">
        <f t="shared" si="29"/>
        <v>1.3216852513432968</v>
      </c>
      <c r="DG125" s="397">
        <f t="shared" si="30"/>
        <v>0</v>
      </c>
      <c r="DH125" s="397">
        <f t="shared" si="31"/>
        <v>1.3216852513432968</v>
      </c>
    </row>
    <row r="126" spans="1:112">
      <c r="A126" s="274">
        <v>10434</v>
      </c>
      <c r="B126" s="275" t="s">
        <v>127</v>
      </c>
      <c r="C126" s="397">
        <v>0</v>
      </c>
      <c r="D126" s="397">
        <v>0</v>
      </c>
      <c r="E126" s="205">
        <f>VLOOKUP($A126,TOCA_previous!$A$2:$AI$137,MATCH(E$4,TOCA_previous!$A$2:$AI$2,0),FALSE)</f>
        <v>3.8509999999999998E-3</v>
      </c>
      <c r="F126" s="206">
        <f>VLOOKUP($A126,TOCA_previous!$A$2:$AI$137,MATCH(F$4,TOCA_previous!$A$2:$AI$2,0),FALSE)</f>
        <v>3.8509999999999998E-3</v>
      </c>
      <c r="G126" s="206">
        <f t="shared" si="16"/>
        <v>0</v>
      </c>
      <c r="H126" s="206">
        <f>VLOOKUP($A126,TOCA_previous!$A$2:$AI$137,MATCH(H$4,TOCA_previous!$A$2:$AI$2,0),FALSE)</f>
        <v>0</v>
      </c>
      <c r="I126" s="206">
        <f t="shared" si="17"/>
        <v>0</v>
      </c>
      <c r="J126" s="206">
        <f t="shared" si="18"/>
        <v>0</v>
      </c>
      <c r="K126" s="381">
        <f>VLOOKUP(A126, IRD!$A$5:$C$139, 3, FALSE)</f>
        <v>0</v>
      </c>
      <c r="L126" s="382">
        <f t="array" ref="L126">IF($G126=0, INDEX(LS_previous!$D$4:$AY$138, MATCH('Staging Table'!$A126, LS_previous!$B$4:$B$138, 0), MATCH(L$4&amp;L$5, LS_previous!$D$2:$AY$2&amp;LS_previous!$D$3:$AY$3, 0)),SUM(VLOOKUP($A126, LS_previous!$B$4:$AY$138, LS_previous!D$149, FALSE), VLOOKUP('Staging Table'!$A126, LS_previous!$B$4:$AY$138,LS_previous!AB$149, FALSE))/2)</f>
        <v>-13.344277687265276</v>
      </c>
      <c r="M126" s="382">
        <f t="array" ref="M126">IF($G126=0, INDEX(LS_previous!$D$4:$AY$138, MATCH('Staging Table'!$A126, LS_previous!$B$4:$B$138, 0), MATCH(M$4&amp;M$5, LS_previous!$D$2:$AY$2&amp;LS_previous!$D$3:$AY$3, 0)),SUM(VLOOKUP($A126, LS_previous!$B$4:$AY$138, LS_previous!E$149, FALSE), VLOOKUP('Staging Table'!$A126, LS_previous!$B$4:$AY$138,LS_previous!AC$149, FALSE))/2)</f>
        <v>128.87421676965005</v>
      </c>
      <c r="N126" s="382">
        <f t="array" ref="N126">IF($G126=0, INDEX(LS_previous!$D$4:$AY$138, MATCH('Staging Table'!$A126, LS_previous!$B$4:$B$138, 0), MATCH(N$4&amp;N$5, LS_previous!$D$2:$AY$2&amp;LS_previous!$D$3:$AY$3, 0)),SUM(VLOOKUP($A126, LS_previous!$B$4:$AY$138, LS_previous!F$149, FALSE), VLOOKUP('Staging Table'!$A126, LS_previous!$B$4:$AY$138,LS_previous!AD$149, FALSE))/2)</f>
        <v>-316.66309303258822</v>
      </c>
      <c r="O126" s="382">
        <f t="array" ref="O126">IF($G126=0, INDEX(LS_previous!$D$4:$AY$138, MATCH('Staging Table'!$A126, LS_previous!$B$4:$B$138, 0), MATCH(O$4&amp;O$5, LS_previous!$D$2:$AY$2&amp;LS_previous!$D$3:$AY$3, 0)),SUM(VLOOKUP($A126, LS_previous!$B$4:$AY$138, LS_previous!G$149, FALSE), VLOOKUP('Staging Table'!$A126, LS_previous!$B$4:$AY$138,LS_previous!AE$149, FALSE))/2)</f>
        <v>639.40024537548015</v>
      </c>
      <c r="P126" s="382">
        <f t="array" ref="P126">IF($G126=0, INDEX(LS_previous!$D$4:$AY$138, MATCH('Staging Table'!$A126, LS_previous!$B$4:$B$138, 0), MATCH(P$4&amp;P$5, LS_previous!$D$2:$AY$2&amp;LS_previous!$D$3:$AY$3, 0)),SUM(VLOOKUP($A126, LS_previous!$B$4:$AY$138, LS_previous!H$149, FALSE), VLOOKUP('Staging Table'!$A126, LS_previous!$B$4:$AY$138,LS_previous!AF$149, FALSE))/2)</f>
        <v>2378.7723658115428</v>
      </c>
      <c r="Q126" s="382">
        <f t="array" ref="Q126">IF($G126=0, INDEX(LS_previous!$D$4:$AY$138, MATCH('Staging Table'!$A126, LS_previous!$B$4:$B$138, 0), MATCH(Q$4&amp;Q$5, LS_previous!$D$2:$AY$2&amp;LS_previous!$D$3:$AY$3, 0)),SUM(VLOOKUP($A126, LS_previous!$B$4:$AY$138, LS_previous!I$149, FALSE), VLOOKUP('Staging Table'!$A126, LS_previous!$B$4:$AY$138,LS_previous!AG$149, FALSE))/2)</f>
        <v>2155.3829065422742</v>
      </c>
      <c r="R126" s="382">
        <f t="array" ref="R126">IF($G126=0, INDEX(LS_previous!$D$4:$AY$138, MATCH('Staging Table'!$A126, LS_previous!$B$4:$B$138, 0), MATCH(R$4&amp;R$5, LS_previous!$D$2:$AY$2&amp;LS_previous!$D$3:$AY$3, 0)),SUM(VLOOKUP($A126, LS_previous!$B$4:$AY$138, LS_previous!J$149, FALSE), VLOOKUP('Staging Table'!$A126, LS_previous!$B$4:$AY$138,LS_previous!AH$149, FALSE))/2)</f>
        <v>4060.0524048399893</v>
      </c>
      <c r="S126" s="382">
        <f t="array" ref="S126">IF($G126=0, INDEX(LS_previous!$D$4:$AY$138, MATCH('Staging Table'!$A126, LS_previous!$B$4:$B$138, 0), MATCH(S$4&amp;S$5, LS_previous!$D$2:$AY$2&amp;LS_previous!$D$3:$AY$3, 0)),SUM(VLOOKUP($A126, LS_previous!$B$4:$AY$138, LS_previous!K$149, FALSE), VLOOKUP('Staging Table'!$A126, LS_previous!$B$4:$AY$138,LS_previous!AI$149, FALSE))/2)</f>
        <v>3399.2663237272563</v>
      </c>
      <c r="T126" s="382">
        <f t="array" ref="T126">IF($G126=0, INDEX(LS_previous!$D$4:$AY$138, MATCH('Staging Table'!$A126, LS_previous!$B$4:$B$138, 0), MATCH(T$4&amp;T$5, LS_previous!$D$2:$AY$2&amp;LS_previous!$D$3:$AY$3, 0)),SUM(VLOOKUP($A126, LS_previous!$B$4:$AY$138, LS_previous!L$149, FALSE), VLOOKUP('Staging Table'!$A126, LS_previous!$B$4:$AY$138,LS_previous!AJ$149, FALSE))/2)</f>
        <v>3937.900979109043</v>
      </c>
      <c r="U126" s="382">
        <f t="array" ref="U126">IF($G126=0, INDEX(LS_previous!$D$4:$AY$138, MATCH('Staging Table'!$A126, LS_previous!$B$4:$B$138, 0), MATCH(U$4&amp;U$5, LS_previous!$D$2:$AY$2&amp;LS_previous!$D$3:$AY$3, 0)),SUM(VLOOKUP($A126, LS_previous!$B$4:$AY$138, LS_previous!M$149, FALSE), VLOOKUP('Staging Table'!$A126, LS_previous!$B$4:$AY$138,LS_previous!AK$149, FALSE))/2)</f>
        <v>2695.7719993677592</v>
      </c>
      <c r="V126" s="382">
        <f t="array" ref="V126">IF($G126=0, INDEX(LS_previous!$D$4:$AY$138, MATCH('Staging Table'!$A126, LS_previous!$B$4:$B$138, 0), MATCH(V$4&amp;V$5, LS_previous!$D$2:$AY$2&amp;LS_previous!$D$3:$AY$3, 0)),SUM(VLOOKUP($A126, LS_previous!$B$4:$AY$138, LS_previous!N$149, FALSE), VLOOKUP('Staging Table'!$A126, LS_previous!$B$4:$AY$138,LS_previous!AL$149, FALSE))/2)</f>
        <v>1773.8902952888493</v>
      </c>
      <c r="W126" s="382">
        <f t="array" ref="W126">IF($G126=0, INDEX(LS_previous!$D$4:$AY$138, MATCH('Staging Table'!$A126, LS_previous!$B$4:$B$138, 0), MATCH(W$4&amp;W$5, LS_previous!$D$2:$AY$2&amp;LS_previous!$D$3:$AY$3, 0)),SUM(VLOOKUP($A126, LS_previous!$B$4:$AY$138, LS_previous!O$149, FALSE), VLOOKUP('Staging Table'!$A126, LS_previous!$B$4:$AY$138,LS_previous!AM$149, FALSE))/2)</f>
        <v>1077.7980143036448</v>
      </c>
      <c r="X126" s="382">
        <f t="array" ref="X126">IF($G126=0, INDEX(LS_previous!$D$4:$AY$138, MATCH('Staging Table'!$A126, LS_previous!$B$4:$B$138, 0), MATCH(X$4&amp;X$5, LS_previous!$D$2:$AY$2&amp;LS_previous!$D$3:$AY$3, 0)),SUM(VLOOKUP($A126, LS_previous!$B$4:$AY$138, LS_previous!P$149, FALSE), VLOOKUP('Staging Table'!$A126, LS_previous!$B$4:$AY$138,LS_previous!AN$149, FALSE))/2)</f>
        <v>1587.4278485787709</v>
      </c>
      <c r="Y126" s="382">
        <f t="array" ref="Y126">IF($G126=0, INDEX(LS_previous!$D$4:$AY$138, MATCH('Staging Table'!$A126, LS_previous!$B$4:$B$138, 0), MATCH(Y$4&amp;Y$5, LS_previous!$D$2:$AY$2&amp;LS_previous!$D$3:$AY$3, 0)),SUM(VLOOKUP($A126, LS_previous!$B$4:$AY$138, LS_previous!Q$149, FALSE), VLOOKUP('Staging Table'!$A126, LS_previous!$B$4:$AY$138,LS_previous!AO$149, FALSE))/2)</f>
        <v>843.91534962696642</v>
      </c>
      <c r="Z126" s="382">
        <f t="array" ref="Z126">IF($G126=0, INDEX(LS_previous!$D$4:$AY$138, MATCH('Staging Table'!$A126, LS_previous!$B$4:$B$138, 0), MATCH(Z$4&amp;Z$5, LS_previous!$D$2:$AY$2&amp;LS_previous!$D$3:$AY$3, 0)),SUM(VLOOKUP($A126, LS_previous!$B$4:$AY$138, LS_previous!R$149, FALSE), VLOOKUP('Staging Table'!$A126, LS_previous!$B$4:$AY$138,LS_previous!AP$149, FALSE))/2)</f>
        <v>-5768.9229286247119</v>
      </c>
      <c r="AA126" s="382">
        <f t="array" ref="AA126">IF($G126=0, INDEX(LS_previous!$D$4:$AY$138, MATCH('Staging Table'!$A126, LS_previous!$B$4:$B$138, 0), MATCH(AA$4&amp;AA$5, LS_previous!$D$2:$AY$2&amp;LS_previous!$D$3:$AY$3, 0)),SUM(VLOOKUP($A126, LS_previous!$B$4:$AY$138, LS_previous!S$149, FALSE), VLOOKUP('Staging Table'!$A126, LS_previous!$B$4:$AY$138,LS_previous!AQ$149, FALSE))/2)</f>
        <v>-2292.5133015841284</v>
      </c>
      <c r="AB126" s="382">
        <f t="array" ref="AB126">IF($G126=0, INDEX(LS_previous!$D$4:$AY$138, MATCH('Staging Table'!$A126, LS_previous!$B$4:$B$138, 0), MATCH(AB$4&amp;AB$5, LS_previous!$D$2:$AY$2&amp;LS_previous!$D$3:$AY$3, 0)),SUM(VLOOKUP($A126, LS_previous!$B$4:$AY$138, LS_previous!T$149, FALSE), VLOOKUP('Staging Table'!$A126, LS_previous!$B$4:$AY$138,LS_previous!AR$149, FALSE))/2)</f>
        <v>-2417.4629193507499</v>
      </c>
      <c r="AC126" s="382">
        <f t="array" ref="AC126">IF($G126=0, INDEX(LS_previous!$D$4:$AY$138, MATCH('Staging Table'!$A126, LS_previous!$B$4:$B$138, 0), MATCH(AC$4&amp;AC$5, LS_previous!$D$2:$AY$2&amp;LS_previous!$D$3:$AY$3, 0)),SUM(VLOOKUP($A126, LS_previous!$B$4:$AY$138, LS_previous!U$149, FALSE), VLOOKUP('Staging Table'!$A126, LS_previous!$B$4:$AY$138,LS_previous!AS$149, FALSE))/2)</f>
        <v>-1214.867678835918</v>
      </c>
      <c r="AD126" s="382">
        <f t="array" ref="AD126">IF($G126=0, INDEX(LS_previous!$D$4:$AY$138, MATCH('Staging Table'!$A126, LS_previous!$B$4:$B$138, 0), MATCH(AD$4&amp;AD$5, LS_previous!$D$2:$AY$2&amp;LS_previous!$D$3:$AY$3, 0)),SUM(VLOOKUP($A126, LS_previous!$B$4:$AY$138, LS_previous!V$149, FALSE), VLOOKUP('Staging Table'!$A126, LS_previous!$B$4:$AY$138,LS_previous!AT$149, FALSE))/2)</f>
        <v>1260.6537838652839</v>
      </c>
      <c r="AE126" s="382">
        <f t="array" ref="AE126">IF($G126=0, INDEX(LS_previous!$D$4:$AY$138, MATCH('Staging Table'!$A126, LS_previous!$B$4:$B$138, 0), MATCH(AE$4&amp;AE$5, LS_previous!$D$2:$AY$2&amp;LS_previous!$D$3:$AY$3, 0)),SUM(VLOOKUP($A126, LS_previous!$B$4:$AY$138, LS_previous!W$149, FALSE), VLOOKUP('Staging Table'!$A126, LS_previous!$B$4:$AY$138,LS_previous!AU$149, FALSE))/2)</f>
        <v>1457.886975137636</v>
      </c>
      <c r="AF126" s="382">
        <f t="array" ref="AF126">IF($G126=0, INDEX(LS_previous!$D$4:$AY$138, MATCH('Staging Table'!$A126, LS_previous!$B$4:$B$138, 0), MATCH(AF$4&amp;AF$5, LS_previous!$D$2:$AY$2&amp;LS_previous!$D$3:$AY$3, 0)),SUM(VLOOKUP($A126, LS_previous!$B$4:$AY$138, LS_previous!X$149, FALSE), VLOOKUP('Staging Table'!$A126, LS_previous!$B$4:$AY$138,LS_previous!AV$149, FALSE))/2)</f>
        <v>574.19415321467022</v>
      </c>
      <c r="AG126" s="382">
        <f t="array" ref="AG126">IF($G126=0, INDEX(LS_previous!$D$4:$AY$138, MATCH('Staging Table'!$A126, LS_previous!$B$4:$B$138, 0), MATCH(AG$4&amp;AG$5, LS_previous!$D$2:$AY$2&amp;LS_previous!$D$3:$AY$3, 0)),SUM(VLOOKUP($A126, LS_previous!$B$4:$AY$138, LS_previous!Y$149, FALSE), VLOOKUP('Staging Table'!$A126, LS_previous!$B$4:$AY$138,LS_previous!AW$149, FALSE))/2)</f>
        <v>783.2054978888491</v>
      </c>
      <c r="AH126" s="382">
        <f t="array" ref="AH126">IF($G126=0, INDEX(LS_previous!$D$4:$AY$138, MATCH('Staging Table'!$A126, LS_previous!$B$4:$B$138, 0), MATCH(AH$4&amp;AH$5, LS_previous!$D$2:$AY$2&amp;LS_previous!$D$3:$AY$3, 0)),SUM(VLOOKUP($A126, LS_previous!$B$4:$AY$138, LS_previous!Z$149, FALSE), VLOOKUP('Staging Table'!$A126, LS_previous!$B$4:$AY$138,LS_previous!AX$149, FALSE))/2)</f>
        <v>517.32800867419792</v>
      </c>
      <c r="AI126" s="382">
        <f t="array" ref="AI126">IF($G126=0, INDEX(LS_previous!$D$4:$AY$138, MATCH('Staging Table'!$A126, LS_previous!$B$4:$B$138, 0), MATCH(AI$4&amp;AI$5, LS_previous!$D$2:$AY$2&amp;LS_previous!$D$3:$AY$3, 0)),SUM(VLOOKUP($A126, LS_previous!$B$4:$AY$138, LS_previous!AA$149, FALSE), VLOOKUP('Staging Table'!$A126, LS_previous!$B$4:$AY$138,LS_previous!AY$149, FALSE))/2)</f>
        <v>414.72020436711955</v>
      </c>
      <c r="AJ126" s="384">
        <f t="array" ref="AJ126">INDEX(Demand_previous!$D$4:$AY$138, MATCH('Staging Table'!$A126, Demand_previous!$B$4:$B$138, 0), MATCH(AJ$4&amp;AJ$5,Demand_previous!$D$2:$AY$2&amp;Demand_previous!$D$3:$AY$3, 0))/1000</f>
        <v>5.2254745370370399</v>
      </c>
      <c r="AK126" s="384">
        <f t="array" ref="AK126">INDEX(Demand_previous!$D$4:$AY$138, MATCH('Staging Table'!$A126, Demand_previous!$B$4:$B$138, 0), MATCH(AK$4&amp;AK$5,Demand_previous!$D$2:$AY$2&amp;Demand_previous!$D$3:$AY$3, 0))/1000</f>
        <v>2.8437890624999991</v>
      </c>
      <c r="AL126" s="384">
        <f t="array" ref="AL126">INDEX(Demand_previous!$D$4:$AY$138, MATCH('Staging Table'!$A126, Demand_previous!$B$4:$B$138, 0), MATCH(AL$4&amp;AL$5,Demand_previous!$D$2:$AY$2&amp;Demand_previous!$D$3:$AY$3, 0))/1000</f>
        <v>6.3343509615384601</v>
      </c>
      <c r="AM126" s="384">
        <f t="array" ref="AM126">INDEX(Demand_previous!$D$4:$AY$138, MATCH('Staging Table'!$A126, Demand_previous!$B$4:$B$138, 0), MATCH(AM$4&amp;AM$5,Demand_previous!$D$2:$AY$2&amp;Demand_previous!$D$3:$AY$3, 0))/1000</f>
        <v>2.3163674999999984</v>
      </c>
      <c r="AN126" s="384">
        <f t="array" ref="AN126">INDEX(Demand_previous!$D$4:$AY$138, MATCH('Staging Table'!$A126, Demand_previous!$B$4:$B$138, 0), MATCH(AN$4&amp;AN$5,Demand_previous!$D$2:$AY$2&amp;Demand_previous!$D$3:$AY$3, 0))/1000</f>
        <v>4.6249324999999981</v>
      </c>
      <c r="AO126" s="384">
        <f t="array" ref="AO126">INDEX(Demand_previous!$D$4:$AY$138, MATCH('Staging Table'!$A126, Demand_previous!$B$4:$B$138, 0), MATCH(AO$4&amp;AO$5,Demand_previous!$D$2:$AY$2&amp;Demand_previous!$D$3:$AY$3, 0))/1000</f>
        <v>6.1905370370370365</v>
      </c>
      <c r="AP126" s="384">
        <f t="array" ref="AP126">INDEX(Demand_previous!$D$4:$AY$138, MATCH('Staging Table'!$A126, Demand_previous!$B$4:$B$138, 0), MATCH(AP$4&amp;AP$5,Demand_previous!$D$2:$AY$2&amp;Demand_previous!$D$3:$AY$3, 0))/1000</f>
        <v>5.6569447115384595</v>
      </c>
      <c r="AQ126" s="384">
        <f t="array" ref="AQ126">INDEX(Demand_previous!$D$4:$AY$138, MATCH('Staging Table'!$A126, Demand_previous!$B$4:$B$138, 0), MATCH(AQ$4&amp;AQ$5,Demand_previous!$D$2:$AY$2&amp;Demand_previous!$D$3:$AY$3, 0))/1000</f>
        <v>2.6546200000000004</v>
      </c>
      <c r="AR126" s="384">
        <f t="array" ref="AR126">INDEX(Demand_previous!$D$4:$AY$138, MATCH('Staging Table'!$A126, Demand_previous!$B$4:$B$138, 0), MATCH(AR$4&amp;AR$5,Demand_previous!$D$2:$AY$2&amp;Demand_previous!$D$3:$AY$3, 0))/1000</f>
        <v>3.389139423076923</v>
      </c>
      <c r="AS126" s="384">
        <f t="array" ref="AS126">INDEX(Demand_previous!$D$4:$AY$138, MATCH('Staging Table'!$A126, Demand_previous!$B$4:$B$138, 0), MATCH(AS$4&amp;AS$5,Demand_previous!$D$2:$AY$2&amp;Demand_previous!$D$3:$AY$3, 0))/1000</f>
        <v>4.4484350000000026</v>
      </c>
      <c r="AT126" s="384">
        <f t="array" ref="AT126">INDEX(Demand_previous!$D$4:$AY$138, MATCH('Staging Table'!$A126, Demand_previous!$B$4:$B$138, 0), MATCH(AT$4&amp;AT$5,Demand_previous!$D$2:$AY$2&amp;Demand_previous!$D$3:$AY$3, 0))/1000</f>
        <v>4.7011990740740739</v>
      </c>
      <c r="AU126" s="384">
        <f t="array" ref="AU126">INDEX(Demand_previous!$D$4:$AY$138, MATCH('Staging Table'!$A126, Demand_previous!$B$4:$B$138, 0), MATCH(AU$4&amp;AU$5,Demand_previous!$D$2:$AY$2&amp;Demand_previous!$D$3:$AY$3, 0))/1000</f>
        <v>7.3044000000000002</v>
      </c>
      <c r="AV126" s="384">
        <f>IF($D126=0,IF(C126=0, MAX(AY126 - (VLOOKUP($A126,TOCA_previous!$A$2:$AI$137,MATCH("RHWM 2016",TOCA_previous!$A$2:$AI$2,0),FALSE)*$F$2*TOCA_previous!C123),0),0), 0)</f>
        <v>17661.440556013607</v>
      </c>
      <c r="AW126" s="427">
        <f>VLOOKUP($A126,REP_previous!$A$1:$D$135,MATCH("FY "&amp;$F$1&amp; " Total Refund",REP_previous!$A$1:$D$1,0),0)</f>
        <v>340914.32120429445</v>
      </c>
      <c r="AX126" s="398">
        <f>MIN(VLOOKUP($A126,TOCA_previous!$A$2:$AI$137,MATCH("TRL - NLSL - Exisiting Resource "&amp;$F$1,TOCA_previous!$A$2:$AI$2,0),FALSE)*$F$2,(VLOOKUP($A126,TOCA_previous!$A$2:$AI$137,MATCH("RHWM 2016",TOCA_previous!$A$2:$AI$2,0),FALSE)*$F$2))</f>
        <v>236219.32800000001</v>
      </c>
      <c r="AY126" s="384">
        <f>SUM(L126:AI126)+(F126*RT1SC!$C$3*$F$2)</f>
        <v>253880.76855601362</v>
      </c>
      <c r="AZ126" s="398">
        <f>VLOOKUP($A126,TOCA_previous!$A$2:$AI$137,MATCH("Above RHWM Not Served with LS "&amp;$F$1,TOCA_previous!$A$2:$AI$2,0),FALSE)*$F$2</f>
        <v>0</v>
      </c>
      <c r="BA126" s="206">
        <f t="shared" si="19"/>
        <v>17661.440556013607</v>
      </c>
      <c r="BB126" s="399">
        <f>(VLOOKUP($A126,TOCA_previous!$A$2:$AI$137,MATCH("RHWM 2016",TOCA_previous!$A$2:$AI$2,0),FALSE)*$F$2) - $AX126</f>
        <v>0</v>
      </c>
      <c r="BC126" s="206">
        <f t="shared" si="20"/>
        <v>0</v>
      </c>
      <c r="BD126" s="400">
        <f t="shared" si="21"/>
        <v>0</v>
      </c>
      <c r="BE126" s="392">
        <f t="shared" si="22"/>
        <v>0</v>
      </c>
      <c r="BF126" s="399">
        <f t="shared" si="23"/>
        <v>0</v>
      </c>
      <c r="BG126" s="206">
        <f>VLOOKUP($A126,TOCA_current!$A$2:$AI$137,MATCH(BG$4,TOCA_current!$A$2:$AI$2,0),FALSE)</f>
        <v>3.8476000000000001E-3</v>
      </c>
      <c r="BH126" s="206">
        <f>VLOOKUP($A126,TOCA_current!$A$2:$AI$137,MATCH(BH$4,TOCA_current!$A$2:$AI$2,0),FALSE)</f>
        <v>3.8476000000000001E-3</v>
      </c>
      <c r="BI126" s="391">
        <f t="shared" si="24"/>
        <v>0</v>
      </c>
      <c r="BJ126" s="206">
        <f>VLOOKUP($A126,TOCA_current!A122:BG257,MATCH(BJ$4,TOCA_current!$A$2:$BG$2,0),FALSE)</f>
        <v>0</v>
      </c>
      <c r="BK126" s="206">
        <f t="shared" si="25"/>
        <v>0</v>
      </c>
      <c r="BL126" s="206">
        <f t="shared" si="26"/>
        <v>0</v>
      </c>
      <c r="BM126" s="381">
        <f>VLOOKUP($A126,IRD!$A$4:$G$139, 7, FALSE)</f>
        <v>0</v>
      </c>
      <c r="BN126" s="382">
        <f t="array" ref="BN126">IF($BI126=0, INDEX(LS_current!$D$4:$AY$139, MATCH('Staging Table'!$A126, LS_current!$B$4:$B$139, 0), MATCH(BN$4&amp;BN$5, LS_current!$D$2:$AY$2&amp;LS_current!$D$3:$AY$3, 0)),SUM(VLOOKUP($A126, LS_current!$B$4:$AY$139, LS_current!D$149, FALSE), VLOOKUP($A126, LS_current!$B$4:$AY$139,LS_current!D$149, FALSE))/2)</f>
        <v>-1006.4237007232732</v>
      </c>
      <c r="BO126" s="382">
        <f t="array" ref="BO126">IF($BI126=0, INDEX(LS_current!$D$4:$AY$139, MATCH('Staging Table'!$A126, LS_current!$B$4:$B$139, 0), MATCH(BO$4&amp;BO$5, LS_current!$D$2:$AY$2&amp;LS_current!$D$3:$AY$3, 0)),SUM(VLOOKUP($A126, LS_current!$B$4:$AY$139, LS_current!E$149, FALSE), VLOOKUP($A126, LS_current!$B$4:$AY$139,LS_current!E$149, FALSE))/2)</f>
        <v>-264.50547384656693</v>
      </c>
      <c r="BP126" s="382">
        <f t="array" ref="BP126">IF($BI126=0, INDEX(LS_current!$D$4:$AY$139, MATCH('Staging Table'!$A126, LS_current!$B$4:$B$139, 0), MATCH(BP$4&amp;BP$5, LS_current!$D$2:$AY$2&amp;LS_current!$D$3:$AY$3, 0)),SUM(VLOOKUP($A126, LS_current!$B$4:$AY$139, LS_current!F$149, FALSE), VLOOKUP($A126, LS_current!$B$4:$AY$139,LS_current!F$149, FALSE))/2)</f>
        <v>-1496.2680704406375</v>
      </c>
      <c r="BQ126" s="382">
        <f t="array" ref="BQ126">IF($BI126=0, INDEX(LS_current!$D$4:$AY$139, MATCH('Staging Table'!$A126, LS_current!$B$4:$B$139, 0), MATCH(BQ$4&amp;BQ$5, LS_current!$D$2:$AY$2&amp;LS_current!$D$3:$AY$3, 0)),SUM(VLOOKUP($A126, LS_current!$B$4:$AY$139, LS_current!G$149, FALSE), VLOOKUP($A126, LS_current!$B$4:$AY$139,LS_current!G$149, FALSE))/2)</f>
        <v>-4.062165976716642</v>
      </c>
      <c r="BR126" s="382">
        <f t="array" ref="BR126">IF($BI126=0, INDEX(LS_current!$D$4:$AY$139, MATCH('Staging Table'!$A126, LS_current!$B$4:$B$139, 0), MATCH(BR$4&amp;BR$5, LS_current!$D$2:$AY$2&amp;LS_current!$D$3:$AY$3, 0)),SUM(VLOOKUP($A126, LS_current!$B$4:$AY$139, LS_current!H$149, FALSE), VLOOKUP($A126, LS_current!$B$4:$AY$139,LS_current!H$149, FALSE))/2)</f>
        <v>1043.8676150643114</v>
      </c>
      <c r="BS126" s="382">
        <f t="array" ref="BS126">IF($BI126=0, INDEX(LS_current!$D$4:$AY$139, MATCH('Staging Table'!$A126, LS_current!$B$4:$B$139, 0), MATCH(BS$4&amp;BS$5, LS_current!$D$2:$AY$2&amp;LS_current!$D$3:$AY$3, 0)),SUM(VLOOKUP($A126, LS_current!$B$4:$AY$139, LS_current!I$149, FALSE), VLOOKUP($A126, LS_current!$B$4:$AY$139,LS_current!I$149, FALSE))/2)</f>
        <v>1306.5697290597709</v>
      </c>
      <c r="BT126" s="382">
        <f t="array" ref="BT126">IF($BI126=0, INDEX(LS_current!$D$4:$AY$139, MATCH('Staging Table'!$A126, LS_current!$B$4:$B$139, 0), MATCH(BT$4&amp;BT$5, LS_current!$D$2:$AY$2&amp;LS_current!$D$3:$AY$3, 0)),SUM(VLOOKUP($A126, LS_current!$B$4:$AY$139, LS_current!J$149, FALSE), VLOOKUP($A126, LS_current!$B$4:$AY$139,LS_current!J$149, FALSE))/2)</f>
        <v>2999.5905946056355</v>
      </c>
      <c r="BU126" s="382">
        <f t="array" ref="BU126">IF($BI126=0, INDEX(LS_current!$D$4:$AY$139, MATCH('Staging Table'!$A126, LS_current!$B$4:$B$139, 0), MATCH(BU$4&amp;BU$5, LS_current!$D$2:$AY$2&amp;LS_current!$D$3:$AY$3, 0)),SUM(VLOOKUP($A126, LS_current!$B$4:$AY$139, LS_current!K$149, FALSE), VLOOKUP($A126, LS_current!$B$4:$AY$139,LS_current!K$149, FALSE))/2)</f>
        <v>2636.1732014647496</v>
      </c>
      <c r="BV126" s="382">
        <f t="array" ref="BV126">IF($BI126=0, INDEX(LS_current!$D$4:$AY$139, MATCH('Staging Table'!$A126, LS_current!$B$4:$B$139, 0), MATCH(BV$4&amp;BV$5, LS_current!$D$2:$AY$2&amp;LS_current!$D$3:$AY$3, 0)),SUM(VLOOKUP($A126, LS_current!$B$4:$AY$139, LS_current!L$149, FALSE), VLOOKUP($A126, LS_current!$B$4:$AY$139,LS_current!L$149, FALSE))/2)</f>
        <v>3877.9924300415169</v>
      </c>
      <c r="BW126" s="382">
        <f t="array" ref="BW126">IF($BI126=0, INDEX(LS_current!$D$4:$AY$139, MATCH('Staging Table'!$A126, LS_current!$B$4:$B$139, 0), MATCH(BW$4&amp;BW$5, LS_current!$D$2:$AY$2&amp;LS_current!$D$3:$AY$3, 0)),SUM(VLOOKUP($A126, LS_current!$B$4:$AY$139, LS_current!M$149, FALSE), VLOOKUP($A126, LS_current!$B$4:$AY$139,LS_current!M$149, FALSE))/2)</f>
        <v>2678.8312092945689</v>
      </c>
      <c r="BX126" s="382">
        <f t="array" ref="BX126">IF($BI126=0, INDEX(LS_current!$D$4:$AY$139, MATCH('Staging Table'!$A126, LS_current!$B$4:$B$139, 0), MATCH(BX$4&amp;BX$5, LS_current!$D$2:$AY$2&amp;LS_current!$D$3:$AY$3, 0)),SUM(VLOOKUP($A126, LS_current!$B$4:$AY$139, LS_current!N$149, FALSE), VLOOKUP($A126, LS_current!$B$4:$AY$139,LS_current!N$149, FALSE))/2)</f>
        <v>1429.5054371363658</v>
      </c>
      <c r="BY126" s="382">
        <f t="array" ref="BY126">IF($BI126=0, INDEX(LS_current!$D$4:$AY$139, MATCH('Staging Table'!$A126, LS_current!$B$4:$B$139, 0), MATCH(BY$4&amp;BY$5, LS_current!$D$2:$AY$2&amp;LS_current!$D$3:$AY$3, 0)),SUM(VLOOKUP($A126, LS_current!$B$4:$AY$139, LS_current!O$149, FALSE), VLOOKUP($A126, LS_current!$B$4:$AY$139,LS_current!O$149, FALSE))/2)</f>
        <v>1076.1373927619761</v>
      </c>
      <c r="BZ126" s="382">
        <f t="array" ref="BZ126">IF($BI126=0, INDEX(LS_current!$D$4:$AY$139, MATCH('Staging Table'!$A126, LS_current!$B$4:$B$139, 0), MATCH(BZ$4&amp;BZ$5, LS_current!$D$2:$AY$2&amp;LS_current!$D$3:$AY$3, 0)),SUM(VLOOKUP($A126, LS_current!$B$4:$AY$139, LS_current!P$149, FALSE), VLOOKUP($A126, LS_current!$B$4:$AY$139,LS_current!P$149, FALSE))/2)</f>
        <v>-478.0047940844288</v>
      </c>
      <c r="CA126" s="382">
        <f t="array" ref="CA126">IF($BI126=0, INDEX(LS_current!$D$4:$AY$139, MATCH('Staging Table'!$A126, LS_current!$B$4:$B$139, 0), MATCH(CA$4&amp;CA$5, LS_current!$D$2:$AY$2&amp;LS_current!$D$3:$AY$3, 0)),SUM(VLOOKUP($A126, LS_current!$B$4:$AY$139, LS_current!Q$149, FALSE), VLOOKUP($A126, LS_current!$B$4:$AY$139,LS_current!Q$149, FALSE))/2)</f>
        <v>41.35144489072718</v>
      </c>
      <c r="CB126" s="382">
        <f t="array" ref="CB126">IF($BI126=0, INDEX(LS_current!$D$4:$AY$139, MATCH('Staging Table'!$A126, LS_current!$B$4:$B$139, 0), MATCH(CB$4&amp;CB$5, LS_current!$D$2:$AY$2&amp;LS_current!$D$3:$AY$3, 0)),SUM(VLOOKUP($A126, LS_current!$B$4:$AY$139, LS_current!R$149, FALSE), VLOOKUP($A126, LS_current!$B$4:$AY$139,LS_current!R$149, FALSE))/2)</f>
        <v>-6549.7593362875086</v>
      </c>
      <c r="CC126" s="382">
        <f t="array" ref="CC126">IF($BI126=0, INDEX(LS_current!$D$4:$AY$139, MATCH('Staging Table'!$A126, LS_current!$B$4:$B$139, 0), MATCH(CC$4&amp;CC$5, LS_current!$D$2:$AY$2&amp;LS_current!$D$3:$AY$3, 0)),SUM(VLOOKUP($A126, LS_current!$B$4:$AY$139, LS_current!S$149, FALSE), VLOOKUP($A126, LS_current!$B$4:$AY$139,LS_current!S$149, FALSE))/2)</f>
        <v>-3169.2454936819604</v>
      </c>
      <c r="CD126" s="382">
        <f t="array" ref="CD126">IF($BI126=0, INDEX(LS_current!$D$4:$AY$139, MATCH('Staging Table'!$A126, LS_current!$B$4:$B$139, 0), MATCH(CD$4&amp;CD$5, LS_current!$D$2:$AY$2&amp;LS_current!$D$3:$AY$3, 0)),SUM(VLOOKUP($A126, LS_current!$B$4:$AY$139, LS_current!T$149, FALSE), VLOOKUP($A126, LS_current!$B$4:$AY$139,LS_current!T$149, FALSE))/2)</f>
        <v>-3283.72509357735</v>
      </c>
      <c r="CE126" s="382">
        <f t="array" ref="CE126">IF($BI126=0, INDEX(LS_current!$D$4:$AY$139, MATCH('Staging Table'!$A126, LS_current!$B$4:$B$139, 0), MATCH(CE$4&amp;CE$5, LS_current!$D$2:$AY$2&amp;LS_current!$D$3:$AY$3, 0)),SUM(VLOOKUP($A126, LS_current!$B$4:$AY$139, LS_current!U$149, FALSE), VLOOKUP($A126, LS_current!$B$4:$AY$139,LS_current!U$149, FALSE))/2)</f>
        <v>-1362.5040862185315</v>
      </c>
      <c r="CF126" s="382">
        <f t="array" ref="CF126">IF($BI126=0, INDEX(LS_current!$D$4:$AY$139, MATCH('Staging Table'!$A126, LS_current!$B$4:$B$139, 0), MATCH(CF$4&amp;CF$5, LS_current!$D$2:$AY$2&amp;LS_current!$D$3:$AY$3, 0)),SUM(VLOOKUP($A126, LS_current!$B$4:$AY$139, LS_current!V$149, FALSE), VLOOKUP($A126, LS_current!$B$4:$AY$139,LS_current!V$149, FALSE))/2)</f>
        <v>1124.9316818382649</v>
      </c>
      <c r="CG126" s="382">
        <f t="array" ref="CG126">IF($BI126=0, INDEX(LS_current!$D$4:$AY$139, MATCH('Staging Table'!$A126, LS_current!$B$4:$B$139, 0), MATCH(CG$4&amp;CG$5, LS_current!$D$2:$AY$2&amp;LS_current!$D$3:$AY$3, 0)),SUM(VLOOKUP($A126, LS_current!$B$4:$AY$139, LS_current!W$149, FALSE), VLOOKUP($A126, LS_current!$B$4:$AY$139,LS_current!W$149, FALSE))/2)</f>
        <v>1155.9918741446945</v>
      </c>
      <c r="CH126" s="382">
        <f t="array" ref="CH126">IF($BI126=0, INDEX(LS_current!$D$4:$AY$139, MATCH('Staging Table'!$A126, LS_current!$B$4:$B$139, 0), MATCH(CH$4&amp;CH$5, LS_current!$D$2:$AY$2&amp;LS_current!$D$3:$AY$3, 0)),SUM(VLOOKUP($A126, LS_current!$B$4:$AY$139, LS_current!X$149, FALSE), VLOOKUP($A126, LS_current!$B$4:$AY$139,LS_current!X$149, FALSE))/2)</f>
        <v>-323.68153556888683</v>
      </c>
      <c r="CI126" s="382">
        <f t="array" ref="CI126">IF($BI126=0, INDEX(LS_current!$D$4:$AY$139, MATCH('Staging Table'!$A126, LS_current!$B$4:$B$139, 0), MATCH(CI$4&amp;CI$5, LS_current!$D$2:$AY$2&amp;LS_current!$D$3:$AY$3, 0)),SUM(VLOOKUP($A126, LS_current!$B$4:$AY$139, LS_current!Y$149, FALSE), VLOOKUP($A126, LS_current!$B$4:$AY$139,LS_current!Y$149, FALSE))/2)</f>
        <v>297.70187186622934</v>
      </c>
      <c r="CJ126" s="382">
        <f t="array" ref="CJ126">IF($BI126=0, INDEX(LS_current!$D$4:$AY$139, MATCH('Staging Table'!$A126, LS_current!$B$4:$B$139, 0), MATCH(CJ$4&amp;CJ$5, LS_current!$D$2:$AY$2&amp;LS_current!$D$3:$AY$3, 0)),SUM(VLOOKUP($A126, LS_current!$B$4:$AY$139, LS_current!Z$149, FALSE), VLOOKUP($A126, LS_current!$B$4:$AY$139,LS_current!Z$149, FALSE))/2)</f>
        <v>-1411.5621462746858</v>
      </c>
      <c r="CK126" s="382">
        <f t="array" ref="CK126">IF($BI126=0, INDEX(LS_current!$D$4:$AY$139, MATCH('Staging Table'!$A126, LS_current!$B$4:$B$139, 0), MATCH(CK$4&amp;CK$5, LS_current!$D$2:$AY$2&amp;LS_current!$D$3:$AY$3, 0)),SUM(VLOOKUP($A126, LS_current!$B$4:$AY$139, LS_current!AA$149, FALSE), VLOOKUP($A126, LS_current!$B$4:$AY$139,LS_current!AA$149, FALSE))/2)</f>
        <v>-320.35892421994959</v>
      </c>
      <c r="CL126" s="384">
        <f t="array" ref="CL126">INDEX(Demand_current!$D$4:$AY$138, MATCH($A126, Demand_current!$B$4:$B$138, 0), MATCH(CL$4&amp;CL$5,Demand_current!$D$2:$AY$2&amp;Demand_current!$D$3:$AY$3, 0))/1000</f>
        <v>4.1866466346153812</v>
      </c>
      <c r="CM126" s="384">
        <f t="array" ref="CM126">INDEX(Demand_current!$D$4:$AY$138, MATCH($A126, Demand_current!$B$4:$B$138, 0), MATCH(CM$4&amp;CM$5,Demand_current!$D$2:$AY$2&amp;Demand_current!$D$3:$AY$3, 0))/1000</f>
        <v>4.2456374999999991</v>
      </c>
      <c r="CN126" s="384">
        <f t="array" ref="CN126">INDEX(Demand_current!$D$4:$AY$138, MATCH($A126, Demand_current!$B$4:$B$138, 0), MATCH(CN$4&amp;CN$5,Demand_current!$D$2:$AY$2&amp;Demand_current!$D$3:$AY$3, 0))/1000</f>
        <v>4.827484999999994</v>
      </c>
      <c r="CO126" s="384">
        <f t="array" ref="CO126">INDEX(Demand_current!$D$4:$AY$138, MATCH($A126, Demand_current!$B$4:$B$138, 0), MATCH(CO$4&amp;CO$5,Demand_current!$D$2:$AY$2&amp;Demand_current!$D$3:$AY$3, 0))/1000</f>
        <v>3.8133533653846072</v>
      </c>
      <c r="CP126" s="384">
        <f t="array" ref="CP126">INDEX(Demand_current!$D$4:$AY$138, MATCH($A126, Demand_current!$B$4:$B$138, 0), MATCH(CP$4&amp;CP$5,Demand_current!$D$2:$AY$2&amp;Demand_current!$D$3:$AY$3, 0))/1000</f>
        <v>3.1152213541666693</v>
      </c>
      <c r="CQ126" s="384">
        <f t="array" ref="CQ126">INDEX(Demand_current!$D$4:$AY$138, MATCH($A126, Demand_current!$B$4:$B$138, 0), MATCH(CQ$4&amp;CQ$5,Demand_current!$D$2:$AY$2&amp;Demand_current!$D$3:$AY$3, 0))/1000</f>
        <v>6.1905370370370365</v>
      </c>
      <c r="CR126" s="384">
        <f t="array" ref="CR126">INDEX(Demand_current!$D$4:$AY$138, MATCH($A126, Demand_current!$B$4:$B$138, 0), MATCH(CR$4&amp;CR$5,Demand_current!$D$2:$AY$2&amp;Demand_current!$D$3:$AY$3, 0))/1000</f>
        <v>4.5301424999999984</v>
      </c>
      <c r="CS126" s="384">
        <f t="array" ref="CS126">INDEX(Demand_current!$D$4:$AY$138, MATCH($A126, Demand_current!$B$4:$B$138, 0), MATCH(CS$4&amp;CS$5,Demand_current!$D$2:$AY$2&amp;Demand_current!$D$3:$AY$3, 0))/1000</f>
        <v>3.6943653846153799</v>
      </c>
      <c r="CT126" s="384">
        <f t="array" ref="CT126">INDEX(Demand_current!$D$4:$AY$138, MATCH($A126, Demand_current!$B$4:$B$138, 0), MATCH(CT$4&amp;CT$5,Demand_current!$D$2:$AY$2&amp;Demand_current!$D$3:$AY$3, 0))/1000</f>
        <v>3.3891394230769194</v>
      </c>
      <c r="CU126" s="384">
        <f t="array" ref="CU126">INDEX(Demand_current!$D$4:$AY$138, MATCH($A126, Demand_current!$B$4:$B$138, 0), MATCH(CU$4&amp;CU$5,Demand_current!$D$2:$AY$2&amp;Demand_current!$D$3:$AY$3, 0))/1000</f>
        <v>4.4484350000000026</v>
      </c>
      <c r="CV126" s="384">
        <f t="array" ref="CV126">INDEX(Demand_current!$D$4:$AY$138, MATCH($A126, Demand_current!$B$4:$B$138, 0), MATCH(CV$4&amp;CV$5,Demand_current!$D$2:$AY$2&amp;Demand_current!$D$3:$AY$3, 0))/1000</f>
        <v>4.7011990740740739</v>
      </c>
      <c r="CW126" s="384">
        <f t="array" ref="CW126">INDEX(Demand_current!$D$4:$AY$138, MATCH($A126, Demand_current!$B$4:$B$138, 0), MATCH(CW$4&amp;CW$5,Demand_current!$D$2:$AY$2&amp;Demand_current!$D$3:$AY$3, 0))/1000</f>
        <v>6.1683333333333321</v>
      </c>
      <c r="CX126" s="384">
        <f>IF(D126=0,IF(C126=0,MAX(0,DA126 - (VLOOKUP($A126,TOCA_current!$A$2:$AI$137,MATCH("RHWM 2018",TOCA_current!$A$2:$AI$2,0),FALSE)*$BH$2)), 0),0)</f>
        <v>0</v>
      </c>
      <c r="CY126" s="427">
        <f>VLOOKUP($A126,REP_current!$A$1:$D$135,MATCH("FY "&amp;$BH$1&amp; " Total Refund",REP_current!$A$1:$D$1,0),0)</f>
        <v>343118.60597261786</v>
      </c>
      <c r="CZ126" s="432">
        <f>MIN(VLOOKUP($A126,TOCA_current!$A$2:$AI$137,MATCH("TRL - NLSL - Existing Resource "&amp;$BH$1,TOCA_current!$A$2:$AI$2,0),FALSE)*$BH$2, VLOOKUP($A126,TOCA_current!$A$2:$AI$137,MATCH("RHWM 2018",TOCA_current!$A$2:$AI$2,0),FALSE)*$BH$2)</f>
        <v>234075.96</v>
      </c>
      <c r="DA126" s="397">
        <f>SUM(BN126:CK126)+(BH126*RT1SC!$C$4*$BH$2)</f>
        <v>234074.4114149643</v>
      </c>
      <c r="DB126" s="432">
        <f>VLOOKUP($A126,TOCA_current!$A$2:$AI$137,MATCH("Above RHWM Not Served with LS "&amp;$BH$1,TOCA_current!$A$2:$AI$2,0),FALSE)*$BH$2</f>
        <v>19806.36</v>
      </c>
      <c r="DC126" s="401">
        <f t="shared" si="27"/>
        <v>-1.5485850356926676</v>
      </c>
      <c r="DD126" s="397">
        <f>(VLOOKUP($A126,TOCA_current!$A$2:$AI$137,MATCH("RHWM 2018",TOCA_current!$A$2:$AI$2,0),FALSE)*$BH$2) - $CZ126</f>
        <v>0</v>
      </c>
      <c r="DE126" s="397">
        <f t="shared" si="28"/>
        <v>0</v>
      </c>
      <c r="DF126" s="397">
        <f t="shared" si="29"/>
        <v>0</v>
      </c>
      <c r="DG126" s="397">
        <f t="shared" si="30"/>
        <v>0</v>
      </c>
      <c r="DH126" s="397">
        <f t="shared" si="31"/>
        <v>0</v>
      </c>
    </row>
    <row r="127" spans="1:112">
      <c r="A127" s="274">
        <v>10436</v>
      </c>
      <c r="B127" s="275" t="s">
        <v>128</v>
      </c>
      <c r="C127" s="397">
        <v>0</v>
      </c>
      <c r="D127" s="397">
        <v>0</v>
      </c>
      <c r="E127" s="205">
        <f>VLOOKUP($A127,TOCA_previous!$A$2:$AI$137,MATCH(E$4,TOCA_previous!$A$2:$AI$2,0),FALSE)</f>
        <v>2.7158E-3</v>
      </c>
      <c r="F127" s="206">
        <f>VLOOKUP($A127,TOCA_previous!$A$2:$AI$137,MATCH(F$4,TOCA_previous!$A$2:$AI$2,0),FALSE)</f>
        <v>2.7158E-3</v>
      </c>
      <c r="G127" s="206">
        <f t="shared" si="16"/>
        <v>0</v>
      </c>
      <c r="H127" s="206">
        <f>VLOOKUP($A127,TOCA_previous!$A$2:$AI$137,MATCH(H$4,TOCA_previous!$A$2:$AI$2,0),FALSE)</f>
        <v>7.3569999999999997E-2</v>
      </c>
      <c r="I127" s="206">
        <f t="shared" si="17"/>
        <v>0</v>
      </c>
      <c r="J127" s="206">
        <f t="shared" si="18"/>
        <v>0</v>
      </c>
      <c r="K127" s="381">
        <f>VLOOKUP(A127, IRD!$A$5:$C$139, 3, FALSE)</f>
        <v>38863.257999999994</v>
      </c>
      <c r="L127" s="382">
        <f t="array" ref="L127">IF($G127=0, INDEX(LS_previous!$D$4:$AY$138, MATCH('Staging Table'!$A127, LS_previous!$B$4:$B$138, 0), MATCH(L$4&amp;L$5, LS_previous!$D$2:$AY$2&amp;LS_previous!$D$3:$AY$3, 0)),SUM(VLOOKUP($A127, LS_previous!$B$4:$AY$138, LS_previous!D$149, FALSE), VLOOKUP('Staging Table'!$A127, LS_previous!$B$4:$AY$138,LS_previous!AB$149, FALSE))/2)</f>
        <v>-1950.0039777572265</v>
      </c>
      <c r="M127" s="382">
        <f t="array" ref="M127">IF($G127=0, INDEX(LS_previous!$D$4:$AY$138, MATCH('Staging Table'!$A127, LS_previous!$B$4:$B$138, 0), MATCH(M$4&amp;M$5, LS_previous!$D$2:$AY$2&amp;LS_previous!$D$3:$AY$3, 0)),SUM(VLOOKUP($A127, LS_previous!$B$4:$AY$138, LS_previous!E$149, FALSE), VLOOKUP('Staging Table'!$A127, LS_previous!$B$4:$AY$138,LS_previous!AC$149, FALSE))/2)</f>
        <v>-612.32990903583141</v>
      </c>
      <c r="N127" s="382">
        <f t="array" ref="N127">IF($G127=0, INDEX(LS_previous!$D$4:$AY$138, MATCH('Staging Table'!$A127, LS_previous!$B$4:$B$138, 0), MATCH(N$4&amp;N$5, LS_previous!$D$2:$AY$2&amp;LS_previous!$D$3:$AY$3, 0)),SUM(VLOOKUP($A127, LS_previous!$B$4:$AY$138, LS_previous!F$149, FALSE), VLOOKUP('Staging Table'!$A127, LS_previous!$B$4:$AY$138,LS_previous!AD$149, FALSE))/2)</f>
        <v>-2671.9261347852262</v>
      </c>
      <c r="O127" s="382">
        <f t="array" ref="O127">IF($G127=0, INDEX(LS_previous!$D$4:$AY$138, MATCH('Staging Table'!$A127, LS_previous!$B$4:$B$138, 0), MATCH(O$4&amp;O$5, LS_previous!$D$2:$AY$2&amp;LS_previous!$D$3:$AY$3, 0)),SUM(VLOOKUP($A127, LS_previous!$B$4:$AY$138, LS_previous!G$149, FALSE), VLOOKUP('Staging Table'!$A127, LS_previous!$B$4:$AY$138,LS_previous!AE$149, FALSE))/2)</f>
        <v>-315.72751046722169</v>
      </c>
      <c r="P127" s="382">
        <f t="array" ref="P127">IF($G127=0, INDEX(LS_previous!$D$4:$AY$138, MATCH('Staging Table'!$A127, LS_previous!$B$4:$B$138, 0), MATCH(P$4&amp;P$5, LS_previous!$D$2:$AY$2&amp;LS_previous!$D$3:$AY$3, 0)),SUM(VLOOKUP($A127, LS_previous!$B$4:$AY$138, LS_previous!H$149, FALSE), VLOOKUP('Staging Table'!$A127, LS_previous!$B$4:$AY$138,LS_previous!AF$149, FALSE))/2)</f>
        <v>-876.88842864944672</v>
      </c>
      <c r="Q127" s="382">
        <f t="array" ref="Q127">IF($G127=0, INDEX(LS_previous!$D$4:$AY$138, MATCH('Staging Table'!$A127, LS_previous!$B$4:$B$138, 0), MATCH(Q$4&amp;Q$5, LS_previous!$D$2:$AY$2&amp;LS_previous!$D$3:$AY$3, 0)),SUM(VLOOKUP($A127, LS_previous!$B$4:$AY$138, LS_previous!I$149, FALSE), VLOOKUP('Staging Table'!$A127, LS_previous!$B$4:$AY$138,LS_previous!AG$149, FALSE))/2)</f>
        <v>704.25498550701377</v>
      </c>
      <c r="R127" s="382">
        <f t="array" ref="R127">IF($G127=0, INDEX(LS_previous!$D$4:$AY$138, MATCH('Staging Table'!$A127, LS_previous!$B$4:$B$138, 0), MATCH(R$4&amp;R$5, LS_previous!$D$2:$AY$2&amp;LS_previous!$D$3:$AY$3, 0)),SUM(VLOOKUP($A127, LS_previous!$B$4:$AY$138, LS_previous!J$149, FALSE), VLOOKUP('Staging Table'!$A127, LS_previous!$B$4:$AY$138,LS_previous!AH$149, FALSE))/2)</f>
        <v>58.057322686170664</v>
      </c>
      <c r="S127" s="382">
        <f t="array" ref="S127">IF($G127=0, INDEX(LS_previous!$D$4:$AY$138, MATCH('Staging Table'!$A127, LS_previous!$B$4:$B$138, 0), MATCH(S$4&amp;S$5, LS_previous!$D$2:$AY$2&amp;LS_previous!$D$3:$AY$3, 0)),SUM(VLOOKUP($A127, LS_previous!$B$4:$AY$138, LS_previous!K$149, FALSE), VLOOKUP('Staging Table'!$A127, LS_previous!$B$4:$AY$138,LS_previous!AI$149, FALSE))/2)</f>
        <v>1220.2040672496696</v>
      </c>
      <c r="T127" s="382">
        <f t="array" ref="T127">IF($G127=0, INDEX(LS_previous!$D$4:$AY$138, MATCH('Staging Table'!$A127, LS_previous!$B$4:$B$138, 0), MATCH(T$4&amp;T$5, LS_previous!$D$2:$AY$2&amp;LS_previous!$D$3:$AY$3, 0)),SUM(VLOOKUP($A127, LS_previous!$B$4:$AY$138, LS_previous!L$149, FALSE), VLOOKUP('Staging Table'!$A127, LS_previous!$B$4:$AY$138,LS_previous!AJ$149, FALSE))/2)</f>
        <v>-125.96293158547451</v>
      </c>
      <c r="U127" s="382">
        <f t="array" ref="U127">IF($G127=0, INDEX(LS_previous!$D$4:$AY$138, MATCH('Staging Table'!$A127, LS_previous!$B$4:$B$138, 0), MATCH(U$4&amp;U$5, LS_previous!$D$2:$AY$2&amp;LS_previous!$D$3:$AY$3, 0)),SUM(VLOOKUP($A127, LS_previous!$B$4:$AY$138, LS_previous!M$149, FALSE), VLOOKUP('Staging Table'!$A127, LS_previous!$B$4:$AY$138,LS_previous!AK$149, FALSE))/2)</f>
        <v>904.7565452825138</v>
      </c>
      <c r="V127" s="382">
        <f t="array" ref="V127">IF($G127=0, INDEX(LS_previous!$D$4:$AY$138, MATCH('Staging Table'!$A127, LS_previous!$B$4:$B$138, 0), MATCH(V$4&amp;V$5, LS_previous!$D$2:$AY$2&amp;LS_previous!$D$3:$AY$3, 0)),SUM(VLOOKUP($A127, LS_previous!$B$4:$AY$138, LS_previous!N$149, FALSE), VLOOKUP('Staging Table'!$A127, LS_previous!$B$4:$AY$138,LS_previous!AL$149, FALSE))/2)</f>
        <v>-1739.2847580510379</v>
      </c>
      <c r="W127" s="382">
        <f t="array" ref="W127">IF($G127=0, INDEX(LS_previous!$D$4:$AY$138, MATCH('Staging Table'!$A127, LS_previous!$B$4:$B$138, 0), MATCH(W$4&amp;W$5, LS_previous!$D$2:$AY$2&amp;LS_previous!$D$3:$AY$3, 0)),SUM(VLOOKUP($A127, LS_previous!$B$4:$AY$138, LS_previous!O$149, FALSE), VLOOKUP('Staging Table'!$A127, LS_previous!$B$4:$AY$138,LS_previous!AM$149, FALSE))/2)</f>
        <v>-163.70257043733091</v>
      </c>
      <c r="X127" s="382">
        <f t="array" ref="X127">IF($G127=0, INDEX(LS_previous!$D$4:$AY$138, MATCH('Staging Table'!$A127, LS_previous!$B$4:$B$138, 0), MATCH(X$4&amp;X$5, LS_previous!$D$2:$AY$2&amp;LS_previous!$D$3:$AY$3, 0)),SUM(VLOOKUP($A127, LS_previous!$B$4:$AY$138, LS_previous!P$149, FALSE), VLOOKUP('Staging Table'!$A127, LS_previous!$B$4:$AY$138,LS_previous!AN$149, FALSE))/2)</f>
        <v>-667.07523064912311</v>
      </c>
      <c r="Y127" s="382">
        <f t="array" ref="Y127">IF($G127=0, INDEX(LS_previous!$D$4:$AY$138, MATCH('Staging Table'!$A127, LS_previous!$B$4:$B$138, 0), MATCH(Y$4&amp;Y$5, LS_previous!$D$2:$AY$2&amp;LS_previous!$D$3:$AY$3, 0)),SUM(VLOOKUP($A127, LS_previous!$B$4:$AY$138, LS_previous!Q$149, FALSE), VLOOKUP('Staging Table'!$A127, LS_previous!$B$4:$AY$138,LS_previous!AO$149, FALSE))/2)</f>
        <v>215.40778829314786</v>
      </c>
      <c r="Z127" s="382">
        <f t="array" ref="Z127">IF($G127=0, INDEX(LS_previous!$D$4:$AY$138, MATCH('Staging Table'!$A127, LS_previous!$B$4:$B$138, 0), MATCH(Z$4&amp;Z$5, LS_previous!$D$2:$AY$2&amp;LS_previous!$D$3:$AY$3, 0)),SUM(VLOOKUP($A127, LS_previous!$B$4:$AY$138, LS_previous!R$149, FALSE), VLOOKUP('Staging Table'!$A127, LS_previous!$B$4:$AY$138,LS_previous!AP$149, FALSE))/2)</f>
        <v>-1612.6183659202798</v>
      </c>
      <c r="AA127" s="382">
        <f t="array" ref="AA127">IF($G127=0, INDEX(LS_previous!$D$4:$AY$138, MATCH('Staging Table'!$A127, LS_previous!$B$4:$B$138, 0), MATCH(AA$4&amp;AA$5, LS_previous!$D$2:$AY$2&amp;LS_previous!$D$3:$AY$3, 0)),SUM(VLOOKUP($A127, LS_previous!$B$4:$AY$138, LS_previous!S$149, FALSE), VLOOKUP('Staging Table'!$A127, LS_previous!$B$4:$AY$138,LS_previous!AQ$149, FALSE))/2)</f>
        <v>995.00563504487764</v>
      </c>
      <c r="AB127" s="382">
        <f t="array" ref="AB127">IF($G127=0, INDEX(LS_previous!$D$4:$AY$138, MATCH('Staging Table'!$A127, LS_previous!$B$4:$B$138, 0), MATCH(AB$4&amp;AB$5, LS_previous!$D$2:$AY$2&amp;LS_previous!$D$3:$AY$3, 0)),SUM(VLOOKUP($A127, LS_previous!$B$4:$AY$138, LS_previous!T$149, FALSE), VLOOKUP('Staging Table'!$A127, LS_previous!$B$4:$AY$138,LS_previous!AR$149, FALSE))/2)</f>
        <v>3608.1576900616019</v>
      </c>
      <c r="AC127" s="382">
        <f t="array" ref="AC127">IF($G127=0, INDEX(LS_previous!$D$4:$AY$138, MATCH('Staging Table'!$A127, LS_previous!$B$4:$B$138, 0), MATCH(AC$4&amp;AC$5, LS_previous!$D$2:$AY$2&amp;LS_previous!$D$3:$AY$3, 0)),SUM(VLOOKUP($A127, LS_previous!$B$4:$AY$138, LS_previous!U$149, FALSE), VLOOKUP('Staging Table'!$A127, LS_previous!$B$4:$AY$138,LS_previous!AS$149, FALSE))/2)</f>
        <v>3861.0575771013782</v>
      </c>
      <c r="AD127" s="382">
        <f t="array" ref="AD127">IF($G127=0, INDEX(LS_previous!$D$4:$AY$138, MATCH('Staging Table'!$A127, LS_previous!$B$4:$B$138, 0), MATCH(AD$4&amp;AD$5, LS_previous!$D$2:$AY$2&amp;LS_previous!$D$3:$AY$3, 0)),SUM(VLOOKUP($A127, LS_previous!$B$4:$AY$138, LS_previous!V$149, FALSE), VLOOKUP('Staging Table'!$A127, LS_previous!$B$4:$AY$138,LS_previous!AT$149, FALSE))/2)</f>
        <v>5748.5781405924026</v>
      </c>
      <c r="AE127" s="382">
        <f t="array" ref="AE127">IF($G127=0, INDEX(LS_previous!$D$4:$AY$138, MATCH('Staging Table'!$A127, LS_previous!$B$4:$B$138, 0), MATCH(AE$4&amp;AE$5, LS_previous!$D$2:$AY$2&amp;LS_previous!$D$3:$AY$3, 0)),SUM(VLOOKUP($A127, LS_previous!$B$4:$AY$138, LS_previous!W$149, FALSE), VLOOKUP('Staging Table'!$A127, LS_previous!$B$4:$AY$138,LS_previous!AU$149, FALSE))/2)</f>
        <v>6054.6807503710197</v>
      </c>
      <c r="AF127" s="382">
        <f t="array" ref="AF127">IF($G127=0, INDEX(LS_previous!$D$4:$AY$138, MATCH('Staging Table'!$A127, LS_previous!$B$4:$B$138, 0), MATCH(AF$4&amp;AF$5, LS_previous!$D$2:$AY$2&amp;LS_previous!$D$3:$AY$3, 0)),SUM(VLOOKUP($A127, LS_previous!$B$4:$AY$138, LS_previous!X$149, FALSE), VLOOKUP('Staging Table'!$A127, LS_previous!$B$4:$AY$138,LS_previous!AV$149, FALSE))/2)</f>
        <v>2370.1087397300435</v>
      </c>
      <c r="AG127" s="382">
        <f t="array" ref="AG127">IF($G127=0, INDEX(LS_previous!$D$4:$AY$138, MATCH('Staging Table'!$A127, LS_previous!$B$4:$B$138, 0), MATCH(AG$4&amp;AG$5, LS_previous!$D$2:$AY$2&amp;LS_previous!$D$3:$AY$3, 0)),SUM(VLOOKUP($A127, LS_previous!$B$4:$AY$138, LS_previous!Y$149, FALSE), VLOOKUP('Staging Table'!$A127, LS_previous!$B$4:$AY$138,LS_previous!AW$149, FALSE))/2)</f>
        <v>3261.7430054963743</v>
      </c>
      <c r="AH127" s="382">
        <f t="array" ref="AH127">IF($G127=0, INDEX(LS_previous!$D$4:$AY$138, MATCH('Staging Table'!$A127, LS_previous!$B$4:$B$138, 0), MATCH(AH$4&amp;AH$5, LS_previous!$D$2:$AY$2&amp;LS_previous!$D$3:$AY$3, 0)),SUM(VLOOKUP($A127, LS_previous!$B$4:$AY$138, LS_previous!Z$149, FALSE), VLOOKUP('Staging Table'!$A127, LS_previous!$B$4:$AY$138,LS_previous!AX$149, FALSE))/2)</f>
        <v>1033.6604744111619</v>
      </c>
      <c r="AI127" s="382">
        <f t="array" ref="AI127">IF($G127=0, INDEX(LS_previous!$D$4:$AY$138, MATCH('Staging Table'!$A127, LS_previous!$B$4:$B$138, 0), MATCH(AI$4&amp;AI$5, LS_previous!$D$2:$AY$2&amp;LS_previous!$D$3:$AY$3, 0)),SUM(VLOOKUP($A127, LS_previous!$B$4:$AY$138, LS_previous!AA$149, FALSE), VLOOKUP('Staging Table'!$A127, LS_previous!$B$4:$AY$138,LS_previous!AY$149, FALSE))/2)</f>
        <v>1798.9743451104187</v>
      </c>
      <c r="AJ127" s="384">
        <f t="array" ref="AJ127">INDEX(Demand_previous!$D$4:$AY$138, MATCH('Staging Table'!$A127, Demand_previous!$B$4:$B$138, 0), MATCH(AJ$4&amp;AJ$5,Demand_previous!$D$2:$AY$2&amp;Demand_previous!$D$3:$AY$3, 0))/1000</f>
        <v>3.047472222222221</v>
      </c>
      <c r="AK127" s="384">
        <f t="array" ref="AK127">INDEX(Demand_previous!$D$4:$AY$138, MATCH('Staging Table'!$A127, Demand_previous!$B$4:$B$138, 0), MATCH(AK$4&amp;AK$5,Demand_previous!$D$2:$AY$2&amp;Demand_previous!$D$3:$AY$3, 0))/1000</f>
        <v>2.2043177083333303</v>
      </c>
      <c r="AL127" s="384">
        <f t="array" ref="AL127">INDEX(Demand_previous!$D$4:$AY$138, MATCH('Staging Table'!$A127, Demand_previous!$B$4:$B$138, 0), MATCH(AL$4&amp;AL$5,Demand_previous!$D$2:$AY$2&amp;Demand_previous!$D$3:$AY$3, 0))/1000</f>
        <v>2.6187139423076937</v>
      </c>
      <c r="AM127" s="384">
        <f t="array" ref="AM127">INDEX(Demand_previous!$D$4:$AY$138, MATCH('Staging Table'!$A127, Demand_previous!$B$4:$B$138, 0), MATCH(AM$4&amp;AM$5,Demand_previous!$D$2:$AY$2&amp;Demand_previous!$D$3:$AY$3, 0))/1000</f>
        <v>3.2716349999999981</v>
      </c>
      <c r="AN127" s="384">
        <f t="array" ref="AN127">INDEX(Demand_previous!$D$4:$AY$138, MATCH('Staging Table'!$A127, Demand_previous!$B$4:$B$138, 0), MATCH(AN$4&amp;AN$5,Demand_previous!$D$2:$AY$2&amp;Demand_previous!$D$3:$AY$3, 0))/1000</f>
        <v>2.1283550000000027</v>
      </c>
      <c r="AO127" s="384">
        <f t="array" ref="AO127">INDEX(Demand_previous!$D$4:$AY$138, MATCH('Staging Table'!$A127, Demand_previous!$B$4:$B$138, 0), MATCH(AO$4&amp;AO$5,Demand_previous!$D$2:$AY$2&amp;Demand_previous!$D$3:$AY$3, 0))/1000</f>
        <v>2.8035370370370361</v>
      </c>
      <c r="AP127" s="384">
        <f t="array" ref="AP127">INDEX(Demand_previous!$D$4:$AY$138, MATCH('Staging Table'!$A127, Demand_previous!$B$4:$B$138, 0), MATCH(AP$4&amp;AP$5,Demand_previous!$D$2:$AY$2&amp;Demand_previous!$D$3:$AY$3, 0))/1000</f>
        <v>4.1325456730769217</v>
      </c>
      <c r="AQ127" s="384">
        <f t="array" ref="AQ127">INDEX(Demand_previous!$D$4:$AY$138, MATCH('Staging Table'!$A127, Demand_previous!$B$4:$B$138, 0), MATCH(AQ$4&amp;AQ$5,Demand_previous!$D$2:$AY$2&amp;Demand_previous!$D$3:$AY$3, 0))/1000</f>
        <v>4.4311900000000044</v>
      </c>
      <c r="AR127" s="384">
        <f t="array" ref="AR127">INDEX(Demand_previous!$D$4:$AY$138, MATCH('Staging Table'!$A127, Demand_previous!$B$4:$B$138, 0), MATCH(AR$4&amp;AR$5,Demand_previous!$D$2:$AY$2&amp;Demand_previous!$D$3:$AY$3, 0))/1000</f>
        <v>6.7501009615384655</v>
      </c>
      <c r="AS127" s="384">
        <f t="array" ref="AS127">INDEX(Demand_previous!$D$4:$AY$138, MATCH('Staging Table'!$A127, Demand_previous!$B$4:$B$138, 0), MATCH(AS$4&amp;AS$5,Demand_previous!$D$2:$AY$2&amp;Demand_previous!$D$3:$AY$3, 0))/1000</f>
        <v>4.7296899999999926</v>
      </c>
      <c r="AT127" s="384">
        <f t="array" ref="AT127">INDEX(Demand_previous!$D$4:$AY$138, MATCH('Staging Table'!$A127, Demand_previous!$B$4:$B$138, 0), MATCH(AT$4&amp;AT$5,Demand_previous!$D$2:$AY$2&amp;Demand_previous!$D$3:$AY$3, 0))/1000</f>
        <v>6.2451273148148108</v>
      </c>
      <c r="AU127" s="384">
        <f t="array" ref="AU127">INDEX(Demand_previous!$D$4:$AY$138, MATCH('Staging Table'!$A127, Demand_previous!$B$4:$B$138, 0), MATCH(AU$4&amp;AU$5,Demand_previous!$D$2:$AY$2&amp;Demand_previous!$D$3:$AY$3, 0))/1000</f>
        <v>4.4996925000000001</v>
      </c>
      <c r="AV127" s="384">
        <f>IF($D127=0,IF(C127=0, MAX(AY127 - (VLOOKUP($A127,TOCA_previous!$A$2:$AI$137,MATCH("RHWM 2016",TOCA_previous!$A$2:$AI$2,0),FALSE)*$F$2*TOCA_previous!C124),0),0), 0)</f>
        <v>21096.160392111575</v>
      </c>
      <c r="AW127" s="427">
        <f>VLOOKUP($A127,REP_previous!$A$1:$D$135,MATCH("FY "&amp;$F$1&amp; " Total Refund",REP_previous!$A$1:$D$1,0),0)</f>
        <v>106078.93129400586</v>
      </c>
      <c r="AX127" s="398">
        <f>MIN(VLOOKUP($A127,TOCA_previous!$A$2:$AI$137,MATCH("TRL - NLSL - Exisiting Resource "&amp;$F$1,TOCA_previous!$A$2:$AI$2,0),FALSE)*$F$2,(VLOOKUP($A127,TOCA_previous!$A$2:$AI$137,MATCH("RHWM 2016",TOCA_previous!$A$2:$AI$2,0),FALSE)*$F$2))</f>
        <v>166588.56</v>
      </c>
      <c r="AY127" s="384">
        <f>SUM(L127:AI127)+(F127*RT1SC!$C$3*$F$2)</f>
        <v>187684.72039211157</v>
      </c>
      <c r="AZ127" s="398">
        <f>VLOOKUP($A127,TOCA_previous!$A$2:$AI$137,MATCH("Above RHWM Not Served with LS "&amp;$F$1,TOCA_previous!$A$2:$AI$2,0),FALSE)*$F$2</f>
        <v>0</v>
      </c>
      <c r="BA127" s="206">
        <f t="shared" si="19"/>
        <v>21096.160392111575</v>
      </c>
      <c r="BB127" s="399">
        <f>(VLOOKUP($A127,TOCA_previous!$A$2:$AI$137,MATCH("RHWM 2016",TOCA_previous!$A$2:$AI$2,0),FALSE)*$F$2) - $AX127</f>
        <v>0</v>
      </c>
      <c r="BC127" s="206">
        <f t="shared" si="20"/>
        <v>0</v>
      </c>
      <c r="BD127" s="400">
        <f t="shared" si="21"/>
        <v>0</v>
      </c>
      <c r="BE127" s="392">
        <f t="shared" si="22"/>
        <v>0</v>
      </c>
      <c r="BF127" s="399">
        <f t="shared" si="23"/>
        <v>0</v>
      </c>
      <c r="BG127" s="206">
        <f>VLOOKUP($A127,TOCA_current!$A$2:$AI$137,MATCH(BG$4,TOCA_current!$A$2:$AI$2,0),FALSE)</f>
        <v>2.7135000000000002E-3</v>
      </c>
      <c r="BH127" s="206">
        <f>VLOOKUP($A127,TOCA_current!$A$2:$AI$137,MATCH(BH$4,TOCA_current!$A$2:$AI$2,0),FALSE)</f>
        <v>2.7135000000000002E-3</v>
      </c>
      <c r="BI127" s="391">
        <f t="shared" si="24"/>
        <v>0</v>
      </c>
      <c r="BJ127" s="206">
        <f>VLOOKUP($A127,TOCA_current!A123:BG258,MATCH(BJ$4,TOCA_current!$A$2:$BG$2,0),FALSE)</f>
        <v>7.4802865481560121E-2</v>
      </c>
      <c r="BK127" s="206">
        <f t="shared" si="25"/>
        <v>0</v>
      </c>
      <c r="BL127" s="206">
        <f t="shared" si="26"/>
        <v>0</v>
      </c>
      <c r="BM127" s="381">
        <f>VLOOKUP($A127,IRD!$A$4:$G$139, 7, FALSE)</f>
        <v>38863.257999999994</v>
      </c>
      <c r="BN127" s="382">
        <f t="array" ref="BN127">IF($BI127=0, INDEX(LS_current!$D$4:$AY$139, MATCH('Staging Table'!$A127, LS_current!$B$4:$B$139, 0), MATCH(BN$4&amp;BN$5, LS_current!$D$2:$AY$2&amp;LS_current!$D$3:$AY$3, 0)),SUM(VLOOKUP($A127, LS_current!$B$4:$AY$139, LS_current!D$149, FALSE), VLOOKUP($A127, LS_current!$B$4:$AY$139,LS_current!D$149, FALSE))/2)</f>
        <v>-2525.2165059810286</v>
      </c>
      <c r="BO127" s="382">
        <f t="array" ref="BO127">IF($BI127=0, INDEX(LS_current!$D$4:$AY$139, MATCH('Staging Table'!$A127, LS_current!$B$4:$B$139, 0), MATCH(BO$4&amp;BO$5, LS_current!$D$2:$AY$2&amp;LS_current!$D$3:$AY$3, 0)),SUM(VLOOKUP($A127, LS_current!$B$4:$AY$139, LS_current!E$149, FALSE), VLOOKUP($A127, LS_current!$B$4:$AY$139,LS_current!E$149, FALSE))/2)</f>
        <v>-791.016762262881</v>
      </c>
      <c r="BP127" s="382">
        <f t="array" ref="BP127">IF($BI127=0, INDEX(LS_current!$D$4:$AY$139, MATCH('Staging Table'!$A127, LS_current!$B$4:$B$139, 0), MATCH(BP$4&amp;BP$5, LS_current!$D$2:$AY$2&amp;LS_current!$D$3:$AY$3, 0)),SUM(VLOOKUP($A127, LS_current!$B$4:$AY$139, LS_current!F$149, FALSE), VLOOKUP($A127, LS_current!$B$4:$AY$139,LS_current!F$149, FALSE))/2)</f>
        <v>-3383.5629525524155</v>
      </c>
      <c r="BQ127" s="382">
        <f t="array" ref="BQ127">IF($BI127=0, INDEX(LS_current!$D$4:$AY$139, MATCH('Staging Table'!$A127, LS_current!$B$4:$B$139, 0), MATCH(BQ$4&amp;BQ$5, LS_current!$D$2:$AY$2&amp;LS_current!$D$3:$AY$3, 0)),SUM(VLOOKUP($A127, LS_current!$B$4:$AY$139, LS_current!G$149, FALSE), VLOOKUP($A127, LS_current!$B$4:$AY$139,LS_current!G$149, FALSE))/2)</f>
        <v>-672.93736349355913</v>
      </c>
      <c r="BR127" s="382">
        <f t="array" ref="BR127">IF($BI127=0, INDEX(LS_current!$D$4:$AY$139, MATCH('Staging Table'!$A127, LS_current!$B$4:$B$139, 0), MATCH(BR$4&amp;BR$5, LS_current!$D$2:$AY$2&amp;LS_current!$D$3:$AY$3, 0)),SUM(VLOOKUP($A127, LS_current!$B$4:$AY$139, LS_current!H$149, FALSE), VLOOKUP($A127, LS_current!$B$4:$AY$139,LS_current!H$149, FALSE))/2)</f>
        <v>-1698.0373691451814</v>
      </c>
      <c r="BS127" s="382">
        <f t="array" ref="BS127">IF($BI127=0, INDEX(LS_current!$D$4:$AY$139, MATCH('Staging Table'!$A127, LS_current!$B$4:$B$139, 0), MATCH(BS$4&amp;BS$5, LS_current!$D$2:$AY$2&amp;LS_current!$D$3:$AY$3, 0)),SUM(VLOOKUP($A127, LS_current!$B$4:$AY$139, LS_current!I$149, FALSE), VLOOKUP($A127, LS_current!$B$4:$AY$139,LS_current!I$149, FALSE))/2)</f>
        <v>209.16081765352101</v>
      </c>
      <c r="BT127" s="382">
        <f t="array" ref="BT127">IF($BI127=0, INDEX(LS_current!$D$4:$AY$139, MATCH('Staging Table'!$A127, LS_current!$B$4:$B$139, 0), MATCH(BT$4&amp;BT$5, LS_current!$D$2:$AY$2&amp;LS_current!$D$3:$AY$3, 0)),SUM(VLOOKUP($A127, LS_current!$B$4:$AY$139, LS_current!J$149, FALSE), VLOOKUP($A127, LS_current!$B$4:$AY$139,LS_current!J$149, FALSE))/2)</f>
        <v>-564.67189422954834</v>
      </c>
      <c r="BU127" s="382">
        <f t="array" ref="BU127">IF($BI127=0, INDEX(LS_current!$D$4:$AY$139, MATCH('Staging Table'!$A127, LS_current!$B$4:$B$139, 0), MATCH(BU$4&amp;BU$5, LS_current!$D$2:$AY$2&amp;LS_current!$D$3:$AY$3, 0)),SUM(VLOOKUP($A127, LS_current!$B$4:$AY$139, LS_current!K$149, FALSE), VLOOKUP($A127, LS_current!$B$4:$AY$139,LS_current!K$149, FALSE))/2)</f>
        <v>780.76559709288722</v>
      </c>
      <c r="BV127" s="382">
        <f t="array" ref="BV127">IF($BI127=0, INDEX(LS_current!$D$4:$AY$139, MATCH('Staging Table'!$A127, LS_current!$B$4:$B$139, 0), MATCH(BV$4&amp;BV$5, LS_current!$D$2:$AY$2&amp;LS_current!$D$3:$AY$3, 0)),SUM(VLOOKUP($A127, LS_current!$B$4:$AY$139, LS_current!L$149, FALSE), VLOOKUP($A127, LS_current!$B$4:$AY$139,LS_current!L$149, FALSE))/2)</f>
        <v>-52.682792385473476</v>
      </c>
      <c r="BW127" s="382">
        <f t="array" ref="BW127">IF($BI127=0, INDEX(LS_current!$D$4:$AY$139, MATCH('Staging Table'!$A127, LS_current!$B$4:$B$139, 0), MATCH(BW$4&amp;BW$5, LS_current!$D$2:$AY$2&amp;LS_current!$D$3:$AY$3, 0)),SUM(VLOOKUP($A127, LS_current!$B$4:$AY$139, LS_current!M$149, FALSE), VLOOKUP($A127, LS_current!$B$4:$AY$139,LS_current!M$149, FALSE))/2)</f>
        <v>979.49751170101217</v>
      </c>
      <c r="BX127" s="382">
        <f t="array" ref="BX127">IF($BI127=0, INDEX(LS_current!$D$4:$AY$139, MATCH('Staging Table'!$A127, LS_current!$B$4:$B$139, 0), MATCH(BX$4&amp;BX$5, LS_current!$D$2:$AY$2&amp;LS_current!$D$3:$AY$3, 0)),SUM(VLOOKUP($A127, LS_current!$B$4:$AY$139, LS_current!N$149, FALSE), VLOOKUP($A127, LS_current!$B$4:$AY$139,LS_current!N$149, FALSE))/2)</f>
        <v>-1852.1966571188459</v>
      </c>
      <c r="BY127" s="382">
        <f t="array" ref="BY127">IF($BI127=0, INDEX(LS_current!$D$4:$AY$139, MATCH('Staging Table'!$A127, LS_current!$B$4:$B$139, 0), MATCH(BY$4&amp;BY$5, LS_current!$D$2:$AY$2&amp;LS_current!$D$3:$AY$3, 0)),SUM(VLOOKUP($A127, LS_current!$B$4:$AY$139, LS_current!O$149, FALSE), VLOOKUP($A127, LS_current!$B$4:$AY$139,LS_current!O$149, FALSE))/2)</f>
        <v>-71.27744693844852</v>
      </c>
      <c r="BZ127" s="382">
        <f t="array" ref="BZ127">IF($BI127=0, INDEX(LS_current!$D$4:$AY$139, MATCH('Staging Table'!$A127, LS_current!$B$4:$B$139, 0), MATCH(BZ$4&amp;BZ$5, LS_current!$D$2:$AY$2&amp;LS_current!$D$3:$AY$3, 0)),SUM(VLOOKUP($A127, LS_current!$B$4:$AY$139, LS_current!P$149, FALSE), VLOOKUP($A127, LS_current!$B$4:$AY$139,LS_current!P$149, FALSE))/2)</f>
        <v>-2003.3448771307048</v>
      </c>
      <c r="CA127" s="382">
        <f t="array" ref="CA127">IF($BI127=0, INDEX(LS_current!$D$4:$AY$139, MATCH('Staging Table'!$A127, LS_current!$B$4:$B$139, 0), MATCH(CA$4&amp;CA$5, LS_current!$D$2:$AY$2&amp;LS_current!$D$3:$AY$3, 0)),SUM(VLOOKUP($A127, LS_current!$B$4:$AY$139, LS_current!Q$149, FALSE), VLOOKUP($A127, LS_current!$B$4:$AY$139,LS_current!Q$149, FALSE))/2)</f>
        <v>-254.25471176552037</v>
      </c>
      <c r="CB127" s="382">
        <f t="array" ref="CB127">IF($BI127=0, INDEX(LS_current!$D$4:$AY$139, MATCH('Staging Table'!$A127, LS_current!$B$4:$B$139, 0), MATCH(CB$4&amp;CB$5, LS_current!$D$2:$AY$2&amp;LS_current!$D$3:$AY$3, 0)),SUM(VLOOKUP($A127, LS_current!$B$4:$AY$139, LS_current!R$149, FALSE), VLOOKUP($A127, LS_current!$B$4:$AY$139,LS_current!R$149, FALSE))/2)</f>
        <v>-2038.2721076557264</v>
      </c>
      <c r="CC127" s="382">
        <f t="array" ref="CC127">IF($BI127=0, INDEX(LS_current!$D$4:$AY$139, MATCH('Staging Table'!$A127, LS_current!$B$4:$B$139, 0), MATCH(CC$4&amp;CC$5, LS_current!$D$2:$AY$2&amp;LS_current!$D$3:$AY$3, 0)),SUM(VLOOKUP($A127, LS_current!$B$4:$AY$139, LS_current!S$149, FALSE), VLOOKUP($A127, LS_current!$B$4:$AY$139,LS_current!S$149, FALSE))/2)</f>
        <v>475.37204628703421</v>
      </c>
      <c r="CD127" s="382">
        <f t="array" ref="CD127">IF($BI127=0, INDEX(LS_current!$D$4:$AY$139, MATCH('Staging Table'!$A127, LS_current!$B$4:$B$139, 0), MATCH(CD$4&amp;CD$5, LS_current!$D$2:$AY$2&amp;LS_current!$D$3:$AY$3, 0)),SUM(VLOOKUP($A127, LS_current!$B$4:$AY$139, LS_current!T$149, FALSE), VLOOKUP($A127, LS_current!$B$4:$AY$139,LS_current!T$149, FALSE))/2)</f>
        <v>3122.3393828822791</v>
      </c>
      <c r="CE127" s="382">
        <f t="array" ref="CE127">IF($BI127=0, INDEX(LS_current!$D$4:$AY$139, MATCH('Staging Table'!$A127, LS_current!$B$4:$B$139, 0), MATCH(CE$4&amp;CE$5, LS_current!$D$2:$AY$2&amp;LS_current!$D$3:$AY$3, 0)),SUM(VLOOKUP($A127, LS_current!$B$4:$AY$139, LS_current!U$149, FALSE), VLOOKUP($A127, LS_current!$B$4:$AY$139,LS_current!U$149, FALSE))/2)</f>
        <v>3848.4192616815708</v>
      </c>
      <c r="CF127" s="382">
        <f t="array" ref="CF127">IF($BI127=0, INDEX(LS_current!$D$4:$AY$139, MATCH('Staging Table'!$A127, LS_current!$B$4:$B$139, 0), MATCH(CF$4&amp;CF$5, LS_current!$D$2:$AY$2&amp;LS_current!$D$3:$AY$3, 0)),SUM(VLOOKUP($A127, LS_current!$B$4:$AY$139, LS_current!V$149, FALSE), VLOOKUP($A127, LS_current!$B$4:$AY$139,LS_current!V$149, FALSE))/2)</f>
        <v>5773.1682425585132</v>
      </c>
      <c r="CG127" s="382">
        <f t="array" ref="CG127">IF($BI127=0, INDEX(LS_current!$D$4:$AY$139, MATCH('Staging Table'!$A127, LS_current!$B$4:$B$139, 0), MATCH(CG$4&amp;CG$5, LS_current!$D$2:$AY$2&amp;LS_current!$D$3:$AY$3, 0)),SUM(VLOOKUP($A127, LS_current!$B$4:$AY$139, LS_current!W$149, FALSE), VLOOKUP($A127, LS_current!$B$4:$AY$139,LS_current!W$149, FALSE))/2)</f>
        <v>5945.3378381566781</v>
      </c>
      <c r="CH127" s="382">
        <f t="array" ref="CH127">IF($BI127=0, INDEX(LS_current!$D$4:$AY$139, MATCH('Staging Table'!$A127, LS_current!$B$4:$B$139, 0), MATCH(CH$4&amp;CH$5, LS_current!$D$2:$AY$2&amp;LS_current!$D$3:$AY$3, 0)),SUM(VLOOKUP($A127, LS_current!$B$4:$AY$139, LS_current!X$149, FALSE), VLOOKUP($A127, LS_current!$B$4:$AY$139,LS_current!X$149, FALSE))/2)</f>
        <v>1866.8218330995514</v>
      </c>
      <c r="CI127" s="382">
        <f t="array" ref="CI127">IF($BI127=0, INDEX(LS_current!$D$4:$AY$139, MATCH('Staging Table'!$A127, LS_current!$B$4:$B$139, 0), MATCH(CI$4&amp;CI$5, LS_current!$D$2:$AY$2&amp;LS_current!$D$3:$AY$3, 0)),SUM(VLOOKUP($A127, LS_current!$B$4:$AY$139, LS_current!Y$149, FALSE), VLOOKUP($A127, LS_current!$B$4:$AY$139,LS_current!Y$149, FALSE))/2)</f>
        <v>3013.2585223539381</v>
      </c>
      <c r="CJ127" s="382">
        <f t="array" ref="CJ127">IF($BI127=0, INDEX(LS_current!$D$4:$AY$139, MATCH('Staging Table'!$A127, LS_current!$B$4:$B$139, 0), MATCH(CJ$4&amp;CJ$5, LS_current!$D$2:$AY$2&amp;LS_current!$D$3:$AY$3, 0)),SUM(VLOOKUP($A127, LS_current!$B$4:$AY$139, LS_current!Z$149, FALSE), VLOOKUP($A127, LS_current!$B$4:$AY$139,LS_current!Z$149, FALSE))/2)</f>
        <v>-211.1447698088059</v>
      </c>
      <c r="CK127" s="382">
        <f t="array" ref="CK127">IF($BI127=0, INDEX(LS_current!$D$4:$AY$139, MATCH('Staging Table'!$A127, LS_current!$B$4:$B$139, 0), MATCH(CK$4&amp;CK$5, LS_current!$D$2:$AY$2&amp;LS_current!$D$3:$AY$3, 0)),SUM(VLOOKUP($A127, LS_current!$B$4:$AY$139, LS_current!AA$149, FALSE), VLOOKUP($A127, LS_current!$B$4:$AY$139,LS_current!AA$149, FALSE))/2)</f>
        <v>1381.7224854270626</v>
      </c>
      <c r="CL127" s="384">
        <f t="array" ref="CL127">INDEX(Demand_current!$D$4:$AY$138, MATCH($A127, Demand_current!$B$4:$B$138, 0), MATCH(CL$4&amp;CL$5,Demand_current!$D$2:$AY$2&amp;Demand_current!$D$3:$AY$3, 0))/1000</f>
        <v>2.4876442307692281</v>
      </c>
      <c r="CM127" s="384">
        <f t="array" ref="CM127">INDEX(Demand_current!$D$4:$AY$138, MATCH($A127, Demand_current!$B$4:$B$138, 0), MATCH(CM$4&amp;CM$5,Demand_current!$D$2:$AY$2&amp;Demand_current!$D$3:$AY$3, 0))/1000</f>
        <v>2.9378649999999977</v>
      </c>
      <c r="CN127" s="384">
        <f t="array" ref="CN127">INDEX(Demand_current!$D$4:$AY$138, MATCH($A127, Demand_current!$B$4:$B$138, 0), MATCH(CN$4&amp;CN$5,Demand_current!$D$2:$AY$2&amp;Demand_current!$D$3:$AY$3, 0))/1000</f>
        <v>1.8016624999999999</v>
      </c>
      <c r="CO127" s="384">
        <f t="array" ref="CO127">INDEX(Demand_current!$D$4:$AY$138, MATCH($A127, Demand_current!$B$4:$B$138, 0), MATCH(CO$4&amp;CO$5,Demand_current!$D$2:$AY$2&amp;Demand_current!$D$3:$AY$3, 0))/1000</f>
        <v>4.0576105769230768</v>
      </c>
      <c r="CP127" s="384">
        <f t="array" ref="CP127">INDEX(Demand_current!$D$4:$AY$138, MATCH($A127, Demand_current!$B$4:$B$138, 0), MATCH(CP$4&amp;CP$5,Demand_current!$D$2:$AY$2&amp;Demand_current!$D$3:$AY$3, 0))/1000</f>
        <v>1.3660781250000014</v>
      </c>
      <c r="CQ127" s="384">
        <f t="array" ref="CQ127">INDEX(Demand_current!$D$4:$AY$138, MATCH($A127, Demand_current!$B$4:$B$138, 0), MATCH(CQ$4&amp;CQ$5,Demand_current!$D$2:$AY$2&amp;Demand_current!$D$3:$AY$3, 0))/1000</f>
        <v>2.8035370370370361</v>
      </c>
      <c r="CR127" s="384">
        <f t="array" ref="CR127">INDEX(Demand_current!$D$4:$AY$138, MATCH($A127, Demand_current!$B$4:$B$138, 0), MATCH(CR$4&amp;CR$5,Demand_current!$D$2:$AY$2&amp;Demand_current!$D$3:$AY$3, 0))/1000</f>
        <v>3.5096874999999974</v>
      </c>
      <c r="CS127" s="384">
        <f t="array" ref="CS127">INDEX(Demand_current!$D$4:$AY$138, MATCH($A127, Demand_current!$B$4:$B$138, 0), MATCH(CS$4&amp;CS$5,Demand_current!$D$2:$AY$2&amp;Demand_current!$D$3:$AY$3, 0))/1000</f>
        <v>5.4005673076923166</v>
      </c>
      <c r="CT127" s="384">
        <f t="array" ref="CT127">INDEX(Demand_current!$D$4:$AY$138, MATCH($A127, Demand_current!$B$4:$B$138, 0), MATCH(CT$4&amp;CT$5,Demand_current!$D$2:$AY$2&amp;Demand_current!$D$3:$AY$3, 0))/1000</f>
        <v>6.7501009615384655</v>
      </c>
      <c r="CU127" s="384">
        <f t="array" ref="CU127">INDEX(Demand_current!$D$4:$AY$138, MATCH($A127, Demand_current!$B$4:$B$138, 0), MATCH(CU$4&amp;CU$5,Demand_current!$D$2:$AY$2&amp;Demand_current!$D$3:$AY$3, 0))/1000</f>
        <v>4.7296899999999926</v>
      </c>
      <c r="CV127" s="384">
        <f t="array" ref="CV127">INDEX(Demand_current!$D$4:$AY$138, MATCH($A127, Demand_current!$B$4:$B$138, 0), MATCH(CV$4&amp;CV$5,Demand_current!$D$2:$AY$2&amp;Demand_current!$D$3:$AY$3, 0))/1000</f>
        <v>6.2451273148148072</v>
      </c>
      <c r="CW127" s="384">
        <f t="array" ref="CW127">INDEX(Demand_current!$D$4:$AY$138, MATCH($A127, Demand_current!$B$4:$B$138, 0), MATCH(CW$4&amp;CW$5,Demand_current!$D$2:$AY$2&amp;Demand_current!$D$3:$AY$3, 0))/1000</f>
        <v>3.6288463541666669</v>
      </c>
      <c r="CX127" s="384">
        <f>IF(D127=0,IF(C127=0,MAX(0,DA127 - (VLOOKUP($A127,TOCA_current!$A$2:$AI$137,MATCH("RHWM 2018",TOCA_current!$A$2:$AI$2,0),FALSE)*$BH$2)), 0),0)</f>
        <v>11275.842408385914</v>
      </c>
      <c r="CY127" s="427">
        <f>VLOOKUP($A127,REP_current!$A$1:$D$135,MATCH("FY "&amp;$BH$1&amp; " Total Refund",REP_current!$A$1:$D$1,0),0)</f>
        <v>107637.31305250706</v>
      </c>
      <c r="CZ127" s="432">
        <f>MIN(VLOOKUP($A127,TOCA_current!$A$2:$AI$137,MATCH("TRL - NLSL - Existing Resource "&amp;$BH$1,TOCA_current!$A$2:$AI$2,0),FALSE)*$BH$2, VLOOKUP($A127,TOCA_current!$A$2:$AI$137,MATCH("RHWM 2018",TOCA_current!$A$2:$AI$2,0),FALSE)*$BH$2)</f>
        <v>165082.19999999998</v>
      </c>
      <c r="DA127" s="397">
        <f>SUM(BN127:CK127)+(BH127*RT1SC!$C$4*$BH$2)</f>
        <v>176358.0424083859</v>
      </c>
      <c r="DB127" s="432">
        <f>VLOOKUP($A127,TOCA_current!$A$2:$AI$137,MATCH("Above RHWM Not Served with LS "&amp;$BH$1,TOCA_current!$A$2:$AI$2,0),FALSE)*$BH$2</f>
        <v>11326.679999999998</v>
      </c>
      <c r="DC127" s="401">
        <f t="shared" si="27"/>
        <v>11275.842408385914</v>
      </c>
      <c r="DD127" s="397">
        <f>(VLOOKUP($A127,TOCA_current!$A$2:$AI$137,MATCH("RHWM 2018",TOCA_current!$A$2:$AI$2,0),FALSE)*$BH$2) - $CZ127</f>
        <v>0</v>
      </c>
      <c r="DE127" s="397">
        <f t="shared" si="28"/>
        <v>0</v>
      </c>
      <c r="DF127" s="397">
        <f t="shared" si="29"/>
        <v>0</v>
      </c>
      <c r="DG127" s="397">
        <f t="shared" si="30"/>
        <v>0</v>
      </c>
      <c r="DH127" s="397">
        <f t="shared" si="31"/>
        <v>0</v>
      </c>
    </row>
    <row r="128" spans="1:112">
      <c r="A128" s="274">
        <v>10440</v>
      </c>
      <c r="B128" s="275" t="s">
        <v>129</v>
      </c>
      <c r="C128" s="397">
        <v>0</v>
      </c>
      <c r="D128" s="397">
        <v>0</v>
      </c>
      <c r="E128" s="205">
        <f>VLOOKUP($A128,TOCA_previous!$A$2:$AI$137,MATCH(E$4,TOCA_previous!$A$2:$AI$2,0),FALSE)</f>
        <v>7.0969999999999996E-4</v>
      </c>
      <c r="F128" s="206">
        <f>VLOOKUP($A128,TOCA_previous!$A$2:$AI$137,MATCH(F$4,TOCA_previous!$A$2:$AI$2,0),FALSE)</f>
        <v>7.0969999999999996E-4</v>
      </c>
      <c r="G128" s="206">
        <f t="shared" si="16"/>
        <v>0</v>
      </c>
      <c r="H128" s="206">
        <f>VLOOKUP($A128,TOCA_previous!$A$2:$AI$137,MATCH(H$4,TOCA_previous!$A$2:$AI$2,0),FALSE)</f>
        <v>6.1449999999999998E-2</v>
      </c>
      <c r="I128" s="206">
        <f t="shared" si="17"/>
        <v>0</v>
      </c>
      <c r="J128" s="206">
        <f t="shared" si="18"/>
        <v>0</v>
      </c>
      <c r="K128" s="381">
        <f>VLOOKUP(A128, IRD!$A$5:$C$139, 3, FALSE)</f>
        <v>0</v>
      </c>
      <c r="L128" s="382">
        <f t="array" ref="L128">IF($G128=0, INDEX(LS_previous!$D$4:$AY$138, MATCH('Staging Table'!$A128, LS_previous!$B$4:$B$138, 0), MATCH(L$4&amp;L$5, LS_previous!$D$2:$AY$2&amp;LS_previous!$D$3:$AY$3, 0)),SUM(VLOOKUP($A128, LS_previous!$B$4:$AY$138, LS_previous!D$149, FALSE), VLOOKUP('Staging Table'!$A128, LS_previous!$B$4:$AY$138,LS_previous!AB$149, FALSE))/2)</f>
        <v>-190.27673393265445</v>
      </c>
      <c r="M128" s="382">
        <f t="array" ref="M128">IF($G128=0, INDEX(LS_previous!$D$4:$AY$138, MATCH('Staging Table'!$A128, LS_previous!$B$4:$B$138, 0), MATCH(M$4&amp;M$5, LS_previous!$D$2:$AY$2&amp;LS_previous!$D$3:$AY$3, 0)),SUM(VLOOKUP($A128, LS_previous!$B$4:$AY$138, LS_previous!E$149, FALSE), VLOOKUP('Staging Table'!$A128, LS_previous!$B$4:$AY$138,LS_previous!AC$149, FALSE))/2)</f>
        <v>17.025452153056449</v>
      </c>
      <c r="N128" s="382">
        <f t="array" ref="N128">IF($G128=0, INDEX(LS_previous!$D$4:$AY$138, MATCH('Staging Table'!$A128, LS_previous!$B$4:$B$138, 0), MATCH(N$4&amp;N$5, LS_previous!$D$2:$AY$2&amp;LS_previous!$D$3:$AY$3, 0)),SUM(VLOOKUP($A128, LS_previous!$B$4:$AY$138, LS_previous!F$149, FALSE), VLOOKUP('Staging Table'!$A128, LS_previous!$B$4:$AY$138,LS_previous!AD$149, FALSE))/2)</f>
        <v>145.00815823806079</v>
      </c>
      <c r="O128" s="382">
        <f t="array" ref="O128">IF($G128=0, INDEX(LS_previous!$D$4:$AY$138, MATCH('Staging Table'!$A128, LS_previous!$B$4:$B$138, 0), MATCH(O$4&amp;O$5, LS_previous!$D$2:$AY$2&amp;LS_previous!$D$3:$AY$3, 0)),SUM(VLOOKUP($A128, LS_previous!$B$4:$AY$138, LS_previous!G$149, FALSE), VLOOKUP('Staging Table'!$A128, LS_previous!$B$4:$AY$138,LS_previous!AE$149, FALSE))/2)</f>
        <v>294.45699658347894</v>
      </c>
      <c r="P128" s="382">
        <f t="array" ref="P128">IF($G128=0, INDEX(LS_previous!$D$4:$AY$138, MATCH('Staging Table'!$A128, LS_previous!$B$4:$B$138, 0), MATCH(P$4&amp;P$5, LS_previous!$D$2:$AY$2&amp;LS_previous!$D$3:$AY$3, 0)),SUM(VLOOKUP($A128, LS_previous!$B$4:$AY$138, LS_previous!H$149, FALSE), VLOOKUP('Staging Table'!$A128, LS_previous!$B$4:$AY$138,LS_previous!AF$149, FALSE))/2)</f>
        <v>609.6542744264998</v>
      </c>
      <c r="Q128" s="382">
        <f t="array" ref="Q128">IF($G128=0, INDEX(LS_previous!$D$4:$AY$138, MATCH('Staging Table'!$A128, LS_previous!$B$4:$B$138, 0), MATCH(Q$4&amp;Q$5, LS_previous!$D$2:$AY$2&amp;LS_previous!$D$3:$AY$3, 0)),SUM(VLOOKUP($A128, LS_previous!$B$4:$AY$138, LS_previous!I$149, FALSE), VLOOKUP('Staging Table'!$A128, LS_previous!$B$4:$AY$138,LS_previous!AG$149, FALSE))/2)</f>
        <v>727.13001458661438</v>
      </c>
      <c r="R128" s="382">
        <f t="array" ref="R128">IF($G128=0, INDEX(LS_previous!$D$4:$AY$138, MATCH('Staging Table'!$A128, LS_previous!$B$4:$B$138, 0), MATCH(R$4&amp;R$5, LS_previous!$D$2:$AY$2&amp;LS_previous!$D$3:$AY$3, 0)),SUM(VLOOKUP($A128, LS_previous!$B$4:$AY$138, LS_previous!J$149, FALSE), VLOOKUP('Staging Table'!$A128, LS_previous!$B$4:$AY$138,LS_previous!AH$149, FALSE))/2)</f>
        <v>922.10835720980003</v>
      </c>
      <c r="S128" s="382">
        <f t="array" ref="S128">IF($G128=0, INDEX(LS_previous!$D$4:$AY$138, MATCH('Staging Table'!$A128, LS_previous!$B$4:$B$138, 0), MATCH(S$4&amp;S$5, LS_previous!$D$2:$AY$2&amp;LS_previous!$D$3:$AY$3, 0)),SUM(VLOOKUP($A128, LS_previous!$B$4:$AY$138, LS_previous!K$149, FALSE), VLOOKUP('Staging Table'!$A128, LS_previous!$B$4:$AY$138,LS_previous!AI$149, FALSE))/2)</f>
        <v>740.91681406108341</v>
      </c>
      <c r="T128" s="382">
        <f t="array" ref="T128">IF($G128=0, INDEX(LS_previous!$D$4:$AY$138, MATCH('Staging Table'!$A128, LS_previous!$B$4:$B$138, 0), MATCH(T$4&amp;T$5, LS_previous!$D$2:$AY$2&amp;LS_previous!$D$3:$AY$3, 0)),SUM(VLOOKUP($A128, LS_previous!$B$4:$AY$138, LS_previous!L$149, FALSE), VLOOKUP('Staging Table'!$A128, LS_previous!$B$4:$AY$138,LS_previous!AJ$149, FALSE))/2)</f>
        <v>653.1361329456472</v>
      </c>
      <c r="U128" s="382">
        <f t="array" ref="U128">IF($G128=0, INDEX(LS_previous!$D$4:$AY$138, MATCH('Staging Table'!$A128, LS_previous!$B$4:$B$138, 0), MATCH(U$4&amp;U$5, LS_previous!$D$2:$AY$2&amp;LS_previous!$D$3:$AY$3, 0)),SUM(VLOOKUP($A128, LS_previous!$B$4:$AY$138, LS_previous!M$149, FALSE), VLOOKUP('Staging Table'!$A128, LS_previous!$B$4:$AY$138,LS_previous!AK$149, FALSE))/2)</f>
        <v>495.9430607507918</v>
      </c>
      <c r="V128" s="382">
        <f t="array" ref="V128">IF($G128=0, INDEX(LS_previous!$D$4:$AY$138, MATCH('Staging Table'!$A128, LS_previous!$B$4:$B$138, 0), MATCH(V$4&amp;V$5, LS_previous!$D$2:$AY$2&amp;LS_previous!$D$3:$AY$3, 0)),SUM(VLOOKUP($A128, LS_previous!$B$4:$AY$138, LS_previous!N$149, FALSE), VLOOKUP('Staging Table'!$A128, LS_previous!$B$4:$AY$138,LS_previous!AL$149, FALSE))/2)</f>
        <v>306.69358082744657</v>
      </c>
      <c r="W128" s="382">
        <f t="array" ref="W128">IF($G128=0, INDEX(LS_previous!$D$4:$AY$138, MATCH('Staging Table'!$A128, LS_previous!$B$4:$B$138, 0), MATCH(W$4&amp;W$5, LS_previous!$D$2:$AY$2&amp;LS_previous!$D$3:$AY$3, 0)),SUM(VLOOKUP($A128, LS_previous!$B$4:$AY$138, LS_previous!O$149, FALSE), VLOOKUP('Staging Table'!$A128, LS_previous!$B$4:$AY$138,LS_previous!AM$149, FALSE))/2)</f>
        <v>177.85237983674301</v>
      </c>
      <c r="X128" s="382">
        <f t="array" ref="X128">IF($G128=0, INDEX(LS_previous!$D$4:$AY$138, MATCH('Staging Table'!$A128, LS_previous!$B$4:$B$138, 0), MATCH(X$4&amp;X$5, LS_previous!$D$2:$AY$2&amp;LS_previous!$D$3:$AY$3, 0)),SUM(VLOOKUP($A128, LS_previous!$B$4:$AY$138, LS_previous!P$149, FALSE), VLOOKUP('Staging Table'!$A128, LS_previous!$B$4:$AY$138,LS_previous!AN$149, FALSE))/2)</f>
        <v>235.57700909798859</v>
      </c>
      <c r="Y128" s="382">
        <f t="array" ref="Y128">IF($G128=0, INDEX(LS_previous!$D$4:$AY$138, MATCH('Staging Table'!$A128, LS_previous!$B$4:$B$138, 0), MATCH(Y$4&amp;Y$5, LS_previous!$D$2:$AY$2&amp;LS_previous!$D$3:$AY$3, 0)),SUM(VLOOKUP($A128, LS_previous!$B$4:$AY$138, LS_previous!Q$149, FALSE), VLOOKUP('Staging Table'!$A128, LS_previous!$B$4:$AY$138,LS_previous!AO$149, FALSE))/2)</f>
        <v>280.58199504810636</v>
      </c>
      <c r="Z128" s="382">
        <f t="array" ref="Z128">IF($G128=0, INDEX(LS_previous!$D$4:$AY$138, MATCH('Staging Table'!$A128, LS_previous!$B$4:$B$138, 0), MATCH(Z$4&amp;Z$5, LS_previous!$D$2:$AY$2&amp;LS_previous!$D$3:$AY$3, 0)),SUM(VLOOKUP($A128, LS_previous!$B$4:$AY$138, LS_previous!R$149, FALSE), VLOOKUP('Staging Table'!$A128, LS_previous!$B$4:$AY$138,LS_previous!AP$149, FALSE))/2)</f>
        <v>-1334.138044883136</v>
      </c>
      <c r="AA128" s="382">
        <f t="array" ref="AA128">IF($G128=0, INDEX(LS_previous!$D$4:$AY$138, MATCH('Staging Table'!$A128, LS_previous!$B$4:$B$138, 0), MATCH(AA$4&amp;AA$5, LS_previous!$D$2:$AY$2&amp;LS_previous!$D$3:$AY$3, 0)),SUM(VLOOKUP($A128, LS_previous!$B$4:$AY$138, LS_previous!S$149, FALSE), VLOOKUP('Staging Table'!$A128, LS_previous!$B$4:$AY$138,LS_previous!AQ$149, FALSE))/2)</f>
        <v>-574.90722958562856</v>
      </c>
      <c r="AB128" s="382">
        <f t="array" ref="AB128">IF($G128=0, INDEX(LS_previous!$D$4:$AY$138, MATCH('Staging Table'!$A128, LS_previous!$B$4:$B$138, 0), MATCH(AB$4&amp;AB$5, LS_previous!$D$2:$AY$2&amp;LS_previous!$D$3:$AY$3, 0)),SUM(VLOOKUP($A128, LS_previous!$B$4:$AY$138, LS_previous!T$149, FALSE), VLOOKUP('Staging Table'!$A128, LS_previous!$B$4:$AY$138,LS_previous!AR$149, FALSE))/2)</f>
        <v>-848.96843278712731</v>
      </c>
      <c r="AC128" s="382">
        <f t="array" ref="AC128">IF($G128=0, INDEX(LS_previous!$D$4:$AY$138, MATCH('Staging Table'!$A128, LS_previous!$B$4:$B$138, 0), MATCH(AC$4&amp;AC$5, LS_previous!$D$2:$AY$2&amp;LS_previous!$D$3:$AY$3, 0)),SUM(VLOOKUP($A128, LS_previous!$B$4:$AY$138, LS_previous!U$149, FALSE), VLOOKUP('Staging Table'!$A128, LS_previous!$B$4:$AY$138,LS_previous!AS$149, FALSE))/2)</f>
        <v>-444.25266379378115</v>
      </c>
      <c r="AD128" s="382">
        <f t="array" ref="AD128">IF($G128=0, INDEX(LS_previous!$D$4:$AY$138, MATCH('Staging Table'!$A128, LS_previous!$B$4:$B$138, 0), MATCH(AD$4&amp;AD$5, LS_previous!$D$2:$AY$2&amp;LS_previous!$D$3:$AY$3, 0)),SUM(VLOOKUP($A128, LS_previous!$B$4:$AY$138, LS_previous!V$149, FALSE), VLOOKUP('Staging Table'!$A128, LS_previous!$B$4:$AY$138,LS_previous!AT$149, FALSE))/2)</f>
        <v>-812.6404959207498</v>
      </c>
      <c r="AE128" s="382">
        <f t="array" ref="AE128">IF($G128=0, INDEX(LS_previous!$D$4:$AY$138, MATCH('Staging Table'!$A128, LS_previous!$B$4:$B$138, 0), MATCH(AE$4&amp;AE$5, LS_previous!$D$2:$AY$2&amp;LS_previous!$D$3:$AY$3, 0)),SUM(VLOOKUP($A128, LS_previous!$B$4:$AY$138, LS_previous!W$149, FALSE), VLOOKUP('Staging Table'!$A128, LS_previous!$B$4:$AY$138,LS_previous!AU$149, FALSE))/2)</f>
        <v>-212.15692140867816</v>
      </c>
      <c r="AF128" s="382">
        <f t="array" ref="AF128">IF($G128=0, INDEX(LS_previous!$D$4:$AY$138, MATCH('Staging Table'!$A128, LS_previous!$B$4:$B$138, 0), MATCH(AF$4&amp;AF$5, LS_previous!$D$2:$AY$2&amp;LS_previous!$D$3:$AY$3, 0)),SUM(VLOOKUP($A128, LS_previous!$B$4:$AY$138, LS_previous!X$149, FALSE), VLOOKUP('Staging Table'!$A128, LS_previous!$B$4:$AY$138,LS_previous!AV$149, FALSE))/2)</f>
        <v>-849.69125418425051</v>
      </c>
      <c r="AG128" s="382">
        <f t="array" ref="AG128">IF($G128=0, INDEX(LS_previous!$D$4:$AY$138, MATCH('Staging Table'!$A128, LS_previous!$B$4:$B$138, 0), MATCH(AG$4&amp;AG$5, LS_previous!$D$2:$AY$2&amp;LS_previous!$D$3:$AY$3, 0)),SUM(VLOOKUP($A128, LS_previous!$B$4:$AY$138, LS_previous!Y$149, FALSE), VLOOKUP('Staging Table'!$A128, LS_previous!$B$4:$AY$138,LS_previous!AW$149, FALSE))/2)</f>
        <v>-357.17759429973603</v>
      </c>
      <c r="AH128" s="382">
        <f t="array" ref="AH128">IF($G128=0, INDEX(LS_previous!$D$4:$AY$138, MATCH('Staging Table'!$A128, LS_previous!$B$4:$B$138, 0), MATCH(AH$4&amp;AH$5, LS_previous!$D$2:$AY$2&amp;LS_previous!$D$3:$AY$3, 0)),SUM(VLOOKUP($A128, LS_previous!$B$4:$AY$138, LS_previous!Z$149, FALSE), VLOOKUP('Staging Table'!$A128, LS_previous!$B$4:$AY$138,LS_previous!AX$149, FALSE))/2)</f>
        <v>-319.86745968421747</v>
      </c>
      <c r="AI128" s="382">
        <f t="array" ref="AI128">IF($G128=0, INDEX(LS_previous!$D$4:$AY$138, MATCH('Staging Table'!$A128, LS_previous!$B$4:$B$138, 0), MATCH(AI$4&amp;AI$5, LS_previous!$D$2:$AY$2&amp;LS_previous!$D$3:$AY$3, 0)),SUM(VLOOKUP($A128, LS_previous!$B$4:$AY$138, LS_previous!AA$149, FALSE), VLOOKUP('Staging Table'!$A128, LS_previous!$B$4:$AY$138,LS_previous!AY$149, FALSE))/2)</f>
        <v>-87.000701625722058</v>
      </c>
      <c r="AJ128" s="384">
        <f t="array" ref="AJ128">INDEX(Demand_previous!$D$4:$AY$138, MATCH('Staging Table'!$A128, Demand_previous!$B$4:$B$138, 0), MATCH(AJ$4&amp;AJ$5,Demand_previous!$D$2:$AY$2&amp;Demand_previous!$D$3:$AY$3, 0))/1000</f>
        <v>0.51218287037037014</v>
      </c>
      <c r="AK128" s="384">
        <f t="array" ref="AK128">INDEX(Demand_previous!$D$4:$AY$138, MATCH('Staging Table'!$A128, Demand_previous!$B$4:$B$138, 0), MATCH(AK$4&amp;AK$5,Demand_previous!$D$2:$AY$2&amp;Demand_previous!$D$3:$AY$3, 0))/1000</f>
        <v>0.53074218750000091</v>
      </c>
      <c r="AL128" s="384">
        <f t="array" ref="AL128">INDEX(Demand_previous!$D$4:$AY$138, MATCH('Staging Table'!$A128, Demand_previous!$B$4:$B$138, 0), MATCH(AL$4&amp;AL$5,Demand_previous!$D$2:$AY$2&amp;Demand_previous!$D$3:$AY$3, 0))/1000</f>
        <v>1.7287908653846147</v>
      </c>
      <c r="AM128" s="384">
        <f t="array" ref="AM128">INDEX(Demand_previous!$D$4:$AY$138, MATCH('Staging Table'!$A128, Demand_previous!$B$4:$B$138, 0), MATCH(AM$4&amp;AM$5,Demand_previous!$D$2:$AY$2&amp;Demand_previous!$D$3:$AY$3, 0))/1000</f>
        <v>1.1274350000000011</v>
      </c>
      <c r="AN128" s="384">
        <f t="array" ref="AN128">INDEX(Demand_previous!$D$4:$AY$138, MATCH('Staging Table'!$A128, Demand_previous!$B$4:$B$138, 0), MATCH(AN$4&amp;AN$5,Demand_previous!$D$2:$AY$2&amp;Demand_previous!$D$3:$AY$3, 0))/1000</f>
        <v>1.3050624999999996</v>
      </c>
      <c r="AO128" s="384">
        <f t="array" ref="AO128">INDEX(Demand_previous!$D$4:$AY$138, MATCH('Staging Table'!$A128, Demand_previous!$B$4:$B$138, 0), MATCH(AO$4&amp;AO$5,Demand_previous!$D$2:$AY$2&amp;Demand_previous!$D$3:$AY$3, 0))/1000</f>
        <v>1.6259398148148141</v>
      </c>
      <c r="AP128" s="384">
        <f t="array" ref="AP128">INDEX(Demand_previous!$D$4:$AY$138, MATCH('Staging Table'!$A128, Demand_previous!$B$4:$B$138, 0), MATCH(AP$4&amp;AP$5,Demand_previous!$D$2:$AY$2&amp;Demand_previous!$D$3:$AY$3, 0))/1000</f>
        <v>1.0224927884615385</v>
      </c>
      <c r="AQ128" s="384">
        <f t="array" ref="AQ128">INDEX(Demand_previous!$D$4:$AY$138, MATCH('Staging Table'!$A128, Demand_previous!$B$4:$B$138, 0), MATCH(AQ$4&amp;AQ$5,Demand_previous!$D$2:$AY$2&amp;Demand_previous!$D$3:$AY$3, 0))/1000</f>
        <v>0</v>
      </c>
      <c r="AR128" s="384">
        <f t="array" ref="AR128">INDEX(Demand_previous!$D$4:$AY$138, MATCH('Staging Table'!$A128, Demand_previous!$B$4:$B$138, 0), MATCH(AR$4&amp;AR$5,Demand_previous!$D$2:$AY$2&amp;Demand_previous!$D$3:$AY$3, 0))/1000</f>
        <v>8.8228365384615426E-2</v>
      </c>
      <c r="AS128" s="384">
        <f t="array" ref="AS128">INDEX(Demand_previous!$D$4:$AY$138, MATCH('Staging Table'!$A128, Demand_previous!$B$4:$B$138, 0), MATCH(AS$4&amp;AS$5,Demand_previous!$D$2:$AY$2&amp;Demand_previous!$D$3:$AY$3, 0))/1000</f>
        <v>0.41256999999999999</v>
      </c>
      <c r="AT128" s="384">
        <f t="array" ref="AT128">INDEX(Demand_previous!$D$4:$AY$138, MATCH('Staging Table'!$A128, Demand_previous!$B$4:$B$138, 0), MATCH(AT$4&amp;AT$5,Demand_previous!$D$2:$AY$2&amp;Demand_previous!$D$3:$AY$3, 0))/1000</f>
        <v>0.58981712962962995</v>
      </c>
      <c r="AU128" s="384">
        <f t="array" ref="AU128">INDEX(Demand_previous!$D$4:$AY$138, MATCH('Staging Table'!$A128, Demand_previous!$B$4:$B$138, 0), MATCH(AU$4&amp;AU$5,Demand_previous!$D$2:$AY$2&amp;Demand_previous!$D$3:$AY$3, 0))/1000</f>
        <v>3.6242499999999955E-2</v>
      </c>
      <c r="AV128" s="384">
        <f>IF($D128=0,IF(C128=0, MAX(AY128 - (VLOOKUP($A128,TOCA_previous!$A$2:$AI$137,MATCH("RHWM 2016",TOCA_previous!$A$2:$AI$2,0),FALSE)*$F$2*TOCA_previous!C125),0),0), 0)</f>
        <v>0</v>
      </c>
      <c r="AW128" s="427">
        <f>VLOOKUP($A128,REP_previous!$A$1:$D$135,MATCH("FY "&amp;$F$1&amp; " Total Refund",REP_previous!$A$1:$D$1,0),0)</f>
        <v>60238.193664356309</v>
      </c>
      <c r="AX128" s="398">
        <f>MIN(VLOOKUP($A128,TOCA_previous!$A$2:$AI$137,MATCH("TRL - NLSL - Exisiting Resource "&amp;$F$1,TOCA_previous!$A$2:$AI$2,0),FALSE)*$F$2,(VLOOKUP($A128,TOCA_previous!$A$2:$AI$137,MATCH("RHWM 2016",TOCA_previous!$A$2:$AI$2,0),FALSE)*$F$2))</f>
        <v>43533.504000000001</v>
      </c>
      <c r="AY128" s="384">
        <f>SUM(L128:AI128)+(F128*RT1SC!$C$3*$F$2)</f>
        <v>43107.592102467628</v>
      </c>
      <c r="AZ128" s="398">
        <f>VLOOKUP($A128,TOCA_previous!$A$2:$AI$137,MATCH("Above RHWM Not Served with LS "&amp;$F$1,TOCA_previous!$A$2:$AI$2,0),FALSE)*$F$2</f>
        <v>0</v>
      </c>
      <c r="BA128" s="206">
        <f t="shared" si="19"/>
        <v>-425.91189753237268</v>
      </c>
      <c r="BB128" s="399">
        <f>(VLOOKUP($A128,TOCA_previous!$A$2:$AI$137,MATCH("RHWM 2016",TOCA_previous!$A$2:$AI$2,0),FALSE)*$F$2) - $AX128</f>
        <v>0</v>
      </c>
      <c r="BC128" s="206">
        <f t="shared" si="20"/>
        <v>0</v>
      </c>
      <c r="BD128" s="400">
        <f t="shared" si="21"/>
        <v>425.91189753237268</v>
      </c>
      <c r="BE128" s="392">
        <f t="shared" si="22"/>
        <v>0</v>
      </c>
      <c r="BF128" s="399">
        <f t="shared" si="23"/>
        <v>425.91189753237268</v>
      </c>
      <c r="BG128" s="206">
        <f>VLOOKUP($A128,TOCA_current!$A$2:$AI$137,MATCH(BG$4,TOCA_current!$A$2:$AI$2,0),FALSE)</f>
        <v>7.0699999999999995E-4</v>
      </c>
      <c r="BH128" s="206">
        <f>VLOOKUP($A128,TOCA_current!$A$2:$AI$137,MATCH(BH$4,TOCA_current!$A$2:$AI$2,0),FALSE)</f>
        <v>7.0699999999999995E-4</v>
      </c>
      <c r="BI128" s="391">
        <f t="shared" si="24"/>
        <v>0</v>
      </c>
      <c r="BJ128" s="206">
        <f>VLOOKUP($A128,TOCA_current!A124:BG259,MATCH(BJ$4,TOCA_current!$A$2:$BG$2,0),FALSE)</f>
        <v>5.5E-2</v>
      </c>
      <c r="BK128" s="206">
        <f t="shared" si="25"/>
        <v>0</v>
      </c>
      <c r="BL128" s="206">
        <f t="shared" si="26"/>
        <v>0</v>
      </c>
      <c r="BM128" s="381">
        <f>VLOOKUP($A128,IRD!$A$4:$G$139, 7, FALSE)</f>
        <v>0</v>
      </c>
      <c r="BN128" s="382">
        <f t="array" ref="BN128">IF($BI128=0, INDEX(LS_current!$D$4:$AY$139, MATCH('Staging Table'!$A128, LS_current!$B$4:$B$139, 0), MATCH(BN$4&amp;BN$5, LS_current!$D$2:$AY$2&amp;LS_current!$D$3:$AY$3, 0)),SUM(VLOOKUP($A128, LS_current!$B$4:$AY$139, LS_current!D$149, FALSE), VLOOKUP($A128, LS_current!$B$4:$AY$139,LS_current!D$149, FALSE))/2)</f>
        <v>-193.62932015057527</v>
      </c>
      <c r="BO128" s="382">
        <f t="array" ref="BO128">IF($BI128=0, INDEX(LS_current!$D$4:$AY$139, MATCH('Staging Table'!$A128, LS_current!$B$4:$B$139, 0), MATCH(BO$4&amp;BO$5, LS_current!$D$2:$AY$2&amp;LS_current!$D$3:$AY$3, 0)),SUM(VLOOKUP($A128, LS_current!$B$4:$AY$139, LS_current!E$149, FALSE), VLOOKUP($A128, LS_current!$B$4:$AY$139,LS_current!E$149, FALSE))/2)</f>
        <v>84.599022141199157</v>
      </c>
      <c r="BP128" s="382">
        <f t="array" ref="BP128">IF($BI128=0, INDEX(LS_current!$D$4:$AY$139, MATCH('Staging Table'!$A128, LS_current!$B$4:$B$139, 0), MATCH(BP$4&amp;BP$5, LS_current!$D$2:$AY$2&amp;LS_current!$D$3:$AY$3, 0)),SUM(VLOOKUP($A128, LS_current!$B$4:$AY$139, LS_current!F$149, FALSE), VLOOKUP($A128, LS_current!$B$4:$AY$139,LS_current!F$149, FALSE))/2)</f>
        <v>101.86181796404753</v>
      </c>
      <c r="BQ128" s="382">
        <f t="array" ref="BQ128">IF($BI128=0, INDEX(LS_current!$D$4:$AY$139, MATCH('Staging Table'!$A128, LS_current!$B$4:$B$139, 0), MATCH(BQ$4&amp;BQ$5, LS_current!$D$2:$AY$2&amp;LS_current!$D$3:$AY$3, 0)),SUM(VLOOKUP($A128, LS_current!$B$4:$AY$139, LS_current!G$149, FALSE), VLOOKUP($A128, LS_current!$B$4:$AY$139,LS_current!G$149, FALSE))/2)</f>
        <v>314.07187967940081</v>
      </c>
      <c r="BR128" s="382">
        <f t="array" ref="BR128">IF($BI128=0, INDEX(LS_current!$D$4:$AY$139, MATCH('Staging Table'!$A128, LS_current!$B$4:$B$139, 0), MATCH(BR$4&amp;BR$5, LS_current!$D$2:$AY$2&amp;LS_current!$D$3:$AY$3, 0)),SUM(VLOOKUP($A128, LS_current!$B$4:$AY$139, LS_current!H$149, FALSE), VLOOKUP($A128, LS_current!$B$4:$AY$139,LS_current!H$149, FALSE))/2)</f>
        <v>537.71183840588128</v>
      </c>
      <c r="BS128" s="382">
        <f t="array" ref="BS128">IF($BI128=0, INDEX(LS_current!$D$4:$AY$139, MATCH('Staging Table'!$A128, LS_current!$B$4:$B$139, 0), MATCH(BS$4&amp;BS$5, LS_current!$D$2:$AY$2&amp;LS_current!$D$3:$AY$3, 0)),SUM(VLOOKUP($A128, LS_current!$B$4:$AY$139, LS_current!I$149, FALSE), VLOOKUP($A128, LS_current!$B$4:$AY$139,LS_current!I$149, FALSE))/2)</f>
        <v>718.51610948260191</v>
      </c>
      <c r="BT128" s="382">
        <f t="array" ref="BT128">IF($BI128=0, INDEX(LS_current!$D$4:$AY$139, MATCH('Staging Table'!$A128, LS_current!$B$4:$B$139, 0), MATCH(BT$4&amp;BT$5, LS_current!$D$2:$AY$2&amp;LS_current!$D$3:$AY$3, 0)),SUM(VLOOKUP($A128, LS_current!$B$4:$AY$139, LS_current!J$149, FALSE), VLOOKUP($A128, LS_current!$B$4:$AY$139,LS_current!J$149, FALSE))/2)</f>
        <v>906.28104506346426</v>
      </c>
      <c r="BU128" s="382">
        <f t="array" ref="BU128">IF($BI128=0, INDEX(LS_current!$D$4:$AY$139, MATCH('Staging Table'!$A128, LS_current!$B$4:$B$139, 0), MATCH(BU$4&amp;BU$5, LS_current!$D$2:$AY$2&amp;LS_current!$D$3:$AY$3, 0)),SUM(VLOOKUP($A128, LS_current!$B$4:$AY$139, LS_current!K$149, FALSE), VLOOKUP($A128, LS_current!$B$4:$AY$139,LS_current!K$149, FALSE))/2)</f>
        <v>740.83375221841607</v>
      </c>
      <c r="BV128" s="382">
        <f t="array" ref="BV128">IF($BI128=0, INDEX(LS_current!$D$4:$AY$139, MATCH('Staging Table'!$A128, LS_current!$B$4:$B$139, 0), MATCH(BV$4&amp;BV$5, LS_current!$D$2:$AY$2&amp;LS_current!$D$3:$AY$3, 0)),SUM(VLOOKUP($A128, LS_current!$B$4:$AY$139, LS_current!L$149, FALSE), VLOOKUP($A128, LS_current!$B$4:$AY$139,LS_current!L$149, FALSE))/2)</f>
        <v>807.35294132429362</v>
      </c>
      <c r="BW128" s="382">
        <f t="array" ref="BW128">IF($BI128=0, INDEX(LS_current!$D$4:$AY$139, MATCH('Staging Table'!$A128, LS_current!$B$4:$B$139, 0), MATCH(BW$4&amp;BW$5, LS_current!$D$2:$AY$2&amp;LS_current!$D$3:$AY$3, 0)),SUM(VLOOKUP($A128, LS_current!$B$4:$AY$139, LS_current!M$149, FALSE), VLOOKUP($A128, LS_current!$B$4:$AY$139,LS_current!M$149, FALSE))/2)</f>
        <v>615.8873098480251</v>
      </c>
      <c r="BX128" s="382">
        <f t="array" ref="BX128">IF($BI128=0, INDEX(LS_current!$D$4:$AY$139, MATCH('Staging Table'!$A128, LS_current!$B$4:$B$139, 0), MATCH(BX$4&amp;BX$5, LS_current!$D$2:$AY$2&amp;LS_current!$D$3:$AY$3, 0)),SUM(VLOOKUP($A128, LS_current!$B$4:$AY$139, LS_current!N$149, FALSE), VLOOKUP($A128, LS_current!$B$4:$AY$139,LS_current!N$149, FALSE))/2)</f>
        <v>429.45798504403047</v>
      </c>
      <c r="BY128" s="382">
        <f t="array" ref="BY128">IF($BI128=0, INDEX(LS_current!$D$4:$AY$139, MATCH('Staging Table'!$A128, LS_current!$B$4:$B$139, 0), MATCH(BY$4&amp;BY$5, LS_current!$D$2:$AY$2&amp;LS_current!$D$3:$AY$3, 0)),SUM(VLOOKUP($A128, LS_current!$B$4:$AY$139, LS_current!O$149, FALSE), VLOOKUP($A128, LS_current!$B$4:$AY$139,LS_current!O$149, FALSE))/2)</f>
        <v>310.75284522370271</v>
      </c>
      <c r="BZ128" s="382">
        <f t="array" ref="BZ128">IF($BI128=0, INDEX(LS_current!$D$4:$AY$139, MATCH('Staging Table'!$A128, LS_current!$B$4:$B$139, 0), MATCH(BZ$4&amp;BZ$5, LS_current!$D$2:$AY$2&amp;LS_current!$D$3:$AY$3, 0)),SUM(VLOOKUP($A128, LS_current!$B$4:$AY$139, LS_current!P$149, FALSE), VLOOKUP($A128, LS_current!$B$4:$AY$139,LS_current!P$149, FALSE))/2)</f>
        <v>27.695820662831466</v>
      </c>
      <c r="CA128" s="382">
        <f t="array" ref="CA128">IF($BI128=0, INDEX(LS_current!$D$4:$AY$139, MATCH('Staging Table'!$A128, LS_current!$B$4:$B$139, 0), MATCH(CA$4&amp;CA$5, LS_current!$D$2:$AY$2&amp;LS_current!$D$3:$AY$3, 0)),SUM(VLOOKUP($A128, LS_current!$B$4:$AY$139, LS_current!Q$149, FALSE), VLOOKUP($A128, LS_current!$B$4:$AY$139,LS_current!Q$149, FALSE))/2)</f>
        <v>269.39206865000119</v>
      </c>
      <c r="CB128" s="382">
        <f t="array" ref="CB128">IF($BI128=0, INDEX(LS_current!$D$4:$AY$139, MATCH('Staging Table'!$A128, LS_current!$B$4:$B$139, 0), MATCH(CB$4&amp;CB$5, LS_current!$D$2:$AY$2&amp;LS_current!$D$3:$AY$3, 0)),SUM(VLOOKUP($A128, LS_current!$B$4:$AY$139, LS_current!R$149, FALSE), VLOOKUP($A128, LS_current!$B$4:$AY$139,LS_current!R$149, FALSE))/2)</f>
        <v>-1295.849806932963</v>
      </c>
      <c r="CC128" s="382">
        <f t="array" ref="CC128">IF($BI128=0, INDEX(LS_current!$D$4:$AY$139, MATCH('Staging Table'!$A128, LS_current!$B$4:$B$139, 0), MATCH(CC$4&amp;CC$5, LS_current!$D$2:$AY$2&amp;LS_current!$D$3:$AY$3, 0)),SUM(VLOOKUP($A128, LS_current!$B$4:$AY$139, LS_current!S$149, FALSE), VLOOKUP($A128, LS_current!$B$4:$AY$139,LS_current!S$149, FALSE))/2)</f>
        <v>-594.7737894877705</v>
      </c>
      <c r="CD128" s="382">
        <f t="array" ref="CD128">IF($BI128=0, INDEX(LS_current!$D$4:$AY$139, MATCH('Staging Table'!$A128, LS_current!$B$4:$B$139, 0), MATCH(CD$4&amp;CD$5, LS_current!$D$2:$AY$2&amp;LS_current!$D$3:$AY$3, 0)),SUM(VLOOKUP($A128, LS_current!$B$4:$AY$139, LS_current!T$149, FALSE), VLOOKUP($A128, LS_current!$B$4:$AY$139,LS_current!T$149, FALSE))/2)</f>
        <v>-828.1063662436809</v>
      </c>
      <c r="CE128" s="382">
        <f t="array" ref="CE128">IF($BI128=0, INDEX(LS_current!$D$4:$AY$139, MATCH('Staging Table'!$A128, LS_current!$B$4:$B$139, 0), MATCH(CE$4&amp;CE$5, LS_current!$D$2:$AY$2&amp;LS_current!$D$3:$AY$3, 0)),SUM(VLOOKUP($A128, LS_current!$B$4:$AY$139, LS_current!U$149, FALSE), VLOOKUP($A128, LS_current!$B$4:$AY$139,LS_current!U$149, FALSE))/2)</f>
        <v>-341.0017057273368</v>
      </c>
      <c r="CF128" s="382">
        <f t="array" ref="CF128">IF($BI128=0, INDEX(LS_current!$D$4:$AY$139, MATCH('Staging Table'!$A128, LS_current!$B$4:$B$139, 0), MATCH(CF$4&amp;CF$5, LS_current!$D$2:$AY$2&amp;LS_current!$D$3:$AY$3, 0)),SUM(VLOOKUP($A128, LS_current!$B$4:$AY$139, LS_current!V$149, FALSE), VLOOKUP($A128, LS_current!$B$4:$AY$139,LS_current!V$149, FALSE))/2)</f>
        <v>-664.69194712037279</v>
      </c>
      <c r="CG128" s="382">
        <f t="array" ref="CG128">IF($BI128=0, INDEX(LS_current!$D$4:$AY$139, MATCH('Staging Table'!$A128, LS_current!$B$4:$B$139, 0), MATCH(CG$4&amp;CG$5, LS_current!$D$2:$AY$2&amp;LS_current!$D$3:$AY$3, 0)),SUM(VLOOKUP($A128, LS_current!$B$4:$AY$139, LS_current!W$149, FALSE), VLOOKUP($A128, LS_current!$B$4:$AY$139,LS_current!W$149, FALSE))/2)</f>
        <v>-121.1249750960859</v>
      </c>
      <c r="CH128" s="382">
        <f t="array" ref="CH128">IF($BI128=0, INDEX(LS_current!$D$4:$AY$139, MATCH('Staging Table'!$A128, LS_current!$B$4:$B$139, 0), MATCH(CH$4&amp;CH$5, LS_current!$D$2:$AY$2&amp;LS_current!$D$3:$AY$3, 0)),SUM(VLOOKUP($A128, LS_current!$B$4:$AY$139, LS_current!X$149, FALSE), VLOOKUP($A128, LS_current!$B$4:$AY$139,LS_current!X$149, FALSE))/2)</f>
        <v>-828.027551316977</v>
      </c>
      <c r="CI128" s="382">
        <f t="array" ref="CI128">IF($BI128=0, INDEX(LS_current!$D$4:$AY$139, MATCH('Staging Table'!$A128, LS_current!$B$4:$B$139, 0), MATCH(CI$4&amp;CI$5, LS_current!$D$2:$AY$2&amp;LS_current!$D$3:$AY$3, 0)),SUM(VLOOKUP($A128, LS_current!$B$4:$AY$139, LS_current!Y$149, FALSE), VLOOKUP($A128, LS_current!$B$4:$AY$139,LS_current!Y$149, FALSE))/2)</f>
        <v>-313.120622515484</v>
      </c>
      <c r="CJ128" s="382">
        <f t="array" ref="CJ128">IF($BI128=0, INDEX(LS_current!$D$4:$AY$139, MATCH('Staging Table'!$A128, LS_current!$B$4:$B$139, 0), MATCH(CJ$4&amp;CJ$5, LS_current!$D$2:$AY$2&amp;LS_current!$D$3:$AY$3, 0)),SUM(VLOOKUP($A128, LS_current!$B$4:$AY$139, LS_current!Z$149, FALSE), VLOOKUP($A128, LS_current!$B$4:$AY$139,LS_current!Z$149, FALSE))/2)</f>
        <v>-509.16739957797108</v>
      </c>
      <c r="CK128" s="382">
        <f t="array" ref="CK128">IF($BI128=0, INDEX(LS_current!$D$4:$AY$139, MATCH('Staging Table'!$A128, LS_current!$B$4:$B$139, 0), MATCH(CK$4&amp;CK$5, LS_current!$D$2:$AY$2&amp;LS_current!$D$3:$AY$3, 0)),SUM(VLOOKUP($A128, LS_current!$B$4:$AY$139, LS_current!AA$149, FALSE), VLOOKUP($A128, LS_current!$B$4:$AY$139,LS_current!AA$149, FALSE))/2)</f>
        <v>-78.981952755875</v>
      </c>
      <c r="CL128" s="384">
        <f t="array" ref="CL128">INDEX(Demand_current!$D$4:$AY$138, MATCH($A128, Demand_current!$B$4:$B$138, 0), MATCH(CL$4&amp;CL$5,Demand_current!$D$2:$AY$2&amp;Demand_current!$D$3:$AY$3, 0))/1000</f>
        <v>0.33745913461538501</v>
      </c>
      <c r="CM128" s="384">
        <f t="array" ref="CM128">INDEX(Demand_current!$D$4:$AY$138, MATCH($A128, Demand_current!$B$4:$B$138, 0), MATCH(CM$4&amp;CM$5,Demand_current!$D$2:$AY$2&amp;Demand_current!$D$3:$AY$3, 0))/1000</f>
        <v>0.8102725000000004</v>
      </c>
      <c r="CN128" s="384">
        <f t="array" ref="CN128">INDEX(Demand_current!$D$4:$AY$138, MATCH($A128, Demand_current!$B$4:$B$138, 0), MATCH(CN$4&amp;CN$5,Demand_current!$D$2:$AY$2&amp;Demand_current!$D$3:$AY$3, 0))/1000</f>
        <v>1.4346224999999988</v>
      </c>
      <c r="CO128" s="384">
        <f t="array" ref="CO128">INDEX(Demand_current!$D$4:$AY$138, MATCH($A128, Demand_current!$B$4:$B$138, 0), MATCH(CO$4&amp;CO$5,Demand_current!$D$2:$AY$2&amp;Demand_current!$D$3:$AY$3, 0))/1000</f>
        <v>1.4200336538461542</v>
      </c>
      <c r="CP128" s="384">
        <f t="array" ref="CP128">INDEX(Demand_current!$D$4:$AY$138, MATCH($A128, Demand_current!$B$4:$B$138, 0), MATCH(CP$4&amp;CP$5,Demand_current!$D$2:$AY$2&amp;Demand_current!$D$3:$AY$3, 0))/1000</f>
        <v>1.0343984374999997</v>
      </c>
      <c r="CQ128" s="384">
        <f t="array" ref="CQ128">INDEX(Demand_current!$D$4:$AY$138, MATCH($A128, Demand_current!$B$4:$B$138, 0), MATCH(CQ$4&amp;CQ$5,Demand_current!$D$2:$AY$2&amp;Demand_current!$D$3:$AY$3, 0))/1000</f>
        <v>1.6259398148148141</v>
      </c>
      <c r="CR128" s="384">
        <f t="array" ref="CR128">INDEX(Demand_current!$D$4:$AY$138, MATCH($A128, Demand_current!$B$4:$B$138, 0), MATCH(CR$4&amp;CR$5,Demand_current!$D$2:$AY$2&amp;Demand_current!$D$3:$AY$3, 0))/1000</f>
        <v>0.8203125</v>
      </c>
      <c r="CS128" s="384">
        <f t="array" ref="CS128">INDEX(Demand_current!$D$4:$AY$138, MATCH($A128, Demand_current!$B$4:$B$138, 0), MATCH(CS$4&amp;CS$5,Demand_current!$D$2:$AY$2&amp;Demand_current!$D$3:$AY$3, 0))/1000</f>
        <v>0</v>
      </c>
      <c r="CT128" s="384">
        <f t="array" ref="CT128">INDEX(Demand_current!$D$4:$AY$138, MATCH($A128, Demand_current!$B$4:$B$138, 0), MATCH(CT$4&amp;CT$5,Demand_current!$D$2:$AY$2&amp;Demand_current!$D$3:$AY$3, 0))/1000</f>
        <v>8.8228365384615426E-2</v>
      </c>
      <c r="CU128" s="384">
        <f t="array" ref="CU128">INDEX(Demand_current!$D$4:$AY$138, MATCH($A128, Demand_current!$B$4:$B$138, 0), MATCH(CU$4&amp;CU$5,Demand_current!$D$2:$AY$2&amp;Demand_current!$D$3:$AY$3, 0))/1000</f>
        <v>0.41256999999999999</v>
      </c>
      <c r="CV128" s="384">
        <f t="array" ref="CV128">INDEX(Demand_current!$D$4:$AY$138, MATCH($A128, Demand_current!$B$4:$B$138, 0), MATCH(CV$4&amp;CV$5,Demand_current!$D$2:$AY$2&amp;Demand_current!$D$3:$AY$3, 0))/1000</f>
        <v>0.58981712962962995</v>
      </c>
      <c r="CW128" s="384">
        <f t="array" ref="CW128">INDEX(Demand_current!$D$4:$AY$138, MATCH($A128, Demand_current!$B$4:$B$138, 0), MATCH(CW$4&amp;CW$5,Demand_current!$D$2:$AY$2&amp;Demand_current!$D$3:$AY$3, 0))/1000</f>
        <v>0</v>
      </c>
      <c r="CX128" s="384">
        <f>IF(D128=0,IF(C128=0,MAX(0,DA128 - (VLOOKUP($A128,TOCA_current!$A$2:$AI$137,MATCH("RHWM 2018",TOCA_current!$A$2:$AI$2,0),FALSE)*$BH$2)), 0),0)</f>
        <v>0</v>
      </c>
      <c r="CY128" s="427">
        <f>VLOOKUP($A128,REP_current!$A$1:$D$135,MATCH("FY "&amp;$BH$1&amp; " Total Refund",REP_current!$A$1:$D$1,0),0)</f>
        <v>60562.174017080499</v>
      </c>
      <c r="CZ128" s="432">
        <f>MIN(VLOOKUP($A128,TOCA_current!$A$2:$AI$137,MATCH("TRL - NLSL - Existing Resource "&amp;$BH$1,TOCA_current!$A$2:$AI$2,0),FALSE)*$BH$2, VLOOKUP($A128,TOCA_current!$A$2:$AI$137,MATCH("RHWM 2018",TOCA_current!$A$2:$AI$2,0),FALSE)*$BH$2)</f>
        <v>43011.6</v>
      </c>
      <c r="DA128" s="397">
        <f>SUM(BN128:CK128)+(BH128*RT1SC!$C$4*$BH$2)</f>
        <v>43107.592627502796</v>
      </c>
      <c r="DB128" s="432">
        <f>VLOOKUP($A128,TOCA_current!$A$2:$AI$137,MATCH("Above RHWM Not Served with LS "&amp;$BH$1,TOCA_current!$A$2:$AI$2,0),FALSE)*$BH$2</f>
        <v>0</v>
      </c>
      <c r="DC128" s="401">
        <f t="shared" si="27"/>
        <v>95.992627502797404</v>
      </c>
      <c r="DD128" s="397">
        <f>(VLOOKUP($A128,TOCA_current!$A$2:$AI$137,MATCH("RHWM 2018",TOCA_current!$A$2:$AI$2,0),FALSE)*$BH$2) - $CZ128</f>
        <v>131.40000000000146</v>
      </c>
      <c r="DE128" s="397">
        <f t="shared" si="28"/>
        <v>-95.992627502797404</v>
      </c>
      <c r="DF128" s="397">
        <f t="shared" si="29"/>
        <v>0</v>
      </c>
      <c r="DG128" s="397">
        <f t="shared" si="30"/>
        <v>0</v>
      </c>
      <c r="DH128" s="397">
        <f t="shared" si="31"/>
        <v>-95.992627502797404</v>
      </c>
    </row>
    <row r="129" spans="1:112">
      <c r="A129" s="274">
        <v>10442</v>
      </c>
      <c r="B129" s="275" t="s">
        <v>130</v>
      </c>
      <c r="C129" s="397">
        <v>0</v>
      </c>
      <c r="D129" s="397">
        <v>0</v>
      </c>
      <c r="E129" s="205">
        <f>VLOOKUP($A129,TOCA_previous!$A$2:$AI$137,MATCH(E$4,TOCA_previous!$A$2:$AI$2,0),FALSE)</f>
        <v>1.8104E-3</v>
      </c>
      <c r="F129" s="206">
        <f>VLOOKUP($A129,TOCA_previous!$A$2:$AI$137,MATCH(F$4,TOCA_previous!$A$2:$AI$2,0),FALSE)</f>
        <v>1.8104E-3</v>
      </c>
      <c r="G129" s="206">
        <f t="shared" si="16"/>
        <v>0</v>
      </c>
      <c r="H129" s="206">
        <f>VLOOKUP($A129,TOCA_previous!$A$2:$AI$137,MATCH(H$4,TOCA_previous!$A$2:$AI$2,0),FALSE)</f>
        <v>7.0000000000000007E-2</v>
      </c>
      <c r="I129" s="206">
        <f t="shared" si="17"/>
        <v>0</v>
      </c>
      <c r="J129" s="206">
        <f t="shared" si="18"/>
        <v>0</v>
      </c>
      <c r="K129" s="381">
        <f>VLOOKUP(A129, IRD!$A$5:$C$139, 3, FALSE)</f>
        <v>9733.33</v>
      </c>
      <c r="L129" s="382">
        <f t="array" ref="L129">IF($G129=0, INDEX(LS_previous!$D$4:$AY$138, MATCH('Staging Table'!$A129, LS_previous!$B$4:$B$138, 0), MATCH(L$4&amp;L$5, LS_previous!$D$2:$AY$2&amp;LS_previous!$D$3:$AY$3, 0)),SUM(VLOOKUP($A129, LS_previous!$B$4:$AY$138, LS_previous!D$149, FALSE), VLOOKUP('Staging Table'!$A129, LS_previous!$B$4:$AY$138,LS_previous!AB$149, FALSE))/2)</f>
        <v>-1270.1832041872312</v>
      </c>
      <c r="M129" s="382">
        <f t="array" ref="M129">IF($G129=0, INDEX(LS_previous!$D$4:$AY$138, MATCH('Staging Table'!$A129, LS_previous!$B$4:$B$138, 0), MATCH(M$4&amp;M$5, LS_previous!$D$2:$AY$2&amp;LS_previous!$D$3:$AY$3, 0)),SUM(VLOOKUP($A129, LS_previous!$B$4:$AY$138, LS_previous!E$149, FALSE), VLOOKUP('Staging Table'!$A129, LS_previous!$B$4:$AY$138,LS_previous!AC$149, FALSE))/2)</f>
        <v>-132.02085504030811</v>
      </c>
      <c r="N129" s="382">
        <f t="array" ref="N129">IF($G129=0, INDEX(LS_previous!$D$4:$AY$138, MATCH('Staging Table'!$A129, LS_previous!$B$4:$B$138, 0), MATCH(N$4&amp;N$5, LS_previous!$D$2:$AY$2&amp;LS_previous!$D$3:$AY$3, 0)),SUM(VLOOKUP($A129, LS_previous!$B$4:$AY$138, LS_previous!F$149, FALSE), VLOOKUP('Staging Table'!$A129, LS_previous!$B$4:$AY$138,LS_previous!AD$149, FALSE))/2)</f>
        <v>-1274.6958446185927</v>
      </c>
      <c r="O129" s="382">
        <f t="array" ref="O129">IF($G129=0, INDEX(LS_previous!$D$4:$AY$138, MATCH('Staging Table'!$A129, LS_previous!$B$4:$B$138, 0), MATCH(O$4&amp;O$5, LS_previous!$D$2:$AY$2&amp;LS_previous!$D$3:$AY$3, 0)),SUM(VLOOKUP($A129, LS_previous!$B$4:$AY$138, LS_previous!G$149, FALSE), VLOOKUP('Staging Table'!$A129, LS_previous!$B$4:$AY$138,LS_previous!AE$149, FALSE))/2)</f>
        <v>-6.5806064326752676</v>
      </c>
      <c r="P129" s="382">
        <f t="array" ref="P129">IF($G129=0, INDEX(LS_previous!$D$4:$AY$138, MATCH('Staging Table'!$A129, LS_previous!$B$4:$B$138, 0), MATCH(P$4&amp;P$5, LS_previous!$D$2:$AY$2&amp;LS_previous!$D$3:$AY$3, 0)),SUM(VLOOKUP($A129, LS_previous!$B$4:$AY$138, LS_previous!H$149, FALSE), VLOOKUP('Staging Table'!$A129, LS_previous!$B$4:$AY$138,LS_previous!AF$149, FALSE))/2)</f>
        <v>731.5729456414474</v>
      </c>
      <c r="Q129" s="382">
        <f t="array" ref="Q129">IF($G129=0, INDEX(LS_previous!$D$4:$AY$138, MATCH('Staging Table'!$A129, LS_previous!$B$4:$B$138, 0), MATCH(Q$4&amp;Q$5, LS_previous!$D$2:$AY$2&amp;LS_previous!$D$3:$AY$3, 0)),SUM(VLOOKUP($A129, LS_previous!$B$4:$AY$138, LS_previous!I$149, FALSE), VLOOKUP('Staging Table'!$A129, LS_previous!$B$4:$AY$138,LS_previous!AG$149, FALSE))/2)</f>
        <v>1658.9647810449578</v>
      </c>
      <c r="R129" s="382">
        <f t="array" ref="R129">IF($G129=0, INDEX(LS_previous!$D$4:$AY$138, MATCH('Staging Table'!$A129, LS_previous!$B$4:$B$138, 0), MATCH(R$4&amp;R$5, LS_previous!$D$2:$AY$2&amp;LS_previous!$D$3:$AY$3, 0)),SUM(VLOOKUP($A129, LS_previous!$B$4:$AY$138, LS_previous!J$149, FALSE), VLOOKUP('Staging Table'!$A129, LS_previous!$B$4:$AY$138,LS_previous!AH$149, FALSE))/2)</f>
        <v>1098.2696778816717</v>
      </c>
      <c r="S129" s="382">
        <f t="array" ref="S129">IF($G129=0, INDEX(LS_previous!$D$4:$AY$138, MATCH('Staging Table'!$A129, LS_previous!$B$4:$B$138, 0), MATCH(S$4&amp;S$5, LS_previous!$D$2:$AY$2&amp;LS_previous!$D$3:$AY$3, 0)),SUM(VLOOKUP($A129, LS_previous!$B$4:$AY$138, LS_previous!K$149, FALSE), VLOOKUP('Staging Table'!$A129, LS_previous!$B$4:$AY$138,LS_previous!AI$149, FALSE))/2)</f>
        <v>1456.1563589913844</v>
      </c>
      <c r="T129" s="382">
        <f t="array" ref="T129">IF($G129=0, INDEX(LS_previous!$D$4:$AY$138, MATCH('Staging Table'!$A129, LS_previous!$B$4:$B$138, 0), MATCH(T$4&amp;T$5, LS_previous!$D$2:$AY$2&amp;LS_previous!$D$3:$AY$3, 0)),SUM(VLOOKUP($A129, LS_previous!$B$4:$AY$138, LS_previous!L$149, FALSE), VLOOKUP('Staging Table'!$A129, LS_previous!$B$4:$AY$138,LS_previous!AJ$149, FALSE))/2)</f>
        <v>319.26516976863422</v>
      </c>
      <c r="U129" s="382">
        <f t="array" ref="U129">IF($G129=0, INDEX(LS_previous!$D$4:$AY$138, MATCH('Staging Table'!$A129, LS_previous!$B$4:$B$138, 0), MATCH(U$4&amp;U$5, LS_previous!$D$2:$AY$2&amp;LS_previous!$D$3:$AY$3, 0)),SUM(VLOOKUP($A129, LS_previous!$B$4:$AY$138, LS_previous!M$149, FALSE), VLOOKUP('Staging Table'!$A129, LS_previous!$B$4:$AY$138,LS_previous!AK$149, FALSE))/2)</f>
        <v>821.34642889000042</v>
      </c>
      <c r="V129" s="382">
        <f t="array" ref="V129">IF($G129=0, INDEX(LS_previous!$D$4:$AY$138, MATCH('Staging Table'!$A129, LS_previous!$B$4:$B$138, 0), MATCH(V$4&amp;V$5, LS_previous!$D$2:$AY$2&amp;LS_previous!$D$3:$AY$3, 0)),SUM(VLOOKUP($A129, LS_previous!$B$4:$AY$138, LS_previous!N$149, FALSE), VLOOKUP('Staging Table'!$A129, LS_previous!$B$4:$AY$138,LS_previous!AL$149, FALSE))/2)</f>
        <v>-1243.243620360704</v>
      </c>
      <c r="W129" s="382">
        <f t="array" ref="W129">IF($G129=0, INDEX(LS_previous!$D$4:$AY$138, MATCH('Staging Table'!$A129, LS_previous!$B$4:$B$138, 0), MATCH(W$4&amp;W$5, LS_previous!$D$2:$AY$2&amp;LS_previous!$D$3:$AY$3, 0)),SUM(VLOOKUP($A129, LS_previous!$B$4:$AY$138, LS_previous!O$149, FALSE), VLOOKUP('Staging Table'!$A129, LS_previous!$B$4:$AY$138,LS_previous!AM$149, FALSE))/2)</f>
        <v>-442.51188987397609</v>
      </c>
      <c r="X129" s="382">
        <f t="array" ref="X129">IF($G129=0, INDEX(LS_previous!$D$4:$AY$138, MATCH('Staging Table'!$A129, LS_previous!$B$4:$B$138, 0), MATCH(X$4&amp;X$5, LS_previous!$D$2:$AY$2&amp;LS_previous!$D$3:$AY$3, 0)),SUM(VLOOKUP($A129, LS_previous!$B$4:$AY$138, LS_previous!P$149, FALSE), VLOOKUP('Staging Table'!$A129, LS_previous!$B$4:$AY$138,LS_previous!AN$149, FALSE))/2)</f>
        <v>-521.06037681978614</v>
      </c>
      <c r="Y129" s="382">
        <f t="array" ref="Y129">IF($G129=0, INDEX(LS_previous!$D$4:$AY$138, MATCH('Staging Table'!$A129, LS_previous!$B$4:$B$138, 0), MATCH(Y$4&amp;Y$5, LS_previous!$D$2:$AY$2&amp;LS_previous!$D$3:$AY$3, 0)),SUM(VLOOKUP($A129, LS_previous!$B$4:$AY$138, LS_previous!Q$149, FALSE), VLOOKUP('Staging Table'!$A129, LS_previous!$B$4:$AY$138,LS_previous!AO$149, FALSE))/2)</f>
        <v>190.62442938578488</v>
      </c>
      <c r="Z129" s="382">
        <f t="array" ref="Z129">IF($G129=0, INDEX(LS_previous!$D$4:$AY$138, MATCH('Staging Table'!$A129, LS_previous!$B$4:$B$138, 0), MATCH(Z$4&amp;Z$5, LS_previous!$D$2:$AY$2&amp;LS_previous!$D$3:$AY$3, 0)),SUM(VLOOKUP($A129, LS_previous!$B$4:$AY$138, LS_previous!R$149, FALSE), VLOOKUP('Staging Table'!$A129, LS_previous!$B$4:$AY$138,LS_previous!AP$149, FALSE))/2)</f>
        <v>-3000.9277818182754</v>
      </c>
      <c r="AA129" s="382">
        <f t="array" ref="AA129">IF($G129=0, INDEX(LS_previous!$D$4:$AY$138, MATCH('Staging Table'!$A129, LS_previous!$B$4:$B$138, 0), MATCH(AA$4&amp;AA$5, LS_previous!$D$2:$AY$2&amp;LS_previous!$D$3:$AY$3, 0)),SUM(VLOOKUP($A129, LS_previous!$B$4:$AY$138, LS_previous!S$149, FALSE), VLOOKUP('Staging Table'!$A129, LS_previous!$B$4:$AY$138,LS_previous!AQ$149, FALSE))/2)</f>
        <v>-911.22973050841483</v>
      </c>
      <c r="AB129" s="382">
        <f t="array" ref="AB129">IF($G129=0, INDEX(LS_previous!$D$4:$AY$138, MATCH('Staging Table'!$A129, LS_previous!$B$4:$B$138, 0), MATCH(AB$4&amp;AB$5, LS_previous!$D$2:$AY$2&amp;LS_previous!$D$3:$AY$3, 0)),SUM(VLOOKUP($A129, LS_previous!$B$4:$AY$138, LS_previous!T$149, FALSE), VLOOKUP('Staging Table'!$A129, LS_previous!$B$4:$AY$138,LS_previous!AR$149, FALSE))/2)</f>
        <v>-1086.7238386893277</v>
      </c>
      <c r="AC129" s="382">
        <f t="array" ref="AC129">IF($G129=0, INDEX(LS_previous!$D$4:$AY$138, MATCH('Staging Table'!$A129, LS_previous!$B$4:$B$138, 0), MATCH(AC$4&amp;AC$5, LS_previous!$D$2:$AY$2&amp;LS_previous!$D$3:$AY$3, 0)),SUM(VLOOKUP($A129, LS_previous!$B$4:$AY$138, LS_previous!U$149, FALSE), VLOOKUP('Staging Table'!$A129, LS_previous!$B$4:$AY$138,LS_previous!AS$149, FALSE))/2)</f>
        <v>-299.9841960437675</v>
      </c>
      <c r="AD129" s="382">
        <f t="array" ref="AD129">IF($G129=0, INDEX(LS_previous!$D$4:$AY$138, MATCH('Staging Table'!$A129, LS_previous!$B$4:$B$138, 0), MATCH(AD$4&amp;AD$5, LS_previous!$D$2:$AY$2&amp;LS_previous!$D$3:$AY$3, 0)),SUM(VLOOKUP($A129, LS_previous!$B$4:$AY$138, LS_previous!V$149, FALSE), VLOOKUP('Staging Table'!$A129, LS_previous!$B$4:$AY$138,LS_previous!AT$149, FALSE))/2)</f>
        <v>173.61510903913495</v>
      </c>
      <c r="AE129" s="382">
        <f t="array" ref="AE129">IF($G129=0, INDEX(LS_previous!$D$4:$AY$138, MATCH('Staging Table'!$A129, LS_previous!$B$4:$B$138, 0), MATCH(AE$4&amp;AE$5, LS_previous!$D$2:$AY$2&amp;LS_previous!$D$3:$AY$3, 0)),SUM(VLOOKUP($A129, LS_previous!$B$4:$AY$138, LS_previous!W$149, FALSE), VLOOKUP('Staging Table'!$A129, LS_previous!$B$4:$AY$138,LS_previous!AU$149, FALSE))/2)</f>
        <v>1155.4082915058884</v>
      </c>
      <c r="AF129" s="382">
        <f t="array" ref="AF129">IF($G129=0, INDEX(LS_previous!$D$4:$AY$138, MATCH('Staging Table'!$A129, LS_previous!$B$4:$B$138, 0), MATCH(AF$4&amp;AF$5, LS_previous!$D$2:$AY$2&amp;LS_previous!$D$3:$AY$3, 0)),SUM(VLOOKUP($A129, LS_previous!$B$4:$AY$138, LS_previous!X$149, FALSE), VLOOKUP('Staging Table'!$A129, LS_previous!$B$4:$AY$138,LS_previous!AV$149, FALSE))/2)</f>
        <v>-294.72016510521007</v>
      </c>
      <c r="AG129" s="382">
        <f t="array" ref="AG129">IF($G129=0, INDEX(LS_previous!$D$4:$AY$138, MATCH('Staging Table'!$A129, LS_previous!$B$4:$B$138, 0), MATCH(AG$4&amp;AG$5, LS_previous!$D$2:$AY$2&amp;LS_previous!$D$3:$AY$3, 0)),SUM(VLOOKUP($A129, LS_previous!$B$4:$AY$138, LS_previous!Y$149, FALSE), VLOOKUP('Staging Table'!$A129, LS_previous!$B$4:$AY$138,LS_previous!AW$149, FALSE))/2)</f>
        <v>353.42918836093804</v>
      </c>
      <c r="AH129" s="382">
        <f t="array" ref="AH129">IF($G129=0, INDEX(LS_previous!$D$4:$AY$138, MATCH('Staging Table'!$A129, LS_previous!$B$4:$B$138, 0), MATCH(AH$4&amp;AH$5, LS_previous!$D$2:$AY$2&amp;LS_previous!$D$3:$AY$3, 0)),SUM(VLOOKUP($A129, LS_previous!$B$4:$AY$138, LS_previous!Z$149, FALSE), VLOOKUP('Staging Table'!$A129, LS_previous!$B$4:$AY$138,LS_previous!AX$149, FALSE))/2)</f>
        <v>-579.55765466014873</v>
      </c>
      <c r="AI129" s="382">
        <f t="array" ref="AI129">IF($G129=0, INDEX(LS_previous!$D$4:$AY$138, MATCH('Staging Table'!$A129, LS_previous!$B$4:$B$138, 0), MATCH(AI$4&amp;AI$5, LS_previous!$D$2:$AY$2&amp;LS_previous!$D$3:$AY$3, 0)),SUM(VLOOKUP($A129, LS_previous!$B$4:$AY$138, LS_previous!AA$149, FALSE), VLOOKUP('Staging Table'!$A129, LS_previous!$B$4:$AY$138,LS_previous!AY$149, FALSE))/2)</f>
        <v>241.88813918105234</v>
      </c>
      <c r="AJ129" s="384">
        <f t="array" ref="AJ129">INDEX(Demand_previous!$D$4:$AY$138, MATCH('Staging Table'!$A129, Demand_previous!$B$4:$B$138, 0), MATCH(AJ$4&amp;AJ$5,Demand_previous!$D$2:$AY$2&amp;Demand_previous!$D$3:$AY$3, 0))/1000</f>
        <v>3.1252245370370346</v>
      </c>
      <c r="AK129" s="384">
        <f t="array" ref="AK129">INDEX(Demand_previous!$D$4:$AY$138, MATCH('Staging Table'!$A129, Demand_previous!$B$4:$B$138, 0), MATCH(AK$4&amp;AK$5,Demand_previous!$D$2:$AY$2&amp;Demand_previous!$D$3:$AY$3, 0))/1000</f>
        <v>5.1232135416666651</v>
      </c>
      <c r="AL129" s="384">
        <f t="array" ref="AL129">INDEX(Demand_previous!$D$4:$AY$138, MATCH('Staging Table'!$A129, Demand_previous!$B$4:$B$138, 0), MATCH(AL$4&amp;AL$5,Demand_previous!$D$2:$AY$2&amp;Demand_previous!$D$3:$AY$3, 0))/1000</f>
        <v>6.1767235576923065</v>
      </c>
      <c r="AM129" s="384">
        <f t="array" ref="AM129">INDEX(Demand_previous!$D$4:$AY$138, MATCH('Staging Table'!$A129, Demand_previous!$B$4:$B$138, 0), MATCH(AM$4&amp;AM$5,Demand_previous!$D$2:$AY$2&amp;Demand_previous!$D$3:$AY$3, 0))/1000</f>
        <v>3.5085074999999977</v>
      </c>
      <c r="AN129" s="384">
        <f t="array" ref="AN129">INDEX(Demand_previous!$D$4:$AY$138, MATCH('Staging Table'!$A129, Demand_previous!$B$4:$B$138, 0), MATCH(AN$4&amp;AN$5,Demand_previous!$D$2:$AY$2&amp;Demand_previous!$D$3:$AY$3, 0))/1000</f>
        <v>3.5433825000000017</v>
      </c>
      <c r="AO129" s="384">
        <f t="array" ref="AO129">INDEX(Demand_previous!$D$4:$AY$138, MATCH('Staging Table'!$A129, Demand_previous!$B$4:$B$138, 0), MATCH(AO$4&amp;AO$5,Demand_previous!$D$2:$AY$2&amp;Demand_previous!$D$3:$AY$3, 0))/1000</f>
        <v>3.3497986111111118</v>
      </c>
      <c r="AP129" s="384">
        <f t="array" ref="AP129">INDEX(Demand_previous!$D$4:$AY$138, MATCH('Staging Table'!$A129, Demand_previous!$B$4:$B$138, 0), MATCH(AP$4&amp;AP$5,Demand_previous!$D$2:$AY$2&amp;Demand_previous!$D$3:$AY$3, 0))/1000</f>
        <v>2.7093918269230759</v>
      </c>
      <c r="AQ129" s="384">
        <f t="array" ref="AQ129">INDEX(Demand_previous!$D$4:$AY$138, MATCH('Staging Table'!$A129, Demand_previous!$B$4:$B$138, 0), MATCH(AQ$4&amp;AQ$5,Demand_previous!$D$2:$AY$2&amp;Demand_previous!$D$3:$AY$3, 0))/1000</f>
        <v>1.6265175000000007</v>
      </c>
      <c r="AR129" s="384">
        <f t="array" ref="AR129">INDEX(Demand_previous!$D$4:$AY$138, MATCH('Staging Table'!$A129, Demand_previous!$B$4:$B$138, 0), MATCH(AR$4&amp;AR$5,Demand_previous!$D$2:$AY$2&amp;Demand_previous!$D$3:$AY$3, 0))/1000</f>
        <v>3.0521346153846149</v>
      </c>
      <c r="AS129" s="384">
        <f t="array" ref="AS129">INDEX(Demand_previous!$D$4:$AY$138, MATCH('Staging Table'!$A129, Demand_previous!$B$4:$B$138, 0), MATCH(AS$4&amp;AS$5,Demand_previous!$D$2:$AY$2&amp;Demand_previous!$D$3:$AY$3, 0))/1000</f>
        <v>3.1834625000000014</v>
      </c>
      <c r="AT129" s="384">
        <f t="array" ref="AT129">INDEX(Demand_previous!$D$4:$AY$138, MATCH('Staging Table'!$A129, Demand_previous!$B$4:$B$138, 0), MATCH(AT$4&amp;AT$5,Demand_previous!$D$2:$AY$2&amp;Demand_previous!$D$3:$AY$3, 0))/1000</f>
        <v>2.8189490740740726</v>
      </c>
      <c r="AU129" s="384">
        <f t="array" ref="AU129">INDEX(Demand_previous!$D$4:$AY$138, MATCH('Staging Table'!$A129, Demand_previous!$B$4:$B$138, 0), MATCH(AU$4&amp;AU$5,Demand_previous!$D$2:$AY$2&amp;Demand_previous!$D$3:$AY$3, 0))/1000</f>
        <v>1.1270225000000003</v>
      </c>
      <c r="AV129" s="384">
        <f>IF($D129=0,IF(C129=0, MAX(AY129 - (VLOOKUP($A129,TOCA_previous!$A$2:$AI$137,MATCH("RHWM 2016",TOCA_previous!$A$2:$AI$2,0),FALSE)*$F$2*TOCA_previous!C126),0),0), 0)</f>
        <v>0</v>
      </c>
      <c r="AW129" s="427">
        <f>VLOOKUP($A129,REP_previous!$A$1:$D$135,MATCH("FY "&amp;$F$1&amp; " Total Refund",REP_previous!$A$1:$D$1,0),0)</f>
        <v>70714.079539976519</v>
      </c>
      <c r="AX129" s="398">
        <f>MIN(VLOOKUP($A129,TOCA_previous!$A$2:$AI$137,MATCH("TRL - NLSL - Exisiting Resource "&amp;$F$1,TOCA_previous!$A$2:$AI$2,0),FALSE)*$F$2,(VLOOKUP($A129,TOCA_previous!$A$2:$AI$137,MATCH("RHWM 2016",TOCA_previous!$A$2:$AI$2,0),FALSE)*$F$2))</f>
        <v>111047.32799999999</v>
      </c>
      <c r="AY129" s="384">
        <f>SUM(L129:AI129)+(F129*RT1SC!$C$3*$F$2)</f>
        <v>108185.98426138848</v>
      </c>
      <c r="AZ129" s="398">
        <f>VLOOKUP($A129,TOCA_previous!$A$2:$AI$137,MATCH("Above RHWM Not Served with LS "&amp;$F$1,TOCA_previous!$A$2:$AI$2,0),FALSE)*$F$2</f>
        <v>0</v>
      </c>
      <c r="BA129" s="206">
        <f t="shared" si="19"/>
        <v>-2861.3437386115111</v>
      </c>
      <c r="BB129" s="399">
        <f>(VLOOKUP($A129,TOCA_previous!$A$2:$AI$137,MATCH("RHWM 2016",TOCA_previous!$A$2:$AI$2,0),FALSE)*$F$2) - $AX129</f>
        <v>5472.4320000000153</v>
      </c>
      <c r="BC129" s="206">
        <f t="shared" si="20"/>
        <v>0</v>
      </c>
      <c r="BD129" s="400">
        <f t="shared" si="21"/>
        <v>2861.3437386115111</v>
      </c>
      <c r="BE129" s="392">
        <f t="shared" si="22"/>
        <v>0</v>
      </c>
      <c r="BF129" s="399">
        <f t="shared" si="23"/>
        <v>2861.3437386115111</v>
      </c>
      <c r="BG129" s="206">
        <f>VLOOKUP($A129,TOCA_current!$A$2:$AI$137,MATCH(BG$4,TOCA_current!$A$2:$AI$2,0),FALSE)</f>
        <v>1.8791000000000001E-3</v>
      </c>
      <c r="BH129" s="206">
        <f>VLOOKUP($A129,TOCA_current!$A$2:$AI$137,MATCH(BH$4,TOCA_current!$A$2:$AI$2,0),FALSE)</f>
        <v>1.8791000000000001E-3</v>
      </c>
      <c r="BI129" s="391">
        <f t="shared" si="24"/>
        <v>0</v>
      </c>
      <c r="BJ129" s="206">
        <f>VLOOKUP($A129,TOCA_current!A125:BG260,MATCH(BJ$4,TOCA_current!$A$2:$BG$2,0),FALSE)</f>
        <v>7.0000000000000007E-2</v>
      </c>
      <c r="BK129" s="206">
        <f t="shared" si="25"/>
        <v>0</v>
      </c>
      <c r="BL129" s="206">
        <f t="shared" si="26"/>
        <v>0</v>
      </c>
      <c r="BM129" s="381">
        <f>VLOOKUP($A129,IRD!$A$4:$G$139, 7, FALSE)</f>
        <v>9733.33</v>
      </c>
      <c r="BN129" s="382">
        <f t="array" ref="BN129">IF($BI129=0, INDEX(LS_current!$D$4:$AY$139, MATCH('Staging Table'!$A129, LS_current!$B$4:$B$139, 0), MATCH(BN$4&amp;BN$5, LS_current!$D$2:$AY$2&amp;LS_current!$D$3:$AY$3, 0)),SUM(VLOOKUP($A129, LS_current!$B$4:$AY$139, LS_current!D$149, FALSE), VLOOKUP($A129, LS_current!$B$4:$AY$139,LS_current!D$149, FALSE))/2)</f>
        <v>-1509.2534924963884</v>
      </c>
      <c r="BO129" s="382">
        <f t="array" ref="BO129">IF($BI129=0, INDEX(LS_current!$D$4:$AY$139, MATCH('Staging Table'!$A129, LS_current!$B$4:$B$139, 0), MATCH(BO$4&amp;BO$5, LS_current!$D$2:$AY$2&amp;LS_current!$D$3:$AY$3, 0)),SUM(VLOOKUP($A129, LS_current!$B$4:$AY$139, LS_current!E$149, FALSE), VLOOKUP($A129, LS_current!$B$4:$AY$139,LS_current!E$149, FALSE))/2)</f>
        <v>-83.544546809721396</v>
      </c>
      <c r="BP129" s="382">
        <f t="array" ref="BP129">IF($BI129=0, INDEX(LS_current!$D$4:$AY$139, MATCH('Staging Table'!$A129, LS_current!$B$4:$B$139, 0), MATCH(BP$4&amp;BP$5, LS_current!$D$2:$AY$2&amp;LS_current!$D$3:$AY$3, 0)),SUM(VLOOKUP($A129, LS_current!$B$4:$AY$139, LS_current!F$149, FALSE), VLOOKUP($A129, LS_current!$B$4:$AY$139,LS_current!F$149, FALSE))/2)</f>
        <v>-1660.7693040505783</v>
      </c>
      <c r="BQ129" s="382">
        <f t="array" ref="BQ129">IF($BI129=0, INDEX(LS_current!$D$4:$AY$139, MATCH('Staging Table'!$A129, LS_current!$B$4:$B$139, 0), MATCH(BQ$4&amp;BQ$5, LS_current!$D$2:$AY$2&amp;LS_current!$D$3:$AY$3, 0)),SUM(VLOOKUP($A129, LS_current!$B$4:$AY$139, LS_current!G$149, FALSE), VLOOKUP($A129, LS_current!$B$4:$AY$139,LS_current!G$149, FALSE))/2)</f>
        <v>-118.567708620139</v>
      </c>
      <c r="BR129" s="382">
        <f t="array" ref="BR129">IF($BI129=0, INDEX(LS_current!$D$4:$AY$139, MATCH('Staging Table'!$A129, LS_current!$B$4:$B$139, 0), MATCH(BR$4&amp;BR$5, LS_current!$D$2:$AY$2&amp;LS_current!$D$3:$AY$3, 0)),SUM(VLOOKUP($A129, LS_current!$B$4:$AY$139, LS_current!H$149, FALSE), VLOOKUP($A129, LS_current!$B$4:$AY$139,LS_current!H$149, FALSE))/2)</f>
        <v>278.4561760233255</v>
      </c>
      <c r="BS129" s="382">
        <f t="array" ref="BS129">IF($BI129=0, INDEX(LS_current!$D$4:$AY$139, MATCH('Staging Table'!$A129, LS_current!$B$4:$B$139, 0), MATCH(BS$4&amp;BS$5, LS_current!$D$2:$AY$2&amp;LS_current!$D$3:$AY$3, 0)),SUM(VLOOKUP($A129, LS_current!$B$4:$AY$139, LS_current!I$149, FALSE), VLOOKUP($A129, LS_current!$B$4:$AY$139,LS_current!I$149, FALSE))/2)</f>
        <v>1473.8143577493024</v>
      </c>
      <c r="BT129" s="382">
        <f t="array" ref="BT129">IF($BI129=0, INDEX(LS_current!$D$4:$AY$139, MATCH('Staging Table'!$A129, LS_current!$B$4:$B$139, 0), MATCH(BT$4&amp;BT$5, LS_current!$D$2:$AY$2&amp;LS_current!$D$3:$AY$3, 0)),SUM(VLOOKUP($A129, LS_current!$B$4:$AY$139, LS_current!J$149, FALSE), VLOOKUP($A129, LS_current!$B$4:$AY$139,LS_current!J$149, FALSE))/2)</f>
        <v>829.44927040842322</v>
      </c>
      <c r="BU129" s="382">
        <f t="array" ref="BU129">IF($BI129=0, INDEX(LS_current!$D$4:$AY$139, MATCH('Staging Table'!$A129, LS_current!$B$4:$B$139, 0), MATCH(BU$4&amp;BU$5, LS_current!$D$2:$AY$2&amp;LS_current!$D$3:$AY$3, 0)),SUM(VLOOKUP($A129, LS_current!$B$4:$AY$139, LS_current!K$149, FALSE), VLOOKUP($A129, LS_current!$B$4:$AY$139,LS_current!K$149, FALSE))/2)</f>
        <v>1314.6270915044202</v>
      </c>
      <c r="BV129" s="382">
        <f t="array" ref="BV129">IF($BI129=0, INDEX(LS_current!$D$4:$AY$139, MATCH('Staging Table'!$A129, LS_current!$B$4:$B$139, 0), MATCH(BV$4&amp;BV$5, LS_current!$D$2:$AY$2&amp;LS_current!$D$3:$AY$3, 0)),SUM(VLOOKUP($A129, LS_current!$B$4:$AY$139, LS_current!L$149, FALSE), VLOOKUP($A129, LS_current!$B$4:$AY$139,LS_current!L$149, FALSE))/2)</f>
        <v>521.17889468526118</v>
      </c>
      <c r="BW129" s="382">
        <f t="array" ref="BW129">IF($BI129=0, INDEX(LS_current!$D$4:$AY$139, MATCH('Staging Table'!$A129, LS_current!$B$4:$B$139, 0), MATCH(BW$4&amp;BW$5, LS_current!$D$2:$AY$2&amp;LS_current!$D$3:$AY$3, 0)),SUM(VLOOKUP($A129, LS_current!$B$4:$AY$139, LS_current!M$149, FALSE), VLOOKUP($A129, LS_current!$B$4:$AY$139,LS_current!M$149, FALSE))/2)</f>
        <v>1015.6661004744324</v>
      </c>
      <c r="BX129" s="382">
        <f t="array" ref="BX129">IF($BI129=0, INDEX(LS_current!$D$4:$AY$139, MATCH('Staging Table'!$A129, LS_current!$B$4:$B$139, 0), MATCH(BX$4&amp;BX$5, LS_current!$D$2:$AY$2&amp;LS_current!$D$3:$AY$3, 0)),SUM(VLOOKUP($A129, LS_current!$B$4:$AY$139, LS_current!N$149, FALSE), VLOOKUP($A129, LS_current!$B$4:$AY$139,LS_current!N$149, FALSE))/2)</f>
        <v>-1157.0369582797211</v>
      </c>
      <c r="BY129" s="382">
        <f t="array" ref="BY129">IF($BI129=0, INDEX(LS_current!$D$4:$AY$139, MATCH('Staging Table'!$A129, LS_current!$B$4:$B$139, 0), MATCH(BY$4&amp;BY$5, LS_current!$D$2:$AY$2&amp;LS_current!$D$3:$AY$3, 0)),SUM(VLOOKUP($A129, LS_current!$B$4:$AY$139, LS_current!O$149, FALSE), VLOOKUP($A129, LS_current!$B$4:$AY$139,LS_current!O$149, FALSE))/2)</f>
        <v>-235.43344644998706</v>
      </c>
      <c r="BZ129" s="382">
        <f t="array" ref="BZ129">IF($BI129=0, INDEX(LS_current!$D$4:$AY$139, MATCH('Staging Table'!$A129, LS_current!$B$4:$B$139, 0), MATCH(BZ$4&amp;BZ$5, LS_current!$D$2:$AY$2&amp;LS_current!$D$3:$AY$3, 0)),SUM(VLOOKUP($A129, LS_current!$B$4:$AY$139, LS_current!P$149, FALSE), VLOOKUP($A129, LS_current!$B$4:$AY$139,LS_current!P$149, FALSE))/2)</f>
        <v>-1273.1945585466401</v>
      </c>
      <c r="CA129" s="382">
        <f t="array" ref="CA129">IF($BI129=0, INDEX(LS_current!$D$4:$AY$139, MATCH('Staging Table'!$A129, LS_current!$B$4:$B$139, 0), MATCH(CA$4&amp;CA$5, LS_current!$D$2:$AY$2&amp;LS_current!$D$3:$AY$3, 0)),SUM(VLOOKUP($A129, LS_current!$B$4:$AY$139, LS_current!Q$149, FALSE), VLOOKUP($A129, LS_current!$B$4:$AY$139,LS_current!Q$149, FALSE))/2)</f>
        <v>38.967011174281197</v>
      </c>
      <c r="CB129" s="382">
        <f t="array" ref="CB129">IF($BI129=0, INDEX(LS_current!$D$4:$AY$139, MATCH('Staging Table'!$A129, LS_current!$B$4:$B$139, 0), MATCH(CB$4&amp;CB$5, LS_current!$D$2:$AY$2&amp;LS_current!$D$3:$AY$3, 0)),SUM(VLOOKUP($A129, LS_current!$B$4:$AY$139, LS_current!R$149, FALSE), VLOOKUP($A129, LS_current!$B$4:$AY$139,LS_current!R$149, FALSE))/2)</f>
        <v>-3225.8836998694933</v>
      </c>
      <c r="CC129" s="382">
        <f t="array" ref="CC129">IF($BI129=0, INDEX(LS_current!$D$4:$AY$139, MATCH('Staging Table'!$A129, LS_current!$B$4:$B$139, 0), MATCH(CC$4&amp;CC$5, LS_current!$D$2:$AY$2&amp;LS_current!$D$3:$AY$3, 0)),SUM(VLOOKUP($A129, LS_current!$B$4:$AY$139, LS_current!S$149, FALSE), VLOOKUP($A129, LS_current!$B$4:$AY$139,LS_current!S$149, FALSE))/2)</f>
        <v>-1145.4783011689815</v>
      </c>
      <c r="CD129" s="382">
        <f t="array" ref="CD129">IF($BI129=0, INDEX(LS_current!$D$4:$AY$139, MATCH('Staging Table'!$A129, LS_current!$B$4:$B$139, 0), MATCH(CD$4&amp;CD$5, LS_current!$D$2:$AY$2&amp;LS_current!$D$3:$AY$3, 0)),SUM(VLOOKUP($A129, LS_current!$B$4:$AY$139, LS_current!T$149, FALSE), VLOOKUP($A129, LS_current!$B$4:$AY$139,LS_current!T$149, FALSE))/2)</f>
        <v>-1294.7753729964661</v>
      </c>
      <c r="CE129" s="382">
        <f t="array" ref="CE129">IF($BI129=0, INDEX(LS_current!$D$4:$AY$139, MATCH('Staging Table'!$A129, LS_current!$B$4:$B$139, 0), MATCH(CE$4&amp;CE$5, LS_current!$D$2:$AY$2&amp;LS_current!$D$3:$AY$3, 0)),SUM(VLOOKUP($A129, LS_current!$B$4:$AY$139, LS_current!U$149, FALSE), VLOOKUP($A129, LS_current!$B$4:$AY$139,LS_current!U$149, FALSE))/2)</f>
        <v>-174.70423017289841</v>
      </c>
      <c r="CF129" s="382">
        <f t="array" ref="CF129">IF($BI129=0, INDEX(LS_current!$D$4:$AY$139, MATCH('Staging Table'!$A129, LS_current!$B$4:$B$139, 0), MATCH(CF$4&amp;CF$5, LS_current!$D$2:$AY$2&amp;LS_current!$D$3:$AY$3, 0)),SUM(VLOOKUP($A129, LS_current!$B$4:$AY$139, LS_current!V$149, FALSE), VLOOKUP($A129, LS_current!$B$4:$AY$139,LS_current!V$149, FALSE))/2)</f>
        <v>321.75134648671519</v>
      </c>
      <c r="CG129" s="382">
        <f t="array" ref="CG129">IF($BI129=0, INDEX(LS_current!$D$4:$AY$139, MATCH('Staging Table'!$A129, LS_current!$B$4:$B$139, 0), MATCH(CG$4&amp;CG$5, LS_current!$D$2:$AY$2&amp;LS_current!$D$3:$AY$3, 0)),SUM(VLOOKUP($A129, LS_current!$B$4:$AY$139, LS_current!W$149, FALSE), VLOOKUP($A129, LS_current!$B$4:$AY$139,LS_current!W$149, FALSE))/2)</f>
        <v>1266.2105275770077</v>
      </c>
      <c r="CH129" s="382">
        <f t="array" ref="CH129">IF($BI129=0, INDEX(LS_current!$D$4:$AY$139, MATCH('Staging Table'!$A129, LS_current!$B$4:$B$139, 0), MATCH(CH$4&amp;CH$5, LS_current!$D$2:$AY$2&amp;LS_current!$D$3:$AY$3, 0)),SUM(VLOOKUP($A129, LS_current!$B$4:$AY$139, LS_current!X$149, FALSE), VLOOKUP($A129, LS_current!$B$4:$AY$139,LS_current!X$149, FALSE))/2)</f>
        <v>-499.29833009863069</v>
      </c>
      <c r="CI129" s="382">
        <f t="array" ref="CI129">IF($BI129=0, INDEX(LS_current!$D$4:$AY$139, MATCH('Staging Table'!$A129, LS_current!$B$4:$B$139, 0), MATCH(CI$4&amp;CI$5, LS_current!$D$2:$AY$2&amp;LS_current!$D$3:$AY$3, 0)),SUM(VLOOKUP($A129, LS_current!$B$4:$AY$139, LS_current!Y$149, FALSE), VLOOKUP($A129, LS_current!$B$4:$AY$139,LS_current!Y$149, FALSE))/2)</f>
        <v>337.25818575835046</v>
      </c>
      <c r="CJ129" s="382">
        <f t="array" ref="CJ129">IF($BI129=0, INDEX(LS_current!$D$4:$AY$139, MATCH('Staging Table'!$A129, LS_current!$B$4:$B$139, 0), MATCH(CJ$4&amp;CJ$5, LS_current!$D$2:$AY$2&amp;LS_current!$D$3:$AY$3, 0)),SUM(VLOOKUP($A129, LS_current!$B$4:$AY$139, LS_current!Z$149, FALSE), VLOOKUP($A129, LS_current!$B$4:$AY$139,LS_current!Z$149, FALSE))/2)</f>
        <v>-1287.3810903068834</v>
      </c>
      <c r="CK129" s="382">
        <f t="array" ref="CK129">IF($BI129=0, INDEX(LS_current!$D$4:$AY$139, MATCH('Staging Table'!$A129, LS_current!$B$4:$B$139, 0), MATCH(CK$4&amp;CK$5, LS_current!$D$2:$AY$2&amp;LS_current!$D$3:$AY$3, 0)),SUM(VLOOKUP($A129, LS_current!$B$4:$AY$139, LS_current!AA$149, FALSE), VLOOKUP($A129, LS_current!$B$4:$AY$139,LS_current!AA$149, FALSE))/2)</f>
        <v>135.4011068973623</v>
      </c>
      <c r="CL129" s="384">
        <f t="array" ref="CL129">INDEX(Demand_current!$D$4:$AY$138, MATCH($A129, Demand_current!$B$4:$B$138, 0), MATCH(CL$4&amp;CL$5,Demand_current!$D$2:$AY$2&amp;Demand_current!$D$3:$AY$3, 0))/1000</f>
        <v>2.7493870192307668</v>
      </c>
      <c r="CM129" s="384">
        <f t="array" ref="CM129">INDEX(Demand_current!$D$4:$AY$138, MATCH($A129, Demand_current!$B$4:$B$138, 0), MATCH(CM$4&amp;CM$5,Demand_current!$D$2:$AY$2&amp;Demand_current!$D$3:$AY$3, 0))/1000</f>
        <v>5.6649649999999987</v>
      </c>
      <c r="CN129" s="384">
        <f t="array" ref="CN129">INDEX(Demand_current!$D$4:$AY$138, MATCH($A129, Demand_current!$B$4:$B$138, 0), MATCH(CN$4&amp;CN$5,Demand_current!$D$2:$AY$2&amp;Demand_current!$D$3:$AY$3, 0))/1000</f>
        <v>5.5055124999999991</v>
      </c>
      <c r="CO129" s="384">
        <f t="array" ref="CO129">INDEX(Demand_current!$D$4:$AY$138, MATCH($A129, Demand_current!$B$4:$B$138, 0), MATCH(CO$4&amp;CO$5,Demand_current!$D$2:$AY$2&amp;Demand_current!$D$3:$AY$3, 0))/1000</f>
        <v>4.1343341346153837</v>
      </c>
      <c r="CP129" s="384">
        <f t="array" ref="CP129">INDEX(Demand_current!$D$4:$AY$138, MATCH($A129, Demand_current!$B$4:$B$138, 0), MATCH(CP$4&amp;CP$5,Demand_current!$D$2:$AY$2&amp;Demand_current!$D$3:$AY$3, 0))/1000</f>
        <v>2.9932317708333347</v>
      </c>
      <c r="CQ129" s="384">
        <f t="array" ref="CQ129">INDEX(Demand_current!$D$4:$AY$138, MATCH($A129, Demand_current!$B$4:$B$138, 0), MATCH(CQ$4&amp;CQ$5,Demand_current!$D$2:$AY$2&amp;Demand_current!$D$3:$AY$3, 0))/1000</f>
        <v>3.3497986111111118</v>
      </c>
      <c r="CR129" s="384">
        <f t="array" ref="CR129">INDEX(Demand_current!$D$4:$AY$138, MATCH($A129, Demand_current!$B$4:$B$138, 0), MATCH(CR$4&amp;CR$5,Demand_current!$D$2:$AY$2&amp;Demand_current!$D$3:$AY$3, 0))/1000</f>
        <v>2.3015274999999988</v>
      </c>
      <c r="CS129" s="384">
        <f t="array" ref="CS129">INDEX(Demand_current!$D$4:$AY$138, MATCH($A129, Demand_current!$B$4:$B$138, 0), MATCH(CS$4&amp;CS$5,Demand_current!$D$2:$AY$2&amp;Demand_current!$D$3:$AY$3, 0))/1000</f>
        <v>2.0875360576923083</v>
      </c>
      <c r="CT129" s="384">
        <f t="array" ref="CT129">INDEX(Demand_current!$D$4:$AY$138, MATCH($A129, Demand_current!$B$4:$B$138, 0), MATCH(CT$4&amp;CT$5,Demand_current!$D$2:$AY$2&amp;Demand_current!$D$3:$AY$3, 0))/1000</f>
        <v>3.0521346153846149</v>
      </c>
      <c r="CU129" s="384">
        <f t="array" ref="CU129">INDEX(Demand_current!$D$4:$AY$138, MATCH($A129, Demand_current!$B$4:$B$138, 0), MATCH(CU$4&amp;CU$5,Demand_current!$D$2:$AY$2&amp;Demand_current!$D$3:$AY$3, 0))/1000</f>
        <v>3.1834625000000014</v>
      </c>
      <c r="CV129" s="384">
        <f t="array" ref="CV129">INDEX(Demand_current!$D$4:$AY$138, MATCH($A129, Demand_current!$B$4:$B$138, 0), MATCH(CV$4&amp;CV$5,Demand_current!$D$2:$AY$2&amp;Demand_current!$D$3:$AY$3, 0))/1000</f>
        <v>2.8189490740740726</v>
      </c>
      <c r="CW129" s="384">
        <f t="array" ref="CW129">INDEX(Demand_current!$D$4:$AY$138, MATCH($A129, Demand_current!$B$4:$B$138, 0), MATCH(CW$4&amp;CW$5,Demand_current!$D$2:$AY$2&amp;Demand_current!$D$3:$AY$3, 0))/1000</f>
        <v>0.67864843750000103</v>
      </c>
      <c r="CX129" s="384">
        <f>IF(D129=0,IF(C129=0,MAX(0,DA129 - (VLOOKUP($A129,TOCA_current!$A$2:$AI$137,MATCH("RHWM 2018",TOCA_current!$A$2:$AI$2,0),FALSE)*$BH$2)), 0),0)</f>
        <v>0</v>
      </c>
      <c r="CY129" s="427">
        <f>VLOOKUP($A129,REP_current!$A$1:$D$135,MATCH("FY "&amp;$BH$1&amp; " Total Refund",REP_current!$A$1:$D$1,0),0)</f>
        <v>74538.88887302966</v>
      </c>
      <c r="CZ129" s="432">
        <f>MIN(VLOOKUP($A129,TOCA_current!$A$2:$AI$137,MATCH("TRL - NLSL - Existing Resource "&amp;$BH$1,TOCA_current!$A$2:$AI$2,0),FALSE)*$BH$2, VLOOKUP($A129,TOCA_current!$A$2:$AI$137,MATCH("RHWM 2018",TOCA_current!$A$2:$AI$2,0),FALSE)*$BH$2)</f>
        <v>114318</v>
      </c>
      <c r="DA129" s="397">
        <f>SUM(BN129:CK129)+(BH129*RT1SC!$C$4*$BH$2)</f>
        <v>108185.98566780835</v>
      </c>
      <c r="DB129" s="432">
        <f>VLOOKUP($A129,TOCA_current!$A$2:$AI$137,MATCH("Above RHWM Not Served with LS "&amp;$BH$1,TOCA_current!$A$2:$AI$2,0),FALSE)*$BH$2</f>
        <v>0</v>
      </c>
      <c r="DC129" s="401">
        <f t="shared" si="27"/>
        <v>-6132.0143321916548</v>
      </c>
      <c r="DD129" s="397">
        <f>(VLOOKUP($A129,TOCA_current!$A$2:$AI$137,MATCH("RHWM 2018",TOCA_current!$A$2:$AI$2,0),FALSE)*$BH$2) - $CZ129</f>
        <v>1147.5599999999977</v>
      </c>
      <c r="DE129" s="397">
        <f t="shared" si="28"/>
        <v>0</v>
      </c>
      <c r="DF129" s="397">
        <f t="shared" si="29"/>
        <v>6132.0143321916548</v>
      </c>
      <c r="DG129" s="397">
        <f t="shared" si="30"/>
        <v>0</v>
      </c>
      <c r="DH129" s="397">
        <f t="shared" si="31"/>
        <v>6132.0143321916548</v>
      </c>
    </row>
    <row r="130" spans="1:112">
      <c r="A130" s="274">
        <v>10446</v>
      </c>
      <c r="B130" s="275" t="s">
        <v>131</v>
      </c>
      <c r="C130" s="397">
        <v>0</v>
      </c>
      <c r="D130" s="397">
        <v>0</v>
      </c>
      <c r="E130" s="205">
        <f>VLOOKUP($A130,TOCA_previous!$A$2:$AI$137,MATCH(E$4,TOCA_previous!$A$2:$AI$2,0),FALSE)</f>
        <v>1.3580999999999999E-2</v>
      </c>
      <c r="F130" s="206">
        <f>VLOOKUP($A130,TOCA_previous!$A$2:$AI$137,MATCH(F$4,TOCA_previous!$A$2:$AI$2,0),FALSE)</f>
        <v>1.3580999999999999E-2</v>
      </c>
      <c r="G130" s="206">
        <f t="shared" si="16"/>
        <v>0</v>
      </c>
      <c r="H130" s="206">
        <f>VLOOKUP($A130,TOCA_previous!$A$2:$AI$137,MATCH(H$4,TOCA_previous!$A$2:$AI$2,0),FALSE)</f>
        <v>5.7889999999999997E-2</v>
      </c>
      <c r="I130" s="206">
        <f t="shared" si="17"/>
        <v>0</v>
      </c>
      <c r="J130" s="206">
        <f t="shared" si="18"/>
        <v>0</v>
      </c>
      <c r="K130" s="381">
        <f>VLOOKUP(A130, IRD!$A$5:$C$139, 3, FALSE)</f>
        <v>7171.34</v>
      </c>
      <c r="L130" s="382">
        <f t="array" ref="L130">IF($G130=0, INDEX(LS_previous!$D$4:$AY$138, MATCH('Staging Table'!$A130, LS_previous!$B$4:$B$138, 0), MATCH(L$4&amp;L$5, LS_previous!$D$2:$AY$2&amp;LS_previous!$D$3:$AY$3, 0)),SUM(VLOOKUP($A130, LS_previous!$B$4:$AY$138, LS_previous!D$149, FALSE), VLOOKUP('Staging Table'!$A130, LS_previous!$B$4:$AY$138,LS_previous!AB$149, FALSE))/2)</f>
        <v>-5421.3526035499235</v>
      </c>
      <c r="M130" s="382">
        <f t="array" ref="M130">IF($G130=0, INDEX(LS_previous!$D$4:$AY$138, MATCH('Staging Table'!$A130, LS_previous!$B$4:$B$138, 0), MATCH(M$4&amp;M$5, LS_previous!$D$2:$AY$2&amp;LS_previous!$D$3:$AY$3, 0)),SUM(VLOOKUP($A130, LS_previous!$B$4:$AY$138, LS_previous!E$149, FALSE), VLOOKUP('Staging Table'!$A130, LS_previous!$B$4:$AY$138,LS_previous!AC$149, FALSE))/2)</f>
        <v>5115.6421900671521</v>
      </c>
      <c r="N130" s="382">
        <f t="array" ref="N130">IF($G130=0, INDEX(LS_previous!$D$4:$AY$138, MATCH('Staging Table'!$A130, LS_previous!$B$4:$B$138, 0), MATCH(N$4&amp;N$5, LS_previous!$D$2:$AY$2&amp;LS_previous!$D$3:$AY$3, 0)),SUM(VLOOKUP($A130, LS_previous!$B$4:$AY$138, LS_previous!F$149, FALSE), VLOOKUP('Staging Table'!$A130, LS_previous!$B$4:$AY$138,LS_previous!AD$149, FALSE))/2)</f>
        <v>-12644.031352499507</v>
      </c>
      <c r="O130" s="382">
        <f t="array" ref="O130">IF($G130=0, INDEX(LS_previous!$D$4:$AY$138, MATCH('Staging Table'!$A130, LS_previous!$B$4:$B$138, 0), MATCH(O$4&amp;O$5, LS_previous!$D$2:$AY$2&amp;LS_previous!$D$3:$AY$3, 0)),SUM(VLOOKUP($A130, LS_previous!$B$4:$AY$138, LS_previous!G$149, FALSE), VLOOKUP('Staging Table'!$A130, LS_previous!$B$4:$AY$138,LS_previous!AE$149, FALSE))/2)</f>
        <v>-45.184560518206126</v>
      </c>
      <c r="P130" s="382">
        <f t="array" ref="P130">IF($G130=0, INDEX(LS_previous!$D$4:$AY$138, MATCH('Staging Table'!$A130, LS_previous!$B$4:$B$138, 0), MATCH(P$4&amp;P$5, LS_previous!$D$2:$AY$2&amp;LS_previous!$D$3:$AY$3, 0)),SUM(VLOOKUP($A130, LS_previous!$B$4:$AY$138, LS_previous!H$149, FALSE), VLOOKUP('Staging Table'!$A130, LS_previous!$B$4:$AY$138,LS_previous!AF$149, FALSE))/2)</f>
        <v>-8946.8336143633933</v>
      </c>
      <c r="Q130" s="382">
        <f t="array" ref="Q130">IF($G130=0, INDEX(LS_previous!$D$4:$AY$138, MATCH('Staging Table'!$A130, LS_previous!$B$4:$B$138, 0), MATCH(Q$4&amp;Q$5, LS_previous!$D$2:$AY$2&amp;LS_previous!$D$3:$AY$3, 0)),SUM(VLOOKUP($A130, LS_previous!$B$4:$AY$138, LS_previous!I$149, FALSE), VLOOKUP('Staging Table'!$A130, LS_previous!$B$4:$AY$138,LS_previous!AG$149, FALSE))/2)</f>
        <v>4233.0190669308286</v>
      </c>
      <c r="R130" s="382">
        <f t="array" ref="R130">IF($G130=0, INDEX(LS_previous!$D$4:$AY$138, MATCH('Staging Table'!$A130, LS_previous!$B$4:$B$138, 0), MATCH(R$4&amp;R$5, LS_previous!$D$2:$AY$2&amp;LS_previous!$D$3:$AY$3, 0)),SUM(VLOOKUP($A130, LS_previous!$B$4:$AY$138, LS_previous!J$149, FALSE), VLOOKUP('Staging Table'!$A130, LS_previous!$B$4:$AY$138,LS_previous!AH$149, FALSE))/2)</f>
        <v>-768.48932793250424</v>
      </c>
      <c r="S130" s="382">
        <f t="array" ref="S130">IF($G130=0, INDEX(LS_previous!$D$4:$AY$138, MATCH('Staging Table'!$A130, LS_previous!$B$4:$B$138, 0), MATCH(S$4&amp;S$5, LS_previous!$D$2:$AY$2&amp;LS_previous!$D$3:$AY$3, 0)),SUM(VLOOKUP($A130, LS_previous!$B$4:$AY$138, LS_previous!K$149, FALSE), VLOOKUP('Staging Table'!$A130, LS_previous!$B$4:$AY$138,LS_previous!AI$149, FALSE))/2)</f>
        <v>6716.867623874281</v>
      </c>
      <c r="T130" s="382">
        <f t="array" ref="T130">IF($G130=0, INDEX(LS_previous!$D$4:$AY$138, MATCH('Staging Table'!$A130, LS_previous!$B$4:$B$138, 0), MATCH(T$4&amp;T$5, LS_previous!$D$2:$AY$2&amp;LS_previous!$D$3:$AY$3, 0)),SUM(VLOOKUP($A130, LS_previous!$B$4:$AY$138, LS_previous!L$149, FALSE), VLOOKUP('Staging Table'!$A130, LS_previous!$B$4:$AY$138,LS_previous!AJ$149, FALSE))/2)</f>
        <v>-1746.5145203116335</v>
      </c>
      <c r="U130" s="382">
        <f t="array" ref="U130">IF($G130=0, INDEX(LS_previous!$D$4:$AY$138, MATCH('Staging Table'!$A130, LS_previous!$B$4:$B$138, 0), MATCH(U$4&amp;U$5, LS_previous!$D$2:$AY$2&amp;LS_previous!$D$3:$AY$3, 0)),SUM(VLOOKUP($A130, LS_previous!$B$4:$AY$138, LS_previous!M$149, FALSE), VLOOKUP('Staging Table'!$A130, LS_previous!$B$4:$AY$138,LS_previous!AK$149, FALSE))/2)</f>
        <v>5014.516745887704</v>
      </c>
      <c r="V130" s="382">
        <f t="array" ref="V130">IF($G130=0, INDEX(LS_previous!$D$4:$AY$138, MATCH('Staging Table'!$A130, LS_previous!$B$4:$B$138, 0), MATCH(V$4&amp;V$5, LS_previous!$D$2:$AY$2&amp;LS_previous!$D$3:$AY$3, 0)),SUM(VLOOKUP($A130, LS_previous!$B$4:$AY$138, LS_previous!N$149, FALSE), VLOOKUP('Staging Table'!$A130, LS_previous!$B$4:$AY$138,LS_previous!AL$149, FALSE))/2)</f>
        <v>-4508.8340653550113</v>
      </c>
      <c r="W130" s="382">
        <f t="array" ref="W130">IF($G130=0, INDEX(LS_previous!$D$4:$AY$138, MATCH('Staging Table'!$A130, LS_previous!$B$4:$B$138, 0), MATCH(W$4&amp;W$5, LS_previous!$D$2:$AY$2&amp;LS_previous!$D$3:$AY$3, 0)),SUM(VLOOKUP($A130, LS_previous!$B$4:$AY$138, LS_previous!O$149, FALSE), VLOOKUP('Staging Table'!$A130, LS_previous!$B$4:$AY$138,LS_previous!AM$149, FALSE))/2)</f>
        <v>2156.1557915496742</v>
      </c>
      <c r="X130" s="382">
        <f t="array" ref="X130">IF($G130=0, INDEX(LS_previous!$D$4:$AY$138, MATCH('Staging Table'!$A130, LS_previous!$B$4:$B$138, 0), MATCH(X$4&amp;X$5, LS_previous!$D$2:$AY$2&amp;LS_previous!$D$3:$AY$3, 0)),SUM(VLOOKUP($A130, LS_previous!$B$4:$AY$138, LS_previous!P$149, FALSE), VLOOKUP('Staging Table'!$A130, LS_previous!$B$4:$AY$138,LS_previous!AN$149, FALSE))/2)</f>
        <v>-3195.977807440071</v>
      </c>
      <c r="Y130" s="382">
        <f t="array" ref="Y130">IF($G130=0, INDEX(LS_previous!$D$4:$AY$138, MATCH('Staging Table'!$A130, LS_previous!$B$4:$B$138, 0), MATCH(Y$4&amp;Y$5, LS_previous!$D$2:$AY$2&amp;LS_previous!$D$3:$AY$3, 0)),SUM(VLOOKUP($A130, LS_previous!$B$4:$AY$138, LS_previous!Q$149, FALSE), VLOOKUP('Staging Table'!$A130, LS_previous!$B$4:$AY$138,LS_previous!AO$149, FALSE))/2)</f>
        <v>4702.9573836104501</v>
      </c>
      <c r="Z130" s="382">
        <f t="array" ref="Z130">IF($G130=0, INDEX(LS_previous!$D$4:$AY$138, MATCH('Staging Table'!$A130, LS_previous!$B$4:$B$138, 0), MATCH(Z$4&amp;Z$5, LS_previous!$D$2:$AY$2&amp;LS_previous!$D$3:$AY$3, 0)),SUM(VLOOKUP($A130, LS_previous!$B$4:$AY$138, LS_previous!R$149, FALSE), VLOOKUP('Staging Table'!$A130, LS_previous!$B$4:$AY$138,LS_previous!AP$149, FALSE))/2)</f>
        <v>-28877.566761530044</v>
      </c>
      <c r="AA130" s="382">
        <f t="array" ref="AA130">IF($G130=0, INDEX(LS_previous!$D$4:$AY$138, MATCH('Staging Table'!$A130, LS_previous!$B$4:$B$138, 0), MATCH(AA$4&amp;AA$5, LS_previous!$D$2:$AY$2&amp;LS_previous!$D$3:$AY$3, 0)),SUM(VLOOKUP($A130, LS_previous!$B$4:$AY$138, LS_previous!S$149, FALSE), VLOOKUP('Staging Table'!$A130, LS_previous!$B$4:$AY$138,LS_previous!AQ$149, FALSE))/2)</f>
        <v>-8540.0905167006058</v>
      </c>
      <c r="AB130" s="382">
        <f t="array" ref="AB130">IF($G130=0, INDEX(LS_previous!$D$4:$AY$138, MATCH('Staging Table'!$A130, LS_previous!$B$4:$B$138, 0), MATCH(AB$4&amp;AB$5, LS_previous!$D$2:$AY$2&amp;LS_previous!$D$3:$AY$3, 0)),SUM(VLOOKUP($A130, LS_previous!$B$4:$AY$138, LS_previous!T$149, FALSE), VLOOKUP('Staging Table'!$A130, LS_previous!$B$4:$AY$138,LS_previous!AR$149, FALSE))/2)</f>
        <v>-9783.5590687360454</v>
      </c>
      <c r="AC130" s="382">
        <f t="array" ref="AC130">IF($G130=0, INDEX(LS_previous!$D$4:$AY$138, MATCH('Staging Table'!$A130, LS_previous!$B$4:$B$138, 0), MATCH(AC$4&amp;AC$5, LS_previous!$D$2:$AY$2&amp;LS_previous!$D$3:$AY$3, 0)),SUM(VLOOKUP($A130, LS_previous!$B$4:$AY$138, LS_previous!U$149, FALSE), VLOOKUP('Staging Table'!$A130, LS_previous!$B$4:$AY$138,LS_previous!AS$149, FALSE))/2)</f>
        <v>674.97359717719883</v>
      </c>
      <c r="AD130" s="382">
        <f t="array" ref="AD130">IF($G130=0, INDEX(LS_previous!$D$4:$AY$138, MATCH('Staging Table'!$A130, LS_previous!$B$4:$B$138, 0), MATCH(AD$4&amp;AD$5, LS_previous!$D$2:$AY$2&amp;LS_previous!$D$3:$AY$3, 0)),SUM(VLOOKUP($A130, LS_previous!$B$4:$AY$138, LS_previous!V$149, FALSE), VLOOKUP('Staging Table'!$A130, LS_previous!$B$4:$AY$138,LS_previous!AT$149, FALSE))/2)</f>
        <v>-6854.5625267010037</v>
      </c>
      <c r="AE130" s="382">
        <f t="array" ref="AE130">IF($G130=0, INDEX(LS_previous!$D$4:$AY$138, MATCH('Staging Table'!$A130, LS_previous!$B$4:$B$138, 0), MATCH(AE$4&amp;AE$5, LS_previous!$D$2:$AY$2&amp;LS_previous!$D$3:$AY$3, 0)),SUM(VLOOKUP($A130, LS_previous!$B$4:$AY$138, LS_previous!W$149, FALSE), VLOOKUP('Staging Table'!$A130, LS_previous!$B$4:$AY$138,LS_previous!AU$149, FALSE))/2)</f>
        <v>8158.7728829769549</v>
      </c>
      <c r="AF130" s="382">
        <f t="array" ref="AF130">IF($G130=0, INDEX(LS_previous!$D$4:$AY$138, MATCH('Staging Table'!$A130, LS_previous!$B$4:$B$138, 0), MATCH(AF$4&amp;AF$5, LS_previous!$D$2:$AY$2&amp;LS_previous!$D$3:$AY$3, 0)),SUM(VLOOKUP($A130, LS_previous!$B$4:$AY$138, LS_previous!X$149, FALSE), VLOOKUP('Staging Table'!$A130, LS_previous!$B$4:$AY$138,LS_previous!AV$149, FALSE))/2)</f>
        <v>-7227.0104274711994</v>
      </c>
      <c r="AG130" s="382">
        <f t="array" ref="AG130">IF($G130=0, INDEX(LS_previous!$D$4:$AY$138, MATCH('Staging Table'!$A130, LS_previous!$B$4:$B$138, 0), MATCH(AG$4&amp;AG$5, LS_previous!$D$2:$AY$2&amp;LS_previous!$D$3:$AY$3, 0)),SUM(VLOOKUP($A130, LS_previous!$B$4:$AY$138, LS_previous!Y$149, FALSE), VLOOKUP('Staging Table'!$A130, LS_previous!$B$4:$AY$138,LS_previous!AW$149, FALSE))/2)</f>
        <v>4641.5592570315384</v>
      </c>
      <c r="AH130" s="382">
        <f t="array" ref="AH130">IF($G130=0, INDEX(LS_previous!$D$4:$AY$138, MATCH('Staging Table'!$A130, LS_previous!$B$4:$B$138, 0), MATCH(AH$4&amp;AH$5, LS_previous!$D$2:$AY$2&amp;LS_previous!$D$3:$AY$3, 0)),SUM(VLOOKUP($A130, LS_previous!$B$4:$AY$138, LS_previous!Z$149, FALSE), VLOOKUP('Staging Table'!$A130, LS_previous!$B$4:$AY$138,LS_previous!AX$149, FALSE))/2)</f>
        <v>-2689.4920639303309</v>
      </c>
      <c r="AI130" s="382">
        <f t="array" ref="AI130">IF($G130=0, INDEX(LS_previous!$D$4:$AY$138, MATCH('Staging Table'!$A130, LS_previous!$B$4:$B$138, 0), MATCH(AI$4&amp;AI$5, LS_previous!$D$2:$AY$2&amp;LS_previous!$D$3:$AY$3, 0)),SUM(VLOOKUP($A130, LS_previous!$B$4:$AY$138, LS_previous!AA$149, FALSE), VLOOKUP('Staging Table'!$A130, LS_previous!$B$4:$AY$138,LS_previous!AY$149, FALSE))/2)</f>
        <v>7044.114088940496</v>
      </c>
      <c r="AJ130" s="384">
        <f t="array" ref="AJ130">INDEX(Demand_previous!$D$4:$AY$138, MATCH('Staging Table'!$A130, Demand_previous!$B$4:$B$138, 0), MATCH(AJ$4&amp;AJ$5,Demand_previous!$D$2:$AY$2&amp;Demand_previous!$D$3:$AY$3, 0))/1000</f>
        <v>8.4282546296296381</v>
      </c>
      <c r="AK130" s="384">
        <f t="array" ref="AK130">INDEX(Demand_previous!$D$4:$AY$138, MATCH('Staging Table'!$A130, Demand_previous!$B$4:$B$138, 0), MATCH(AK$4&amp;AK$5,Demand_previous!$D$2:$AY$2&amp;Demand_previous!$D$3:$AY$3, 0))/1000</f>
        <v>4.5754192708333292</v>
      </c>
      <c r="AL130" s="384">
        <f t="array" ref="AL130">INDEX(Demand_previous!$D$4:$AY$138, MATCH('Staging Table'!$A130, Demand_previous!$B$4:$B$138, 0), MATCH(AL$4&amp;AL$5,Demand_previous!$D$2:$AY$2&amp;Demand_previous!$D$3:$AY$3, 0))/1000</f>
        <v>14.887262019230766</v>
      </c>
      <c r="AM130" s="384">
        <f t="array" ref="AM130">INDEX(Demand_previous!$D$4:$AY$138, MATCH('Staging Table'!$A130, Demand_previous!$B$4:$B$138, 0), MATCH(AM$4&amp;AM$5,Demand_previous!$D$2:$AY$2&amp;Demand_previous!$D$3:$AY$3, 0))/1000</f>
        <v>6.182172499999993</v>
      </c>
      <c r="AN130" s="384">
        <f t="array" ref="AN130">INDEX(Demand_previous!$D$4:$AY$138, MATCH('Staging Table'!$A130, Demand_previous!$B$4:$B$138, 0), MATCH(AN$4&amp;AN$5,Demand_previous!$D$2:$AY$2&amp;Demand_previous!$D$3:$AY$3, 0))/1000</f>
        <v>10.227819999999998</v>
      </c>
      <c r="AO130" s="384">
        <f t="array" ref="AO130">INDEX(Demand_previous!$D$4:$AY$138, MATCH('Staging Table'!$A130, Demand_previous!$B$4:$B$138, 0), MATCH(AO$4&amp;AO$5,Demand_previous!$D$2:$AY$2&amp;Demand_previous!$D$3:$AY$3, 0))/1000</f>
        <v>8.5675416666666724</v>
      </c>
      <c r="AP130" s="384">
        <f t="array" ref="AP130">INDEX(Demand_previous!$D$4:$AY$138, MATCH('Staging Table'!$A130, Demand_previous!$B$4:$B$138, 0), MATCH(AP$4&amp;AP$5,Demand_previous!$D$2:$AY$2&amp;Demand_previous!$D$3:$AY$3, 0))/1000</f>
        <v>9.6039879807692223</v>
      </c>
      <c r="AQ130" s="384">
        <f t="array" ref="AQ130">INDEX(Demand_previous!$D$4:$AY$138, MATCH('Staging Table'!$A130, Demand_previous!$B$4:$B$138, 0), MATCH(AQ$4&amp;AQ$5,Demand_previous!$D$2:$AY$2&amp;Demand_previous!$D$3:$AY$3, 0))/1000</f>
        <v>1.6476074999999959</v>
      </c>
      <c r="AR130" s="384">
        <f t="array" ref="AR130">INDEX(Demand_previous!$D$4:$AY$138, MATCH('Staging Table'!$A130, Demand_previous!$B$4:$B$138, 0), MATCH(AR$4&amp;AR$5,Demand_previous!$D$2:$AY$2&amp;Demand_previous!$D$3:$AY$3, 0))/1000</f>
        <v>8.190259615384603</v>
      </c>
      <c r="AS130" s="384">
        <f t="array" ref="AS130">INDEX(Demand_previous!$D$4:$AY$138, MATCH('Staging Table'!$A130, Demand_previous!$B$4:$B$138, 0), MATCH(AS$4&amp;AS$5,Demand_previous!$D$2:$AY$2&amp;Demand_previous!$D$3:$AY$3, 0))/1000</f>
        <v>7.9159324999999976</v>
      </c>
      <c r="AT130" s="384">
        <f t="array" ref="AT130">INDEX(Demand_previous!$D$4:$AY$138, MATCH('Staging Table'!$A130, Demand_previous!$B$4:$B$138, 0), MATCH(AT$4&amp;AT$5,Demand_previous!$D$2:$AY$2&amp;Demand_previous!$D$3:$AY$3, 0))/1000</f>
        <v>8.2326458333333363</v>
      </c>
      <c r="AU130" s="384">
        <f t="array" ref="AU130">INDEX(Demand_previous!$D$4:$AY$138, MATCH('Staging Table'!$A130, Demand_previous!$B$4:$B$138, 0), MATCH(AU$4&amp;AU$5,Demand_previous!$D$2:$AY$2&amp;Demand_previous!$D$3:$AY$3, 0))/1000</f>
        <v>11.627459999999997</v>
      </c>
      <c r="AV130" s="384">
        <f>IF($D130=0,IF(C130=0, MAX(AY130 - (VLOOKUP($A130,TOCA_previous!$A$2:$AI$137,MATCH("RHWM 2016",TOCA_previous!$A$2:$AI$2,0),FALSE)*$F$2*TOCA_previous!C127),0),0), 0)</f>
        <v>0</v>
      </c>
      <c r="AW130" s="427">
        <f>VLOOKUP($A130,REP_previous!$A$1:$D$135,MATCH("FY "&amp;$F$1&amp; " Total Refund",REP_previous!$A$1:$D$1,0),0)</f>
        <v>918981.56267534569</v>
      </c>
      <c r="AX130" s="398">
        <f>MIN(VLOOKUP($A130,TOCA_previous!$A$2:$AI$137,MATCH("TRL - NLSL - Exisiting Resource "&amp;$F$1,TOCA_previous!$A$2:$AI$2,0),FALSE)*$F$2,(VLOOKUP($A130,TOCA_previous!$A$2:$AI$137,MATCH("RHWM 2016",TOCA_previous!$A$2:$AI$2,0),FALSE)*$F$2))</f>
        <v>833048.20799999998</v>
      </c>
      <c r="AY130" s="384">
        <f>SUM(L130:AI130)+(F130*RT1SC!$C$3*$F$2)</f>
        <v>780259.72396084666</v>
      </c>
      <c r="AZ130" s="398">
        <f>VLOOKUP($A130,TOCA_previous!$A$2:$AI$137,MATCH("Above RHWM Not Served with LS "&amp;$F$1,TOCA_previous!$A$2:$AI$2,0),FALSE)*$F$2</f>
        <v>43779.455999999998</v>
      </c>
      <c r="BA130" s="206">
        <f t="shared" si="19"/>
        <v>-52788.484039153322</v>
      </c>
      <c r="BB130" s="399">
        <f>(VLOOKUP($A130,TOCA_previous!$A$2:$AI$137,MATCH("RHWM 2016",TOCA_previous!$A$2:$AI$2,0),FALSE)*$F$2) - $AX130</f>
        <v>0</v>
      </c>
      <c r="BC130" s="206">
        <f t="shared" si="20"/>
        <v>0</v>
      </c>
      <c r="BD130" s="400">
        <f t="shared" si="21"/>
        <v>9009.0280391533233</v>
      </c>
      <c r="BE130" s="392">
        <f t="shared" si="22"/>
        <v>0</v>
      </c>
      <c r="BF130" s="399">
        <f t="shared" si="23"/>
        <v>9009.0280391533233</v>
      </c>
      <c r="BG130" s="206">
        <f>VLOOKUP($A130,TOCA_current!$A$2:$AI$137,MATCH(BG$4,TOCA_current!$A$2:$AI$2,0),FALSE)</f>
        <v>1.35689E-2</v>
      </c>
      <c r="BH130" s="206">
        <f>VLOOKUP($A130,TOCA_current!$A$2:$AI$137,MATCH(BH$4,TOCA_current!$A$2:$AI$2,0),FALSE)</f>
        <v>1.35689E-2</v>
      </c>
      <c r="BI130" s="391">
        <f t="shared" si="24"/>
        <v>0</v>
      </c>
      <c r="BJ130" s="206">
        <f>VLOOKUP($A130,TOCA_current!A126:BG261,MATCH(BJ$4,TOCA_current!$A$2:$BG$2,0),FALSE)</f>
        <v>6.1503279071248175E-2</v>
      </c>
      <c r="BK130" s="206">
        <f t="shared" si="25"/>
        <v>0</v>
      </c>
      <c r="BL130" s="206">
        <f t="shared" si="26"/>
        <v>0</v>
      </c>
      <c r="BM130" s="381">
        <f>VLOOKUP($A130,IRD!$A$4:$G$139, 7, FALSE)</f>
        <v>7171.34</v>
      </c>
      <c r="BN130" s="382">
        <f t="array" ref="BN130">IF($BI130=0, INDEX(LS_current!$D$4:$AY$139, MATCH('Staging Table'!$A130, LS_current!$B$4:$B$139, 0), MATCH(BN$4&amp;BN$5, LS_current!$D$2:$AY$2&amp;LS_current!$D$3:$AY$3, 0)),SUM(VLOOKUP($A130, LS_current!$B$4:$AY$139, LS_current!D$149, FALSE), VLOOKUP($A130, LS_current!$B$4:$AY$139,LS_current!D$149, FALSE))/2)</f>
        <v>-4435.2660869747415</v>
      </c>
      <c r="BO130" s="382">
        <f t="array" ref="BO130">IF($BI130=0, INDEX(LS_current!$D$4:$AY$139, MATCH('Staging Table'!$A130, LS_current!$B$4:$B$139, 0), MATCH(BO$4&amp;BO$5, LS_current!$D$2:$AY$2&amp;LS_current!$D$3:$AY$3, 0)),SUM(VLOOKUP($A130, LS_current!$B$4:$AY$139, LS_current!E$149, FALSE), VLOOKUP($A130, LS_current!$B$4:$AY$139,LS_current!E$149, FALSE))/2)</f>
        <v>7124.4893728878596</v>
      </c>
      <c r="BP130" s="382">
        <f t="array" ref="BP130">IF($BI130=0, INDEX(LS_current!$D$4:$AY$139, MATCH('Staging Table'!$A130, LS_current!$B$4:$B$139, 0), MATCH(BP$4&amp;BP$5, LS_current!$D$2:$AY$2&amp;LS_current!$D$3:$AY$3, 0)),SUM(VLOOKUP($A130, LS_current!$B$4:$AY$139, LS_current!F$149, FALSE), VLOOKUP($A130, LS_current!$B$4:$AY$139,LS_current!F$149, FALSE))/2)</f>
        <v>-12644.717899756208</v>
      </c>
      <c r="BQ130" s="382">
        <f t="array" ref="BQ130">IF($BI130=0, INDEX(LS_current!$D$4:$AY$139, MATCH('Staging Table'!$A130, LS_current!$B$4:$B$139, 0), MATCH(BQ$4&amp;BQ$5, LS_current!$D$2:$AY$2&amp;LS_current!$D$3:$AY$3, 0)),SUM(VLOOKUP($A130, LS_current!$B$4:$AY$139, LS_current!G$149, FALSE), VLOOKUP($A130, LS_current!$B$4:$AY$139,LS_current!G$149, FALSE))/2)</f>
        <v>1167.0832535810732</v>
      </c>
      <c r="BR130" s="382">
        <f t="array" ref="BR130">IF($BI130=0, INDEX(LS_current!$D$4:$AY$139, MATCH('Staging Table'!$A130, LS_current!$B$4:$B$139, 0), MATCH(BR$4&amp;BR$5, LS_current!$D$2:$AY$2&amp;LS_current!$D$3:$AY$3, 0)),SUM(VLOOKUP($A130, LS_current!$B$4:$AY$139, LS_current!H$149, FALSE), VLOOKUP($A130, LS_current!$B$4:$AY$139,LS_current!H$149, FALSE))/2)</f>
        <v>-9335.7241906003401</v>
      </c>
      <c r="BS130" s="382">
        <f t="array" ref="BS130">IF($BI130=0, INDEX(LS_current!$D$4:$AY$139, MATCH('Staging Table'!$A130, LS_current!$B$4:$B$139, 0), MATCH(BS$4&amp;BS$5, LS_current!$D$2:$AY$2&amp;LS_current!$D$3:$AY$3, 0)),SUM(VLOOKUP($A130, LS_current!$B$4:$AY$139, LS_current!I$149, FALSE), VLOOKUP($A130, LS_current!$B$4:$AY$139,LS_current!I$149, FALSE))/2)</f>
        <v>4805.3307954150951</v>
      </c>
      <c r="BT130" s="382">
        <f t="array" ref="BT130">IF($BI130=0, INDEX(LS_current!$D$4:$AY$139, MATCH('Staging Table'!$A130, LS_current!$B$4:$B$139, 0), MATCH(BT$4&amp;BT$5, LS_current!$D$2:$AY$2&amp;LS_current!$D$3:$AY$3, 0)),SUM(VLOOKUP($A130, LS_current!$B$4:$AY$139, LS_current!J$149, FALSE), VLOOKUP($A130, LS_current!$B$4:$AY$139,LS_current!J$149, FALSE))/2)</f>
        <v>-179.52564927632193</v>
      </c>
      <c r="BU130" s="382">
        <f t="array" ref="BU130">IF($BI130=0, INDEX(LS_current!$D$4:$AY$139, MATCH('Staging Table'!$A130, LS_current!$B$4:$B$139, 0), MATCH(BU$4&amp;BU$5, LS_current!$D$2:$AY$2&amp;LS_current!$D$3:$AY$3, 0)),SUM(VLOOKUP($A130, LS_current!$B$4:$AY$139, LS_current!K$149, FALSE), VLOOKUP($A130, LS_current!$B$4:$AY$139,LS_current!K$149, FALSE))/2)</f>
        <v>7581.3905651718014</v>
      </c>
      <c r="BV130" s="382">
        <f t="array" ref="BV130">IF($BI130=0, INDEX(LS_current!$D$4:$AY$139, MATCH('Staging Table'!$A130, LS_current!$B$4:$B$139, 0), MATCH(BV$4&amp;BV$5, LS_current!$D$2:$AY$2&amp;LS_current!$D$3:$AY$3, 0)),SUM(VLOOKUP($A130, LS_current!$B$4:$AY$139, LS_current!L$149, FALSE), VLOOKUP($A130, LS_current!$B$4:$AY$139,LS_current!L$149, FALSE))/2)</f>
        <v>2191.3574597386178</v>
      </c>
      <c r="BW130" s="382">
        <f t="array" ref="BW130">IF($BI130=0, INDEX(LS_current!$D$4:$AY$139, MATCH('Staging Table'!$A130, LS_current!$B$4:$B$139, 0), MATCH(BW$4&amp;BW$5, LS_current!$D$2:$AY$2&amp;LS_current!$D$3:$AY$3, 0)),SUM(VLOOKUP($A130, LS_current!$B$4:$AY$139, LS_current!M$149, FALSE), VLOOKUP($A130, LS_current!$B$4:$AY$139,LS_current!M$149, FALSE))/2)</f>
        <v>8046.6506145641652</v>
      </c>
      <c r="BX130" s="382">
        <f t="array" ref="BX130">IF($BI130=0, INDEX(LS_current!$D$4:$AY$139, MATCH('Staging Table'!$A130, LS_current!$B$4:$B$139, 0), MATCH(BX$4&amp;BX$5, LS_current!$D$2:$AY$2&amp;LS_current!$D$3:$AY$3, 0)),SUM(VLOOKUP($A130, LS_current!$B$4:$AY$139, LS_current!N$149, FALSE), VLOOKUP($A130, LS_current!$B$4:$AY$139,LS_current!N$149, FALSE))/2)</f>
        <v>-1145.2528975050227</v>
      </c>
      <c r="BY130" s="382">
        <f t="array" ref="BY130">IF($BI130=0, INDEX(LS_current!$D$4:$AY$139, MATCH('Staging Table'!$A130, LS_current!$B$4:$B$139, 0), MATCH(BY$4&amp;BY$5, LS_current!$D$2:$AY$2&amp;LS_current!$D$3:$AY$3, 0)),SUM(VLOOKUP($A130, LS_current!$B$4:$AY$139, LS_current!O$149, FALSE), VLOOKUP($A130, LS_current!$B$4:$AY$139,LS_current!O$149, FALSE))/2)</f>
        <v>5446.0579867834458</v>
      </c>
      <c r="BZ130" s="382">
        <f t="array" ref="BZ130">IF($BI130=0, INDEX(LS_current!$D$4:$AY$139, MATCH('Staging Table'!$A130, LS_current!$B$4:$B$139, 0), MATCH(BZ$4&amp;BZ$5, LS_current!$D$2:$AY$2&amp;LS_current!$D$3:$AY$3, 0)),SUM(VLOOKUP($A130, LS_current!$B$4:$AY$139, LS_current!P$149, FALSE), VLOOKUP($A130, LS_current!$B$4:$AY$139,LS_current!P$149, FALSE))/2)</f>
        <v>-6161.2292553155785</v>
      </c>
      <c r="CA130" s="382">
        <f t="array" ref="CA130">IF($BI130=0, INDEX(LS_current!$D$4:$AY$139, MATCH('Staging Table'!$A130, LS_current!$B$4:$B$139, 0), MATCH(CA$4&amp;CA$5, LS_current!$D$2:$AY$2&amp;LS_current!$D$3:$AY$3, 0)),SUM(VLOOKUP($A130, LS_current!$B$4:$AY$139, LS_current!Q$149, FALSE), VLOOKUP($A130, LS_current!$B$4:$AY$139,LS_current!Q$149, FALSE))/2)</f>
        <v>5183.9942017043832</v>
      </c>
      <c r="CB130" s="382">
        <f t="array" ref="CB130">IF($BI130=0, INDEX(LS_current!$D$4:$AY$139, MATCH('Staging Table'!$A130, LS_current!$B$4:$B$139, 0), MATCH(CB$4&amp;CB$5, LS_current!$D$2:$AY$2&amp;LS_current!$D$3:$AY$3, 0)),SUM(VLOOKUP($A130, LS_current!$B$4:$AY$139, LS_current!R$149, FALSE), VLOOKUP($A130, LS_current!$B$4:$AY$139,LS_current!R$149, FALSE))/2)</f>
        <v>-27302.335094331949</v>
      </c>
      <c r="CC130" s="382">
        <f t="array" ref="CC130">IF($BI130=0, INDEX(LS_current!$D$4:$AY$139, MATCH('Staging Table'!$A130, LS_current!$B$4:$B$139, 0), MATCH(CC$4&amp;CC$5, LS_current!$D$2:$AY$2&amp;LS_current!$D$3:$AY$3, 0)),SUM(VLOOKUP($A130, LS_current!$B$4:$AY$139, LS_current!S$149, FALSE), VLOOKUP($A130, LS_current!$B$4:$AY$139,LS_current!S$149, FALSE))/2)</f>
        <v>-8076.2677780489576</v>
      </c>
      <c r="CD130" s="382">
        <f t="array" ref="CD130">IF($BI130=0, INDEX(LS_current!$D$4:$AY$139, MATCH('Staging Table'!$A130, LS_current!$B$4:$B$139, 0), MATCH(CD$4&amp;CD$5, LS_current!$D$2:$AY$2&amp;LS_current!$D$3:$AY$3, 0)),SUM(VLOOKUP($A130, LS_current!$B$4:$AY$139, LS_current!T$149, FALSE), VLOOKUP($A130, LS_current!$B$4:$AY$139,LS_current!T$149, FALSE))/2)</f>
        <v>-8429.9362051257194</v>
      </c>
      <c r="CE130" s="382">
        <f t="array" ref="CE130">IF($BI130=0, INDEX(LS_current!$D$4:$AY$139, MATCH('Staging Table'!$A130, LS_current!$B$4:$B$139, 0), MATCH(CE$4&amp;CE$5, LS_current!$D$2:$AY$2&amp;LS_current!$D$3:$AY$3, 0)),SUM(VLOOKUP($A130, LS_current!$B$4:$AY$139, LS_current!U$149, FALSE), VLOOKUP($A130, LS_current!$B$4:$AY$139,LS_current!U$149, FALSE))/2)</f>
        <v>3375.9073545351312</v>
      </c>
      <c r="CF130" s="382">
        <f t="array" ref="CF130">IF($BI130=0, INDEX(LS_current!$D$4:$AY$139, MATCH('Staging Table'!$A130, LS_current!$B$4:$B$139, 0), MATCH(CF$4&amp;CF$5, LS_current!$D$2:$AY$2&amp;LS_current!$D$3:$AY$3, 0)),SUM(VLOOKUP($A130, LS_current!$B$4:$AY$139, LS_current!V$149, FALSE), VLOOKUP($A130, LS_current!$B$4:$AY$139,LS_current!V$149, FALSE))/2)</f>
        <v>-3094.1982504690604</v>
      </c>
      <c r="CG130" s="382">
        <f t="array" ref="CG130">IF($BI130=0, INDEX(LS_current!$D$4:$AY$139, MATCH('Staging Table'!$A130, LS_current!$B$4:$B$139, 0), MATCH(CG$4&amp;CG$5, LS_current!$D$2:$AY$2&amp;LS_current!$D$3:$AY$3, 0)),SUM(VLOOKUP($A130, LS_current!$B$4:$AY$139, LS_current!W$149, FALSE), VLOOKUP($A130, LS_current!$B$4:$AY$139,LS_current!W$149, FALSE))/2)</f>
        <v>10739.538402713886</v>
      </c>
      <c r="CH130" s="382">
        <f t="array" ref="CH130">IF($BI130=0, INDEX(LS_current!$D$4:$AY$139, MATCH('Staging Table'!$A130, LS_current!$B$4:$B$139, 0), MATCH(CH$4&amp;CH$5, LS_current!$D$2:$AY$2&amp;LS_current!$D$3:$AY$3, 0)),SUM(VLOOKUP($A130, LS_current!$B$4:$AY$139, LS_current!X$149, FALSE), VLOOKUP($A130, LS_current!$B$4:$AY$139,LS_current!X$149, FALSE))/2)</f>
        <v>-5815.3314969801067</v>
      </c>
      <c r="CI130" s="382">
        <f t="array" ref="CI130">IF($BI130=0, INDEX(LS_current!$D$4:$AY$139, MATCH('Staging Table'!$A130, LS_current!$B$4:$B$139, 0), MATCH(CI$4&amp;CI$5, LS_current!$D$2:$AY$2&amp;LS_current!$D$3:$AY$3, 0)),SUM(VLOOKUP($A130, LS_current!$B$4:$AY$139, LS_current!Y$149, FALSE), VLOOKUP($A130, LS_current!$B$4:$AY$139,LS_current!Y$149, FALSE))/2)</f>
        <v>6235.7245234082729</v>
      </c>
      <c r="CJ130" s="382">
        <f t="array" ref="CJ130">IF($BI130=0, INDEX(LS_current!$D$4:$AY$139, MATCH('Staging Table'!$A130, LS_current!$B$4:$B$139, 0), MATCH(CJ$4&amp;CJ$5, LS_current!$D$2:$AY$2&amp;LS_current!$D$3:$AY$3, 0)),SUM(VLOOKUP($A130, LS_current!$B$4:$AY$139, LS_current!Z$149, FALSE), VLOOKUP($A130, LS_current!$B$4:$AY$139,LS_current!Z$149, FALSE))/2)</f>
        <v>-5342.7529290431921</v>
      </c>
      <c r="CK130" s="382">
        <f t="array" ref="CK130">IF($BI130=0, INDEX(LS_current!$D$4:$AY$139, MATCH('Staging Table'!$A130, LS_current!$B$4:$B$139, 0), MATCH(CK$4&amp;CK$5, LS_current!$D$2:$AY$2&amp;LS_current!$D$3:$AY$3, 0)),SUM(VLOOKUP($A130, LS_current!$B$4:$AY$139, LS_current!AA$149, FALSE), VLOOKUP($A130, LS_current!$B$4:$AY$139,LS_current!AA$149, FALSE))/2)</f>
        <v>7932.6962549516429</v>
      </c>
      <c r="CL130" s="384">
        <f t="array" ref="CL130">INDEX(Demand_current!$D$4:$AY$138, MATCH($A130, Demand_current!$B$4:$B$138, 0), MATCH(CL$4&amp;CL$5,Demand_current!$D$2:$AY$2&amp;Demand_current!$D$3:$AY$3, 0))/1000</f>
        <v>5.0514951923076863</v>
      </c>
      <c r="CM130" s="384">
        <f t="array" ref="CM130">INDEX(Demand_current!$D$4:$AY$138, MATCH($A130, Demand_current!$B$4:$B$138, 0), MATCH(CM$4&amp;CM$5,Demand_current!$D$2:$AY$2&amp;Demand_current!$D$3:$AY$3, 0))/1000</f>
        <v>8.5178024999999948</v>
      </c>
      <c r="CN130" s="384">
        <f t="array" ref="CN130">INDEX(Demand_current!$D$4:$AY$138, MATCH($A130, Demand_current!$B$4:$B$138, 0), MATCH(CN$4&amp;CN$5,Demand_current!$D$2:$AY$2&amp;Demand_current!$D$3:$AY$3, 0))/1000</f>
        <v>11.040672499999989</v>
      </c>
      <c r="CO130" s="384">
        <f t="array" ref="CO130">INDEX(Demand_current!$D$4:$AY$138, MATCH($A130, Demand_current!$B$4:$B$138, 0), MATCH(CO$4&amp;CO$5,Demand_current!$D$2:$AY$2&amp;Demand_current!$D$3:$AY$3, 0))/1000</f>
        <v>10.202512019230765</v>
      </c>
      <c r="CP130" s="384">
        <f t="array" ref="CP130">INDEX(Demand_current!$D$4:$AY$138, MATCH($A130, Demand_current!$B$4:$B$138, 0), MATCH(CP$4&amp;CP$5,Demand_current!$D$2:$AY$2&amp;Demand_current!$D$3:$AY$3, 0))/1000</f>
        <v>6.3245208333333425</v>
      </c>
      <c r="CQ130" s="384">
        <f t="array" ref="CQ130">INDEX(Demand_current!$D$4:$AY$138, MATCH($A130, Demand_current!$B$4:$B$138, 0), MATCH(CQ$4&amp;CQ$5,Demand_current!$D$2:$AY$2&amp;Demand_current!$D$3:$AY$3, 0))/1000</f>
        <v>8.5675416666666724</v>
      </c>
      <c r="CR130" s="384">
        <f t="array" ref="CR130">INDEX(Demand_current!$D$4:$AY$138, MATCH($A130, Demand_current!$B$4:$B$138, 0), MATCH(CR$4&amp;CR$5,Demand_current!$D$2:$AY$2&amp;Demand_current!$D$3:$AY$3, 0))/1000</f>
        <v>6.2764275000000023</v>
      </c>
      <c r="CS130" s="384">
        <f t="array" ref="CS130">INDEX(Demand_current!$D$4:$AY$138, MATCH($A130, Demand_current!$B$4:$B$138, 0), MATCH(CS$4&amp;CS$5,Demand_current!$D$2:$AY$2&amp;Demand_current!$D$3:$AY$3, 0))/1000</f>
        <v>4.685622596153852</v>
      </c>
      <c r="CT130" s="384">
        <f t="array" ref="CT130">INDEX(Demand_current!$D$4:$AY$138, MATCH($A130, Demand_current!$B$4:$B$138, 0), MATCH(CT$4&amp;CT$5,Demand_current!$D$2:$AY$2&amp;Demand_current!$D$3:$AY$3, 0))/1000</f>
        <v>8.190259615384603</v>
      </c>
      <c r="CU130" s="384">
        <f t="array" ref="CU130">INDEX(Demand_current!$D$4:$AY$138, MATCH($A130, Demand_current!$B$4:$B$138, 0), MATCH(CU$4&amp;CU$5,Demand_current!$D$2:$AY$2&amp;Demand_current!$D$3:$AY$3, 0))/1000</f>
        <v>7.9159324999999976</v>
      </c>
      <c r="CV130" s="384">
        <f t="array" ref="CV130">INDEX(Demand_current!$D$4:$AY$138, MATCH($A130, Demand_current!$B$4:$B$138, 0), MATCH(CV$4&amp;CV$5,Demand_current!$D$2:$AY$2&amp;Demand_current!$D$3:$AY$3, 0))/1000</f>
        <v>8.2326458333333363</v>
      </c>
      <c r="CW130" s="384">
        <f t="array" ref="CW130">INDEX(Demand_current!$D$4:$AY$138, MATCH($A130, Demand_current!$B$4:$B$138, 0), MATCH(CW$4&amp;CW$5,Demand_current!$D$2:$AY$2&amp;Demand_current!$D$3:$AY$3, 0))/1000</f>
        <v>7.8835208333333329</v>
      </c>
      <c r="CX130" s="384">
        <f>IF(D130=0,IF(C130=0,MAX(0,DA130 - (VLOOKUP($A130,TOCA_current!$A$2:$AI$137,MATCH("RHWM 2018",TOCA_current!$A$2:$AI$2,0),FALSE)*$BH$2)), 0),0)</f>
        <v>0</v>
      </c>
      <c r="CY130" s="427">
        <f>VLOOKUP($A130,REP_current!$A$1:$D$135,MATCH("FY "&amp;$BH$1&amp; " Total Refund",REP_current!$A$1:$D$1,0),0)</f>
        <v>926750.88589619799</v>
      </c>
      <c r="CZ130" s="432">
        <f>MIN(VLOOKUP($A130,TOCA_current!$A$2:$AI$137,MATCH("TRL - NLSL - Existing Resource "&amp;$BH$1,TOCA_current!$A$2:$AI$2,0),FALSE)*$BH$2, VLOOKUP($A130,TOCA_current!$A$2:$AI$137,MATCH("RHWM 2018",TOCA_current!$A$2:$AI$2,0),FALSE)*$BH$2)</f>
        <v>825489.84</v>
      </c>
      <c r="DA130" s="397">
        <f>SUM(BN130:CK130)+(BH130*RT1SC!$C$4*$BH$2)</f>
        <v>803356.83004317211</v>
      </c>
      <c r="DB130" s="432">
        <f>VLOOKUP($A130,TOCA_current!$A$2:$AI$137,MATCH("Above RHWM Not Served with LS "&amp;$BH$1,TOCA_current!$A$2:$AI$2,0),FALSE)*$BH$2</f>
        <v>20682.36</v>
      </c>
      <c r="DC130" s="401">
        <f t="shared" si="27"/>
        <v>-22133.009956827853</v>
      </c>
      <c r="DD130" s="397">
        <f>(VLOOKUP($A130,TOCA_current!$A$2:$AI$137,MATCH("RHWM 2018",TOCA_current!$A$2:$AI$2,0),FALSE)*$BH$2) - $CZ130</f>
        <v>0</v>
      </c>
      <c r="DE130" s="397">
        <f t="shared" si="28"/>
        <v>0</v>
      </c>
      <c r="DF130" s="397">
        <f t="shared" si="29"/>
        <v>1450.6499568278523</v>
      </c>
      <c r="DG130" s="397">
        <f t="shared" si="30"/>
        <v>0</v>
      </c>
      <c r="DH130" s="397">
        <f t="shared" si="31"/>
        <v>1450.6499568278523</v>
      </c>
    </row>
    <row r="131" spans="1:112">
      <c r="A131" s="274">
        <v>10448</v>
      </c>
      <c r="B131" s="275" t="s">
        <v>132</v>
      </c>
      <c r="C131" s="397">
        <v>1</v>
      </c>
      <c r="D131" s="397">
        <v>0</v>
      </c>
      <c r="E131" s="205">
        <f>VLOOKUP($A131,TOCA_previous!$A$2:$AI$137,MATCH(E$4,TOCA_previous!$A$2:$AI$2,0),FALSE)</f>
        <v>1.1857E-3</v>
      </c>
      <c r="F131" s="206">
        <f>VLOOKUP($A131,TOCA_previous!$A$2:$AI$137,MATCH(F$4,TOCA_previous!$A$2:$AI$2,0),FALSE)</f>
        <v>1.1857E-3</v>
      </c>
      <c r="G131" s="206">
        <f t="shared" si="16"/>
        <v>0</v>
      </c>
      <c r="H131" s="206">
        <f>VLOOKUP($A131,TOCA_previous!$A$2:$AI$137,MATCH(H$4,TOCA_previous!$A$2:$AI$2,0),FALSE)</f>
        <v>7.0000000000000007E-2</v>
      </c>
      <c r="I131" s="206">
        <f t="shared" si="17"/>
        <v>7.0000000000000007E-2</v>
      </c>
      <c r="J131" s="206">
        <f t="shared" si="18"/>
        <v>1.1857E-3</v>
      </c>
      <c r="K131" s="381">
        <f>VLOOKUP(A131, IRD!$A$5:$C$139, 3, FALSE)</f>
        <v>0</v>
      </c>
      <c r="L131" s="382">
        <f t="array" ref="L131">IF($G131=0, INDEX(LS_previous!$D$4:$AY$138, MATCH('Staging Table'!$A131, LS_previous!$B$4:$B$138, 0), MATCH(L$4&amp;L$5, LS_previous!$D$2:$AY$2&amp;LS_previous!$D$3:$AY$3, 0)),SUM(VLOOKUP($A131, LS_previous!$B$4:$AY$138, LS_previous!D$149, FALSE), VLOOKUP('Staging Table'!$A131, LS_previous!$B$4:$AY$138,LS_previous!AB$149, FALSE))/2)</f>
        <v>0</v>
      </c>
      <c r="M131" s="382">
        <f t="array" ref="M131">IF($G131=0, INDEX(LS_previous!$D$4:$AY$138, MATCH('Staging Table'!$A131, LS_previous!$B$4:$B$138, 0), MATCH(M$4&amp;M$5, LS_previous!$D$2:$AY$2&amp;LS_previous!$D$3:$AY$3, 0)),SUM(VLOOKUP($A131, LS_previous!$B$4:$AY$138, LS_previous!E$149, FALSE), VLOOKUP('Staging Table'!$A131, LS_previous!$B$4:$AY$138,LS_previous!AC$149, FALSE))/2)</f>
        <v>0</v>
      </c>
      <c r="N131" s="382">
        <f t="array" ref="N131">IF($G131=0, INDEX(LS_previous!$D$4:$AY$138, MATCH('Staging Table'!$A131, LS_previous!$B$4:$B$138, 0), MATCH(N$4&amp;N$5, LS_previous!$D$2:$AY$2&amp;LS_previous!$D$3:$AY$3, 0)),SUM(VLOOKUP($A131, LS_previous!$B$4:$AY$138, LS_previous!F$149, FALSE), VLOOKUP('Staging Table'!$A131, LS_previous!$B$4:$AY$138,LS_previous!AD$149, FALSE))/2)</f>
        <v>0</v>
      </c>
      <c r="O131" s="382">
        <f t="array" ref="O131">IF($G131=0, INDEX(LS_previous!$D$4:$AY$138, MATCH('Staging Table'!$A131, LS_previous!$B$4:$B$138, 0), MATCH(O$4&amp;O$5, LS_previous!$D$2:$AY$2&amp;LS_previous!$D$3:$AY$3, 0)),SUM(VLOOKUP($A131, LS_previous!$B$4:$AY$138, LS_previous!G$149, FALSE), VLOOKUP('Staging Table'!$A131, LS_previous!$B$4:$AY$138,LS_previous!AE$149, FALSE))/2)</f>
        <v>0</v>
      </c>
      <c r="P131" s="382">
        <f t="array" ref="P131">IF($G131=0, INDEX(LS_previous!$D$4:$AY$138, MATCH('Staging Table'!$A131, LS_previous!$B$4:$B$138, 0), MATCH(P$4&amp;P$5, LS_previous!$D$2:$AY$2&amp;LS_previous!$D$3:$AY$3, 0)),SUM(VLOOKUP($A131, LS_previous!$B$4:$AY$138, LS_previous!H$149, FALSE), VLOOKUP('Staging Table'!$A131, LS_previous!$B$4:$AY$138,LS_previous!AF$149, FALSE))/2)</f>
        <v>0</v>
      </c>
      <c r="Q131" s="382">
        <f t="array" ref="Q131">IF($G131=0, INDEX(LS_previous!$D$4:$AY$138, MATCH('Staging Table'!$A131, LS_previous!$B$4:$B$138, 0), MATCH(Q$4&amp;Q$5, LS_previous!$D$2:$AY$2&amp;LS_previous!$D$3:$AY$3, 0)),SUM(VLOOKUP($A131, LS_previous!$B$4:$AY$138, LS_previous!I$149, FALSE), VLOOKUP('Staging Table'!$A131, LS_previous!$B$4:$AY$138,LS_previous!AG$149, FALSE))/2)</f>
        <v>0</v>
      </c>
      <c r="R131" s="382">
        <f t="array" ref="R131">IF($G131=0, INDEX(LS_previous!$D$4:$AY$138, MATCH('Staging Table'!$A131, LS_previous!$B$4:$B$138, 0), MATCH(R$4&amp;R$5, LS_previous!$D$2:$AY$2&amp;LS_previous!$D$3:$AY$3, 0)),SUM(VLOOKUP($A131, LS_previous!$B$4:$AY$138, LS_previous!J$149, FALSE), VLOOKUP('Staging Table'!$A131, LS_previous!$B$4:$AY$138,LS_previous!AH$149, FALSE))/2)</f>
        <v>0</v>
      </c>
      <c r="S131" s="382">
        <f t="array" ref="S131">IF($G131=0, INDEX(LS_previous!$D$4:$AY$138, MATCH('Staging Table'!$A131, LS_previous!$B$4:$B$138, 0), MATCH(S$4&amp;S$5, LS_previous!$D$2:$AY$2&amp;LS_previous!$D$3:$AY$3, 0)),SUM(VLOOKUP($A131, LS_previous!$B$4:$AY$138, LS_previous!K$149, FALSE), VLOOKUP('Staging Table'!$A131, LS_previous!$B$4:$AY$138,LS_previous!AI$149, FALSE))/2)</f>
        <v>0</v>
      </c>
      <c r="T131" s="382">
        <f t="array" ref="T131">IF($G131=0, INDEX(LS_previous!$D$4:$AY$138, MATCH('Staging Table'!$A131, LS_previous!$B$4:$B$138, 0), MATCH(T$4&amp;T$5, LS_previous!$D$2:$AY$2&amp;LS_previous!$D$3:$AY$3, 0)),SUM(VLOOKUP($A131, LS_previous!$B$4:$AY$138, LS_previous!L$149, FALSE), VLOOKUP('Staging Table'!$A131, LS_previous!$B$4:$AY$138,LS_previous!AJ$149, FALSE))/2)</f>
        <v>0</v>
      </c>
      <c r="U131" s="382">
        <f t="array" ref="U131">IF($G131=0, INDEX(LS_previous!$D$4:$AY$138, MATCH('Staging Table'!$A131, LS_previous!$B$4:$B$138, 0), MATCH(U$4&amp;U$5, LS_previous!$D$2:$AY$2&amp;LS_previous!$D$3:$AY$3, 0)),SUM(VLOOKUP($A131, LS_previous!$B$4:$AY$138, LS_previous!M$149, FALSE), VLOOKUP('Staging Table'!$A131, LS_previous!$B$4:$AY$138,LS_previous!AK$149, FALSE))/2)</f>
        <v>0</v>
      </c>
      <c r="V131" s="382">
        <f t="array" ref="V131">IF($G131=0, INDEX(LS_previous!$D$4:$AY$138, MATCH('Staging Table'!$A131, LS_previous!$B$4:$B$138, 0), MATCH(V$4&amp;V$5, LS_previous!$D$2:$AY$2&amp;LS_previous!$D$3:$AY$3, 0)),SUM(VLOOKUP($A131, LS_previous!$B$4:$AY$138, LS_previous!N$149, FALSE), VLOOKUP('Staging Table'!$A131, LS_previous!$B$4:$AY$138,LS_previous!AL$149, FALSE))/2)</f>
        <v>0</v>
      </c>
      <c r="W131" s="382">
        <f t="array" ref="W131">IF($G131=0, INDEX(LS_previous!$D$4:$AY$138, MATCH('Staging Table'!$A131, LS_previous!$B$4:$B$138, 0), MATCH(W$4&amp;W$5, LS_previous!$D$2:$AY$2&amp;LS_previous!$D$3:$AY$3, 0)),SUM(VLOOKUP($A131, LS_previous!$B$4:$AY$138, LS_previous!O$149, FALSE), VLOOKUP('Staging Table'!$A131, LS_previous!$B$4:$AY$138,LS_previous!AM$149, FALSE))/2)</f>
        <v>0</v>
      </c>
      <c r="X131" s="382">
        <f t="array" ref="X131">IF($G131=0, INDEX(LS_previous!$D$4:$AY$138, MATCH('Staging Table'!$A131, LS_previous!$B$4:$B$138, 0), MATCH(X$4&amp;X$5, LS_previous!$D$2:$AY$2&amp;LS_previous!$D$3:$AY$3, 0)),SUM(VLOOKUP($A131, LS_previous!$B$4:$AY$138, LS_previous!P$149, FALSE), VLOOKUP('Staging Table'!$A131, LS_previous!$B$4:$AY$138,LS_previous!AN$149, FALSE))/2)</f>
        <v>0</v>
      </c>
      <c r="Y131" s="382">
        <f t="array" ref="Y131">IF($G131=0, INDEX(LS_previous!$D$4:$AY$138, MATCH('Staging Table'!$A131, LS_previous!$B$4:$B$138, 0), MATCH(Y$4&amp;Y$5, LS_previous!$D$2:$AY$2&amp;LS_previous!$D$3:$AY$3, 0)),SUM(VLOOKUP($A131, LS_previous!$B$4:$AY$138, LS_previous!Q$149, FALSE), VLOOKUP('Staging Table'!$A131, LS_previous!$B$4:$AY$138,LS_previous!AO$149, FALSE))/2)</f>
        <v>0</v>
      </c>
      <c r="Z131" s="382">
        <f t="array" ref="Z131">IF($G131=0, INDEX(LS_previous!$D$4:$AY$138, MATCH('Staging Table'!$A131, LS_previous!$B$4:$B$138, 0), MATCH(Z$4&amp;Z$5, LS_previous!$D$2:$AY$2&amp;LS_previous!$D$3:$AY$3, 0)),SUM(VLOOKUP($A131, LS_previous!$B$4:$AY$138, LS_previous!R$149, FALSE), VLOOKUP('Staging Table'!$A131, LS_previous!$B$4:$AY$138,LS_previous!AP$149, FALSE))/2)</f>
        <v>0</v>
      </c>
      <c r="AA131" s="382">
        <f t="array" ref="AA131">IF($G131=0, INDEX(LS_previous!$D$4:$AY$138, MATCH('Staging Table'!$A131, LS_previous!$B$4:$B$138, 0), MATCH(AA$4&amp;AA$5, LS_previous!$D$2:$AY$2&amp;LS_previous!$D$3:$AY$3, 0)),SUM(VLOOKUP($A131, LS_previous!$B$4:$AY$138, LS_previous!S$149, FALSE), VLOOKUP('Staging Table'!$A131, LS_previous!$B$4:$AY$138,LS_previous!AQ$149, FALSE))/2)</f>
        <v>0</v>
      </c>
      <c r="AB131" s="382">
        <f t="array" ref="AB131">IF($G131=0, INDEX(LS_previous!$D$4:$AY$138, MATCH('Staging Table'!$A131, LS_previous!$B$4:$B$138, 0), MATCH(AB$4&amp;AB$5, LS_previous!$D$2:$AY$2&amp;LS_previous!$D$3:$AY$3, 0)),SUM(VLOOKUP($A131, LS_previous!$B$4:$AY$138, LS_previous!T$149, FALSE), VLOOKUP('Staging Table'!$A131, LS_previous!$B$4:$AY$138,LS_previous!AR$149, FALSE))/2)</f>
        <v>0</v>
      </c>
      <c r="AC131" s="382">
        <f t="array" ref="AC131">IF($G131=0, INDEX(LS_previous!$D$4:$AY$138, MATCH('Staging Table'!$A131, LS_previous!$B$4:$B$138, 0), MATCH(AC$4&amp;AC$5, LS_previous!$D$2:$AY$2&amp;LS_previous!$D$3:$AY$3, 0)),SUM(VLOOKUP($A131, LS_previous!$B$4:$AY$138, LS_previous!U$149, FALSE), VLOOKUP('Staging Table'!$A131, LS_previous!$B$4:$AY$138,LS_previous!AS$149, FALSE))/2)</f>
        <v>0</v>
      </c>
      <c r="AD131" s="382">
        <f t="array" ref="AD131">IF($G131=0, INDEX(LS_previous!$D$4:$AY$138, MATCH('Staging Table'!$A131, LS_previous!$B$4:$B$138, 0), MATCH(AD$4&amp;AD$5, LS_previous!$D$2:$AY$2&amp;LS_previous!$D$3:$AY$3, 0)),SUM(VLOOKUP($A131, LS_previous!$B$4:$AY$138, LS_previous!V$149, FALSE), VLOOKUP('Staging Table'!$A131, LS_previous!$B$4:$AY$138,LS_previous!AT$149, FALSE))/2)</f>
        <v>0</v>
      </c>
      <c r="AE131" s="382">
        <f t="array" ref="AE131">IF($G131=0, INDEX(LS_previous!$D$4:$AY$138, MATCH('Staging Table'!$A131, LS_previous!$B$4:$B$138, 0), MATCH(AE$4&amp;AE$5, LS_previous!$D$2:$AY$2&amp;LS_previous!$D$3:$AY$3, 0)),SUM(VLOOKUP($A131, LS_previous!$B$4:$AY$138, LS_previous!W$149, FALSE), VLOOKUP('Staging Table'!$A131, LS_previous!$B$4:$AY$138,LS_previous!AU$149, FALSE))/2)</f>
        <v>0</v>
      </c>
      <c r="AF131" s="382">
        <f t="array" ref="AF131">IF($G131=0, INDEX(LS_previous!$D$4:$AY$138, MATCH('Staging Table'!$A131, LS_previous!$B$4:$B$138, 0), MATCH(AF$4&amp;AF$5, LS_previous!$D$2:$AY$2&amp;LS_previous!$D$3:$AY$3, 0)),SUM(VLOOKUP($A131, LS_previous!$B$4:$AY$138, LS_previous!X$149, FALSE), VLOOKUP('Staging Table'!$A131, LS_previous!$B$4:$AY$138,LS_previous!AV$149, FALSE))/2)</f>
        <v>0</v>
      </c>
      <c r="AG131" s="382">
        <f t="array" ref="AG131">IF($G131=0, INDEX(LS_previous!$D$4:$AY$138, MATCH('Staging Table'!$A131, LS_previous!$B$4:$B$138, 0), MATCH(AG$4&amp;AG$5, LS_previous!$D$2:$AY$2&amp;LS_previous!$D$3:$AY$3, 0)),SUM(VLOOKUP($A131, LS_previous!$B$4:$AY$138, LS_previous!Y$149, FALSE), VLOOKUP('Staging Table'!$A131, LS_previous!$B$4:$AY$138,LS_previous!AW$149, FALSE))/2)</f>
        <v>0</v>
      </c>
      <c r="AH131" s="382">
        <f t="array" ref="AH131">IF($G131=0, INDEX(LS_previous!$D$4:$AY$138, MATCH('Staging Table'!$A131, LS_previous!$B$4:$B$138, 0), MATCH(AH$4&amp;AH$5, LS_previous!$D$2:$AY$2&amp;LS_previous!$D$3:$AY$3, 0)),SUM(VLOOKUP($A131, LS_previous!$B$4:$AY$138, LS_previous!Z$149, FALSE), VLOOKUP('Staging Table'!$A131, LS_previous!$B$4:$AY$138,LS_previous!AX$149, FALSE))/2)</f>
        <v>0</v>
      </c>
      <c r="AI131" s="382">
        <f t="array" ref="AI131">IF($G131=0, INDEX(LS_previous!$D$4:$AY$138, MATCH('Staging Table'!$A131, LS_previous!$B$4:$B$138, 0), MATCH(AI$4&amp;AI$5, LS_previous!$D$2:$AY$2&amp;LS_previous!$D$3:$AY$3, 0)),SUM(VLOOKUP($A131, LS_previous!$B$4:$AY$138, LS_previous!AA$149, FALSE), VLOOKUP('Staging Table'!$A131, LS_previous!$B$4:$AY$138,LS_previous!AY$149, FALSE))/2)</f>
        <v>0</v>
      </c>
      <c r="AJ131" s="384">
        <f t="array" ref="AJ131">INDEX(Demand_previous!$D$4:$AY$138, MATCH('Staging Table'!$A131, Demand_previous!$B$4:$B$138, 0), MATCH(AJ$4&amp;AJ$5,Demand_previous!$D$2:$AY$2&amp;Demand_previous!$D$3:$AY$3, 0))/1000</f>
        <v>0</v>
      </c>
      <c r="AK131" s="384">
        <f t="array" ref="AK131">INDEX(Demand_previous!$D$4:$AY$138, MATCH('Staging Table'!$A131, Demand_previous!$B$4:$B$138, 0), MATCH(AK$4&amp;AK$5,Demand_previous!$D$2:$AY$2&amp;Demand_previous!$D$3:$AY$3, 0))/1000</f>
        <v>0</v>
      </c>
      <c r="AL131" s="384">
        <f t="array" ref="AL131">INDEX(Demand_previous!$D$4:$AY$138, MATCH('Staging Table'!$A131, Demand_previous!$B$4:$B$138, 0), MATCH(AL$4&amp;AL$5,Demand_previous!$D$2:$AY$2&amp;Demand_previous!$D$3:$AY$3, 0))/1000</f>
        <v>0</v>
      </c>
      <c r="AM131" s="384">
        <f t="array" ref="AM131">INDEX(Demand_previous!$D$4:$AY$138, MATCH('Staging Table'!$A131, Demand_previous!$B$4:$B$138, 0), MATCH(AM$4&amp;AM$5,Demand_previous!$D$2:$AY$2&amp;Demand_previous!$D$3:$AY$3, 0))/1000</f>
        <v>0</v>
      </c>
      <c r="AN131" s="384">
        <f t="array" ref="AN131">INDEX(Demand_previous!$D$4:$AY$138, MATCH('Staging Table'!$A131, Demand_previous!$B$4:$B$138, 0), MATCH(AN$4&amp;AN$5,Demand_previous!$D$2:$AY$2&amp;Demand_previous!$D$3:$AY$3, 0))/1000</f>
        <v>0</v>
      </c>
      <c r="AO131" s="384">
        <f t="array" ref="AO131">INDEX(Demand_previous!$D$4:$AY$138, MATCH('Staging Table'!$A131, Demand_previous!$B$4:$B$138, 0), MATCH(AO$4&amp;AO$5,Demand_previous!$D$2:$AY$2&amp;Demand_previous!$D$3:$AY$3, 0))/1000</f>
        <v>0</v>
      </c>
      <c r="AP131" s="384">
        <f t="array" ref="AP131">INDEX(Demand_previous!$D$4:$AY$138, MATCH('Staging Table'!$A131, Demand_previous!$B$4:$B$138, 0), MATCH(AP$4&amp;AP$5,Demand_previous!$D$2:$AY$2&amp;Demand_previous!$D$3:$AY$3, 0))/1000</f>
        <v>0</v>
      </c>
      <c r="AQ131" s="384">
        <f t="array" ref="AQ131">INDEX(Demand_previous!$D$4:$AY$138, MATCH('Staging Table'!$A131, Demand_previous!$B$4:$B$138, 0), MATCH(AQ$4&amp;AQ$5,Demand_previous!$D$2:$AY$2&amp;Demand_previous!$D$3:$AY$3, 0))/1000</f>
        <v>0</v>
      </c>
      <c r="AR131" s="384">
        <f t="array" ref="AR131">INDEX(Demand_previous!$D$4:$AY$138, MATCH('Staging Table'!$A131, Demand_previous!$B$4:$B$138, 0), MATCH(AR$4&amp;AR$5,Demand_previous!$D$2:$AY$2&amp;Demand_previous!$D$3:$AY$3, 0))/1000</f>
        <v>0</v>
      </c>
      <c r="AS131" s="384">
        <f t="array" ref="AS131">INDEX(Demand_previous!$D$4:$AY$138, MATCH('Staging Table'!$A131, Demand_previous!$B$4:$B$138, 0), MATCH(AS$4&amp;AS$5,Demand_previous!$D$2:$AY$2&amp;Demand_previous!$D$3:$AY$3, 0))/1000</f>
        <v>0</v>
      </c>
      <c r="AT131" s="384">
        <f t="array" ref="AT131">INDEX(Demand_previous!$D$4:$AY$138, MATCH('Staging Table'!$A131, Demand_previous!$B$4:$B$138, 0), MATCH(AT$4&amp;AT$5,Demand_previous!$D$2:$AY$2&amp;Demand_previous!$D$3:$AY$3, 0))/1000</f>
        <v>0</v>
      </c>
      <c r="AU131" s="384">
        <f t="array" ref="AU131">INDEX(Demand_previous!$D$4:$AY$138, MATCH('Staging Table'!$A131, Demand_previous!$B$4:$B$138, 0), MATCH(AU$4&amp;AU$5,Demand_previous!$D$2:$AY$2&amp;Demand_previous!$D$3:$AY$3, 0))/1000</f>
        <v>0</v>
      </c>
      <c r="AV131" s="384">
        <f>IF($D131=0,IF(C131=0, MAX(AY131 - (VLOOKUP($A131,TOCA_previous!$A$2:$AI$137,MATCH("RHWM 2016",TOCA_previous!$A$2:$AI$2,0),FALSE)*$F$2*TOCA_previous!C128),0),0), 0)</f>
        <v>0</v>
      </c>
      <c r="AW131" s="427">
        <f>VLOOKUP($A131,REP_previous!$A$1:$D$135,MATCH("FY "&amp;$F$1&amp; " Total Refund",REP_previous!$A$1:$D$1,0),0)</f>
        <v>95272.624085921037</v>
      </c>
      <c r="AX131" s="398">
        <f>MIN(VLOOKUP($A131,TOCA_previous!$A$2:$AI$137,MATCH("TRL - NLSL - Exisiting Resource "&amp;$F$1,TOCA_previous!$A$2:$AI$2,0),FALSE)*$F$2,(VLOOKUP($A131,TOCA_previous!$A$2:$AI$137,MATCH("RHWM 2016",TOCA_previous!$A$2:$AI$2,0),FALSE)*$F$2))</f>
        <v>72731.51999999999</v>
      </c>
      <c r="AY131" s="384">
        <f>SUM(L131:AI131)+(F131*RT1SC!$C$3*$F$2)</f>
        <v>72730.148681448001</v>
      </c>
      <c r="AZ131" s="398">
        <f>VLOOKUP($A131,TOCA_previous!$A$2:$AI$137,MATCH("Above RHWM Not Served with LS "&amp;$F$1,TOCA_previous!$A$2:$AI$2,0),FALSE)*$F$2</f>
        <v>0</v>
      </c>
      <c r="BA131" s="206">
        <f t="shared" si="19"/>
        <v>-1.3713185519882245</v>
      </c>
      <c r="BB131" s="399">
        <f>(VLOOKUP($A131,TOCA_previous!$A$2:$AI$137,MATCH("RHWM 2016",TOCA_previous!$A$2:$AI$2,0),FALSE)*$F$2) - $AX131</f>
        <v>1045.2960000000021</v>
      </c>
      <c r="BC131" s="206">
        <f t="shared" si="20"/>
        <v>0</v>
      </c>
      <c r="BD131" s="400">
        <f t="shared" si="21"/>
        <v>1.3713185519882245</v>
      </c>
      <c r="BE131" s="392">
        <f t="shared" si="22"/>
        <v>0</v>
      </c>
      <c r="BF131" s="399">
        <f t="shared" si="23"/>
        <v>1.3713185519882245</v>
      </c>
      <c r="BG131" s="206">
        <f>VLOOKUP($A131,TOCA_current!$A$2:$AI$137,MATCH(BG$4,TOCA_current!$A$2:$AI$2,0),FALSE)</f>
        <v>1.1738E-3</v>
      </c>
      <c r="BH131" s="206">
        <f>VLOOKUP($A131,TOCA_current!$A$2:$AI$137,MATCH(BH$4,TOCA_current!$A$2:$AI$2,0),FALSE)</f>
        <v>1.1738E-3</v>
      </c>
      <c r="BI131" s="391">
        <f t="shared" si="24"/>
        <v>0</v>
      </c>
      <c r="BJ131" s="206">
        <f>VLOOKUP($A131,TOCA_current!A127:BG262,MATCH(BJ$4,TOCA_current!$A$2:$BG$2,0),FALSE)</f>
        <v>7.0000000000000007E-2</v>
      </c>
      <c r="BK131" s="206">
        <f t="shared" si="25"/>
        <v>7.0000000000000007E-2</v>
      </c>
      <c r="BL131" s="206">
        <f t="shared" si="26"/>
        <v>1.1738E-3</v>
      </c>
      <c r="BM131" s="381">
        <f>VLOOKUP($A131,IRD!$A$4:$G$139, 7, FALSE)</f>
        <v>0</v>
      </c>
      <c r="BN131" s="382">
        <f t="array" ref="BN131">IF($BI131=0, INDEX(LS_current!$D$4:$AY$139, MATCH('Staging Table'!$A131, LS_current!$B$4:$B$139, 0), MATCH(BN$4&amp;BN$5, LS_current!$D$2:$AY$2&amp;LS_current!$D$3:$AY$3, 0)),SUM(VLOOKUP($A131, LS_current!$B$4:$AY$139, LS_current!D$149, FALSE), VLOOKUP($A131, LS_current!$B$4:$AY$139,LS_current!D$149, FALSE))/2)</f>
        <v>0</v>
      </c>
      <c r="BO131" s="382">
        <f t="array" ref="BO131">IF($BI131=0, INDEX(LS_current!$D$4:$AY$139, MATCH('Staging Table'!$A131, LS_current!$B$4:$B$139, 0), MATCH(BO$4&amp;BO$5, LS_current!$D$2:$AY$2&amp;LS_current!$D$3:$AY$3, 0)),SUM(VLOOKUP($A131, LS_current!$B$4:$AY$139, LS_current!E$149, FALSE), VLOOKUP($A131, LS_current!$B$4:$AY$139,LS_current!E$149, FALSE))/2)</f>
        <v>0</v>
      </c>
      <c r="BP131" s="382">
        <f t="array" ref="BP131">IF($BI131=0, INDEX(LS_current!$D$4:$AY$139, MATCH('Staging Table'!$A131, LS_current!$B$4:$B$139, 0), MATCH(BP$4&amp;BP$5, LS_current!$D$2:$AY$2&amp;LS_current!$D$3:$AY$3, 0)),SUM(VLOOKUP($A131, LS_current!$B$4:$AY$139, LS_current!F$149, FALSE), VLOOKUP($A131, LS_current!$B$4:$AY$139,LS_current!F$149, FALSE))/2)</f>
        <v>0</v>
      </c>
      <c r="BQ131" s="382">
        <f t="array" ref="BQ131">IF($BI131=0, INDEX(LS_current!$D$4:$AY$139, MATCH('Staging Table'!$A131, LS_current!$B$4:$B$139, 0), MATCH(BQ$4&amp;BQ$5, LS_current!$D$2:$AY$2&amp;LS_current!$D$3:$AY$3, 0)),SUM(VLOOKUP($A131, LS_current!$B$4:$AY$139, LS_current!G$149, FALSE), VLOOKUP($A131, LS_current!$B$4:$AY$139,LS_current!G$149, FALSE))/2)</f>
        <v>0</v>
      </c>
      <c r="BR131" s="382">
        <f t="array" ref="BR131">IF($BI131=0, INDEX(LS_current!$D$4:$AY$139, MATCH('Staging Table'!$A131, LS_current!$B$4:$B$139, 0), MATCH(BR$4&amp;BR$5, LS_current!$D$2:$AY$2&amp;LS_current!$D$3:$AY$3, 0)),SUM(VLOOKUP($A131, LS_current!$B$4:$AY$139, LS_current!H$149, FALSE), VLOOKUP($A131, LS_current!$B$4:$AY$139,LS_current!H$149, FALSE))/2)</f>
        <v>0</v>
      </c>
      <c r="BS131" s="382">
        <f t="array" ref="BS131">IF($BI131=0, INDEX(LS_current!$D$4:$AY$139, MATCH('Staging Table'!$A131, LS_current!$B$4:$B$139, 0), MATCH(BS$4&amp;BS$5, LS_current!$D$2:$AY$2&amp;LS_current!$D$3:$AY$3, 0)),SUM(VLOOKUP($A131, LS_current!$B$4:$AY$139, LS_current!I$149, FALSE), VLOOKUP($A131, LS_current!$B$4:$AY$139,LS_current!I$149, FALSE))/2)</f>
        <v>0</v>
      </c>
      <c r="BT131" s="382">
        <f t="array" ref="BT131">IF($BI131=0, INDEX(LS_current!$D$4:$AY$139, MATCH('Staging Table'!$A131, LS_current!$B$4:$B$139, 0), MATCH(BT$4&amp;BT$5, LS_current!$D$2:$AY$2&amp;LS_current!$D$3:$AY$3, 0)),SUM(VLOOKUP($A131, LS_current!$B$4:$AY$139, LS_current!J$149, FALSE), VLOOKUP($A131, LS_current!$B$4:$AY$139,LS_current!J$149, FALSE))/2)</f>
        <v>0</v>
      </c>
      <c r="BU131" s="382">
        <f t="array" ref="BU131">IF($BI131=0, INDEX(LS_current!$D$4:$AY$139, MATCH('Staging Table'!$A131, LS_current!$B$4:$B$139, 0), MATCH(BU$4&amp;BU$5, LS_current!$D$2:$AY$2&amp;LS_current!$D$3:$AY$3, 0)),SUM(VLOOKUP($A131, LS_current!$B$4:$AY$139, LS_current!K$149, FALSE), VLOOKUP($A131, LS_current!$B$4:$AY$139,LS_current!K$149, FALSE))/2)</f>
        <v>0</v>
      </c>
      <c r="BV131" s="382">
        <f t="array" ref="BV131">IF($BI131=0, INDEX(LS_current!$D$4:$AY$139, MATCH('Staging Table'!$A131, LS_current!$B$4:$B$139, 0), MATCH(BV$4&amp;BV$5, LS_current!$D$2:$AY$2&amp;LS_current!$D$3:$AY$3, 0)),SUM(VLOOKUP($A131, LS_current!$B$4:$AY$139, LS_current!L$149, FALSE), VLOOKUP($A131, LS_current!$B$4:$AY$139,LS_current!L$149, FALSE))/2)</f>
        <v>0</v>
      </c>
      <c r="BW131" s="382">
        <f t="array" ref="BW131">IF($BI131=0, INDEX(LS_current!$D$4:$AY$139, MATCH('Staging Table'!$A131, LS_current!$B$4:$B$139, 0), MATCH(BW$4&amp;BW$5, LS_current!$D$2:$AY$2&amp;LS_current!$D$3:$AY$3, 0)),SUM(VLOOKUP($A131, LS_current!$B$4:$AY$139, LS_current!M$149, FALSE), VLOOKUP($A131, LS_current!$B$4:$AY$139,LS_current!M$149, FALSE))/2)</f>
        <v>0</v>
      </c>
      <c r="BX131" s="382">
        <f t="array" ref="BX131">IF($BI131=0, INDEX(LS_current!$D$4:$AY$139, MATCH('Staging Table'!$A131, LS_current!$B$4:$B$139, 0), MATCH(BX$4&amp;BX$5, LS_current!$D$2:$AY$2&amp;LS_current!$D$3:$AY$3, 0)),SUM(VLOOKUP($A131, LS_current!$B$4:$AY$139, LS_current!N$149, FALSE), VLOOKUP($A131, LS_current!$B$4:$AY$139,LS_current!N$149, FALSE))/2)</f>
        <v>0</v>
      </c>
      <c r="BY131" s="382">
        <f t="array" ref="BY131">IF($BI131=0, INDEX(LS_current!$D$4:$AY$139, MATCH('Staging Table'!$A131, LS_current!$B$4:$B$139, 0), MATCH(BY$4&amp;BY$5, LS_current!$D$2:$AY$2&amp;LS_current!$D$3:$AY$3, 0)),SUM(VLOOKUP($A131, LS_current!$B$4:$AY$139, LS_current!O$149, FALSE), VLOOKUP($A131, LS_current!$B$4:$AY$139,LS_current!O$149, FALSE))/2)</f>
        <v>0</v>
      </c>
      <c r="BZ131" s="382">
        <f t="array" ref="BZ131">IF($BI131=0, INDEX(LS_current!$D$4:$AY$139, MATCH('Staging Table'!$A131, LS_current!$B$4:$B$139, 0), MATCH(BZ$4&amp;BZ$5, LS_current!$D$2:$AY$2&amp;LS_current!$D$3:$AY$3, 0)),SUM(VLOOKUP($A131, LS_current!$B$4:$AY$139, LS_current!P$149, FALSE), VLOOKUP($A131, LS_current!$B$4:$AY$139,LS_current!P$149, FALSE))/2)</f>
        <v>0</v>
      </c>
      <c r="CA131" s="382">
        <f t="array" ref="CA131">IF($BI131=0, INDEX(LS_current!$D$4:$AY$139, MATCH('Staging Table'!$A131, LS_current!$B$4:$B$139, 0), MATCH(CA$4&amp;CA$5, LS_current!$D$2:$AY$2&amp;LS_current!$D$3:$AY$3, 0)),SUM(VLOOKUP($A131, LS_current!$B$4:$AY$139, LS_current!Q$149, FALSE), VLOOKUP($A131, LS_current!$B$4:$AY$139,LS_current!Q$149, FALSE))/2)</f>
        <v>0</v>
      </c>
      <c r="CB131" s="382">
        <f t="array" ref="CB131">IF($BI131=0, INDEX(LS_current!$D$4:$AY$139, MATCH('Staging Table'!$A131, LS_current!$B$4:$B$139, 0), MATCH(CB$4&amp;CB$5, LS_current!$D$2:$AY$2&amp;LS_current!$D$3:$AY$3, 0)),SUM(VLOOKUP($A131, LS_current!$B$4:$AY$139, LS_current!R$149, FALSE), VLOOKUP($A131, LS_current!$B$4:$AY$139,LS_current!R$149, FALSE))/2)</f>
        <v>0</v>
      </c>
      <c r="CC131" s="382">
        <f t="array" ref="CC131">IF($BI131=0, INDEX(LS_current!$D$4:$AY$139, MATCH('Staging Table'!$A131, LS_current!$B$4:$B$139, 0), MATCH(CC$4&amp;CC$5, LS_current!$D$2:$AY$2&amp;LS_current!$D$3:$AY$3, 0)),SUM(VLOOKUP($A131, LS_current!$B$4:$AY$139, LS_current!S$149, FALSE), VLOOKUP($A131, LS_current!$B$4:$AY$139,LS_current!S$149, FALSE))/2)</f>
        <v>0</v>
      </c>
      <c r="CD131" s="382">
        <f t="array" ref="CD131">IF($BI131=0, INDEX(LS_current!$D$4:$AY$139, MATCH('Staging Table'!$A131, LS_current!$B$4:$B$139, 0), MATCH(CD$4&amp;CD$5, LS_current!$D$2:$AY$2&amp;LS_current!$D$3:$AY$3, 0)),SUM(VLOOKUP($A131, LS_current!$B$4:$AY$139, LS_current!T$149, FALSE), VLOOKUP($A131, LS_current!$B$4:$AY$139,LS_current!T$149, FALSE))/2)</f>
        <v>0</v>
      </c>
      <c r="CE131" s="382">
        <f t="array" ref="CE131">IF($BI131=0, INDEX(LS_current!$D$4:$AY$139, MATCH('Staging Table'!$A131, LS_current!$B$4:$B$139, 0), MATCH(CE$4&amp;CE$5, LS_current!$D$2:$AY$2&amp;LS_current!$D$3:$AY$3, 0)),SUM(VLOOKUP($A131, LS_current!$B$4:$AY$139, LS_current!U$149, FALSE), VLOOKUP($A131, LS_current!$B$4:$AY$139,LS_current!U$149, FALSE))/2)</f>
        <v>0</v>
      </c>
      <c r="CF131" s="382">
        <f t="array" ref="CF131">IF($BI131=0, INDEX(LS_current!$D$4:$AY$139, MATCH('Staging Table'!$A131, LS_current!$B$4:$B$139, 0), MATCH(CF$4&amp;CF$5, LS_current!$D$2:$AY$2&amp;LS_current!$D$3:$AY$3, 0)),SUM(VLOOKUP($A131, LS_current!$B$4:$AY$139, LS_current!V$149, FALSE), VLOOKUP($A131, LS_current!$B$4:$AY$139,LS_current!V$149, FALSE))/2)</f>
        <v>0</v>
      </c>
      <c r="CG131" s="382">
        <f t="array" ref="CG131">IF($BI131=0, INDEX(LS_current!$D$4:$AY$139, MATCH('Staging Table'!$A131, LS_current!$B$4:$B$139, 0), MATCH(CG$4&amp;CG$5, LS_current!$D$2:$AY$2&amp;LS_current!$D$3:$AY$3, 0)),SUM(VLOOKUP($A131, LS_current!$B$4:$AY$139, LS_current!W$149, FALSE), VLOOKUP($A131, LS_current!$B$4:$AY$139,LS_current!W$149, FALSE))/2)</f>
        <v>0</v>
      </c>
      <c r="CH131" s="382">
        <f t="array" ref="CH131">IF($BI131=0, INDEX(LS_current!$D$4:$AY$139, MATCH('Staging Table'!$A131, LS_current!$B$4:$B$139, 0), MATCH(CH$4&amp;CH$5, LS_current!$D$2:$AY$2&amp;LS_current!$D$3:$AY$3, 0)),SUM(VLOOKUP($A131, LS_current!$B$4:$AY$139, LS_current!X$149, FALSE), VLOOKUP($A131, LS_current!$B$4:$AY$139,LS_current!X$149, FALSE))/2)</f>
        <v>0</v>
      </c>
      <c r="CI131" s="382">
        <f t="array" ref="CI131">IF($BI131=0, INDEX(LS_current!$D$4:$AY$139, MATCH('Staging Table'!$A131, LS_current!$B$4:$B$139, 0), MATCH(CI$4&amp;CI$5, LS_current!$D$2:$AY$2&amp;LS_current!$D$3:$AY$3, 0)),SUM(VLOOKUP($A131, LS_current!$B$4:$AY$139, LS_current!Y$149, FALSE), VLOOKUP($A131, LS_current!$B$4:$AY$139,LS_current!Y$149, FALSE))/2)</f>
        <v>0</v>
      </c>
      <c r="CJ131" s="382">
        <f t="array" ref="CJ131">IF($BI131=0, INDEX(LS_current!$D$4:$AY$139, MATCH('Staging Table'!$A131, LS_current!$B$4:$B$139, 0), MATCH(CJ$4&amp;CJ$5, LS_current!$D$2:$AY$2&amp;LS_current!$D$3:$AY$3, 0)),SUM(VLOOKUP($A131, LS_current!$B$4:$AY$139, LS_current!Z$149, FALSE), VLOOKUP($A131, LS_current!$B$4:$AY$139,LS_current!Z$149, FALSE))/2)</f>
        <v>0</v>
      </c>
      <c r="CK131" s="382">
        <f t="array" ref="CK131">IF($BI131=0, INDEX(LS_current!$D$4:$AY$139, MATCH('Staging Table'!$A131, LS_current!$B$4:$B$139, 0), MATCH(CK$4&amp;CK$5, LS_current!$D$2:$AY$2&amp;LS_current!$D$3:$AY$3, 0)),SUM(VLOOKUP($A131, LS_current!$B$4:$AY$139, LS_current!AA$149, FALSE), VLOOKUP($A131, LS_current!$B$4:$AY$139,LS_current!AA$149, FALSE))/2)</f>
        <v>0</v>
      </c>
      <c r="CL131" s="384">
        <f t="array" ref="CL131">INDEX(Demand_current!$D$4:$AY$138, MATCH($A131, Demand_current!$B$4:$B$138, 0), MATCH(CL$4&amp;CL$5,Demand_current!$D$2:$AY$2&amp;Demand_current!$D$3:$AY$3, 0))/1000</f>
        <v>0</v>
      </c>
      <c r="CM131" s="384">
        <f t="array" ref="CM131">INDEX(Demand_current!$D$4:$AY$138, MATCH($A131, Demand_current!$B$4:$B$138, 0), MATCH(CM$4&amp;CM$5,Demand_current!$D$2:$AY$2&amp;Demand_current!$D$3:$AY$3, 0))/1000</f>
        <v>0</v>
      </c>
      <c r="CN131" s="384">
        <f t="array" ref="CN131">INDEX(Demand_current!$D$4:$AY$138, MATCH($A131, Demand_current!$B$4:$B$138, 0), MATCH(CN$4&amp;CN$5,Demand_current!$D$2:$AY$2&amp;Demand_current!$D$3:$AY$3, 0))/1000</f>
        <v>0</v>
      </c>
      <c r="CO131" s="384">
        <f t="array" ref="CO131">INDEX(Demand_current!$D$4:$AY$138, MATCH($A131, Demand_current!$B$4:$B$138, 0), MATCH(CO$4&amp;CO$5,Demand_current!$D$2:$AY$2&amp;Demand_current!$D$3:$AY$3, 0))/1000</f>
        <v>0</v>
      </c>
      <c r="CP131" s="384">
        <f t="array" ref="CP131">INDEX(Demand_current!$D$4:$AY$138, MATCH($A131, Demand_current!$B$4:$B$138, 0), MATCH(CP$4&amp;CP$5,Demand_current!$D$2:$AY$2&amp;Demand_current!$D$3:$AY$3, 0))/1000</f>
        <v>0</v>
      </c>
      <c r="CQ131" s="384">
        <f t="array" ref="CQ131">INDEX(Demand_current!$D$4:$AY$138, MATCH($A131, Demand_current!$B$4:$B$138, 0), MATCH(CQ$4&amp;CQ$5,Demand_current!$D$2:$AY$2&amp;Demand_current!$D$3:$AY$3, 0))/1000</f>
        <v>0</v>
      </c>
      <c r="CR131" s="384">
        <f t="array" ref="CR131">INDEX(Demand_current!$D$4:$AY$138, MATCH($A131, Demand_current!$B$4:$B$138, 0), MATCH(CR$4&amp;CR$5,Demand_current!$D$2:$AY$2&amp;Demand_current!$D$3:$AY$3, 0))/1000</f>
        <v>0</v>
      </c>
      <c r="CS131" s="384">
        <f t="array" ref="CS131">INDEX(Demand_current!$D$4:$AY$138, MATCH($A131, Demand_current!$B$4:$B$138, 0), MATCH(CS$4&amp;CS$5,Demand_current!$D$2:$AY$2&amp;Demand_current!$D$3:$AY$3, 0))/1000</f>
        <v>0</v>
      </c>
      <c r="CT131" s="384">
        <f t="array" ref="CT131">INDEX(Demand_current!$D$4:$AY$138, MATCH($A131, Demand_current!$B$4:$B$138, 0), MATCH(CT$4&amp;CT$5,Demand_current!$D$2:$AY$2&amp;Demand_current!$D$3:$AY$3, 0))/1000</f>
        <v>0</v>
      </c>
      <c r="CU131" s="384">
        <f t="array" ref="CU131">INDEX(Demand_current!$D$4:$AY$138, MATCH($A131, Demand_current!$B$4:$B$138, 0), MATCH(CU$4&amp;CU$5,Demand_current!$D$2:$AY$2&amp;Demand_current!$D$3:$AY$3, 0))/1000</f>
        <v>0</v>
      </c>
      <c r="CV131" s="384">
        <f t="array" ref="CV131">INDEX(Demand_current!$D$4:$AY$138, MATCH($A131, Demand_current!$B$4:$B$138, 0), MATCH(CV$4&amp;CV$5,Demand_current!$D$2:$AY$2&amp;Demand_current!$D$3:$AY$3, 0))/1000</f>
        <v>0</v>
      </c>
      <c r="CW131" s="384">
        <f t="array" ref="CW131">INDEX(Demand_current!$D$4:$AY$138, MATCH($A131, Demand_current!$B$4:$B$138, 0), MATCH(CW$4&amp;CW$5,Demand_current!$D$2:$AY$2&amp;Demand_current!$D$3:$AY$3, 0))/1000</f>
        <v>0</v>
      </c>
      <c r="CX131" s="384">
        <f>IF(D131=0,IF(C131=0,MAX(0,DA131 - (VLOOKUP($A131,TOCA_current!$A$2:$AI$137,MATCH("RHWM 2018",TOCA_current!$A$2:$AI$2,0),FALSE)*$BH$2)), 0),0)</f>
        <v>0</v>
      </c>
      <c r="CY131" s="427">
        <f>VLOOKUP($A131,REP_current!$A$1:$D$135,MATCH("FY "&amp;$BH$1&amp; " Total Refund",REP_current!$A$1:$D$1,0),0)</f>
        <v>95520.794317990891</v>
      </c>
      <c r="CZ131" s="432">
        <f>MIN(VLOOKUP($A131,TOCA_current!$A$2:$AI$137,MATCH("TRL - NLSL - Existing Resource "&amp;$BH$1,TOCA_current!$A$2:$AI$2,0),FALSE)*$BH$2, VLOOKUP($A131,TOCA_current!$A$2:$AI$137,MATCH("RHWM 2018",TOCA_current!$A$2:$AI$2,0),FALSE)*$BH$2)</f>
        <v>71411.51999999999</v>
      </c>
      <c r="DA131" s="397">
        <f>SUM(BN131:CK131)+(BH131*RT1SC!$C$4*$BH$2)</f>
        <v>71410.295656847986</v>
      </c>
      <c r="DB131" s="432">
        <f>VLOOKUP($A131,TOCA_current!$A$2:$AI$137,MATCH("Above RHWM Not Served with LS "&amp;$BH$1,TOCA_current!$A$2:$AI$2,0),FALSE)*$BH$2</f>
        <v>0</v>
      </c>
      <c r="DC131" s="401">
        <f t="shared" si="27"/>
        <v>-1.224343152003712</v>
      </c>
      <c r="DD131" s="397">
        <f>(VLOOKUP($A131,TOCA_current!$A$2:$AI$137,MATCH("RHWM 2018",TOCA_current!$A$2:$AI$2,0),FALSE)*$BH$2) - $CZ131</f>
        <v>1690.6800000000221</v>
      </c>
      <c r="DE131" s="397">
        <f t="shared" si="28"/>
        <v>0</v>
      </c>
      <c r="DF131" s="397">
        <f t="shared" si="29"/>
        <v>1.224343152003712</v>
      </c>
      <c r="DG131" s="397">
        <f t="shared" si="30"/>
        <v>0</v>
      </c>
      <c r="DH131" s="397">
        <f t="shared" si="31"/>
        <v>1.224343152003712</v>
      </c>
    </row>
    <row r="132" spans="1:112">
      <c r="A132" s="274">
        <v>10451</v>
      </c>
      <c r="B132" s="275" t="s">
        <v>133</v>
      </c>
      <c r="C132" s="397">
        <v>0</v>
      </c>
      <c r="D132" s="397">
        <v>0</v>
      </c>
      <c r="E132" s="205">
        <f>VLOOKUP($A132,TOCA_previous!$A$2:$AI$137,MATCH(E$4,TOCA_previous!$A$2:$AI$2,0),FALSE)</f>
        <v>3.722E-3</v>
      </c>
      <c r="F132" s="206">
        <f>VLOOKUP($A132,TOCA_previous!$A$2:$AI$137,MATCH(F$4,TOCA_previous!$A$2:$AI$2,0),FALSE)</f>
        <v>3.722E-3</v>
      </c>
      <c r="G132" s="206">
        <f t="shared" si="16"/>
        <v>0</v>
      </c>
      <c r="H132" s="206">
        <f>VLOOKUP($A132,TOCA_previous!$A$2:$AI$137,MATCH(H$4,TOCA_previous!$A$2:$AI$2,0),FALSE)</f>
        <v>0</v>
      </c>
      <c r="I132" s="206">
        <f t="shared" si="17"/>
        <v>0</v>
      </c>
      <c r="J132" s="206">
        <f t="shared" si="18"/>
        <v>0</v>
      </c>
      <c r="K132" s="381">
        <f>VLOOKUP(A132, IRD!$A$5:$C$139, 3, FALSE)</f>
        <v>0</v>
      </c>
      <c r="L132" s="382">
        <f t="array" ref="L132">IF($G132=0, INDEX(LS_previous!$D$4:$AY$138, MATCH('Staging Table'!$A132, LS_previous!$B$4:$B$138, 0), MATCH(L$4&amp;L$5, LS_previous!$D$2:$AY$2&amp;LS_previous!$D$3:$AY$3, 0)),SUM(VLOOKUP($A132, LS_previous!$B$4:$AY$138, LS_previous!D$149, FALSE), VLOOKUP('Staging Table'!$A132, LS_previous!$B$4:$AY$138,LS_previous!AB$149, FALSE))/2)</f>
        <v>-203.03217542248967</v>
      </c>
      <c r="M132" s="382">
        <f t="array" ref="M132">IF($G132=0, INDEX(LS_previous!$D$4:$AY$138, MATCH('Staging Table'!$A132, LS_previous!$B$4:$B$138, 0), MATCH(M$4&amp;M$5, LS_previous!$D$2:$AY$2&amp;LS_previous!$D$3:$AY$3, 0)),SUM(VLOOKUP($A132, LS_previous!$B$4:$AY$138, LS_previous!E$149, FALSE), VLOOKUP('Staging Table'!$A132, LS_previous!$B$4:$AY$138,LS_previous!AC$149, FALSE))/2)</f>
        <v>2245.6752933826619</v>
      </c>
      <c r="N132" s="382">
        <f t="array" ref="N132">IF($G132=0, INDEX(LS_previous!$D$4:$AY$138, MATCH('Staging Table'!$A132, LS_previous!$B$4:$B$138, 0), MATCH(N$4&amp;N$5, LS_previous!$D$2:$AY$2&amp;LS_previous!$D$3:$AY$3, 0)),SUM(VLOOKUP($A132, LS_previous!$B$4:$AY$138, LS_previous!F$149, FALSE), VLOOKUP('Staging Table'!$A132, LS_previous!$B$4:$AY$138,LS_previous!AD$149, FALSE))/2)</f>
        <v>-2696.5188250499341</v>
      </c>
      <c r="O132" s="382">
        <f t="array" ref="O132">IF($G132=0, INDEX(LS_previous!$D$4:$AY$138, MATCH('Staging Table'!$A132, LS_previous!$B$4:$B$138, 0), MATCH(O$4&amp;O$5, LS_previous!$D$2:$AY$2&amp;LS_previous!$D$3:$AY$3, 0)),SUM(VLOOKUP($A132, LS_previous!$B$4:$AY$138, LS_previous!G$149, FALSE), VLOOKUP('Staging Table'!$A132, LS_previous!$B$4:$AY$138,LS_previous!AE$149, FALSE))/2)</f>
        <v>425.50477312062685</v>
      </c>
      <c r="P132" s="382">
        <f t="array" ref="P132">IF($G132=0, INDEX(LS_previous!$D$4:$AY$138, MATCH('Staging Table'!$A132, LS_previous!$B$4:$B$138, 0), MATCH(P$4&amp;P$5, LS_previous!$D$2:$AY$2&amp;LS_previous!$D$3:$AY$3, 0)),SUM(VLOOKUP($A132, LS_previous!$B$4:$AY$138, LS_previous!H$149, FALSE), VLOOKUP('Staging Table'!$A132, LS_previous!$B$4:$AY$138,LS_previous!AF$149, FALSE))/2)</f>
        <v>-2129.7097471953912</v>
      </c>
      <c r="Q132" s="382">
        <f t="array" ref="Q132">IF($G132=0, INDEX(LS_previous!$D$4:$AY$138, MATCH('Staging Table'!$A132, LS_previous!$B$4:$B$138, 0), MATCH(Q$4&amp;Q$5, LS_previous!$D$2:$AY$2&amp;LS_previous!$D$3:$AY$3, 0)),SUM(VLOOKUP($A132, LS_previous!$B$4:$AY$138, LS_previous!I$149, FALSE), VLOOKUP('Staging Table'!$A132, LS_previous!$B$4:$AY$138,LS_previous!AG$149, FALSE))/2)</f>
        <v>1181.7434155155397</v>
      </c>
      <c r="R132" s="382">
        <f t="array" ref="R132">IF($G132=0, INDEX(LS_previous!$D$4:$AY$138, MATCH('Staging Table'!$A132, LS_previous!$B$4:$B$138, 0), MATCH(R$4&amp;R$5, LS_previous!$D$2:$AY$2&amp;LS_previous!$D$3:$AY$3, 0)),SUM(VLOOKUP($A132, LS_previous!$B$4:$AY$138, LS_previous!J$149, FALSE), VLOOKUP('Staging Table'!$A132, LS_previous!$B$4:$AY$138,LS_previous!AH$149, FALSE))/2)</f>
        <v>-58.332877222945172</v>
      </c>
      <c r="S132" s="382">
        <f t="array" ref="S132">IF($G132=0, INDEX(LS_previous!$D$4:$AY$138, MATCH('Staging Table'!$A132, LS_previous!$B$4:$B$138, 0), MATCH(S$4&amp;S$5, LS_previous!$D$2:$AY$2&amp;LS_previous!$D$3:$AY$3, 0)),SUM(VLOOKUP($A132, LS_previous!$B$4:$AY$138, LS_previous!K$149, FALSE), VLOOKUP('Staging Table'!$A132, LS_previous!$B$4:$AY$138,LS_previous!AI$149, FALSE))/2)</f>
        <v>1717.6232718548017</v>
      </c>
      <c r="T132" s="382">
        <f t="array" ref="T132">IF($G132=0, INDEX(LS_previous!$D$4:$AY$138, MATCH('Staging Table'!$A132, LS_previous!$B$4:$B$138, 0), MATCH(T$4&amp;T$5, LS_previous!$D$2:$AY$2&amp;LS_previous!$D$3:$AY$3, 0)),SUM(VLOOKUP($A132, LS_previous!$B$4:$AY$138, LS_previous!L$149, FALSE), VLOOKUP('Staging Table'!$A132, LS_previous!$B$4:$AY$138,LS_previous!AJ$149, FALSE))/2)</f>
        <v>118.99110289375494</v>
      </c>
      <c r="U132" s="382">
        <f t="array" ref="U132">IF($G132=0, INDEX(LS_previous!$D$4:$AY$138, MATCH('Staging Table'!$A132, LS_previous!$B$4:$B$138, 0), MATCH(U$4&amp;U$5, LS_previous!$D$2:$AY$2&amp;LS_previous!$D$3:$AY$3, 0)),SUM(VLOOKUP($A132, LS_previous!$B$4:$AY$138, LS_previous!M$149, FALSE), VLOOKUP('Staging Table'!$A132, LS_previous!$B$4:$AY$138,LS_previous!AK$149, FALSE))/2)</f>
        <v>1618.5482432217086</v>
      </c>
      <c r="V132" s="382">
        <f t="array" ref="V132">IF($G132=0, INDEX(LS_previous!$D$4:$AY$138, MATCH('Staging Table'!$A132, LS_previous!$B$4:$B$138, 0), MATCH(V$4&amp;V$5, LS_previous!$D$2:$AY$2&amp;LS_previous!$D$3:$AY$3, 0)),SUM(VLOOKUP($A132, LS_previous!$B$4:$AY$138, LS_previous!N$149, FALSE), VLOOKUP('Staging Table'!$A132, LS_previous!$B$4:$AY$138,LS_previous!AL$149, FALSE))/2)</f>
        <v>-481.63296077250197</v>
      </c>
      <c r="W132" s="382">
        <f t="array" ref="W132">IF($G132=0, INDEX(LS_previous!$D$4:$AY$138, MATCH('Staging Table'!$A132, LS_previous!$B$4:$B$138, 0), MATCH(W$4&amp;W$5, LS_previous!$D$2:$AY$2&amp;LS_previous!$D$3:$AY$3, 0)),SUM(VLOOKUP($A132, LS_previous!$B$4:$AY$138, LS_previous!O$149, FALSE), VLOOKUP('Staging Table'!$A132, LS_previous!$B$4:$AY$138,LS_previous!AM$149, FALSE))/2)</f>
        <v>936.60899331035125</v>
      </c>
      <c r="X132" s="382">
        <f t="array" ref="X132">IF($G132=0, INDEX(LS_previous!$D$4:$AY$138, MATCH('Staging Table'!$A132, LS_previous!$B$4:$B$138, 0), MATCH(X$4&amp;X$5, LS_previous!$D$2:$AY$2&amp;LS_previous!$D$3:$AY$3, 0)),SUM(VLOOKUP($A132, LS_previous!$B$4:$AY$138, LS_previous!P$149, FALSE), VLOOKUP('Staging Table'!$A132, LS_previous!$B$4:$AY$138,LS_previous!AN$149, FALSE))/2)</f>
        <v>581.33654412105534</v>
      </c>
      <c r="Y132" s="382">
        <f t="array" ref="Y132">IF($G132=0, INDEX(LS_previous!$D$4:$AY$138, MATCH('Staging Table'!$A132, LS_previous!$B$4:$B$138, 0), MATCH(Y$4&amp;Y$5, LS_previous!$D$2:$AY$2&amp;LS_previous!$D$3:$AY$3, 0)),SUM(VLOOKUP($A132, LS_previous!$B$4:$AY$138, LS_previous!Q$149, FALSE), VLOOKUP('Staging Table'!$A132, LS_previous!$B$4:$AY$138,LS_previous!AO$149, FALSE))/2)</f>
        <v>2284.4978312935773</v>
      </c>
      <c r="Z132" s="382">
        <f t="array" ref="Z132">IF($G132=0, INDEX(LS_previous!$D$4:$AY$138, MATCH('Staging Table'!$A132, LS_previous!$B$4:$B$138, 0), MATCH(Z$4&amp;Z$5, LS_previous!$D$2:$AY$2&amp;LS_previous!$D$3:$AY$3, 0)),SUM(VLOOKUP($A132, LS_previous!$B$4:$AY$138, LS_previous!R$149, FALSE), VLOOKUP('Staging Table'!$A132, LS_previous!$B$4:$AY$138,LS_previous!AP$149, FALSE))/2)</f>
        <v>-5303.4923192264814</v>
      </c>
      <c r="AA132" s="382">
        <f t="array" ref="AA132">IF($G132=0, INDEX(LS_previous!$D$4:$AY$138, MATCH('Staging Table'!$A132, LS_previous!$B$4:$B$138, 0), MATCH(AA$4&amp;AA$5, LS_previous!$D$2:$AY$2&amp;LS_previous!$D$3:$AY$3, 0)),SUM(VLOOKUP($A132, LS_previous!$B$4:$AY$138, LS_previous!S$149, FALSE), VLOOKUP('Staging Table'!$A132, LS_previous!$B$4:$AY$138,LS_previous!AQ$149, FALSE))/2)</f>
        <v>-481.32067242174162</v>
      </c>
      <c r="AB132" s="382">
        <f t="array" ref="AB132">IF($G132=0, INDEX(LS_previous!$D$4:$AY$138, MATCH('Staging Table'!$A132, LS_previous!$B$4:$B$138, 0), MATCH(AB$4&amp;AB$5, LS_previous!$D$2:$AY$2&amp;LS_previous!$D$3:$AY$3, 0)),SUM(VLOOKUP($A132, LS_previous!$B$4:$AY$138, LS_previous!T$149, FALSE), VLOOKUP('Staging Table'!$A132, LS_previous!$B$4:$AY$138,LS_previous!AR$149, FALSE))/2)</f>
        <v>-2049.9859410084373</v>
      </c>
      <c r="AC132" s="382">
        <f t="array" ref="AC132">IF($G132=0, INDEX(LS_previous!$D$4:$AY$138, MATCH('Staging Table'!$A132, LS_previous!$B$4:$B$138, 0), MATCH(AC$4&amp;AC$5, LS_previous!$D$2:$AY$2&amp;LS_previous!$D$3:$AY$3, 0)),SUM(VLOOKUP($A132, LS_previous!$B$4:$AY$138, LS_previous!U$149, FALSE), VLOOKUP('Staging Table'!$A132, LS_previous!$B$4:$AY$138,LS_previous!AS$149, FALSE))/2)</f>
        <v>565.0504184296824</v>
      </c>
      <c r="AD132" s="382">
        <f t="array" ref="AD132">IF($G132=0, INDEX(LS_previous!$D$4:$AY$138, MATCH('Staging Table'!$A132, LS_previous!$B$4:$B$138, 0), MATCH(AD$4&amp;AD$5, LS_previous!$D$2:$AY$2&amp;LS_previous!$D$3:$AY$3, 0)),SUM(VLOOKUP($A132, LS_previous!$B$4:$AY$138, LS_previous!V$149, FALSE), VLOOKUP('Staging Table'!$A132, LS_previous!$B$4:$AY$138,LS_previous!AT$149, FALSE))/2)</f>
        <v>-1510.6124028702707</v>
      </c>
      <c r="AE132" s="382">
        <f t="array" ref="AE132">IF($G132=0, INDEX(LS_previous!$D$4:$AY$138, MATCH('Staging Table'!$A132, LS_previous!$B$4:$B$138, 0), MATCH(AE$4&amp;AE$5, LS_previous!$D$2:$AY$2&amp;LS_previous!$D$3:$AY$3, 0)),SUM(VLOOKUP($A132, LS_previous!$B$4:$AY$138, LS_previous!W$149, FALSE), VLOOKUP('Staging Table'!$A132, LS_previous!$B$4:$AY$138,LS_previous!AU$149, FALSE))/2)</f>
        <v>2504.9840177777933</v>
      </c>
      <c r="AF132" s="382">
        <f t="array" ref="AF132">IF($G132=0, INDEX(LS_previous!$D$4:$AY$138, MATCH('Staging Table'!$A132, LS_previous!$B$4:$B$138, 0), MATCH(AF$4&amp;AF$5, LS_previous!$D$2:$AY$2&amp;LS_previous!$D$3:$AY$3, 0)),SUM(VLOOKUP($A132, LS_previous!$B$4:$AY$138, LS_previous!X$149, FALSE), VLOOKUP('Staging Table'!$A132, LS_previous!$B$4:$AY$138,LS_previous!AV$149, FALSE))/2)</f>
        <v>-1549.948711954039</v>
      </c>
      <c r="AG132" s="382">
        <f t="array" ref="AG132">IF($G132=0, INDEX(LS_previous!$D$4:$AY$138, MATCH('Staging Table'!$A132, LS_previous!$B$4:$B$138, 0), MATCH(AG$4&amp;AG$5, LS_previous!$D$2:$AY$2&amp;LS_previous!$D$3:$AY$3, 0)),SUM(VLOOKUP($A132, LS_previous!$B$4:$AY$138, LS_previous!Y$149, FALSE), VLOOKUP('Staging Table'!$A132, LS_previous!$B$4:$AY$138,LS_previous!AW$149, FALSE))/2)</f>
        <v>1490.1011919351586</v>
      </c>
      <c r="AH132" s="382">
        <f t="array" ref="AH132">IF($G132=0, INDEX(LS_previous!$D$4:$AY$138, MATCH('Staging Table'!$A132, LS_previous!$B$4:$B$138, 0), MATCH(AH$4&amp;AH$5, LS_previous!$D$2:$AY$2&amp;LS_previous!$D$3:$AY$3, 0)),SUM(VLOOKUP($A132, LS_previous!$B$4:$AY$138, LS_previous!Z$149, FALSE), VLOOKUP('Staging Table'!$A132, LS_previous!$B$4:$AY$138,LS_previous!AX$149, FALSE))/2)</f>
        <v>57.08362978067089</v>
      </c>
      <c r="AI132" s="382">
        <f t="array" ref="AI132">IF($G132=0, INDEX(LS_previous!$D$4:$AY$138, MATCH('Staging Table'!$A132, LS_previous!$B$4:$B$138, 0), MATCH(AI$4&amp;AI$5, LS_previous!$D$2:$AY$2&amp;LS_previous!$D$3:$AY$3, 0)),SUM(VLOOKUP($A132, LS_previous!$B$4:$AY$138, LS_previous!AA$149, FALSE), VLOOKUP('Staging Table'!$A132, LS_previous!$B$4:$AY$138,LS_previous!AY$149, FALSE))/2)</f>
        <v>2473.4462658152206</v>
      </c>
      <c r="AJ132" s="384">
        <f t="array" ref="AJ132">INDEX(Demand_previous!$D$4:$AY$138, MATCH('Staging Table'!$A132, Demand_previous!$B$4:$B$138, 0), MATCH(AJ$4&amp;AJ$5,Demand_previous!$D$2:$AY$2&amp;Demand_previous!$D$3:$AY$3, 0))/1000</f>
        <v>2.6293611111111126</v>
      </c>
      <c r="AK132" s="384">
        <f t="array" ref="AK132">INDEX(Demand_previous!$D$4:$AY$138, MATCH('Staging Table'!$A132, Demand_previous!$B$4:$B$138, 0), MATCH(AK$4&amp;AK$5,Demand_previous!$D$2:$AY$2&amp;Demand_previous!$D$3:$AY$3, 0))/1000</f>
        <v>0.99592447916666416</v>
      </c>
      <c r="AL132" s="384">
        <f t="array" ref="AL132">INDEX(Demand_previous!$D$4:$AY$138, MATCH('Staging Table'!$A132, Demand_previous!$B$4:$B$138, 0), MATCH(AL$4&amp;AL$5,Demand_previous!$D$2:$AY$2&amp;Demand_previous!$D$3:$AY$3, 0))/1000</f>
        <v>3.2334182692307714</v>
      </c>
      <c r="AM132" s="384">
        <f t="array" ref="AM132">INDEX(Demand_previous!$D$4:$AY$138, MATCH('Staging Table'!$A132, Demand_previous!$B$4:$B$138, 0), MATCH(AM$4&amp;AM$5,Demand_previous!$D$2:$AY$2&amp;Demand_previous!$D$3:$AY$3, 0))/1000</f>
        <v>0.83211250000000081</v>
      </c>
      <c r="AN132" s="384">
        <f t="array" ref="AN132">INDEX(Demand_previous!$D$4:$AY$138, MATCH('Staging Table'!$A132, Demand_previous!$B$4:$B$138, 0), MATCH(AN$4&amp;AN$5,Demand_previous!$D$2:$AY$2&amp;Demand_previous!$D$3:$AY$3, 0))/1000</f>
        <v>0</v>
      </c>
      <c r="AO132" s="384">
        <f t="array" ref="AO132">INDEX(Demand_previous!$D$4:$AY$138, MATCH('Staging Table'!$A132, Demand_previous!$B$4:$B$138, 0), MATCH(AO$4&amp;AO$5,Demand_previous!$D$2:$AY$2&amp;Demand_previous!$D$3:$AY$3, 0))/1000</f>
        <v>0</v>
      </c>
      <c r="AP132" s="384">
        <f t="array" ref="AP132">INDEX(Demand_previous!$D$4:$AY$138, MATCH('Staging Table'!$A132, Demand_previous!$B$4:$B$138, 0), MATCH(AP$4&amp;AP$5,Demand_previous!$D$2:$AY$2&amp;Demand_previous!$D$3:$AY$3, 0))/1000</f>
        <v>2.7552427884615369</v>
      </c>
      <c r="AQ132" s="384">
        <f t="array" ref="AQ132">INDEX(Demand_previous!$D$4:$AY$138, MATCH('Staging Table'!$A132, Demand_previous!$B$4:$B$138, 0), MATCH(AQ$4&amp;AQ$5,Demand_previous!$D$2:$AY$2&amp;Demand_previous!$D$3:$AY$3, 0))/1000</f>
        <v>0.7327174999999998</v>
      </c>
      <c r="AR132" s="384">
        <f t="array" ref="AR132">INDEX(Demand_previous!$D$4:$AY$138, MATCH('Staging Table'!$A132, Demand_previous!$B$4:$B$138, 0), MATCH(AR$4&amp;AR$5,Demand_previous!$D$2:$AY$2&amp;Demand_previous!$D$3:$AY$3, 0))/1000</f>
        <v>2.283670673076923</v>
      </c>
      <c r="AS132" s="384">
        <f t="array" ref="AS132">INDEX(Demand_previous!$D$4:$AY$138, MATCH('Staging Table'!$A132, Demand_previous!$B$4:$B$138, 0), MATCH(AS$4&amp;AS$5,Demand_previous!$D$2:$AY$2&amp;Demand_previous!$D$3:$AY$3, 0))/1000</f>
        <v>1.4803125000000001</v>
      </c>
      <c r="AT132" s="384">
        <f t="array" ref="AT132">INDEX(Demand_previous!$D$4:$AY$138, MATCH('Staging Table'!$A132, Demand_previous!$B$4:$B$138, 0), MATCH(AT$4&amp;AT$5,Demand_previous!$D$2:$AY$2&amp;Demand_previous!$D$3:$AY$3, 0))/1000</f>
        <v>1.7019166666666692</v>
      </c>
      <c r="AU132" s="384">
        <f t="array" ref="AU132">INDEX(Demand_previous!$D$4:$AY$138, MATCH('Staging Table'!$A132, Demand_previous!$B$4:$B$138, 0), MATCH(AU$4&amp;AU$5,Demand_previous!$D$2:$AY$2&amp;Demand_previous!$D$3:$AY$3, 0))/1000</f>
        <v>2.6460249999999981</v>
      </c>
      <c r="AV132" s="384">
        <f>IF($D132=0,IF(C132=0, MAX(AY132 - (VLOOKUP($A132,TOCA_previous!$A$2:$AI$137,MATCH("RHWM 2016",TOCA_previous!$A$2:$AI$2,0),FALSE)*$F$2*TOCA_previous!C129),0),0), 0)</f>
        <v>0</v>
      </c>
      <c r="AW132" s="427">
        <f>VLOOKUP($A132,REP_previous!$A$1:$D$135,MATCH("FY "&amp;$F$1&amp; " Total Refund",REP_previous!$A$1:$D$1,0),0)</f>
        <v>325361.2838869479</v>
      </c>
      <c r="AX132" s="398">
        <f>MIN(VLOOKUP($A132,TOCA_previous!$A$2:$AI$137,MATCH("TRL - NLSL - Exisiting Resource "&amp;$F$1,TOCA_previous!$A$2:$AI$2,0),FALSE)*$F$2,(VLOOKUP($A132,TOCA_previous!$A$2:$AI$137,MATCH("RHWM 2016",TOCA_previous!$A$2:$AI$2,0),FALSE)*$F$2))</f>
        <v>228304.94399999999</v>
      </c>
      <c r="AY132" s="384">
        <f>SUM(L132:AI132)+(F132*RT1SC!$C$3*$F$2)</f>
        <v>230041.92453738835</v>
      </c>
      <c r="AZ132" s="398">
        <f>VLOOKUP($A132,TOCA_previous!$A$2:$AI$137,MATCH("Above RHWM Not Served with LS "&amp;$F$1,TOCA_previous!$A$2:$AI$2,0),FALSE)*$F$2</f>
        <v>0</v>
      </c>
      <c r="BA132" s="206">
        <f t="shared" si="19"/>
        <v>1736.9805373883573</v>
      </c>
      <c r="BB132" s="399">
        <f>(VLOOKUP($A132,TOCA_previous!$A$2:$AI$137,MATCH("RHWM 2016",TOCA_previous!$A$2:$AI$2,0),FALSE)*$F$2) - $AX132</f>
        <v>5094.7200000000303</v>
      </c>
      <c r="BC132" s="206">
        <f t="shared" si="20"/>
        <v>-1736.9805373883573</v>
      </c>
      <c r="BD132" s="400">
        <f t="shared" si="21"/>
        <v>0</v>
      </c>
      <c r="BE132" s="392">
        <f t="shared" si="22"/>
        <v>0</v>
      </c>
      <c r="BF132" s="399">
        <f t="shared" si="23"/>
        <v>-1736.9805373883573</v>
      </c>
      <c r="BG132" s="206">
        <f>VLOOKUP($A132,TOCA_current!$A$2:$AI$137,MATCH(BG$4,TOCA_current!$A$2:$AI$2,0),FALSE)</f>
        <v>3.7704000000000001E-3</v>
      </c>
      <c r="BH132" s="206">
        <f>VLOOKUP($A132,TOCA_current!$A$2:$AI$137,MATCH(BH$4,TOCA_current!$A$2:$AI$2,0),FALSE)</f>
        <v>3.7704000000000001E-3</v>
      </c>
      <c r="BI132" s="391">
        <f t="shared" si="24"/>
        <v>0</v>
      </c>
      <c r="BJ132" s="206">
        <f>VLOOKUP($A132,TOCA_current!A128:BG263,MATCH(BJ$4,TOCA_current!$A$2:$BG$2,0),FALSE)</f>
        <v>0</v>
      </c>
      <c r="BK132" s="206">
        <f t="shared" si="25"/>
        <v>0</v>
      </c>
      <c r="BL132" s="206">
        <f t="shared" si="26"/>
        <v>0</v>
      </c>
      <c r="BM132" s="381">
        <f>VLOOKUP($A132,IRD!$A$4:$G$139, 7, FALSE)</f>
        <v>0</v>
      </c>
      <c r="BN132" s="382">
        <f t="array" ref="BN132">IF($BI132=0, INDEX(LS_current!$D$4:$AY$139, MATCH('Staging Table'!$A132, LS_current!$B$4:$B$139, 0), MATCH(BN$4&amp;BN$5, LS_current!$D$2:$AY$2&amp;LS_current!$D$3:$AY$3, 0)),SUM(VLOOKUP($A132, LS_current!$B$4:$AY$139, LS_current!D$149, FALSE), VLOOKUP($A132, LS_current!$B$4:$AY$139,LS_current!D$149, FALSE))/2)</f>
        <v>-411.40312517076381</v>
      </c>
      <c r="BO132" s="382">
        <f t="array" ref="BO132">IF($BI132=0, INDEX(LS_current!$D$4:$AY$139, MATCH('Staging Table'!$A132, LS_current!$B$4:$B$139, 0), MATCH(BO$4&amp;BO$5, LS_current!$D$2:$AY$2&amp;LS_current!$D$3:$AY$3, 0)),SUM(VLOOKUP($A132, LS_current!$B$4:$AY$139, LS_current!E$149, FALSE), VLOOKUP($A132, LS_current!$B$4:$AY$139,LS_current!E$149, FALSE))/2)</f>
        <v>2497.5172258573921</v>
      </c>
      <c r="BP132" s="382">
        <f t="array" ref="BP132">IF($BI132=0, INDEX(LS_current!$D$4:$AY$139, MATCH('Staging Table'!$A132, LS_current!$B$4:$B$139, 0), MATCH(BP$4&amp;BP$5, LS_current!$D$2:$AY$2&amp;LS_current!$D$3:$AY$3, 0)),SUM(VLOOKUP($A132, LS_current!$B$4:$AY$139, LS_current!F$149, FALSE), VLOOKUP($A132, LS_current!$B$4:$AY$139,LS_current!F$149, FALSE))/2)</f>
        <v>-3151.2382304785788</v>
      </c>
      <c r="BQ132" s="382">
        <f t="array" ref="BQ132">IF($BI132=0, INDEX(LS_current!$D$4:$AY$139, MATCH('Staging Table'!$A132, LS_current!$B$4:$B$139, 0), MATCH(BQ$4&amp;BQ$5, LS_current!$D$2:$AY$2&amp;LS_current!$D$3:$AY$3, 0)),SUM(VLOOKUP($A132, LS_current!$B$4:$AY$139, LS_current!G$149, FALSE), VLOOKUP($A132, LS_current!$B$4:$AY$139,LS_current!G$149, FALSE))/2)</f>
        <v>394.27563047130479</v>
      </c>
      <c r="BR132" s="382">
        <f t="array" ref="BR132">IF($BI132=0, INDEX(LS_current!$D$4:$AY$139, MATCH('Staging Table'!$A132, LS_current!$B$4:$B$139, 0), MATCH(BR$4&amp;BR$5, LS_current!$D$2:$AY$2&amp;LS_current!$D$3:$AY$3, 0)),SUM(VLOOKUP($A132, LS_current!$B$4:$AY$139, LS_current!H$149, FALSE), VLOOKUP($A132, LS_current!$B$4:$AY$139,LS_current!H$149, FALSE))/2)</f>
        <v>-2730.1410818592176</v>
      </c>
      <c r="BS132" s="382">
        <f t="array" ref="BS132">IF($BI132=0, INDEX(LS_current!$D$4:$AY$139, MATCH('Staging Table'!$A132, LS_current!$B$4:$B$139, 0), MATCH(BS$4&amp;BS$5, LS_current!$D$2:$AY$2&amp;LS_current!$D$3:$AY$3, 0)),SUM(VLOOKUP($A132, LS_current!$B$4:$AY$139, LS_current!I$149, FALSE), VLOOKUP($A132, LS_current!$B$4:$AY$139,LS_current!I$149, FALSE))/2)</f>
        <v>1001.5145920695923</v>
      </c>
      <c r="BT132" s="382">
        <f t="array" ref="BT132">IF($BI132=0, INDEX(LS_current!$D$4:$AY$139, MATCH('Staging Table'!$A132, LS_current!$B$4:$B$139, 0), MATCH(BT$4&amp;BT$5, LS_current!$D$2:$AY$2&amp;LS_current!$D$3:$AY$3, 0)),SUM(VLOOKUP($A132, LS_current!$B$4:$AY$139, LS_current!J$149, FALSE), VLOOKUP($A132, LS_current!$B$4:$AY$139,LS_current!J$149, FALSE))/2)</f>
        <v>-330.41215430369994</v>
      </c>
      <c r="BU132" s="382">
        <f t="array" ref="BU132">IF($BI132=0, INDEX(LS_current!$D$4:$AY$139, MATCH('Staging Table'!$A132, LS_current!$B$4:$B$139, 0), MATCH(BU$4&amp;BU$5, LS_current!$D$2:$AY$2&amp;LS_current!$D$3:$AY$3, 0)),SUM(VLOOKUP($A132, LS_current!$B$4:$AY$139, LS_current!K$149, FALSE), VLOOKUP($A132, LS_current!$B$4:$AY$139,LS_current!K$149, FALSE))/2)</f>
        <v>1600.2262347444348</v>
      </c>
      <c r="BV132" s="382">
        <f t="array" ref="BV132">IF($BI132=0, INDEX(LS_current!$D$4:$AY$139, MATCH('Staging Table'!$A132, LS_current!$B$4:$B$139, 0), MATCH(BV$4&amp;BV$5, LS_current!$D$2:$AY$2&amp;LS_current!$D$3:$AY$3, 0)),SUM(VLOOKUP($A132, LS_current!$B$4:$AY$139, LS_current!L$149, FALSE), VLOOKUP($A132, LS_current!$B$4:$AY$139,LS_current!L$149, FALSE))/2)</f>
        <v>769.29489245985133</v>
      </c>
      <c r="BW132" s="382">
        <f t="array" ref="BW132">IF($BI132=0, INDEX(LS_current!$D$4:$AY$139, MATCH('Staging Table'!$A132, LS_current!$B$4:$B$139, 0), MATCH(BW$4&amp;BW$5, LS_current!$D$2:$AY$2&amp;LS_current!$D$3:$AY$3, 0)),SUM(VLOOKUP($A132, LS_current!$B$4:$AY$139, LS_current!M$149, FALSE), VLOOKUP($A132, LS_current!$B$4:$AY$139,LS_current!M$149, FALSE))/2)</f>
        <v>2155.1845466067798</v>
      </c>
      <c r="BX132" s="382">
        <f t="array" ref="BX132">IF($BI132=0, INDEX(LS_current!$D$4:$AY$139, MATCH('Staging Table'!$A132, LS_current!$B$4:$B$139, 0), MATCH(BX$4&amp;BX$5, LS_current!$D$2:$AY$2&amp;LS_current!$D$3:$AY$3, 0)),SUM(VLOOKUP($A132, LS_current!$B$4:$AY$139, LS_current!N$149, FALSE), VLOOKUP($A132, LS_current!$B$4:$AY$139,LS_current!N$149, FALSE))/2)</f>
        <v>-25.640391782160805</v>
      </c>
      <c r="BY132" s="382">
        <f t="array" ref="BY132">IF($BI132=0, INDEX(LS_current!$D$4:$AY$139, MATCH('Staging Table'!$A132, LS_current!$B$4:$B$139, 0), MATCH(BY$4&amp;BY$5, LS_current!$D$2:$AY$2&amp;LS_current!$D$3:$AY$3, 0)),SUM(VLOOKUP($A132, LS_current!$B$4:$AY$139, LS_current!O$149, FALSE), VLOOKUP($A132, LS_current!$B$4:$AY$139,LS_current!O$149, FALSE))/2)</f>
        <v>1524.3993228167574</v>
      </c>
      <c r="BZ132" s="382">
        <f t="array" ref="BZ132">IF($BI132=0, INDEX(LS_current!$D$4:$AY$139, MATCH('Staging Table'!$A132, LS_current!$B$4:$B$139, 0), MATCH(BZ$4&amp;BZ$5, LS_current!$D$2:$AY$2&amp;LS_current!$D$3:$AY$3, 0)),SUM(VLOOKUP($A132, LS_current!$B$4:$AY$139, LS_current!P$149, FALSE), VLOOKUP($A132, LS_current!$B$4:$AY$139,LS_current!P$149, FALSE))/2)</f>
        <v>-692.4979812911788</v>
      </c>
      <c r="CA132" s="382">
        <f t="array" ref="CA132">IF($BI132=0, INDEX(LS_current!$D$4:$AY$139, MATCH('Staging Table'!$A132, LS_current!$B$4:$B$139, 0), MATCH(CA$4&amp;CA$5, LS_current!$D$2:$AY$2&amp;LS_current!$D$3:$AY$3, 0)),SUM(VLOOKUP($A132, LS_current!$B$4:$AY$139, LS_current!Q$149, FALSE), VLOOKUP($A132, LS_current!$B$4:$AY$139,LS_current!Q$149, FALSE))/2)</f>
        <v>2123.9183641272475</v>
      </c>
      <c r="CB132" s="382">
        <f t="array" ref="CB132">IF($BI132=0, INDEX(LS_current!$D$4:$AY$139, MATCH('Staging Table'!$A132, LS_current!$B$4:$B$139, 0), MATCH(CB$4&amp;CB$5, LS_current!$D$2:$AY$2&amp;LS_current!$D$3:$AY$3, 0)),SUM(VLOOKUP($A132, LS_current!$B$4:$AY$139, LS_current!R$149, FALSE), VLOOKUP($A132, LS_current!$B$4:$AY$139,LS_current!R$149, FALSE))/2)</f>
        <v>-5369.713102489457</v>
      </c>
      <c r="CC132" s="382">
        <f t="array" ref="CC132">IF($BI132=0, INDEX(LS_current!$D$4:$AY$139, MATCH('Staging Table'!$A132, LS_current!$B$4:$B$139, 0), MATCH(CC$4&amp;CC$5, LS_current!$D$2:$AY$2&amp;LS_current!$D$3:$AY$3, 0)),SUM(VLOOKUP($A132, LS_current!$B$4:$AY$139, LS_current!S$149, FALSE), VLOOKUP($A132, LS_current!$B$4:$AY$139,LS_current!S$149, FALSE))/2)</f>
        <v>-737.44225641398953</v>
      </c>
      <c r="CD132" s="382">
        <f t="array" ref="CD132">IF($BI132=0, INDEX(LS_current!$D$4:$AY$139, MATCH('Staging Table'!$A132, LS_current!$B$4:$B$139, 0), MATCH(CD$4&amp;CD$5, LS_current!$D$2:$AY$2&amp;LS_current!$D$3:$AY$3, 0)),SUM(VLOOKUP($A132, LS_current!$B$4:$AY$139, LS_current!T$149, FALSE), VLOOKUP($A132, LS_current!$B$4:$AY$139,LS_current!T$149, FALSE))/2)</f>
        <v>-2156.8152162449442</v>
      </c>
      <c r="CE132" s="382">
        <f t="array" ref="CE132">IF($BI132=0, INDEX(LS_current!$D$4:$AY$139, MATCH('Staging Table'!$A132, LS_current!$B$4:$B$139, 0), MATCH(CE$4&amp;CE$5, LS_current!$D$2:$AY$2&amp;LS_current!$D$3:$AY$3, 0)),SUM(VLOOKUP($A132, LS_current!$B$4:$AY$139, LS_current!U$149, FALSE), VLOOKUP($A132, LS_current!$B$4:$AY$139,LS_current!U$149, FALSE))/2)</f>
        <v>992.24279876329365</v>
      </c>
      <c r="CF132" s="382">
        <f t="array" ref="CF132">IF($BI132=0, INDEX(LS_current!$D$4:$AY$139, MATCH('Staging Table'!$A132, LS_current!$B$4:$B$139, 0), MATCH(CF$4&amp;CF$5, LS_current!$D$2:$AY$2&amp;LS_current!$D$3:$AY$3, 0)),SUM(VLOOKUP($A132, LS_current!$B$4:$AY$139, LS_current!V$149, FALSE), VLOOKUP($A132, LS_current!$B$4:$AY$139,LS_current!V$149, FALSE))/2)</f>
        <v>-924.45720116358279</v>
      </c>
      <c r="CG132" s="382">
        <f t="array" ref="CG132">IF($BI132=0, INDEX(LS_current!$D$4:$AY$139, MATCH('Staging Table'!$A132, LS_current!$B$4:$B$139, 0), MATCH(CG$4&amp;CG$5, LS_current!$D$2:$AY$2&amp;LS_current!$D$3:$AY$3, 0)),SUM(VLOOKUP($A132, LS_current!$B$4:$AY$139, LS_current!W$149, FALSE), VLOOKUP($A132, LS_current!$B$4:$AY$139,LS_current!W$149, FALSE))/2)</f>
        <v>2881.9094734055407</v>
      </c>
      <c r="CH132" s="382">
        <f t="array" ref="CH132">IF($BI132=0, INDEX(LS_current!$D$4:$AY$139, MATCH('Staging Table'!$A132, LS_current!$B$4:$B$139, 0), MATCH(CH$4&amp;CH$5, LS_current!$D$2:$AY$2&amp;LS_current!$D$3:$AY$3, 0)),SUM(VLOOKUP($A132, LS_current!$B$4:$AY$139, LS_current!X$149, FALSE), VLOOKUP($A132, LS_current!$B$4:$AY$139,LS_current!X$149, FALSE))/2)</f>
        <v>-1651.3915760757154</v>
      </c>
      <c r="CI132" s="382">
        <f t="array" ref="CI132">IF($BI132=0, INDEX(LS_current!$D$4:$AY$139, MATCH('Staging Table'!$A132, LS_current!$B$4:$B$139, 0), MATCH(CI$4&amp;CI$5, LS_current!$D$2:$AY$2&amp;LS_current!$D$3:$AY$3, 0)),SUM(VLOOKUP($A132, LS_current!$B$4:$AY$139, LS_current!Y$149, FALSE), VLOOKUP($A132, LS_current!$B$4:$AY$139,LS_current!Y$149, FALSE))/2)</f>
        <v>1614.7558872243553</v>
      </c>
      <c r="CJ132" s="382">
        <f t="array" ref="CJ132">IF($BI132=0, INDEX(LS_current!$D$4:$AY$139, MATCH('Staging Table'!$A132, LS_current!$B$4:$B$139, 0), MATCH(CJ$4&amp;CJ$5, LS_current!$D$2:$AY$2&amp;LS_current!$D$3:$AY$3, 0)),SUM(VLOOKUP($A132, LS_current!$B$4:$AY$139, LS_current!Z$149, FALSE), VLOOKUP($A132, LS_current!$B$4:$AY$139,LS_current!Z$149, FALSE))/2)</f>
        <v>-1121.8585920350542</v>
      </c>
      <c r="CK132" s="382">
        <f t="array" ref="CK132">IF($BI132=0, INDEX(LS_current!$D$4:$AY$139, MATCH('Staging Table'!$A132, LS_current!$B$4:$B$139, 0), MATCH(CK$4&amp;CK$5, LS_current!$D$2:$AY$2&amp;LS_current!$D$3:$AY$3, 0)),SUM(VLOOKUP($A132, LS_current!$B$4:$AY$139, LS_current!AA$149, FALSE), VLOOKUP($A132, LS_current!$B$4:$AY$139,LS_current!AA$149, FALSE))/2)</f>
        <v>2410.4364276226997</v>
      </c>
      <c r="CL132" s="384">
        <f t="array" ref="CL132">INDEX(Demand_current!$D$4:$AY$138, MATCH($A132, Demand_current!$B$4:$B$138, 0), MATCH(CL$4&amp;CL$5,Demand_current!$D$2:$AY$2&amp;Demand_current!$D$3:$AY$3, 0))/1000</f>
        <v>1.642259615384617</v>
      </c>
      <c r="CM132" s="384">
        <f t="array" ref="CM132">INDEX(Demand_current!$D$4:$AY$138, MATCH($A132, Demand_current!$B$4:$B$138, 0), MATCH(CM$4&amp;CM$5,Demand_current!$D$2:$AY$2&amp;Demand_current!$D$3:$AY$3, 0))/1000</f>
        <v>2.1018074999999996</v>
      </c>
      <c r="CN132" s="384">
        <f t="array" ref="CN132">INDEX(Demand_current!$D$4:$AY$138, MATCH($A132, Demand_current!$B$4:$B$138, 0), MATCH(CN$4&amp;CN$5,Demand_current!$D$2:$AY$2&amp;Demand_current!$D$3:$AY$3, 0))/1000</f>
        <v>2.2028750000000024</v>
      </c>
      <c r="CO132" s="384">
        <f t="array" ref="CO132">INDEX(Demand_current!$D$4:$AY$138, MATCH($A132, Demand_current!$B$4:$B$138, 0), MATCH(CO$4&amp;CO$5,Demand_current!$D$2:$AY$2&amp;Demand_current!$D$3:$AY$3, 0))/1000</f>
        <v>1.8960312500000001</v>
      </c>
      <c r="CP132" s="384">
        <f t="array" ref="CP132">INDEX(Demand_current!$D$4:$AY$138, MATCH($A132, Demand_current!$B$4:$B$138, 0), MATCH(CP$4&amp;CP$5,Demand_current!$D$2:$AY$2&amp;Demand_current!$D$3:$AY$3, 0))/1000</f>
        <v>0</v>
      </c>
      <c r="CQ132" s="384">
        <f t="array" ref="CQ132">INDEX(Demand_current!$D$4:$AY$138, MATCH($A132, Demand_current!$B$4:$B$138, 0), MATCH(CQ$4&amp;CQ$5,Demand_current!$D$2:$AY$2&amp;Demand_current!$D$3:$AY$3, 0))/1000</f>
        <v>0</v>
      </c>
      <c r="CR132" s="384">
        <f t="array" ref="CR132">INDEX(Demand_current!$D$4:$AY$138, MATCH($A132, Demand_current!$B$4:$B$138, 0), MATCH(CR$4&amp;CR$5,Demand_current!$D$2:$AY$2&amp;Demand_current!$D$3:$AY$3, 0))/1000</f>
        <v>1.7578125</v>
      </c>
      <c r="CS132" s="384">
        <f t="array" ref="CS132">INDEX(Demand_current!$D$4:$AY$138, MATCH($A132, Demand_current!$B$4:$B$138, 0), MATCH(CS$4&amp;CS$5,Demand_current!$D$2:$AY$2&amp;Demand_current!$D$3:$AY$3, 0))/1000</f>
        <v>1.7638052884615369</v>
      </c>
      <c r="CT132" s="384">
        <f t="array" ref="CT132">INDEX(Demand_current!$D$4:$AY$138, MATCH($A132, Demand_current!$B$4:$B$138, 0), MATCH(CT$4&amp;CT$5,Demand_current!$D$2:$AY$2&amp;Demand_current!$D$3:$AY$3, 0))/1000</f>
        <v>2.283670673076923</v>
      </c>
      <c r="CU132" s="384">
        <f t="array" ref="CU132">INDEX(Demand_current!$D$4:$AY$138, MATCH($A132, Demand_current!$B$4:$B$138, 0), MATCH(CU$4&amp;CU$5,Demand_current!$D$2:$AY$2&amp;Demand_current!$D$3:$AY$3, 0))/1000</f>
        <v>1.4803125000000001</v>
      </c>
      <c r="CV132" s="384">
        <f t="array" ref="CV132">INDEX(Demand_current!$D$4:$AY$138, MATCH($A132, Demand_current!$B$4:$B$138, 0), MATCH(CV$4&amp;CV$5,Demand_current!$D$2:$AY$2&amp;Demand_current!$D$3:$AY$3, 0))/1000</f>
        <v>1.7019166666666692</v>
      </c>
      <c r="CW132" s="384">
        <f t="array" ref="CW132">INDEX(Demand_current!$D$4:$AY$138, MATCH($A132, Demand_current!$B$4:$B$138, 0), MATCH(CW$4&amp;CW$5,Demand_current!$D$2:$AY$2&amp;Demand_current!$D$3:$AY$3, 0))/1000</f>
        <v>1.5941510416666667</v>
      </c>
      <c r="CX132" s="384">
        <f>IF(D132=0,IF(C132=0,MAX(0,DA132 - (VLOOKUP($A132,TOCA_current!$A$2:$AI$137,MATCH("RHWM 2018",TOCA_current!$A$2:$AI$2,0),FALSE)*$BH$2)), 0),0)</f>
        <v>0</v>
      </c>
      <c r="CY132" s="427">
        <f>VLOOKUP($A132,REP_current!$A$1:$D$135,MATCH("FY "&amp;$BH$1&amp; " Total Refund",REP_current!$A$1:$D$1,0),0)</f>
        <v>329541.98011314787</v>
      </c>
      <c r="CZ132" s="432">
        <f>MIN(VLOOKUP($A132,TOCA_current!$A$2:$AI$137,MATCH("TRL - NLSL - Existing Resource "&amp;$BH$1,TOCA_current!$A$2:$AI$2,0),FALSE)*$BH$2, VLOOKUP($A132,TOCA_current!$A$2:$AI$137,MATCH("RHWM 2018",TOCA_current!$A$2:$AI$2,0),FALSE)*$BH$2)</f>
        <v>229380.59999999998</v>
      </c>
      <c r="DA132" s="397">
        <f>SUM(BN132:CK132)+(BH132*RT1SC!$C$4*$BH$2)</f>
        <v>230041.92734644489</v>
      </c>
      <c r="DB132" s="432">
        <f>VLOOKUP($A132,TOCA_current!$A$2:$AI$137,MATCH("Above RHWM Not Served with LS "&amp;$BH$1,TOCA_current!$A$2:$AI$2,0),FALSE)*$BH$2</f>
        <v>0</v>
      </c>
      <c r="DC132" s="401">
        <f t="shared" si="27"/>
        <v>661.32734644491575</v>
      </c>
      <c r="DD132" s="397">
        <f>(VLOOKUP($A132,TOCA_current!$A$2:$AI$137,MATCH("RHWM 2018",TOCA_current!$A$2:$AI$2,0),FALSE)*$BH$2) - $CZ132</f>
        <v>1900.9200000000419</v>
      </c>
      <c r="DE132" s="397">
        <f t="shared" si="28"/>
        <v>-661.32734644491575</v>
      </c>
      <c r="DF132" s="397">
        <f t="shared" si="29"/>
        <v>0</v>
      </c>
      <c r="DG132" s="397">
        <f t="shared" si="30"/>
        <v>0</v>
      </c>
      <c r="DH132" s="397">
        <f t="shared" si="31"/>
        <v>-661.32734644491575</v>
      </c>
    </row>
    <row r="133" spans="1:112">
      <c r="A133" s="274">
        <v>10482</v>
      </c>
      <c r="B133" s="275" t="s">
        <v>134</v>
      </c>
      <c r="C133" s="397">
        <v>0</v>
      </c>
      <c r="D133" s="397">
        <v>0</v>
      </c>
      <c r="E133" s="205">
        <f>VLOOKUP($A133,TOCA_previous!$A$2:$AI$137,MATCH(E$4,TOCA_previous!$A$2:$AI$2,0),FALSE)</f>
        <v>4.0660000000000002E-4</v>
      </c>
      <c r="F133" s="206">
        <f>VLOOKUP($A133,TOCA_previous!$A$2:$AI$137,MATCH(F$4,TOCA_previous!$A$2:$AI$2,0),FALSE)</f>
        <v>4.0660000000000002E-4</v>
      </c>
      <c r="G133" s="206">
        <f t="shared" si="16"/>
        <v>0</v>
      </c>
      <c r="H133" s="206">
        <f>VLOOKUP($A133,TOCA_previous!$A$2:$AI$137,MATCH(H$4,TOCA_previous!$A$2:$AI$2,0),FALSE)</f>
        <v>0</v>
      </c>
      <c r="I133" s="206">
        <f t="shared" si="17"/>
        <v>0</v>
      </c>
      <c r="J133" s="206">
        <f t="shared" si="18"/>
        <v>0</v>
      </c>
      <c r="K133" s="381">
        <f>VLOOKUP(A133, IRD!$A$5:$C$139, 3, FALSE)</f>
        <v>0</v>
      </c>
      <c r="L133" s="382">
        <f t="array" ref="L133">IF($G133=0, INDEX(LS_previous!$D$4:$AY$138, MATCH('Staging Table'!$A133, LS_previous!$B$4:$B$138, 0), MATCH(L$4&amp;L$5, LS_previous!$D$2:$AY$2&amp;LS_previous!$D$3:$AY$3, 0)),SUM(VLOOKUP($A133, LS_previous!$B$4:$AY$138, LS_previous!D$149, FALSE), VLOOKUP('Staging Table'!$A133, LS_previous!$B$4:$AY$138,LS_previous!AB$149, FALSE))/2)</f>
        <v>-131.84711147952271</v>
      </c>
      <c r="M133" s="382">
        <f t="array" ref="M133">IF($G133=0, INDEX(LS_previous!$D$4:$AY$138, MATCH('Staging Table'!$A133, LS_previous!$B$4:$B$138, 0), MATCH(M$4&amp;M$5, LS_previous!$D$2:$AY$2&amp;LS_previous!$D$3:$AY$3, 0)),SUM(VLOOKUP($A133, LS_previous!$B$4:$AY$138, LS_previous!E$149, FALSE), VLOOKUP('Staging Table'!$A133, LS_previous!$B$4:$AY$138,LS_previous!AC$149, FALSE))/2)</f>
        <v>173.63337557479599</v>
      </c>
      <c r="N133" s="382">
        <f t="array" ref="N133">IF($G133=0, INDEX(LS_previous!$D$4:$AY$138, MATCH('Staging Table'!$A133, LS_previous!$B$4:$B$138, 0), MATCH(N$4&amp;N$5, LS_previous!$D$2:$AY$2&amp;LS_previous!$D$3:$AY$3, 0)),SUM(VLOOKUP($A133, LS_previous!$B$4:$AY$138, LS_previous!F$149, FALSE), VLOOKUP('Staging Table'!$A133, LS_previous!$B$4:$AY$138,LS_previous!AD$149, FALSE))/2)</f>
        <v>-318.75285396703498</v>
      </c>
      <c r="O133" s="382">
        <f t="array" ref="O133">IF($G133=0, INDEX(LS_previous!$D$4:$AY$138, MATCH('Staging Table'!$A133, LS_previous!$B$4:$B$138, 0), MATCH(O$4&amp;O$5, LS_previous!$D$2:$AY$2&amp;LS_previous!$D$3:$AY$3, 0)),SUM(VLOOKUP($A133, LS_previous!$B$4:$AY$138, LS_previous!G$149, FALSE), VLOOKUP('Staging Table'!$A133, LS_previous!$B$4:$AY$138,LS_previous!AE$149, FALSE))/2)</f>
        <v>8.1565365800232712</v>
      </c>
      <c r="P133" s="382">
        <f t="array" ref="P133">IF($G133=0, INDEX(LS_previous!$D$4:$AY$138, MATCH('Staging Table'!$A133, LS_previous!$B$4:$B$138, 0), MATCH(P$4&amp;P$5, LS_previous!$D$2:$AY$2&amp;LS_previous!$D$3:$AY$3, 0)),SUM(VLOOKUP($A133, LS_previous!$B$4:$AY$138, LS_previous!H$149, FALSE), VLOOKUP('Staging Table'!$A133, LS_previous!$B$4:$AY$138,LS_previous!AF$149, FALSE))/2)</f>
        <v>-232.50067791769106</v>
      </c>
      <c r="Q133" s="382">
        <f t="array" ref="Q133">IF($G133=0, INDEX(LS_previous!$D$4:$AY$138, MATCH('Staging Table'!$A133, LS_previous!$B$4:$B$138, 0), MATCH(Q$4&amp;Q$5, LS_previous!$D$2:$AY$2&amp;LS_previous!$D$3:$AY$3, 0)),SUM(VLOOKUP($A133, LS_previous!$B$4:$AY$138, LS_previous!I$149, FALSE), VLOOKUP('Staging Table'!$A133, LS_previous!$B$4:$AY$138,LS_previous!AG$149, FALSE))/2)</f>
        <v>106.54923915868301</v>
      </c>
      <c r="R133" s="382">
        <f t="array" ref="R133">IF($G133=0, INDEX(LS_previous!$D$4:$AY$138, MATCH('Staging Table'!$A133, LS_previous!$B$4:$B$138, 0), MATCH(R$4&amp;R$5, LS_previous!$D$2:$AY$2&amp;LS_previous!$D$3:$AY$3, 0)),SUM(VLOOKUP($A133, LS_previous!$B$4:$AY$138, LS_previous!J$149, FALSE), VLOOKUP('Staging Table'!$A133, LS_previous!$B$4:$AY$138,LS_previous!AH$149, FALSE))/2)</f>
        <v>-25.860179172178732</v>
      </c>
      <c r="S133" s="382">
        <f t="array" ref="S133">IF($G133=0, INDEX(LS_previous!$D$4:$AY$138, MATCH('Staging Table'!$A133, LS_previous!$B$4:$B$138, 0), MATCH(S$4&amp;S$5, LS_previous!$D$2:$AY$2&amp;LS_previous!$D$3:$AY$3, 0)),SUM(VLOOKUP($A133, LS_previous!$B$4:$AY$138, LS_previous!K$149, FALSE), VLOOKUP('Staging Table'!$A133, LS_previous!$B$4:$AY$138,LS_previous!AI$149, FALSE))/2)</f>
        <v>156.28197435146751</v>
      </c>
      <c r="T133" s="382">
        <f t="array" ref="T133">IF($G133=0, INDEX(LS_previous!$D$4:$AY$138, MATCH('Staging Table'!$A133, LS_previous!$B$4:$B$138, 0), MATCH(T$4&amp;T$5, LS_previous!$D$2:$AY$2&amp;LS_previous!$D$3:$AY$3, 0)),SUM(VLOOKUP($A133, LS_previous!$B$4:$AY$138, LS_previous!L$149, FALSE), VLOOKUP('Staging Table'!$A133, LS_previous!$B$4:$AY$138,LS_previous!AJ$149, FALSE))/2)</f>
        <v>-14.940622719881503</v>
      </c>
      <c r="U133" s="382">
        <f t="array" ref="U133">IF($G133=0, INDEX(LS_previous!$D$4:$AY$138, MATCH('Staging Table'!$A133, LS_previous!$B$4:$B$138, 0), MATCH(U$4&amp;U$5, LS_previous!$D$2:$AY$2&amp;LS_previous!$D$3:$AY$3, 0)),SUM(VLOOKUP($A133, LS_previous!$B$4:$AY$138, LS_previous!M$149, FALSE), VLOOKUP('Staging Table'!$A133, LS_previous!$B$4:$AY$138,LS_previous!AK$149, FALSE))/2)</f>
        <v>140.19565929445105</v>
      </c>
      <c r="V133" s="382">
        <f t="array" ref="V133">IF($G133=0, INDEX(LS_previous!$D$4:$AY$138, MATCH('Staging Table'!$A133, LS_previous!$B$4:$B$138, 0), MATCH(V$4&amp;V$5, LS_previous!$D$2:$AY$2&amp;LS_previous!$D$3:$AY$3, 0)),SUM(VLOOKUP($A133, LS_previous!$B$4:$AY$138, LS_previous!N$149, FALSE), VLOOKUP('Staging Table'!$A133, LS_previous!$B$4:$AY$138,LS_previous!AL$149, FALSE))/2)</f>
        <v>-111.22332779422345</v>
      </c>
      <c r="W133" s="382">
        <f t="array" ref="W133">IF($G133=0, INDEX(LS_previous!$D$4:$AY$138, MATCH('Staging Table'!$A133, LS_previous!$B$4:$B$138, 0), MATCH(W$4&amp;W$5, LS_previous!$D$2:$AY$2&amp;LS_previous!$D$3:$AY$3, 0)),SUM(VLOOKUP($A133, LS_previous!$B$4:$AY$138, LS_previous!O$149, FALSE), VLOOKUP('Staging Table'!$A133, LS_previous!$B$4:$AY$138,LS_previous!AM$149, FALSE))/2)</f>
        <v>45.992971595913218</v>
      </c>
      <c r="X133" s="382">
        <f t="array" ref="X133">IF($G133=0, INDEX(LS_previous!$D$4:$AY$138, MATCH('Staging Table'!$A133, LS_previous!$B$4:$B$138, 0), MATCH(X$4&amp;X$5, LS_previous!$D$2:$AY$2&amp;LS_previous!$D$3:$AY$3, 0)),SUM(VLOOKUP($A133, LS_previous!$B$4:$AY$138, LS_previous!P$149, FALSE), VLOOKUP('Staging Table'!$A133, LS_previous!$B$4:$AY$138,LS_previous!AN$149, FALSE))/2)</f>
        <v>-9.9822977325038664</v>
      </c>
      <c r="Y133" s="382">
        <f t="array" ref="Y133">IF($G133=0, INDEX(LS_previous!$D$4:$AY$138, MATCH('Staging Table'!$A133, LS_previous!$B$4:$B$138, 0), MATCH(Y$4&amp;Y$5, LS_previous!$D$2:$AY$2&amp;LS_previous!$D$3:$AY$3, 0)),SUM(VLOOKUP($A133, LS_previous!$B$4:$AY$138, LS_previous!Q$149, FALSE), VLOOKUP('Staging Table'!$A133, LS_previous!$B$4:$AY$138,LS_previous!AO$149, FALSE))/2)</f>
        <v>189.53568801826123</v>
      </c>
      <c r="Z133" s="382">
        <f t="array" ref="Z133">IF($G133=0, INDEX(LS_previous!$D$4:$AY$138, MATCH('Staging Table'!$A133, LS_previous!$B$4:$B$138, 0), MATCH(Z$4&amp;Z$5, LS_previous!$D$2:$AY$2&amp;LS_previous!$D$3:$AY$3, 0)),SUM(VLOOKUP($A133, LS_previous!$B$4:$AY$138, LS_previous!R$149, FALSE), VLOOKUP('Staging Table'!$A133, LS_previous!$B$4:$AY$138,LS_previous!AP$149, FALSE))/2)</f>
        <v>-671.64876109550983</v>
      </c>
      <c r="AA133" s="382">
        <f t="array" ref="AA133">IF($G133=0, INDEX(LS_previous!$D$4:$AY$138, MATCH('Staging Table'!$A133, LS_previous!$B$4:$B$138, 0), MATCH(AA$4&amp;AA$5, LS_previous!$D$2:$AY$2&amp;LS_previous!$D$3:$AY$3, 0)),SUM(VLOOKUP($A133, LS_previous!$B$4:$AY$138, LS_previous!S$149, FALSE), VLOOKUP('Staging Table'!$A133, LS_previous!$B$4:$AY$138,LS_previous!AQ$149, FALSE))/2)</f>
        <v>-126.53026835214405</v>
      </c>
      <c r="AB133" s="382">
        <f t="array" ref="AB133">IF($G133=0, INDEX(LS_previous!$D$4:$AY$138, MATCH('Staging Table'!$A133, LS_previous!$B$4:$B$138, 0), MATCH(AB$4&amp;AB$5, LS_previous!$D$2:$AY$2&amp;LS_previous!$D$3:$AY$3, 0)),SUM(VLOOKUP($A133, LS_previous!$B$4:$AY$138, LS_previous!T$149, FALSE), VLOOKUP('Staging Table'!$A133, LS_previous!$B$4:$AY$138,LS_previous!AR$149, FALSE))/2)</f>
        <v>-322.17202165879371</v>
      </c>
      <c r="AC133" s="382">
        <f t="array" ref="AC133">IF($G133=0, INDEX(LS_previous!$D$4:$AY$138, MATCH('Staging Table'!$A133, LS_previous!$B$4:$B$138, 0), MATCH(AC$4&amp;AC$5, LS_previous!$D$2:$AY$2&amp;LS_previous!$D$3:$AY$3, 0)),SUM(VLOOKUP($A133, LS_previous!$B$4:$AY$138, LS_previous!U$149, FALSE), VLOOKUP('Staging Table'!$A133, LS_previous!$B$4:$AY$138,LS_previous!AS$149, FALSE))/2)</f>
        <v>-36.549917427858873</v>
      </c>
      <c r="AD133" s="382">
        <f t="array" ref="AD133">IF($G133=0, INDEX(LS_previous!$D$4:$AY$138, MATCH('Staging Table'!$A133, LS_previous!$B$4:$B$138, 0), MATCH(AD$4&amp;AD$5, LS_previous!$D$2:$AY$2&amp;LS_previous!$D$3:$AY$3, 0)),SUM(VLOOKUP($A133, LS_previous!$B$4:$AY$138, LS_previous!V$149, FALSE), VLOOKUP('Staging Table'!$A133, LS_previous!$B$4:$AY$138,LS_previous!AT$149, FALSE))/2)</f>
        <v>-217.35069049087929</v>
      </c>
      <c r="AE133" s="382">
        <f t="array" ref="AE133">IF($G133=0, INDEX(LS_previous!$D$4:$AY$138, MATCH('Staging Table'!$A133, LS_previous!$B$4:$B$138, 0), MATCH(AE$4&amp;AE$5, LS_previous!$D$2:$AY$2&amp;LS_previous!$D$3:$AY$3, 0)),SUM(VLOOKUP($A133, LS_previous!$B$4:$AY$138, LS_previous!W$149, FALSE), VLOOKUP('Staging Table'!$A133, LS_previous!$B$4:$AY$138,LS_previous!AU$149, FALSE))/2)</f>
        <v>164.78055707373744</v>
      </c>
      <c r="AF133" s="382">
        <f t="array" ref="AF133">IF($G133=0, INDEX(LS_previous!$D$4:$AY$138, MATCH('Staging Table'!$A133, LS_previous!$B$4:$B$138, 0), MATCH(AF$4&amp;AF$5, LS_previous!$D$2:$AY$2&amp;LS_previous!$D$3:$AY$3, 0)),SUM(VLOOKUP($A133, LS_previous!$B$4:$AY$138, LS_previous!X$149, FALSE), VLOOKUP('Staging Table'!$A133, LS_previous!$B$4:$AY$138,LS_previous!AV$149, FALSE))/2)</f>
        <v>-208.4286404837485</v>
      </c>
      <c r="AG133" s="382">
        <f t="array" ref="AG133">IF($G133=0, INDEX(LS_previous!$D$4:$AY$138, MATCH('Staging Table'!$A133, LS_previous!$B$4:$B$138, 0), MATCH(AG$4&amp;AG$5, LS_previous!$D$2:$AY$2&amp;LS_previous!$D$3:$AY$3, 0)),SUM(VLOOKUP($A133, LS_previous!$B$4:$AY$138, LS_previous!Y$149, FALSE), VLOOKUP('Staging Table'!$A133, LS_previous!$B$4:$AY$138,LS_previous!AW$149, FALSE))/2)</f>
        <v>69.289767447833356</v>
      </c>
      <c r="AH133" s="382">
        <f t="array" ref="AH133">IF($G133=0, INDEX(LS_previous!$D$4:$AY$138, MATCH('Staging Table'!$A133, LS_previous!$B$4:$B$138, 0), MATCH(AH$4&amp;AH$5, LS_previous!$D$2:$AY$2&amp;LS_previous!$D$3:$AY$3, 0)),SUM(VLOOKUP($A133, LS_previous!$B$4:$AY$138, LS_previous!Z$149, FALSE), VLOOKUP('Staging Table'!$A133, LS_previous!$B$4:$AY$138,LS_previous!AX$149, FALSE))/2)</f>
        <v>-82.875135983658993</v>
      </c>
      <c r="AI133" s="382">
        <f t="array" ref="AI133">IF($G133=0, INDEX(LS_previous!$D$4:$AY$138, MATCH('Staging Table'!$A133, LS_previous!$B$4:$B$138, 0), MATCH(AI$4&amp;AI$5, LS_previous!$D$2:$AY$2&amp;LS_previous!$D$3:$AY$3, 0)),SUM(VLOOKUP($A133, LS_previous!$B$4:$AY$138, LS_previous!AA$149, FALSE), VLOOKUP('Staging Table'!$A133, LS_previous!$B$4:$AY$138,LS_previous!AY$149, FALSE))/2)</f>
        <v>151.88017686202829</v>
      </c>
      <c r="AJ133" s="384">
        <f t="array" ref="AJ133">INDEX(Demand_previous!$D$4:$AY$138, MATCH('Staging Table'!$A133, Demand_previous!$B$4:$B$138, 0), MATCH(AJ$4&amp;AJ$5,Demand_previous!$D$2:$AY$2&amp;Demand_previous!$D$3:$AY$3, 0))/1000</f>
        <v>0.40719444444444397</v>
      </c>
      <c r="AK133" s="384">
        <f t="array" ref="AK133">INDEX(Demand_previous!$D$4:$AY$138, MATCH('Staging Table'!$A133, Demand_previous!$B$4:$B$138, 0), MATCH(AK$4&amp;AK$5,Demand_previous!$D$2:$AY$2&amp;Demand_previous!$D$3:$AY$3, 0))/1000</f>
        <v>0.23373437500000013</v>
      </c>
      <c r="AL133" s="384">
        <f t="array" ref="AL133">INDEX(Demand_previous!$D$4:$AY$138, MATCH('Staging Table'!$A133, Demand_previous!$B$4:$B$138, 0), MATCH(AL$4&amp;AL$5,Demand_previous!$D$2:$AY$2&amp;Demand_previous!$D$3:$AY$3, 0))/1000</f>
        <v>0.54915625000000035</v>
      </c>
      <c r="AM133" s="384">
        <f t="array" ref="AM133">INDEX(Demand_previous!$D$4:$AY$138, MATCH('Staging Table'!$A133, Demand_previous!$B$4:$B$138, 0), MATCH(AM$4&amp;AM$5,Demand_previous!$D$2:$AY$2&amp;Demand_previous!$D$3:$AY$3, 0))/1000</f>
        <v>0.35587000000000024</v>
      </c>
      <c r="AN133" s="384">
        <f t="array" ref="AN133">INDEX(Demand_previous!$D$4:$AY$138, MATCH('Staging Table'!$A133, Demand_previous!$B$4:$B$138, 0), MATCH(AN$4&amp;AN$5,Demand_previous!$D$2:$AY$2&amp;Demand_previous!$D$3:$AY$3, 0))/1000</f>
        <v>0.38919500000000018</v>
      </c>
      <c r="AO133" s="384">
        <f t="array" ref="AO133">INDEX(Demand_previous!$D$4:$AY$138, MATCH('Staging Table'!$A133, Demand_previous!$B$4:$B$138, 0), MATCH(AO$4&amp;AO$5,Demand_previous!$D$2:$AY$2&amp;Demand_previous!$D$3:$AY$3, 0))/1000</f>
        <v>0.35536342592592574</v>
      </c>
      <c r="AP133" s="384">
        <f t="array" ref="AP133">INDEX(Demand_previous!$D$4:$AY$138, MATCH('Staging Table'!$A133, Demand_previous!$B$4:$B$138, 0), MATCH(AP$4&amp;AP$5,Demand_previous!$D$2:$AY$2&amp;Demand_previous!$D$3:$AY$3, 0))/1000</f>
        <v>0.44161538461538463</v>
      </c>
      <c r="AQ133" s="384">
        <f t="array" ref="AQ133">INDEX(Demand_previous!$D$4:$AY$138, MATCH('Staging Table'!$A133, Demand_previous!$B$4:$B$138, 0), MATCH(AQ$4&amp;AQ$5,Demand_previous!$D$2:$AY$2&amp;Demand_previous!$D$3:$AY$3, 0))/1000</f>
        <v>0.3351075</v>
      </c>
      <c r="AR133" s="384">
        <f t="array" ref="AR133">INDEX(Demand_previous!$D$4:$AY$138, MATCH('Staging Table'!$A133, Demand_previous!$B$4:$B$138, 0), MATCH(AR$4&amp;AR$5,Demand_previous!$D$2:$AY$2&amp;Demand_previous!$D$3:$AY$3, 0))/1000</f>
        <v>0.43616346153846147</v>
      </c>
      <c r="AS133" s="384">
        <f t="array" ref="AS133">INDEX(Demand_previous!$D$4:$AY$138, MATCH('Staging Table'!$A133, Demand_previous!$B$4:$B$138, 0), MATCH(AS$4&amp;AS$5,Demand_previous!$D$2:$AY$2&amp;Demand_previous!$D$3:$AY$3, 0))/1000</f>
        <v>0.54896500000000037</v>
      </c>
      <c r="AT133" s="384">
        <f t="array" ref="AT133">INDEX(Demand_previous!$D$4:$AY$138, MATCH('Staging Table'!$A133, Demand_previous!$B$4:$B$138, 0), MATCH(AT$4&amp;AT$5,Demand_previous!$D$2:$AY$2&amp;Demand_previous!$D$3:$AY$3, 0))/1000</f>
        <v>0.81555555555555526</v>
      </c>
      <c r="AU133" s="384">
        <f t="array" ref="AU133">INDEX(Demand_previous!$D$4:$AY$138, MATCH('Staging Table'!$A133, Demand_previous!$B$4:$B$138, 0), MATCH(AU$4&amp;AU$5,Demand_previous!$D$2:$AY$2&amp;Demand_previous!$D$3:$AY$3, 0))/1000</f>
        <v>0.80895749999999955</v>
      </c>
      <c r="AV133" s="384">
        <f>IF($D133=0,IF(C133=0, MAX(AY133 - (VLOOKUP($A133,TOCA_previous!$A$2:$AI$137,MATCH("RHWM 2016",TOCA_previous!$A$2:$AI$2,0),FALSE)*$F$2*TOCA_previous!C130),0),0), 0)</f>
        <v>0</v>
      </c>
      <c r="AW133" s="427">
        <f>VLOOKUP($A133,REP_previous!$A$1:$D$135,MATCH("FY "&amp;$F$1&amp; " Total Refund",REP_previous!$A$1:$D$1,0),0)</f>
        <v>31562.702965538192</v>
      </c>
      <c r="AX133" s="398">
        <f>MIN(VLOOKUP($A133,TOCA_previous!$A$2:$AI$137,MATCH("TRL - NLSL - Exisiting Resource "&amp;$F$1,TOCA_previous!$A$2:$AI$2,0),FALSE)*$F$2,(VLOOKUP($A133,TOCA_previous!$A$2:$AI$137,MATCH("RHWM 2016",TOCA_previous!$A$2:$AI$2,0),FALSE)*$F$2))</f>
        <v>24937.775999999998</v>
      </c>
      <c r="AY133" s="384">
        <f>SUM(L133:AI133)+(F133*RT1SC!$C$3*$F$2)</f>
        <v>23636.241058705567</v>
      </c>
      <c r="AZ133" s="398">
        <f>VLOOKUP($A133,TOCA_previous!$A$2:$AI$137,MATCH("Above RHWM Not Served with LS "&amp;$F$1,TOCA_previous!$A$2:$AI$2,0),FALSE)*$F$2</f>
        <v>0</v>
      </c>
      <c r="BA133" s="206">
        <f t="shared" si="19"/>
        <v>-1301.5349412944306</v>
      </c>
      <c r="BB133" s="399">
        <f>(VLOOKUP($A133,TOCA_previous!$A$2:$AI$137,MATCH("RHWM 2016",TOCA_previous!$A$2:$AI$2,0),FALSE)*$F$2) - $AX133</f>
        <v>10839.456000000006</v>
      </c>
      <c r="BC133" s="206">
        <f t="shared" si="20"/>
        <v>0</v>
      </c>
      <c r="BD133" s="400">
        <f t="shared" si="21"/>
        <v>1301.5349412944306</v>
      </c>
      <c r="BE133" s="392">
        <f t="shared" si="22"/>
        <v>0</v>
      </c>
      <c r="BF133" s="399">
        <f t="shared" si="23"/>
        <v>1301.5349412944306</v>
      </c>
      <c r="BG133" s="206">
        <f>VLOOKUP($A133,TOCA_current!$A$2:$AI$137,MATCH(BG$4,TOCA_current!$A$2:$AI$2,0),FALSE)</f>
        <v>3.904E-4</v>
      </c>
      <c r="BH133" s="206">
        <f>VLOOKUP($A133,TOCA_current!$A$2:$AI$137,MATCH(BH$4,TOCA_current!$A$2:$AI$2,0),FALSE)</f>
        <v>3.904E-4</v>
      </c>
      <c r="BI133" s="391">
        <f t="shared" si="24"/>
        <v>0</v>
      </c>
      <c r="BJ133" s="206">
        <f>VLOOKUP($A133,TOCA_current!A129:BG264,MATCH(BJ$4,TOCA_current!$A$2:$BG$2,0),FALSE)</f>
        <v>0</v>
      </c>
      <c r="BK133" s="206">
        <f t="shared" si="25"/>
        <v>0</v>
      </c>
      <c r="BL133" s="206">
        <f t="shared" si="26"/>
        <v>0</v>
      </c>
      <c r="BM133" s="381">
        <f>VLOOKUP($A133,IRD!$A$4:$G$139, 7, FALSE)</f>
        <v>0</v>
      </c>
      <c r="BN133" s="382">
        <f t="array" ref="BN133">IF($BI133=0, INDEX(LS_current!$D$4:$AY$139, MATCH('Staging Table'!$A133, LS_current!$B$4:$B$139, 0), MATCH(BN$4&amp;BN$5, LS_current!$D$2:$AY$2&amp;LS_current!$D$3:$AY$3, 0)),SUM(VLOOKUP($A133, LS_current!$B$4:$AY$139, LS_current!D$149, FALSE), VLOOKUP($A133, LS_current!$B$4:$AY$139,LS_current!D$149, FALSE))/2)</f>
        <v>-89.080485695593552</v>
      </c>
      <c r="BO133" s="382">
        <f t="array" ref="BO133">IF($BI133=0, INDEX(LS_current!$D$4:$AY$139, MATCH('Staging Table'!$A133, LS_current!$B$4:$B$139, 0), MATCH(BO$4&amp;BO$5, LS_current!$D$2:$AY$2&amp;LS_current!$D$3:$AY$3, 0)),SUM(VLOOKUP($A133, LS_current!$B$4:$AY$139, LS_current!E$149, FALSE), VLOOKUP($A133, LS_current!$B$4:$AY$139,LS_current!E$149, FALSE))/2)</f>
        <v>236.36622325873282</v>
      </c>
      <c r="BP133" s="382">
        <f t="array" ref="BP133">IF($BI133=0, INDEX(LS_current!$D$4:$AY$139, MATCH('Staging Table'!$A133, LS_current!$B$4:$B$139, 0), MATCH(BP$4&amp;BP$5, LS_current!$D$2:$AY$2&amp;LS_current!$D$3:$AY$3, 0)),SUM(VLOOKUP($A133, LS_current!$B$4:$AY$139, LS_current!F$149, FALSE), VLOOKUP($A133, LS_current!$B$4:$AY$139,LS_current!F$149, FALSE))/2)</f>
        <v>-289.96591607756159</v>
      </c>
      <c r="BQ133" s="382">
        <f t="array" ref="BQ133">IF($BI133=0, INDEX(LS_current!$D$4:$AY$139, MATCH('Staging Table'!$A133, LS_current!$B$4:$B$139, 0), MATCH(BQ$4&amp;BQ$5, LS_current!$D$2:$AY$2&amp;LS_current!$D$3:$AY$3, 0)),SUM(VLOOKUP($A133, LS_current!$B$4:$AY$139, LS_current!G$149, FALSE), VLOOKUP($A133, LS_current!$B$4:$AY$139,LS_current!G$149, FALSE))/2)</f>
        <v>50.803526770633653</v>
      </c>
      <c r="BR133" s="382">
        <f t="array" ref="BR133">IF($BI133=0, INDEX(LS_current!$D$4:$AY$139, MATCH('Staging Table'!$A133, LS_current!$B$4:$B$139, 0), MATCH(BR$4&amp;BR$5, LS_current!$D$2:$AY$2&amp;LS_current!$D$3:$AY$3, 0)),SUM(VLOOKUP($A133, LS_current!$B$4:$AY$139, LS_current!H$149, FALSE), VLOOKUP($A133, LS_current!$B$4:$AY$139,LS_current!H$149, FALSE))/2)</f>
        <v>-221.45488498775694</v>
      </c>
      <c r="BS133" s="382">
        <f t="array" ref="BS133">IF($BI133=0, INDEX(LS_current!$D$4:$AY$139, MATCH('Staging Table'!$A133, LS_current!$B$4:$B$139, 0), MATCH(BS$4&amp;BS$5, LS_current!$D$2:$AY$2&amp;LS_current!$D$3:$AY$3, 0)),SUM(VLOOKUP($A133, LS_current!$B$4:$AY$139, LS_current!I$149, FALSE), VLOOKUP($A133, LS_current!$B$4:$AY$139,LS_current!I$149, FALSE))/2)</f>
        <v>133.24705027158097</v>
      </c>
      <c r="BT133" s="382">
        <f t="array" ref="BT133">IF($BI133=0, INDEX(LS_current!$D$4:$AY$139, MATCH('Staging Table'!$A133, LS_current!$B$4:$B$139, 0), MATCH(BT$4&amp;BT$5, LS_current!$D$2:$AY$2&amp;LS_current!$D$3:$AY$3, 0)),SUM(VLOOKUP($A133, LS_current!$B$4:$AY$139, LS_current!J$149, FALSE), VLOOKUP($A133, LS_current!$B$4:$AY$139,LS_current!J$149, FALSE))/2)</f>
        <v>9.3577561425406657</v>
      </c>
      <c r="BU133" s="382">
        <f t="array" ref="BU133">IF($BI133=0, INDEX(LS_current!$D$4:$AY$139, MATCH('Staging Table'!$A133, LS_current!$B$4:$B$139, 0), MATCH(BU$4&amp;BU$5, LS_current!$D$2:$AY$2&amp;LS_current!$D$3:$AY$3, 0)),SUM(VLOOKUP($A133, LS_current!$B$4:$AY$139, LS_current!K$149, FALSE), VLOOKUP($A133, LS_current!$B$4:$AY$139,LS_current!K$149, FALSE))/2)</f>
        <v>183.62965553899517</v>
      </c>
      <c r="BV133" s="382">
        <f t="array" ref="BV133">IF($BI133=0, INDEX(LS_current!$D$4:$AY$139, MATCH('Staging Table'!$A133, LS_current!$B$4:$B$139, 0), MATCH(BV$4&amp;BV$5, LS_current!$D$2:$AY$2&amp;LS_current!$D$3:$AY$3, 0)),SUM(VLOOKUP($A133, LS_current!$B$4:$AY$139, LS_current!L$149, FALSE), VLOOKUP($A133, LS_current!$B$4:$AY$139,LS_current!L$149, FALSE))/2)</f>
        <v>110.53329885856317</v>
      </c>
      <c r="BW133" s="382">
        <f t="array" ref="BW133">IF($BI133=0, INDEX(LS_current!$D$4:$AY$139, MATCH('Staging Table'!$A133, LS_current!$B$4:$B$139, 0), MATCH(BW$4&amp;BW$5, LS_current!$D$2:$AY$2&amp;LS_current!$D$3:$AY$3, 0)),SUM(VLOOKUP($A133, LS_current!$B$4:$AY$139, LS_current!M$149, FALSE), VLOOKUP($A133, LS_current!$B$4:$AY$139,LS_current!M$149, FALSE))/2)</f>
        <v>230.55806105327997</v>
      </c>
      <c r="BX133" s="382">
        <f t="array" ref="BX133">IF($BI133=0, INDEX(LS_current!$D$4:$AY$139, MATCH('Staging Table'!$A133, LS_current!$B$4:$B$139, 0), MATCH(BX$4&amp;BX$5, LS_current!$D$2:$AY$2&amp;LS_current!$D$3:$AY$3, 0)),SUM(VLOOKUP($A133, LS_current!$B$4:$AY$139, LS_current!N$149, FALSE), VLOOKUP($A133, LS_current!$B$4:$AY$139,LS_current!N$149, FALSE))/2)</f>
        <v>3.1077928729696396</v>
      </c>
      <c r="BY133" s="382">
        <f t="array" ref="BY133">IF($BI133=0, INDEX(LS_current!$D$4:$AY$139, MATCH('Staging Table'!$A133, LS_current!$B$4:$B$139, 0), MATCH(BY$4&amp;BY$5, LS_current!$D$2:$AY$2&amp;LS_current!$D$3:$AY$3, 0)),SUM(VLOOKUP($A133, LS_current!$B$4:$AY$139, LS_current!O$149, FALSE), VLOOKUP($A133, LS_current!$B$4:$AY$139,LS_current!O$149, FALSE))/2)</f>
        <v>147.71190293540803</v>
      </c>
      <c r="BZ133" s="382">
        <f t="array" ref="BZ133">IF($BI133=0, INDEX(LS_current!$D$4:$AY$139, MATCH('Staging Table'!$A133, LS_current!$B$4:$B$139, 0), MATCH(BZ$4&amp;BZ$5, LS_current!$D$2:$AY$2&amp;LS_current!$D$3:$AY$3, 0)),SUM(VLOOKUP($A133, LS_current!$B$4:$AY$139, LS_current!P$149, FALSE), VLOOKUP($A133, LS_current!$B$4:$AY$139,LS_current!P$149, FALSE))/2)</f>
        <v>-86.075654332716795</v>
      </c>
      <c r="CA133" s="382">
        <f t="array" ref="CA133">IF($BI133=0, INDEX(LS_current!$D$4:$AY$139, MATCH('Staging Table'!$A133, LS_current!$B$4:$B$139, 0), MATCH(CA$4&amp;CA$5, LS_current!$D$2:$AY$2&amp;LS_current!$D$3:$AY$3, 0)),SUM(VLOOKUP($A133, LS_current!$B$4:$AY$139, LS_current!Q$149, FALSE), VLOOKUP($A133, LS_current!$B$4:$AY$139,LS_current!Q$149, FALSE))/2)</f>
        <v>206.99093691790722</v>
      </c>
      <c r="CB133" s="382">
        <f t="array" ref="CB133">IF($BI133=0, INDEX(LS_current!$D$4:$AY$139, MATCH('Staging Table'!$A133, LS_current!$B$4:$B$139, 0), MATCH(CB$4&amp;CB$5, LS_current!$D$2:$AY$2&amp;LS_current!$D$3:$AY$3, 0)),SUM(VLOOKUP($A133, LS_current!$B$4:$AY$139, LS_current!R$149, FALSE), VLOOKUP($A133, LS_current!$B$4:$AY$139,LS_current!R$149, FALSE))/2)</f>
        <v>-587.16948801503395</v>
      </c>
      <c r="CC133" s="382">
        <f t="array" ref="CC133">IF($BI133=0, INDEX(LS_current!$D$4:$AY$139, MATCH('Staging Table'!$A133, LS_current!$B$4:$B$139, 0), MATCH(CC$4&amp;CC$5, LS_current!$D$2:$AY$2&amp;LS_current!$D$3:$AY$3, 0)),SUM(VLOOKUP($A133, LS_current!$B$4:$AY$139, LS_current!S$149, FALSE), VLOOKUP($A133, LS_current!$B$4:$AY$139,LS_current!S$149, FALSE))/2)</f>
        <v>-102.32593043285101</v>
      </c>
      <c r="CD133" s="382">
        <f t="array" ref="CD133">IF($BI133=0, INDEX(LS_current!$D$4:$AY$139, MATCH('Staging Table'!$A133, LS_current!$B$4:$B$139, 0), MATCH(CD$4&amp;CD$5, LS_current!$D$2:$AY$2&amp;LS_current!$D$3:$AY$3, 0)),SUM(VLOOKUP($A133, LS_current!$B$4:$AY$139, LS_current!T$149, FALSE), VLOOKUP($A133, LS_current!$B$4:$AY$139,LS_current!T$149, FALSE))/2)</f>
        <v>-259.57104806440316</v>
      </c>
      <c r="CE133" s="382">
        <f t="array" ref="CE133">IF($BI133=0, INDEX(LS_current!$D$4:$AY$139, MATCH('Staging Table'!$A133, LS_current!$B$4:$B$139, 0), MATCH(CE$4&amp;CE$5, LS_current!$D$2:$AY$2&amp;LS_current!$D$3:$AY$3, 0)),SUM(VLOOKUP($A133, LS_current!$B$4:$AY$139, LS_current!U$149, FALSE), VLOOKUP($A133, LS_current!$B$4:$AY$139,LS_current!U$149, FALSE))/2)</f>
        <v>49.377291490873631</v>
      </c>
      <c r="CF133" s="382">
        <f t="array" ref="CF133">IF($BI133=0, INDEX(LS_current!$D$4:$AY$139, MATCH('Staging Table'!$A133, LS_current!$B$4:$B$139, 0), MATCH(CF$4&amp;CF$5, LS_current!$D$2:$AY$2&amp;LS_current!$D$3:$AY$3, 0)),SUM(VLOOKUP($A133, LS_current!$B$4:$AY$139, LS_current!V$149, FALSE), VLOOKUP($A133, LS_current!$B$4:$AY$139,LS_current!V$149, FALSE))/2)</f>
        <v>-88.142612384432141</v>
      </c>
      <c r="CG133" s="382">
        <f t="array" ref="CG133">IF($BI133=0, INDEX(LS_current!$D$4:$AY$139, MATCH('Staging Table'!$A133, LS_current!$B$4:$B$139, 0), MATCH(CG$4&amp;CG$5, LS_current!$D$2:$AY$2&amp;LS_current!$D$3:$AY$3, 0)),SUM(VLOOKUP($A133, LS_current!$B$4:$AY$139, LS_current!W$149, FALSE), VLOOKUP($A133, LS_current!$B$4:$AY$139,LS_current!W$149, FALSE))/2)</f>
        <v>240.47138404878081</v>
      </c>
      <c r="CH133" s="382">
        <f t="array" ref="CH133">IF($BI133=0, INDEX(LS_current!$D$4:$AY$139, MATCH('Staging Table'!$A133, LS_current!$B$4:$B$139, 0), MATCH(CH$4&amp;CH$5, LS_current!$D$2:$AY$2&amp;LS_current!$D$3:$AY$3, 0)),SUM(VLOOKUP($A133, LS_current!$B$4:$AY$139, LS_current!X$149, FALSE), VLOOKUP($A133, LS_current!$B$4:$AY$139,LS_current!X$149, FALSE))/2)</f>
        <v>-145.64530811053442</v>
      </c>
      <c r="CI133" s="382">
        <f t="array" ref="CI133">IF($BI133=0, INDEX(LS_current!$D$4:$AY$139, MATCH('Staging Table'!$A133, LS_current!$B$4:$B$139, 0), MATCH(CI$4&amp;CI$5, LS_current!$D$2:$AY$2&amp;LS_current!$D$3:$AY$3, 0)),SUM(VLOOKUP($A133, LS_current!$B$4:$AY$139, LS_current!Y$149, FALSE), VLOOKUP($A133, LS_current!$B$4:$AY$139,LS_current!Y$149, FALSE))/2)</f>
        <v>119.45250264491528</v>
      </c>
      <c r="CJ133" s="382">
        <f t="array" ref="CJ133">IF($BI133=0, INDEX(LS_current!$D$4:$AY$139, MATCH('Staging Table'!$A133, LS_current!$B$4:$B$139, 0), MATCH(CJ$4&amp;CJ$5, LS_current!$D$2:$AY$2&amp;LS_current!$D$3:$AY$3, 0)),SUM(VLOOKUP($A133, LS_current!$B$4:$AY$139, LS_current!Z$149, FALSE), VLOOKUP($A133, LS_current!$B$4:$AY$139,LS_current!Z$149, FALSE))/2)</f>
        <v>-147.72416548124465</v>
      </c>
      <c r="CK133" s="382">
        <f t="array" ref="CK133">IF($BI133=0, INDEX(LS_current!$D$4:$AY$139, MATCH('Staging Table'!$A133, LS_current!$B$4:$B$139, 0), MATCH(CK$4&amp;CK$5, LS_current!$D$2:$AY$2&amp;LS_current!$D$3:$AY$3, 0)),SUM(VLOOKUP($A133, LS_current!$B$4:$AY$139, LS_current!AA$149, FALSE), VLOOKUP($A133, LS_current!$B$4:$AY$139,LS_current!AA$149, FALSE))/2)</f>
        <v>181.08284249520011</v>
      </c>
      <c r="CL133" s="384">
        <f t="array" ref="CL133">INDEX(Demand_current!$D$4:$AY$138, MATCH($A133, Demand_current!$B$4:$B$138, 0), MATCH(CL$4&amp;CL$5,Demand_current!$D$2:$AY$2&amp;Demand_current!$D$3:$AY$3, 0))/1000</f>
        <v>0.30912499999999987</v>
      </c>
      <c r="CM133" s="384">
        <f t="array" ref="CM133">INDEX(Demand_current!$D$4:$AY$138, MATCH($A133, Demand_current!$B$4:$B$138, 0), MATCH(CM$4&amp;CM$5,Demand_current!$D$2:$AY$2&amp;Demand_current!$D$3:$AY$3, 0))/1000</f>
        <v>0.35202500000000037</v>
      </c>
      <c r="CN133" s="384">
        <f t="array" ref="CN133">INDEX(Demand_current!$D$4:$AY$138, MATCH($A133, Demand_current!$B$4:$B$138, 0), MATCH(CN$4&amp;CN$5,Demand_current!$D$2:$AY$2&amp;Demand_current!$D$3:$AY$3, 0))/1000</f>
        <v>0.43656250000000008</v>
      </c>
      <c r="CO133" s="384">
        <f t="array" ref="CO133">INDEX(Demand_current!$D$4:$AY$138, MATCH($A133, Demand_current!$B$4:$B$138, 0), MATCH(CO$4&amp;CO$5,Demand_current!$D$2:$AY$2&amp;Demand_current!$D$3:$AY$3, 0))/1000</f>
        <v>0.47022115384615393</v>
      </c>
      <c r="CP133" s="384">
        <f t="array" ref="CP133">INDEX(Demand_current!$D$4:$AY$138, MATCH($A133, Demand_current!$B$4:$B$138, 0), MATCH(CP$4&amp;CP$5,Demand_current!$D$2:$AY$2&amp;Demand_current!$D$3:$AY$3, 0))/1000</f>
        <v>0.27466145833333377</v>
      </c>
      <c r="CQ133" s="384">
        <f t="array" ref="CQ133">INDEX(Demand_current!$D$4:$AY$138, MATCH($A133, Demand_current!$B$4:$B$138, 0), MATCH(CQ$4&amp;CQ$5,Demand_current!$D$2:$AY$2&amp;Demand_current!$D$3:$AY$3, 0))/1000</f>
        <v>0.35536342592592574</v>
      </c>
      <c r="CR133" s="384">
        <f t="array" ref="CR133">INDEX(Demand_current!$D$4:$AY$138, MATCH($A133, Demand_current!$B$4:$B$138, 0), MATCH(CR$4&amp;CR$5,Demand_current!$D$2:$AY$2&amp;Demand_current!$D$3:$AY$3, 0))/1000</f>
        <v>0.33971999999999991</v>
      </c>
      <c r="CS133" s="384">
        <f t="array" ref="CS133">INDEX(Demand_current!$D$4:$AY$138, MATCH($A133, Demand_current!$B$4:$B$138, 0), MATCH(CS$4&amp;CS$5,Demand_current!$D$2:$AY$2&amp;Demand_current!$D$3:$AY$3, 0))/1000</f>
        <v>0.43887259615384633</v>
      </c>
      <c r="CT133" s="384">
        <f t="array" ref="CT133">INDEX(Demand_current!$D$4:$AY$138, MATCH($A133, Demand_current!$B$4:$B$138, 0), MATCH(CT$4&amp;CT$5,Demand_current!$D$2:$AY$2&amp;Demand_current!$D$3:$AY$3, 0))/1000</f>
        <v>0.43616346153846147</v>
      </c>
      <c r="CU133" s="384">
        <f t="array" ref="CU133">INDEX(Demand_current!$D$4:$AY$138, MATCH($A133, Demand_current!$B$4:$B$138, 0), MATCH(CU$4&amp;CU$5,Demand_current!$D$2:$AY$2&amp;Demand_current!$D$3:$AY$3, 0))/1000</f>
        <v>0.54896500000000037</v>
      </c>
      <c r="CV133" s="384">
        <f t="array" ref="CV133">INDEX(Demand_current!$D$4:$AY$138, MATCH($A133, Demand_current!$B$4:$B$138, 0), MATCH(CV$4&amp;CV$5,Demand_current!$D$2:$AY$2&amp;Demand_current!$D$3:$AY$3, 0))/1000</f>
        <v>0.81555555555555526</v>
      </c>
      <c r="CW133" s="384">
        <f t="array" ref="CW133">INDEX(Demand_current!$D$4:$AY$138, MATCH($A133, Demand_current!$B$4:$B$138, 0), MATCH(CW$4&amp;CW$5,Demand_current!$D$2:$AY$2&amp;Demand_current!$D$3:$AY$3, 0))/1000</f>
        <v>0.70333072916666639</v>
      </c>
      <c r="CX133" s="384">
        <f>IF(D133=0,IF(C133=0,MAX(0,DA133 - (VLOOKUP($A133,TOCA_current!$A$2:$AI$137,MATCH("RHWM 2018",TOCA_current!$A$2:$AI$2,0),FALSE)*$BH$2)), 0),0)</f>
        <v>0</v>
      </c>
      <c r="CY133" s="427">
        <f>VLOOKUP($A133,REP_current!$A$1:$D$135,MATCH("FY "&amp;$BH$1&amp; " Total Refund",REP_current!$A$1:$D$1,0),0)</f>
        <v>31167.066926376116</v>
      </c>
      <c r="CZ133" s="432">
        <f>MIN(VLOOKUP($A133,TOCA_current!$A$2:$AI$137,MATCH("TRL - NLSL - Existing Resource "&amp;$BH$1,TOCA_current!$A$2:$AI$2,0),FALSE)*$BH$2, VLOOKUP($A133,TOCA_current!$A$2:$AI$137,MATCH("RHWM 2018",TOCA_current!$A$2:$AI$2,0),FALSE)*$BH$2)</f>
        <v>23748.359999999997</v>
      </c>
      <c r="DA133" s="397">
        <f>SUM(BN133:CK133)+(BH133*RT1SC!$C$4*$BH$2)</f>
        <v>23636.241346502251</v>
      </c>
      <c r="DB133" s="432">
        <f>VLOOKUP($A133,TOCA_current!$A$2:$AI$137,MATCH("Above RHWM Not Served with LS "&amp;$BH$1,TOCA_current!$A$2:$AI$2,0),FALSE)*$BH$2</f>
        <v>0</v>
      </c>
      <c r="DC133" s="401">
        <f t="shared" si="27"/>
        <v>-112.11865349774598</v>
      </c>
      <c r="DD133" s="397">
        <f>(VLOOKUP($A133,TOCA_current!$A$2:$AI$137,MATCH("RHWM 2018",TOCA_current!$A$2:$AI$2,0),FALSE)*$BH$2) - $CZ133</f>
        <v>11712.120000000006</v>
      </c>
      <c r="DE133" s="397">
        <f t="shared" si="28"/>
        <v>0</v>
      </c>
      <c r="DF133" s="397">
        <f t="shared" si="29"/>
        <v>112.11865349774598</v>
      </c>
      <c r="DG133" s="397">
        <f t="shared" si="30"/>
        <v>0</v>
      </c>
      <c r="DH133" s="397">
        <f t="shared" si="31"/>
        <v>112.11865349774598</v>
      </c>
    </row>
    <row r="134" spans="1:112">
      <c r="A134" s="274">
        <v>10502</v>
      </c>
      <c r="B134" s="275" t="s">
        <v>135</v>
      </c>
      <c r="C134" s="397">
        <v>0</v>
      </c>
      <c r="D134" s="397">
        <v>0</v>
      </c>
      <c r="E134" s="205">
        <f>VLOOKUP($A134,TOCA_previous!$A$2:$AI$137,MATCH(E$4,TOCA_previous!$A$2:$AI$2,0),FALSE)</f>
        <v>1.6497E-3</v>
      </c>
      <c r="F134" s="206">
        <f>VLOOKUP($A134,TOCA_previous!$A$2:$AI$137,MATCH(F$4,TOCA_previous!$A$2:$AI$2,0),FALSE)</f>
        <v>1.6497E-3</v>
      </c>
      <c r="G134" s="206">
        <f t="shared" si="16"/>
        <v>0</v>
      </c>
      <c r="H134" s="206">
        <f>VLOOKUP($A134,TOCA_previous!$A$2:$AI$137,MATCH(H$4,TOCA_previous!$A$2:$AI$2,0),FALSE)</f>
        <v>7.1239999999999998E-2</v>
      </c>
      <c r="I134" s="206">
        <f t="shared" si="17"/>
        <v>0</v>
      </c>
      <c r="J134" s="206">
        <f t="shared" si="18"/>
        <v>0</v>
      </c>
      <c r="K134" s="381">
        <f>VLOOKUP(A134, IRD!$A$5:$C$139, 3, FALSE)</f>
        <v>7189.6970000000001</v>
      </c>
      <c r="L134" s="382">
        <f t="array" ref="L134">IF($G134=0, INDEX(LS_previous!$D$4:$AY$138, MATCH('Staging Table'!$A134, LS_previous!$B$4:$B$138, 0), MATCH(L$4&amp;L$5, LS_previous!$D$2:$AY$2&amp;LS_previous!$D$3:$AY$3, 0)),SUM(VLOOKUP($A134, LS_previous!$B$4:$AY$138, LS_previous!D$149, FALSE), VLOOKUP('Staging Table'!$A134, LS_previous!$B$4:$AY$138,LS_previous!AB$149, FALSE))/2)</f>
        <v>2262.5593270836971</v>
      </c>
      <c r="M134" s="382">
        <f t="array" ref="M134">IF($G134=0, INDEX(LS_previous!$D$4:$AY$138, MATCH('Staging Table'!$A134, LS_previous!$B$4:$B$138, 0), MATCH(M$4&amp;M$5, LS_previous!$D$2:$AY$2&amp;LS_previous!$D$3:$AY$3, 0)),SUM(VLOOKUP($A134, LS_previous!$B$4:$AY$138, LS_previous!E$149, FALSE), VLOOKUP('Staging Table'!$A134, LS_previous!$B$4:$AY$138,LS_previous!AC$149, FALSE))/2)</f>
        <v>1370.6150179186943</v>
      </c>
      <c r="N134" s="382">
        <f t="array" ref="N134">IF($G134=0, INDEX(LS_previous!$D$4:$AY$138, MATCH('Staging Table'!$A134, LS_previous!$B$4:$B$138, 0), MATCH(N$4&amp;N$5, LS_previous!$D$2:$AY$2&amp;LS_previous!$D$3:$AY$3, 0)),SUM(VLOOKUP($A134, LS_previous!$B$4:$AY$138, LS_previous!F$149, FALSE), VLOOKUP('Staging Table'!$A134, LS_previous!$B$4:$AY$138,LS_previous!AD$149, FALSE))/2)</f>
        <v>-754.35777124795186</v>
      </c>
      <c r="O134" s="382">
        <f t="array" ref="O134">IF($G134=0, INDEX(LS_previous!$D$4:$AY$138, MATCH('Staging Table'!$A134, LS_previous!$B$4:$B$138, 0), MATCH(O$4&amp;O$5, LS_previous!$D$2:$AY$2&amp;LS_previous!$D$3:$AY$3, 0)),SUM(VLOOKUP($A134, LS_previous!$B$4:$AY$138, LS_previous!G$149, FALSE), VLOOKUP('Staging Table'!$A134, LS_previous!$B$4:$AY$138,LS_previous!AE$149, FALSE))/2)</f>
        <v>-353.7708490013174</v>
      </c>
      <c r="P134" s="382">
        <f t="array" ref="P134">IF($G134=0, INDEX(LS_previous!$D$4:$AY$138, MATCH('Staging Table'!$A134, LS_previous!$B$4:$B$138, 0), MATCH(P$4&amp;P$5, LS_previous!$D$2:$AY$2&amp;LS_previous!$D$3:$AY$3, 0)),SUM(VLOOKUP($A134, LS_previous!$B$4:$AY$138, LS_previous!H$149, FALSE), VLOOKUP('Staging Table'!$A134, LS_previous!$B$4:$AY$138,LS_previous!AF$149, FALSE))/2)</f>
        <v>-338.08215017416296</v>
      </c>
      <c r="Q134" s="382">
        <f t="array" ref="Q134">IF($G134=0, INDEX(LS_previous!$D$4:$AY$138, MATCH('Staging Table'!$A134, LS_previous!$B$4:$B$138, 0), MATCH(Q$4&amp;Q$5, LS_previous!$D$2:$AY$2&amp;LS_previous!$D$3:$AY$3, 0)),SUM(VLOOKUP($A134, LS_previous!$B$4:$AY$138, LS_previous!I$149, FALSE), VLOOKUP('Staging Table'!$A134, LS_previous!$B$4:$AY$138,LS_previous!AG$149, FALSE))/2)</f>
        <v>-204.19046940462476</v>
      </c>
      <c r="R134" s="382">
        <f t="array" ref="R134">IF($G134=0, INDEX(LS_previous!$D$4:$AY$138, MATCH('Staging Table'!$A134, LS_previous!$B$4:$B$138, 0), MATCH(R$4&amp;R$5, LS_previous!$D$2:$AY$2&amp;LS_previous!$D$3:$AY$3, 0)),SUM(VLOOKUP($A134, LS_previous!$B$4:$AY$138, LS_previous!J$149, FALSE), VLOOKUP('Staging Table'!$A134, LS_previous!$B$4:$AY$138,LS_previous!AH$149, FALSE))/2)</f>
        <v>876.21691642807764</v>
      </c>
      <c r="S134" s="382">
        <f t="array" ref="S134">IF($G134=0, INDEX(LS_previous!$D$4:$AY$138, MATCH('Staging Table'!$A134, LS_previous!$B$4:$B$138, 0), MATCH(S$4&amp;S$5, LS_previous!$D$2:$AY$2&amp;LS_previous!$D$3:$AY$3, 0)),SUM(VLOOKUP($A134, LS_previous!$B$4:$AY$138, LS_previous!K$149, FALSE), VLOOKUP('Staging Table'!$A134, LS_previous!$B$4:$AY$138,LS_previous!AI$149, FALSE))/2)</f>
        <v>688.25699824794901</v>
      </c>
      <c r="T134" s="382">
        <f t="array" ref="T134">IF($G134=0, INDEX(LS_previous!$D$4:$AY$138, MATCH('Staging Table'!$A134, LS_previous!$B$4:$B$138, 0), MATCH(T$4&amp;T$5, LS_previous!$D$2:$AY$2&amp;LS_previous!$D$3:$AY$3, 0)),SUM(VLOOKUP($A134, LS_previous!$B$4:$AY$138, LS_previous!L$149, FALSE), VLOOKUP('Staging Table'!$A134, LS_previous!$B$4:$AY$138,LS_previous!AJ$149, FALSE))/2)</f>
        <v>894.53481234385526</v>
      </c>
      <c r="U134" s="382">
        <f t="array" ref="U134">IF($G134=0, INDEX(LS_previous!$D$4:$AY$138, MATCH('Staging Table'!$A134, LS_previous!$B$4:$B$138, 0), MATCH(U$4&amp;U$5, LS_previous!$D$2:$AY$2&amp;LS_previous!$D$3:$AY$3, 0)),SUM(VLOOKUP($A134, LS_previous!$B$4:$AY$138, LS_previous!M$149, FALSE), VLOOKUP('Staging Table'!$A134, LS_previous!$B$4:$AY$138,LS_previous!AK$149, FALSE))/2)</f>
        <v>423.36921406309875</v>
      </c>
      <c r="V134" s="382">
        <f t="array" ref="V134">IF($G134=0, INDEX(LS_previous!$D$4:$AY$138, MATCH('Staging Table'!$A134, LS_previous!$B$4:$B$138, 0), MATCH(V$4&amp;V$5, LS_previous!$D$2:$AY$2&amp;LS_previous!$D$3:$AY$3, 0)),SUM(VLOOKUP($A134, LS_previous!$B$4:$AY$138, LS_previous!N$149, FALSE), VLOOKUP('Staging Table'!$A134, LS_previous!$B$4:$AY$138,LS_previous!AL$149, FALSE))/2)</f>
        <v>-230.93971608984339</v>
      </c>
      <c r="W134" s="382">
        <f t="array" ref="W134">IF($G134=0, INDEX(LS_previous!$D$4:$AY$138, MATCH('Staging Table'!$A134, LS_previous!$B$4:$B$138, 0), MATCH(W$4&amp;W$5, LS_previous!$D$2:$AY$2&amp;LS_previous!$D$3:$AY$3, 0)),SUM(VLOOKUP($A134, LS_previous!$B$4:$AY$138, LS_previous!O$149, FALSE), VLOOKUP('Staging Table'!$A134, LS_previous!$B$4:$AY$138,LS_previous!AM$149, FALSE))/2)</f>
        <v>-374.37006408810157</v>
      </c>
      <c r="X134" s="382">
        <f t="array" ref="X134">IF($G134=0, INDEX(LS_previous!$D$4:$AY$138, MATCH('Staging Table'!$A134, LS_previous!$B$4:$B$138, 0), MATCH(X$4&amp;X$5, LS_previous!$D$2:$AY$2&amp;LS_previous!$D$3:$AY$3, 0)),SUM(VLOOKUP($A134, LS_previous!$B$4:$AY$138, LS_previous!P$149, FALSE), VLOOKUP('Staging Table'!$A134, LS_previous!$B$4:$AY$138,LS_previous!AN$149, FALSE))/2)</f>
        <v>1523.3095377045956</v>
      </c>
      <c r="Y134" s="382">
        <f t="array" ref="Y134">IF($G134=0, INDEX(LS_previous!$D$4:$AY$138, MATCH('Staging Table'!$A134, LS_previous!$B$4:$B$138, 0), MATCH(Y$4&amp;Y$5, LS_previous!$D$2:$AY$2&amp;LS_previous!$D$3:$AY$3, 0)),SUM(VLOOKUP($A134, LS_previous!$B$4:$AY$138, LS_previous!Q$149, FALSE), VLOOKUP('Staging Table'!$A134, LS_previous!$B$4:$AY$138,LS_previous!AO$149, FALSE))/2)</f>
        <v>487.55980305884304</v>
      </c>
      <c r="Z134" s="382">
        <f t="array" ref="Z134">IF($G134=0, INDEX(LS_previous!$D$4:$AY$138, MATCH('Staging Table'!$A134, LS_previous!$B$4:$B$138, 0), MATCH(Z$4&amp;Z$5, LS_previous!$D$2:$AY$2&amp;LS_previous!$D$3:$AY$3, 0)),SUM(VLOOKUP($A134, LS_previous!$B$4:$AY$138, LS_previous!R$149, FALSE), VLOOKUP('Staging Table'!$A134, LS_previous!$B$4:$AY$138,LS_previous!AP$149, FALSE))/2)</f>
        <v>722.83294864913387</v>
      </c>
      <c r="AA134" s="382">
        <f t="array" ref="AA134">IF($G134=0, INDEX(LS_previous!$D$4:$AY$138, MATCH('Staging Table'!$A134, LS_previous!$B$4:$B$138, 0), MATCH(AA$4&amp;AA$5, LS_previous!$D$2:$AY$2&amp;LS_previous!$D$3:$AY$3, 0)),SUM(VLOOKUP($A134, LS_previous!$B$4:$AY$138, LS_previous!S$149, FALSE), VLOOKUP('Staging Table'!$A134, LS_previous!$B$4:$AY$138,LS_previous!AQ$149, FALSE))/2)</f>
        <v>1138.374565665194</v>
      </c>
      <c r="AB134" s="382">
        <f t="array" ref="AB134">IF($G134=0, INDEX(LS_previous!$D$4:$AY$138, MATCH('Staging Table'!$A134, LS_previous!$B$4:$B$138, 0), MATCH(AB$4&amp;AB$5, LS_previous!$D$2:$AY$2&amp;LS_previous!$D$3:$AY$3, 0)),SUM(VLOOKUP($A134, LS_previous!$B$4:$AY$138, LS_previous!T$149, FALSE), VLOOKUP('Staging Table'!$A134, LS_previous!$B$4:$AY$138,LS_previous!AR$149, FALSE))/2)</f>
        <v>3696.1636165014452</v>
      </c>
      <c r="AC134" s="382">
        <f t="array" ref="AC134">IF($G134=0, INDEX(LS_previous!$D$4:$AY$138, MATCH('Staging Table'!$A134, LS_previous!$B$4:$B$138, 0), MATCH(AC$4&amp;AC$5, LS_previous!$D$2:$AY$2&amp;LS_previous!$D$3:$AY$3, 0)),SUM(VLOOKUP($A134, LS_previous!$B$4:$AY$138, LS_previous!U$149, FALSE), VLOOKUP('Staging Table'!$A134, LS_previous!$B$4:$AY$138,LS_previous!AS$149, FALSE))/2)</f>
        <v>2319.6658212475681</v>
      </c>
      <c r="AD134" s="382">
        <f t="array" ref="AD134">IF($G134=0, INDEX(LS_previous!$D$4:$AY$138, MATCH('Staging Table'!$A134, LS_previous!$B$4:$B$138, 0), MATCH(AD$4&amp;AD$5, LS_previous!$D$2:$AY$2&amp;LS_previous!$D$3:$AY$3, 0)),SUM(VLOOKUP($A134, LS_previous!$B$4:$AY$138, LS_previous!V$149, FALSE), VLOOKUP('Staging Table'!$A134, LS_previous!$B$4:$AY$138,LS_previous!AT$149, FALSE))/2)</f>
        <v>5424.1155624623616</v>
      </c>
      <c r="AE134" s="382">
        <f t="array" ref="AE134">IF($G134=0, INDEX(LS_previous!$D$4:$AY$138, MATCH('Staging Table'!$A134, LS_previous!$B$4:$B$138, 0), MATCH(AE$4&amp;AE$5, LS_previous!$D$2:$AY$2&amp;LS_previous!$D$3:$AY$3, 0)),SUM(VLOOKUP($A134, LS_previous!$B$4:$AY$138, LS_previous!W$149, FALSE), VLOOKUP('Staging Table'!$A134, LS_previous!$B$4:$AY$138,LS_previous!AU$149, FALSE))/2)</f>
        <v>4167.9397058645955</v>
      </c>
      <c r="AF134" s="382">
        <f t="array" ref="AF134">IF($G134=0, INDEX(LS_previous!$D$4:$AY$138, MATCH('Staging Table'!$A134, LS_previous!$B$4:$B$138, 0), MATCH(AF$4&amp;AF$5, LS_previous!$D$2:$AY$2&amp;LS_previous!$D$3:$AY$3, 0)),SUM(VLOOKUP($A134, LS_previous!$B$4:$AY$138, LS_previous!X$149, FALSE), VLOOKUP('Staging Table'!$A134, LS_previous!$B$4:$AY$138,LS_previous!AV$149, FALSE))/2)</f>
        <v>6525.3654687505177</v>
      </c>
      <c r="AG134" s="382">
        <f t="array" ref="AG134">IF($G134=0, INDEX(LS_previous!$D$4:$AY$138, MATCH('Staging Table'!$A134, LS_previous!$B$4:$B$138, 0), MATCH(AG$4&amp;AG$5, LS_previous!$D$2:$AY$2&amp;LS_previous!$D$3:$AY$3, 0)),SUM(VLOOKUP($A134, LS_previous!$B$4:$AY$138, LS_previous!Y$149, FALSE), VLOOKUP('Staging Table'!$A134, LS_previous!$B$4:$AY$138,LS_previous!AW$149, FALSE))/2)</f>
        <v>3948.5742940449836</v>
      </c>
      <c r="AH134" s="382">
        <f t="array" ref="AH134">IF($G134=0, INDEX(LS_previous!$D$4:$AY$138, MATCH('Staging Table'!$A134, LS_previous!$B$4:$B$138, 0), MATCH(AH$4&amp;AH$5, LS_previous!$D$2:$AY$2&amp;LS_previous!$D$3:$AY$3, 0)),SUM(VLOOKUP($A134, LS_previous!$B$4:$AY$138, LS_previous!Z$149, FALSE), VLOOKUP('Staging Table'!$A134, LS_previous!$B$4:$AY$138,LS_previous!AX$149, FALSE))/2)</f>
        <v>6232.4796268267528</v>
      </c>
      <c r="AI134" s="382">
        <f t="array" ref="AI134">IF($G134=0, INDEX(LS_previous!$D$4:$AY$138, MATCH('Staging Table'!$A134, LS_previous!$B$4:$B$138, 0), MATCH(AI$4&amp;AI$5, LS_previous!$D$2:$AY$2&amp;LS_previous!$D$3:$AY$3, 0)),SUM(VLOOKUP($A134, LS_previous!$B$4:$AY$138, LS_previous!AA$149, FALSE), VLOOKUP('Staging Table'!$A134, LS_previous!$B$4:$AY$138,LS_previous!AY$149, FALSE))/2)</f>
        <v>3824.4100909229905</v>
      </c>
      <c r="AJ134" s="384">
        <f t="array" ref="AJ134">INDEX(Demand_previous!$D$4:$AY$138, MATCH('Staging Table'!$A134, Demand_previous!$B$4:$B$138, 0), MATCH(AJ$4&amp;AJ$5,Demand_previous!$D$2:$AY$2&amp;Demand_previous!$D$3:$AY$3, 0))/1000</f>
        <v>4.009960648148148</v>
      </c>
      <c r="AK134" s="384">
        <f t="array" ref="AK134">INDEX(Demand_previous!$D$4:$AY$138, MATCH('Staging Table'!$A134, Demand_previous!$B$4:$B$138, 0), MATCH(AK$4&amp;AK$5,Demand_previous!$D$2:$AY$2&amp;Demand_previous!$D$3:$AY$3, 0))/1000</f>
        <v>4.8700364583333329</v>
      </c>
      <c r="AL134" s="384">
        <f t="array" ref="AL134">INDEX(Demand_previous!$D$4:$AY$138, MATCH('Staging Table'!$A134, Demand_previous!$B$4:$B$138, 0), MATCH(AL$4&amp;AL$5,Demand_previous!$D$2:$AY$2&amp;Demand_previous!$D$3:$AY$3, 0))/1000</f>
        <v>1.6184086538461533</v>
      </c>
      <c r="AM134" s="384">
        <f t="array" ref="AM134">INDEX(Demand_previous!$D$4:$AY$138, MATCH('Staging Table'!$A134, Demand_previous!$B$4:$B$138, 0), MATCH(AM$4&amp;AM$5,Demand_previous!$D$2:$AY$2&amp;Demand_previous!$D$3:$AY$3, 0))/1000</f>
        <v>2.1072575000000029</v>
      </c>
      <c r="AN134" s="384">
        <f t="array" ref="AN134">INDEX(Demand_previous!$D$4:$AY$138, MATCH('Staging Table'!$A134, Demand_previous!$B$4:$B$138, 0), MATCH(AN$4&amp;AN$5,Demand_previous!$D$2:$AY$2&amp;Demand_previous!$D$3:$AY$3, 0))/1000</f>
        <v>1.8273775000000001</v>
      </c>
      <c r="AO134" s="384">
        <f t="array" ref="AO134">INDEX(Demand_previous!$D$4:$AY$138, MATCH('Staging Table'!$A134, Demand_previous!$B$4:$B$138, 0), MATCH(AO$4&amp;AO$5,Demand_previous!$D$2:$AY$2&amp;Demand_previous!$D$3:$AY$3, 0))/1000</f>
        <v>3.5685324074074085</v>
      </c>
      <c r="AP134" s="384">
        <f t="array" ref="AP134">INDEX(Demand_previous!$D$4:$AY$138, MATCH('Staging Table'!$A134, Demand_previous!$B$4:$B$138, 0), MATCH(AP$4&amp;AP$5,Demand_previous!$D$2:$AY$2&amp;Demand_previous!$D$3:$AY$3, 0))/1000</f>
        <v>6.4763245192307703</v>
      </c>
      <c r="AQ134" s="384">
        <f t="array" ref="AQ134">INDEX(Demand_previous!$D$4:$AY$138, MATCH('Staging Table'!$A134, Demand_previous!$B$4:$B$138, 0), MATCH(AQ$4&amp;AQ$5,Demand_previous!$D$2:$AY$2&amp;Demand_previous!$D$3:$AY$3, 0))/1000</f>
        <v>6.6210374999999981</v>
      </c>
      <c r="AR134" s="384">
        <f t="array" ref="AR134">INDEX(Demand_previous!$D$4:$AY$138, MATCH('Staging Table'!$A134, Demand_previous!$B$4:$B$138, 0), MATCH(AR$4&amp;AR$5,Demand_previous!$D$2:$AY$2&amp;Demand_previous!$D$3:$AY$3, 0))/1000</f>
        <v>5.1523293269230779</v>
      </c>
      <c r="AS134" s="384">
        <f t="array" ref="AS134">INDEX(Demand_previous!$D$4:$AY$138, MATCH('Staging Table'!$A134, Demand_previous!$B$4:$B$138, 0), MATCH(AS$4&amp;AS$5,Demand_previous!$D$2:$AY$2&amp;Demand_previous!$D$3:$AY$3, 0))/1000</f>
        <v>3.5959100000000035</v>
      </c>
      <c r="AT134" s="384">
        <f t="array" ref="AT134">INDEX(Demand_previous!$D$4:$AY$138, MATCH('Staging Table'!$A134, Demand_previous!$B$4:$B$138, 0), MATCH(AT$4&amp;AT$5,Demand_previous!$D$2:$AY$2&amp;Demand_previous!$D$3:$AY$3, 0))/1000</f>
        <v>6.4749652777777778</v>
      </c>
      <c r="AU134" s="384">
        <f t="array" ref="AU134">INDEX(Demand_previous!$D$4:$AY$138, MATCH('Staging Table'!$A134, Demand_previous!$B$4:$B$138, 0), MATCH(AU$4&amp;AU$5,Demand_previous!$D$2:$AY$2&amp;Demand_previous!$D$3:$AY$3, 0))/1000</f>
        <v>7.2857374999999962</v>
      </c>
      <c r="AV134" s="384">
        <f>IF($D134=0,IF(C134=0, MAX(AY134 - (VLOOKUP($A134,TOCA_previous!$A$2:$AI$137,MATCH("RHWM 2016",TOCA_previous!$A$2:$AI$2,0),FALSE)*$F$2*TOCA_previous!C131),0),0), 0)</f>
        <v>44270.591238186345</v>
      </c>
      <c r="AW134" s="427">
        <f>VLOOKUP($A134,REP_previous!$A$1:$D$135,MATCH("FY "&amp;$F$1&amp; " Total Refund",REP_previous!$A$1:$D$1,0),0)</f>
        <v>72334.062627691805</v>
      </c>
      <c r="AX134" s="398">
        <f>MIN(VLOOKUP($A134,TOCA_previous!$A$2:$AI$137,MATCH("TRL - NLSL - Exisiting Resource "&amp;$F$1,TOCA_previous!$A$2:$AI$2,0),FALSE)*$F$2,(VLOOKUP($A134,TOCA_previous!$A$2:$AI$137,MATCH("RHWM 2016",TOCA_previous!$A$2:$AI$2,0),FALSE)*$F$2))</f>
        <v>101191.67999999999</v>
      </c>
      <c r="AY134" s="384">
        <f>SUM(L134:AI134)+(F134*RT1SC!$C$3*$F$2)</f>
        <v>145462.27123818634</v>
      </c>
      <c r="AZ134" s="398">
        <f>VLOOKUP($A134,TOCA_previous!$A$2:$AI$137,MATCH("Above RHWM Not Served with LS "&amp;$F$1,TOCA_previous!$A$2:$AI$2,0),FALSE)*$F$2</f>
        <v>0</v>
      </c>
      <c r="BA134" s="206">
        <f t="shared" si="19"/>
        <v>44270.591238186345</v>
      </c>
      <c r="BB134" s="399">
        <f>(VLOOKUP($A134,TOCA_previous!$A$2:$AI$137,MATCH("RHWM 2016",TOCA_previous!$A$2:$AI$2,0),FALSE)*$F$2) - $AX134</f>
        <v>0</v>
      </c>
      <c r="BC134" s="206">
        <f t="shared" si="20"/>
        <v>0</v>
      </c>
      <c r="BD134" s="400">
        <f t="shared" si="21"/>
        <v>0</v>
      </c>
      <c r="BE134" s="392">
        <f t="shared" si="22"/>
        <v>0</v>
      </c>
      <c r="BF134" s="399">
        <f t="shared" si="23"/>
        <v>0</v>
      </c>
      <c r="BG134" s="206">
        <f>VLOOKUP($A134,TOCA_current!$A$2:$AI$137,MATCH(BG$4,TOCA_current!$A$2:$AI$2,0),FALSE)</f>
        <v>2.3909999999999999E-3</v>
      </c>
      <c r="BH134" s="206">
        <f>VLOOKUP($A134,TOCA_current!$A$2:$AI$137,MATCH(BH$4,TOCA_current!$A$2:$AI$2,0),FALSE)</f>
        <v>2.3909999999999999E-3</v>
      </c>
      <c r="BI134" s="391">
        <f t="shared" si="24"/>
        <v>0</v>
      </c>
      <c r="BJ134" s="206">
        <f>VLOOKUP($A134,TOCA_current!A130:BG265,MATCH(BJ$4,TOCA_current!$A$2:$BG$2,0),FALSE)</f>
        <v>7.0000000000000007E-2</v>
      </c>
      <c r="BK134" s="206">
        <f t="shared" si="25"/>
        <v>0</v>
      </c>
      <c r="BL134" s="206">
        <f t="shared" si="26"/>
        <v>0</v>
      </c>
      <c r="BM134" s="381">
        <f>VLOOKUP($A134,IRD!$A$4:$G$139, 7, FALSE)</f>
        <v>7189.6969999999992</v>
      </c>
      <c r="BN134" s="382">
        <f t="array" ref="BN134">IF($BI134=0, INDEX(LS_current!$D$4:$AY$139, MATCH('Staging Table'!$A134, LS_current!$B$4:$B$139, 0), MATCH(BN$4&amp;BN$5, LS_current!$D$2:$AY$2&amp;LS_current!$D$3:$AY$3, 0)),SUM(VLOOKUP($A134, LS_current!$B$4:$AY$139, LS_current!D$149, FALSE), VLOOKUP($A134, LS_current!$B$4:$AY$139,LS_current!D$149, FALSE))/2)</f>
        <v>-25.104538161281198</v>
      </c>
      <c r="BO134" s="382">
        <f t="array" ref="BO134">IF($BI134=0, INDEX(LS_current!$D$4:$AY$139, MATCH('Staging Table'!$A134, LS_current!$B$4:$B$139, 0), MATCH(BO$4&amp;BO$5, LS_current!$D$2:$AY$2&amp;LS_current!$D$3:$AY$3, 0)),SUM(VLOOKUP($A134, LS_current!$B$4:$AY$139, LS_current!E$149, FALSE), VLOOKUP($A134, LS_current!$B$4:$AY$139,LS_current!E$149, FALSE))/2)</f>
        <v>302.29744828798721</v>
      </c>
      <c r="BP134" s="382">
        <f t="array" ref="BP134">IF($BI134=0, INDEX(LS_current!$D$4:$AY$139, MATCH('Staging Table'!$A134, LS_current!$B$4:$B$139, 0), MATCH(BP$4&amp;BP$5, LS_current!$D$2:$AY$2&amp;LS_current!$D$3:$AY$3, 0)),SUM(VLOOKUP($A134, LS_current!$B$4:$AY$139, LS_current!F$149, FALSE), VLOOKUP($A134, LS_current!$B$4:$AY$139,LS_current!F$149, FALSE))/2)</f>
        <v>-3584.4456806901881</v>
      </c>
      <c r="BQ134" s="382">
        <f t="array" ref="BQ134">IF($BI134=0, INDEX(LS_current!$D$4:$AY$139, MATCH('Staging Table'!$A134, LS_current!$B$4:$B$139, 0), MATCH(BQ$4&amp;BQ$5, LS_current!$D$2:$AY$2&amp;LS_current!$D$3:$AY$3, 0)),SUM(VLOOKUP($A134, LS_current!$B$4:$AY$139, LS_current!G$149, FALSE), VLOOKUP($A134, LS_current!$B$4:$AY$139,LS_current!G$149, FALSE))/2)</f>
        <v>-1910.6209443939929</v>
      </c>
      <c r="BR134" s="382">
        <f t="array" ref="BR134">IF($BI134=0, INDEX(LS_current!$D$4:$AY$139, MATCH('Staging Table'!$A134, LS_current!$B$4:$B$139, 0), MATCH(BR$4&amp;BR$5, LS_current!$D$2:$AY$2&amp;LS_current!$D$3:$AY$3, 0)),SUM(VLOOKUP($A134, LS_current!$B$4:$AY$139, LS_current!H$149, FALSE), VLOOKUP($A134, LS_current!$B$4:$AY$139,LS_current!H$149, FALSE))/2)</f>
        <v>-3171.6737105679467</v>
      </c>
      <c r="BS134" s="382">
        <f t="array" ref="BS134">IF($BI134=0, INDEX(LS_current!$D$4:$AY$139, MATCH('Staging Table'!$A134, LS_current!$B$4:$B$139, 0), MATCH(BS$4&amp;BS$5, LS_current!$D$2:$AY$2&amp;LS_current!$D$3:$AY$3, 0)),SUM(VLOOKUP($A134, LS_current!$B$4:$AY$139, LS_current!I$149, FALSE), VLOOKUP($A134, LS_current!$B$4:$AY$139,LS_current!I$149, FALSE))/2)</f>
        <v>-1838.0664359647794</v>
      </c>
      <c r="BT134" s="382">
        <f t="array" ref="BT134">IF($BI134=0, INDEX(LS_current!$D$4:$AY$139, MATCH('Staging Table'!$A134, LS_current!$B$4:$B$139, 0), MATCH(BT$4&amp;BT$5, LS_current!$D$2:$AY$2&amp;LS_current!$D$3:$AY$3, 0)),SUM(VLOOKUP($A134, LS_current!$B$4:$AY$139, LS_current!J$149, FALSE), VLOOKUP($A134, LS_current!$B$4:$AY$139,LS_current!J$149, FALSE))/2)</f>
        <v>-1419.9507896085679</v>
      </c>
      <c r="BU134" s="382">
        <f t="array" ref="BU134">IF($BI134=0, INDEX(LS_current!$D$4:$AY$139, MATCH('Staging Table'!$A134, LS_current!$B$4:$B$139, 0), MATCH(BU$4&amp;BU$5, LS_current!$D$2:$AY$2&amp;LS_current!$D$3:$AY$3, 0)),SUM(VLOOKUP($A134, LS_current!$B$4:$AY$139, LS_current!K$149, FALSE), VLOOKUP($A134, LS_current!$B$4:$AY$139,LS_current!K$149, FALSE))/2)</f>
        <v>-709.59394263899185</v>
      </c>
      <c r="BV134" s="382">
        <f t="array" ref="BV134">IF($BI134=0, INDEX(LS_current!$D$4:$AY$139, MATCH('Staging Table'!$A134, LS_current!$B$4:$B$139, 0), MATCH(BV$4&amp;BV$5, LS_current!$D$2:$AY$2&amp;LS_current!$D$3:$AY$3, 0)),SUM(VLOOKUP($A134, LS_current!$B$4:$AY$139, LS_current!L$149, FALSE), VLOOKUP($A134, LS_current!$B$4:$AY$139,LS_current!L$149, FALSE))/2)</f>
        <v>-640.8001404435845</v>
      </c>
      <c r="BW134" s="382">
        <f t="array" ref="BW134">IF($BI134=0, INDEX(LS_current!$D$4:$AY$139, MATCH('Staging Table'!$A134, LS_current!$B$4:$B$139, 0), MATCH(BW$4&amp;BW$5, LS_current!$D$2:$AY$2&amp;LS_current!$D$3:$AY$3, 0)),SUM(VLOOKUP($A134, LS_current!$B$4:$AY$139, LS_current!M$149, FALSE), VLOOKUP($A134, LS_current!$B$4:$AY$139,LS_current!M$149, FALSE))/2)</f>
        <v>-402.06683048567493</v>
      </c>
      <c r="BX134" s="382">
        <f t="array" ref="BX134">IF($BI134=0, INDEX(LS_current!$D$4:$AY$139, MATCH('Staging Table'!$A134, LS_current!$B$4:$B$139, 0), MATCH(BX$4&amp;BX$5, LS_current!$D$2:$AY$2&amp;LS_current!$D$3:$AY$3, 0)),SUM(VLOOKUP($A134, LS_current!$B$4:$AY$139, LS_current!N$149, FALSE), VLOOKUP($A134, LS_current!$B$4:$AY$139,LS_current!N$149, FALSE))/2)</f>
        <v>-2190.2306276658037</v>
      </c>
      <c r="BY134" s="382">
        <f t="array" ref="BY134">IF($BI134=0, INDEX(LS_current!$D$4:$AY$139, MATCH('Staging Table'!$A134, LS_current!$B$4:$B$139, 0), MATCH(BY$4&amp;BY$5, LS_current!$D$2:$AY$2&amp;LS_current!$D$3:$AY$3, 0)),SUM(VLOOKUP($A134, LS_current!$B$4:$AY$139, LS_current!O$149, FALSE), VLOOKUP($A134, LS_current!$B$4:$AY$139,LS_current!O$149, FALSE))/2)</f>
        <v>-1370.3786083028672</v>
      </c>
      <c r="BZ134" s="382">
        <f t="array" ref="BZ134">IF($BI134=0, INDEX(LS_current!$D$4:$AY$139, MATCH('Staging Table'!$A134, LS_current!$B$4:$B$139, 0), MATCH(BZ$4&amp;BZ$5, LS_current!$D$2:$AY$2&amp;LS_current!$D$3:$AY$3, 0)),SUM(VLOOKUP($A134, LS_current!$B$4:$AY$139, LS_current!P$149, FALSE), VLOOKUP($A134, LS_current!$B$4:$AY$139,LS_current!P$149, FALSE))/2)</f>
        <v>-1153.9774014075965</v>
      </c>
      <c r="CA134" s="382">
        <f t="array" ref="CA134">IF($BI134=0, INDEX(LS_current!$D$4:$AY$139, MATCH('Staging Table'!$A134, LS_current!$B$4:$B$139, 0), MATCH(CA$4&amp;CA$5, LS_current!$D$2:$AY$2&amp;LS_current!$D$3:$AY$3, 0)),SUM(VLOOKUP($A134, LS_current!$B$4:$AY$139, LS_current!Q$149, FALSE), VLOOKUP($A134, LS_current!$B$4:$AY$139,LS_current!Q$149, FALSE))/2)</f>
        <v>-756.06026288238672</v>
      </c>
      <c r="CB134" s="382">
        <f t="array" ref="CB134">IF($BI134=0, INDEX(LS_current!$D$4:$AY$139, MATCH('Staging Table'!$A134, LS_current!$B$4:$B$139, 0), MATCH(CB$4&amp;CB$5, LS_current!$D$2:$AY$2&amp;LS_current!$D$3:$AY$3, 0)),SUM(VLOOKUP($A134, LS_current!$B$4:$AY$139, LS_current!R$149, FALSE), VLOOKUP($A134, LS_current!$B$4:$AY$139,LS_current!R$149, FALSE))/2)</f>
        <v>-2379.0110882273202</v>
      </c>
      <c r="CC134" s="382">
        <f t="array" ref="CC134">IF($BI134=0, INDEX(LS_current!$D$4:$AY$139, MATCH('Staging Table'!$A134, LS_current!$B$4:$B$139, 0), MATCH(CC$4&amp;CC$5, LS_current!$D$2:$AY$2&amp;LS_current!$D$3:$AY$3, 0)),SUM(VLOOKUP($A134, LS_current!$B$4:$AY$139, LS_current!S$149, FALSE), VLOOKUP($A134, LS_current!$B$4:$AY$139,LS_current!S$149, FALSE))/2)</f>
        <v>-723.35248326062174</v>
      </c>
      <c r="CD134" s="382">
        <f t="array" ref="CD134">IF($BI134=0, INDEX(LS_current!$D$4:$AY$139, MATCH('Staging Table'!$A134, LS_current!$B$4:$B$139, 0), MATCH(CD$4&amp;CD$5, LS_current!$D$2:$AY$2&amp;LS_current!$D$3:$AY$3, 0)),SUM(VLOOKUP($A134, LS_current!$B$4:$AY$139, LS_current!T$149, FALSE), VLOOKUP($A134, LS_current!$B$4:$AY$139,LS_current!T$149, FALSE))/2)</f>
        <v>1160.6501333965462</v>
      </c>
      <c r="CE134" s="382">
        <f t="array" ref="CE134">IF($BI134=0, INDEX(LS_current!$D$4:$AY$139, MATCH('Staging Table'!$A134, LS_current!$B$4:$B$139, 0), MATCH(CE$4&amp;CE$5, LS_current!$D$2:$AY$2&amp;LS_current!$D$3:$AY$3, 0)),SUM(VLOOKUP($A134, LS_current!$B$4:$AY$139, LS_current!U$149, FALSE), VLOOKUP($A134, LS_current!$B$4:$AY$139,LS_current!U$149, FALSE))/2)</f>
        <v>1193.7692073634198</v>
      </c>
      <c r="CF134" s="382">
        <f t="array" ref="CF134">IF($BI134=0, INDEX(LS_current!$D$4:$AY$139, MATCH('Staging Table'!$A134, LS_current!$B$4:$B$139, 0), MATCH(CF$4&amp;CF$5, LS_current!$D$2:$AY$2&amp;LS_current!$D$3:$AY$3, 0)),SUM(VLOOKUP($A134, LS_current!$B$4:$AY$139, LS_current!V$149, FALSE), VLOOKUP($A134, LS_current!$B$4:$AY$139,LS_current!V$149, FALSE))/2)</f>
        <v>3500.4833867541565</v>
      </c>
      <c r="CG134" s="382">
        <f t="array" ref="CG134">IF($BI134=0, INDEX(LS_current!$D$4:$AY$139, MATCH('Staging Table'!$A134, LS_current!$B$4:$B$139, 0), MATCH(CG$4&amp;CG$5, LS_current!$D$2:$AY$2&amp;LS_current!$D$3:$AY$3, 0)),SUM(VLOOKUP($A134, LS_current!$B$4:$AY$139, LS_current!W$149, FALSE), VLOOKUP($A134, LS_current!$B$4:$AY$139,LS_current!W$149, FALSE))/2)</f>
        <v>3178.7292327372816</v>
      </c>
      <c r="CH134" s="382">
        <f t="array" ref="CH134">IF($BI134=0, INDEX(LS_current!$D$4:$AY$139, MATCH('Staging Table'!$A134, LS_current!$B$4:$B$139, 0), MATCH(CH$4&amp;CH$5, LS_current!$D$2:$AY$2&amp;LS_current!$D$3:$AY$3, 0)),SUM(VLOOKUP($A134, LS_current!$B$4:$AY$139, LS_current!X$149, FALSE), VLOOKUP($A134, LS_current!$B$4:$AY$139,LS_current!X$149, FALSE))/2)</f>
        <v>4005.8430110340996</v>
      </c>
      <c r="CI134" s="382">
        <f t="array" ref="CI134">IF($BI134=0, INDEX(LS_current!$D$4:$AY$139, MATCH('Staging Table'!$A134, LS_current!$B$4:$B$139, 0), MATCH(CI$4&amp;CI$5, LS_current!$D$2:$AY$2&amp;LS_current!$D$3:$AY$3, 0)),SUM(VLOOKUP($A134, LS_current!$B$4:$AY$139, LS_current!Y$149, FALSE), VLOOKUP($A134, LS_current!$B$4:$AY$139,LS_current!Y$149, FALSE))/2)</f>
        <v>2779.5242341803078</v>
      </c>
      <c r="CJ134" s="382">
        <f t="array" ref="CJ134">IF($BI134=0, INDEX(LS_current!$D$4:$AY$139, MATCH('Staging Table'!$A134, LS_current!$B$4:$B$139, 0), MATCH(CJ$4&amp;CJ$5, LS_current!$D$2:$AY$2&amp;LS_current!$D$3:$AY$3, 0)),SUM(VLOOKUP($A134, LS_current!$B$4:$AY$139, LS_current!Z$149, FALSE), VLOOKUP($A134, LS_current!$B$4:$AY$139,LS_current!Z$149, FALSE))/2)</f>
        <v>3567.8355157129718</v>
      </c>
      <c r="CK134" s="382">
        <f t="array" ref="CK134">IF($BI134=0, INDEX(LS_current!$D$4:$AY$139, MATCH('Staging Table'!$A134, LS_current!$B$4:$B$139, 0), MATCH(CK$4&amp;CK$5, LS_current!$D$2:$AY$2&amp;LS_current!$D$3:$AY$3, 0)),SUM(VLOOKUP($A134, LS_current!$B$4:$AY$139, LS_current!AA$149, FALSE), VLOOKUP($A134, LS_current!$B$4:$AY$139,LS_current!AA$149, FALSE))/2)</f>
        <v>2587.563792023625</v>
      </c>
      <c r="CL134" s="384">
        <f t="array" ref="CL134">INDEX(Demand_current!$D$4:$AY$138, MATCH($A134, Demand_current!$B$4:$B$138, 0), MATCH(CL$4&amp;CL$5,Demand_current!$D$2:$AY$2&amp;Demand_current!$D$3:$AY$3, 0))/1000</f>
        <v>2.1409975961538468</v>
      </c>
      <c r="CM134" s="384">
        <f t="array" ref="CM134">INDEX(Demand_current!$D$4:$AY$138, MATCH($A134, Demand_current!$B$4:$B$138, 0), MATCH(CM$4&amp;CM$5,Demand_current!$D$2:$AY$2&amp;Demand_current!$D$3:$AY$3, 0))/1000</f>
        <v>3.9041150000000004</v>
      </c>
      <c r="CN134" s="384">
        <f t="array" ref="CN134">INDEX(Demand_current!$D$4:$AY$138, MATCH($A134, Demand_current!$B$4:$B$138, 0), MATCH(CN$4&amp;CN$5,Demand_current!$D$2:$AY$2&amp;Demand_current!$D$3:$AY$3, 0))/1000</f>
        <v>0</v>
      </c>
      <c r="CO134" s="384">
        <f t="array" ref="CO134">INDEX(Demand_current!$D$4:$AY$138, MATCH($A134, Demand_current!$B$4:$B$138, 0), MATCH(CO$4&amp;CO$5,Demand_current!$D$2:$AY$2&amp;Demand_current!$D$3:$AY$3, 0))/1000</f>
        <v>0.54655528846154011</v>
      </c>
      <c r="CP134" s="384">
        <f t="array" ref="CP134">INDEX(Demand_current!$D$4:$AY$138, MATCH($A134, Demand_current!$B$4:$B$138, 0), MATCH(CP$4&amp;CP$5,Demand_current!$D$2:$AY$2&amp;Demand_current!$D$3:$AY$3, 0))/1000</f>
        <v>0</v>
      </c>
      <c r="CQ134" s="384">
        <f t="array" ref="CQ134">INDEX(Demand_current!$D$4:$AY$138, MATCH($A134, Demand_current!$B$4:$B$138, 0), MATCH(CQ$4&amp;CQ$5,Demand_current!$D$2:$AY$2&amp;Demand_current!$D$3:$AY$3, 0))/1000</f>
        <v>1.7085324074074086</v>
      </c>
      <c r="CR134" s="384">
        <f t="array" ref="CR134">INDEX(Demand_current!$D$4:$AY$138, MATCH($A134, Demand_current!$B$4:$B$138, 0), MATCH(CR$4&amp;CR$5,Demand_current!$D$2:$AY$2&amp;Demand_current!$D$3:$AY$3, 0))/1000</f>
        <v>4.4525375000000009</v>
      </c>
      <c r="CS134" s="384">
        <f t="array" ref="CS134">INDEX(Demand_current!$D$4:$AY$138, MATCH($A134, Demand_current!$B$4:$B$138, 0), MATCH(CS$4&amp;CS$5,Demand_current!$D$2:$AY$2&amp;Demand_current!$D$3:$AY$3, 0))/1000</f>
        <v>4.736574519230766</v>
      </c>
      <c r="CT134" s="384">
        <f t="array" ref="CT134">INDEX(Demand_current!$D$4:$AY$138, MATCH($A134, Demand_current!$B$4:$B$138, 0), MATCH(CT$4&amp;CT$5,Demand_current!$D$2:$AY$2&amp;Demand_current!$D$3:$AY$3, 0))/1000</f>
        <v>3.268329326923078</v>
      </c>
      <c r="CU134" s="384">
        <f t="array" ref="CU134">INDEX(Demand_current!$D$4:$AY$138, MATCH($A134, Demand_current!$B$4:$B$138, 0), MATCH(CU$4&amp;CU$5,Demand_current!$D$2:$AY$2&amp;Demand_current!$D$3:$AY$3, 0))/1000</f>
        <v>2.3929100000000032</v>
      </c>
      <c r="CV134" s="384">
        <f t="array" ref="CV134">INDEX(Demand_current!$D$4:$AY$138, MATCH($A134, Demand_current!$B$4:$B$138, 0), MATCH(CV$4&amp;CV$5,Demand_current!$D$2:$AY$2&amp;Demand_current!$D$3:$AY$3, 0))/1000</f>
        <v>4.9169652777777779</v>
      </c>
      <c r="CW134" s="384">
        <f t="array" ref="CW134">INDEX(Demand_current!$D$4:$AY$138, MATCH($A134, Demand_current!$B$4:$B$138, 0), MATCH(CW$4&amp;CW$5,Demand_current!$D$2:$AY$2&amp;Demand_current!$D$3:$AY$3, 0))/1000</f>
        <v>4.1479348958333286</v>
      </c>
      <c r="CX134" s="384">
        <f>IF(D134=0,IF(C134=0,MAX(0,DA134 - (VLOOKUP($A134,TOCA_current!$A$2:$AI$137,MATCH("RHWM 2018",TOCA_current!$A$2:$AI$2,0),FALSE)*$BH$2)), 0),0)</f>
        <v>0</v>
      </c>
      <c r="CY134" s="427">
        <f>VLOOKUP($A134,REP_current!$A$1:$D$135,MATCH("FY "&amp;$BH$1&amp; " Total Refund",REP_current!$A$1:$D$1,0),0)</f>
        <v>102741.50983559954</v>
      </c>
      <c r="CZ134" s="432">
        <f>MIN(VLOOKUP($A134,TOCA_current!$A$2:$AI$137,MATCH("TRL - NLSL - Existing Resource "&amp;$BH$1,TOCA_current!$A$2:$AI$2,0),FALSE)*$BH$2, VLOOKUP($A134,TOCA_current!$A$2:$AI$137,MATCH("RHWM 2018",TOCA_current!$A$2:$AI$2,0),FALSE)*$BH$2)</f>
        <v>145459.80000000002</v>
      </c>
      <c r="DA134" s="397">
        <f>SUM(BN134:CK134)+(BH134*RT1SC!$C$4*$BH$2)</f>
        <v>145462.27312214879</v>
      </c>
      <c r="DB134" s="432">
        <f>VLOOKUP($A134,TOCA_current!$A$2:$AI$137,MATCH("Above RHWM Not Served with LS "&amp;$BH$1,TOCA_current!$A$2:$AI$2,0),FALSE)*$BH$2</f>
        <v>0</v>
      </c>
      <c r="DC134" s="401">
        <f t="shared" si="27"/>
        <v>2.4731221487745643</v>
      </c>
      <c r="DD134" s="397">
        <f>(VLOOKUP($A134,TOCA_current!$A$2:$AI$137,MATCH("RHWM 2018",TOCA_current!$A$2:$AI$2,0),FALSE)*$BH$2) - $CZ134</f>
        <v>15785.51999999999</v>
      </c>
      <c r="DE134" s="397">
        <f t="shared" si="28"/>
        <v>-2.4731221487745643</v>
      </c>
      <c r="DF134" s="397">
        <f t="shared" si="29"/>
        <v>0</v>
      </c>
      <c r="DG134" s="397">
        <f t="shared" si="30"/>
        <v>0</v>
      </c>
      <c r="DH134" s="397">
        <f t="shared" si="31"/>
        <v>-2.4731221487745643</v>
      </c>
    </row>
    <row r="135" spans="1:112">
      <c r="A135" s="296">
        <v>13927</v>
      </c>
      <c r="B135" s="297" t="s">
        <v>320</v>
      </c>
      <c r="C135" s="397">
        <v>0</v>
      </c>
      <c r="D135" s="397">
        <v>0</v>
      </c>
      <c r="E135" s="205">
        <f>VLOOKUP($A135,TOCA_previous!$A$2:$AI$137,MATCH(E$4,TOCA_previous!$A$2:$AI$2,0),FALSE)</f>
        <v>0</v>
      </c>
      <c r="F135" s="206">
        <f>VLOOKUP($A135,TOCA_previous!$A$2:$AI$137,MATCH(F$4,TOCA_previous!$A$2:$AI$2,0),FALSE)</f>
        <v>0</v>
      </c>
      <c r="G135" s="206">
        <f t="shared" ref="G135:G140" si="32">E135-F135</f>
        <v>0</v>
      </c>
      <c r="H135" s="206">
        <f>VLOOKUP($A135,TOCA_previous!$A$2:$AI$137,MATCH(H$4,TOCA_previous!$A$2:$AI$2,0),FALSE)</f>
        <v>0</v>
      </c>
      <c r="I135" s="206">
        <f t="shared" ref="I135:I140" si="33">IF(C135=0,0,H135)</f>
        <v>0</v>
      </c>
      <c r="J135" s="206">
        <f t="shared" ref="J135:J140" si="34">IF(C135=0,0,E135)</f>
        <v>0</v>
      </c>
      <c r="K135" s="381">
        <f>VLOOKUP(A135, IRD!$A$5:$C$139, 3, FALSE)</f>
        <v>0</v>
      </c>
      <c r="L135" s="382">
        <f t="array" ref="L135">IF($G135=0, INDEX(LS_previous!$D$4:$AY$138, MATCH('Staging Table'!$A135, LS_previous!$B$4:$B$138, 0), MATCH(L$4&amp;L$5, LS_previous!$D$2:$AY$2&amp;LS_previous!$D$3:$AY$3, 0)),SUM(VLOOKUP($A135, LS_previous!$B$4:$AY$138, LS_previous!D$149, FALSE), VLOOKUP('Staging Table'!$A135, LS_previous!$B$4:$AY$138,LS_previous!AB$149, FALSE))/2)</f>
        <v>0</v>
      </c>
      <c r="M135" s="382">
        <f t="array" ref="M135">IF($G135=0, INDEX(LS_previous!$D$4:$AY$138, MATCH('Staging Table'!$A135, LS_previous!$B$4:$B$138, 0), MATCH(M$4&amp;M$5, LS_previous!$D$2:$AY$2&amp;LS_previous!$D$3:$AY$3, 0)),SUM(VLOOKUP($A135, LS_previous!$B$4:$AY$138, LS_previous!E$149, FALSE), VLOOKUP('Staging Table'!$A135, LS_previous!$B$4:$AY$138,LS_previous!AC$149, FALSE))/2)</f>
        <v>0</v>
      </c>
      <c r="N135" s="382">
        <f t="array" ref="N135">IF($G135=0, INDEX(LS_previous!$D$4:$AY$138, MATCH('Staging Table'!$A135, LS_previous!$B$4:$B$138, 0), MATCH(N$4&amp;N$5, LS_previous!$D$2:$AY$2&amp;LS_previous!$D$3:$AY$3, 0)),SUM(VLOOKUP($A135, LS_previous!$B$4:$AY$138, LS_previous!F$149, FALSE), VLOOKUP('Staging Table'!$A135, LS_previous!$B$4:$AY$138,LS_previous!AD$149, FALSE))/2)</f>
        <v>0</v>
      </c>
      <c r="O135" s="382">
        <f t="array" ref="O135">IF($G135=0, INDEX(LS_previous!$D$4:$AY$138, MATCH('Staging Table'!$A135, LS_previous!$B$4:$B$138, 0), MATCH(O$4&amp;O$5, LS_previous!$D$2:$AY$2&amp;LS_previous!$D$3:$AY$3, 0)),SUM(VLOOKUP($A135, LS_previous!$B$4:$AY$138, LS_previous!G$149, FALSE), VLOOKUP('Staging Table'!$A135, LS_previous!$B$4:$AY$138,LS_previous!AE$149, FALSE))/2)</f>
        <v>0</v>
      </c>
      <c r="P135" s="382">
        <f t="array" ref="P135">IF($G135=0, INDEX(LS_previous!$D$4:$AY$138, MATCH('Staging Table'!$A135, LS_previous!$B$4:$B$138, 0), MATCH(P$4&amp;P$5, LS_previous!$D$2:$AY$2&amp;LS_previous!$D$3:$AY$3, 0)),SUM(VLOOKUP($A135, LS_previous!$B$4:$AY$138, LS_previous!H$149, FALSE), VLOOKUP('Staging Table'!$A135, LS_previous!$B$4:$AY$138,LS_previous!AF$149, FALSE))/2)</f>
        <v>0</v>
      </c>
      <c r="Q135" s="382">
        <f t="array" ref="Q135">IF($G135=0, INDEX(LS_previous!$D$4:$AY$138, MATCH('Staging Table'!$A135, LS_previous!$B$4:$B$138, 0), MATCH(Q$4&amp;Q$5, LS_previous!$D$2:$AY$2&amp;LS_previous!$D$3:$AY$3, 0)),SUM(VLOOKUP($A135, LS_previous!$B$4:$AY$138, LS_previous!I$149, FALSE), VLOOKUP('Staging Table'!$A135, LS_previous!$B$4:$AY$138,LS_previous!AG$149, FALSE))/2)</f>
        <v>0</v>
      </c>
      <c r="R135" s="382">
        <f t="array" ref="R135">IF($G135=0, INDEX(LS_previous!$D$4:$AY$138, MATCH('Staging Table'!$A135, LS_previous!$B$4:$B$138, 0), MATCH(R$4&amp;R$5, LS_previous!$D$2:$AY$2&amp;LS_previous!$D$3:$AY$3, 0)),SUM(VLOOKUP($A135, LS_previous!$B$4:$AY$138, LS_previous!J$149, FALSE), VLOOKUP('Staging Table'!$A135, LS_previous!$B$4:$AY$138,LS_previous!AH$149, FALSE))/2)</f>
        <v>0</v>
      </c>
      <c r="S135" s="382">
        <f t="array" ref="S135">IF($G135=0, INDEX(LS_previous!$D$4:$AY$138, MATCH('Staging Table'!$A135, LS_previous!$B$4:$B$138, 0), MATCH(S$4&amp;S$5, LS_previous!$D$2:$AY$2&amp;LS_previous!$D$3:$AY$3, 0)),SUM(VLOOKUP($A135, LS_previous!$B$4:$AY$138, LS_previous!K$149, FALSE), VLOOKUP('Staging Table'!$A135, LS_previous!$B$4:$AY$138,LS_previous!AI$149, FALSE))/2)</f>
        <v>0</v>
      </c>
      <c r="T135" s="382">
        <f t="array" ref="T135">IF($G135=0, INDEX(LS_previous!$D$4:$AY$138, MATCH('Staging Table'!$A135, LS_previous!$B$4:$B$138, 0), MATCH(T$4&amp;T$5, LS_previous!$D$2:$AY$2&amp;LS_previous!$D$3:$AY$3, 0)),SUM(VLOOKUP($A135, LS_previous!$B$4:$AY$138, LS_previous!L$149, FALSE), VLOOKUP('Staging Table'!$A135, LS_previous!$B$4:$AY$138,LS_previous!AJ$149, FALSE))/2)</f>
        <v>0</v>
      </c>
      <c r="U135" s="382">
        <f t="array" ref="U135">IF($G135=0, INDEX(LS_previous!$D$4:$AY$138, MATCH('Staging Table'!$A135, LS_previous!$B$4:$B$138, 0), MATCH(U$4&amp;U$5, LS_previous!$D$2:$AY$2&amp;LS_previous!$D$3:$AY$3, 0)),SUM(VLOOKUP($A135, LS_previous!$B$4:$AY$138, LS_previous!M$149, FALSE), VLOOKUP('Staging Table'!$A135, LS_previous!$B$4:$AY$138,LS_previous!AK$149, FALSE))/2)</f>
        <v>0</v>
      </c>
      <c r="V135" s="382">
        <f t="array" ref="V135">IF($G135=0, INDEX(LS_previous!$D$4:$AY$138, MATCH('Staging Table'!$A135, LS_previous!$B$4:$B$138, 0), MATCH(V$4&amp;V$5, LS_previous!$D$2:$AY$2&amp;LS_previous!$D$3:$AY$3, 0)),SUM(VLOOKUP($A135, LS_previous!$B$4:$AY$138, LS_previous!N$149, FALSE), VLOOKUP('Staging Table'!$A135, LS_previous!$B$4:$AY$138,LS_previous!AL$149, FALSE))/2)</f>
        <v>0</v>
      </c>
      <c r="W135" s="382">
        <f t="array" ref="W135">IF($G135=0, INDEX(LS_previous!$D$4:$AY$138, MATCH('Staging Table'!$A135, LS_previous!$B$4:$B$138, 0), MATCH(W$4&amp;W$5, LS_previous!$D$2:$AY$2&amp;LS_previous!$D$3:$AY$3, 0)),SUM(VLOOKUP($A135, LS_previous!$B$4:$AY$138, LS_previous!O$149, FALSE), VLOOKUP('Staging Table'!$A135, LS_previous!$B$4:$AY$138,LS_previous!AM$149, FALSE))/2)</f>
        <v>0</v>
      </c>
      <c r="X135" s="382">
        <f t="array" ref="X135">IF($G135=0, INDEX(LS_previous!$D$4:$AY$138, MATCH('Staging Table'!$A135, LS_previous!$B$4:$B$138, 0), MATCH(X$4&amp;X$5, LS_previous!$D$2:$AY$2&amp;LS_previous!$D$3:$AY$3, 0)),SUM(VLOOKUP($A135, LS_previous!$B$4:$AY$138, LS_previous!P$149, FALSE), VLOOKUP('Staging Table'!$A135, LS_previous!$B$4:$AY$138,LS_previous!AN$149, FALSE))/2)</f>
        <v>0</v>
      </c>
      <c r="Y135" s="382">
        <f t="array" ref="Y135">IF($G135=0, INDEX(LS_previous!$D$4:$AY$138, MATCH('Staging Table'!$A135, LS_previous!$B$4:$B$138, 0), MATCH(Y$4&amp;Y$5, LS_previous!$D$2:$AY$2&amp;LS_previous!$D$3:$AY$3, 0)),SUM(VLOOKUP($A135, LS_previous!$B$4:$AY$138, LS_previous!Q$149, FALSE), VLOOKUP('Staging Table'!$A135, LS_previous!$B$4:$AY$138,LS_previous!AO$149, FALSE))/2)</f>
        <v>0</v>
      </c>
      <c r="Z135" s="382">
        <f t="array" ref="Z135">IF($G135=0, INDEX(LS_previous!$D$4:$AY$138, MATCH('Staging Table'!$A135, LS_previous!$B$4:$B$138, 0), MATCH(Z$4&amp;Z$5, LS_previous!$D$2:$AY$2&amp;LS_previous!$D$3:$AY$3, 0)),SUM(VLOOKUP($A135, LS_previous!$B$4:$AY$138, LS_previous!R$149, FALSE), VLOOKUP('Staging Table'!$A135, LS_previous!$B$4:$AY$138,LS_previous!AP$149, FALSE))/2)</f>
        <v>0</v>
      </c>
      <c r="AA135" s="382">
        <f t="array" ref="AA135">IF($G135=0, INDEX(LS_previous!$D$4:$AY$138, MATCH('Staging Table'!$A135, LS_previous!$B$4:$B$138, 0), MATCH(AA$4&amp;AA$5, LS_previous!$D$2:$AY$2&amp;LS_previous!$D$3:$AY$3, 0)),SUM(VLOOKUP($A135, LS_previous!$B$4:$AY$138, LS_previous!S$149, FALSE), VLOOKUP('Staging Table'!$A135, LS_previous!$B$4:$AY$138,LS_previous!AQ$149, FALSE))/2)</f>
        <v>0</v>
      </c>
      <c r="AB135" s="382">
        <f t="array" ref="AB135">IF($G135=0, INDEX(LS_previous!$D$4:$AY$138, MATCH('Staging Table'!$A135, LS_previous!$B$4:$B$138, 0), MATCH(AB$4&amp;AB$5, LS_previous!$D$2:$AY$2&amp;LS_previous!$D$3:$AY$3, 0)),SUM(VLOOKUP($A135, LS_previous!$B$4:$AY$138, LS_previous!T$149, FALSE), VLOOKUP('Staging Table'!$A135, LS_previous!$B$4:$AY$138,LS_previous!AR$149, FALSE))/2)</f>
        <v>0</v>
      </c>
      <c r="AC135" s="382">
        <f t="array" ref="AC135">IF($G135=0, INDEX(LS_previous!$D$4:$AY$138, MATCH('Staging Table'!$A135, LS_previous!$B$4:$B$138, 0), MATCH(AC$4&amp;AC$5, LS_previous!$D$2:$AY$2&amp;LS_previous!$D$3:$AY$3, 0)),SUM(VLOOKUP($A135, LS_previous!$B$4:$AY$138, LS_previous!U$149, FALSE), VLOOKUP('Staging Table'!$A135, LS_previous!$B$4:$AY$138,LS_previous!AS$149, FALSE))/2)</f>
        <v>0</v>
      </c>
      <c r="AD135" s="382">
        <f t="array" ref="AD135">IF($G135=0, INDEX(LS_previous!$D$4:$AY$138, MATCH('Staging Table'!$A135, LS_previous!$B$4:$B$138, 0), MATCH(AD$4&amp;AD$5, LS_previous!$D$2:$AY$2&amp;LS_previous!$D$3:$AY$3, 0)),SUM(VLOOKUP($A135, LS_previous!$B$4:$AY$138, LS_previous!V$149, FALSE), VLOOKUP('Staging Table'!$A135, LS_previous!$B$4:$AY$138,LS_previous!AT$149, FALSE))/2)</f>
        <v>0</v>
      </c>
      <c r="AE135" s="382">
        <f t="array" ref="AE135">IF($G135=0, INDEX(LS_previous!$D$4:$AY$138, MATCH('Staging Table'!$A135, LS_previous!$B$4:$B$138, 0), MATCH(AE$4&amp;AE$5, LS_previous!$D$2:$AY$2&amp;LS_previous!$D$3:$AY$3, 0)),SUM(VLOOKUP($A135, LS_previous!$B$4:$AY$138, LS_previous!W$149, FALSE), VLOOKUP('Staging Table'!$A135, LS_previous!$B$4:$AY$138,LS_previous!AU$149, FALSE))/2)</f>
        <v>0</v>
      </c>
      <c r="AF135" s="382">
        <f t="array" ref="AF135">IF($G135=0, INDEX(LS_previous!$D$4:$AY$138, MATCH('Staging Table'!$A135, LS_previous!$B$4:$B$138, 0), MATCH(AF$4&amp;AF$5, LS_previous!$D$2:$AY$2&amp;LS_previous!$D$3:$AY$3, 0)),SUM(VLOOKUP($A135, LS_previous!$B$4:$AY$138, LS_previous!X$149, FALSE), VLOOKUP('Staging Table'!$A135, LS_previous!$B$4:$AY$138,LS_previous!AV$149, FALSE))/2)</f>
        <v>0</v>
      </c>
      <c r="AG135" s="382">
        <f t="array" ref="AG135">IF($G135=0, INDEX(LS_previous!$D$4:$AY$138, MATCH('Staging Table'!$A135, LS_previous!$B$4:$B$138, 0), MATCH(AG$4&amp;AG$5, LS_previous!$D$2:$AY$2&amp;LS_previous!$D$3:$AY$3, 0)),SUM(VLOOKUP($A135, LS_previous!$B$4:$AY$138, LS_previous!Y$149, FALSE), VLOOKUP('Staging Table'!$A135, LS_previous!$B$4:$AY$138,LS_previous!AW$149, FALSE))/2)</f>
        <v>0</v>
      </c>
      <c r="AH135" s="382">
        <f t="array" ref="AH135">IF($G135=0, INDEX(LS_previous!$D$4:$AY$138, MATCH('Staging Table'!$A135, LS_previous!$B$4:$B$138, 0), MATCH(AH$4&amp;AH$5, LS_previous!$D$2:$AY$2&amp;LS_previous!$D$3:$AY$3, 0)),SUM(VLOOKUP($A135, LS_previous!$B$4:$AY$138, LS_previous!Z$149, FALSE), VLOOKUP('Staging Table'!$A135, LS_previous!$B$4:$AY$138,LS_previous!AX$149, FALSE))/2)</f>
        <v>0</v>
      </c>
      <c r="AI135" s="382">
        <f t="array" ref="AI135">IF($G135=0, INDEX(LS_previous!$D$4:$AY$138, MATCH('Staging Table'!$A135, LS_previous!$B$4:$B$138, 0), MATCH(AI$4&amp;AI$5, LS_previous!$D$2:$AY$2&amp;LS_previous!$D$3:$AY$3, 0)),SUM(VLOOKUP($A135, LS_previous!$B$4:$AY$138, LS_previous!AA$149, FALSE), VLOOKUP('Staging Table'!$A135, LS_previous!$B$4:$AY$138,LS_previous!AY$149, FALSE))/2)</f>
        <v>0</v>
      </c>
      <c r="AJ135" s="384">
        <f t="array" ref="AJ135">INDEX(Demand_previous!$D$4:$AY$138, MATCH('Staging Table'!$A135, Demand_previous!$B$4:$B$138, 0), MATCH(AJ$4&amp;AJ$5,Demand_previous!$D$2:$AY$2&amp;Demand_previous!$D$3:$AY$3, 0))/1000</f>
        <v>0</v>
      </c>
      <c r="AK135" s="384">
        <f t="array" ref="AK135">INDEX(Demand_previous!$D$4:$AY$138, MATCH('Staging Table'!$A135, Demand_previous!$B$4:$B$138, 0), MATCH(AK$4&amp;AK$5,Demand_previous!$D$2:$AY$2&amp;Demand_previous!$D$3:$AY$3, 0))/1000</f>
        <v>0</v>
      </c>
      <c r="AL135" s="384">
        <f t="array" ref="AL135">INDEX(Demand_previous!$D$4:$AY$138, MATCH('Staging Table'!$A135, Demand_previous!$B$4:$B$138, 0), MATCH(AL$4&amp;AL$5,Demand_previous!$D$2:$AY$2&amp;Demand_previous!$D$3:$AY$3, 0))/1000</f>
        <v>0</v>
      </c>
      <c r="AM135" s="384">
        <f t="array" ref="AM135">INDEX(Demand_previous!$D$4:$AY$138, MATCH('Staging Table'!$A135, Demand_previous!$B$4:$B$138, 0), MATCH(AM$4&amp;AM$5,Demand_previous!$D$2:$AY$2&amp;Demand_previous!$D$3:$AY$3, 0))/1000</f>
        <v>0</v>
      </c>
      <c r="AN135" s="384">
        <f t="array" ref="AN135">INDEX(Demand_previous!$D$4:$AY$138, MATCH('Staging Table'!$A135, Demand_previous!$B$4:$B$138, 0), MATCH(AN$4&amp;AN$5,Demand_previous!$D$2:$AY$2&amp;Demand_previous!$D$3:$AY$3, 0))/1000</f>
        <v>0</v>
      </c>
      <c r="AO135" s="384">
        <f t="array" ref="AO135">INDEX(Demand_previous!$D$4:$AY$138, MATCH('Staging Table'!$A135, Demand_previous!$B$4:$B$138, 0), MATCH(AO$4&amp;AO$5,Demand_previous!$D$2:$AY$2&amp;Demand_previous!$D$3:$AY$3, 0))/1000</f>
        <v>0</v>
      </c>
      <c r="AP135" s="384">
        <f t="array" ref="AP135">INDEX(Demand_previous!$D$4:$AY$138, MATCH('Staging Table'!$A135, Demand_previous!$B$4:$B$138, 0), MATCH(AP$4&amp;AP$5,Demand_previous!$D$2:$AY$2&amp;Demand_previous!$D$3:$AY$3, 0))/1000</f>
        <v>0</v>
      </c>
      <c r="AQ135" s="384">
        <f t="array" ref="AQ135">INDEX(Demand_previous!$D$4:$AY$138, MATCH('Staging Table'!$A135, Demand_previous!$B$4:$B$138, 0), MATCH(AQ$4&amp;AQ$5,Demand_previous!$D$2:$AY$2&amp;Demand_previous!$D$3:$AY$3, 0))/1000</f>
        <v>0</v>
      </c>
      <c r="AR135" s="384">
        <f t="array" ref="AR135">INDEX(Demand_previous!$D$4:$AY$138, MATCH('Staging Table'!$A135, Demand_previous!$B$4:$B$138, 0), MATCH(AR$4&amp;AR$5,Demand_previous!$D$2:$AY$2&amp;Demand_previous!$D$3:$AY$3, 0))/1000</f>
        <v>0</v>
      </c>
      <c r="AS135" s="384">
        <f t="array" ref="AS135">INDEX(Demand_previous!$D$4:$AY$138, MATCH('Staging Table'!$A135, Demand_previous!$B$4:$B$138, 0), MATCH(AS$4&amp;AS$5,Demand_previous!$D$2:$AY$2&amp;Demand_previous!$D$3:$AY$3, 0))/1000</f>
        <v>0</v>
      </c>
      <c r="AT135" s="384">
        <f t="array" ref="AT135">INDEX(Demand_previous!$D$4:$AY$138, MATCH('Staging Table'!$A135, Demand_previous!$B$4:$B$138, 0), MATCH(AT$4&amp;AT$5,Demand_previous!$D$2:$AY$2&amp;Demand_previous!$D$3:$AY$3, 0))/1000</f>
        <v>0</v>
      </c>
      <c r="AU135" s="384">
        <f t="array" ref="AU135">INDEX(Demand_previous!$D$4:$AY$138, MATCH('Staging Table'!$A135, Demand_previous!$B$4:$B$138, 0), MATCH(AU$4&amp;AU$5,Demand_previous!$D$2:$AY$2&amp;Demand_previous!$D$3:$AY$3, 0))/1000</f>
        <v>0</v>
      </c>
      <c r="AV135" s="384">
        <f>IF($D135=0,IF(C135=0, MAX(AY135 - (VLOOKUP($A135,TOCA_previous!$A$2:$AI$137,MATCH("RHWM 2016",TOCA_previous!$A$2:$AI$2,0),FALSE)*$F$2*TOCA_previous!C132),0),0), 0)</f>
        <v>0</v>
      </c>
      <c r="AW135" s="427">
        <v>0</v>
      </c>
      <c r="AX135" s="398">
        <f>MIN(VLOOKUP($A135,TOCA_previous!$A$2:$AI$137,MATCH("TRL - NLSL - Exisiting Resource "&amp;$F$1,TOCA_previous!$A$2:$AI$2,0),FALSE)*$F$2,(VLOOKUP($A135,TOCA_previous!$A$2:$AI$137,MATCH("RHWM 2016",TOCA_previous!$A$2:$AI$2,0),FALSE)*$F$2))</f>
        <v>0</v>
      </c>
      <c r="AY135" s="384">
        <f>SUM(L135:AI135)+(F135*RT1SC!$C$3*$F$2)</f>
        <v>0</v>
      </c>
      <c r="AZ135" s="398">
        <f>VLOOKUP($A135,TOCA_previous!$A$2:$AI$137,MATCH("Above RHWM Not Served with LS "&amp;$F$1,TOCA_previous!$A$2:$AI$2,0),FALSE)*$F$2</f>
        <v>0</v>
      </c>
      <c r="BA135" s="206">
        <f t="shared" ref="BA135:BA140" si="35">AY135-AX135</f>
        <v>0</v>
      </c>
      <c r="BB135" s="399">
        <f>(VLOOKUP($A135,TOCA_previous!$A$2:$AI$137,MATCH("RHWM 2016",TOCA_previous!$A$2:$AI$2,0),FALSE)*$F$2) - $AX135</f>
        <v>0</v>
      </c>
      <c r="BC135" s="206">
        <f t="shared" ref="BC135:BC140" si="36">IF(BA135&gt;0,IF(BB135&gt;0,(-1)*MIN(BA135,BB135),0),0)</f>
        <v>0</v>
      </c>
      <c r="BD135" s="400">
        <f t="shared" ref="BD135:BD140" si="37">IF(BA135&lt;0,IF(AZ135&lt;ABS(BA135),MAX(0,ABS($BA135)-(AZ135)),0),0)</f>
        <v>0</v>
      </c>
      <c r="BE135" s="392">
        <f t="shared" ref="BE135:BE140" si="38">IF(AND(AZ135&gt;0,BB135&gt;0),IF(AND(BA135&lt;=0,ABS(BA135)&lt;AZ135),(-1)*MIN(AZ135,AZ135-ABS(BA135),BB135),IF(AND(BA135&gt;0,BA135&lt;BB135),(-1)*MIN(AZ135,BB135-BA135),0)),0)</f>
        <v>0</v>
      </c>
      <c r="BF135" s="399">
        <f t="shared" ref="BF135:BF140" si="39">IF($D135=0,SUM($BC135:$BE135),0)</f>
        <v>0</v>
      </c>
      <c r="BG135" s="206">
        <f>VLOOKUP($A135,TOCA_current!$A$2:$AI$137,MATCH(BG$4,TOCA_current!$A$2:$AI$2,0),FALSE)</f>
        <v>5.7709999999999999E-4</v>
      </c>
      <c r="BH135" s="206">
        <f>VLOOKUP($A135,TOCA_current!$A$2:$AI$137,MATCH(BH$4,TOCA_current!$A$2:$AI$2,0),FALSE)</f>
        <v>5.7709999999999999E-4</v>
      </c>
      <c r="BI135" s="391">
        <f t="shared" ref="BI135:BI140" si="40">BG135-BH135</f>
        <v>0</v>
      </c>
      <c r="BJ135" s="206">
        <f>VLOOKUP($A135,TOCA_current!A131:BG266,MATCH(BJ$4,TOCA_current!$A$2:$BG$2,0),FALSE)</f>
        <v>0</v>
      </c>
      <c r="BK135" s="206">
        <f t="shared" ref="BK135:BK140" si="41">IF(C135=0,0,BJ135)</f>
        <v>0</v>
      </c>
      <c r="BL135" s="206">
        <f t="shared" ref="BL135:BL140" si="42">IF(C135=0,0,BG135)</f>
        <v>0</v>
      </c>
      <c r="BM135" s="381">
        <f>VLOOKUP($A135,IRD!$A$4:$G$139, 7, FALSE)</f>
        <v>0</v>
      </c>
      <c r="BN135" s="382">
        <f t="array" ref="BN135">IF($BI135=0, INDEX(LS_current!$D$4:$AY$139, MATCH('Staging Table'!$A135, LS_current!$B$4:$B$139, 0), MATCH(BN$4&amp;BN$5, LS_current!$D$2:$AY$2&amp;LS_current!$D$3:$AY$3, 0)),SUM(VLOOKUP($A135, LS_current!$B$4:$AY$139, LS_current!D$149, FALSE), VLOOKUP($A135, LS_current!$B$4:$AY$139,LS_current!D$149, FALSE))/2)</f>
        <v>99.077582236354829</v>
      </c>
      <c r="BO135" s="382">
        <f t="array" ref="BO135">IF($BI135=0, INDEX(LS_current!$D$4:$AY$139, MATCH('Staging Table'!$A135, LS_current!$B$4:$B$139, 0), MATCH(BO$4&amp;BO$5, LS_current!$D$2:$AY$2&amp;LS_current!$D$3:$AY$3, 0)),SUM(VLOOKUP($A135, LS_current!$B$4:$AY$139, LS_current!E$149, FALSE), VLOOKUP($A135, LS_current!$B$4:$AY$139,LS_current!E$149, FALSE))/2)</f>
        <v>256.10814508866474</v>
      </c>
      <c r="BP135" s="382">
        <f t="array" ref="BP135">IF($BI135=0, INDEX(LS_current!$D$4:$AY$139, MATCH('Staging Table'!$A135, LS_current!$B$4:$B$139, 0), MATCH(BP$4&amp;BP$5, LS_current!$D$2:$AY$2&amp;LS_current!$D$3:$AY$3, 0)),SUM(VLOOKUP($A135, LS_current!$B$4:$AY$139, LS_current!F$149, FALSE), VLOOKUP($A135, LS_current!$B$4:$AY$139,LS_current!F$149, FALSE))/2)</f>
        <v>-502.10689950912069</v>
      </c>
      <c r="BQ135" s="382">
        <f t="array" ref="BQ135">IF($BI135=0, INDEX(LS_current!$D$4:$AY$139, MATCH('Staging Table'!$A135, LS_current!$B$4:$B$139, 0), MATCH(BQ$4&amp;BQ$5, LS_current!$D$2:$AY$2&amp;LS_current!$D$3:$AY$3, 0)),SUM(VLOOKUP($A135, LS_current!$B$4:$AY$139, LS_current!G$149, FALSE), VLOOKUP($A135, LS_current!$B$4:$AY$139,LS_current!G$149, FALSE))/2)</f>
        <v>124.26721593066782</v>
      </c>
      <c r="BR135" s="382">
        <f t="array" ref="BR135">IF($BI135=0, INDEX(LS_current!$D$4:$AY$139, MATCH('Staging Table'!$A135, LS_current!$B$4:$B$139, 0), MATCH(BR$4&amp;BR$5, LS_current!$D$2:$AY$2&amp;LS_current!$D$3:$AY$3, 0)),SUM(VLOOKUP($A135, LS_current!$B$4:$AY$139, LS_current!H$149, FALSE), VLOOKUP($A135, LS_current!$B$4:$AY$139,LS_current!H$149, FALSE))/2)</f>
        <v>-273.70909074394081</v>
      </c>
      <c r="BS135" s="382">
        <f t="array" ref="BS135">IF($BI135=0, INDEX(LS_current!$D$4:$AY$139, MATCH('Staging Table'!$A135, LS_current!$B$4:$B$139, 0), MATCH(BS$4&amp;BS$5, LS_current!$D$2:$AY$2&amp;LS_current!$D$3:$AY$3, 0)),SUM(VLOOKUP($A135, LS_current!$B$4:$AY$139, LS_current!I$149, FALSE), VLOOKUP($A135, LS_current!$B$4:$AY$139,LS_current!I$149, FALSE))/2)</f>
        <v>30.661710583323156</v>
      </c>
      <c r="BT135" s="382">
        <f t="array" ref="BT135">IF($BI135=0, INDEX(LS_current!$D$4:$AY$139, MATCH('Staging Table'!$A135, LS_current!$B$4:$B$139, 0), MATCH(BT$4&amp;BT$5, LS_current!$D$2:$AY$2&amp;LS_current!$D$3:$AY$3, 0)),SUM(VLOOKUP($A135, LS_current!$B$4:$AY$139, LS_current!J$149, FALSE), VLOOKUP($A135, LS_current!$B$4:$AY$139,LS_current!J$149, FALSE))/2)</f>
        <v>-70.146070005480624</v>
      </c>
      <c r="BU135" s="382">
        <f t="array" ref="BU135">IF($BI135=0, INDEX(LS_current!$D$4:$AY$139, MATCH('Staging Table'!$A135, LS_current!$B$4:$B$139, 0), MATCH(BU$4&amp;BU$5, LS_current!$D$2:$AY$2&amp;LS_current!$D$3:$AY$3, 0)),SUM(VLOOKUP($A135, LS_current!$B$4:$AY$139, LS_current!K$149, FALSE), VLOOKUP($A135, LS_current!$B$4:$AY$139,LS_current!K$149, FALSE))/2)</f>
        <v>308.16896365664479</v>
      </c>
      <c r="BV135" s="382">
        <f t="array" ref="BV135">IF($BI135=0, INDEX(LS_current!$D$4:$AY$139, MATCH('Staging Table'!$A135, LS_current!$B$4:$B$139, 0), MATCH(BV$4&amp;BV$5, LS_current!$D$2:$AY$2&amp;LS_current!$D$3:$AY$3, 0)),SUM(VLOOKUP($A135, LS_current!$B$4:$AY$139, LS_current!L$149, FALSE), VLOOKUP($A135, LS_current!$B$4:$AY$139,LS_current!L$149, FALSE))/2)</f>
        <v>163.25574531577058</v>
      </c>
      <c r="BW135" s="382">
        <f t="array" ref="BW135">IF($BI135=0, INDEX(LS_current!$D$4:$AY$139, MATCH('Staging Table'!$A135, LS_current!$B$4:$B$139, 0), MATCH(BW$4&amp;BW$5, LS_current!$D$2:$AY$2&amp;LS_current!$D$3:$AY$3, 0)),SUM(VLOOKUP($A135, LS_current!$B$4:$AY$139, LS_current!M$149, FALSE), VLOOKUP($A135, LS_current!$B$4:$AY$139,LS_current!M$149, FALSE))/2)</f>
        <v>287.23496550678249</v>
      </c>
      <c r="BX135" s="382">
        <f t="array" ref="BX135">IF($BI135=0, INDEX(LS_current!$D$4:$AY$139, MATCH('Staging Table'!$A135, LS_current!$B$4:$B$139, 0), MATCH(BX$4&amp;BX$5, LS_current!$D$2:$AY$2&amp;LS_current!$D$3:$AY$3, 0)),SUM(VLOOKUP($A135, LS_current!$B$4:$AY$139, LS_current!N$149, FALSE), VLOOKUP($A135, LS_current!$B$4:$AY$139,LS_current!N$149, FALSE))/2)</f>
        <v>81.988118767906599</v>
      </c>
      <c r="BY135" s="382">
        <f t="array" ref="BY135">IF($BI135=0, INDEX(LS_current!$D$4:$AY$139, MATCH('Staging Table'!$A135, LS_current!$B$4:$B$139, 0), MATCH(BY$4&amp;BY$5, LS_current!$D$2:$AY$2&amp;LS_current!$D$3:$AY$3, 0)),SUM(VLOOKUP($A135, LS_current!$B$4:$AY$139, LS_current!O$149, FALSE), VLOOKUP($A135, LS_current!$B$4:$AY$139,LS_current!O$149, FALSE))/2)</f>
        <v>234.86158115784815</v>
      </c>
      <c r="BZ135" s="382">
        <f t="array" ref="BZ135">IF($BI135=0, INDEX(LS_current!$D$4:$AY$139, MATCH('Staging Table'!$A135, LS_current!$B$4:$B$139, 0), MATCH(BZ$4&amp;BZ$5, LS_current!$D$2:$AY$2&amp;LS_current!$D$3:$AY$3, 0)),SUM(VLOOKUP($A135, LS_current!$B$4:$AY$139, LS_current!P$149, FALSE), VLOOKUP($A135, LS_current!$B$4:$AY$139,LS_current!P$149, FALSE))/2)</f>
        <v>92.074227163394198</v>
      </c>
      <c r="CA135" s="382">
        <f t="array" ref="CA135">IF($BI135=0, INDEX(LS_current!$D$4:$AY$139, MATCH('Staging Table'!$A135, LS_current!$B$4:$B$139, 0), MATCH(CA$4&amp;CA$5, LS_current!$D$2:$AY$2&amp;LS_current!$D$3:$AY$3, 0)),SUM(VLOOKUP($A135, LS_current!$B$4:$AY$139, LS_current!Q$149, FALSE), VLOOKUP($A135, LS_current!$B$4:$AY$139,LS_current!Q$149, FALSE))/2)</f>
        <v>236.61171643269529</v>
      </c>
      <c r="CB135" s="382">
        <f t="array" ref="CB135">IF($BI135=0, INDEX(LS_current!$D$4:$AY$139, MATCH('Staging Table'!$A135, LS_current!$B$4:$B$139, 0), MATCH(CB$4&amp;CB$5, LS_current!$D$2:$AY$2&amp;LS_current!$D$3:$AY$3, 0)),SUM(VLOOKUP($A135, LS_current!$B$4:$AY$139, LS_current!R$149, FALSE), VLOOKUP($A135, LS_current!$B$4:$AY$139,LS_current!R$149, FALSE))/2)</f>
        <v>-740.393570270174</v>
      </c>
      <c r="CC135" s="382">
        <f t="array" ref="CC135">IF($BI135=0, INDEX(LS_current!$D$4:$AY$139, MATCH('Staging Table'!$A135, LS_current!$B$4:$B$139, 0), MATCH(CC$4&amp;CC$5, LS_current!$D$2:$AY$2&amp;LS_current!$D$3:$AY$3, 0)),SUM(VLOOKUP($A135, LS_current!$B$4:$AY$139, LS_current!S$149, FALSE), VLOOKUP($A135, LS_current!$B$4:$AY$139,LS_current!S$149, FALSE))/2)</f>
        <v>-63.235480924176045</v>
      </c>
      <c r="CD135" s="382">
        <f t="array" ref="CD135">IF($BI135=0, INDEX(LS_current!$D$4:$AY$139, MATCH('Staging Table'!$A135, LS_current!$B$4:$B$139, 0), MATCH(CD$4&amp;CD$5, LS_current!$D$2:$AY$2&amp;LS_current!$D$3:$AY$3, 0)),SUM(VLOOKUP($A135, LS_current!$B$4:$AY$139, LS_current!T$149, FALSE), VLOOKUP($A135, LS_current!$B$4:$AY$139,LS_current!T$149, FALSE))/2)</f>
        <v>-173.93420347839924</v>
      </c>
      <c r="CE135" s="382">
        <f t="array" ref="CE135">IF($BI135=0, INDEX(LS_current!$D$4:$AY$139, MATCH('Staging Table'!$A135, LS_current!$B$4:$B$139, 0), MATCH(CE$4&amp;CE$5, LS_current!$D$2:$AY$2&amp;LS_current!$D$3:$AY$3, 0)),SUM(VLOOKUP($A135, LS_current!$B$4:$AY$139, LS_current!U$149, FALSE), VLOOKUP($A135, LS_current!$B$4:$AY$139,LS_current!U$149, FALSE))/2)</f>
        <v>87.122871463584033</v>
      </c>
      <c r="CF135" s="382">
        <f t="array" ref="CF135">IF($BI135=0, INDEX(LS_current!$D$4:$AY$139, MATCH('Staging Table'!$A135, LS_current!$B$4:$B$139, 0), MATCH(CF$4&amp;CF$5, LS_current!$D$2:$AY$2&amp;LS_current!$D$3:$AY$3, 0)),SUM(VLOOKUP($A135, LS_current!$B$4:$AY$139, LS_current!V$149, FALSE), VLOOKUP($A135, LS_current!$B$4:$AY$139,LS_current!V$149, FALSE))/2)</f>
        <v>89.643179797500579</v>
      </c>
      <c r="CG135" s="382">
        <f t="array" ref="CG135">IF($BI135=0, INDEX(LS_current!$D$4:$AY$139, MATCH('Staging Table'!$A135, LS_current!$B$4:$B$139, 0), MATCH(CG$4&amp;CG$5, LS_current!$D$2:$AY$2&amp;LS_current!$D$3:$AY$3, 0)),SUM(VLOOKUP($A135, LS_current!$B$4:$AY$139, LS_current!W$149, FALSE), VLOOKUP($A135, LS_current!$B$4:$AY$139,LS_current!W$149, FALSE))/2)</f>
        <v>294.03543220940423</v>
      </c>
      <c r="CH135" s="382">
        <f t="array" ref="CH135">IF($BI135=0, INDEX(LS_current!$D$4:$AY$139, MATCH('Staging Table'!$A135, LS_current!$B$4:$B$139, 0), MATCH(CH$4&amp;CH$5, LS_current!$D$2:$AY$2&amp;LS_current!$D$3:$AY$3, 0)),SUM(VLOOKUP($A135, LS_current!$B$4:$AY$139, LS_current!X$149, FALSE), VLOOKUP($A135, LS_current!$B$4:$AY$139,LS_current!X$149, FALSE))/2)</f>
        <v>-131.48822569310846</v>
      </c>
      <c r="CI135" s="382">
        <f t="array" ref="CI135">IF($BI135=0, INDEX(LS_current!$D$4:$AY$139, MATCH('Staging Table'!$A135, LS_current!$B$4:$B$139, 0), MATCH(CI$4&amp;CI$5, LS_current!$D$2:$AY$2&amp;LS_current!$D$3:$AY$3, 0)),SUM(VLOOKUP($A135, LS_current!$B$4:$AY$139, LS_current!Y$149, FALSE), VLOOKUP($A135, LS_current!$B$4:$AY$139,LS_current!Y$149, FALSE))/2)</f>
        <v>227.23536187597472</v>
      </c>
      <c r="CJ135" s="382">
        <f t="array" ref="CJ135">IF($BI135=0, INDEX(LS_current!$D$4:$AY$139, MATCH('Staging Table'!$A135, LS_current!$B$4:$B$139, 0), MATCH(CJ$4&amp;CJ$5, LS_current!$D$2:$AY$2&amp;LS_current!$D$3:$AY$3, 0)),SUM(VLOOKUP($A135, LS_current!$B$4:$AY$139, LS_current!Z$149, FALSE), VLOOKUP($A135, LS_current!$B$4:$AY$139,LS_current!Z$149, FALSE))/2)</f>
        <v>11.916308915916261</v>
      </c>
      <c r="CK135" s="382">
        <f t="array" ref="CK135">IF($BI135=0, INDEX(LS_current!$D$4:$AY$139, MATCH('Staging Table'!$A135, LS_current!$B$4:$B$139, 0), MATCH(CK$4&amp;CK$5, LS_current!$D$2:$AY$2&amp;LS_current!$D$3:$AY$3, 0)),SUM(VLOOKUP($A135, LS_current!$B$4:$AY$139, LS_current!AA$149, FALSE), VLOOKUP($A135, LS_current!$B$4:$AY$139,LS_current!AA$149, FALSE))/2)</f>
        <v>263.94723771511258</v>
      </c>
      <c r="CL135" s="384">
        <f t="array" ref="CL135">INDEX(Demand_current!$D$4:$AY$138, MATCH($A135, Demand_current!$B$4:$B$138, 0), MATCH(CL$4&amp;CL$5,Demand_current!$D$2:$AY$2&amp;Demand_current!$D$3:$AY$3, 0))/1000</f>
        <v>2.7129807692307436E-2</v>
      </c>
      <c r="CM135" s="384">
        <f t="array" ref="CM135">INDEX(Demand_current!$D$4:$AY$138, MATCH($A135, Demand_current!$B$4:$B$138, 0), MATCH(CM$4&amp;CM$5,Demand_current!$D$2:$AY$2&amp;Demand_current!$D$3:$AY$3, 0))/1000</f>
        <v>0.50902749999999974</v>
      </c>
      <c r="CN135" s="384">
        <f t="array" ref="CN135">INDEX(Demand_current!$D$4:$AY$138, MATCH($A135, Demand_current!$B$4:$B$138, 0), MATCH(CN$4&amp;CN$5,Demand_current!$D$2:$AY$2&amp;Demand_current!$D$3:$AY$3, 0))/1000</f>
        <v>0.28845249999999978</v>
      </c>
      <c r="CO135" s="384">
        <f t="array" ref="CO135">INDEX(Demand_current!$D$4:$AY$138, MATCH($A135, Demand_current!$B$4:$B$138, 0), MATCH(CO$4&amp;CO$5,Demand_current!$D$2:$AY$2&amp;Demand_current!$D$3:$AY$3, 0))/1000</f>
        <v>0.62594711538461512</v>
      </c>
      <c r="CP135" s="384">
        <f t="array" ref="CP135">INDEX(Demand_current!$D$4:$AY$138, MATCH($A135, Demand_current!$B$4:$B$138, 0), MATCH(CP$4&amp;CP$5,Demand_current!$D$2:$AY$2&amp;Demand_current!$D$3:$AY$3, 0))/1000</f>
        <v>0.39469270833333336</v>
      </c>
      <c r="CQ135" s="384">
        <f t="array" ref="CQ135">INDEX(Demand_current!$D$4:$AY$138, MATCH($A135, Demand_current!$B$4:$B$138, 0), MATCH(CQ$4&amp;CQ$5,Demand_current!$D$2:$AY$2&amp;Demand_current!$D$3:$AY$3, 0))/1000</f>
        <v>0.49912731481481437</v>
      </c>
      <c r="CR135" s="384">
        <f t="array" ref="CR135">INDEX(Demand_current!$D$4:$AY$138, MATCH($A135, Demand_current!$B$4:$B$138, 0), MATCH(CR$4&amp;CR$5,Demand_current!$D$2:$AY$2&amp;Demand_current!$D$3:$AY$3, 0))/1000</f>
        <v>0</v>
      </c>
      <c r="CS135" s="384">
        <f t="array" ref="CS135">INDEX(Demand_current!$D$4:$AY$138, MATCH($A135, Demand_current!$B$4:$B$138, 0), MATCH(CS$4&amp;CS$5,Demand_current!$D$2:$AY$2&amp;Demand_current!$D$3:$AY$3, 0))/1000</f>
        <v>0.3436153846153841</v>
      </c>
      <c r="CT135" s="384">
        <f t="array" ref="CT135">INDEX(Demand_current!$D$4:$AY$138, MATCH($A135, Demand_current!$B$4:$B$138, 0), MATCH(CT$4&amp;CT$5,Demand_current!$D$2:$AY$2&amp;Demand_current!$D$3:$AY$3, 0))/1000</f>
        <v>0</v>
      </c>
      <c r="CU135" s="384">
        <f t="array" ref="CU135">INDEX(Demand_current!$D$4:$AY$138, MATCH($A135, Demand_current!$B$4:$B$138, 0), MATCH(CU$4&amp;CU$5,Demand_current!$D$2:$AY$2&amp;Demand_current!$D$3:$AY$3, 0))/1000</f>
        <v>0</v>
      </c>
      <c r="CV135" s="384">
        <f t="array" ref="CV135">INDEX(Demand_current!$D$4:$AY$138, MATCH($A135, Demand_current!$B$4:$B$138, 0), MATCH(CV$4&amp;CV$5,Demand_current!$D$2:$AY$2&amp;Demand_current!$D$3:$AY$3, 0))/1000</f>
        <v>0.13312962962963004</v>
      </c>
      <c r="CW135" s="384">
        <f t="array" ref="CW135">INDEX(Demand_current!$D$4:$AY$138, MATCH($A135, Demand_current!$B$4:$B$138, 0), MATCH(CW$4&amp;CW$5,Demand_current!$D$2:$AY$2&amp;Demand_current!$D$3:$AY$3, 0))/1000</f>
        <v>0</v>
      </c>
      <c r="CX135" s="384">
        <f>IF(D135=0,IF(C135=0,MAX(0,DA135 - (VLOOKUP($A135,TOCA_current!$A$2:$AI$137,MATCH("RHWM 2018",TOCA_current!$A$2:$AI$2,0),FALSE)*$BH$2)), 0),0)</f>
        <v>932.06351220914075</v>
      </c>
      <c r="CY135" s="427">
        <v>0</v>
      </c>
      <c r="CZ135" s="432">
        <f>MIN(VLOOKUP($A135,TOCA_current!$A$2:$AI$137,MATCH("TRL - NLSL - Existing Resource "&amp;$BH$1,TOCA_current!$A$2:$AI$2,0),FALSE)*$BH$2, VLOOKUP($A135,TOCA_current!$A$2:$AI$137,MATCH("RHWM 2018",TOCA_current!$A$2:$AI$2,0),FALSE)*$BH$2)</f>
        <v>35110.080000000002</v>
      </c>
      <c r="DA135" s="397">
        <f>SUM(BN135:CK135)+(BH135*RT1SC!$C$4*$BH$2)</f>
        <v>36042.143512209143</v>
      </c>
      <c r="DB135" s="432">
        <f>VLOOKUP($A135,TOCA_current!$A$2:$AI$137,MATCH("Above RHWM Not Served with LS "&amp;$BH$1,TOCA_current!$A$2:$AI$2,0),FALSE)*$BH$2</f>
        <v>0</v>
      </c>
      <c r="DC135" s="401">
        <f t="shared" ref="DC135:DC140" si="43">DA135-CZ135</f>
        <v>932.06351220914075</v>
      </c>
      <c r="DD135" s="397">
        <f>(VLOOKUP($A135,TOCA_current!$A$2:$AI$137,MATCH("RHWM 2018",TOCA_current!$A$2:$AI$2,0),FALSE)*$BH$2) - $CZ135</f>
        <v>0</v>
      </c>
      <c r="DE135" s="397">
        <f t="shared" ref="DE135:DE140" si="44">IF(DC135&gt;0,IF(DD135&gt;0,(-1)*MIN(DC135,DD135),0),0)</f>
        <v>0</v>
      </c>
      <c r="DF135" s="397">
        <f t="shared" ref="DF135:DF140" si="45">IF(DC135&lt;0,IF(DB135&lt;ABS(DC135),MAX(0,ABS($DC135)-(DB135)),0),0)</f>
        <v>0</v>
      </c>
      <c r="DG135" s="397">
        <f t="shared" ref="DG135:DG140" si="46">IF(AND(DB135&gt;0,DD135&gt;0),IF(AND(DC135&lt;=0,ABS(DC135)&lt;DB135),(-1)*MIN(DB135,DB135-ABS(DC135),DD135),IF(AND(DC135&gt;0,DC135&lt;DD135),(-1)*MIN(DB135,DD135-DC135),0)),0)</f>
        <v>0</v>
      </c>
      <c r="DH135" s="397">
        <f t="shared" ref="DH135:DH140" si="47">IF($D135=0,SUM(DE135:DG135),0)</f>
        <v>0</v>
      </c>
    </row>
    <row r="136" spans="1:112">
      <c r="A136" s="274">
        <v>10597</v>
      </c>
      <c r="B136" s="275" t="s">
        <v>136</v>
      </c>
      <c r="C136" s="397">
        <v>0</v>
      </c>
      <c r="D136" s="397">
        <v>0</v>
      </c>
      <c r="E136" s="205">
        <f>VLOOKUP($A136,TOCA_previous!$A$2:$AI$137,MATCH(E$4,TOCA_previous!$A$2:$AI$2,0),FALSE)</f>
        <v>1.7898E-3</v>
      </c>
      <c r="F136" s="206">
        <f>VLOOKUP($A136,TOCA_previous!$A$2:$AI$137,MATCH(F$4,TOCA_previous!$A$2:$AI$2,0),FALSE)</f>
        <v>1.7898E-3</v>
      </c>
      <c r="G136" s="206">
        <f t="shared" si="32"/>
        <v>0</v>
      </c>
      <c r="H136" s="206">
        <f>VLOOKUP($A136,TOCA_previous!$A$2:$AI$137,MATCH(H$4,TOCA_previous!$A$2:$AI$2,0),FALSE)</f>
        <v>0</v>
      </c>
      <c r="I136" s="206">
        <f t="shared" si="33"/>
        <v>0</v>
      </c>
      <c r="J136" s="206">
        <f t="shared" si="34"/>
        <v>0</v>
      </c>
      <c r="K136" s="381">
        <f>VLOOKUP(A136, IRD!$A$5:$C$139, 3, FALSE)</f>
        <v>0</v>
      </c>
      <c r="L136" s="382">
        <f t="array" ref="L136">IF($G136=0, INDEX(LS_previous!$D$4:$AY$138, MATCH('Staging Table'!$A136, LS_previous!$B$4:$B$138, 0), MATCH(L$4&amp;L$5, LS_previous!$D$2:$AY$2&amp;LS_previous!$D$3:$AY$3, 0)),SUM(VLOOKUP($A136, LS_previous!$B$4:$AY$138, LS_previous!D$149, FALSE), VLOOKUP('Staging Table'!$A136, LS_previous!$B$4:$AY$138,LS_previous!AB$149, FALSE))/2)</f>
        <v>-262.96304212014275</v>
      </c>
      <c r="M136" s="382">
        <f t="array" ref="M136">IF($G136=0, INDEX(LS_previous!$D$4:$AY$138, MATCH('Staging Table'!$A136, LS_previous!$B$4:$B$138, 0), MATCH(M$4&amp;M$5, LS_previous!$D$2:$AY$2&amp;LS_previous!$D$3:$AY$3, 0)),SUM(VLOOKUP($A136, LS_previous!$B$4:$AY$138, LS_previous!E$149, FALSE), VLOOKUP('Staging Table'!$A136, LS_previous!$B$4:$AY$138,LS_previous!AC$149, FALSE))/2)</f>
        <v>-219.05332807729974</v>
      </c>
      <c r="N136" s="382">
        <f t="array" ref="N136">IF($G136=0, INDEX(LS_previous!$D$4:$AY$138, MATCH('Staging Table'!$A136, LS_previous!$B$4:$B$138, 0), MATCH(N$4&amp;N$5, LS_previous!$D$2:$AY$2&amp;LS_previous!$D$3:$AY$3, 0)),SUM(VLOOKUP($A136, LS_previous!$B$4:$AY$138, LS_previous!F$149, FALSE), VLOOKUP('Staging Table'!$A136, LS_previous!$B$4:$AY$138,LS_previous!AD$149, FALSE))/2)</f>
        <v>-924.46495531283563</v>
      </c>
      <c r="O136" s="382">
        <f t="array" ref="O136">IF($G136=0, INDEX(LS_previous!$D$4:$AY$138, MATCH('Staging Table'!$A136, LS_previous!$B$4:$B$138, 0), MATCH(O$4&amp;O$5, LS_previous!$D$2:$AY$2&amp;LS_previous!$D$3:$AY$3, 0)),SUM(VLOOKUP($A136, LS_previous!$B$4:$AY$138, LS_previous!G$149, FALSE), VLOOKUP('Staging Table'!$A136, LS_previous!$B$4:$AY$138,LS_previous!AE$149, FALSE))/2)</f>
        <v>-270.88372215709387</v>
      </c>
      <c r="P136" s="382">
        <f t="array" ref="P136">IF($G136=0, INDEX(LS_previous!$D$4:$AY$138, MATCH('Staging Table'!$A136, LS_previous!$B$4:$B$138, 0), MATCH(P$4&amp;P$5, LS_previous!$D$2:$AY$2&amp;LS_previous!$D$3:$AY$3, 0)),SUM(VLOOKUP($A136, LS_previous!$B$4:$AY$138, LS_previous!H$149, FALSE), VLOOKUP('Staging Table'!$A136, LS_previous!$B$4:$AY$138,LS_previous!AF$149, FALSE))/2)</f>
        <v>-72.203301861985892</v>
      </c>
      <c r="Q136" s="382">
        <f t="array" ref="Q136">IF($G136=0, INDEX(LS_previous!$D$4:$AY$138, MATCH('Staging Table'!$A136, LS_previous!$B$4:$B$138, 0), MATCH(Q$4&amp;Q$5, LS_previous!$D$2:$AY$2&amp;LS_previous!$D$3:$AY$3, 0)),SUM(VLOOKUP($A136, LS_previous!$B$4:$AY$138, LS_previous!I$149, FALSE), VLOOKUP('Staging Table'!$A136, LS_previous!$B$4:$AY$138,LS_previous!AG$149, FALSE))/2)</f>
        <v>621.66544526859616</v>
      </c>
      <c r="R136" s="382">
        <f t="array" ref="R136">IF($G136=0, INDEX(LS_previous!$D$4:$AY$138, MATCH('Staging Table'!$A136, LS_previous!$B$4:$B$138, 0), MATCH(R$4&amp;R$5, LS_previous!$D$2:$AY$2&amp;LS_previous!$D$3:$AY$3, 0)),SUM(VLOOKUP($A136, LS_previous!$B$4:$AY$138, LS_previous!J$149, FALSE), VLOOKUP('Staging Table'!$A136, LS_previous!$B$4:$AY$138,LS_previous!AH$149, FALSE))/2)</f>
        <v>931.43317392433528</v>
      </c>
      <c r="S136" s="382">
        <f t="array" ref="S136">IF($G136=0, INDEX(LS_previous!$D$4:$AY$138, MATCH('Staging Table'!$A136, LS_previous!$B$4:$B$138, 0), MATCH(S$4&amp;S$5, LS_previous!$D$2:$AY$2&amp;LS_previous!$D$3:$AY$3, 0)),SUM(VLOOKUP($A136, LS_previous!$B$4:$AY$138, LS_previous!K$149, FALSE), VLOOKUP('Staging Table'!$A136, LS_previous!$B$4:$AY$138,LS_previous!AI$149, FALSE))/2)</f>
        <v>978.30189644431039</v>
      </c>
      <c r="T136" s="382">
        <f t="array" ref="T136">IF($G136=0, INDEX(LS_previous!$D$4:$AY$138, MATCH('Staging Table'!$A136, LS_previous!$B$4:$B$138, 0), MATCH(T$4&amp;T$5, LS_previous!$D$2:$AY$2&amp;LS_previous!$D$3:$AY$3, 0)),SUM(VLOOKUP($A136, LS_previous!$B$4:$AY$138, LS_previous!L$149, FALSE), VLOOKUP('Staging Table'!$A136, LS_previous!$B$4:$AY$138,LS_previous!AJ$149, FALSE))/2)</f>
        <v>381.85035232650353</v>
      </c>
      <c r="U136" s="382">
        <f t="array" ref="U136">IF($G136=0, INDEX(LS_previous!$D$4:$AY$138, MATCH('Staging Table'!$A136, LS_previous!$B$4:$B$138, 0), MATCH(U$4&amp;U$5, LS_previous!$D$2:$AY$2&amp;LS_previous!$D$3:$AY$3, 0)),SUM(VLOOKUP($A136, LS_previous!$B$4:$AY$138, LS_previous!M$149, FALSE), VLOOKUP('Staging Table'!$A136, LS_previous!$B$4:$AY$138,LS_previous!AK$149, FALSE))/2)</f>
        <v>413.57352829613501</v>
      </c>
      <c r="V136" s="382">
        <f t="array" ref="V136">IF($G136=0, INDEX(LS_previous!$D$4:$AY$138, MATCH('Staging Table'!$A136, LS_previous!$B$4:$B$138, 0), MATCH(V$4&amp;V$5, LS_previous!$D$2:$AY$2&amp;LS_previous!$D$3:$AY$3, 0)),SUM(VLOOKUP($A136, LS_previous!$B$4:$AY$138, LS_previous!N$149, FALSE), VLOOKUP('Staging Table'!$A136, LS_previous!$B$4:$AY$138,LS_previous!AL$149, FALSE))/2)</f>
        <v>-688.0673868325166</v>
      </c>
      <c r="W136" s="382">
        <f t="array" ref="W136">IF($G136=0, INDEX(LS_previous!$D$4:$AY$138, MATCH('Staging Table'!$A136, LS_previous!$B$4:$B$138, 0), MATCH(W$4&amp;W$5, LS_previous!$D$2:$AY$2&amp;LS_previous!$D$3:$AY$3, 0)),SUM(VLOOKUP($A136, LS_previous!$B$4:$AY$138, LS_previous!O$149, FALSE), VLOOKUP('Staging Table'!$A136, LS_previous!$B$4:$AY$138,LS_previous!AM$149, FALSE))/2)</f>
        <v>-276.97062035817635</v>
      </c>
      <c r="X136" s="382">
        <f t="array" ref="X136">IF($G136=0, INDEX(LS_previous!$D$4:$AY$138, MATCH('Staging Table'!$A136, LS_previous!$B$4:$B$138, 0), MATCH(X$4&amp;X$5, LS_previous!$D$2:$AY$2&amp;LS_previous!$D$3:$AY$3, 0)),SUM(VLOOKUP($A136, LS_previous!$B$4:$AY$138, LS_previous!P$149, FALSE), VLOOKUP('Staging Table'!$A136, LS_previous!$B$4:$AY$138,LS_previous!AN$149, FALSE))/2)</f>
        <v>-104.69333861690848</v>
      </c>
      <c r="Y136" s="382">
        <f t="array" ref="Y136">IF($G136=0, INDEX(LS_previous!$D$4:$AY$138, MATCH('Staging Table'!$A136, LS_previous!$B$4:$B$138, 0), MATCH(Y$4&amp;Y$5, LS_previous!$D$2:$AY$2&amp;LS_previous!$D$3:$AY$3, 0)),SUM(VLOOKUP($A136, LS_previous!$B$4:$AY$138, LS_previous!Q$149, FALSE), VLOOKUP('Staging Table'!$A136, LS_previous!$B$4:$AY$138,LS_previous!AO$149, FALSE))/2)</f>
        <v>-171.57692470466282</v>
      </c>
      <c r="Z136" s="382">
        <f t="array" ref="Z136">IF($G136=0, INDEX(LS_previous!$D$4:$AY$138, MATCH('Staging Table'!$A136, LS_previous!$B$4:$B$138, 0), MATCH(Z$4&amp;Z$5, LS_previous!$D$2:$AY$2&amp;LS_previous!$D$3:$AY$3, 0)),SUM(VLOOKUP($A136, LS_previous!$B$4:$AY$138, LS_previous!R$149, FALSE), VLOOKUP('Staging Table'!$A136, LS_previous!$B$4:$AY$138,LS_previous!AP$149, FALSE))/2)</f>
        <v>-2774.3288829531321</v>
      </c>
      <c r="AA136" s="382">
        <f t="array" ref="AA136">IF($G136=0, INDEX(LS_previous!$D$4:$AY$138, MATCH('Staging Table'!$A136, LS_previous!$B$4:$B$138, 0), MATCH(AA$4&amp;AA$5, LS_previous!$D$2:$AY$2&amp;LS_previous!$D$3:$AY$3, 0)),SUM(VLOOKUP($A136, LS_previous!$B$4:$AY$138, LS_previous!S$149, FALSE), VLOOKUP('Staging Table'!$A136, LS_previous!$B$4:$AY$138,LS_previous!AQ$149, FALSE))/2)</f>
        <v>-1383.1640036809331</v>
      </c>
      <c r="AB136" s="382">
        <f t="array" ref="AB136">IF($G136=0, INDEX(LS_previous!$D$4:$AY$138, MATCH('Staging Table'!$A136, LS_previous!$B$4:$B$138, 0), MATCH(AB$4&amp;AB$5, LS_previous!$D$2:$AY$2&amp;LS_previous!$D$3:$AY$3, 0)),SUM(VLOOKUP($A136, LS_previous!$B$4:$AY$138, LS_previous!T$149, FALSE), VLOOKUP('Staging Table'!$A136, LS_previous!$B$4:$AY$138,LS_previous!AR$149, FALSE))/2)</f>
        <v>-694.06799253543886</v>
      </c>
      <c r="AC136" s="382">
        <f t="array" ref="AC136">IF($G136=0, INDEX(LS_previous!$D$4:$AY$138, MATCH('Staging Table'!$A136, LS_previous!$B$4:$B$138, 0), MATCH(AC$4&amp;AC$5, LS_previous!$D$2:$AY$2&amp;LS_previous!$D$3:$AY$3, 0)),SUM(VLOOKUP($A136, LS_previous!$B$4:$AY$138, LS_previous!U$149, FALSE), VLOOKUP('Staging Table'!$A136, LS_previous!$B$4:$AY$138,LS_previous!AS$149, FALSE))/2)</f>
        <v>-281.01892624786524</v>
      </c>
      <c r="AD136" s="382">
        <f t="array" ref="AD136">IF($G136=0, INDEX(LS_previous!$D$4:$AY$138, MATCH('Staging Table'!$A136, LS_previous!$B$4:$B$138, 0), MATCH(AD$4&amp;AD$5, LS_previous!$D$2:$AY$2&amp;LS_previous!$D$3:$AY$3, 0)),SUM(VLOOKUP($A136, LS_previous!$B$4:$AY$138, LS_previous!V$149, FALSE), VLOOKUP('Staging Table'!$A136, LS_previous!$B$4:$AY$138,LS_previous!AT$149, FALSE))/2)</f>
        <v>1081.8394745681862</v>
      </c>
      <c r="AE136" s="382">
        <f t="array" ref="AE136">IF($G136=0, INDEX(LS_previous!$D$4:$AY$138, MATCH('Staging Table'!$A136, LS_previous!$B$4:$B$138, 0), MATCH(AE$4&amp;AE$5, LS_previous!$D$2:$AY$2&amp;LS_previous!$D$3:$AY$3, 0)),SUM(VLOOKUP($A136, LS_previous!$B$4:$AY$138, LS_previous!W$149, FALSE), VLOOKUP('Staging Table'!$A136, LS_previous!$B$4:$AY$138,LS_previous!AU$149, FALSE))/2)</f>
        <v>878.97704095075051</v>
      </c>
      <c r="AF136" s="382">
        <f t="array" ref="AF136">IF($G136=0, INDEX(LS_previous!$D$4:$AY$138, MATCH('Staging Table'!$A136, LS_previous!$B$4:$B$138, 0), MATCH(AF$4&amp;AF$5, LS_previous!$D$2:$AY$2&amp;LS_previous!$D$3:$AY$3, 0)),SUM(VLOOKUP($A136, LS_previous!$B$4:$AY$138, LS_previous!X$149, FALSE), VLOOKUP('Staging Table'!$A136, LS_previous!$B$4:$AY$138,LS_previous!AV$149, FALSE))/2)</f>
        <v>589.17713394536804</v>
      </c>
      <c r="AG136" s="382">
        <f t="array" ref="AG136">IF($G136=0, INDEX(LS_previous!$D$4:$AY$138, MATCH('Staging Table'!$A136, LS_previous!$B$4:$B$138, 0), MATCH(AG$4&amp;AG$5, LS_previous!$D$2:$AY$2&amp;LS_previous!$D$3:$AY$3, 0)),SUM(VLOOKUP($A136, LS_previous!$B$4:$AY$138, LS_previous!Y$149, FALSE), VLOOKUP('Staging Table'!$A136, LS_previous!$B$4:$AY$138,LS_previous!AW$149, FALSE))/2)</f>
        <v>422.04972399934104</v>
      </c>
      <c r="AH136" s="382">
        <f t="array" ref="AH136">IF($G136=0, INDEX(LS_previous!$D$4:$AY$138, MATCH('Staging Table'!$A136, LS_previous!$B$4:$B$138, 0), MATCH(AH$4&amp;AH$5, LS_previous!$D$2:$AY$2&amp;LS_previous!$D$3:$AY$3, 0)),SUM(VLOOKUP($A136, LS_previous!$B$4:$AY$138, LS_previous!Z$149, FALSE), VLOOKUP('Staging Table'!$A136, LS_previous!$B$4:$AY$138,LS_previous!AX$149, FALSE))/2)</f>
        <v>313.20733599716368</v>
      </c>
      <c r="AI136" s="382">
        <f t="array" ref="AI136">IF($G136=0, INDEX(LS_previous!$D$4:$AY$138, MATCH('Staging Table'!$A136, LS_previous!$B$4:$B$138, 0), MATCH(AI$4&amp;AI$5, LS_previous!$D$2:$AY$2&amp;LS_previous!$D$3:$AY$3, 0)),SUM(VLOOKUP($A136, LS_previous!$B$4:$AY$138, LS_previous!AA$149, FALSE), VLOOKUP('Staging Table'!$A136, LS_previous!$B$4:$AY$138,LS_previous!AY$149, FALSE))/2)</f>
        <v>232.45409628051675</v>
      </c>
      <c r="AJ136" s="384">
        <f t="array" ref="AJ136">INDEX(Demand_previous!$D$4:$AY$138, MATCH('Staging Table'!$A136, Demand_previous!$B$4:$B$138, 0), MATCH(AJ$4&amp;AJ$5,Demand_previous!$D$2:$AY$2&amp;Demand_previous!$D$3:$AY$3, 0))/1000</f>
        <v>1.7063425925925921</v>
      </c>
      <c r="AK136" s="384">
        <f t="array" ref="AK136">INDEX(Demand_previous!$D$4:$AY$138, MATCH('Staging Table'!$A136, Demand_previous!$B$4:$B$138, 0), MATCH(AK$4&amp;AK$5,Demand_previous!$D$2:$AY$2&amp;Demand_previous!$D$3:$AY$3, 0))/1000</f>
        <v>1.2010364583333311</v>
      </c>
      <c r="AL136" s="384">
        <f t="array" ref="AL136">INDEX(Demand_previous!$D$4:$AY$138, MATCH('Staging Table'!$A136, Demand_previous!$B$4:$B$138, 0), MATCH(AL$4&amp;AL$5,Demand_previous!$D$2:$AY$2&amp;Demand_previous!$D$3:$AY$3, 0))/1000</f>
        <v>3.2348052884615415</v>
      </c>
      <c r="AM136" s="384">
        <f t="array" ref="AM136">INDEX(Demand_previous!$D$4:$AY$138, MATCH('Staging Table'!$A136, Demand_previous!$B$4:$B$138, 0), MATCH(AM$4&amp;AM$5,Demand_previous!$D$2:$AY$2&amp;Demand_previous!$D$3:$AY$3, 0))/1000</f>
        <v>1.1995050000000016</v>
      </c>
      <c r="AN136" s="384">
        <f t="array" ref="AN136">INDEX(Demand_previous!$D$4:$AY$138, MATCH('Staging Table'!$A136, Demand_previous!$B$4:$B$138, 0), MATCH(AN$4&amp;AN$5,Demand_previous!$D$2:$AY$2&amp;Demand_previous!$D$3:$AY$3, 0))/1000</f>
        <v>1.601077499999997</v>
      </c>
      <c r="AO136" s="384">
        <f t="array" ref="AO136">INDEX(Demand_previous!$D$4:$AY$138, MATCH('Staging Table'!$A136, Demand_previous!$B$4:$B$138, 0), MATCH(AO$4&amp;AO$5,Demand_previous!$D$2:$AY$2&amp;Demand_previous!$D$3:$AY$3, 0))/1000</f>
        <v>2.3195509259259275</v>
      </c>
      <c r="AP136" s="384">
        <f t="array" ref="AP136">INDEX(Demand_previous!$D$4:$AY$138, MATCH('Staging Table'!$A136, Demand_previous!$B$4:$B$138, 0), MATCH(AP$4&amp;AP$5,Demand_previous!$D$2:$AY$2&amp;Demand_previous!$D$3:$AY$3, 0))/1000</f>
        <v>1.8037860576923082</v>
      </c>
      <c r="AQ136" s="384">
        <f t="array" ref="AQ136">INDEX(Demand_previous!$D$4:$AY$138, MATCH('Staging Table'!$A136, Demand_previous!$B$4:$B$138, 0), MATCH(AQ$4&amp;AQ$5,Demand_previous!$D$2:$AY$2&amp;Demand_previous!$D$3:$AY$3, 0))/1000</f>
        <v>1.3147775000000026</v>
      </c>
      <c r="AR136" s="384">
        <f t="array" ref="AR136">INDEX(Demand_previous!$D$4:$AY$138, MATCH('Staging Table'!$A136, Demand_previous!$B$4:$B$138, 0), MATCH(AR$4&amp;AR$5,Demand_previous!$D$2:$AY$2&amp;Demand_previous!$D$3:$AY$3, 0))/1000</f>
        <v>1.2942187500000015</v>
      </c>
      <c r="AS136" s="384">
        <f t="array" ref="AS136">INDEX(Demand_previous!$D$4:$AY$138, MATCH('Staging Table'!$A136, Demand_previous!$B$4:$B$138, 0), MATCH(AS$4&amp;AS$5,Demand_previous!$D$2:$AY$2&amp;Demand_previous!$D$3:$AY$3, 0))/1000</f>
        <v>2.005252500000001</v>
      </c>
      <c r="AT136" s="384">
        <f t="array" ref="AT136">INDEX(Demand_previous!$D$4:$AY$138, MATCH('Staging Table'!$A136, Demand_previous!$B$4:$B$138, 0), MATCH(AT$4&amp;AT$5,Demand_previous!$D$2:$AY$2&amp;Demand_previous!$D$3:$AY$3, 0))/1000</f>
        <v>1.8956458333333321</v>
      </c>
      <c r="AU136" s="384">
        <f t="array" ref="AU136">INDEX(Demand_previous!$D$4:$AY$138, MATCH('Staging Table'!$A136, Demand_previous!$B$4:$B$138, 0), MATCH(AU$4&amp;AU$5,Demand_previous!$D$2:$AY$2&amp;Demand_previous!$D$3:$AY$3, 0))/1000</f>
        <v>1.1040424999999994</v>
      </c>
      <c r="AV136" s="384">
        <f>IF($D136=0,IF(C136=0, MAX(AY136 - (VLOOKUP($A136,TOCA_previous!$A$2:$AI$137,MATCH("RHWM 2016",TOCA_previous!$A$2:$AI$2,0),FALSE)*$F$2*TOCA_previous!C133),0),0), 0)</f>
        <v>0</v>
      </c>
      <c r="AW136" s="427">
        <f>VLOOKUP($A136,REP_previous!$A$1:$D$135,MATCH("FY "&amp;$F$1&amp; " Total Refund",REP_previous!$A$1:$D$1,0),0)</f>
        <v>170075.94700722198</v>
      </c>
      <c r="AX136" s="398">
        <f>MIN(VLOOKUP($A136,TOCA_previous!$A$2:$AI$137,MATCH("TRL - NLSL - Exisiting Resource "&amp;$F$1,TOCA_previous!$A$2:$AI$2,0),FALSE)*$F$2,(VLOOKUP($A136,TOCA_previous!$A$2:$AI$137,MATCH("RHWM 2016",TOCA_previous!$A$2:$AI$2,0),FALSE)*$F$2))</f>
        <v>109782.432</v>
      </c>
      <c r="AY136" s="384">
        <f>SUM(L136:AI136)+(F136*RT1SC!$C$3*$F$2)</f>
        <v>108506.36425841422</v>
      </c>
      <c r="AZ136" s="398">
        <f>VLOOKUP($A136,TOCA_previous!$A$2:$AI$137,MATCH("Above RHWM Not Served with LS "&amp;$F$1,TOCA_previous!$A$2:$AI$2,0),FALSE)*$F$2</f>
        <v>0</v>
      </c>
      <c r="BA136" s="206">
        <f t="shared" si="35"/>
        <v>-1276.067741585779</v>
      </c>
      <c r="BB136" s="399">
        <f>(VLOOKUP($A136,TOCA_previous!$A$2:$AI$137,MATCH("RHWM 2016",TOCA_previous!$A$2:$AI$2,0),FALSE)*$F$2) - $AX136</f>
        <v>2749.3919999999925</v>
      </c>
      <c r="BC136" s="206">
        <f t="shared" si="36"/>
        <v>0</v>
      </c>
      <c r="BD136" s="400">
        <f t="shared" si="37"/>
        <v>1276.067741585779</v>
      </c>
      <c r="BE136" s="392">
        <f t="shared" si="38"/>
        <v>0</v>
      </c>
      <c r="BF136" s="399">
        <f t="shared" si="39"/>
        <v>1276.067741585779</v>
      </c>
      <c r="BG136" s="206">
        <f>VLOOKUP($A136,TOCA_current!$A$2:$AI$137,MATCH(BG$4,TOCA_current!$A$2:$AI$2,0),FALSE)</f>
        <v>1.7910999999999999E-3</v>
      </c>
      <c r="BH136" s="206">
        <f>VLOOKUP($A136,TOCA_current!$A$2:$AI$137,MATCH(BH$4,TOCA_current!$A$2:$AI$2,0),FALSE)</f>
        <v>1.7910999999999999E-3</v>
      </c>
      <c r="BI136" s="391">
        <f t="shared" si="40"/>
        <v>0</v>
      </c>
      <c r="BJ136" s="206">
        <f>VLOOKUP($A136,TOCA_current!A132:BG267,MATCH(BJ$4,TOCA_current!$A$2:$BG$2,0),FALSE)</f>
        <v>0</v>
      </c>
      <c r="BK136" s="206">
        <f t="shared" si="41"/>
        <v>0</v>
      </c>
      <c r="BL136" s="206">
        <f t="shared" si="42"/>
        <v>0</v>
      </c>
      <c r="BM136" s="381">
        <f>VLOOKUP($A136,IRD!$A$4:$G$139, 7, FALSE)</f>
        <v>0</v>
      </c>
      <c r="BN136" s="382">
        <f t="array" ref="BN136">IF($BI136=0, INDEX(LS_current!$D$4:$AY$139, MATCH('Staging Table'!$A136, LS_current!$B$4:$B$139, 0), MATCH(BN$4&amp;BN$5, LS_current!$D$2:$AY$2&amp;LS_current!$D$3:$AY$3, 0)),SUM(VLOOKUP($A136, LS_current!$B$4:$AY$139, LS_current!D$149, FALSE), VLOOKUP($A136, LS_current!$B$4:$AY$139,LS_current!D$149, FALSE))/2)</f>
        <v>-296.14833383549558</v>
      </c>
      <c r="BO136" s="382">
        <f t="array" ref="BO136">IF($BI136=0, INDEX(LS_current!$D$4:$AY$139, MATCH('Staging Table'!$A136, LS_current!$B$4:$B$139, 0), MATCH(BO$4&amp;BO$5, LS_current!$D$2:$AY$2&amp;LS_current!$D$3:$AY$3, 0)),SUM(VLOOKUP($A136, LS_current!$B$4:$AY$139, LS_current!E$149, FALSE), VLOOKUP($A136, LS_current!$B$4:$AY$139,LS_current!E$149, FALSE))/2)</f>
        <v>-61.930982380337355</v>
      </c>
      <c r="BP136" s="382">
        <f t="array" ref="BP136">IF($BI136=0, INDEX(LS_current!$D$4:$AY$139, MATCH('Staging Table'!$A136, LS_current!$B$4:$B$139, 0), MATCH(BP$4&amp;BP$5, LS_current!$D$2:$AY$2&amp;LS_current!$D$3:$AY$3, 0)),SUM(VLOOKUP($A136, LS_current!$B$4:$AY$139, LS_current!F$149, FALSE), VLOOKUP($A136, LS_current!$B$4:$AY$139,LS_current!F$149, FALSE))/2)</f>
        <v>-1062.8869787052254</v>
      </c>
      <c r="BQ136" s="382">
        <f t="array" ref="BQ136">IF($BI136=0, INDEX(LS_current!$D$4:$AY$139, MATCH('Staging Table'!$A136, LS_current!$B$4:$B$139, 0), MATCH(BQ$4&amp;BQ$5, LS_current!$D$2:$AY$2&amp;LS_current!$D$3:$AY$3, 0)),SUM(VLOOKUP($A136, LS_current!$B$4:$AY$139, LS_current!G$149, FALSE), VLOOKUP($A136, LS_current!$B$4:$AY$139,LS_current!G$149, FALSE))/2)</f>
        <v>-238.7988888348309</v>
      </c>
      <c r="BR136" s="382">
        <f t="array" ref="BR136">IF($BI136=0, INDEX(LS_current!$D$4:$AY$139, MATCH('Staging Table'!$A136, LS_current!$B$4:$B$139, 0), MATCH(BR$4&amp;BR$5, LS_current!$D$2:$AY$2&amp;LS_current!$D$3:$AY$3, 0)),SUM(VLOOKUP($A136, LS_current!$B$4:$AY$139, LS_current!H$149, FALSE), VLOOKUP($A136, LS_current!$B$4:$AY$139,LS_current!H$149, FALSE))/2)</f>
        <v>-282.55843186877883</v>
      </c>
      <c r="BS136" s="382">
        <f t="array" ref="BS136">IF($BI136=0, INDEX(LS_current!$D$4:$AY$139, MATCH('Staging Table'!$A136, LS_current!$B$4:$B$139, 0), MATCH(BS$4&amp;BS$5, LS_current!$D$2:$AY$2&amp;LS_current!$D$3:$AY$3, 0)),SUM(VLOOKUP($A136, LS_current!$B$4:$AY$139, LS_current!I$149, FALSE), VLOOKUP($A136, LS_current!$B$4:$AY$139,LS_current!I$149, FALSE))/2)</f>
        <v>582.43605133562733</v>
      </c>
      <c r="BT136" s="382">
        <f t="array" ref="BT136">IF($BI136=0, INDEX(LS_current!$D$4:$AY$139, MATCH('Staging Table'!$A136, LS_current!$B$4:$B$139, 0), MATCH(BT$4&amp;BT$5, LS_current!$D$2:$AY$2&amp;LS_current!$D$3:$AY$3, 0)),SUM(VLOOKUP($A136, LS_current!$B$4:$AY$139, LS_current!J$149, FALSE), VLOOKUP($A136, LS_current!$B$4:$AY$139,LS_current!J$149, FALSE))/2)</f>
        <v>867.01003849104836</v>
      </c>
      <c r="BU136" s="382">
        <f t="array" ref="BU136">IF($BI136=0, INDEX(LS_current!$D$4:$AY$139, MATCH('Staging Table'!$A136, LS_current!$B$4:$B$139, 0), MATCH(BU$4&amp;BU$5, LS_current!$D$2:$AY$2&amp;LS_current!$D$3:$AY$3, 0)),SUM(VLOOKUP($A136, LS_current!$B$4:$AY$139, LS_current!K$149, FALSE), VLOOKUP($A136, LS_current!$B$4:$AY$139,LS_current!K$149, FALSE))/2)</f>
        <v>962.93165275587671</v>
      </c>
      <c r="BV136" s="382">
        <f t="array" ref="BV136">IF($BI136=0, INDEX(LS_current!$D$4:$AY$139, MATCH('Staging Table'!$A136, LS_current!$B$4:$B$139, 0), MATCH(BV$4&amp;BV$5, LS_current!$D$2:$AY$2&amp;LS_current!$D$3:$AY$3, 0)),SUM(VLOOKUP($A136, LS_current!$B$4:$AY$139, LS_current!L$149, FALSE), VLOOKUP($A136, LS_current!$B$4:$AY$139,LS_current!L$149, FALSE))/2)</f>
        <v>750.22867568025868</v>
      </c>
      <c r="BW136" s="382">
        <f t="array" ref="BW136">IF($BI136=0, INDEX(LS_current!$D$4:$AY$139, MATCH('Staging Table'!$A136, LS_current!$B$4:$B$139, 0), MATCH(BW$4&amp;BW$5, LS_current!$D$2:$AY$2&amp;LS_current!$D$3:$AY$3, 0)),SUM(VLOOKUP($A136, LS_current!$B$4:$AY$139, LS_current!M$149, FALSE), VLOOKUP($A136, LS_current!$B$4:$AY$139,LS_current!M$149, FALSE))/2)</f>
        <v>704.0841481878324</v>
      </c>
      <c r="BX136" s="382">
        <f t="array" ref="BX136">IF($BI136=0, INDEX(LS_current!$D$4:$AY$139, MATCH('Staging Table'!$A136, LS_current!$B$4:$B$139, 0), MATCH(BX$4&amp;BX$5, LS_current!$D$2:$AY$2&amp;LS_current!$D$3:$AY$3, 0)),SUM(VLOOKUP($A136, LS_current!$B$4:$AY$139, LS_current!N$149, FALSE), VLOOKUP($A136, LS_current!$B$4:$AY$139,LS_current!N$149, FALSE))/2)</f>
        <v>-402.81492388633251</v>
      </c>
      <c r="BY136" s="382">
        <f t="array" ref="BY136">IF($BI136=0, INDEX(LS_current!$D$4:$AY$139, MATCH('Staging Table'!$A136, LS_current!$B$4:$B$139, 0), MATCH(BY$4&amp;BY$5, LS_current!$D$2:$AY$2&amp;LS_current!$D$3:$AY$3, 0)),SUM(VLOOKUP($A136, LS_current!$B$4:$AY$139, LS_current!O$149, FALSE), VLOOKUP($A136, LS_current!$B$4:$AY$139,LS_current!O$149, FALSE))/2)</f>
        <v>44.037489363753593</v>
      </c>
      <c r="BZ136" s="382">
        <f t="array" ref="BZ136">IF($BI136=0, INDEX(LS_current!$D$4:$AY$139, MATCH('Staging Table'!$A136, LS_current!$B$4:$B$139, 0), MATCH(BZ$4&amp;BZ$5, LS_current!$D$2:$AY$2&amp;LS_current!$D$3:$AY$3, 0)),SUM(VLOOKUP($A136, LS_current!$B$4:$AY$139, LS_current!P$149, FALSE), VLOOKUP($A136, LS_current!$B$4:$AY$139,LS_current!P$149, FALSE))/2)</f>
        <v>-652.75075121754344</v>
      </c>
      <c r="CA136" s="382">
        <f t="array" ref="CA136">IF($BI136=0, INDEX(LS_current!$D$4:$AY$139, MATCH('Staging Table'!$A136, LS_current!$B$4:$B$139, 0), MATCH(CA$4&amp;CA$5, LS_current!$D$2:$AY$2&amp;LS_current!$D$3:$AY$3, 0)),SUM(VLOOKUP($A136, LS_current!$B$4:$AY$139, LS_current!Q$149, FALSE), VLOOKUP($A136, LS_current!$B$4:$AY$139,LS_current!Q$149, FALSE))/2)</f>
        <v>-213.00465083590279</v>
      </c>
      <c r="CB136" s="382">
        <f t="array" ref="CB136">IF($BI136=0, INDEX(LS_current!$D$4:$AY$139, MATCH('Staging Table'!$A136, LS_current!$B$4:$B$139, 0), MATCH(CB$4&amp;CB$5, LS_current!$D$2:$AY$2&amp;LS_current!$D$3:$AY$3, 0)),SUM(VLOOKUP($A136, LS_current!$B$4:$AY$139, LS_current!R$149, FALSE), VLOOKUP($A136, LS_current!$B$4:$AY$139,LS_current!R$149, FALSE))/2)</f>
        <v>-2712.3813193743008</v>
      </c>
      <c r="CC136" s="382">
        <f t="array" ref="CC136">IF($BI136=0, INDEX(LS_current!$D$4:$AY$139, MATCH('Staging Table'!$A136, LS_current!$B$4:$B$139, 0), MATCH(CC$4&amp;CC$5, LS_current!$D$2:$AY$2&amp;LS_current!$D$3:$AY$3, 0)),SUM(VLOOKUP($A136, LS_current!$B$4:$AY$139, LS_current!S$149, FALSE), VLOOKUP($A136, LS_current!$B$4:$AY$139,LS_current!S$149, FALSE))/2)</f>
        <v>-1452.959419309117</v>
      </c>
      <c r="CD136" s="382">
        <f t="array" ref="CD136">IF($BI136=0, INDEX(LS_current!$D$4:$AY$139, MATCH('Staging Table'!$A136, LS_current!$B$4:$B$139, 0), MATCH(CD$4&amp;CD$5, LS_current!$D$2:$AY$2&amp;LS_current!$D$3:$AY$3, 0)),SUM(VLOOKUP($A136, LS_current!$B$4:$AY$139, LS_current!T$149, FALSE), VLOOKUP($A136, LS_current!$B$4:$AY$139,LS_current!T$149, FALSE))/2)</f>
        <v>-669.48514494916071</v>
      </c>
      <c r="CE136" s="382">
        <f t="array" ref="CE136">IF($BI136=0, INDEX(LS_current!$D$4:$AY$139, MATCH('Staging Table'!$A136, LS_current!$B$4:$B$139, 0), MATCH(CE$4&amp;CE$5, LS_current!$D$2:$AY$2&amp;LS_current!$D$3:$AY$3, 0)),SUM(VLOOKUP($A136, LS_current!$B$4:$AY$139, LS_current!U$149, FALSE), VLOOKUP($A136, LS_current!$B$4:$AY$139,LS_current!U$149, FALSE))/2)</f>
        <v>-35.445558172889832</v>
      </c>
      <c r="CF136" s="382">
        <f t="array" ref="CF136">IF($BI136=0, INDEX(LS_current!$D$4:$AY$139, MATCH('Staging Table'!$A136, LS_current!$B$4:$B$139, 0), MATCH(CF$4&amp;CF$5, LS_current!$D$2:$AY$2&amp;LS_current!$D$3:$AY$3, 0)),SUM(VLOOKUP($A136, LS_current!$B$4:$AY$139, LS_current!V$149, FALSE), VLOOKUP($A136, LS_current!$B$4:$AY$139,LS_current!V$149, FALSE))/2)</f>
        <v>1430.3558943602557</v>
      </c>
      <c r="CG136" s="382">
        <f t="array" ref="CG136">IF($BI136=0, INDEX(LS_current!$D$4:$AY$139, MATCH('Staging Table'!$A136, LS_current!$B$4:$B$139, 0), MATCH(CG$4&amp;CG$5, LS_current!$D$2:$AY$2&amp;LS_current!$D$3:$AY$3, 0)),SUM(VLOOKUP($A136, LS_current!$B$4:$AY$139, LS_current!W$149, FALSE), VLOOKUP($A136, LS_current!$B$4:$AY$139,LS_current!W$149, FALSE))/2)</f>
        <v>1095.5259205168322</v>
      </c>
      <c r="CH136" s="382">
        <f t="array" ref="CH136">IF($BI136=0, INDEX(LS_current!$D$4:$AY$139, MATCH('Staging Table'!$A136, LS_current!$B$4:$B$139, 0), MATCH(CH$4&amp;CH$5, LS_current!$D$2:$AY$2&amp;LS_current!$D$3:$AY$3, 0)),SUM(VLOOKUP($A136, LS_current!$B$4:$AY$139, LS_current!X$149, FALSE), VLOOKUP($A136, LS_current!$B$4:$AY$139,LS_current!X$149, FALSE))/2)</f>
        <v>615.93488279513713</v>
      </c>
      <c r="CI136" s="382">
        <f t="array" ref="CI136">IF($BI136=0, INDEX(LS_current!$D$4:$AY$139, MATCH('Staging Table'!$A136, LS_current!$B$4:$B$139, 0), MATCH(CI$4&amp;CI$5, LS_current!$D$2:$AY$2&amp;LS_current!$D$3:$AY$3, 0)),SUM(VLOOKUP($A136, LS_current!$B$4:$AY$139, LS_current!Y$149, FALSE), VLOOKUP($A136, LS_current!$B$4:$AY$139,LS_current!Y$149, FALSE))/2)</f>
        <v>519.36559704740739</v>
      </c>
      <c r="CJ136" s="382">
        <f t="array" ref="CJ136">IF($BI136=0, INDEX(LS_current!$D$4:$AY$139, MATCH('Staging Table'!$A136, LS_current!$B$4:$B$139, 0), MATCH(CJ$4&amp;CJ$5, LS_current!$D$2:$AY$2&amp;LS_current!$D$3:$AY$3, 0)),SUM(VLOOKUP($A136, LS_current!$B$4:$AY$139, LS_current!Z$149, FALSE), VLOOKUP($A136, LS_current!$B$4:$AY$139,LS_current!Z$149, FALSE))/2)</f>
        <v>-188.32120464512627</v>
      </c>
      <c r="CK136" s="382">
        <f t="array" ref="CK136">IF($BI136=0, INDEX(LS_current!$D$4:$AY$139, MATCH('Staging Table'!$A136, LS_current!$B$4:$B$139, 0), MATCH(CK$4&amp;CK$5, LS_current!$D$2:$AY$2&amp;LS_current!$D$3:$AY$3, 0)),SUM(VLOOKUP($A136, LS_current!$B$4:$AY$139, LS_current!AA$149, FALSE), VLOOKUP($A136, LS_current!$B$4:$AY$139,LS_current!AA$149, FALSE))/2)</f>
        <v>239.05807272836273</v>
      </c>
      <c r="CL136" s="384">
        <f t="array" ref="CL136">INDEX(Demand_current!$D$4:$AY$138, MATCH($A136, Demand_current!$B$4:$B$138, 0), MATCH(CL$4&amp;CL$5,Demand_current!$D$2:$AY$2&amp;Demand_current!$D$3:$AY$3, 0))/1000</f>
        <v>1.2463942307692308</v>
      </c>
      <c r="CM136" s="384">
        <f t="array" ref="CM136">INDEX(Demand_current!$D$4:$AY$138, MATCH($A136, Demand_current!$B$4:$B$138, 0), MATCH(CM$4&amp;CM$5,Demand_current!$D$2:$AY$2&amp;Demand_current!$D$3:$AY$3, 0))/1000</f>
        <v>1.7715949999999983</v>
      </c>
      <c r="CN136" s="384">
        <f t="array" ref="CN136">INDEX(Demand_current!$D$4:$AY$138, MATCH($A136, Demand_current!$B$4:$B$138, 0), MATCH(CN$4&amp;CN$5,Demand_current!$D$2:$AY$2&amp;Demand_current!$D$3:$AY$3, 0))/1000</f>
        <v>2.6477175000000015</v>
      </c>
      <c r="CO136" s="384">
        <f t="array" ref="CO136">INDEX(Demand_current!$D$4:$AY$138, MATCH($A136, Demand_current!$B$4:$B$138, 0), MATCH(CO$4&amp;CO$5,Demand_current!$D$2:$AY$2&amp;Demand_current!$D$3:$AY$3, 0))/1000</f>
        <v>1.8033701923076939</v>
      </c>
      <c r="CP136" s="384">
        <f t="array" ref="CP136">INDEX(Demand_current!$D$4:$AY$138, MATCH($A136, Demand_current!$B$4:$B$138, 0), MATCH(CP$4&amp;CP$5,Demand_current!$D$2:$AY$2&amp;Demand_current!$D$3:$AY$3, 0))/1000</f>
        <v>1.0502890624999974</v>
      </c>
      <c r="CQ136" s="384">
        <f t="array" ref="CQ136">INDEX(Demand_current!$D$4:$AY$138, MATCH($A136, Demand_current!$B$4:$B$138, 0), MATCH(CQ$4&amp;CQ$5,Demand_current!$D$2:$AY$2&amp;Demand_current!$D$3:$AY$3, 0))/1000</f>
        <v>2.3195509259259275</v>
      </c>
      <c r="CR136" s="384">
        <f t="array" ref="CR136">INDEX(Demand_current!$D$4:$AY$138, MATCH($A136, Demand_current!$B$4:$B$138, 0), MATCH(CR$4&amp;CR$5,Demand_current!$D$2:$AY$2&amp;Demand_current!$D$3:$AY$3, 0))/1000</f>
        <v>1.3610974999999994</v>
      </c>
      <c r="CS136" s="384">
        <f t="array" ref="CS136">INDEX(Demand_current!$D$4:$AY$138, MATCH($A136, Demand_current!$B$4:$B$138, 0), MATCH(CS$4&amp;CS$5,Demand_current!$D$2:$AY$2&amp;Demand_current!$D$3:$AY$3, 0))/1000</f>
        <v>1.7890552884615412</v>
      </c>
      <c r="CT136" s="384">
        <f t="array" ref="CT136">INDEX(Demand_current!$D$4:$AY$138, MATCH($A136, Demand_current!$B$4:$B$138, 0), MATCH(CT$4&amp;CT$5,Demand_current!$D$2:$AY$2&amp;Demand_current!$D$3:$AY$3, 0))/1000</f>
        <v>1.2942187500000015</v>
      </c>
      <c r="CU136" s="384">
        <f t="array" ref="CU136">INDEX(Demand_current!$D$4:$AY$138, MATCH($A136, Demand_current!$B$4:$B$138, 0), MATCH(CU$4&amp;CU$5,Demand_current!$D$2:$AY$2&amp;Demand_current!$D$3:$AY$3, 0))/1000</f>
        <v>2.005252500000001</v>
      </c>
      <c r="CV136" s="384">
        <f t="array" ref="CV136">INDEX(Demand_current!$D$4:$AY$138, MATCH($A136, Demand_current!$B$4:$B$138, 0), MATCH(CV$4&amp;CV$5,Demand_current!$D$2:$AY$2&amp;Demand_current!$D$3:$AY$3, 0))/1000</f>
        <v>1.8956458333333321</v>
      </c>
      <c r="CW136" s="384">
        <f t="array" ref="CW136">INDEX(Demand_current!$D$4:$AY$138, MATCH($A136, Demand_current!$B$4:$B$138, 0), MATCH(CW$4&amp;CW$5,Demand_current!$D$2:$AY$2&amp;Demand_current!$D$3:$AY$3, 0))/1000</f>
        <v>0.56846093750000026</v>
      </c>
      <c r="CX136" s="384">
        <f>IF(D136=0,IF(C136=0,MAX(0,DA136 - (VLOOKUP($A136,TOCA_current!$A$2:$AI$137,MATCH("RHWM 2018",TOCA_current!$A$2:$AI$2,0),FALSE)*$BH$2)), 0),0)</f>
        <v>0</v>
      </c>
      <c r="CY136" s="427">
        <f>VLOOKUP($A136,REP_current!$A$1:$D$135,MATCH("FY "&amp;$BH$1&amp; " Total Refund",REP_current!$A$1:$D$1,0),0)</f>
        <v>171214.66523174982</v>
      </c>
      <c r="CZ136" s="432">
        <f>MIN(VLOOKUP($A136,TOCA_current!$A$2:$AI$137,MATCH("TRL - NLSL - Existing Resource "&amp;$BH$1,TOCA_current!$A$2:$AI$2,0),FALSE)*$BH$2, VLOOKUP($A136,TOCA_current!$A$2:$AI$137,MATCH("RHWM 2018",TOCA_current!$A$2:$AI$2,0),FALSE)*$BH$2)</f>
        <v>108965.64</v>
      </c>
      <c r="DA136" s="397">
        <f>SUM(BN136:CK136)+(BH136*RT1SC!$C$4*$BH$2)</f>
        <v>108506.36558970333</v>
      </c>
      <c r="DB136" s="432">
        <f>VLOOKUP($A136,TOCA_current!$A$2:$AI$137,MATCH("Above RHWM Not Served with LS "&amp;$BH$1,TOCA_current!$A$2:$AI$2,0),FALSE)*$BH$2</f>
        <v>0</v>
      </c>
      <c r="DC136" s="401">
        <f t="shared" si="43"/>
        <v>-459.27441029666807</v>
      </c>
      <c r="DD136" s="397">
        <f>(VLOOKUP($A136,TOCA_current!$A$2:$AI$137,MATCH("RHWM 2018",TOCA_current!$A$2:$AI$2,0),FALSE)*$BH$2) - $CZ136</f>
        <v>2540.3999999999942</v>
      </c>
      <c r="DE136" s="397">
        <f t="shared" si="44"/>
        <v>0</v>
      </c>
      <c r="DF136" s="397">
        <f t="shared" si="45"/>
        <v>459.27441029666807</v>
      </c>
      <c r="DG136" s="397">
        <f t="shared" si="46"/>
        <v>0</v>
      </c>
      <c r="DH136" s="397">
        <f t="shared" si="47"/>
        <v>459.27441029666807</v>
      </c>
    </row>
    <row r="137" spans="1:112">
      <c r="A137" s="274">
        <v>10706</v>
      </c>
      <c r="B137" s="275" t="s">
        <v>137</v>
      </c>
      <c r="C137" s="397">
        <v>0</v>
      </c>
      <c r="D137" s="397">
        <v>0</v>
      </c>
      <c r="E137" s="205">
        <f>VLOOKUP($A137,TOCA_previous!$A$2:$AI$137,MATCH(E$4,TOCA_previous!$A$2:$AI$2,0),FALSE)</f>
        <v>2.3647E-3</v>
      </c>
      <c r="F137" s="206">
        <f>VLOOKUP($A137,TOCA_previous!$A$2:$AI$137,MATCH(F$4,TOCA_previous!$A$2:$AI$2,0),FALSE)</f>
        <v>2.3647E-3</v>
      </c>
      <c r="G137" s="206">
        <f t="shared" si="32"/>
        <v>0</v>
      </c>
      <c r="H137" s="206">
        <f>VLOOKUP($A137,TOCA_previous!$A$2:$AI$137,MATCH(H$4,TOCA_previous!$A$2:$AI$2,0),FALSE)</f>
        <v>0</v>
      </c>
      <c r="I137" s="206">
        <f t="shared" si="33"/>
        <v>0</v>
      </c>
      <c r="J137" s="206">
        <f t="shared" si="34"/>
        <v>0</v>
      </c>
      <c r="K137" s="381">
        <f>VLOOKUP(A137, IRD!$A$5:$C$139, 3, FALSE)</f>
        <v>0</v>
      </c>
      <c r="L137" s="382">
        <f t="array" ref="L137">IF($G137=0, INDEX(LS_previous!$D$4:$AY$138, MATCH('Staging Table'!$A137, LS_previous!$B$4:$B$138, 0), MATCH(L$4&amp;L$5, LS_previous!$D$2:$AY$2&amp;LS_previous!$D$3:$AY$3, 0)),SUM(VLOOKUP($A137, LS_previous!$B$4:$AY$138, LS_previous!D$149, FALSE), VLOOKUP('Staging Table'!$A137, LS_previous!$B$4:$AY$138,LS_previous!AB$149, FALSE))/2)</f>
        <v>-138.25920097301514</v>
      </c>
      <c r="M137" s="382">
        <f t="array" ref="M137">IF($G137=0, INDEX(LS_previous!$D$4:$AY$138, MATCH('Staging Table'!$A137, LS_previous!$B$4:$B$138, 0), MATCH(M$4&amp;M$5, LS_previous!$D$2:$AY$2&amp;LS_previous!$D$3:$AY$3, 0)),SUM(VLOOKUP($A137, LS_previous!$B$4:$AY$138, LS_previous!E$149, FALSE), VLOOKUP('Staging Table'!$A137, LS_previous!$B$4:$AY$138,LS_previous!AC$149, FALSE))/2)</f>
        <v>929.82436847447161</v>
      </c>
      <c r="N137" s="382">
        <f t="array" ref="N137">IF($G137=0, INDEX(LS_previous!$D$4:$AY$138, MATCH('Staging Table'!$A137, LS_previous!$B$4:$B$138, 0), MATCH(N$4&amp;N$5, LS_previous!$D$2:$AY$2&amp;LS_previous!$D$3:$AY$3, 0)),SUM(VLOOKUP($A137, LS_previous!$B$4:$AY$138, LS_previous!F$149, FALSE), VLOOKUP('Staging Table'!$A137, LS_previous!$B$4:$AY$138,LS_previous!AD$149, FALSE))/2)</f>
        <v>-2013.4688612293348</v>
      </c>
      <c r="O137" s="382">
        <f t="array" ref="O137">IF($G137=0, INDEX(LS_previous!$D$4:$AY$138, MATCH('Staging Table'!$A137, LS_previous!$B$4:$B$138, 0), MATCH(O$4&amp;O$5, LS_previous!$D$2:$AY$2&amp;LS_previous!$D$3:$AY$3, 0)),SUM(VLOOKUP($A137, LS_previous!$B$4:$AY$138, LS_previous!G$149, FALSE), VLOOKUP('Staging Table'!$A137, LS_previous!$B$4:$AY$138,LS_previous!AE$149, FALSE))/2)</f>
        <v>9.3612258996090532</v>
      </c>
      <c r="P137" s="382">
        <f t="array" ref="P137">IF($G137=0, INDEX(LS_previous!$D$4:$AY$138, MATCH('Staging Table'!$A137, LS_previous!$B$4:$B$138, 0), MATCH(P$4&amp;P$5, LS_previous!$D$2:$AY$2&amp;LS_previous!$D$3:$AY$3, 0)),SUM(VLOOKUP($A137, LS_previous!$B$4:$AY$138, LS_previous!H$149, FALSE), VLOOKUP('Staging Table'!$A137, LS_previous!$B$4:$AY$138,LS_previous!AF$149, FALSE))/2)</f>
        <v>-1384.8480742055181</v>
      </c>
      <c r="Q137" s="382">
        <f t="array" ref="Q137">IF($G137=0, INDEX(LS_previous!$D$4:$AY$138, MATCH('Staging Table'!$A137, LS_previous!$B$4:$B$138, 0), MATCH(Q$4&amp;Q$5, LS_previous!$D$2:$AY$2&amp;LS_previous!$D$3:$AY$3, 0)),SUM(VLOOKUP($A137, LS_previous!$B$4:$AY$138, LS_previous!I$149, FALSE), VLOOKUP('Staging Table'!$A137, LS_previous!$B$4:$AY$138,LS_previous!AG$149, FALSE))/2)</f>
        <v>162.94286458076294</v>
      </c>
      <c r="R137" s="382">
        <f t="array" ref="R137">IF($G137=0, INDEX(LS_previous!$D$4:$AY$138, MATCH('Staging Table'!$A137, LS_previous!$B$4:$B$138, 0), MATCH(R$4&amp;R$5, LS_previous!$D$2:$AY$2&amp;LS_previous!$D$3:$AY$3, 0)),SUM(VLOOKUP($A137, LS_previous!$B$4:$AY$138, LS_previous!J$149, FALSE), VLOOKUP('Staging Table'!$A137, LS_previous!$B$4:$AY$138,LS_previous!AH$149, FALSE))/2)</f>
        <v>1079.3153790249607</v>
      </c>
      <c r="S137" s="382">
        <f t="array" ref="S137">IF($G137=0, INDEX(LS_previous!$D$4:$AY$138, MATCH('Staging Table'!$A137, LS_previous!$B$4:$B$138, 0), MATCH(S$4&amp;S$5, LS_previous!$D$2:$AY$2&amp;LS_previous!$D$3:$AY$3, 0)),SUM(VLOOKUP($A137, LS_previous!$B$4:$AY$138, LS_previous!K$149, FALSE), VLOOKUP('Staging Table'!$A137, LS_previous!$B$4:$AY$138,LS_previous!AI$149, FALSE))/2)</f>
        <v>1952.3073245177457</v>
      </c>
      <c r="T137" s="382">
        <f t="array" ref="T137">IF($G137=0, INDEX(LS_previous!$D$4:$AY$138, MATCH('Staging Table'!$A137, LS_previous!$B$4:$B$138, 0), MATCH(T$4&amp;T$5, LS_previous!$D$2:$AY$2&amp;LS_previous!$D$3:$AY$3, 0)),SUM(VLOOKUP($A137, LS_previous!$B$4:$AY$138, LS_previous!L$149, FALSE), VLOOKUP('Staging Table'!$A137, LS_previous!$B$4:$AY$138,LS_previous!AJ$149, FALSE))/2)</f>
        <v>993.89400997121538</v>
      </c>
      <c r="U137" s="382">
        <f t="array" ref="U137">IF($G137=0, INDEX(LS_previous!$D$4:$AY$138, MATCH('Staging Table'!$A137, LS_previous!$B$4:$B$138, 0), MATCH(U$4&amp;U$5, LS_previous!$D$2:$AY$2&amp;LS_previous!$D$3:$AY$3, 0)),SUM(VLOOKUP($A137, LS_previous!$B$4:$AY$138, LS_previous!M$149, FALSE), VLOOKUP('Staging Table'!$A137, LS_previous!$B$4:$AY$138,LS_previous!AK$149, FALSE))/2)</f>
        <v>1580.2556764229917</v>
      </c>
      <c r="V137" s="382">
        <f t="array" ref="V137">IF($G137=0, INDEX(LS_previous!$D$4:$AY$138, MATCH('Staging Table'!$A137, LS_previous!$B$4:$B$138, 0), MATCH(V$4&amp;V$5, LS_previous!$D$2:$AY$2&amp;LS_previous!$D$3:$AY$3, 0)),SUM(VLOOKUP($A137, LS_previous!$B$4:$AY$138, LS_previous!N$149, FALSE), VLOOKUP('Staging Table'!$A137, LS_previous!$B$4:$AY$138,LS_previous!AL$149, FALSE))/2)</f>
        <v>667.69593572306894</v>
      </c>
      <c r="W137" s="382">
        <f t="array" ref="W137">IF($G137=0, INDEX(LS_previous!$D$4:$AY$138, MATCH('Staging Table'!$A137, LS_previous!$B$4:$B$138, 0), MATCH(W$4&amp;W$5, LS_previous!$D$2:$AY$2&amp;LS_previous!$D$3:$AY$3, 0)),SUM(VLOOKUP($A137, LS_previous!$B$4:$AY$138, LS_previous!O$149, FALSE), VLOOKUP('Staging Table'!$A137, LS_previous!$B$4:$AY$138,LS_previous!AM$149, FALSE))/2)</f>
        <v>1386.8045716499164</v>
      </c>
      <c r="X137" s="382">
        <f t="array" ref="X137">IF($G137=0, INDEX(LS_previous!$D$4:$AY$138, MATCH('Staging Table'!$A137, LS_previous!$B$4:$B$138, 0), MATCH(X$4&amp;X$5, LS_previous!$D$2:$AY$2&amp;LS_previous!$D$3:$AY$3, 0)),SUM(VLOOKUP($A137, LS_previous!$B$4:$AY$138, LS_previous!P$149, FALSE), VLOOKUP('Staging Table'!$A137, LS_previous!$B$4:$AY$138,LS_previous!AN$149, FALSE))/2)</f>
        <v>1753.897163187281</v>
      </c>
      <c r="Y137" s="382">
        <f t="array" ref="Y137">IF($G137=0, INDEX(LS_previous!$D$4:$AY$138, MATCH('Staging Table'!$A137, LS_previous!$B$4:$B$138, 0), MATCH(Y$4&amp;Y$5, LS_previous!$D$2:$AY$2&amp;LS_previous!$D$3:$AY$3, 0)),SUM(VLOOKUP($A137, LS_previous!$B$4:$AY$138, LS_previous!Q$149, FALSE), VLOOKUP('Staging Table'!$A137, LS_previous!$B$4:$AY$138,LS_previous!AO$149, FALSE))/2)</f>
        <v>1856.7478697904144</v>
      </c>
      <c r="Z137" s="382">
        <f t="array" ref="Z137">IF($G137=0, INDEX(LS_previous!$D$4:$AY$138, MATCH('Staging Table'!$A137, LS_previous!$B$4:$B$138, 0), MATCH(Z$4&amp;Z$5, LS_previous!$D$2:$AY$2&amp;LS_previous!$D$3:$AY$3, 0)),SUM(VLOOKUP($A137, LS_previous!$B$4:$AY$138, LS_previous!R$149, FALSE), VLOOKUP('Staging Table'!$A137, LS_previous!$B$4:$AY$138,LS_previous!AP$149, FALSE))/2)</f>
        <v>-2180.7737158449381</v>
      </c>
      <c r="AA137" s="382">
        <f t="array" ref="AA137">IF($G137=0, INDEX(LS_previous!$D$4:$AY$138, MATCH('Staging Table'!$A137, LS_previous!$B$4:$B$138, 0), MATCH(AA$4&amp;AA$5, LS_previous!$D$2:$AY$2&amp;LS_previous!$D$3:$AY$3, 0)),SUM(VLOOKUP($A137, LS_previous!$B$4:$AY$138, LS_previous!S$149, FALSE), VLOOKUP('Staging Table'!$A137, LS_previous!$B$4:$AY$138,LS_previous!AQ$149, FALSE))/2)</f>
        <v>650.03120247832067</v>
      </c>
      <c r="AB137" s="382">
        <f t="array" ref="AB137">IF($G137=0, INDEX(LS_previous!$D$4:$AY$138, MATCH('Staging Table'!$A137, LS_previous!$B$4:$B$138, 0), MATCH(AB$4&amp;AB$5, LS_previous!$D$2:$AY$2&amp;LS_previous!$D$3:$AY$3, 0)),SUM(VLOOKUP($A137, LS_previous!$B$4:$AY$138, LS_previous!T$149, FALSE), VLOOKUP('Staging Table'!$A137, LS_previous!$B$4:$AY$138,LS_previous!AR$149, FALSE))/2)</f>
        <v>3.228558247541514</v>
      </c>
      <c r="AC137" s="382">
        <f t="array" ref="AC137">IF($G137=0, INDEX(LS_previous!$D$4:$AY$138, MATCH('Staging Table'!$A137, LS_previous!$B$4:$B$138, 0), MATCH(AC$4&amp;AC$5, LS_previous!$D$2:$AY$2&amp;LS_previous!$D$3:$AY$3, 0)),SUM(VLOOKUP($A137, LS_previous!$B$4:$AY$138, LS_previous!U$149, FALSE), VLOOKUP('Staging Table'!$A137, LS_previous!$B$4:$AY$138,LS_previous!AS$149, FALSE))/2)</f>
        <v>1274.2772433800837</v>
      </c>
      <c r="AD137" s="382">
        <f t="array" ref="AD137">IF($G137=0, INDEX(LS_previous!$D$4:$AY$138, MATCH('Staging Table'!$A137, LS_previous!$B$4:$B$138, 0), MATCH(AD$4&amp;AD$5, LS_previous!$D$2:$AY$2&amp;LS_previous!$D$3:$AY$3, 0)),SUM(VLOOKUP($A137, LS_previous!$B$4:$AY$138, LS_previous!V$149, FALSE), VLOOKUP('Staging Table'!$A137, LS_previous!$B$4:$AY$138,LS_previous!AT$149, FALSE))/2)</f>
        <v>977.81245793462404</v>
      </c>
      <c r="AE137" s="382">
        <f t="array" ref="AE137">IF($G137=0, INDEX(LS_previous!$D$4:$AY$138, MATCH('Staging Table'!$A137, LS_previous!$B$4:$B$138, 0), MATCH(AE$4&amp;AE$5, LS_previous!$D$2:$AY$2&amp;LS_previous!$D$3:$AY$3, 0)),SUM(VLOOKUP($A137, LS_previous!$B$4:$AY$138, LS_previous!W$149, FALSE), VLOOKUP('Staging Table'!$A137, LS_previous!$B$4:$AY$138,LS_previous!AU$149, FALSE))/2)</f>
        <v>2489.2710819288413</v>
      </c>
      <c r="AF137" s="382">
        <f t="array" ref="AF137">IF($G137=0, INDEX(LS_previous!$D$4:$AY$138, MATCH('Staging Table'!$A137, LS_previous!$B$4:$B$138, 0), MATCH(AF$4&amp;AF$5, LS_previous!$D$2:$AY$2&amp;LS_previous!$D$3:$AY$3, 0)),SUM(VLOOKUP($A137, LS_previous!$B$4:$AY$138, LS_previous!X$149, FALSE), VLOOKUP('Staging Table'!$A137, LS_previous!$B$4:$AY$138,LS_previous!AV$149, FALSE))/2)</f>
        <v>788.3873803445158</v>
      </c>
      <c r="AG137" s="382">
        <f t="array" ref="AG137">IF($G137=0, INDEX(LS_previous!$D$4:$AY$138, MATCH('Staging Table'!$A137, LS_previous!$B$4:$B$138, 0), MATCH(AG$4&amp;AG$5, LS_previous!$D$2:$AY$2&amp;LS_previous!$D$3:$AY$3, 0)),SUM(VLOOKUP($A137, LS_previous!$B$4:$AY$138, LS_previous!Y$149, FALSE), VLOOKUP('Staging Table'!$A137, LS_previous!$B$4:$AY$138,LS_previous!AW$149, FALSE))/2)</f>
        <v>2288.6558580518722</v>
      </c>
      <c r="AH137" s="382">
        <f t="array" ref="AH137">IF($G137=0, INDEX(LS_previous!$D$4:$AY$138, MATCH('Staging Table'!$A137, LS_previous!$B$4:$B$138, 0), MATCH(AH$4&amp;AH$5, LS_previous!$D$2:$AY$2&amp;LS_previous!$D$3:$AY$3, 0)),SUM(VLOOKUP($A137, LS_previous!$B$4:$AY$138, LS_previous!Z$149, FALSE), VLOOKUP('Staging Table'!$A137, LS_previous!$B$4:$AY$138,LS_previous!AX$149, FALSE))/2)</f>
        <v>1740.7022617792463</v>
      </c>
      <c r="AI137" s="382">
        <f t="array" ref="AI137">IF($G137=0, INDEX(LS_previous!$D$4:$AY$138, MATCH('Staging Table'!$A137, LS_previous!$B$4:$B$138, 0), MATCH(AI$4&amp;AI$5, LS_previous!$D$2:$AY$2&amp;LS_previous!$D$3:$AY$3, 0)),SUM(VLOOKUP($A137, LS_previous!$B$4:$AY$138, LS_previous!AA$149, FALSE), VLOOKUP('Staging Table'!$A137, LS_previous!$B$4:$AY$138,LS_previous!AY$149, FALSE))/2)</f>
        <v>2318.6245022765329</v>
      </c>
      <c r="AJ137" s="384">
        <f t="array" ref="AJ137">INDEX(Demand_previous!$D$4:$AY$138, MATCH('Staging Table'!$A137, Demand_previous!$B$4:$B$138, 0), MATCH(AJ$4&amp;AJ$5,Demand_previous!$D$2:$AY$2&amp;Demand_previous!$D$3:$AY$3, 0))/1000</f>
        <v>1.7269236111111113</v>
      </c>
      <c r="AK137" s="384">
        <f t="array" ref="AK137">INDEX(Demand_previous!$D$4:$AY$138, MATCH('Staging Table'!$A137, Demand_previous!$B$4:$B$138, 0), MATCH(AK$4&amp;AK$5,Demand_previous!$D$2:$AY$2&amp;Demand_previous!$D$3:$AY$3, 0))/1000</f>
        <v>1.1079713541666649</v>
      </c>
      <c r="AL137" s="384">
        <f t="array" ref="AL137">INDEX(Demand_previous!$D$4:$AY$138, MATCH('Staging Table'!$A137, Demand_previous!$B$4:$B$138, 0), MATCH(AL$4&amp;AL$5,Demand_previous!$D$2:$AY$2&amp;Demand_previous!$D$3:$AY$3, 0))/1000</f>
        <v>1.9900024038461552</v>
      </c>
      <c r="AM137" s="384">
        <f t="array" ref="AM137">INDEX(Demand_previous!$D$4:$AY$138, MATCH('Staging Table'!$A137, Demand_previous!$B$4:$B$138, 0), MATCH(AM$4&amp;AM$5,Demand_previous!$D$2:$AY$2&amp;Demand_previous!$D$3:$AY$3, 0))/1000</f>
        <v>2.0256199999999964</v>
      </c>
      <c r="AN137" s="384">
        <f t="array" ref="AN137">INDEX(Demand_previous!$D$4:$AY$138, MATCH('Staging Table'!$A137, Demand_previous!$B$4:$B$138, 0), MATCH(AN$4&amp;AN$5,Demand_previous!$D$2:$AY$2&amp;Demand_previous!$D$3:$AY$3, 0))/1000</f>
        <v>3.3335650000000001</v>
      </c>
      <c r="AO137" s="384">
        <f t="array" ref="AO137">INDEX(Demand_previous!$D$4:$AY$138, MATCH('Staging Table'!$A137, Demand_previous!$B$4:$B$138, 0), MATCH(AO$4&amp;AO$5,Demand_previous!$D$2:$AY$2&amp;Demand_previous!$D$3:$AY$3, 0))/1000</f>
        <v>3.3074166666666649</v>
      </c>
      <c r="AP137" s="384">
        <f t="array" ref="AP137">INDEX(Demand_previous!$D$4:$AY$138, MATCH('Staging Table'!$A137, Demand_previous!$B$4:$B$138, 0), MATCH(AP$4&amp;AP$5,Demand_previous!$D$2:$AY$2&amp;Demand_previous!$D$3:$AY$3, 0))/1000</f>
        <v>2.6852932692307663</v>
      </c>
      <c r="AQ137" s="384">
        <f t="array" ref="AQ137">INDEX(Demand_previous!$D$4:$AY$138, MATCH('Staging Table'!$A137, Demand_previous!$B$4:$B$138, 0), MATCH(AQ$4&amp;AQ$5,Demand_previous!$D$2:$AY$2&amp;Demand_previous!$D$3:$AY$3, 0))/1000</f>
        <v>1.6431400000000007</v>
      </c>
      <c r="AR137" s="384">
        <f t="array" ref="AR137">INDEX(Demand_previous!$D$4:$AY$138, MATCH('Staging Table'!$A137, Demand_previous!$B$4:$B$138, 0), MATCH(AR$4&amp;AR$5,Demand_previous!$D$2:$AY$2&amp;Demand_previous!$D$3:$AY$3, 0))/1000</f>
        <v>2.9937716346153858</v>
      </c>
      <c r="AS137" s="384">
        <f t="array" ref="AS137">INDEX(Demand_previous!$D$4:$AY$138, MATCH('Staging Table'!$A137, Demand_previous!$B$4:$B$138, 0), MATCH(AS$4&amp;AS$5,Demand_previous!$D$2:$AY$2&amp;Demand_previous!$D$3:$AY$3, 0))/1000</f>
        <v>2.3008375000000001</v>
      </c>
      <c r="AT137" s="384">
        <f t="array" ref="AT137">INDEX(Demand_previous!$D$4:$AY$138, MATCH('Staging Table'!$A137, Demand_previous!$B$4:$B$138, 0), MATCH(AT$4&amp;AT$5,Demand_previous!$D$2:$AY$2&amp;Demand_previous!$D$3:$AY$3, 0))/1000</f>
        <v>4.4265578703703685</v>
      </c>
      <c r="AU137" s="384">
        <f t="array" ref="AU137">INDEX(Demand_previous!$D$4:$AY$138, MATCH('Staging Table'!$A137, Demand_previous!$B$4:$B$138, 0), MATCH(AU$4&amp;AU$5,Demand_previous!$D$2:$AY$2&amp;Demand_previous!$D$3:$AY$3, 0))/1000</f>
        <v>3.3480100000000004</v>
      </c>
      <c r="AV137" s="384">
        <f>IF($D137=0,IF(C137=0, MAX(AY137 - (VLOOKUP($A137,TOCA_previous!$A$2:$AI$137,MATCH("RHWM 2016",TOCA_previous!$A$2:$AI$2,0),FALSE)*$F$2*TOCA_previous!C134),0),0), 0)</f>
        <v>13941.770341419207</v>
      </c>
      <c r="AW137" s="427">
        <f>VLOOKUP($A137,REP_previous!$A$1:$D$135,MATCH("FY "&amp;$F$1&amp; " Total Refund",REP_previous!$A$1:$D$1,0),0)</f>
        <v>92364.993309866593</v>
      </c>
      <c r="AX137" s="398">
        <f>MIN(VLOOKUP($A137,TOCA_previous!$A$2:$AI$137,MATCH("TRL - NLSL - Exisiting Resource "&amp;$F$1,TOCA_previous!$A$2:$AI$2,0),FALSE)*$F$2,(VLOOKUP($A137,TOCA_previous!$A$2:$AI$137,MATCH("RHWM 2016",TOCA_previous!$A$2:$AI$2,0),FALSE)*$F$2))</f>
        <v>145050.19200000001</v>
      </c>
      <c r="AY137" s="384">
        <f>SUM(L137:AI137)+(F137*RT1SC!$C$3*$F$2)</f>
        <v>164236.0103414192</v>
      </c>
      <c r="AZ137" s="398">
        <f>VLOOKUP($A137,TOCA_previous!$A$2:$AI$137,MATCH("Above RHWM Not Served with LS "&amp;$F$1,TOCA_previous!$A$2:$AI$2,0),FALSE)*$F$2</f>
        <v>0</v>
      </c>
      <c r="BA137" s="206">
        <f t="shared" si="35"/>
        <v>19185.818341419188</v>
      </c>
      <c r="BB137" s="399">
        <f>(VLOOKUP($A137,TOCA_previous!$A$2:$AI$137,MATCH("RHWM 2016",TOCA_previous!$A$2:$AI$2,0),FALSE)*$F$2) - $AX137</f>
        <v>5244.0479999999807</v>
      </c>
      <c r="BC137" s="206">
        <f t="shared" si="36"/>
        <v>-5244.0479999999807</v>
      </c>
      <c r="BD137" s="400">
        <f t="shared" si="37"/>
        <v>0</v>
      </c>
      <c r="BE137" s="392">
        <f t="shared" si="38"/>
        <v>0</v>
      </c>
      <c r="BF137" s="399">
        <f t="shared" si="39"/>
        <v>-5244.0479999999807</v>
      </c>
      <c r="BG137" s="206">
        <f>VLOOKUP($A137,TOCA_current!$A$2:$AI$137,MATCH(BG$4,TOCA_current!$A$2:$AI$2,0),FALSE)</f>
        <v>2.4480000000000001E-3</v>
      </c>
      <c r="BH137" s="206">
        <f>VLOOKUP($A137,TOCA_current!$A$2:$AI$137,MATCH(BH$4,TOCA_current!$A$2:$AI$2,0),FALSE)</f>
        <v>2.4480000000000001E-3</v>
      </c>
      <c r="BI137" s="391">
        <f t="shared" si="40"/>
        <v>0</v>
      </c>
      <c r="BJ137" s="206">
        <f>VLOOKUP($A137,TOCA_current!A133:BG268,MATCH(BJ$4,TOCA_current!$A$2:$BG$2,0),FALSE)</f>
        <v>0</v>
      </c>
      <c r="BK137" s="206">
        <f t="shared" si="41"/>
        <v>0</v>
      </c>
      <c r="BL137" s="206">
        <f t="shared" si="42"/>
        <v>0</v>
      </c>
      <c r="BM137" s="381">
        <f>VLOOKUP($A137,IRD!$A$4:$G$139, 7, FALSE)</f>
        <v>0</v>
      </c>
      <c r="BN137" s="382">
        <f t="array" ref="BN137">IF($BI137=0, INDEX(LS_current!$D$4:$AY$139, MATCH('Staging Table'!$A137, LS_current!$B$4:$B$139, 0), MATCH(BN$4&amp;BN$5, LS_current!$D$2:$AY$2&amp;LS_current!$D$3:$AY$3, 0)),SUM(VLOOKUP($A137, LS_current!$B$4:$AY$139, LS_current!D$149, FALSE), VLOOKUP($A137, LS_current!$B$4:$AY$139,LS_current!D$149, FALSE))/2)</f>
        <v>-1076.9525045666323</v>
      </c>
      <c r="BO137" s="382">
        <f t="array" ref="BO137">IF($BI137=0, INDEX(LS_current!$D$4:$AY$139, MATCH('Staging Table'!$A137, LS_current!$B$4:$B$139, 0), MATCH(BO$4&amp;BO$5, LS_current!$D$2:$AY$2&amp;LS_current!$D$3:$AY$3, 0)),SUM(VLOOKUP($A137, LS_current!$B$4:$AY$139, LS_current!E$149, FALSE), VLOOKUP($A137, LS_current!$B$4:$AY$139,LS_current!E$149, FALSE))/2)</f>
        <v>494.30566223713549</v>
      </c>
      <c r="BP137" s="382">
        <f t="array" ref="BP137">IF($BI137=0, INDEX(LS_current!$D$4:$AY$139, MATCH('Staging Table'!$A137, LS_current!$B$4:$B$139, 0), MATCH(BP$4&amp;BP$5, LS_current!$D$2:$AY$2&amp;LS_current!$D$3:$AY$3, 0)),SUM(VLOOKUP($A137, LS_current!$B$4:$AY$139, LS_current!F$149, FALSE), VLOOKUP($A137, LS_current!$B$4:$AY$139,LS_current!F$149, FALSE))/2)</f>
        <v>-3115.4536868797913</v>
      </c>
      <c r="BQ137" s="382">
        <f t="array" ref="BQ137">IF($BI137=0, INDEX(LS_current!$D$4:$AY$139, MATCH('Staging Table'!$A137, LS_current!$B$4:$B$139, 0), MATCH(BQ$4&amp;BQ$5, LS_current!$D$2:$AY$2&amp;LS_current!$D$3:$AY$3, 0)),SUM(VLOOKUP($A137, LS_current!$B$4:$AY$139, LS_current!G$149, FALSE), VLOOKUP($A137, LS_current!$B$4:$AY$139,LS_current!G$149, FALSE))/2)</f>
        <v>-621.63462311856802</v>
      </c>
      <c r="BR137" s="382">
        <f t="array" ref="BR137">IF($BI137=0, INDEX(LS_current!$D$4:$AY$139, MATCH('Staging Table'!$A137, LS_current!$B$4:$B$139, 0), MATCH(BR$4&amp;BR$5, LS_current!$D$2:$AY$2&amp;LS_current!$D$3:$AY$3, 0)),SUM(VLOOKUP($A137, LS_current!$B$4:$AY$139, LS_current!H$149, FALSE), VLOOKUP($A137, LS_current!$B$4:$AY$139,LS_current!H$149, FALSE))/2)</f>
        <v>-2574.9491804560157</v>
      </c>
      <c r="BS137" s="382">
        <f t="array" ref="BS137">IF($BI137=0, INDEX(LS_current!$D$4:$AY$139, MATCH('Staging Table'!$A137, LS_current!$B$4:$B$139, 0), MATCH(BS$4&amp;BS$5, LS_current!$D$2:$AY$2&amp;LS_current!$D$3:$AY$3, 0)),SUM(VLOOKUP($A137, LS_current!$B$4:$AY$139, LS_current!I$149, FALSE), VLOOKUP($A137, LS_current!$B$4:$AY$139,LS_current!I$149, FALSE))/2)</f>
        <v>-599.23793067410315</v>
      </c>
      <c r="BT137" s="382">
        <f t="array" ref="BT137">IF($BI137=0, INDEX(LS_current!$D$4:$AY$139, MATCH('Staging Table'!$A137, LS_current!$B$4:$B$139, 0), MATCH(BT$4&amp;BT$5, LS_current!$D$2:$AY$2&amp;LS_current!$D$3:$AY$3, 0)),SUM(VLOOKUP($A137, LS_current!$B$4:$AY$139, LS_current!J$149, FALSE), VLOOKUP($A137, LS_current!$B$4:$AY$139,LS_current!J$149, FALSE))/2)</f>
        <v>101.58681515609624</v>
      </c>
      <c r="BU137" s="382">
        <f t="array" ref="BU137">IF($BI137=0, INDEX(LS_current!$D$4:$AY$139, MATCH('Staging Table'!$A137, LS_current!$B$4:$B$139, 0), MATCH(BU$4&amp;BU$5, LS_current!$D$2:$AY$2&amp;LS_current!$D$3:$AY$3, 0)),SUM(VLOOKUP($A137, LS_current!$B$4:$AY$139, LS_current!K$149, FALSE), VLOOKUP($A137, LS_current!$B$4:$AY$139,LS_current!K$149, FALSE))/2)</f>
        <v>1270.0906597322237</v>
      </c>
      <c r="BV137" s="382">
        <f t="array" ref="BV137">IF($BI137=0, INDEX(LS_current!$D$4:$AY$139, MATCH('Staging Table'!$A137, LS_current!$B$4:$B$139, 0), MATCH(BV$4&amp;BV$5, LS_current!$D$2:$AY$2&amp;LS_current!$D$3:$AY$3, 0)),SUM(VLOOKUP($A137, LS_current!$B$4:$AY$139, LS_current!L$149, FALSE), VLOOKUP($A137, LS_current!$B$4:$AY$139,LS_current!L$149, FALSE))/2)</f>
        <v>677.57645595738359</v>
      </c>
      <c r="BW137" s="382">
        <f t="array" ref="BW137">IF($BI137=0, INDEX(LS_current!$D$4:$AY$139, MATCH('Staging Table'!$A137, LS_current!$B$4:$B$139, 0), MATCH(BW$4&amp;BW$5, LS_current!$D$2:$AY$2&amp;LS_current!$D$3:$AY$3, 0)),SUM(VLOOKUP($A137, LS_current!$B$4:$AY$139, LS_current!M$149, FALSE), VLOOKUP($A137, LS_current!$B$4:$AY$139,LS_current!M$149, FALSE))/2)</f>
        <v>1396.3113090635998</v>
      </c>
      <c r="BX137" s="382">
        <f t="array" ref="BX137">IF($BI137=0, INDEX(LS_current!$D$4:$AY$139, MATCH('Staging Table'!$A137, LS_current!$B$4:$B$139, 0), MATCH(BX$4&amp;BX$5, LS_current!$D$2:$AY$2&amp;LS_current!$D$3:$AY$3, 0)),SUM(VLOOKUP($A137, LS_current!$B$4:$AY$139, LS_current!N$149, FALSE), VLOOKUP($A137, LS_current!$B$4:$AY$139,LS_current!N$149, FALSE))/2)</f>
        <v>128.72031596575107</v>
      </c>
      <c r="BY137" s="382">
        <f t="array" ref="BY137">IF($BI137=0, INDEX(LS_current!$D$4:$AY$139, MATCH('Staging Table'!$A137, LS_current!$B$4:$B$139, 0), MATCH(BY$4&amp;BY$5, LS_current!$D$2:$AY$2&amp;LS_current!$D$3:$AY$3, 0)),SUM(VLOOKUP($A137, LS_current!$B$4:$AY$139, LS_current!O$149, FALSE), VLOOKUP($A137, LS_current!$B$4:$AY$139,LS_current!O$149, FALSE))/2)</f>
        <v>1185.5336946359594</v>
      </c>
      <c r="BZ137" s="382">
        <f t="array" ref="BZ137">IF($BI137=0, INDEX(LS_current!$D$4:$AY$139, MATCH('Staging Table'!$A137, LS_current!$B$4:$B$139, 0), MATCH(BZ$4&amp;BZ$5, LS_current!$D$2:$AY$2&amp;LS_current!$D$3:$AY$3, 0)),SUM(VLOOKUP($A137, LS_current!$B$4:$AY$139, LS_current!P$149, FALSE), VLOOKUP($A137, LS_current!$B$4:$AY$139,LS_current!P$149, FALSE))/2)</f>
        <v>169.16190520878354</v>
      </c>
      <c r="CA137" s="382">
        <f t="array" ref="CA137">IF($BI137=0, INDEX(LS_current!$D$4:$AY$139, MATCH('Staging Table'!$A137, LS_current!$B$4:$B$139, 0), MATCH(CA$4&amp;CA$5, LS_current!$D$2:$AY$2&amp;LS_current!$D$3:$AY$3, 0)),SUM(VLOOKUP($A137, LS_current!$B$4:$AY$139, LS_current!Q$149, FALSE), VLOOKUP($A137, LS_current!$B$4:$AY$139,LS_current!Q$149, FALSE))/2)</f>
        <v>1172.1764159196637</v>
      </c>
      <c r="CB137" s="382">
        <f t="array" ref="CB137">IF($BI137=0, INDEX(LS_current!$D$4:$AY$139, MATCH('Staging Table'!$A137, LS_current!$B$4:$B$139, 0), MATCH(CB$4&amp;CB$5, LS_current!$D$2:$AY$2&amp;LS_current!$D$3:$AY$3, 0)),SUM(VLOOKUP($A137, LS_current!$B$4:$AY$139, LS_current!R$149, FALSE), VLOOKUP($A137, LS_current!$B$4:$AY$139,LS_current!R$149, FALSE))/2)</f>
        <v>-3093.1905846844338</v>
      </c>
      <c r="CC137" s="382">
        <f t="array" ref="CC137">IF($BI137=0, INDEX(LS_current!$D$4:$AY$139, MATCH('Staging Table'!$A137, LS_current!$B$4:$B$139, 0), MATCH(CC$4&amp;CC$5, LS_current!$D$2:$AY$2&amp;LS_current!$D$3:$AY$3, 0)),SUM(VLOOKUP($A137, LS_current!$B$4:$AY$139, LS_current!S$149, FALSE), VLOOKUP($A137, LS_current!$B$4:$AY$139,LS_current!S$149, FALSE))/2)</f>
        <v>-149.6964408289432</v>
      </c>
      <c r="CD137" s="382">
        <f t="array" ref="CD137">IF($BI137=0, INDEX(LS_current!$D$4:$AY$139, MATCH('Staging Table'!$A137, LS_current!$B$4:$B$139, 0), MATCH(CD$4&amp;CD$5, LS_current!$D$2:$AY$2&amp;LS_current!$D$3:$AY$3, 0)),SUM(VLOOKUP($A137, LS_current!$B$4:$AY$139, LS_current!T$149, FALSE), VLOOKUP($A137, LS_current!$B$4:$AY$139,LS_current!T$149, FALSE))/2)</f>
        <v>-892.33116204318412</v>
      </c>
      <c r="CE137" s="382">
        <f t="array" ref="CE137">IF($BI137=0, INDEX(LS_current!$D$4:$AY$139, MATCH('Staging Table'!$A137, LS_current!$B$4:$B$139, 0), MATCH(CE$4&amp;CE$5, LS_current!$D$2:$AY$2&amp;LS_current!$D$3:$AY$3, 0)),SUM(VLOOKUP($A137, LS_current!$B$4:$AY$139, LS_current!U$149, FALSE), VLOOKUP($A137, LS_current!$B$4:$AY$139,LS_current!U$149, FALSE))/2)</f>
        <v>977.55894254523173</v>
      </c>
      <c r="CF137" s="382">
        <f t="array" ref="CF137">IF($BI137=0, INDEX(LS_current!$D$4:$AY$139, MATCH('Staging Table'!$A137, LS_current!$B$4:$B$139, 0), MATCH(CF$4&amp;CF$5, LS_current!$D$2:$AY$2&amp;LS_current!$D$3:$AY$3, 0)),SUM(VLOOKUP($A137, LS_current!$B$4:$AY$139, LS_current!V$149, FALSE), VLOOKUP($A137, LS_current!$B$4:$AY$139,LS_current!V$149, FALSE))/2)</f>
        <v>569.62066824516023</v>
      </c>
      <c r="CG137" s="382">
        <f t="array" ref="CG137">IF($BI137=0, INDEX(LS_current!$D$4:$AY$139, MATCH('Staging Table'!$A137, LS_current!$B$4:$B$139, 0), MATCH(CG$4&amp;CG$5, LS_current!$D$2:$AY$2&amp;LS_current!$D$3:$AY$3, 0)),SUM(VLOOKUP($A137, LS_current!$B$4:$AY$139, LS_current!W$149, FALSE), VLOOKUP($A137, LS_current!$B$4:$AY$139,LS_current!W$149, FALSE))/2)</f>
        <v>2110.1014327648954</v>
      </c>
      <c r="CH137" s="382">
        <f t="array" ref="CH137">IF($BI137=0, INDEX(LS_current!$D$4:$AY$139, MATCH('Staging Table'!$A137, LS_current!$B$4:$B$139, 0), MATCH(CH$4&amp;CH$5, LS_current!$D$2:$AY$2&amp;LS_current!$D$3:$AY$3, 0)),SUM(VLOOKUP($A137, LS_current!$B$4:$AY$139, LS_current!X$149, FALSE), VLOOKUP($A137, LS_current!$B$4:$AY$139,LS_current!X$149, FALSE))/2)</f>
        <v>-127.60510413572956</v>
      </c>
      <c r="CI137" s="382">
        <f t="array" ref="CI137">IF($BI137=0, INDEX(LS_current!$D$4:$AY$139, MATCH('Staging Table'!$A137, LS_current!$B$4:$B$139, 0), MATCH(CI$4&amp;CI$5, LS_current!$D$2:$AY$2&amp;LS_current!$D$3:$AY$3, 0)),SUM(VLOOKUP($A137, LS_current!$B$4:$AY$139, LS_current!Y$149, FALSE), VLOOKUP($A137, LS_current!$B$4:$AY$139,LS_current!Y$149, FALSE))/2)</f>
        <v>1793.9409223226239</v>
      </c>
      <c r="CJ137" s="382">
        <f t="array" ref="CJ137">IF($BI137=0, INDEX(LS_current!$D$4:$AY$139, MATCH('Staging Table'!$A137, LS_current!$B$4:$B$139, 0), MATCH(CJ$4&amp;CJ$5, LS_current!$D$2:$AY$2&amp;LS_current!$D$3:$AY$3, 0)),SUM(VLOOKUP($A137, LS_current!$B$4:$AY$139, LS_current!Z$149, FALSE), VLOOKUP($A137, LS_current!$B$4:$AY$139,LS_current!Z$149, FALSE))/2)</f>
        <v>238.95554431842447</v>
      </c>
      <c r="CK137" s="382">
        <f t="array" ref="CK137">IF($BI137=0, INDEX(LS_current!$D$4:$AY$139, MATCH('Staging Table'!$A137, LS_current!$B$4:$B$139, 0), MATCH(CK$4&amp;CK$5, LS_current!$D$2:$AY$2&amp;LS_current!$D$3:$AY$3, 0)),SUM(VLOOKUP($A137, LS_current!$B$4:$AY$139, LS_current!AA$149, FALSE), VLOOKUP($A137, LS_current!$B$4:$AY$139,LS_current!AA$149, FALSE))/2)</f>
        <v>1668.5314959739999</v>
      </c>
      <c r="CL137" s="384">
        <f t="array" ref="CL137">INDEX(Demand_current!$D$4:$AY$138, MATCH($A137, Demand_current!$B$4:$B$138, 0), MATCH(CL$4&amp;CL$5,Demand_current!$D$2:$AY$2&amp;Demand_current!$D$3:$AY$3, 0))/1000</f>
        <v>1.1006129807692311</v>
      </c>
      <c r="CM137" s="384">
        <f t="array" ref="CM137">INDEX(Demand_current!$D$4:$AY$138, MATCH($A137, Demand_current!$B$4:$B$138, 0), MATCH(CM$4&amp;CM$5,Demand_current!$D$2:$AY$2&amp;Demand_current!$D$3:$AY$3, 0))/1000</f>
        <v>1.7792924999999968</v>
      </c>
      <c r="CN137" s="384">
        <f t="array" ref="CN137">INDEX(Demand_current!$D$4:$AY$138, MATCH($A137, Demand_current!$B$4:$B$138, 0), MATCH(CN$4&amp;CN$5,Demand_current!$D$2:$AY$2&amp;Demand_current!$D$3:$AY$3, 0))/1000</f>
        <v>1.3383225000000003</v>
      </c>
      <c r="CO137" s="384">
        <f t="array" ref="CO137">INDEX(Demand_current!$D$4:$AY$138, MATCH($A137, Demand_current!$B$4:$B$138, 0), MATCH(CO$4&amp;CO$5,Demand_current!$D$2:$AY$2&amp;Demand_current!$D$3:$AY$3, 0))/1000</f>
        <v>2.8089038461538429</v>
      </c>
      <c r="CP137" s="384">
        <f t="array" ref="CP137">INDEX(Demand_current!$D$4:$AY$138, MATCH($A137, Demand_current!$B$4:$B$138, 0), MATCH(CP$4&amp;CP$5,Demand_current!$D$2:$AY$2&amp;Demand_current!$D$3:$AY$3, 0))/1000</f>
        <v>2.5548802083333335</v>
      </c>
      <c r="CQ137" s="384">
        <f t="array" ref="CQ137">INDEX(Demand_current!$D$4:$AY$138, MATCH($A137, Demand_current!$B$4:$B$138, 0), MATCH(CQ$4&amp;CQ$5,Demand_current!$D$2:$AY$2&amp;Demand_current!$D$3:$AY$3, 0))/1000</f>
        <v>3.3074166666666649</v>
      </c>
      <c r="CR137" s="384">
        <f t="array" ref="CR137">INDEX(Demand_current!$D$4:$AY$138, MATCH($A137, Demand_current!$B$4:$B$138, 0), MATCH(CR$4&amp;CR$5,Demand_current!$D$2:$AY$2&amp;Demand_current!$D$3:$AY$3, 0))/1000</f>
        <v>1.9184649999999985</v>
      </c>
      <c r="CS137" s="384">
        <f t="array" ref="CS137">INDEX(Demand_current!$D$4:$AY$138, MATCH($A137, Demand_current!$B$4:$B$138, 0), MATCH(CS$4&amp;CS$5,Demand_current!$D$2:$AY$2&amp;Demand_current!$D$3:$AY$3, 0))/1000</f>
        <v>2.4125192307692327</v>
      </c>
      <c r="CT137" s="384">
        <f t="array" ref="CT137">INDEX(Demand_current!$D$4:$AY$138, MATCH($A137, Demand_current!$B$4:$B$138, 0), MATCH(CT$4&amp;CT$5,Demand_current!$D$2:$AY$2&amp;Demand_current!$D$3:$AY$3, 0))/1000</f>
        <v>2.9937716346153858</v>
      </c>
      <c r="CU137" s="384">
        <f t="array" ref="CU137">INDEX(Demand_current!$D$4:$AY$138, MATCH($A137, Demand_current!$B$4:$B$138, 0), MATCH(CU$4&amp;CU$5,Demand_current!$D$2:$AY$2&amp;Demand_current!$D$3:$AY$3, 0))/1000</f>
        <v>2.3008375000000001</v>
      </c>
      <c r="CV137" s="384">
        <f t="array" ref="CV137">INDEX(Demand_current!$D$4:$AY$138, MATCH($A137, Demand_current!$B$4:$B$138, 0), MATCH(CV$4&amp;CV$5,Demand_current!$D$2:$AY$2&amp;Demand_current!$D$3:$AY$3, 0))/1000</f>
        <v>4.4265578703703685</v>
      </c>
      <c r="CW137" s="384">
        <f t="array" ref="CW137">INDEX(Demand_current!$D$4:$AY$138, MATCH($A137, Demand_current!$B$4:$B$138, 0), MATCH(CW$4&amp;CW$5,Demand_current!$D$2:$AY$2&amp;Demand_current!$D$3:$AY$3, 0))/1000</f>
        <v>2.5021770833333346</v>
      </c>
      <c r="CX137" s="384">
        <f>IF(D137=0,IF(C137=0,MAX(0,DA137 - (VLOOKUP($A137,TOCA_current!$A$2:$AI$137,MATCH("RHWM 2018",TOCA_current!$A$2:$AI$2,0),FALSE)*$BH$2)), 0),0)</f>
        <v>1702.9721727395081</v>
      </c>
      <c r="CY137" s="427">
        <f>VLOOKUP($A137,REP_current!$A$1:$D$135,MATCH("FY "&amp;$BH$1&amp; " Total Refund",REP_current!$A$1:$D$1,0),0)</f>
        <v>97105.635655993086</v>
      </c>
      <c r="CZ137" s="432">
        <f>MIN(VLOOKUP($A137,TOCA_current!$A$2:$AI$137,MATCH("TRL - NLSL - Existing Resource "&amp;$BH$1,TOCA_current!$A$2:$AI$2,0),FALSE)*$BH$2, VLOOKUP($A137,TOCA_current!$A$2:$AI$137,MATCH("RHWM 2018",TOCA_current!$A$2:$AI$2,0),FALSE)*$BH$2)</f>
        <v>148928.76</v>
      </c>
      <c r="DA137" s="397">
        <f>SUM(BN137:CK137)+(BH137*RT1SC!$C$4*$BH$2)</f>
        <v>150631.73217273952</v>
      </c>
      <c r="DB137" s="432">
        <f>VLOOKUP($A137,TOCA_current!$A$2:$AI$137,MATCH("Above RHWM Not Served with LS "&amp;$BH$1,TOCA_current!$A$2:$AI$2,0),FALSE)*$BH$2</f>
        <v>13604.279999999999</v>
      </c>
      <c r="DC137" s="401">
        <f t="shared" si="43"/>
        <v>1702.9721727395081</v>
      </c>
      <c r="DD137" s="397">
        <f>(VLOOKUP($A137,TOCA_current!$A$2:$AI$137,MATCH("RHWM 2018",TOCA_current!$A$2:$AI$2,0),FALSE)*$BH$2) - $CZ137</f>
        <v>0</v>
      </c>
      <c r="DE137" s="397">
        <f t="shared" si="44"/>
        <v>0</v>
      </c>
      <c r="DF137" s="397">
        <f t="shared" si="45"/>
        <v>0</v>
      </c>
      <c r="DG137" s="397">
        <f t="shared" si="46"/>
        <v>0</v>
      </c>
      <c r="DH137" s="397">
        <f t="shared" si="47"/>
        <v>0</v>
      </c>
    </row>
    <row r="138" spans="1:112">
      <c r="A138" s="274">
        <v>11680</v>
      </c>
      <c r="B138" s="275" t="s">
        <v>138</v>
      </c>
      <c r="C138" s="397">
        <v>0</v>
      </c>
      <c r="D138" s="397">
        <v>0</v>
      </c>
      <c r="E138" s="205">
        <f>VLOOKUP($A138,TOCA_previous!$A$2:$AI$137,MATCH(E$4,TOCA_previous!$A$2:$AI$2,0),FALSE)</f>
        <v>8.9749999999999997E-4</v>
      </c>
      <c r="F138" s="206">
        <f>VLOOKUP($A138,TOCA_previous!$A$2:$AI$137,MATCH(F$4,TOCA_previous!$A$2:$AI$2,0),FALSE)</f>
        <v>8.9749999999999997E-4</v>
      </c>
      <c r="G138" s="206">
        <f t="shared" si="32"/>
        <v>0</v>
      </c>
      <c r="H138" s="206">
        <f>VLOOKUP($A138,TOCA_previous!$A$2:$AI$137,MATCH(H$4,TOCA_previous!$A$2:$AI$2,0),FALSE)</f>
        <v>0</v>
      </c>
      <c r="I138" s="206">
        <f t="shared" si="33"/>
        <v>0</v>
      </c>
      <c r="J138" s="206">
        <f t="shared" si="34"/>
        <v>0</v>
      </c>
      <c r="K138" s="381">
        <f>VLOOKUP(A138, IRD!$A$5:$C$139, 3, FALSE)</f>
        <v>0</v>
      </c>
      <c r="L138" s="382">
        <f t="array" ref="L138">IF($G138=0, INDEX(LS_previous!$D$4:$AY$138, MATCH('Staging Table'!$A138, LS_previous!$B$4:$B$138, 0), MATCH(L$4&amp;L$5, LS_previous!$D$2:$AY$2&amp;LS_previous!$D$3:$AY$3, 0)),SUM(VLOOKUP($A138, LS_previous!$B$4:$AY$138, LS_previous!D$149, FALSE), VLOOKUP('Staging Table'!$A138, LS_previous!$B$4:$AY$138,LS_previous!AB$149, FALSE))/2)</f>
        <v>-82.918250253004771</v>
      </c>
      <c r="M138" s="382">
        <f t="array" ref="M138">IF($G138=0, INDEX(LS_previous!$D$4:$AY$138, MATCH('Staging Table'!$A138, LS_previous!$B$4:$B$138, 0), MATCH(M$4&amp;M$5, LS_previous!$D$2:$AY$2&amp;LS_previous!$D$3:$AY$3, 0)),SUM(VLOOKUP($A138, LS_previous!$B$4:$AY$138, LS_previous!E$149, FALSE), VLOOKUP('Staging Table'!$A138, LS_previous!$B$4:$AY$138,LS_previous!AC$149, FALSE))/2)</f>
        <v>7.5571917815530014</v>
      </c>
      <c r="N138" s="382">
        <f t="array" ref="N138">IF($G138=0, INDEX(LS_previous!$D$4:$AY$138, MATCH('Staging Table'!$A138, LS_previous!$B$4:$B$138, 0), MATCH(N$4&amp;N$5, LS_previous!$D$2:$AY$2&amp;LS_previous!$D$3:$AY$3, 0)),SUM(VLOOKUP($A138, LS_previous!$B$4:$AY$138, LS_previous!F$149, FALSE), VLOOKUP('Staging Table'!$A138, LS_previous!$B$4:$AY$138,LS_previous!AD$149, FALSE))/2)</f>
        <v>-189.62625980180428</v>
      </c>
      <c r="O138" s="382">
        <f t="array" ref="O138">IF($G138=0, INDEX(LS_previous!$D$4:$AY$138, MATCH('Staging Table'!$A138, LS_previous!$B$4:$B$138, 0), MATCH(O$4&amp;O$5, LS_previous!$D$2:$AY$2&amp;LS_previous!$D$3:$AY$3, 0)),SUM(VLOOKUP($A138, LS_previous!$B$4:$AY$138, LS_previous!G$149, FALSE), VLOOKUP('Staging Table'!$A138, LS_previous!$B$4:$AY$138,LS_previous!AE$149, FALSE))/2)</f>
        <v>-38.980171715270444</v>
      </c>
      <c r="P138" s="382">
        <f t="array" ref="P138">IF($G138=0, INDEX(LS_previous!$D$4:$AY$138, MATCH('Staging Table'!$A138, LS_previous!$B$4:$B$138, 0), MATCH(P$4&amp;P$5, LS_previous!$D$2:$AY$2&amp;LS_previous!$D$3:$AY$3, 0)),SUM(VLOOKUP($A138, LS_previous!$B$4:$AY$138, LS_previous!H$149, FALSE), VLOOKUP('Staging Table'!$A138, LS_previous!$B$4:$AY$138,LS_previous!AF$149, FALSE))/2)</f>
        <v>405.83933661798437</v>
      </c>
      <c r="Q138" s="382">
        <f t="array" ref="Q138">IF($G138=0, INDEX(LS_previous!$D$4:$AY$138, MATCH('Staging Table'!$A138, LS_previous!$B$4:$B$138, 0), MATCH(Q$4&amp;Q$5, LS_previous!$D$2:$AY$2&amp;LS_previous!$D$3:$AY$3, 0)),SUM(VLOOKUP($A138, LS_previous!$B$4:$AY$138, LS_previous!I$149, FALSE), VLOOKUP('Staging Table'!$A138, LS_previous!$B$4:$AY$138,LS_previous!AG$149, FALSE))/2)</f>
        <v>497.27680384879022</v>
      </c>
      <c r="R138" s="382">
        <f t="array" ref="R138">IF($G138=0, INDEX(LS_previous!$D$4:$AY$138, MATCH('Staging Table'!$A138, LS_previous!$B$4:$B$138, 0), MATCH(R$4&amp;R$5, LS_previous!$D$2:$AY$2&amp;LS_previous!$D$3:$AY$3, 0)),SUM(VLOOKUP($A138, LS_previous!$B$4:$AY$138, LS_previous!J$149, FALSE), VLOOKUP('Staging Table'!$A138, LS_previous!$B$4:$AY$138,LS_previous!AH$149, FALSE))/2)</f>
        <v>782.52556318979214</v>
      </c>
      <c r="S138" s="382">
        <f t="array" ref="S138">IF($G138=0, INDEX(LS_previous!$D$4:$AY$138, MATCH('Staging Table'!$A138, LS_previous!$B$4:$B$138, 0), MATCH(S$4&amp;S$5, LS_previous!$D$2:$AY$2&amp;LS_previous!$D$3:$AY$3, 0)),SUM(VLOOKUP($A138, LS_previous!$B$4:$AY$138, LS_previous!K$149, FALSE), VLOOKUP('Staging Table'!$A138, LS_previous!$B$4:$AY$138,LS_previous!AI$149, FALSE))/2)</f>
        <v>508.53332213586395</v>
      </c>
      <c r="T138" s="382">
        <f t="array" ref="T138">IF($G138=0, INDEX(LS_previous!$D$4:$AY$138, MATCH('Staging Table'!$A138, LS_previous!$B$4:$B$138, 0), MATCH(T$4&amp;T$5, LS_previous!$D$2:$AY$2&amp;LS_previous!$D$3:$AY$3, 0)),SUM(VLOOKUP($A138, LS_previous!$B$4:$AY$138, LS_previous!L$149, FALSE), VLOOKUP('Staging Table'!$A138, LS_previous!$B$4:$AY$138,LS_previous!AJ$149, FALSE))/2)</f>
        <v>528.3232550637149</v>
      </c>
      <c r="U138" s="382">
        <f t="array" ref="U138">IF($G138=0, INDEX(LS_previous!$D$4:$AY$138, MATCH('Staging Table'!$A138, LS_previous!$B$4:$B$138, 0), MATCH(U$4&amp;U$5, LS_previous!$D$2:$AY$2&amp;LS_previous!$D$3:$AY$3, 0)),SUM(VLOOKUP($A138, LS_previous!$B$4:$AY$138, LS_previous!M$149, FALSE), VLOOKUP('Staging Table'!$A138, LS_previous!$B$4:$AY$138,LS_previous!AK$149, FALSE))/2)</f>
        <v>318.66098946573993</v>
      </c>
      <c r="V138" s="382">
        <f t="array" ref="V138">IF($G138=0, INDEX(LS_previous!$D$4:$AY$138, MATCH('Staging Table'!$A138, LS_previous!$B$4:$B$138, 0), MATCH(V$4&amp;V$5, LS_previous!$D$2:$AY$2&amp;LS_previous!$D$3:$AY$3, 0)),SUM(VLOOKUP($A138, LS_previous!$B$4:$AY$138, LS_previous!N$149, FALSE), VLOOKUP('Staging Table'!$A138, LS_previous!$B$4:$AY$138,LS_previous!AL$149, FALSE))/2)</f>
        <v>45.561548953970942</v>
      </c>
      <c r="W138" s="382">
        <f t="array" ref="W138">IF($G138=0, INDEX(LS_previous!$D$4:$AY$138, MATCH('Staging Table'!$A138, LS_previous!$B$4:$B$138, 0), MATCH(W$4&amp;W$5, LS_previous!$D$2:$AY$2&amp;LS_previous!$D$3:$AY$3, 0)),SUM(VLOOKUP($A138, LS_previous!$B$4:$AY$138, LS_previous!O$149, FALSE), VLOOKUP('Staging Table'!$A138, LS_previous!$B$4:$AY$138,LS_previous!AM$149, FALSE))/2)</f>
        <v>-131.11487332185902</v>
      </c>
      <c r="X138" s="382">
        <f t="array" ref="X138">IF($G138=0, INDEX(LS_previous!$D$4:$AY$138, MATCH('Staging Table'!$A138, LS_previous!$B$4:$B$138, 0), MATCH(X$4&amp;X$5, LS_previous!$D$2:$AY$2&amp;LS_previous!$D$3:$AY$3, 0)),SUM(VLOOKUP($A138, LS_previous!$B$4:$AY$138, LS_previous!P$149, FALSE), VLOOKUP('Staging Table'!$A138, LS_previous!$B$4:$AY$138,LS_previous!AN$149, FALSE))/2)</f>
        <v>138.35668023875542</v>
      </c>
      <c r="Y138" s="382">
        <f t="array" ref="Y138">IF($G138=0, INDEX(LS_previous!$D$4:$AY$138, MATCH('Staging Table'!$A138, LS_previous!$B$4:$B$138, 0), MATCH(Y$4&amp;Y$5, LS_previous!$D$2:$AY$2&amp;LS_previous!$D$3:$AY$3, 0)),SUM(VLOOKUP($A138, LS_previous!$B$4:$AY$138, LS_previous!Q$149, FALSE), VLOOKUP('Staging Table'!$A138, LS_previous!$B$4:$AY$138,LS_previous!AO$149, FALSE))/2)</f>
        <v>73.315912435783503</v>
      </c>
      <c r="Z138" s="382">
        <f t="array" ref="Z138">IF($G138=0, INDEX(LS_previous!$D$4:$AY$138, MATCH('Staging Table'!$A138, LS_previous!$B$4:$B$138, 0), MATCH(Z$4&amp;Z$5, LS_previous!$D$2:$AY$2&amp;LS_previous!$D$3:$AY$3, 0)),SUM(VLOOKUP($A138, LS_previous!$B$4:$AY$138, LS_previous!R$149, FALSE), VLOOKUP('Staging Table'!$A138, LS_previous!$B$4:$AY$138,LS_previous!AP$149, FALSE))/2)</f>
        <v>-1320.6784529838169</v>
      </c>
      <c r="AA138" s="382">
        <f t="array" ref="AA138">IF($G138=0, INDEX(LS_previous!$D$4:$AY$138, MATCH('Staging Table'!$A138, LS_previous!$B$4:$B$138, 0), MATCH(AA$4&amp;AA$5, LS_previous!$D$2:$AY$2&amp;LS_previous!$D$3:$AY$3, 0)),SUM(VLOOKUP($A138, LS_previous!$B$4:$AY$138, LS_previous!S$149, FALSE), VLOOKUP('Staging Table'!$A138, LS_previous!$B$4:$AY$138,LS_previous!AQ$149, FALSE))/2)</f>
        <v>-711.36500134296421</v>
      </c>
      <c r="AB138" s="382">
        <f t="array" ref="AB138">IF($G138=0, INDEX(LS_previous!$D$4:$AY$138, MATCH('Staging Table'!$A138, LS_previous!$B$4:$B$138, 0), MATCH(AB$4&amp;AB$5, LS_previous!$D$2:$AY$2&amp;LS_previous!$D$3:$AY$3, 0)),SUM(VLOOKUP($A138, LS_previous!$B$4:$AY$138, LS_previous!T$149, FALSE), VLOOKUP('Staging Table'!$A138, LS_previous!$B$4:$AY$138,LS_previous!AR$149, FALSE))/2)</f>
        <v>-420.47567102500579</v>
      </c>
      <c r="AC138" s="382">
        <f t="array" ref="AC138">IF($G138=0, INDEX(LS_previous!$D$4:$AY$138, MATCH('Staging Table'!$A138, LS_previous!$B$4:$B$138, 0), MATCH(AC$4&amp;AC$5, LS_previous!$D$2:$AY$2&amp;LS_previous!$D$3:$AY$3, 0)),SUM(VLOOKUP($A138, LS_previous!$B$4:$AY$138, LS_previous!U$149, FALSE), VLOOKUP('Staging Table'!$A138, LS_previous!$B$4:$AY$138,LS_previous!AS$149, FALSE))/2)</f>
        <v>-393.4476379525413</v>
      </c>
      <c r="AD138" s="382">
        <f t="array" ref="AD138">IF($G138=0, INDEX(LS_previous!$D$4:$AY$138, MATCH('Staging Table'!$A138, LS_previous!$B$4:$B$138, 0), MATCH(AD$4&amp;AD$5, LS_previous!$D$2:$AY$2&amp;LS_previous!$D$3:$AY$3, 0)),SUM(VLOOKUP($A138, LS_previous!$B$4:$AY$138, LS_previous!V$149, FALSE), VLOOKUP('Staging Table'!$A138, LS_previous!$B$4:$AY$138,LS_previous!AT$149, FALSE))/2)</f>
        <v>350.08493872217377</v>
      </c>
      <c r="AE138" s="382">
        <f t="array" ref="AE138">IF($G138=0, INDEX(LS_previous!$D$4:$AY$138, MATCH('Staging Table'!$A138, LS_previous!$B$4:$B$138, 0), MATCH(AE$4&amp;AE$5, LS_previous!$D$2:$AY$2&amp;LS_previous!$D$3:$AY$3, 0)),SUM(VLOOKUP($A138, LS_previous!$B$4:$AY$138, LS_previous!W$149, FALSE), VLOOKUP('Staging Table'!$A138, LS_previous!$B$4:$AY$138,LS_previous!AU$149, FALSE))/2)</f>
        <v>394.25809093379098</v>
      </c>
      <c r="AF138" s="382">
        <f t="array" ref="AF138">IF($G138=0, INDEX(LS_previous!$D$4:$AY$138, MATCH('Staging Table'!$A138, LS_previous!$B$4:$B$138, 0), MATCH(AF$4&amp;AF$5, LS_previous!$D$2:$AY$2&amp;LS_previous!$D$3:$AY$3, 0)),SUM(VLOOKUP($A138, LS_previous!$B$4:$AY$138, LS_previous!X$149, FALSE), VLOOKUP('Staging Table'!$A138, LS_previous!$B$4:$AY$138,LS_previous!AV$149, FALSE))/2)</f>
        <v>273.33290301484431</v>
      </c>
      <c r="AG138" s="382">
        <f t="array" ref="AG138">IF($G138=0, INDEX(LS_previous!$D$4:$AY$138, MATCH('Staging Table'!$A138, LS_previous!$B$4:$B$138, 0), MATCH(AG$4&amp;AG$5, LS_previous!$D$2:$AY$2&amp;LS_previous!$D$3:$AY$3, 0)),SUM(VLOOKUP($A138, LS_previous!$B$4:$AY$138, LS_previous!Y$149, FALSE), VLOOKUP('Staging Table'!$A138, LS_previous!$B$4:$AY$138,LS_previous!AW$149, FALSE))/2)</f>
        <v>73.920260414241056</v>
      </c>
      <c r="AH138" s="382">
        <f t="array" ref="AH138">IF($G138=0, INDEX(LS_previous!$D$4:$AY$138, MATCH('Staging Table'!$A138, LS_previous!$B$4:$B$138, 0), MATCH(AH$4&amp;AH$5, LS_previous!$D$2:$AY$2&amp;LS_previous!$D$3:$AY$3, 0)),SUM(VLOOKUP($A138, LS_previous!$B$4:$AY$138, LS_previous!Z$149, FALSE), VLOOKUP('Staging Table'!$A138, LS_previous!$B$4:$AY$138,LS_previous!AX$149, FALSE))/2)</f>
        <v>115.17310121659148</v>
      </c>
      <c r="AI138" s="382">
        <f t="array" ref="AI138">IF($G138=0, INDEX(LS_previous!$D$4:$AY$138, MATCH('Staging Table'!$A138, LS_previous!$B$4:$B$138, 0), MATCH(AI$4&amp;AI$5, LS_previous!$D$2:$AY$2&amp;LS_previous!$D$3:$AY$3, 0)),SUM(VLOOKUP($A138, LS_previous!$B$4:$AY$138, LS_previous!AA$149, FALSE), VLOOKUP('Staging Table'!$A138, LS_previous!$B$4:$AY$138,LS_previous!AY$149, FALSE))/2)</f>
        <v>55.47232054518031</v>
      </c>
      <c r="AJ138" s="384">
        <f t="array" ref="AJ138">INDEX(Demand_previous!$D$4:$AY$138, MATCH('Staging Table'!$A138, Demand_previous!$B$4:$B$138, 0), MATCH(AJ$4&amp;AJ$5,Demand_previous!$D$2:$AY$2&amp;Demand_previous!$D$3:$AY$3, 0))/1000</f>
        <v>0.14699999999999958</v>
      </c>
      <c r="AK138" s="384">
        <f t="array" ref="AK138">INDEX(Demand_previous!$D$4:$AY$138, MATCH('Staging Table'!$A138, Demand_previous!$B$4:$B$138, 0), MATCH(AK$4&amp;AK$5,Demand_previous!$D$2:$AY$2&amp;Demand_previous!$D$3:$AY$3, 0))/1000</f>
        <v>0</v>
      </c>
      <c r="AL138" s="384">
        <f t="array" ref="AL138">INDEX(Demand_previous!$D$4:$AY$138, MATCH('Staging Table'!$A138, Demand_previous!$B$4:$B$138, 0), MATCH(AL$4&amp;AL$5,Demand_previous!$D$2:$AY$2&amp;Demand_previous!$D$3:$AY$3, 0))/1000</f>
        <v>0.50947115384615405</v>
      </c>
      <c r="AM138" s="384">
        <f t="array" ref="AM138">INDEX(Demand_previous!$D$4:$AY$138, MATCH('Staging Table'!$A138, Demand_previous!$B$4:$B$138, 0), MATCH(AM$4&amp;AM$5,Demand_previous!$D$2:$AY$2&amp;Demand_previous!$D$3:$AY$3, 0))/1000</f>
        <v>0.27230499999999941</v>
      </c>
      <c r="AN138" s="384">
        <f t="array" ref="AN138">INDEX(Demand_previous!$D$4:$AY$138, MATCH('Staging Table'!$A138, Demand_previous!$B$4:$B$138, 0), MATCH(AN$4&amp;AN$5,Demand_previous!$D$2:$AY$2&amp;Demand_previous!$D$3:$AY$3, 0))/1000</f>
        <v>0.95822749999999868</v>
      </c>
      <c r="AO138" s="384">
        <f t="array" ref="AO138">INDEX(Demand_previous!$D$4:$AY$138, MATCH('Staging Table'!$A138, Demand_previous!$B$4:$B$138, 0), MATCH(AO$4&amp;AO$5,Demand_previous!$D$2:$AY$2&amp;Demand_previous!$D$3:$AY$3, 0))/1000</f>
        <v>0.42289120370370314</v>
      </c>
      <c r="AP138" s="384">
        <f t="array" ref="AP138">INDEX(Demand_previous!$D$4:$AY$138, MATCH('Staging Table'!$A138, Demand_previous!$B$4:$B$138, 0), MATCH(AP$4&amp;AP$5,Demand_previous!$D$2:$AY$2&amp;Demand_previous!$D$3:$AY$3, 0))/1000</f>
        <v>0.39552884615384643</v>
      </c>
      <c r="AQ138" s="384">
        <f t="array" ref="AQ138">INDEX(Demand_previous!$D$4:$AY$138, MATCH('Staging Table'!$A138, Demand_previous!$B$4:$B$138, 0), MATCH(AQ$4&amp;AQ$5,Demand_previous!$D$2:$AY$2&amp;Demand_previous!$D$3:$AY$3, 0))/1000</f>
        <v>0</v>
      </c>
      <c r="AR138" s="384">
        <f t="array" ref="AR138">INDEX(Demand_previous!$D$4:$AY$138, MATCH('Staging Table'!$A138, Demand_previous!$B$4:$B$138, 0), MATCH(AR$4&amp;AR$5,Demand_previous!$D$2:$AY$2&amp;Demand_previous!$D$3:$AY$3, 0))/1000</f>
        <v>0.42944711538461666</v>
      </c>
      <c r="AS138" s="384">
        <f t="array" ref="AS138">INDEX(Demand_previous!$D$4:$AY$138, MATCH('Staging Table'!$A138, Demand_previous!$B$4:$B$138, 0), MATCH(AS$4&amp;AS$5,Demand_previous!$D$2:$AY$2&amp;Demand_previous!$D$3:$AY$3, 0))/1000</f>
        <v>0.87121749999999976</v>
      </c>
      <c r="AT138" s="384">
        <f t="array" ref="AT138">INDEX(Demand_previous!$D$4:$AY$138, MATCH('Staging Table'!$A138, Demand_previous!$B$4:$B$138, 0), MATCH(AT$4&amp;AT$5,Demand_previous!$D$2:$AY$2&amp;Demand_previous!$D$3:$AY$3, 0))/1000</f>
        <v>0.14423148148148182</v>
      </c>
      <c r="AU138" s="384">
        <f t="array" ref="AU138">INDEX(Demand_previous!$D$4:$AY$138, MATCH('Staging Table'!$A138, Demand_previous!$B$4:$B$138, 0), MATCH(AU$4&amp;AU$5,Demand_previous!$D$2:$AY$2&amp;Demand_previous!$D$3:$AY$3, 0))/1000</f>
        <v>0.51006250000000097</v>
      </c>
      <c r="AV138" s="384">
        <f>IF($D138=0,IF(C138=0, MAX(AY138 - (VLOOKUP($A138,TOCA_previous!$A$2:$AI$137,MATCH("RHWM 2016",TOCA_previous!$A$2:$AI$2,0),FALSE)*$F$2*TOCA_previous!C135),0),0), 0)</f>
        <v>1282.3861295824972</v>
      </c>
      <c r="AW138" s="427">
        <f>VLOOKUP($A138,REP_previous!$A$1:$D$135,MATCH("FY "&amp;$F$1&amp; " Total Refund",REP_previous!$A$1:$D$1,0),0)</f>
        <v>35056.278384406163</v>
      </c>
      <c r="AX138" s="398">
        <f>MIN(VLOOKUP($A138,TOCA_previous!$A$2:$AI$137,MATCH("TRL - NLSL - Exisiting Resource "&amp;$F$1,TOCA_previous!$A$2:$AI$2,0),FALSE)*$F$2,(VLOOKUP($A138,TOCA_previous!$A$2:$AI$137,MATCH("RHWM 2016",TOCA_previous!$A$2:$AI$2,0),FALSE)*$F$2))</f>
        <v>55049.328000000001</v>
      </c>
      <c r="AY138" s="384">
        <f>SUM(L138:AI138)+(F138*RT1SC!$C$3*$F$2)</f>
        <v>56331.714129582499</v>
      </c>
      <c r="AZ138" s="398">
        <f>VLOOKUP($A138,TOCA_previous!$A$2:$AI$137,MATCH("Above RHWM Not Served with LS "&amp;$F$1,TOCA_previous!$A$2:$AI$2,0),FALSE)*$F$2</f>
        <v>0</v>
      </c>
      <c r="BA138" s="206">
        <f t="shared" si="35"/>
        <v>1282.3861295824972</v>
      </c>
      <c r="BB138" s="399">
        <f>(VLOOKUP($A138,TOCA_previous!$A$2:$AI$137,MATCH("RHWM 2016",TOCA_previous!$A$2:$AI$2,0),FALSE)*$F$2) - $AX138</f>
        <v>0</v>
      </c>
      <c r="BC138" s="206">
        <f t="shared" si="36"/>
        <v>0</v>
      </c>
      <c r="BD138" s="400">
        <f t="shared" si="37"/>
        <v>0</v>
      </c>
      <c r="BE138" s="392">
        <f t="shared" si="38"/>
        <v>0</v>
      </c>
      <c r="BF138" s="399">
        <f t="shared" si="39"/>
        <v>0</v>
      </c>
      <c r="BG138" s="206">
        <f>VLOOKUP($A138,TOCA_current!$A$2:$AI$137,MATCH(BG$4,TOCA_current!$A$2:$AI$2,0),FALSE)</f>
        <v>8.966E-4</v>
      </c>
      <c r="BH138" s="206">
        <f>VLOOKUP($A138,TOCA_current!$A$2:$AI$137,MATCH(BH$4,TOCA_current!$A$2:$AI$2,0),FALSE)</f>
        <v>8.966E-4</v>
      </c>
      <c r="BI138" s="391">
        <f t="shared" si="40"/>
        <v>0</v>
      </c>
      <c r="BJ138" s="206">
        <f>VLOOKUP($A138,TOCA_current!A134:BG269,MATCH(BJ$4,TOCA_current!$A$2:$BG$2,0),FALSE)</f>
        <v>0</v>
      </c>
      <c r="BK138" s="206">
        <f t="shared" si="41"/>
        <v>0</v>
      </c>
      <c r="BL138" s="206">
        <f t="shared" si="42"/>
        <v>0</v>
      </c>
      <c r="BM138" s="381">
        <f>VLOOKUP($A138,IRD!$A$4:$G$139, 7, FALSE)</f>
        <v>0</v>
      </c>
      <c r="BN138" s="382">
        <f t="array" ref="BN138">IF($BI138=0, INDEX(LS_current!$D$4:$AY$139, MATCH('Staging Table'!$A138, LS_current!$B$4:$B$139, 0), MATCH(BN$4&amp;BN$5, LS_current!$D$2:$AY$2&amp;LS_current!$D$3:$AY$3, 0)),SUM(VLOOKUP($A138, LS_current!$B$4:$AY$139, LS_current!D$149, FALSE), VLOOKUP($A138, LS_current!$B$4:$AY$139,LS_current!D$149, FALSE))/2)</f>
        <v>-94.826334719952229</v>
      </c>
      <c r="BO138" s="382">
        <f t="array" ref="BO138">IF($BI138=0, INDEX(LS_current!$D$4:$AY$139, MATCH('Staging Table'!$A138, LS_current!$B$4:$B$139, 0), MATCH(BO$4&amp;BO$5, LS_current!$D$2:$AY$2&amp;LS_current!$D$3:$AY$3, 0)),SUM(VLOOKUP($A138, LS_current!$B$4:$AY$139, LS_current!E$149, FALSE), VLOOKUP($A138, LS_current!$B$4:$AY$139,LS_current!E$149, FALSE))/2)</f>
        <v>88.890396961526221</v>
      </c>
      <c r="BP138" s="382">
        <f t="array" ref="BP138">IF($BI138=0, INDEX(LS_current!$D$4:$AY$139, MATCH('Staging Table'!$A138, LS_current!$B$4:$B$139, 0), MATCH(BP$4&amp;BP$5, LS_current!$D$2:$AY$2&amp;LS_current!$D$3:$AY$3, 0)),SUM(VLOOKUP($A138, LS_current!$B$4:$AY$139, LS_current!F$149, FALSE), VLOOKUP($A138, LS_current!$B$4:$AY$139,LS_current!F$149, FALSE))/2)</f>
        <v>-253.37159209821084</v>
      </c>
      <c r="BQ138" s="382">
        <f t="array" ref="BQ138">IF($BI138=0, INDEX(LS_current!$D$4:$AY$139, MATCH('Staging Table'!$A138, LS_current!$B$4:$B$139, 0), MATCH(BQ$4&amp;BQ$5, LS_current!$D$2:$AY$2&amp;LS_current!$D$3:$AY$3, 0)),SUM(VLOOKUP($A138, LS_current!$B$4:$AY$139, LS_current!G$149, FALSE), VLOOKUP($A138, LS_current!$B$4:$AY$139,LS_current!G$149, FALSE))/2)</f>
        <v>-19.564641130762766</v>
      </c>
      <c r="BR138" s="382">
        <f t="array" ref="BR138">IF($BI138=0, INDEX(LS_current!$D$4:$AY$139, MATCH('Staging Table'!$A138, LS_current!$B$4:$B$139, 0), MATCH(BR$4&amp;BR$5, LS_current!$D$2:$AY$2&amp;LS_current!$D$3:$AY$3, 0)),SUM(VLOOKUP($A138, LS_current!$B$4:$AY$139, LS_current!H$149, FALSE), VLOOKUP($A138, LS_current!$B$4:$AY$139,LS_current!H$149, FALSE))/2)</f>
        <v>305.89127540977779</v>
      </c>
      <c r="BS138" s="382">
        <f t="array" ref="BS138">IF($BI138=0, INDEX(LS_current!$D$4:$AY$139, MATCH('Staging Table'!$A138, LS_current!$B$4:$B$139, 0), MATCH(BS$4&amp;BS$5, LS_current!$D$2:$AY$2&amp;LS_current!$D$3:$AY$3, 0)),SUM(VLOOKUP($A138, LS_current!$B$4:$AY$139, LS_current!I$149, FALSE), VLOOKUP($A138, LS_current!$B$4:$AY$139,LS_current!I$149, FALSE))/2)</f>
        <v>480.9553060284311</v>
      </c>
      <c r="BT138" s="382">
        <f t="array" ref="BT138">IF($BI138=0, INDEX(LS_current!$D$4:$AY$139, MATCH('Staging Table'!$A138, LS_current!$B$4:$B$139, 0), MATCH(BT$4&amp;BT$5, LS_current!$D$2:$AY$2&amp;LS_current!$D$3:$AY$3, 0)),SUM(VLOOKUP($A138, LS_current!$B$4:$AY$139, LS_current!J$149, FALSE), VLOOKUP($A138, LS_current!$B$4:$AY$139,LS_current!J$149, FALSE))/2)</f>
        <v>754.91063564908291</v>
      </c>
      <c r="BU138" s="382">
        <f t="array" ref="BU138">IF($BI138=0, INDEX(LS_current!$D$4:$AY$139, MATCH('Staging Table'!$A138, LS_current!$B$4:$B$139, 0), MATCH(BU$4&amp;BU$5, LS_current!$D$2:$AY$2&amp;LS_current!$D$3:$AY$3, 0)),SUM(VLOOKUP($A138, LS_current!$B$4:$AY$139, LS_current!K$149, FALSE), VLOOKUP($A138, LS_current!$B$4:$AY$139,LS_current!K$149, FALSE))/2)</f>
        <v>503.72726115846081</v>
      </c>
      <c r="BV138" s="382">
        <f t="array" ref="BV138">IF($BI138=0, INDEX(LS_current!$D$4:$AY$139, MATCH('Staging Table'!$A138, LS_current!$B$4:$B$139, 0), MATCH(BV$4&amp;BV$5, LS_current!$D$2:$AY$2&amp;LS_current!$D$3:$AY$3, 0)),SUM(VLOOKUP($A138, LS_current!$B$4:$AY$139, LS_current!L$149, FALSE), VLOOKUP($A138, LS_current!$B$4:$AY$139,LS_current!L$149, FALSE))/2)</f>
        <v>716.9789040896203</v>
      </c>
      <c r="BW138" s="382">
        <f t="array" ref="BW138">IF($BI138=0, INDEX(LS_current!$D$4:$AY$139, MATCH('Staging Table'!$A138, LS_current!$B$4:$B$139, 0), MATCH(BW$4&amp;BW$5, LS_current!$D$2:$AY$2&amp;LS_current!$D$3:$AY$3, 0)),SUM(VLOOKUP($A138, LS_current!$B$4:$AY$139, LS_current!M$149, FALSE), VLOOKUP($A138, LS_current!$B$4:$AY$139,LS_current!M$149, FALSE))/2)</f>
        <v>466.63061613824493</v>
      </c>
      <c r="BX138" s="382">
        <f t="array" ref="BX138">IF($BI138=0, INDEX(LS_current!$D$4:$AY$139, MATCH('Staging Table'!$A138, LS_current!$B$4:$B$139, 0), MATCH(BX$4&amp;BX$5, LS_current!$D$2:$AY$2&amp;LS_current!$D$3:$AY$3, 0)),SUM(VLOOKUP($A138, LS_current!$B$4:$AY$139, LS_current!N$149, FALSE), VLOOKUP($A138, LS_current!$B$4:$AY$139,LS_current!N$149, FALSE))/2)</f>
        <v>193.26182912373088</v>
      </c>
      <c r="BY138" s="382">
        <f t="array" ref="BY138">IF($BI138=0, INDEX(LS_current!$D$4:$AY$139, MATCH('Staging Table'!$A138, LS_current!$B$4:$B$139, 0), MATCH(BY$4&amp;BY$5, LS_current!$D$2:$AY$2&amp;LS_current!$D$3:$AY$3, 0)),SUM(VLOOKUP($A138, LS_current!$B$4:$AY$139, LS_current!O$149, FALSE), VLOOKUP($A138, LS_current!$B$4:$AY$139,LS_current!O$149, FALSE))/2)</f>
        <v>32.564410788644636</v>
      </c>
      <c r="BZ138" s="382">
        <f t="array" ref="BZ138">IF($BI138=0, INDEX(LS_current!$D$4:$AY$139, MATCH('Staging Table'!$A138, LS_current!$B$4:$B$139, 0), MATCH(BZ$4&amp;BZ$5, LS_current!$D$2:$AY$2&amp;LS_current!$D$3:$AY$3, 0)),SUM(VLOOKUP($A138, LS_current!$B$4:$AY$139, LS_current!P$149, FALSE), VLOOKUP($A138, LS_current!$B$4:$AY$139,LS_current!P$149, FALSE))/2)</f>
        <v>-131.91352785531262</v>
      </c>
      <c r="CA138" s="382">
        <f t="array" ref="CA138">IF($BI138=0, INDEX(LS_current!$D$4:$AY$139, MATCH('Staging Table'!$A138, LS_current!$B$4:$B$139, 0), MATCH(CA$4&amp;CA$5, LS_current!$D$2:$AY$2&amp;LS_current!$D$3:$AY$3, 0)),SUM(VLOOKUP($A138, LS_current!$B$4:$AY$139, LS_current!Q$149, FALSE), VLOOKUP($A138, LS_current!$B$4:$AY$139,LS_current!Q$149, FALSE))/2)</f>
        <v>55.069494981033813</v>
      </c>
      <c r="CB138" s="382">
        <f t="array" ref="CB138">IF($BI138=0, INDEX(LS_current!$D$4:$AY$139, MATCH('Staging Table'!$A138, LS_current!$B$4:$B$139, 0), MATCH(CB$4&amp;CB$5, LS_current!$D$2:$AY$2&amp;LS_current!$D$3:$AY$3, 0)),SUM(VLOOKUP($A138, LS_current!$B$4:$AY$139, LS_current!R$149, FALSE), VLOOKUP($A138, LS_current!$B$4:$AY$139,LS_current!R$149, FALSE))/2)</f>
        <v>-1282.9908267271499</v>
      </c>
      <c r="CC138" s="382">
        <f t="array" ref="CC138">IF($BI138=0, INDEX(LS_current!$D$4:$AY$139, MATCH('Staging Table'!$A138, LS_current!$B$4:$B$139, 0), MATCH(CC$4&amp;CC$5, LS_current!$D$2:$AY$2&amp;LS_current!$D$3:$AY$3, 0)),SUM(VLOOKUP($A138, LS_current!$B$4:$AY$139, LS_current!S$149, FALSE), VLOOKUP($A138, LS_current!$B$4:$AY$139,LS_current!S$149, FALSE))/2)</f>
        <v>-742.59521676765962</v>
      </c>
      <c r="CD138" s="382">
        <f t="array" ref="CD138">IF($BI138=0, INDEX(LS_current!$D$4:$AY$139, MATCH('Staging Table'!$A138, LS_current!$B$4:$B$139, 0), MATCH(CD$4&amp;CD$5, LS_current!$D$2:$AY$2&amp;LS_current!$D$3:$AY$3, 0)),SUM(VLOOKUP($A138, LS_current!$B$4:$AY$139, LS_current!T$149, FALSE), VLOOKUP($A138, LS_current!$B$4:$AY$139,LS_current!T$149, FALSE))/2)</f>
        <v>-402.78441212741791</v>
      </c>
      <c r="CE138" s="382">
        <f t="array" ref="CE138">IF($BI138=0, INDEX(LS_current!$D$4:$AY$139, MATCH('Staging Table'!$A138, LS_current!$B$4:$B$139, 0), MATCH(CE$4&amp;CE$5, LS_current!$D$2:$AY$2&amp;LS_current!$D$3:$AY$3, 0)),SUM(VLOOKUP($A138, LS_current!$B$4:$AY$139, LS_current!U$149, FALSE), VLOOKUP($A138, LS_current!$B$4:$AY$139,LS_current!U$149, FALSE))/2)</f>
        <v>-267.4687444909905</v>
      </c>
      <c r="CF138" s="382">
        <f t="array" ref="CF138">IF($BI138=0, INDEX(LS_current!$D$4:$AY$139, MATCH('Staging Table'!$A138, LS_current!$B$4:$B$139, 0), MATCH(CF$4&amp;CF$5, LS_current!$D$2:$AY$2&amp;LS_current!$D$3:$AY$3, 0)),SUM(VLOOKUP($A138, LS_current!$B$4:$AY$139, LS_current!V$149, FALSE), VLOOKUP($A138, LS_current!$B$4:$AY$139,LS_current!V$149, FALSE))/2)</f>
        <v>529.55659973390902</v>
      </c>
      <c r="CG138" s="382">
        <f t="array" ref="CG138">IF($BI138=0, INDEX(LS_current!$D$4:$AY$139, MATCH('Staging Table'!$A138, LS_current!$B$4:$B$139, 0), MATCH(CG$4&amp;CG$5, LS_current!$D$2:$AY$2&amp;LS_current!$D$3:$AY$3, 0)),SUM(VLOOKUP($A138, LS_current!$B$4:$AY$139, LS_current!W$149, FALSE), VLOOKUP($A138, LS_current!$B$4:$AY$139,LS_current!W$149, FALSE))/2)</f>
        <v>505.33986920629309</v>
      </c>
      <c r="CH138" s="382">
        <f t="array" ref="CH138">IF($BI138=0, INDEX(LS_current!$D$4:$AY$139, MATCH('Staging Table'!$A138, LS_current!$B$4:$B$139, 0), MATCH(CH$4&amp;CH$5, LS_current!$D$2:$AY$2&amp;LS_current!$D$3:$AY$3, 0)),SUM(VLOOKUP($A138, LS_current!$B$4:$AY$139, LS_current!X$149, FALSE), VLOOKUP($A138, LS_current!$B$4:$AY$139,LS_current!X$149, FALSE))/2)</f>
        <v>292.08544453917693</v>
      </c>
      <c r="CI138" s="382">
        <f t="array" ref="CI138">IF($BI138=0, INDEX(LS_current!$D$4:$AY$139, MATCH('Staging Table'!$A138, LS_current!$B$4:$B$139, 0), MATCH(CI$4&amp;CI$5, LS_current!$D$2:$AY$2&amp;LS_current!$D$3:$AY$3, 0)),SUM(VLOOKUP($A138, LS_current!$B$4:$AY$139, LS_current!Y$149, FALSE), VLOOKUP($A138, LS_current!$B$4:$AY$139,LS_current!Y$149, FALSE))/2)</f>
        <v>125.358982252641</v>
      </c>
      <c r="CJ138" s="382">
        <f t="array" ref="CJ138">IF($BI138=0, INDEX(LS_current!$D$4:$AY$139, MATCH('Staging Table'!$A138, LS_current!$B$4:$B$139, 0), MATCH(CJ$4&amp;CJ$5, LS_current!$D$2:$AY$2&amp;LS_current!$D$3:$AY$3, 0)),SUM(VLOOKUP($A138, LS_current!$B$4:$AY$139, LS_current!Z$149, FALSE), VLOOKUP($A138, LS_current!$B$4:$AY$139,LS_current!Z$149, FALSE))/2)</f>
        <v>-131.70166232193651</v>
      </c>
      <c r="CK138" s="382">
        <f t="array" ref="CK138">IF($BI138=0, INDEX(LS_current!$D$4:$AY$139, MATCH('Staging Table'!$A138, LS_current!$B$4:$B$139, 0), MATCH(CK$4&amp;CK$5, LS_current!$D$2:$AY$2&amp;LS_current!$D$3:$AY$3, 0)),SUM(VLOOKUP($A138, LS_current!$B$4:$AY$139, LS_current!AA$149, FALSE), VLOOKUP($A138, LS_current!$B$4:$AY$139,LS_current!AA$149, FALSE))/2)</f>
        <v>61.39015722642489</v>
      </c>
      <c r="CL138" s="384">
        <f t="array" ref="CL138">INDEX(Demand_current!$D$4:$AY$138, MATCH($A138, Demand_current!$B$4:$B$138, 0), MATCH(CL$4&amp;CL$5,Demand_current!$D$2:$AY$2&amp;Demand_current!$D$3:$AY$3, 0))/1000</f>
        <v>0</v>
      </c>
      <c r="CM138" s="384">
        <f t="array" ref="CM138">INDEX(Demand_current!$D$4:$AY$138, MATCH($A138, Demand_current!$B$4:$B$138, 0), MATCH(CM$4&amp;CM$5,Demand_current!$D$2:$AY$2&amp;Demand_current!$D$3:$AY$3, 0))/1000</f>
        <v>0.23153250000000014</v>
      </c>
      <c r="CN138" s="384">
        <f t="array" ref="CN138">INDEX(Demand_current!$D$4:$AY$138, MATCH($A138, Demand_current!$B$4:$B$138, 0), MATCH(CN$4&amp;CN$5,Demand_current!$D$2:$AY$2&amp;Demand_current!$D$3:$AY$3, 0))/1000</f>
        <v>0.17256999999999945</v>
      </c>
      <c r="CO138" s="384">
        <f t="array" ref="CO138">INDEX(Demand_current!$D$4:$AY$138, MATCH($A138, Demand_current!$B$4:$B$138, 0), MATCH(CO$4&amp;CO$5,Demand_current!$D$2:$AY$2&amp;Demand_current!$D$3:$AY$3, 0))/1000</f>
        <v>0.60544711538461549</v>
      </c>
      <c r="CP138" s="384">
        <f t="array" ref="CP138">INDEX(Demand_current!$D$4:$AY$138, MATCH($A138, Demand_current!$B$4:$B$138, 0), MATCH(CP$4&amp;CP$5,Demand_current!$D$2:$AY$2&amp;Demand_current!$D$3:$AY$3, 0))/1000</f>
        <v>0.64694531249999887</v>
      </c>
      <c r="CQ138" s="384">
        <f t="array" ref="CQ138">INDEX(Demand_current!$D$4:$AY$138, MATCH($A138, Demand_current!$B$4:$B$138, 0), MATCH(CQ$4&amp;CQ$5,Demand_current!$D$2:$AY$2&amp;Demand_current!$D$3:$AY$3, 0))/1000</f>
        <v>0.42289120370370314</v>
      </c>
      <c r="CR138" s="384">
        <f t="array" ref="CR138">INDEX(Demand_current!$D$4:$AY$138, MATCH($A138, Demand_current!$B$4:$B$138, 0), MATCH(CR$4&amp;CR$5,Demand_current!$D$2:$AY$2&amp;Demand_current!$D$3:$AY$3, 0))/1000</f>
        <v>0.15519000000000038</v>
      </c>
      <c r="CS138" s="384">
        <f t="array" ref="CS138">INDEX(Demand_current!$D$4:$AY$138, MATCH($A138, Demand_current!$B$4:$B$138, 0), MATCH(CS$4&amp;CS$5,Demand_current!$D$2:$AY$2&amp;Demand_current!$D$3:$AY$3, 0))/1000</f>
        <v>9.3793269230769694E-2</v>
      </c>
      <c r="CT138" s="384">
        <f t="array" ref="CT138">INDEX(Demand_current!$D$4:$AY$138, MATCH($A138, Demand_current!$B$4:$B$138, 0), MATCH(CT$4&amp;CT$5,Demand_current!$D$2:$AY$2&amp;Demand_current!$D$3:$AY$3, 0))/1000</f>
        <v>0.42944711538461666</v>
      </c>
      <c r="CU138" s="384">
        <f t="array" ref="CU138">INDEX(Demand_current!$D$4:$AY$138, MATCH($A138, Demand_current!$B$4:$B$138, 0), MATCH(CU$4&amp;CU$5,Demand_current!$D$2:$AY$2&amp;Demand_current!$D$3:$AY$3, 0))/1000</f>
        <v>0.87121749999999976</v>
      </c>
      <c r="CV138" s="384">
        <f t="array" ref="CV138">INDEX(Demand_current!$D$4:$AY$138, MATCH($A138, Demand_current!$B$4:$B$138, 0), MATCH(CV$4&amp;CV$5,Demand_current!$D$2:$AY$2&amp;Demand_current!$D$3:$AY$3, 0))/1000</f>
        <v>0.14423148148148182</v>
      </c>
      <c r="CW138" s="384">
        <f t="array" ref="CW138">INDEX(Demand_current!$D$4:$AY$138, MATCH($A138, Demand_current!$B$4:$B$138, 0), MATCH(CW$4&amp;CW$5,Demand_current!$D$2:$AY$2&amp;Demand_current!$D$3:$AY$3, 0))/1000</f>
        <v>0.2458567708333339</v>
      </c>
      <c r="CX138" s="384">
        <f>IF(D138=0,IF(C138=0,MAX(0,DA138 - (VLOOKUP($A138,TOCA_current!$A$2:$AI$137,MATCH("RHWM 2018",TOCA_current!$A$2:$AI$2,0),FALSE)*$BH$2)), 0),0)</f>
        <v>1783.1947957835946</v>
      </c>
      <c r="CY138" s="427">
        <f>VLOOKUP($A138,REP_current!$A$1:$D$135,MATCH("FY "&amp;$BH$1&amp; " Total Refund",REP_current!$A$1:$D$1,0),0)</f>
        <v>35565.732405704002</v>
      </c>
      <c r="CZ138" s="432">
        <f>MIN(VLOOKUP($A138,TOCA_current!$A$2:$AI$137,MATCH("TRL - NLSL - Existing Resource "&amp;$BH$1,TOCA_current!$A$2:$AI$2,0),FALSE)*$BH$2, VLOOKUP($A138,TOCA_current!$A$2:$AI$137,MATCH("RHWM 2018",TOCA_current!$A$2:$AI$2,0),FALSE)*$BH$2)</f>
        <v>54548.520000000004</v>
      </c>
      <c r="DA138" s="397">
        <f>SUM(BN138:CK138)+(BH138*RT1SC!$C$4*$BH$2)</f>
        <v>56331.714795783599</v>
      </c>
      <c r="DB138" s="432">
        <f>VLOOKUP($A138,TOCA_current!$A$2:$AI$137,MATCH("Above RHWM Not Served with LS "&amp;$BH$1,TOCA_current!$A$2:$AI$2,0),FALSE)*$BH$2</f>
        <v>0</v>
      </c>
      <c r="DC138" s="401">
        <f t="shared" si="43"/>
        <v>1783.1947957835946</v>
      </c>
      <c r="DD138" s="397">
        <f>(VLOOKUP($A138,TOCA_current!$A$2:$AI$137,MATCH("RHWM 2018",TOCA_current!$A$2:$AI$2,0),FALSE)*$BH$2) - $CZ138</f>
        <v>0</v>
      </c>
      <c r="DE138" s="397">
        <f t="shared" si="44"/>
        <v>0</v>
      </c>
      <c r="DF138" s="397">
        <f t="shared" si="45"/>
        <v>0</v>
      </c>
      <c r="DG138" s="397">
        <f t="shared" si="46"/>
        <v>0</v>
      </c>
      <c r="DH138" s="397">
        <f t="shared" si="47"/>
        <v>0</v>
      </c>
    </row>
    <row r="139" spans="1:112">
      <c r="A139" s="274">
        <v>12026</v>
      </c>
      <c r="B139" s="275" t="s">
        <v>139</v>
      </c>
      <c r="C139" s="397">
        <v>0</v>
      </c>
      <c r="D139" s="397">
        <v>0</v>
      </c>
      <c r="E139" s="205">
        <f>VLOOKUP($A139,TOCA_previous!$A$2:$AI$137,MATCH(E$4,TOCA_previous!$A$2:$AI$2,0),FALSE)</f>
        <v>6.0439999999999999E-3</v>
      </c>
      <c r="F139" s="206">
        <f>VLOOKUP($A139,TOCA_previous!$A$2:$AI$137,MATCH(F$4,TOCA_previous!$A$2:$AI$2,0),FALSE)</f>
        <v>6.0439999999999999E-3</v>
      </c>
      <c r="G139" s="206">
        <f t="shared" si="32"/>
        <v>0</v>
      </c>
      <c r="H139" s="206">
        <f>VLOOKUP($A139,TOCA_previous!$A$2:$AI$137,MATCH(H$4,TOCA_previous!$A$2:$AI$2,0),FALSE)</f>
        <v>0</v>
      </c>
      <c r="I139" s="206">
        <f t="shared" si="33"/>
        <v>0</v>
      </c>
      <c r="J139" s="206">
        <f t="shared" si="34"/>
        <v>0</v>
      </c>
      <c r="K139" s="381">
        <f>VLOOKUP(A139, IRD!$A$5:$C$139, 3, FALSE)</f>
        <v>0</v>
      </c>
      <c r="L139" s="382">
        <f t="array" ref="L139">IF($G139=0, INDEX(LS_previous!$D$4:$AY$138, MATCH('Staging Table'!$A139, LS_previous!$B$4:$B$138, 0), MATCH(L$4&amp;L$5, LS_previous!$D$2:$AY$2&amp;LS_previous!$D$3:$AY$3, 0)),SUM(VLOOKUP($A139, LS_previous!$B$4:$AY$138, LS_previous!D$149, FALSE), VLOOKUP('Staging Table'!$A139, LS_previous!$B$4:$AY$138,LS_previous!AB$149, FALSE))/2)</f>
        <v>-735.84201618847874</v>
      </c>
      <c r="M139" s="382">
        <f t="array" ref="M139">IF($G139=0, INDEX(LS_previous!$D$4:$AY$138, MATCH('Staging Table'!$A139, LS_previous!$B$4:$B$138, 0), MATCH(M$4&amp;M$5, LS_previous!$D$2:$AY$2&amp;LS_previous!$D$3:$AY$3, 0)),SUM(VLOOKUP($A139, LS_previous!$B$4:$AY$138, LS_previous!E$149, FALSE), VLOOKUP('Staging Table'!$A139, LS_previous!$B$4:$AY$138,LS_previous!AC$149, FALSE))/2)</f>
        <v>897.26191434841712</v>
      </c>
      <c r="N139" s="382">
        <f t="array" ref="N139">IF($G139=0, INDEX(LS_previous!$D$4:$AY$138, MATCH('Staging Table'!$A139, LS_previous!$B$4:$B$138, 0), MATCH(N$4&amp;N$5, LS_previous!$D$2:$AY$2&amp;LS_previous!$D$3:$AY$3, 0)),SUM(VLOOKUP($A139, LS_previous!$B$4:$AY$138, LS_previous!F$149, FALSE), VLOOKUP('Staging Table'!$A139, LS_previous!$B$4:$AY$138,LS_previous!AD$149, FALSE))/2)</f>
        <v>590.49535126227784</v>
      </c>
      <c r="O139" s="382">
        <f t="array" ref="O139">IF($G139=0, INDEX(LS_previous!$D$4:$AY$138, MATCH('Staging Table'!$A139, LS_previous!$B$4:$B$138, 0), MATCH(O$4&amp;O$5, LS_previous!$D$2:$AY$2&amp;LS_previous!$D$3:$AY$3, 0)),SUM(VLOOKUP($A139, LS_previous!$B$4:$AY$138, LS_previous!G$149, FALSE), VLOOKUP('Staging Table'!$A139, LS_previous!$B$4:$AY$138,LS_previous!AE$149, FALSE))/2)</f>
        <v>1692.5472737079726</v>
      </c>
      <c r="P139" s="382">
        <f t="array" ref="P139">IF($G139=0, INDEX(LS_previous!$D$4:$AY$138, MATCH('Staging Table'!$A139, LS_previous!$B$4:$B$138, 0), MATCH(P$4&amp;P$5, LS_previous!$D$2:$AY$2&amp;LS_previous!$D$3:$AY$3, 0)),SUM(VLOOKUP($A139, LS_previous!$B$4:$AY$138, LS_previous!H$149, FALSE), VLOOKUP('Staging Table'!$A139, LS_previous!$B$4:$AY$138,LS_previous!AF$149, FALSE))/2)</f>
        <v>4559.1032869293558</v>
      </c>
      <c r="Q139" s="382">
        <f t="array" ref="Q139">IF($G139=0, INDEX(LS_previous!$D$4:$AY$138, MATCH('Staging Table'!$A139, LS_previous!$B$4:$B$138, 0), MATCH(Q$4&amp;Q$5, LS_previous!$D$2:$AY$2&amp;LS_previous!$D$3:$AY$3, 0)),SUM(VLOOKUP($A139, LS_previous!$B$4:$AY$138, LS_previous!I$149, FALSE), VLOOKUP('Staging Table'!$A139, LS_previous!$B$4:$AY$138,LS_previous!AG$149, FALSE))/2)</f>
        <v>4988.9312539967559</v>
      </c>
      <c r="R139" s="382">
        <f t="array" ref="R139">IF($G139=0, INDEX(LS_previous!$D$4:$AY$138, MATCH('Staging Table'!$A139, LS_previous!$B$4:$B$138, 0), MATCH(R$4&amp;R$5, LS_previous!$D$2:$AY$2&amp;LS_previous!$D$3:$AY$3, 0)),SUM(VLOOKUP($A139, LS_previous!$B$4:$AY$138, LS_previous!J$149, FALSE), VLOOKUP('Staging Table'!$A139, LS_previous!$B$4:$AY$138,LS_previous!AH$149, FALSE))/2)</f>
        <v>7187.6191999098664</v>
      </c>
      <c r="S139" s="382">
        <f t="array" ref="S139">IF($G139=0, INDEX(LS_previous!$D$4:$AY$138, MATCH('Staging Table'!$A139, LS_previous!$B$4:$B$138, 0), MATCH(S$4&amp;S$5, LS_previous!$D$2:$AY$2&amp;LS_previous!$D$3:$AY$3, 0)),SUM(VLOOKUP($A139, LS_previous!$B$4:$AY$138, LS_previous!K$149, FALSE), VLOOKUP('Staging Table'!$A139, LS_previous!$B$4:$AY$138,LS_previous!AI$149, FALSE))/2)</f>
        <v>5494.7802055589545</v>
      </c>
      <c r="T139" s="382">
        <f t="array" ref="T139">IF($G139=0, INDEX(LS_previous!$D$4:$AY$138, MATCH('Staging Table'!$A139, LS_previous!$B$4:$B$138, 0), MATCH(T$4&amp;T$5, LS_previous!$D$2:$AY$2&amp;LS_previous!$D$3:$AY$3, 0)),SUM(VLOOKUP($A139, LS_previous!$B$4:$AY$138, LS_previous!L$149, FALSE), VLOOKUP('Staging Table'!$A139, LS_previous!$B$4:$AY$138,LS_previous!AJ$149, FALSE))/2)</f>
        <v>5321.0638747689045</v>
      </c>
      <c r="U139" s="382">
        <f t="array" ref="U139">IF($G139=0, INDEX(LS_previous!$D$4:$AY$138, MATCH('Staging Table'!$A139, LS_previous!$B$4:$B$138, 0), MATCH(U$4&amp;U$5, LS_previous!$D$2:$AY$2&amp;LS_previous!$D$3:$AY$3, 0)),SUM(VLOOKUP($A139, LS_previous!$B$4:$AY$138, LS_previous!M$149, FALSE), VLOOKUP('Staging Table'!$A139, LS_previous!$B$4:$AY$138,LS_previous!AK$149, FALSE))/2)</f>
        <v>4020.7698538506193</v>
      </c>
      <c r="V139" s="382">
        <f t="array" ref="V139">IF($G139=0, INDEX(LS_previous!$D$4:$AY$138, MATCH('Staging Table'!$A139, LS_previous!$B$4:$B$138, 0), MATCH(V$4&amp;V$5, LS_previous!$D$2:$AY$2&amp;LS_previous!$D$3:$AY$3, 0)),SUM(VLOOKUP($A139, LS_previous!$B$4:$AY$138, LS_previous!N$149, FALSE), VLOOKUP('Staging Table'!$A139, LS_previous!$B$4:$AY$138,LS_previous!AL$149, FALSE))/2)</f>
        <v>3564.8996483318115</v>
      </c>
      <c r="W139" s="382">
        <f t="array" ref="W139">IF($G139=0, INDEX(LS_previous!$D$4:$AY$138, MATCH('Staging Table'!$A139, LS_previous!$B$4:$B$138, 0), MATCH(W$4&amp;W$5, LS_previous!$D$2:$AY$2&amp;LS_previous!$D$3:$AY$3, 0)),SUM(VLOOKUP($A139, LS_previous!$B$4:$AY$138, LS_previous!O$149, FALSE), VLOOKUP('Staging Table'!$A139, LS_previous!$B$4:$AY$138,LS_previous!AM$149, FALSE))/2)</f>
        <v>2349.8963711896195</v>
      </c>
      <c r="X139" s="382">
        <f t="array" ref="X139">IF($G139=0, INDEX(LS_previous!$D$4:$AY$138, MATCH('Staging Table'!$A139, LS_previous!$B$4:$B$138, 0), MATCH(X$4&amp;X$5, LS_previous!$D$2:$AY$2&amp;LS_previous!$D$3:$AY$3, 0)),SUM(VLOOKUP($A139, LS_previous!$B$4:$AY$138, LS_previous!P$149, FALSE), VLOOKUP('Staging Table'!$A139, LS_previous!$B$4:$AY$138,LS_previous!AN$149, FALSE))/2)</f>
        <v>2486.1540243599284</v>
      </c>
      <c r="Y139" s="382">
        <f t="array" ref="Y139">IF($G139=0, INDEX(LS_previous!$D$4:$AY$138, MATCH('Staging Table'!$A139, LS_previous!$B$4:$B$138, 0), MATCH(Y$4&amp;Y$5, LS_previous!$D$2:$AY$2&amp;LS_previous!$D$3:$AY$3, 0)),SUM(VLOOKUP($A139, LS_previous!$B$4:$AY$138, LS_previous!Q$149, FALSE), VLOOKUP('Staging Table'!$A139, LS_previous!$B$4:$AY$138,LS_previous!AO$149, FALSE))/2)</f>
        <v>2860.4191612945669</v>
      </c>
      <c r="Z139" s="382">
        <f t="array" ref="Z139">IF($G139=0, INDEX(LS_previous!$D$4:$AY$138, MATCH('Staging Table'!$A139, LS_previous!$B$4:$B$138, 0), MATCH(Z$4&amp;Z$5, LS_previous!$D$2:$AY$2&amp;LS_previous!$D$3:$AY$3, 0)),SUM(VLOOKUP($A139, LS_previous!$B$4:$AY$138, LS_previous!R$149, FALSE), VLOOKUP('Staging Table'!$A139, LS_previous!$B$4:$AY$138,LS_previous!AP$149, FALSE))/2)</f>
        <v>-9385.2742883946376</v>
      </c>
      <c r="AA139" s="382">
        <f t="array" ref="AA139">IF($G139=0, INDEX(LS_previous!$D$4:$AY$138, MATCH('Staging Table'!$A139, LS_previous!$B$4:$B$138, 0), MATCH(AA$4&amp;AA$5, LS_previous!$D$2:$AY$2&amp;LS_previous!$D$3:$AY$3, 0)),SUM(VLOOKUP($A139, LS_previous!$B$4:$AY$138, LS_previous!S$149, FALSE), VLOOKUP('Staging Table'!$A139, LS_previous!$B$4:$AY$138,LS_previous!AQ$149, FALSE))/2)</f>
        <v>-3575.9259973447079</v>
      </c>
      <c r="AB139" s="382">
        <f t="array" ref="AB139">IF($G139=0, INDEX(LS_previous!$D$4:$AY$138, MATCH('Staging Table'!$A139, LS_previous!$B$4:$B$138, 0), MATCH(AB$4&amp;AB$5, LS_previous!$D$2:$AY$2&amp;LS_previous!$D$3:$AY$3, 0)),SUM(VLOOKUP($A139, LS_previous!$B$4:$AY$138, LS_previous!T$149, FALSE), VLOOKUP('Staging Table'!$A139, LS_previous!$B$4:$AY$138,LS_previous!AR$149, FALSE))/2)</f>
        <v>-5984.3315511700694</v>
      </c>
      <c r="AC139" s="382">
        <f t="array" ref="AC139">IF($G139=0, INDEX(LS_previous!$D$4:$AY$138, MATCH('Staging Table'!$A139, LS_previous!$B$4:$B$138, 0), MATCH(AC$4&amp;AC$5, LS_previous!$D$2:$AY$2&amp;LS_previous!$D$3:$AY$3, 0)),SUM(VLOOKUP($A139, LS_previous!$B$4:$AY$138, LS_previous!U$149, FALSE), VLOOKUP('Staging Table'!$A139, LS_previous!$B$4:$AY$138,LS_previous!AS$149, FALSE))/2)</f>
        <v>-3128.1423323511553</v>
      </c>
      <c r="AD139" s="382">
        <f t="array" ref="AD139">IF($G139=0, INDEX(LS_previous!$D$4:$AY$138, MATCH('Staging Table'!$A139, LS_previous!$B$4:$B$138, 0), MATCH(AD$4&amp;AD$5, LS_previous!$D$2:$AY$2&amp;LS_previous!$D$3:$AY$3, 0)),SUM(VLOOKUP($A139, LS_previous!$B$4:$AY$138, LS_previous!V$149, FALSE), VLOOKUP('Staging Table'!$A139, LS_previous!$B$4:$AY$138,LS_previous!AT$149, FALSE))/2)</f>
        <v>-5016.2370416302856</v>
      </c>
      <c r="AE139" s="382">
        <f t="array" ref="AE139">IF($G139=0, INDEX(LS_previous!$D$4:$AY$138, MATCH('Staging Table'!$A139, LS_previous!$B$4:$B$138, 0), MATCH(AE$4&amp;AE$5, LS_previous!$D$2:$AY$2&amp;LS_previous!$D$3:$AY$3, 0)),SUM(VLOOKUP($A139, LS_previous!$B$4:$AY$138, LS_previous!W$149, FALSE), VLOOKUP('Staging Table'!$A139, LS_previous!$B$4:$AY$138,LS_previous!AU$149, FALSE))/2)</f>
        <v>-833.4867497450341</v>
      </c>
      <c r="AF139" s="382">
        <f t="array" ref="AF139">IF($G139=0, INDEX(LS_previous!$D$4:$AY$138, MATCH('Staging Table'!$A139, LS_previous!$B$4:$B$138, 0), MATCH(AF$4&amp;AF$5, LS_previous!$D$2:$AY$2&amp;LS_previous!$D$3:$AY$3, 0)),SUM(VLOOKUP($A139, LS_previous!$B$4:$AY$138, LS_previous!X$149, FALSE), VLOOKUP('Staging Table'!$A139, LS_previous!$B$4:$AY$138,LS_previous!AV$149, FALSE))/2)</f>
        <v>-5418.5961389173026</v>
      </c>
      <c r="AG139" s="382">
        <f t="array" ref="AG139">IF($G139=0, INDEX(LS_previous!$D$4:$AY$138, MATCH('Staging Table'!$A139, LS_previous!$B$4:$B$138, 0), MATCH(AG$4&amp;AG$5, LS_previous!$D$2:$AY$2&amp;LS_previous!$D$3:$AY$3, 0)),SUM(VLOOKUP($A139, LS_previous!$B$4:$AY$138, LS_previous!Y$149, FALSE), VLOOKUP('Staging Table'!$A139, LS_previous!$B$4:$AY$138,LS_previous!AW$149, FALSE))/2)</f>
        <v>-2033.3873008984156</v>
      </c>
      <c r="AH139" s="382">
        <f t="array" ref="AH139">IF($G139=0, INDEX(LS_previous!$D$4:$AY$138, MATCH('Staging Table'!$A139, LS_previous!$B$4:$B$138, 0), MATCH(AH$4&amp;AH$5, LS_previous!$D$2:$AY$2&amp;LS_previous!$D$3:$AY$3, 0)),SUM(VLOOKUP($A139, LS_previous!$B$4:$AY$138, LS_previous!Z$149, FALSE), VLOOKUP('Staging Table'!$A139, LS_previous!$B$4:$AY$138,LS_previous!AX$149, FALSE))/2)</f>
        <v>-2001.4925501358466</v>
      </c>
      <c r="AI139" s="382">
        <f t="array" ref="AI139">IF($G139=0, INDEX(LS_previous!$D$4:$AY$138, MATCH('Staging Table'!$A139, LS_previous!$B$4:$B$138, 0), MATCH(AI$4&amp;AI$5, LS_previous!$D$2:$AY$2&amp;LS_previous!$D$3:$AY$3, 0)),SUM(VLOOKUP($A139, LS_previous!$B$4:$AY$138, LS_previous!AA$149, FALSE), VLOOKUP('Staging Table'!$A139, LS_previous!$B$4:$AY$138,LS_previous!AY$149, FALSE))/2)</f>
        <v>-223.85084025061769</v>
      </c>
      <c r="AJ139" s="384">
        <f t="array" ref="AJ139">INDEX(Demand_previous!$D$4:$AY$138, MATCH('Staging Table'!$A139, Demand_previous!$B$4:$B$138, 0), MATCH(AJ$4&amp;AJ$5,Demand_previous!$D$2:$AY$2&amp;Demand_previous!$D$3:$AY$3, 0))/1000</f>
        <v>12.367421296296296</v>
      </c>
      <c r="AK139" s="384">
        <f t="array" ref="AK139">INDEX(Demand_previous!$D$4:$AY$138, MATCH('Staging Table'!$A139, Demand_previous!$B$4:$B$138, 0), MATCH(AK$4&amp;AK$5,Demand_previous!$D$2:$AY$2&amp;Demand_previous!$D$3:$AY$3, 0))/1000</f>
        <v>6.6512916666666655</v>
      </c>
      <c r="AL139" s="384">
        <f t="array" ref="AL139">INDEX(Demand_previous!$D$4:$AY$138, MATCH('Staging Table'!$A139, Demand_previous!$B$4:$B$138, 0), MATCH(AL$4&amp;AL$5,Demand_previous!$D$2:$AY$2&amp;Demand_previous!$D$3:$AY$3, 0))/1000</f>
        <v>9.6028822115384536</v>
      </c>
      <c r="AM139" s="384">
        <f t="array" ref="AM139">INDEX(Demand_previous!$D$4:$AY$138, MATCH('Staging Table'!$A139, Demand_previous!$B$4:$B$138, 0), MATCH(AM$4&amp;AM$5,Demand_previous!$D$2:$AY$2&amp;Demand_previous!$D$3:$AY$3, 0))/1000</f>
        <v>16.53215999999999</v>
      </c>
      <c r="AN139" s="384">
        <f t="array" ref="AN139">INDEX(Demand_previous!$D$4:$AY$138, MATCH('Staging Table'!$A139, Demand_previous!$B$4:$B$138, 0), MATCH(AN$4&amp;AN$5,Demand_previous!$D$2:$AY$2&amp;Demand_previous!$D$3:$AY$3, 0))/1000</f>
        <v>22.902869999999997</v>
      </c>
      <c r="AO139" s="384">
        <f t="array" ref="AO139">INDEX(Demand_previous!$D$4:$AY$138, MATCH('Staging Table'!$A139, Demand_previous!$B$4:$B$138, 0), MATCH(AO$4&amp;AO$5,Demand_previous!$D$2:$AY$2&amp;Demand_previous!$D$3:$AY$3, 0))/1000</f>
        <v>11.561289351851855</v>
      </c>
      <c r="AP139" s="384">
        <f t="array" ref="AP139">INDEX(Demand_previous!$D$4:$AY$138, MATCH('Staging Table'!$A139, Demand_previous!$B$4:$B$138, 0), MATCH(AP$4&amp;AP$5,Demand_previous!$D$2:$AY$2&amp;Demand_previous!$D$3:$AY$3, 0))/1000</f>
        <v>13.973786057692301</v>
      </c>
      <c r="AQ139" s="384">
        <f t="array" ref="AQ139">INDEX(Demand_previous!$D$4:$AY$138, MATCH('Staging Table'!$A139, Demand_previous!$B$4:$B$138, 0), MATCH(AQ$4&amp;AQ$5,Demand_previous!$D$2:$AY$2&amp;Demand_previous!$D$3:$AY$3, 0))/1000</f>
        <v>0</v>
      </c>
      <c r="AR139" s="384">
        <f t="array" ref="AR139">INDEX(Demand_previous!$D$4:$AY$138, MATCH('Staging Table'!$A139, Demand_previous!$B$4:$B$138, 0), MATCH(AR$4&amp;AR$5,Demand_previous!$D$2:$AY$2&amp;Demand_previous!$D$3:$AY$3, 0))/1000</f>
        <v>2.163223557692306</v>
      </c>
      <c r="AS139" s="384">
        <f t="array" ref="AS139">INDEX(Demand_previous!$D$4:$AY$138, MATCH('Staging Table'!$A139, Demand_previous!$B$4:$B$138, 0), MATCH(AS$4&amp;AS$5,Demand_previous!$D$2:$AY$2&amp;Demand_previous!$D$3:$AY$3, 0))/1000</f>
        <v>4.3165575000000018</v>
      </c>
      <c r="AT139" s="384">
        <f t="array" ref="AT139">INDEX(Demand_previous!$D$4:$AY$138, MATCH('Staging Table'!$A139, Demand_previous!$B$4:$B$138, 0), MATCH(AT$4&amp;AT$5,Demand_previous!$D$2:$AY$2&amp;Demand_previous!$D$3:$AY$3, 0))/1000</f>
        <v>2.9381550925925941</v>
      </c>
      <c r="AU139" s="384">
        <f t="array" ref="AU139">INDEX(Demand_previous!$D$4:$AY$138, MATCH('Staging Table'!$A139, Demand_previous!$B$4:$B$138, 0), MATCH(AU$4&amp;AU$5,Demand_previous!$D$2:$AY$2&amp;Demand_previous!$D$3:$AY$3, 0))/1000</f>
        <v>2.2842125000000006</v>
      </c>
      <c r="AV139" s="384">
        <f>IF($D139=0,IF(C139=0, MAX(AY139 - (VLOOKUP($A139,TOCA_previous!$A$2:$AI$137,MATCH("RHWM 2016",TOCA_previous!$A$2:$AI$2,0),FALSE)*$F$2*TOCA_previous!C136),0),0), 0)</f>
        <v>0</v>
      </c>
      <c r="AW139" s="427">
        <f>VLOOKUP($A139,REP_previous!$A$1:$D$135,MATCH("FY "&amp;$F$1&amp; " Total Refund",REP_previous!$A$1:$D$1,0),0)</f>
        <v>0</v>
      </c>
      <c r="AX139" s="398">
        <f>MIN(VLOOKUP($A139,TOCA_previous!$A$2:$AI$137,MATCH("TRL - NLSL - Exisiting Resource "&amp;$F$1,TOCA_previous!$A$2:$AI$2,0),FALSE)*$F$2,(VLOOKUP($A139,TOCA_previous!$A$2:$AI$137,MATCH("RHWM 2016",TOCA_previous!$A$2:$AI$2,0),FALSE)*$F$2))</f>
        <v>370737.50400000002</v>
      </c>
      <c r="AY139" s="384">
        <f>SUM(L139:AI139)+(F139*RT1SC!$C$3*$F$2)</f>
        <v>378412.82087264245</v>
      </c>
      <c r="AZ139" s="398">
        <f>VLOOKUP($A139,TOCA_previous!$A$2:$AI$137,MATCH("Above RHWM Not Served with LS "&amp;$F$1,TOCA_previous!$A$2:$AI$2,0),FALSE)*$F$2</f>
        <v>0</v>
      </c>
      <c r="BA139" s="206">
        <f t="shared" si="35"/>
        <v>7675.3168726424337</v>
      </c>
      <c r="BB139" s="399">
        <f>(VLOOKUP($A139,TOCA_previous!$A$2:$AI$137,MATCH("RHWM 2016",TOCA_previous!$A$2:$AI$2,0),FALSE)*$F$2) - $AX139</f>
        <v>22188.383999999962</v>
      </c>
      <c r="BC139" s="206">
        <f t="shared" si="36"/>
        <v>-7675.3168726424337</v>
      </c>
      <c r="BD139" s="400">
        <f t="shared" si="37"/>
        <v>0</v>
      </c>
      <c r="BE139" s="392">
        <f t="shared" si="38"/>
        <v>0</v>
      </c>
      <c r="BF139" s="399">
        <f t="shared" si="39"/>
        <v>-7675.3168726424337</v>
      </c>
      <c r="BG139" s="206">
        <f>VLOOKUP($A139,TOCA_current!$A$2:$AI$137,MATCH(BG$4,TOCA_current!$A$2:$AI$2,0),FALSE)</f>
        <v>6.3096999999999997E-3</v>
      </c>
      <c r="BH139" s="206">
        <f>VLOOKUP($A139,TOCA_current!$A$2:$AI$137,MATCH(BH$4,TOCA_current!$A$2:$AI$2,0),FALSE)</f>
        <v>6.3096999999999997E-3</v>
      </c>
      <c r="BI139" s="391">
        <f t="shared" si="40"/>
        <v>0</v>
      </c>
      <c r="BJ139" s="206">
        <f>VLOOKUP($A139,TOCA_current!A135:BG270,MATCH(BJ$4,TOCA_current!$A$2:$BG$2,0),FALSE)</f>
        <v>0</v>
      </c>
      <c r="BK139" s="206">
        <f t="shared" si="41"/>
        <v>0</v>
      </c>
      <c r="BL139" s="206">
        <f t="shared" si="42"/>
        <v>0</v>
      </c>
      <c r="BM139" s="381">
        <f>VLOOKUP($A139,IRD!$A$4:$G$139, 7, FALSE)</f>
        <v>0</v>
      </c>
      <c r="BN139" s="382">
        <f t="array" ref="BN139">IF($BI139=0, INDEX(LS_current!$D$4:$AY$139, MATCH('Staging Table'!$A139, LS_current!$B$4:$B$139, 0), MATCH(BN$4&amp;BN$5, LS_current!$D$2:$AY$2&amp;LS_current!$D$3:$AY$3, 0)),SUM(VLOOKUP($A139, LS_current!$B$4:$AY$139, LS_current!D$149, FALSE), VLOOKUP($A139, LS_current!$B$4:$AY$139,LS_current!D$149, FALSE))/2)</f>
        <v>-1644.818744348071</v>
      </c>
      <c r="BO139" s="382">
        <f t="array" ref="BO139">IF($BI139=0, INDEX(LS_current!$D$4:$AY$139, MATCH('Staging Table'!$A139, LS_current!$B$4:$B$139, 0), MATCH(BO$4&amp;BO$5, LS_current!$D$2:$AY$2&amp;LS_current!$D$3:$AY$3, 0)),SUM(VLOOKUP($A139, LS_current!$B$4:$AY$139, LS_current!E$149, FALSE), VLOOKUP($A139, LS_current!$B$4:$AY$139,LS_current!E$149, FALSE))/2)</f>
        <v>999.52311499904135</v>
      </c>
      <c r="BP139" s="382">
        <f t="array" ref="BP139">IF($BI139=0, INDEX(LS_current!$D$4:$AY$139, MATCH('Staging Table'!$A139, LS_current!$B$4:$B$139, 0), MATCH(BP$4&amp;BP$5, LS_current!$D$2:$AY$2&amp;LS_current!$D$3:$AY$3, 0)),SUM(VLOOKUP($A139, LS_current!$B$4:$AY$139, LS_current!F$149, FALSE), VLOOKUP($A139, LS_current!$B$4:$AY$139,LS_current!F$149, FALSE))/2)</f>
        <v>-831.124279904172</v>
      </c>
      <c r="BQ139" s="382">
        <f t="array" ref="BQ139">IF($BI139=0, INDEX(LS_current!$D$4:$AY$139, MATCH('Staging Table'!$A139, LS_current!$B$4:$B$139, 0), MATCH(BQ$4&amp;BQ$5, LS_current!$D$2:$AY$2&amp;LS_current!$D$3:$AY$3, 0)),SUM(VLOOKUP($A139, LS_current!$B$4:$AY$139, LS_current!G$149, FALSE), VLOOKUP($A139, LS_current!$B$4:$AY$139,LS_current!G$149, FALSE))/2)</f>
        <v>1240.7715693254813</v>
      </c>
      <c r="BR139" s="382">
        <f t="array" ref="BR139">IF($BI139=0, INDEX(LS_current!$D$4:$AY$139, MATCH('Staging Table'!$A139, LS_current!$B$4:$B$139, 0), MATCH(BR$4&amp;BR$5, LS_current!$D$2:$AY$2&amp;LS_current!$D$3:$AY$3, 0)),SUM(VLOOKUP($A139, LS_current!$B$4:$AY$139, LS_current!H$149, FALSE), VLOOKUP($A139, LS_current!$B$4:$AY$139,LS_current!H$149, FALSE))/2)</f>
        <v>2916.7443183728246</v>
      </c>
      <c r="BS139" s="382">
        <f t="array" ref="BS139">IF($BI139=0, INDEX(LS_current!$D$4:$AY$139, MATCH('Staging Table'!$A139, LS_current!$B$4:$B$139, 0), MATCH(BS$4&amp;BS$5, LS_current!$D$2:$AY$2&amp;LS_current!$D$3:$AY$3, 0)),SUM(VLOOKUP($A139, LS_current!$B$4:$AY$139, LS_current!I$149, FALSE), VLOOKUP($A139, LS_current!$B$4:$AY$139,LS_current!I$149, FALSE))/2)</f>
        <v>4292.3459917996788</v>
      </c>
      <c r="BT139" s="382">
        <f t="array" ref="BT139">IF($BI139=0, INDEX(LS_current!$D$4:$AY$139, MATCH('Staging Table'!$A139, LS_current!$B$4:$B$139, 0), MATCH(BT$4&amp;BT$5, LS_current!$D$2:$AY$2&amp;LS_current!$D$3:$AY$3, 0)),SUM(VLOOKUP($A139, LS_current!$B$4:$AY$139, LS_current!J$149, FALSE), VLOOKUP($A139, LS_current!$B$4:$AY$139,LS_current!J$149, FALSE))/2)</f>
        <v>6180.3184014666767</v>
      </c>
      <c r="BU139" s="382">
        <f t="array" ref="BU139">IF($BI139=0, INDEX(LS_current!$D$4:$AY$139, MATCH('Staging Table'!$A139, LS_current!$B$4:$B$139, 0), MATCH(BU$4&amp;BU$5, LS_current!$D$2:$AY$2&amp;LS_current!$D$3:$AY$3, 0)),SUM(VLOOKUP($A139, LS_current!$B$4:$AY$139, LS_current!K$149, FALSE), VLOOKUP($A139, LS_current!$B$4:$AY$139,LS_current!K$149, FALSE))/2)</f>
        <v>4954.3346996782748</v>
      </c>
      <c r="BV139" s="382">
        <f t="array" ref="BV139">IF($BI139=0, INDEX(LS_current!$D$4:$AY$139, MATCH('Staging Table'!$A139, LS_current!$B$4:$B$139, 0), MATCH(BV$4&amp;BV$5, LS_current!$D$2:$AY$2&amp;LS_current!$D$3:$AY$3, 0)),SUM(VLOOKUP($A139, LS_current!$B$4:$AY$139, LS_current!L$149, FALSE), VLOOKUP($A139, LS_current!$B$4:$AY$139,LS_current!L$149, FALSE))/2)</f>
        <v>5903.0767756349305</v>
      </c>
      <c r="BW139" s="382">
        <f t="array" ref="BW139">IF($BI139=0, INDEX(LS_current!$D$4:$AY$139, MATCH('Staging Table'!$A139, LS_current!$B$4:$B$139, 0), MATCH(BW$4&amp;BW$5, LS_current!$D$2:$AY$2&amp;LS_current!$D$3:$AY$3, 0)),SUM(VLOOKUP($A139, LS_current!$B$4:$AY$139, LS_current!M$149, FALSE), VLOOKUP($A139, LS_current!$B$4:$AY$139,LS_current!M$149, FALSE))/2)</f>
        <v>4615.8173686677274</v>
      </c>
      <c r="BX139" s="382">
        <f t="array" ref="BX139">IF($BI139=0, INDEX(LS_current!$D$4:$AY$139, MATCH('Staging Table'!$A139, LS_current!$B$4:$B$139, 0), MATCH(BX$4&amp;BX$5, LS_current!$D$2:$AY$2&amp;LS_current!$D$3:$AY$3, 0)),SUM(VLOOKUP($A139, LS_current!$B$4:$AY$139, LS_current!N$149, FALSE), VLOOKUP($A139, LS_current!$B$4:$AY$139,LS_current!N$149, FALSE))/2)</f>
        <v>3743.5683760004504</v>
      </c>
      <c r="BY139" s="382">
        <f t="array" ref="BY139">IF($BI139=0, INDEX(LS_current!$D$4:$AY$139, MATCH('Staging Table'!$A139, LS_current!$B$4:$B$139, 0), MATCH(BY$4&amp;BY$5, LS_current!$D$2:$AY$2&amp;LS_current!$D$3:$AY$3, 0)),SUM(VLOOKUP($A139, LS_current!$B$4:$AY$139, LS_current!O$149, FALSE), VLOOKUP($A139, LS_current!$B$4:$AY$139,LS_current!O$149, FALSE))/2)</f>
        <v>2977.781746545963</v>
      </c>
      <c r="BZ139" s="382">
        <f t="array" ref="BZ139">IF($BI139=0, INDEX(LS_current!$D$4:$AY$139, MATCH('Staging Table'!$A139, LS_current!$B$4:$B$139, 0), MATCH(BZ$4&amp;BZ$5, LS_current!$D$2:$AY$2&amp;LS_current!$D$3:$AY$3, 0)),SUM(VLOOKUP($A139, LS_current!$B$4:$AY$139, LS_current!P$149, FALSE), VLOOKUP($A139, LS_current!$B$4:$AY$139,LS_current!P$149, FALSE))/2)</f>
        <v>-131.50907618632846</v>
      </c>
      <c r="CA139" s="382">
        <f t="array" ref="CA139">IF($BI139=0, INDEX(LS_current!$D$4:$AY$139, MATCH('Staging Table'!$A139, LS_current!$B$4:$B$139, 0), MATCH(CA$4&amp;CA$5, LS_current!$D$2:$AY$2&amp;LS_current!$D$3:$AY$3, 0)),SUM(VLOOKUP($A139, LS_current!$B$4:$AY$139, LS_current!Q$149, FALSE), VLOOKUP($A139, LS_current!$B$4:$AY$139,LS_current!Q$149, FALSE))/2)</f>
        <v>2294.9145918824761</v>
      </c>
      <c r="CB139" s="382">
        <f t="array" ref="CB139">IF($BI139=0, INDEX(LS_current!$D$4:$AY$139, MATCH('Staging Table'!$A139, LS_current!$B$4:$B$139, 0), MATCH(CB$4&amp;CB$5, LS_current!$D$2:$AY$2&amp;LS_current!$D$3:$AY$3, 0)),SUM(VLOOKUP($A139, LS_current!$B$4:$AY$139, LS_current!R$149, FALSE), VLOOKUP($A139, LS_current!$B$4:$AY$139,LS_current!R$149, FALSE))/2)</f>
        <v>-10291.420306937649</v>
      </c>
      <c r="CC139" s="382">
        <f t="array" ref="CC139">IF($BI139=0, INDEX(LS_current!$D$4:$AY$139, MATCH('Staging Table'!$A139, LS_current!$B$4:$B$139, 0), MATCH(CC$4&amp;CC$5, LS_current!$D$2:$AY$2&amp;LS_current!$D$3:$AY$3, 0)),SUM(VLOOKUP($A139, LS_current!$B$4:$AY$139, LS_current!S$149, FALSE), VLOOKUP($A139, LS_current!$B$4:$AY$139,LS_current!S$149, FALSE))/2)</f>
        <v>-4446.23088717254</v>
      </c>
      <c r="CD139" s="382">
        <f t="array" ref="CD139">IF($BI139=0, INDEX(LS_current!$D$4:$AY$139, MATCH('Staging Table'!$A139, LS_current!$B$4:$B$139, 0), MATCH(CD$4&amp;CD$5, LS_current!$D$2:$AY$2&amp;LS_current!$D$3:$AY$3, 0)),SUM(VLOOKUP($A139, LS_current!$B$4:$AY$139, LS_current!T$149, FALSE), VLOOKUP($A139, LS_current!$B$4:$AY$139,LS_current!T$149, FALSE))/2)</f>
        <v>-6804.5391023872053</v>
      </c>
      <c r="CE139" s="382">
        <f t="array" ref="CE139">IF($BI139=0, INDEX(LS_current!$D$4:$AY$139, MATCH('Staging Table'!$A139, LS_current!$B$4:$B$139, 0), MATCH(CE$4&amp;CE$5, LS_current!$D$2:$AY$2&amp;LS_current!$D$3:$AY$3, 0)),SUM(VLOOKUP($A139, LS_current!$B$4:$AY$139, LS_current!U$149, FALSE), VLOOKUP($A139, LS_current!$B$4:$AY$139,LS_current!U$149, FALSE))/2)</f>
        <v>-2776.3043933914832</v>
      </c>
      <c r="CF139" s="382">
        <f t="array" ref="CF139">IF($BI139=0, INDEX(LS_current!$D$4:$AY$139, MATCH('Staging Table'!$A139, LS_current!$B$4:$B$139, 0), MATCH(CF$4&amp;CF$5, LS_current!$D$2:$AY$2&amp;LS_current!$D$3:$AY$3, 0)),SUM(VLOOKUP($A139, LS_current!$B$4:$AY$139, LS_current!V$149, FALSE), VLOOKUP($A139, LS_current!$B$4:$AY$139,LS_current!V$149, FALSE))/2)</f>
        <v>-4631.9296013372204</v>
      </c>
      <c r="CG139" s="382">
        <f t="array" ref="CG139">IF($BI139=0, INDEX(LS_current!$D$4:$AY$139, MATCH('Staging Table'!$A139, LS_current!$B$4:$B$139, 0), MATCH(CG$4&amp;CG$5, LS_current!$D$2:$AY$2&amp;LS_current!$D$3:$AY$3, 0)),SUM(VLOOKUP($A139, LS_current!$B$4:$AY$139, LS_current!W$149, FALSE), VLOOKUP($A139, LS_current!$B$4:$AY$139,LS_current!W$149, FALSE))/2)</f>
        <v>-521.95620150463037</v>
      </c>
      <c r="CH139" s="382">
        <f t="array" ref="CH139">IF($BI139=0, INDEX(LS_current!$D$4:$AY$139, MATCH('Staging Table'!$A139, LS_current!$B$4:$B$139, 0), MATCH(CH$4&amp;CH$5, LS_current!$D$2:$AY$2&amp;LS_current!$D$3:$AY$3, 0)),SUM(VLOOKUP($A139, LS_current!$B$4:$AY$139, LS_current!X$149, FALSE), VLOOKUP($A139, LS_current!$B$4:$AY$139,LS_current!X$149, FALSE))/2)</f>
        <v>-6226.5210260887288</v>
      </c>
      <c r="CI139" s="382">
        <f t="array" ref="CI139">IF($BI139=0, INDEX(LS_current!$D$4:$AY$139, MATCH('Staging Table'!$A139, LS_current!$B$4:$B$139, 0), MATCH(CI$4&amp;CI$5, LS_current!$D$2:$AY$2&amp;LS_current!$D$3:$AY$3, 0)),SUM(VLOOKUP($A139, LS_current!$B$4:$AY$139, LS_current!Y$149, FALSE), VLOOKUP($A139, LS_current!$B$4:$AY$139,LS_current!Y$149, FALSE))/2)</f>
        <v>-2149.1901671654159</v>
      </c>
      <c r="CJ139" s="382">
        <f t="array" ref="CJ139">IF($BI139=0, INDEX(LS_current!$D$4:$AY$139, MATCH('Staging Table'!$A139, LS_current!$B$4:$B$139, 0), MATCH(CJ$4&amp;CJ$5, LS_current!$D$2:$AY$2&amp;LS_current!$D$3:$AY$3, 0)),SUM(VLOOKUP($A139, LS_current!$B$4:$AY$139, LS_current!Z$149, FALSE), VLOOKUP($A139, LS_current!$B$4:$AY$139,LS_current!Z$149, FALSE))/2)</f>
        <v>-4472.7099790907014</v>
      </c>
      <c r="CK139" s="382">
        <f t="array" ref="CK139">IF($BI139=0, INDEX(LS_current!$D$4:$AY$139, MATCH('Staging Table'!$A139, LS_current!$B$4:$B$139, 0), MATCH(CK$4&amp;CK$5, LS_current!$D$2:$AY$2&amp;LS_current!$D$3:$AY$3, 0)),SUM(VLOOKUP($A139, LS_current!$B$4:$AY$139, LS_current!AA$149, FALSE), VLOOKUP($A139, LS_current!$B$4:$AY$139,LS_current!AA$149, FALSE))/2)</f>
        <v>-640.39609095296146</v>
      </c>
      <c r="CL139" s="384">
        <f t="array" ref="CL139">INDEX(Demand_current!$D$4:$AY$138, MATCH($A139, Demand_current!$B$4:$B$138, 0), MATCH(CL$4&amp;CL$5,Demand_current!$D$2:$AY$2&amp;Demand_current!$D$3:$AY$3, 0))/1000</f>
        <v>10.800668269230766</v>
      </c>
      <c r="CM139" s="384">
        <f t="array" ref="CM139">INDEX(Demand_current!$D$4:$AY$138, MATCH($A139, Demand_current!$B$4:$B$138, 0), MATCH(CM$4&amp;CM$5,Demand_current!$D$2:$AY$2&amp;Demand_current!$D$3:$AY$3, 0))/1000</f>
        <v>8.9647199999999998</v>
      </c>
      <c r="CN139" s="384">
        <f t="array" ref="CN139">INDEX(Demand_current!$D$4:$AY$138, MATCH($A139, Demand_current!$B$4:$B$138, 0), MATCH(CN$4&amp;CN$5,Demand_current!$D$2:$AY$2&amp;Demand_current!$D$3:$AY$3, 0))/1000</f>
        <v>7.1585174999999914</v>
      </c>
      <c r="CO139" s="384">
        <f t="array" ref="CO139">INDEX(Demand_current!$D$4:$AY$138, MATCH($A139, Demand_current!$B$4:$B$138, 0), MATCH(CO$4&amp;CO$5,Demand_current!$D$2:$AY$2&amp;Demand_current!$D$3:$AY$3, 0))/1000</f>
        <v>18.960038461538453</v>
      </c>
      <c r="CP139" s="384">
        <f t="array" ref="CP139">INDEX(Demand_current!$D$4:$AY$138, MATCH($A139, Demand_current!$B$4:$B$138, 0), MATCH(CP$4&amp;CP$5,Demand_current!$D$2:$AY$2&amp;Demand_current!$D$3:$AY$3, 0))/1000</f>
        <v>20.622947916666664</v>
      </c>
      <c r="CQ139" s="384">
        <f t="array" ref="CQ139">INDEX(Demand_current!$D$4:$AY$138, MATCH($A139, Demand_current!$B$4:$B$138, 0), MATCH(CQ$4&amp;CQ$5,Demand_current!$D$2:$AY$2&amp;Demand_current!$D$3:$AY$3, 0))/1000</f>
        <v>11.561289351851855</v>
      </c>
      <c r="CR139" s="384">
        <f t="array" ref="CR139">INDEX(Demand_current!$D$4:$AY$138, MATCH($A139, Demand_current!$B$4:$B$138, 0), MATCH(CR$4&amp;CR$5,Demand_current!$D$2:$AY$2&amp;Demand_current!$D$3:$AY$3, 0))/1000</f>
        <v>12.205817499999995</v>
      </c>
      <c r="CS139" s="384">
        <f t="array" ref="CS139">INDEX(Demand_current!$D$4:$AY$138, MATCH($A139, Demand_current!$B$4:$B$138, 0), MATCH(CS$4&amp;CS$5,Demand_current!$D$2:$AY$2&amp;Demand_current!$D$3:$AY$3, 0))/1000</f>
        <v>0</v>
      </c>
      <c r="CT139" s="384">
        <f t="array" ref="CT139">INDEX(Demand_current!$D$4:$AY$138, MATCH($A139, Demand_current!$B$4:$B$138, 0), MATCH(CT$4&amp;CT$5,Demand_current!$D$2:$AY$2&amp;Demand_current!$D$3:$AY$3, 0))/1000</f>
        <v>2.163223557692306</v>
      </c>
      <c r="CU139" s="384">
        <f t="array" ref="CU139">INDEX(Demand_current!$D$4:$AY$138, MATCH($A139, Demand_current!$B$4:$B$138, 0), MATCH(CU$4&amp;CU$5,Demand_current!$D$2:$AY$2&amp;Demand_current!$D$3:$AY$3, 0))/1000</f>
        <v>4.3165575000000018</v>
      </c>
      <c r="CV139" s="384">
        <f t="array" ref="CV139">INDEX(Demand_current!$D$4:$AY$138, MATCH($A139, Demand_current!$B$4:$B$138, 0), MATCH(CV$4&amp;CV$5,Demand_current!$D$2:$AY$2&amp;Demand_current!$D$3:$AY$3, 0))/1000</f>
        <v>2.9381550925925941</v>
      </c>
      <c r="CW139" s="384">
        <f t="array" ref="CW139">INDEX(Demand_current!$D$4:$AY$138, MATCH($A139, Demand_current!$B$4:$B$138, 0), MATCH(CW$4&amp;CW$5,Demand_current!$D$2:$AY$2&amp;Demand_current!$D$3:$AY$3, 0))/1000</f>
        <v>0.79426302083333233</v>
      </c>
      <c r="CX139" s="384">
        <f>IF(D139=0,IF(C139=0,MAX(0,DA139 - (VLOOKUP($A139,TOCA_current!$A$2:$AI$137,MATCH("RHWM 2018",TOCA_current!$A$2:$AI$2,0),FALSE)*$BH$2)), 0),0)</f>
        <v>0</v>
      </c>
      <c r="CY139" s="427">
        <f>VLOOKUP($A139,REP_current!$A$1:$D$135,MATCH("FY "&amp;$BH$1&amp; " Total Refund",REP_current!$A$1:$D$1,0),0)</f>
        <v>0</v>
      </c>
      <c r="CZ139" s="432">
        <f>MIN(VLOOKUP($A139,TOCA_current!$A$2:$AI$137,MATCH("TRL - NLSL - Existing Resource "&amp;$BH$1,TOCA_current!$A$2:$AI$2,0),FALSE)*$BH$2, VLOOKUP($A139,TOCA_current!$A$2:$AI$137,MATCH("RHWM 2018",TOCA_current!$A$2:$AI$2,0),FALSE)*$BH$2)</f>
        <v>383863.2</v>
      </c>
      <c r="DA139" s="397">
        <f>SUM(BN139:CK139)+(BH139*RT1SC!$C$4*$BH$2)</f>
        <v>378412.82560021838</v>
      </c>
      <c r="DB139" s="432">
        <f>VLOOKUP($A139,TOCA_current!$A$2:$AI$137,MATCH("Above RHWM Not Served with LS "&amp;$BH$1,TOCA_current!$A$2:$AI$2,0),FALSE)*$BH$2</f>
        <v>0</v>
      </c>
      <c r="DC139" s="401">
        <f t="shared" si="43"/>
        <v>-5450.3743997816346</v>
      </c>
      <c r="DD139" s="397">
        <f>(VLOOKUP($A139,TOCA_current!$A$2:$AI$137,MATCH("RHWM 2018",TOCA_current!$A$2:$AI$2,0),FALSE)*$BH$2) - $CZ139</f>
        <v>5501.2799999999697</v>
      </c>
      <c r="DE139" s="397">
        <f t="shared" si="44"/>
        <v>0</v>
      </c>
      <c r="DF139" s="397">
        <f t="shared" si="45"/>
        <v>5450.3743997816346</v>
      </c>
      <c r="DG139" s="397">
        <f t="shared" si="46"/>
        <v>0</v>
      </c>
      <c r="DH139" s="397">
        <f t="shared" si="47"/>
        <v>5450.3743997816346</v>
      </c>
    </row>
    <row r="140" spans="1:112">
      <c r="A140" s="274">
        <v>10298</v>
      </c>
      <c r="B140" s="275" t="s">
        <v>140</v>
      </c>
      <c r="C140" s="397">
        <v>0</v>
      </c>
      <c r="D140" s="397">
        <v>0</v>
      </c>
      <c r="E140" s="205">
        <f>VLOOKUP($A140,TOCA_previous!$A$2:$AI$137,MATCH(E$4,TOCA_previous!$A$2:$AI$2,0),FALSE)</f>
        <v>7.4514200000000003E-2</v>
      </c>
      <c r="F140" s="206">
        <f>VLOOKUP($A140,TOCA_previous!$A$2:$AI$137,MATCH(F$4,TOCA_previous!$A$2:$AI$2,0),FALSE)</f>
        <v>7.4514200000000003E-2</v>
      </c>
      <c r="G140" s="206">
        <f t="shared" si="32"/>
        <v>0</v>
      </c>
      <c r="H140" s="206">
        <f>SUMPRODUCT(I6:I139,J6:J139)/SUM(J6:J139)</f>
        <v>6.8492311291002264E-2</v>
      </c>
      <c r="I140" s="206">
        <f t="shared" si="33"/>
        <v>0</v>
      </c>
      <c r="J140" s="206">
        <f t="shared" si="34"/>
        <v>0</v>
      </c>
      <c r="K140" s="381">
        <f>VLOOKUP(A140, IRD!$A$5:$C$139, 3, FALSE)</f>
        <v>447254.73800000001</v>
      </c>
      <c r="L140" s="382">
        <f t="array" ref="L140">IF($G140=0, INDEX(LS_previous!$D$4:$AY$138, MATCH('Staging Table'!$A140, LS_previous!$B$4:$B$138, 0), MATCH(L$4&amp;L$5, LS_previous!$D$2:$AY$2&amp;LS_previous!$D$3:$AY$3, 0)),SUM(VLOOKUP($A140, LS_previous!$B$4:$AY$138, LS_previous!D$149, FALSE), VLOOKUP('Staging Table'!$A140, LS_previous!$B$4:$AY$138,LS_previous!AB$149, FALSE))/2)</f>
        <v>-6516.1756261865376</v>
      </c>
      <c r="M140" s="382">
        <f t="array" ref="M140">IF($G140=0, INDEX(LS_previous!$D$4:$AY$138, MATCH('Staging Table'!$A140, LS_previous!$B$4:$B$138, 0), MATCH(M$4&amp;M$5, LS_previous!$D$2:$AY$2&amp;LS_previous!$D$3:$AY$3, 0)),SUM(VLOOKUP($A140, LS_previous!$B$4:$AY$138, LS_previous!E$149, FALSE), VLOOKUP('Staging Table'!$A140, LS_previous!$B$4:$AY$138,LS_previous!AC$149, FALSE))/2)</f>
        <v>11691.437445291318</v>
      </c>
      <c r="N140" s="382">
        <f t="array" ref="N140">IF($G140=0, INDEX(LS_previous!$D$4:$AY$138, MATCH('Staging Table'!$A140, LS_previous!$B$4:$B$138, 0), MATCH(N$4&amp;N$5, LS_previous!$D$2:$AY$2&amp;LS_previous!$D$3:$AY$3, 0)),SUM(VLOOKUP($A140, LS_previous!$B$4:$AY$138, LS_previous!F$149, FALSE), VLOOKUP('Staging Table'!$A140, LS_previous!$B$4:$AY$138,LS_previous!AD$149, FALSE))/2)</f>
        <v>-18494.483976070886</v>
      </c>
      <c r="O140" s="382">
        <f t="array" ref="O140">IF($G140=0, INDEX(LS_previous!$D$4:$AY$138, MATCH('Staging Table'!$A140, LS_previous!$B$4:$B$138, 0), MATCH(O$4&amp;O$5, LS_previous!$D$2:$AY$2&amp;LS_previous!$D$3:$AY$3, 0)),SUM(VLOOKUP($A140, LS_previous!$B$4:$AY$138, LS_previous!G$149, FALSE), VLOOKUP('Staging Table'!$A140, LS_previous!$B$4:$AY$138,LS_previous!AE$149, FALSE))/2)</f>
        <v>5038.2075588567823</v>
      </c>
      <c r="P140" s="382">
        <f t="array" ref="P140">IF($G140=0, INDEX(LS_previous!$D$4:$AY$138, MATCH('Staging Table'!$A140, LS_previous!$B$4:$B$138, 0), MATCH(P$4&amp;P$5, LS_previous!$D$2:$AY$2&amp;LS_previous!$D$3:$AY$3, 0)),SUM(VLOOKUP($A140, LS_previous!$B$4:$AY$138, LS_previous!H$149, FALSE), VLOOKUP('Staging Table'!$A140, LS_previous!$B$4:$AY$138,LS_previous!AF$149, FALSE))/2)</f>
        <v>26725.072277682222</v>
      </c>
      <c r="Q140" s="382">
        <f t="array" ref="Q140">IF($G140=0, INDEX(LS_previous!$D$4:$AY$138, MATCH('Staging Table'!$A140, LS_previous!$B$4:$B$138, 0), MATCH(Q$4&amp;Q$5, LS_previous!$D$2:$AY$2&amp;LS_previous!$D$3:$AY$3, 0)),SUM(VLOOKUP($A140, LS_previous!$B$4:$AY$138, LS_previous!I$149, FALSE), VLOOKUP('Staging Table'!$A140, LS_previous!$B$4:$AY$138,LS_previous!AG$149, FALSE))/2)</f>
        <v>41502.378781893611</v>
      </c>
      <c r="R140" s="382">
        <f t="array" ref="R140">IF($G140=0, INDEX(LS_previous!$D$4:$AY$138, MATCH('Staging Table'!$A140, LS_previous!$B$4:$B$138, 0), MATCH(R$4&amp;R$5, LS_previous!$D$2:$AY$2&amp;LS_previous!$D$3:$AY$3, 0)),SUM(VLOOKUP($A140, LS_previous!$B$4:$AY$138, LS_previous!J$149, FALSE), VLOOKUP('Staging Table'!$A140, LS_previous!$B$4:$AY$138,LS_previous!AH$149, FALSE))/2)</f>
        <v>58962.801930960239</v>
      </c>
      <c r="S140" s="382">
        <f t="array" ref="S140">IF($G140=0, INDEX(LS_previous!$D$4:$AY$138, MATCH('Staging Table'!$A140, LS_previous!$B$4:$B$138, 0), MATCH(S$4&amp;S$5, LS_previous!$D$2:$AY$2&amp;LS_previous!$D$3:$AY$3, 0)),SUM(VLOOKUP($A140, LS_previous!$B$4:$AY$138, LS_previous!K$149, FALSE), VLOOKUP('Staging Table'!$A140, LS_previous!$B$4:$AY$138,LS_previous!AI$149, FALSE))/2)</f>
        <v>49917.207608018012</v>
      </c>
      <c r="T140" s="382">
        <f t="array" ref="T140">IF($G140=0, INDEX(LS_previous!$D$4:$AY$138, MATCH('Staging Table'!$A140, LS_previous!$B$4:$B$138, 0), MATCH(T$4&amp;T$5, LS_previous!$D$2:$AY$2&amp;LS_previous!$D$3:$AY$3, 0)),SUM(VLOOKUP($A140, LS_previous!$B$4:$AY$138, LS_previous!L$149, FALSE), VLOOKUP('Staging Table'!$A140, LS_previous!$B$4:$AY$138,LS_previous!AJ$149, FALSE))/2)</f>
        <v>38965.373963419086</v>
      </c>
      <c r="U140" s="382">
        <f t="array" ref="U140">IF($G140=0, INDEX(LS_previous!$D$4:$AY$138, MATCH('Staging Table'!$A140, LS_previous!$B$4:$B$138, 0), MATCH(U$4&amp;U$5, LS_previous!$D$2:$AY$2&amp;LS_previous!$D$3:$AY$3, 0)),SUM(VLOOKUP($A140, LS_previous!$B$4:$AY$138, LS_previous!M$149, FALSE), VLOOKUP('Staging Table'!$A140, LS_previous!$B$4:$AY$138,LS_previous!AK$149, FALSE))/2)</f>
        <v>34242.884486961586</v>
      </c>
      <c r="V140" s="382">
        <f t="array" ref="V140">IF($G140=0, INDEX(LS_previous!$D$4:$AY$138, MATCH('Staging Table'!$A140, LS_previous!$B$4:$B$138, 0), MATCH(V$4&amp;V$5, LS_previous!$D$2:$AY$2&amp;LS_previous!$D$3:$AY$3, 0)),SUM(VLOOKUP($A140, LS_previous!$B$4:$AY$138, LS_previous!N$149, FALSE), VLOOKUP('Staging Table'!$A140, LS_previous!$B$4:$AY$138,LS_previous!AL$149, FALSE))/2)</f>
        <v>5975.8767783464282</v>
      </c>
      <c r="W140" s="382">
        <f t="array" ref="W140">IF($G140=0, INDEX(LS_previous!$D$4:$AY$138, MATCH('Staging Table'!$A140, LS_previous!$B$4:$B$138, 0), MATCH(W$4&amp;W$5, LS_previous!$D$2:$AY$2&amp;LS_previous!$D$3:$AY$3, 0)),SUM(VLOOKUP($A140, LS_previous!$B$4:$AY$138, LS_previous!O$149, FALSE), VLOOKUP('Staging Table'!$A140, LS_previous!$B$4:$AY$138,LS_previous!AM$149, FALSE))/2)</f>
        <v>5986.8254488248785</v>
      </c>
      <c r="X140" s="382">
        <f t="array" ref="X140">IF($G140=0, INDEX(LS_previous!$D$4:$AY$138, MATCH('Staging Table'!$A140, LS_previous!$B$4:$B$138, 0), MATCH(X$4&amp;X$5, LS_previous!$D$2:$AY$2&amp;LS_previous!$D$3:$AY$3, 0)),SUM(VLOOKUP($A140, LS_previous!$B$4:$AY$138, LS_previous!P$149, FALSE), VLOOKUP('Staging Table'!$A140, LS_previous!$B$4:$AY$138,LS_previous!AN$149, FALSE))/2)</f>
        <v>35131.045511806849</v>
      </c>
      <c r="Y140" s="382">
        <f t="array" ref="Y140">IF($G140=0, INDEX(LS_previous!$D$4:$AY$138, MATCH('Staging Table'!$A140, LS_previous!$B$4:$B$138, 0), MATCH(Y$4&amp;Y$5, LS_previous!$D$2:$AY$2&amp;LS_previous!$D$3:$AY$3, 0)),SUM(VLOOKUP($A140, LS_previous!$B$4:$AY$138, LS_previous!Q$149, FALSE), VLOOKUP('Staging Table'!$A140, LS_previous!$B$4:$AY$138,LS_previous!AO$149, FALSE))/2)</f>
        <v>28194.894629440038</v>
      </c>
      <c r="Z140" s="382">
        <f t="array" ref="Z140">IF($G140=0, INDEX(LS_previous!$D$4:$AY$138, MATCH('Staging Table'!$A140, LS_previous!$B$4:$B$138, 0), MATCH(Z$4&amp;Z$5, LS_previous!$D$2:$AY$2&amp;LS_previous!$D$3:$AY$3, 0)),SUM(VLOOKUP($A140, LS_previous!$B$4:$AY$138, LS_previous!R$149, FALSE), VLOOKUP('Staging Table'!$A140, LS_previous!$B$4:$AY$138,LS_previous!AP$149, FALSE))/2)</f>
        <v>-80948.811059082713</v>
      </c>
      <c r="AA140" s="382">
        <f t="array" ref="AA140">IF($G140=0, INDEX(LS_previous!$D$4:$AY$138, MATCH('Staging Table'!$A140, LS_previous!$B$4:$B$138, 0), MATCH(AA$4&amp;AA$5, LS_previous!$D$2:$AY$2&amp;LS_previous!$D$3:$AY$3, 0)),SUM(VLOOKUP($A140, LS_previous!$B$4:$AY$138, LS_previous!S$149, FALSE), VLOOKUP('Staging Table'!$A140, LS_previous!$B$4:$AY$138,LS_previous!AQ$149, FALSE))/2)</f>
        <v>-19651.69631885225</v>
      </c>
      <c r="AB140" s="382">
        <f t="array" ref="AB140">IF($G140=0, INDEX(LS_previous!$D$4:$AY$138, MATCH('Staging Table'!$A140, LS_previous!$B$4:$B$138, 0), MATCH(AB$4&amp;AB$5, LS_previous!$D$2:$AY$2&amp;LS_previous!$D$3:$AY$3, 0)),SUM(VLOOKUP($A140, LS_previous!$B$4:$AY$138, LS_previous!T$149, FALSE), VLOOKUP('Staging Table'!$A140, LS_previous!$B$4:$AY$138,LS_previous!AR$149, FALSE))/2)</f>
        <v>5254.4244232963538</v>
      </c>
      <c r="AC140" s="382">
        <f t="array" ref="AC140">IF($G140=0, INDEX(LS_previous!$D$4:$AY$138, MATCH('Staging Table'!$A140, LS_previous!$B$4:$B$138, 0), MATCH(AC$4&amp;AC$5, LS_previous!$D$2:$AY$2&amp;LS_previous!$D$3:$AY$3, 0)),SUM(VLOOKUP($A140, LS_previous!$B$4:$AY$138, LS_previous!U$149, FALSE), VLOOKUP('Staging Table'!$A140, LS_previous!$B$4:$AY$138,LS_previous!AS$149, FALSE))/2)</f>
        <v>13653.623571561795</v>
      </c>
      <c r="AD140" s="382">
        <f t="array" ref="AD140">IF($G140=0, INDEX(LS_previous!$D$4:$AY$138, MATCH('Staging Table'!$A140, LS_previous!$B$4:$B$138, 0), MATCH(AD$4&amp;AD$5, LS_previous!$D$2:$AY$2&amp;LS_previous!$D$3:$AY$3, 0)),SUM(VLOOKUP($A140, LS_previous!$B$4:$AY$138, LS_previous!V$149, FALSE), VLOOKUP('Staging Table'!$A140, LS_previous!$B$4:$AY$138,LS_previous!AT$149, FALSE))/2)</f>
        <v>39522.95542209674</v>
      </c>
      <c r="AE140" s="382">
        <f t="array" ref="AE140">IF($G140=0, INDEX(LS_previous!$D$4:$AY$138, MATCH('Staging Table'!$A140, LS_previous!$B$4:$B$138, 0), MATCH(AE$4&amp;AE$5, LS_previous!$D$2:$AY$2&amp;LS_previous!$D$3:$AY$3, 0)),SUM(VLOOKUP($A140, LS_previous!$B$4:$AY$138, LS_previous!W$149, FALSE), VLOOKUP('Staging Table'!$A140, LS_previous!$B$4:$AY$138,LS_previous!AU$149, FALSE))/2)</f>
        <v>57576.990520176783</v>
      </c>
      <c r="AF140" s="382">
        <f t="array" ref="AF140">IF($G140=0, INDEX(LS_previous!$D$4:$AY$138, MATCH('Staging Table'!$A140, LS_previous!$B$4:$B$138, 0), MATCH(AF$4&amp;AF$5, LS_previous!$D$2:$AY$2&amp;LS_previous!$D$3:$AY$3, 0)),SUM(VLOOKUP($A140, LS_previous!$B$4:$AY$138, LS_previous!X$149, FALSE), VLOOKUP('Staging Table'!$A140, LS_previous!$B$4:$AY$138,LS_previous!AV$149, FALSE))/2)</f>
        <v>22537.396081814717</v>
      </c>
      <c r="AG140" s="382">
        <f t="array" ref="AG140">IF($G140=0, INDEX(LS_previous!$D$4:$AY$138, MATCH('Staging Table'!$A140, LS_previous!$B$4:$B$138, 0), MATCH(AG$4&amp;AG$5, LS_previous!$D$2:$AY$2&amp;LS_previous!$D$3:$AY$3, 0)),SUM(VLOOKUP($A140, LS_previous!$B$4:$AY$138, LS_previous!Y$149, FALSE), VLOOKUP('Staging Table'!$A140, LS_previous!$B$4:$AY$138,LS_previous!AW$149, FALSE))/2)</f>
        <v>33768.732054995911</v>
      </c>
      <c r="AH140" s="382">
        <f t="array" ref="AH140">IF($G140=0, INDEX(LS_previous!$D$4:$AY$138, MATCH('Staging Table'!$A140, LS_previous!$B$4:$B$138, 0), MATCH(AH$4&amp;AH$5, LS_previous!$D$2:$AY$2&amp;LS_previous!$D$3:$AY$3, 0)),SUM(VLOOKUP($A140, LS_previous!$B$4:$AY$138, LS_previous!Z$149, FALSE), VLOOKUP('Staging Table'!$A140, LS_previous!$B$4:$AY$138,LS_previous!AX$149, FALSE))/2)</f>
        <v>35083.003920527379</v>
      </c>
      <c r="AI140" s="382">
        <f t="array" ref="AI140">IF($G140=0, INDEX(LS_previous!$D$4:$AY$138, MATCH('Staging Table'!$A140, LS_previous!$B$4:$B$138, 0), MATCH(AI$4&amp;AI$5, LS_previous!$D$2:$AY$2&amp;LS_previous!$D$3:$AY$3, 0)),SUM(VLOOKUP($A140, LS_previous!$B$4:$AY$138, LS_previous!AA$149, FALSE), VLOOKUP('Staging Table'!$A140, LS_previous!$B$4:$AY$138,LS_previous!AY$149, FALSE))/2)</f>
        <v>20601.370898014109</v>
      </c>
      <c r="AJ140" s="384">
        <f t="array" ref="AJ140">INDEX(Demand_previous!$D$4:$AY$138, MATCH('Staging Table'!$A140, Demand_previous!$B$4:$B$138, 0), MATCH(AJ$4&amp;AJ$5,Demand_previous!$D$2:$AY$2&amp;Demand_previous!$D$3:$AY$3, 0))/1000</f>
        <v>0</v>
      </c>
      <c r="AK140" s="384">
        <f t="array" ref="AK140">INDEX(Demand_previous!$D$4:$AY$138, MATCH('Staging Table'!$A140, Demand_previous!$B$4:$B$138, 0), MATCH(AK$4&amp;AK$5,Demand_previous!$D$2:$AY$2&amp;Demand_previous!$D$3:$AY$3, 0))/1000</f>
        <v>0</v>
      </c>
      <c r="AL140" s="384">
        <f t="array" ref="AL140">INDEX(Demand_previous!$D$4:$AY$138, MATCH('Staging Table'!$A140, Demand_previous!$B$4:$B$138, 0), MATCH(AL$4&amp;AL$5,Demand_previous!$D$2:$AY$2&amp;Demand_previous!$D$3:$AY$3, 0))/1000</f>
        <v>8.4468221153845491</v>
      </c>
      <c r="AM140" s="384">
        <f t="array" ref="AM140">INDEX(Demand_previous!$D$4:$AY$138, MATCH('Staging Table'!$A140, Demand_previous!$B$4:$B$138, 0), MATCH(AM$4&amp;AM$5,Demand_previous!$D$2:$AY$2&amp;Demand_previous!$D$3:$AY$3, 0))/1000</f>
        <v>0</v>
      </c>
      <c r="AN140" s="384">
        <f t="array" ref="AN140">INDEX(Demand_previous!$D$4:$AY$138, MATCH('Staging Table'!$A140, Demand_previous!$B$4:$B$138, 0), MATCH(AN$4&amp;AN$5,Demand_previous!$D$2:$AY$2&amp;Demand_previous!$D$3:$AY$3, 0))/1000</f>
        <v>0</v>
      </c>
      <c r="AO140" s="384">
        <f t="array" ref="AO140">INDEX(Demand_previous!$D$4:$AY$138, MATCH('Staging Table'!$A140, Demand_previous!$B$4:$B$138, 0), MATCH(AO$4&amp;AO$5,Demand_previous!$D$2:$AY$2&amp;Demand_previous!$D$3:$AY$3, 0))/1000</f>
        <v>56.919354166666722</v>
      </c>
      <c r="AP140" s="384">
        <f t="array" ref="AP140">INDEX(Demand_previous!$D$4:$AY$138, MATCH('Staging Table'!$A140, Demand_previous!$B$4:$B$138, 0), MATCH(AP$4&amp;AP$5,Demand_previous!$D$2:$AY$2&amp;Demand_previous!$D$3:$AY$3, 0))/1000</f>
        <v>10.044370192307612</v>
      </c>
      <c r="AQ140" s="384">
        <f t="array" ref="AQ140">INDEX(Demand_previous!$D$4:$AY$138, MATCH('Staging Table'!$A140, Demand_previous!$B$4:$B$138, 0), MATCH(AQ$4&amp;AQ$5,Demand_previous!$D$2:$AY$2&amp;Demand_previous!$D$3:$AY$3, 0))/1000</f>
        <v>5.1935050000001581</v>
      </c>
      <c r="AR140" s="384">
        <f t="array" ref="AR140">INDEX(Demand_previous!$D$4:$AY$138, MATCH('Staging Table'!$A140, Demand_previous!$B$4:$B$138, 0), MATCH(AR$4&amp;AR$5,Demand_previous!$D$2:$AY$2&amp;Demand_previous!$D$3:$AY$3, 0))/1000</f>
        <v>6.7689182692307313</v>
      </c>
      <c r="AS140" s="384">
        <f t="array" ref="AS140">INDEX(Demand_previous!$D$4:$AY$138, MATCH('Staging Table'!$A140, Demand_previous!$B$4:$B$138, 0), MATCH(AS$4&amp;AS$5,Demand_previous!$D$2:$AY$2&amp;Demand_previous!$D$3:$AY$3, 0))/1000</f>
        <v>13.415554999999969</v>
      </c>
      <c r="AT140" s="384">
        <f t="array" ref="AT140">INDEX(Demand_previous!$D$4:$AY$138, MATCH('Staging Table'!$A140, Demand_previous!$B$4:$B$138, 0), MATCH(AT$4&amp;AT$5,Demand_previous!$D$2:$AY$2&amp;Demand_previous!$D$3:$AY$3, 0))/1000</f>
        <v>71.260148148148062</v>
      </c>
      <c r="AU140" s="384">
        <f t="array" ref="AU140">INDEX(Demand_previous!$D$4:$AY$138, MATCH('Staging Table'!$A140, Demand_previous!$B$4:$B$138, 0), MATCH(AU$4&amp;AU$5,Demand_previous!$D$2:$AY$2&amp;Demand_previous!$D$3:$AY$3, 0))/1000</f>
        <v>51.513245000000104</v>
      </c>
      <c r="AV140" s="384">
        <f>IF($D140=0,IF(C140=0, MAX(AY140 - (VLOOKUP($A140,TOCA_previous!$A$2:$AI$137,MATCH("RHWM 2016",TOCA_previous!$A$2:$AI$2,0),FALSE)*$F$2*TOCA_previous!C137),0),0), 0)</f>
        <v>403866.88475848176</v>
      </c>
      <c r="AW140" s="427">
        <f>VLOOKUP($A140,REP_previous!$A$1:$D$135,MATCH("FY "&amp;$F$1&amp; " Total Refund",REP_previous!$A$1:$D$1,0),0)</f>
        <v>5146486.7998290965</v>
      </c>
      <c r="AX140" s="398">
        <f>MIN(VLOOKUP($A140,TOCA_previous!$A$2:$AI$137,MATCH("TRL - NLSL - Exisiting Resource "&amp;$F$1,TOCA_previous!$A$2:$AI$2,0),FALSE)*$F$2,(VLOOKUP($A140,TOCA_previous!$A$2:$AI$137,MATCH("RHWM 2016",TOCA_previous!$A$2:$AI$2,0),FALSE)*$F$2))</f>
        <v>4611512.1599999992</v>
      </c>
      <c r="AY140" s="384">
        <f>SUM(L140:AI140)+(F140*RT1SC!$C$3*$F$2)</f>
        <v>5015379.044758481</v>
      </c>
      <c r="AZ140" s="398">
        <f>VLOOKUP($A140,TOCA_previous!$A$2:$AI$137,MATCH("Above RHWM Not Served with LS "&amp;$F$1,TOCA_previous!$A$2:$AI$2,0),FALSE)*$F$2</f>
        <v>405030.24</v>
      </c>
      <c r="BA140" s="206">
        <f t="shared" si="35"/>
        <v>403866.88475848176</v>
      </c>
      <c r="BB140" s="399">
        <f>(VLOOKUP($A140,TOCA_previous!$A$2:$AI$137,MATCH("RHWM 2016",TOCA_previous!$A$2:$AI$2,0),FALSE)*$F$2) - $AX140</f>
        <v>0</v>
      </c>
      <c r="BC140" s="206">
        <f t="shared" si="36"/>
        <v>0</v>
      </c>
      <c r="BD140" s="400">
        <f t="shared" si="37"/>
        <v>0</v>
      </c>
      <c r="BE140" s="392">
        <f t="shared" si="38"/>
        <v>0</v>
      </c>
      <c r="BF140" s="399">
        <f t="shared" si="39"/>
        <v>0</v>
      </c>
      <c r="BG140" s="206">
        <f>VLOOKUP($A140,TOCA_current!$A$2:$AI$137,MATCH(BG$4,TOCA_current!$A$2:$AI$2,0),FALSE)</f>
        <v>7.4367100000000005E-2</v>
      </c>
      <c r="BH140" s="206">
        <f>VLOOKUP($A140,TOCA_current!$A$2:$AI$137,MATCH(BH$4,TOCA_current!$A$2:$AI$2,0),FALSE)</f>
        <v>7.4367100000000005E-2</v>
      </c>
      <c r="BI140" s="391">
        <f t="shared" si="40"/>
        <v>0</v>
      </c>
      <c r="BJ140" s="206">
        <f>SUMPRODUCT(BK6:BK139,BL6:BL139)/SUM(BL6:BL139)</f>
        <v>7.2681384115284187E-2</v>
      </c>
      <c r="BK140" s="206">
        <f t="shared" si="41"/>
        <v>0</v>
      </c>
      <c r="BL140" s="206">
        <f t="shared" si="42"/>
        <v>0</v>
      </c>
      <c r="BM140" s="381">
        <f>VLOOKUP($A140,IRD!$A$4:$G$139, 7, FALSE)</f>
        <v>447254.73800000001</v>
      </c>
      <c r="BN140" s="382">
        <f t="array" ref="BN140">IF($BI140=0, INDEX(LS_current!$D$4:$AY$139, MATCH('Staging Table'!$A140, LS_current!$B$4:$B$139, 0), MATCH(BN$4&amp;BN$5, LS_current!$D$2:$AY$2&amp;LS_current!$D$3:$AY$3, 0)),SUM(VLOOKUP($A140, LS_current!$B$4:$AY$139, LS_current!D$149, FALSE), VLOOKUP($A140, LS_current!$B$4:$AY$139,LS_current!D$149, FALSE))/2)</f>
        <v>-20228.167822163872</v>
      </c>
      <c r="BO140" s="382">
        <f t="array" ref="BO140">IF($BI140=0, INDEX(LS_current!$D$4:$AY$139, MATCH('Staging Table'!$A140, LS_current!$B$4:$B$139, 0), MATCH(BO$4&amp;BO$5, LS_current!$D$2:$AY$2&amp;LS_current!$D$3:$AY$3, 0)),SUM(VLOOKUP($A140, LS_current!$B$4:$AY$139, LS_current!E$149, FALSE), VLOOKUP($A140, LS_current!$B$4:$AY$139,LS_current!E$149, FALSE))/2)</f>
        <v>7037.3470627676725</v>
      </c>
      <c r="BP140" s="382">
        <f t="array" ref="BP140">IF($BI140=0, INDEX(LS_current!$D$4:$AY$139, MATCH('Staging Table'!$A140, LS_current!$B$4:$B$139, 0), MATCH(BP$4&amp;BP$5, LS_current!$D$2:$AY$2&amp;LS_current!$D$3:$AY$3, 0)),SUM(VLOOKUP($A140, LS_current!$B$4:$AY$139, LS_current!F$149, FALSE), VLOOKUP($A140, LS_current!$B$4:$AY$139,LS_current!F$149, FALSE))/2)</f>
        <v>-37415.956754435523</v>
      </c>
      <c r="BQ140" s="382">
        <f t="array" ref="BQ140">IF($BI140=0, INDEX(LS_current!$D$4:$AY$139, MATCH('Staging Table'!$A140, LS_current!$B$4:$B$139, 0), MATCH(BQ$4&amp;BQ$5, LS_current!$D$2:$AY$2&amp;LS_current!$D$3:$AY$3, 0)),SUM(VLOOKUP($A140, LS_current!$B$4:$AY$139, LS_current!G$149, FALSE), VLOOKUP($A140, LS_current!$B$4:$AY$139,LS_current!G$149, FALSE))/2)</f>
        <v>-3014.2987154088623</v>
      </c>
      <c r="BR140" s="382">
        <f t="array" ref="BR140">IF($BI140=0, INDEX(LS_current!$D$4:$AY$139, MATCH('Staging Table'!$A140, LS_current!$B$4:$B$139, 0), MATCH(BR$4&amp;BR$5, LS_current!$D$2:$AY$2&amp;LS_current!$D$3:$AY$3, 0)),SUM(VLOOKUP($A140, LS_current!$B$4:$AY$139, LS_current!H$149, FALSE), VLOOKUP($A140, LS_current!$B$4:$AY$139,LS_current!H$149, FALSE))/2)</f>
        <v>6267.2762769646361</v>
      </c>
      <c r="BS140" s="382">
        <f t="array" ref="BS140">IF($BI140=0, INDEX(LS_current!$D$4:$AY$139, MATCH('Staging Table'!$A140, LS_current!$B$4:$B$139, 0), MATCH(BS$4&amp;BS$5, LS_current!$D$2:$AY$2&amp;LS_current!$D$3:$AY$3, 0)),SUM(VLOOKUP($A140, LS_current!$B$4:$AY$139, LS_current!I$149, FALSE), VLOOKUP($A140, LS_current!$B$4:$AY$139,LS_current!I$149, FALSE))/2)</f>
        <v>28251.97257723278</v>
      </c>
      <c r="BT140" s="382">
        <f t="array" ref="BT140">IF($BI140=0, INDEX(LS_current!$D$4:$AY$139, MATCH('Staging Table'!$A140, LS_current!$B$4:$B$139, 0), MATCH(BT$4&amp;BT$5, LS_current!$D$2:$AY$2&amp;LS_current!$D$3:$AY$3, 0)),SUM(VLOOKUP($A140, LS_current!$B$4:$AY$139, LS_current!J$149, FALSE), VLOOKUP($A140, LS_current!$B$4:$AY$139,LS_current!J$149, FALSE))/2)</f>
        <v>42469.257852530631</v>
      </c>
      <c r="BU140" s="382">
        <f t="array" ref="BU140">IF($BI140=0, INDEX(LS_current!$D$4:$AY$139, MATCH('Staging Table'!$A140, LS_current!$B$4:$B$139, 0), MATCH(BU$4&amp;BU$5, LS_current!$D$2:$AY$2&amp;LS_current!$D$3:$AY$3, 0)),SUM(VLOOKUP($A140, LS_current!$B$4:$AY$139, LS_current!K$149, FALSE), VLOOKUP($A140, LS_current!$B$4:$AY$139,LS_current!K$149, FALSE))/2)</f>
        <v>39603.673682464141</v>
      </c>
      <c r="BV140" s="382">
        <f t="array" ref="BV140">IF($BI140=0, INDEX(LS_current!$D$4:$AY$139, MATCH('Staging Table'!$A140, LS_current!$B$4:$B$139, 0), MATCH(BV$4&amp;BV$5, LS_current!$D$2:$AY$2&amp;LS_current!$D$3:$AY$3, 0)),SUM(VLOOKUP($A140, LS_current!$B$4:$AY$139, LS_current!L$149, FALSE), VLOOKUP($A140, LS_current!$B$4:$AY$139,LS_current!L$149, FALSE))/2)</f>
        <v>42920.091840534413</v>
      </c>
      <c r="BW140" s="382">
        <f t="array" ref="BW140">IF($BI140=0, INDEX(LS_current!$D$4:$AY$139, MATCH('Staging Table'!$A140, LS_current!$B$4:$B$139, 0), MATCH(BW$4&amp;BW$5, LS_current!$D$2:$AY$2&amp;LS_current!$D$3:$AY$3, 0)),SUM(VLOOKUP($A140, LS_current!$B$4:$AY$139, LS_current!M$149, FALSE), VLOOKUP($A140, LS_current!$B$4:$AY$139,LS_current!M$149, FALSE))/2)</f>
        <v>37531.699252191014</v>
      </c>
      <c r="BX140" s="382">
        <f t="array" ref="BX140">IF($BI140=0, INDEX(LS_current!$D$4:$AY$139, MATCH('Staging Table'!$A140, LS_current!$B$4:$B$139, 0), MATCH(BX$4&amp;BX$5, LS_current!$D$2:$AY$2&amp;LS_current!$D$3:$AY$3, 0)),SUM(VLOOKUP($A140, LS_current!$B$4:$AY$139, LS_current!N$149, FALSE), VLOOKUP($A140, LS_current!$B$4:$AY$139,LS_current!N$149, FALSE))/2)</f>
        <v>4247.8446200394537</v>
      </c>
      <c r="BY140" s="382">
        <f t="array" ref="BY140">IF($BI140=0, INDEX(LS_current!$D$4:$AY$139, MATCH('Staging Table'!$A140, LS_current!$B$4:$B$139, 0), MATCH(BY$4&amp;BY$5, LS_current!$D$2:$AY$2&amp;LS_current!$D$3:$AY$3, 0)),SUM(VLOOKUP($A140, LS_current!$B$4:$AY$139, LS_current!O$149, FALSE), VLOOKUP($A140, LS_current!$B$4:$AY$139,LS_current!O$149, FALSE))/2)</f>
        <v>9474.0247891592444</v>
      </c>
      <c r="BZ140" s="382">
        <f t="array" ref="BZ140">IF($BI140=0, INDEX(LS_current!$D$4:$AY$139, MATCH('Staging Table'!$A140, LS_current!$B$4:$B$139, 0), MATCH(BZ$4&amp;BZ$5, LS_current!$D$2:$AY$2&amp;LS_current!$D$3:$AY$3, 0)),SUM(VLOOKUP($A140, LS_current!$B$4:$AY$139, LS_current!P$149, FALSE), VLOOKUP($A140, LS_current!$B$4:$AY$139,LS_current!P$149, FALSE))/2)</f>
        <v>486.66696791347931</v>
      </c>
      <c r="CA140" s="382">
        <f t="array" ref="CA140">IF($BI140=0, INDEX(LS_current!$D$4:$AY$139, MATCH('Staging Table'!$A140, LS_current!$B$4:$B$139, 0), MATCH(CA$4&amp;CA$5, LS_current!$D$2:$AY$2&amp;LS_current!$D$3:$AY$3, 0)),SUM(VLOOKUP($A140, LS_current!$B$4:$AY$139, LS_current!Q$149, FALSE), VLOOKUP($A140, LS_current!$B$4:$AY$139,LS_current!Q$149, FALSE))/2)</f>
        <v>15535.646327017646</v>
      </c>
      <c r="CB140" s="382">
        <f t="array" ref="CB140">IF($BI140=0, INDEX(LS_current!$D$4:$AY$139, MATCH('Staging Table'!$A140, LS_current!$B$4:$B$139, 0), MATCH(CB$4&amp;CB$5, LS_current!$D$2:$AY$2&amp;LS_current!$D$3:$AY$3, 0)),SUM(VLOOKUP($A140, LS_current!$B$4:$AY$139, LS_current!R$149, FALSE), VLOOKUP($A140, LS_current!$B$4:$AY$139,LS_current!R$149, FALSE))/2)</f>
        <v>-91930.482124136353</v>
      </c>
      <c r="CC140" s="382">
        <f t="array" ref="CC140">IF($BI140=0, INDEX(LS_current!$D$4:$AY$139, MATCH('Staging Table'!$A140, LS_current!$B$4:$B$139, 0), MATCH(CC$4&amp;CC$5, LS_current!$D$2:$AY$2&amp;LS_current!$D$3:$AY$3, 0)),SUM(VLOOKUP($A140, LS_current!$B$4:$AY$139, LS_current!S$149, FALSE), VLOOKUP($A140, LS_current!$B$4:$AY$139,LS_current!S$149, FALSE))/2)</f>
        <v>-32118.615076826012</v>
      </c>
      <c r="CD140" s="382">
        <f t="array" ref="CD140">IF($BI140=0, INDEX(LS_current!$D$4:$AY$139, MATCH('Staging Table'!$A140, LS_current!$B$4:$B$139, 0), MATCH(CD$4&amp;CD$5, LS_current!$D$2:$AY$2&amp;LS_current!$D$3:$AY$3, 0)),SUM(VLOOKUP($A140, LS_current!$B$4:$AY$139, LS_current!T$149, FALSE), VLOOKUP($A140, LS_current!$B$4:$AY$139,LS_current!T$149, FALSE))/2)</f>
        <v>-6708.4209490529611</v>
      </c>
      <c r="CE140" s="382">
        <f t="array" ref="CE140">IF($BI140=0, INDEX(LS_current!$D$4:$AY$139, MATCH('Staging Table'!$A140, LS_current!$B$4:$B$139, 0), MATCH(CE$4&amp;CE$5, LS_current!$D$2:$AY$2&amp;LS_current!$D$3:$AY$3, 0)),SUM(VLOOKUP($A140, LS_current!$B$4:$AY$139, LS_current!U$149, FALSE), VLOOKUP($A140, LS_current!$B$4:$AY$139,LS_current!U$149, FALSE))/2)</f>
        <v>14246.904679638683</v>
      </c>
      <c r="CF140" s="382">
        <f t="array" ref="CF140">IF($BI140=0, INDEX(LS_current!$D$4:$AY$139, MATCH('Staging Table'!$A140, LS_current!$B$4:$B$139, 0), MATCH(CF$4&amp;CF$5, LS_current!$D$2:$AY$2&amp;LS_current!$D$3:$AY$3, 0)),SUM(VLOOKUP($A140, LS_current!$B$4:$AY$139, LS_current!V$149, FALSE), VLOOKUP($A140, LS_current!$B$4:$AY$139,LS_current!V$149, FALSE))/2)</f>
        <v>41487.379411746195</v>
      </c>
      <c r="CG140" s="382">
        <f t="array" ref="CG140">IF($BI140=0, INDEX(LS_current!$D$4:$AY$139, MATCH('Staging Table'!$A140, LS_current!$B$4:$B$139, 0), MATCH(CG$4&amp;CG$5, LS_current!$D$2:$AY$2&amp;LS_current!$D$3:$AY$3, 0)),SUM(VLOOKUP($A140, LS_current!$B$4:$AY$139, LS_current!W$149, FALSE), VLOOKUP($A140, LS_current!$B$4:$AY$139,LS_current!W$149, FALSE))/2)</f>
        <v>55601.907397781964</v>
      </c>
      <c r="CH140" s="382">
        <f t="array" ref="CH140">IF($BI140=0, INDEX(LS_current!$D$4:$AY$139, MATCH('Staging Table'!$A140, LS_current!$B$4:$B$139, 0), MATCH(CH$4&amp;CH$5, LS_current!$D$2:$AY$2&amp;LS_current!$D$3:$AY$3, 0)),SUM(VLOOKUP($A140, LS_current!$B$4:$AY$139, LS_current!X$149, FALSE), VLOOKUP($A140, LS_current!$B$4:$AY$139,LS_current!X$149, FALSE))/2)</f>
        <v>10135.071030771156</v>
      </c>
      <c r="CI140" s="382">
        <f t="array" ref="CI140">IF($BI140=0, INDEX(LS_current!$D$4:$AY$139, MATCH('Staging Table'!$A140, LS_current!$B$4:$B$139, 0), MATCH(CI$4&amp;CI$5, LS_current!$D$2:$AY$2&amp;LS_current!$D$3:$AY$3, 0)),SUM(VLOOKUP($A140, LS_current!$B$4:$AY$139, LS_current!Y$149, FALSE), VLOOKUP($A140, LS_current!$B$4:$AY$139,LS_current!Y$149, FALSE))/2)</f>
        <v>27901.120941200512</v>
      </c>
      <c r="CJ140" s="382">
        <f t="array" ref="CJ140">IF($BI140=0, INDEX(LS_current!$D$4:$AY$139, MATCH('Staging Table'!$A140, LS_current!$B$4:$B$139, 0), MATCH(CJ$4&amp;CJ$5, LS_current!$D$2:$AY$2&amp;LS_current!$D$3:$AY$3, 0)),SUM(VLOOKUP($A140, LS_current!$B$4:$AY$139, LS_current!Z$149, FALSE), VLOOKUP($A140, LS_current!$B$4:$AY$139,LS_current!Z$149, FALSE))/2)</f>
        <v>2910.1946386775526</v>
      </c>
      <c r="CK140" s="382">
        <f t="array" ref="CK140">IF($BI140=0, INDEX(LS_current!$D$4:$AY$139, MATCH('Staging Table'!$A140, LS_current!$B$4:$B$139, 0), MATCH(CK$4&amp;CK$5, LS_current!$D$2:$AY$2&amp;LS_current!$D$3:$AY$3, 0)),SUM(VLOOKUP($A140, LS_current!$B$4:$AY$139, LS_current!AA$149, FALSE), VLOOKUP($A140, LS_current!$B$4:$AY$139,LS_current!AA$149, FALSE))/2)</f>
        <v>9425.7830710163544</v>
      </c>
      <c r="CL140" s="384">
        <f t="array" ref="CL140">INDEX(Demand_current!$D$4:$AY$138, MATCH($A140, Demand_current!$B$4:$B$138, 0), MATCH(CL$4&amp;CL$5,Demand_current!$D$2:$AY$2&amp;Demand_current!$D$3:$AY$3, 0))/1000</f>
        <v>0</v>
      </c>
      <c r="CM140" s="384">
        <f t="array" ref="CM140">INDEX(Demand_current!$D$4:$AY$138, MATCH($A140, Demand_current!$B$4:$B$138, 0), MATCH(CM$4&amp;CM$5,Demand_current!$D$2:$AY$2&amp;Demand_current!$D$3:$AY$3, 0))/1000</f>
        <v>0</v>
      </c>
      <c r="CN140" s="384">
        <f t="array" ref="CN140">INDEX(Demand_current!$D$4:$AY$138, MATCH($A140, Demand_current!$B$4:$B$138, 0), MATCH(CN$4&amp;CN$5,Demand_current!$D$2:$AY$2&amp;Demand_current!$D$3:$AY$3, 0))/1000</f>
        <v>0</v>
      </c>
      <c r="CO140" s="384">
        <f t="array" ref="CO140">INDEX(Demand_current!$D$4:$AY$138, MATCH($A140, Demand_current!$B$4:$B$138, 0), MATCH(CO$4&amp;CO$5,Demand_current!$D$2:$AY$2&amp;Demand_current!$D$3:$AY$3, 0))/1000</f>
        <v>0</v>
      </c>
      <c r="CP140" s="384">
        <f t="array" ref="CP140">INDEX(Demand_current!$D$4:$AY$138, MATCH($A140, Demand_current!$B$4:$B$138, 0), MATCH(CP$4&amp;CP$5,Demand_current!$D$2:$AY$2&amp;Demand_current!$D$3:$AY$3, 0))/1000</f>
        <v>0</v>
      </c>
      <c r="CQ140" s="384">
        <f t="array" ref="CQ140">INDEX(Demand_current!$D$4:$AY$138, MATCH($A140, Demand_current!$B$4:$B$138, 0), MATCH(CQ$4&amp;CQ$5,Demand_current!$D$2:$AY$2&amp;Demand_current!$D$3:$AY$3, 0))/1000</f>
        <v>56.919354166666722</v>
      </c>
      <c r="CR140" s="384">
        <f t="array" ref="CR140">INDEX(Demand_current!$D$4:$AY$138, MATCH($A140, Demand_current!$B$4:$B$138, 0), MATCH(CR$4&amp;CR$5,Demand_current!$D$2:$AY$2&amp;Demand_current!$D$3:$AY$3, 0))/1000</f>
        <v>0</v>
      </c>
      <c r="CS140" s="384">
        <f t="array" ref="CS140">INDEX(Demand_current!$D$4:$AY$138, MATCH($A140, Demand_current!$B$4:$B$138, 0), MATCH(CS$4&amp;CS$5,Demand_current!$D$2:$AY$2&amp;Demand_current!$D$3:$AY$3, 0))/1000</f>
        <v>30.507908653846329</v>
      </c>
      <c r="CT140" s="384">
        <f t="array" ref="CT140">INDEX(Demand_current!$D$4:$AY$138, MATCH($A140, Demand_current!$B$4:$B$138, 0), MATCH(CT$4&amp;CT$5,Demand_current!$D$2:$AY$2&amp;Demand_current!$D$3:$AY$3, 0))/1000</f>
        <v>6.7689182692307313</v>
      </c>
      <c r="CU140" s="384">
        <f t="array" ref="CU140">INDEX(Demand_current!$D$4:$AY$138, MATCH($A140, Demand_current!$B$4:$B$138, 0), MATCH(CU$4&amp;CU$5,Demand_current!$D$2:$AY$2&amp;Demand_current!$D$3:$AY$3, 0))/1000</f>
        <v>13.415554999999969</v>
      </c>
      <c r="CV140" s="384">
        <f t="array" ref="CV140">INDEX(Demand_current!$D$4:$AY$138, MATCH($A140, Demand_current!$B$4:$B$138, 0), MATCH(CV$4&amp;CV$5,Demand_current!$D$2:$AY$2&amp;Demand_current!$D$3:$AY$3, 0))/1000</f>
        <v>71.260148148148176</v>
      </c>
      <c r="CW140" s="384">
        <f t="array" ref="CW140">INDEX(Demand_current!$D$4:$AY$138, MATCH($A140, Demand_current!$B$4:$B$138, 0), MATCH(CW$4&amp;CW$5,Demand_current!$D$2:$AY$2&amp;Demand_current!$D$3:$AY$3, 0))/1000</f>
        <v>24.81696354166673</v>
      </c>
      <c r="CX140" s="384">
        <f>IF(D140=0,IF(C140=0,MAX(0,DA140 - (VLOOKUP($A140,TOCA_current!$A$2:$AI$137,MATCH("RHWM 2018",TOCA_current!$A$2:$AI$2,0),FALSE)*$BH$2)), 0),0)</f>
        <v>158697.82000503968</v>
      </c>
      <c r="CY140" s="427">
        <f>VLOOKUP($A140,REP_current!$A$1:$D$135,MATCH("FY "&amp;$BH$1&amp; " Total Refund",REP_current!$A$1:$D$1,0),0)</f>
        <v>5322915.4195733145</v>
      </c>
      <c r="CZ140" s="432">
        <f>MIN(VLOOKUP($A140,TOCA_current!$A$2:$AI$137,MATCH("TRL - NLSL - Existing Resource "&amp;$BH$1,TOCA_current!$A$2:$AI$2,0),FALSE)*$BH$2, VLOOKUP($A140,TOCA_current!$A$2:$AI$137,MATCH("RHWM 2018",TOCA_current!$A$2:$AI$2,0),FALSE)*$BH$2)</f>
        <v>4569680.28</v>
      </c>
      <c r="DA140" s="397">
        <f>SUM(BN140:CK140)+(BH140*RT1SC!$C$4*$BH$2)</f>
        <v>4728378.1000050399</v>
      </c>
      <c r="DB140" s="432">
        <f>VLOOKUP($A140,TOCA_current!$A$2:$AI$137,MATCH("Above RHWM Not Served with LS "&amp;$BH$1,TOCA_current!$A$2:$AI$2,0),FALSE)*$BH$2</f>
        <v>692031.24</v>
      </c>
      <c r="DC140" s="401">
        <f t="shared" si="43"/>
        <v>158697.82000503968</v>
      </c>
      <c r="DD140" s="397">
        <f>(VLOOKUP($A140,TOCA_current!$A$2:$AI$137,MATCH("RHWM 2018",TOCA_current!$A$2:$AI$2,0),FALSE)*$BH$2) - $CZ140</f>
        <v>0</v>
      </c>
      <c r="DE140" s="397">
        <f t="shared" si="44"/>
        <v>0</v>
      </c>
      <c r="DF140" s="397">
        <f t="shared" si="45"/>
        <v>0</v>
      </c>
      <c r="DG140" s="397">
        <f t="shared" si="46"/>
        <v>0</v>
      </c>
      <c r="DH140" s="397">
        <f t="shared" si="47"/>
        <v>0</v>
      </c>
    </row>
  </sheetData>
  <mergeCells count="2">
    <mergeCell ref="E3:F3"/>
    <mergeCell ref="BG3:BH3"/>
  </mergeCells>
  <printOptions headings="1" gridLines="1"/>
  <pageMargins left="0.25" right="0.25" top="0.75" bottom="0.75" header="0.3" footer="0.3"/>
  <pageSetup paperSize="5" scale="24" fitToWidth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B1:AX12"/>
  <sheetViews>
    <sheetView workbookViewId="0">
      <selection activeCell="B9" sqref="B9"/>
    </sheetView>
  </sheetViews>
  <sheetFormatPr defaultRowHeight="15"/>
  <cols>
    <col min="2" max="2" width="16.7109375" bestFit="1" customWidth="1"/>
    <col min="3" max="3" width="9.7109375" bestFit="1" customWidth="1"/>
  </cols>
  <sheetData>
    <row r="1" spans="2:50">
      <c r="B1" s="84" t="s">
        <v>279</v>
      </c>
    </row>
    <row r="2" spans="2:50">
      <c r="C2" s="141">
        <v>43009</v>
      </c>
      <c r="D2" s="134">
        <v>43009</v>
      </c>
      <c r="E2" s="141">
        <v>43040</v>
      </c>
      <c r="F2" s="134">
        <v>43040</v>
      </c>
      <c r="G2" s="141">
        <v>43070</v>
      </c>
      <c r="H2" s="134">
        <v>43070</v>
      </c>
      <c r="I2" s="141">
        <v>43101</v>
      </c>
      <c r="J2" s="134">
        <v>43101</v>
      </c>
      <c r="K2" s="141">
        <v>43132</v>
      </c>
      <c r="L2" s="134">
        <v>43132</v>
      </c>
      <c r="M2" s="141">
        <v>43160</v>
      </c>
      <c r="N2" s="134">
        <v>43160</v>
      </c>
      <c r="O2" s="141">
        <v>43191</v>
      </c>
      <c r="P2" s="134">
        <v>43191</v>
      </c>
      <c r="Q2" s="141">
        <v>43221</v>
      </c>
      <c r="R2" s="134">
        <v>43221</v>
      </c>
      <c r="S2" s="141">
        <v>43252</v>
      </c>
      <c r="T2" s="134">
        <v>43252</v>
      </c>
      <c r="U2" s="141">
        <v>43282</v>
      </c>
      <c r="V2" s="134">
        <v>43282</v>
      </c>
      <c r="W2" s="141">
        <v>43313</v>
      </c>
      <c r="X2" s="134">
        <v>43313</v>
      </c>
      <c r="Y2" s="141">
        <v>43344</v>
      </c>
      <c r="Z2" s="134">
        <v>43344</v>
      </c>
      <c r="AA2" s="141">
        <v>43374</v>
      </c>
      <c r="AB2" s="134">
        <v>43374</v>
      </c>
      <c r="AC2" s="141">
        <v>43405</v>
      </c>
      <c r="AD2" s="134">
        <v>43405</v>
      </c>
      <c r="AE2" s="141">
        <v>43435</v>
      </c>
      <c r="AF2" s="134">
        <v>43435</v>
      </c>
      <c r="AG2" s="141">
        <v>43466</v>
      </c>
      <c r="AH2" s="134">
        <v>43466</v>
      </c>
      <c r="AI2" s="141">
        <v>43497</v>
      </c>
      <c r="AJ2" s="134">
        <v>43497</v>
      </c>
      <c r="AK2" s="141">
        <v>43525</v>
      </c>
      <c r="AL2" s="134">
        <v>43525</v>
      </c>
      <c r="AM2" s="141">
        <v>43556</v>
      </c>
      <c r="AN2" s="134">
        <v>43556</v>
      </c>
      <c r="AO2" s="141">
        <v>43586</v>
      </c>
      <c r="AP2" s="134">
        <v>43586</v>
      </c>
      <c r="AQ2" s="141">
        <v>43617</v>
      </c>
      <c r="AR2" s="134">
        <v>43617</v>
      </c>
      <c r="AS2" s="141">
        <v>43647</v>
      </c>
      <c r="AT2" s="134">
        <v>43647</v>
      </c>
      <c r="AU2" s="141">
        <v>43678</v>
      </c>
      <c r="AV2" s="134">
        <v>43678</v>
      </c>
      <c r="AW2" s="141">
        <v>43709</v>
      </c>
      <c r="AX2" s="134">
        <v>43709</v>
      </c>
    </row>
    <row r="3" spans="2:50">
      <c r="B3" t="s">
        <v>218</v>
      </c>
      <c r="C3" s="136" t="s">
        <v>143</v>
      </c>
      <c r="D3" s="137" t="s">
        <v>144</v>
      </c>
      <c r="E3" s="136" t="s">
        <v>143</v>
      </c>
      <c r="F3" s="137" t="s">
        <v>144</v>
      </c>
      <c r="G3" s="136" t="s">
        <v>143</v>
      </c>
      <c r="H3" s="137" t="s">
        <v>144</v>
      </c>
      <c r="I3" s="136" t="s">
        <v>143</v>
      </c>
      <c r="J3" s="137" t="s">
        <v>144</v>
      </c>
      <c r="K3" s="136" t="s">
        <v>143</v>
      </c>
      <c r="L3" s="137" t="s">
        <v>144</v>
      </c>
      <c r="M3" s="136" t="s">
        <v>143</v>
      </c>
      <c r="N3" s="137" t="s">
        <v>144</v>
      </c>
      <c r="O3" s="136" t="s">
        <v>143</v>
      </c>
      <c r="P3" s="137" t="s">
        <v>144</v>
      </c>
      <c r="Q3" s="136" t="s">
        <v>143</v>
      </c>
      <c r="R3" s="137" t="s">
        <v>144</v>
      </c>
      <c r="S3" s="136" t="s">
        <v>143</v>
      </c>
      <c r="T3" s="137" t="s">
        <v>144</v>
      </c>
      <c r="U3" s="136" t="s">
        <v>143</v>
      </c>
      <c r="V3" s="137" t="s">
        <v>144</v>
      </c>
      <c r="W3" s="136" t="s">
        <v>143</v>
      </c>
      <c r="X3" s="137" t="s">
        <v>144</v>
      </c>
      <c r="Y3" s="136" t="s">
        <v>143</v>
      </c>
      <c r="Z3" s="137" t="s">
        <v>144</v>
      </c>
      <c r="AA3" s="136" t="s">
        <v>143</v>
      </c>
      <c r="AB3" s="137" t="s">
        <v>144</v>
      </c>
      <c r="AC3" s="136" t="s">
        <v>143</v>
      </c>
      <c r="AD3" s="137" t="s">
        <v>144</v>
      </c>
      <c r="AE3" s="136" t="s">
        <v>143</v>
      </c>
      <c r="AF3" s="137" t="s">
        <v>144</v>
      </c>
      <c r="AG3" s="136" t="s">
        <v>143</v>
      </c>
      <c r="AH3" s="137" t="s">
        <v>144</v>
      </c>
      <c r="AI3" s="136" t="s">
        <v>143</v>
      </c>
      <c r="AJ3" s="137" t="s">
        <v>144</v>
      </c>
      <c r="AK3" s="136" t="s">
        <v>143</v>
      </c>
      <c r="AL3" s="137" t="s">
        <v>144</v>
      </c>
      <c r="AM3" s="136" t="s">
        <v>143</v>
      </c>
      <c r="AN3" s="137" t="s">
        <v>144</v>
      </c>
      <c r="AO3" s="136" t="s">
        <v>143</v>
      </c>
      <c r="AP3" s="137" t="s">
        <v>144</v>
      </c>
      <c r="AQ3" s="136" t="s">
        <v>143</v>
      </c>
      <c r="AR3" s="137" t="s">
        <v>144</v>
      </c>
      <c r="AS3" s="136" t="s">
        <v>143</v>
      </c>
      <c r="AT3" s="137" t="s">
        <v>144</v>
      </c>
      <c r="AU3" s="136" t="s">
        <v>143</v>
      </c>
      <c r="AV3" s="137" t="s">
        <v>144</v>
      </c>
      <c r="AW3" s="136" t="s">
        <v>143</v>
      </c>
      <c r="AX3" s="137" t="s">
        <v>144</v>
      </c>
    </row>
    <row r="4" spans="2:50">
      <c r="B4" t="s">
        <v>214</v>
      </c>
      <c r="C4">
        <f>IF(C$3="HLH",VLOOKUP(DATE(YEAR(C$2)-2,MONTH(C$2),1),Rates_previous!$G$6:$O$29,7,FALSE),VLOOKUP(DATE(YEAR(C$2)-2,MONTH(C$2),1),Rates_previous!$G$6:$O$29,8,FALSE))</f>
        <v>27.86</v>
      </c>
      <c r="D4">
        <f>IF(D$3="HLH",VLOOKUP(DATE(YEAR(D$2)-2,MONTH(D$2),1),Rates_previous!$G$6:$O$29,7,FALSE),VLOOKUP(DATE(YEAR(D$2)-2,MONTH(D$2),1),Rates_previous!$G$6:$O$29,8,FALSE))</f>
        <v>23.75</v>
      </c>
      <c r="E4">
        <f>IF(E$3="HLH",VLOOKUP(DATE(YEAR(E$2)-2,MONTH(E$2),1),Rates_previous!$G$6:$O$29,7,FALSE),VLOOKUP(DATE(YEAR(E$2)-2,MONTH(E$2),1),Rates_previous!$G$6:$O$29,8,FALSE))</f>
        <v>28.56</v>
      </c>
      <c r="F4">
        <f>IF(F$3="HLH",VLOOKUP(DATE(YEAR(F$2)-2,MONTH(F$2),1),Rates_previous!$G$6:$O$29,7,FALSE),VLOOKUP(DATE(YEAR(F$2)-2,MONTH(F$2),1),Rates_previous!$G$6:$O$29,8,FALSE))</f>
        <v>24.48</v>
      </c>
      <c r="G4">
        <f>IF(G$3="HLH",VLOOKUP(DATE(YEAR(G$2)-2,MONTH(G$2),1),Rates_previous!$G$6:$O$29,7,FALSE),VLOOKUP(DATE(YEAR(G$2)-2,MONTH(G$2),1),Rates_previous!$G$6:$O$29,8,FALSE))</f>
        <v>29.22</v>
      </c>
      <c r="H4">
        <f>IF(H$3="HLH",VLOOKUP(DATE(YEAR(H$2)-2,MONTH(H$2),1),Rates_previous!$G$6:$O$29,7,FALSE),VLOOKUP(DATE(YEAR(H$2)-2,MONTH(H$2),1),Rates_previous!$G$6:$O$29,8,FALSE))</f>
        <v>24.82</v>
      </c>
      <c r="I4">
        <f>IF(I$3="HLH",VLOOKUP(DATE(YEAR(I$2)-2,MONTH(I$2),1),Rates_previous!$G$6:$O$29,7,FALSE),VLOOKUP(DATE(YEAR(I$2)-2,MONTH(I$2),1),Rates_previous!$G$6:$O$29,8,FALSE))</f>
        <v>30.02</v>
      </c>
      <c r="J4">
        <f>IF(J$3="HLH",VLOOKUP(DATE(YEAR(J$2)-2,MONTH(J$2),1),Rates_previous!$G$6:$O$29,7,FALSE),VLOOKUP(DATE(YEAR(J$2)-2,MONTH(J$2),1),Rates_previous!$G$6:$O$29,8,FALSE))</f>
        <v>25.03</v>
      </c>
      <c r="K4">
        <f>IF(K$3="HLH",VLOOKUP(DATE(YEAR(K$2)-2,MONTH(K$2),1),Rates_previous!$G$6:$O$29,7,FALSE),VLOOKUP(DATE(YEAR(K$2)-2,MONTH(K$2),1),Rates_previous!$G$6:$O$29,8,FALSE))</f>
        <v>29.65</v>
      </c>
      <c r="L4">
        <f>IF(L$3="HLH",VLOOKUP(DATE(YEAR(L$2)-2,MONTH(L$2),1),Rates_previous!$G$6:$O$29,7,FALSE),VLOOKUP(DATE(YEAR(L$2)-2,MONTH(L$2),1),Rates_previous!$G$6:$O$29,8,FALSE))</f>
        <v>24.68</v>
      </c>
      <c r="M4">
        <f>IF(M$3="HLH",VLOOKUP(DATE(YEAR(M$2)-2,MONTH(M$2),1),Rates_previous!$G$6:$O$29,7,FALSE),VLOOKUP(DATE(YEAR(M$2)-2,MONTH(M$2),1),Rates_previous!$G$6:$O$29,8,FALSE))</f>
        <v>25.38</v>
      </c>
      <c r="N4">
        <f>IF(N$3="HLH",VLOOKUP(DATE(YEAR(N$2)-2,MONTH(N$2),1),Rates_previous!$G$6:$O$29,7,FALSE),VLOOKUP(DATE(YEAR(N$2)-2,MONTH(N$2),1),Rates_previous!$G$6:$O$29,8,FALSE))</f>
        <v>22.07</v>
      </c>
      <c r="O4">
        <f>IF(O$3="HLH",VLOOKUP(DATE(YEAR(O$2)-2,MONTH(O$2),1),Rates_previous!$G$6:$O$29,7,FALSE),VLOOKUP(DATE(YEAR(O$2)-2,MONTH(O$2),1),Rates_previous!$G$6:$O$29,8,FALSE))</f>
        <v>24.36</v>
      </c>
      <c r="P4">
        <f>IF(P$3="HLH",VLOOKUP(DATE(YEAR(P$2)-2,MONTH(P$2),1),Rates_previous!$G$6:$O$29,7,FALSE),VLOOKUP(DATE(YEAR(P$2)-2,MONTH(P$2),1),Rates_previous!$G$6:$O$29,8,FALSE))</f>
        <v>21.04</v>
      </c>
      <c r="Q4">
        <f>IF(Q$3="HLH",VLOOKUP(DATE(YEAR(Q$2)-2,MONTH(Q$2),1),Rates_previous!$G$6:$O$29,7,FALSE),VLOOKUP(DATE(YEAR(Q$2)-2,MONTH(Q$2),1),Rates_previous!$G$6:$O$29,8,FALSE))</f>
        <v>22.1</v>
      </c>
      <c r="R4">
        <f>IF(R$3="HLH",VLOOKUP(DATE(YEAR(R$2)-2,MONTH(R$2),1),Rates_previous!$G$6:$O$29,7,FALSE),VLOOKUP(DATE(YEAR(R$2)-2,MONTH(R$2),1),Rates_previous!$G$6:$O$29,8,FALSE))</f>
        <v>17.53</v>
      </c>
      <c r="S4">
        <f>IF(S$3="HLH",VLOOKUP(DATE(YEAR(S$2)-2,MONTH(S$2),1),Rates_previous!$G$6:$O$29,7,FALSE),VLOOKUP(DATE(YEAR(S$2)-2,MONTH(S$2),1),Rates_previous!$G$6:$O$29,8,FALSE))</f>
        <v>23.15</v>
      </c>
      <c r="T4">
        <f>IF(T$3="HLH",VLOOKUP(DATE(YEAR(T$2)-2,MONTH(T$2),1),Rates_previous!$G$6:$O$29,7,FALSE),VLOOKUP(DATE(YEAR(T$2)-2,MONTH(T$2),1),Rates_previous!$G$6:$O$29,8,FALSE))</f>
        <v>17.11</v>
      </c>
      <c r="U4">
        <f>IF(U$3="HLH",VLOOKUP(DATE(YEAR(U$2)-2,MONTH(U$2),1),Rates_previous!$G$6:$O$29,7,FALSE),VLOOKUP(DATE(YEAR(U$2)-2,MONTH(U$2),1),Rates_previous!$G$6:$O$29,8,FALSE))</f>
        <v>27.43</v>
      </c>
      <c r="V4">
        <f>IF(V$3="HLH",VLOOKUP(DATE(YEAR(V$2)-2,MONTH(V$2),1),Rates_previous!$G$6:$O$29,7,FALSE),VLOOKUP(DATE(YEAR(V$2)-2,MONTH(V$2),1),Rates_previous!$G$6:$O$29,8,FALSE))</f>
        <v>21.58</v>
      </c>
      <c r="W4">
        <f>IF(W$3="HLH",VLOOKUP(DATE(YEAR(W$2)-2,MONTH(W$2),1),Rates_previous!$G$6:$O$29,7,FALSE),VLOOKUP(DATE(YEAR(W$2)-2,MONTH(W$2),1),Rates_previous!$G$6:$O$29,8,FALSE))</f>
        <v>30.3</v>
      </c>
      <c r="X4">
        <f>IF(X$3="HLH",VLOOKUP(DATE(YEAR(X$2)-2,MONTH(X$2),1),Rates_previous!$G$6:$O$29,7,FALSE),VLOOKUP(DATE(YEAR(X$2)-2,MONTH(X$2),1),Rates_previous!$G$6:$O$29,8,FALSE))</f>
        <v>24.41</v>
      </c>
      <c r="Y4">
        <f>IF(Y$3="HLH",VLOOKUP(DATE(YEAR(Y$2)-2,MONTH(Y$2),1),Rates_previous!$G$6:$O$29,7,FALSE),VLOOKUP(DATE(YEAR(Y$2)-2,MONTH(Y$2),1),Rates_previous!$G$6:$O$29,8,FALSE))</f>
        <v>31.75</v>
      </c>
      <c r="Z4">
        <f>IF(Z$3="HLH",VLOOKUP(DATE(YEAR(Z$2)-2,MONTH(Z$2),1),Rates_previous!$G$6:$O$29,7,FALSE),VLOOKUP(DATE(YEAR(Z$2)-2,MONTH(Z$2),1),Rates_previous!$G$6:$O$29,8,FALSE))</f>
        <v>25.7</v>
      </c>
      <c r="AA4">
        <f>IF(AA$3="HLH",VLOOKUP(DATE(YEAR(AA$2)-2,MONTH(AA$2),1),Rates_previous!$G$6:$O$29,7,FALSE),VLOOKUP(DATE(YEAR(AA$2)-2,MONTH(AA$2),1),Rates_previous!$G$6:$O$29,8,FALSE))</f>
        <v>27.86</v>
      </c>
      <c r="AB4">
        <f>IF(AB$3="HLH",VLOOKUP(DATE(YEAR(AB$2)-2,MONTH(AB$2),1),Rates_previous!$G$6:$O$29,7,FALSE),VLOOKUP(DATE(YEAR(AB$2)-2,MONTH(AB$2),1),Rates_previous!$G$6:$O$29,8,FALSE))</f>
        <v>23.75</v>
      </c>
      <c r="AC4">
        <f>IF(AC$3="HLH",VLOOKUP(DATE(YEAR(AC$2)-2,MONTH(AC$2),1),Rates_previous!$G$6:$O$29,7,FALSE),VLOOKUP(DATE(YEAR(AC$2)-2,MONTH(AC$2),1),Rates_previous!$G$6:$O$29,8,FALSE))</f>
        <v>28.56</v>
      </c>
      <c r="AD4">
        <f>IF(AD$3="HLH",VLOOKUP(DATE(YEAR(AD$2)-2,MONTH(AD$2),1),Rates_previous!$G$6:$O$29,7,FALSE),VLOOKUP(DATE(YEAR(AD$2)-2,MONTH(AD$2),1),Rates_previous!$G$6:$O$29,8,FALSE))</f>
        <v>24.48</v>
      </c>
      <c r="AE4">
        <f>IF(AE$3="HLH",VLOOKUP(DATE(YEAR(AE$2)-2,MONTH(AE$2),1),Rates_previous!$G$6:$O$29,7,FALSE),VLOOKUP(DATE(YEAR(AE$2)-2,MONTH(AE$2),1),Rates_previous!$G$6:$O$29,8,FALSE))</f>
        <v>29.22</v>
      </c>
      <c r="AF4">
        <f>IF(AF$3="HLH",VLOOKUP(DATE(YEAR(AF$2)-2,MONTH(AF$2),1),Rates_previous!$G$6:$O$29,7,FALSE),VLOOKUP(DATE(YEAR(AF$2)-2,MONTH(AF$2),1),Rates_previous!$G$6:$O$29,8,FALSE))</f>
        <v>24.82</v>
      </c>
      <c r="AG4">
        <f>IF(AG$3="HLH",VLOOKUP(DATE(YEAR(AG$2)-2,MONTH(AG$2),1),Rates_previous!$G$6:$O$29,7,FALSE),VLOOKUP(DATE(YEAR(AG$2)-2,MONTH(AG$2),1),Rates_previous!$G$6:$O$29,8,FALSE))</f>
        <v>30.02</v>
      </c>
      <c r="AH4">
        <f>IF(AH$3="HLH",VLOOKUP(DATE(YEAR(AH$2)-2,MONTH(AH$2),1),Rates_previous!$G$6:$O$29,7,FALSE),VLOOKUP(DATE(YEAR(AH$2)-2,MONTH(AH$2),1),Rates_previous!$G$6:$O$29,8,FALSE))</f>
        <v>25.03</v>
      </c>
      <c r="AI4">
        <f>IF(AI$3="HLH",VLOOKUP(DATE(YEAR(AI$2)-2,MONTH(AI$2),1),Rates_previous!$G$6:$O$29,7,FALSE),VLOOKUP(DATE(YEAR(AI$2)-2,MONTH(AI$2),1),Rates_previous!$G$6:$O$29,8,FALSE))</f>
        <v>29.65</v>
      </c>
      <c r="AJ4">
        <f>IF(AJ$3="HLH",VLOOKUP(DATE(YEAR(AJ$2)-2,MONTH(AJ$2),1),Rates_previous!$G$6:$O$29,7,FALSE),VLOOKUP(DATE(YEAR(AJ$2)-2,MONTH(AJ$2),1),Rates_previous!$G$6:$O$29,8,FALSE))</f>
        <v>24.68</v>
      </c>
      <c r="AK4">
        <f>IF(AK$3="HLH",VLOOKUP(DATE(YEAR(AK$2)-2,MONTH(AK$2),1),Rates_previous!$G$6:$O$29,7,FALSE),VLOOKUP(DATE(YEAR(AK$2)-2,MONTH(AK$2),1),Rates_previous!$G$6:$O$29,8,FALSE))</f>
        <v>25.38</v>
      </c>
      <c r="AL4">
        <f>IF(AL$3="HLH",VLOOKUP(DATE(YEAR(AL$2)-2,MONTH(AL$2),1),Rates_previous!$G$6:$O$29,7,FALSE),VLOOKUP(DATE(YEAR(AL$2)-2,MONTH(AL$2),1),Rates_previous!$G$6:$O$29,8,FALSE))</f>
        <v>22.07</v>
      </c>
      <c r="AM4">
        <f>IF(AM$3="HLH",VLOOKUP(DATE(YEAR(AM$2)-2,MONTH(AM$2),1),Rates_previous!$G$6:$O$29,7,FALSE),VLOOKUP(DATE(YEAR(AM$2)-2,MONTH(AM$2),1),Rates_previous!$G$6:$O$29,8,FALSE))</f>
        <v>24.36</v>
      </c>
      <c r="AN4">
        <f>IF(AN$3="HLH",VLOOKUP(DATE(YEAR(AN$2)-2,MONTH(AN$2),1),Rates_previous!$G$6:$O$29,7,FALSE),VLOOKUP(DATE(YEAR(AN$2)-2,MONTH(AN$2),1),Rates_previous!$G$6:$O$29,8,FALSE))</f>
        <v>21.04</v>
      </c>
      <c r="AO4">
        <f>IF(AO$3="HLH",VLOOKUP(DATE(YEAR(AO$2)-2,MONTH(AO$2),1),Rates_previous!$G$6:$O$29,7,FALSE),VLOOKUP(DATE(YEAR(AO$2)-2,MONTH(AO$2),1),Rates_previous!$G$6:$O$29,8,FALSE))</f>
        <v>22.1</v>
      </c>
      <c r="AP4">
        <f>IF(AP$3="HLH",VLOOKUP(DATE(YEAR(AP$2)-2,MONTH(AP$2),1),Rates_previous!$G$6:$O$29,7,FALSE),VLOOKUP(DATE(YEAR(AP$2)-2,MONTH(AP$2),1),Rates_previous!$G$6:$O$29,8,FALSE))</f>
        <v>17.53</v>
      </c>
      <c r="AQ4">
        <f>IF(AQ$3="HLH",VLOOKUP(DATE(YEAR(AQ$2)-2,MONTH(AQ$2),1),Rates_previous!$G$6:$O$29,7,FALSE),VLOOKUP(DATE(YEAR(AQ$2)-2,MONTH(AQ$2),1),Rates_previous!$G$6:$O$29,8,FALSE))</f>
        <v>23.15</v>
      </c>
      <c r="AR4">
        <f>IF(AR$3="HLH",VLOOKUP(DATE(YEAR(AR$2)-2,MONTH(AR$2),1),Rates_previous!$G$6:$O$29,7,FALSE),VLOOKUP(DATE(YEAR(AR$2)-2,MONTH(AR$2),1),Rates_previous!$G$6:$O$29,8,FALSE))</f>
        <v>17.11</v>
      </c>
      <c r="AS4">
        <f>IF(AS$3="HLH",VLOOKUP(DATE(YEAR(AS$2)-2,MONTH(AS$2),1),Rates_previous!$G$6:$O$29,7,FALSE),VLOOKUP(DATE(YEAR(AS$2)-2,MONTH(AS$2),1),Rates_previous!$G$6:$O$29,8,FALSE))</f>
        <v>27.43</v>
      </c>
      <c r="AT4">
        <f>IF(AT$3="HLH",VLOOKUP(DATE(YEAR(AT$2)-2,MONTH(AT$2),1),Rates_previous!$G$6:$O$29,7,FALSE),VLOOKUP(DATE(YEAR(AT$2)-2,MONTH(AT$2),1),Rates_previous!$G$6:$O$29,8,FALSE))</f>
        <v>21.58</v>
      </c>
      <c r="AU4">
        <f>IF(AU$3="HLH",VLOOKUP(DATE(YEAR(AU$2)-2,MONTH(AU$2),1),Rates_previous!$G$6:$O$29,7,FALSE),VLOOKUP(DATE(YEAR(AU$2)-2,MONTH(AU$2),1),Rates_previous!$G$6:$O$29,8,FALSE))</f>
        <v>30.3</v>
      </c>
      <c r="AV4">
        <f>IF(AV$3="HLH",VLOOKUP(DATE(YEAR(AV$2)-2,MONTH(AV$2),1),Rates_previous!$G$6:$O$29,7,FALSE),VLOOKUP(DATE(YEAR(AV$2)-2,MONTH(AV$2),1),Rates_previous!$G$6:$O$29,8,FALSE))</f>
        <v>24.41</v>
      </c>
      <c r="AW4">
        <f>IF(AW$3="HLH",VLOOKUP(DATE(YEAR(AW$2)-2,MONTH(AW$2),1),Rates_previous!$G$6:$O$29,7,FALSE),VLOOKUP(DATE(YEAR(AW$2)-2,MONTH(AW$2),1),Rates_previous!$G$6:$O$29,8,FALSE))</f>
        <v>31.75</v>
      </c>
      <c r="AX4">
        <f>IF(AX$3="HLH",VLOOKUP(DATE(YEAR(AX$2)-2,MONTH(AX$2),1),Rates_previous!$G$6:$O$29,7,FALSE),VLOOKUP(DATE(YEAR(AX$2)-2,MONTH(AX$2),1),Rates_previous!$G$6:$O$29,8,FALSE))</f>
        <v>25.7</v>
      </c>
    </row>
    <row r="5" spans="2:50">
      <c r="B5" t="s">
        <v>215</v>
      </c>
      <c r="C5">
        <f>IF(C$3="HLH",VLOOKUP(DATE(YEAR(C$2),MONTH(C$2),1),Rates_current!$G$6:$O$29,7,FALSE),VLOOKUP(DATE(YEAR(C$2),MONTH(C$2),1),Rates_current!$G$6:$O$29,8,FALSE))</f>
        <v>26.74</v>
      </c>
      <c r="D5">
        <f>IF(D$3="HLH",VLOOKUP(DATE(YEAR(D$2),MONTH(D$2),1),Rates_current!$G$6:$O$29,7,FALSE),VLOOKUP(DATE(YEAR(D$2),MONTH(D$2),1),Rates_current!$G$6:$O$29,8,FALSE))</f>
        <v>22.49</v>
      </c>
      <c r="E5">
        <f>IF(E$3="HLH",VLOOKUP(DATE(YEAR(E$2),MONTH(E$2),1),Rates_current!$G$6:$O$29,7,FALSE),VLOOKUP(DATE(YEAR(E$2),MONTH(E$2),1),Rates_current!$G$6:$O$29,8,FALSE))</f>
        <v>27.27</v>
      </c>
      <c r="F5">
        <f>IF(F$3="HLH",VLOOKUP(DATE(YEAR(F$2),MONTH(F$2),1),Rates_current!$G$6:$O$29,7,FALSE),VLOOKUP(DATE(YEAR(F$2),MONTH(F$2),1),Rates_current!$G$6:$O$29,8,FALSE))</f>
        <v>24.74</v>
      </c>
      <c r="G5">
        <f>IF(G$3="HLH",VLOOKUP(DATE(YEAR(G$2),MONTH(G$2),1),Rates_current!$G$6:$O$29,7,FALSE),VLOOKUP(DATE(YEAR(G$2),MONTH(G$2),1),Rates_current!$G$6:$O$29,8,FALSE))</f>
        <v>30.28</v>
      </c>
      <c r="H5">
        <f>IF(H$3="HLH",VLOOKUP(DATE(YEAR(H$2),MONTH(H$2),1),Rates_current!$G$6:$O$29,7,FALSE),VLOOKUP(DATE(YEAR(H$2),MONTH(H$2),1),Rates_current!$G$6:$O$29,8,FALSE))</f>
        <v>26.6</v>
      </c>
      <c r="I5">
        <f>IF(I$3="HLH",VLOOKUP(DATE(YEAR(I$2),MONTH(I$2),1),Rates_current!$G$6:$O$29,7,FALSE),VLOOKUP(DATE(YEAR(I$2),MONTH(I$2),1),Rates_current!$G$6:$O$29,8,FALSE))</f>
        <v>29.3</v>
      </c>
      <c r="J5">
        <f>IF(J$3="HLH",VLOOKUP(DATE(YEAR(J$2),MONTH(J$2),1),Rates_current!$G$6:$O$29,7,FALSE),VLOOKUP(DATE(YEAR(J$2),MONTH(J$2),1),Rates_current!$G$6:$O$29,8,FALSE))</f>
        <v>23.94</v>
      </c>
      <c r="K5">
        <f>IF(K$3="HLH",VLOOKUP(DATE(YEAR(K$2),MONTH(K$2),1),Rates_current!$G$6:$O$29,7,FALSE),VLOOKUP(DATE(YEAR(K$2),MONTH(K$2),1),Rates_current!$G$6:$O$29,8,FALSE))</f>
        <v>28.54</v>
      </c>
      <c r="L5">
        <f>IF(L$3="HLH",VLOOKUP(DATE(YEAR(L$2),MONTH(L$2),1),Rates_current!$G$6:$O$29,7,FALSE),VLOOKUP(DATE(YEAR(L$2),MONTH(L$2),1),Rates_current!$G$6:$O$29,8,FALSE))</f>
        <v>23.94</v>
      </c>
      <c r="M5">
        <f>IF(M$3="HLH",VLOOKUP(DATE(YEAR(M$2),MONTH(M$2),1),Rates_current!$G$6:$O$29,7,FALSE),VLOOKUP(DATE(YEAR(M$2),MONTH(M$2),1),Rates_current!$G$6:$O$29,8,FALSE))</f>
        <v>23.75</v>
      </c>
      <c r="N5">
        <f>IF(N$3="HLH",VLOOKUP(DATE(YEAR(N$2),MONTH(N$2),1),Rates_current!$G$6:$O$29,7,FALSE),VLOOKUP(DATE(YEAR(N$2),MONTH(N$2),1),Rates_current!$G$6:$O$29,8,FALSE))</f>
        <v>20.8</v>
      </c>
      <c r="O5">
        <f>IF(O$3="HLH",VLOOKUP(DATE(YEAR(O$2),MONTH(O$2),1),Rates_current!$G$6:$O$29,7,FALSE),VLOOKUP(DATE(YEAR(O$2),MONTH(O$2),1),Rates_current!$G$6:$O$29,8,FALSE))</f>
        <v>19.670000000000002</v>
      </c>
      <c r="P5">
        <f>IF(P$3="HLH",VLOOKUP(DATE(YEAR(P$2),MONTH(P$2),1),Rates_current!$G$6:$O$29,7,FALSE),VLOOKUP(DATE(YEAR(P$2),MONTH(P$2),1),Rates_current!$G$6:$O$29,8,FALSE))</f>
        <v>17.54</v>
      </c>
      <c r="Q5">
        <f>IF(Q$3="HLH",VLOOKUP(DATE(YEAR(Q$2),MONTH(Q$2),1),Rates_current!$G$6:$O$29,7,FALSE),VLOOKUP(DATE(YEAR(Q$2),MONTH(Q$2),1),Rates_current!$G$6:$O$29,8,FALSE))</f>
        <v>16.63</v>
      </c>
      <c r="R5">
        <f>IF(R$3="HLH",VLOOKUP(DATE(YEAR(R$2),MONTH(R$2),1),Rates_current!$G$6:$O$29,7,FALSE),VLOOKUP(DATE(YEAR(R$2),MONTH(R$2),1),Rates_current!$G$6:$O$29,8,FALSE))</f>
        <v>11.25</v>
      </c>
      <c r="S5">
        <f>IF(S$3="HLH",VLOOKUP(DATE(YEAR(S$2),MONTH(S$2),1),Rates_current!$G$6:$O$29,7,FALSE),VLOOKUP(DATE(YEAR(S$2),MONTH(S$2),1),Rates_current!$G$6:$O$29,8,FALSE))</f>
        <v>17.71</v>
      </c>
      <c r="T5">
        <f>IF(T$3="HLH",VLOOKUP(DATE(YEAR(T$2),MONTH(T$2),1),Rates_current!$G$6:$O$29,7,FALSE),VLOOKUP(DATE(YEAR(T$2),MONTH(T$2),1),Rates_current!$G$6:$O$29,8,FALSE))</f>
        <v>9.31</v>
      </c>
      <c r="U5">
        <f>IF(U$3="HLH",VLOOKUP(DATE(YEAR(U$2),MONTH(U$2),1),Rates_current!$G$6:$O$29,7,FALSE),VLOOKUP(DATE(YEAR(U$2),MONTH(U$2),1),Rates_current!$G$6:$O$29,8,FALSE))</f>
        <v>24.66</v>
      </c>
      <c r="V5">
        <f>IF(V$3="HLH",VLOOKUP(DATE(YEAR(V$2),MONTH(V$2),1),Rates_current!$G$6:$O$29,7,FALSE),VLOOKUP(DATE(YEAR(V$2),MONTH(V$2),1),Rates_current!$G$6:$O$29,8,FALSE))</f>
        <v>19.05</v>
      </c>
      <c r="W5">
        <f>IF(W$3="HLH",VLOOKUP(DATE(YEAR(W$2),MONTH(W$2),1),Rates_current!$G$6:$O$29,7,FALSE),VLOOKUP(DATE(YEAR(W$2),MONTH(W$2),1),Rates_current!$G$6:$O$29,8,FALSE))</f>
        <v>28.11</v>
      </c>
      <c r="X5">
        <f>IF(X$3="HLH",VLOOKUP(DATE(YEAR(X$2),MONTH(X$2),1),Rates_current!$G$6:$O$29,7,FALSE),VLOOKUP(DATE(YEAR(X$2),MONTH(X$2),1),Rates_current!$G$6:$O$29,8,FALSE))</f>
        <v>22.61</v>
      </c>
      <c r="Y5">
        <f>IF(Y$3="HLH",VLOOKUP(DATE(YEAR(Y$2),MONTH(Y$2),1),Rates_current!$G$6:$O$29,7,FALSE),VLOOKUP(DATE(YEAR(Y$2),MONTH(Y$2),1),Rates_current!$G$6:$O$29,8,FALSE))</f>
        <v>27.94</v>
      </c>
      <c r="Z5">
        <f>IF(Z$3="HLH",VLOOKUP(DATE(YEAR(Z$2),MONTH(Z$2),1),Rates_current!$G$6:$O$29,7,FALSE),VLOOKUP(DATE(YEAR(Z$2),MONTH(Z$2),1),Rates_current!$G$6:$O$29,8,FALSE))</f>
        <v>22.19</v>
      </c>
      <c r="AA5">
        <f>IF(AA$3="HLH",VLOOKUP(DATE(YEAR(AA$2),MONTH(AA$2),1),Rates_current!$G$6:$O$29,7,FALSE),VLOOKUP(DATE(YEAR(AA$2),MONTH(AA$2),1),Rates_current!$G$6:$O$29,8,FALSE))</f>
        <v>26.74</v>
      </c>
      <c r="AB5">
        <f>IF(AB$3="HLH",VLOOKUP(DATE(YEAR(AB$2),MONTH(AB$2),1),Rates_current!$G$6:$O$29,7,FALSE),VLOOKUP(DATE(YEAR(AB$2),MONTH(AB$2),1),Rates_current!$G$6:$O$29,8,FALSE))</f>
        <v>22.49</v>
      </c>
      <c r="AC5">
        <f>IF(AC$3="HLH",VLOOKUP(DATE(YEAR(AC$2),MONTH(AC$2),1),Rates_current!$G$6:$O$29,7,FALSE),VLOOKUP(DATE(YEAR(AC$2),MONTH(AC$2),1),Rates_current!$G$6:$O$29,8,FALSE))</f>
        <v>27.27</v>
      </c>
      <c r="AD5">
        <f>IF(AD$3="HLH",VLOOKUP(DATE(YEAR(AD$2),MONTH(AD$2),1),Rates_current!$G$6:$O$29,7,FALSE),VLOOKUP(DATE(YEAR(AD$2),MONTH(AD$2),1),Rates_current!$G$6:$O$29,8,FALSE))</f>
        <v>24.74</v>
      </c>
      <c r="AE5">
        <f>IF(AE$3="HLH",VLOOKUP(DATE(YEAR(AE$2),MONTH(AE$2),1),Rates_current!$G$6:$O$29,7,FALSE),VLOOKUP(DATE(YEAR(AE$2),MONTH(AE$2),1),Rates_current!$G$6:$O$29,8,FALSE))</f>
        <v>30.28</v>
      </c>
      <c r="AF5">
        <f>IF(AF$3="HLH",VLOOKUP(DATE(YEAR(AF$2),MONTH(AF$2),1),Rates_current!$G$6:$O$29,7,FALSE),VLOOKUP(DATE(YEAR(AF$2),MONTH(AF$2),1),Rates_current!$G$6:$O$29,8,FALSE))</f>
        <v>26.6</v>
      </c>
      <c r="AG5">
        <f>IF(AG$3="HLH",VLOOKUP(DATE(YEAR(AG$2),MONTH(AG$2),1),Rates_current!$G$6:$O$29,7,FALSE),VLOOKUP(DATE(YEAR(AG$2),MONTH(AG$2),1),Rates_current!$G$6:$O$29,8,FALSE))</f>
        <v>29.3</v>
      </c>
      <c r="AH5">
        <f>IF(AH$3="HLH",VLOOKUP(DATE(YEAR(AH$2),MONTH(AH$2),1),Rates_current!$G$6:$O$29,7,FALSE),VLOOKUP(DATE(YEAR(AH$2),MONTH(AH$2),1),Rates_current!$G$6:$O$29,8,FALSE))</f>
        <v>23.94</v>
      </c>
      <c r="AI5">
        <f>IF(AI$3="HLH",VLOOKUP(DATE(YEAR(AI$2),MONTH(AI$2),1),Rates_current!$G$6:$O$29,7,FALSE),VLOOKUP(DATE(YEAR(AI$2),MONTH(AI$2),1),Rates_current!$G$6:$O$29,8,FALSE))</f>
        <v>28.54</v>
      </c>
      <c r="AJ5">
        <f>IF(AJ$3="HLH",VLOOKUP(DATE(YEAR(AJ$2),MONTH(AJ$2),1),Rates_current!$G$6:$O$29,7,FALSE),VLOOKUP(DATE(YEAR(AJ$2),MONTH(AJ$2),1),Rates_current!$G$6:$O$29,8,FALSE))</f>
        <v>23.94</v>
      </c>
      <c r="AK5">
        <f>IF(AK$3="HLH",VLOOKUP(DATE(YEAR(AK$2),MONTH(AK$2),1),Rates_current!$G$6:$O$29,7,FALSE),VLOOKUP(DATE(YEAR(AK$2),MONTH(AK$2),1),Rates_current!$G$6:$O$29,8,FALSE))</f>
        <v>23.75</v>
      </c>
      <c r="AL5">
        <f>IF(AL$3="HLH",VLOOKUP(DATE(YEAR(AL$2),MONTH(AL$2),1),Rates_current!$G$6:$O$29,7,FALSE),VLOOKUP(DATE(YEAR(AL$2),MONTH(AL$2),1),Rates_current!$G$6:$O$29,8,FALSE))</f>
        <v>20.8</v>
      </c>
      <c r="AM5">
        <f>IF(AM$3="HLH",VLOOKUP(DATE(YEAR(AM$2),MONTH(AM$2),1),Rates_current!$G$6:$O$29,7,FALSE),VLOOKUP(DATE(YEAR(AM$2),MONTH(AM$2),1),Rates_current!$G$6:$O$29,8,FALSE))</f>
        <v>19.670000000000002</v>
      </c>
      <c r="AN5">
        <f>IF(AN$3="HLH",VLOOKUP(DATE(YEAR(AN$2),MONTH(AN$2),1),Rates_current!$G$6:$O$29,7,FALSE),VLOOKUP(DATE(YEAR(AN$2),MONTH(AN$2),1),Rates_current!$G$6:$O$29,8,FALSE))</f>
        <v>17.54</v>
      </c>
      <c r="AO5">
        <f>IF(AO$3="HLH",VLOOKUP(DATE(YEAR(AO$2),MONTH(AO$2),1),Rates_current!$G$6:$O$29,7,FALSE),VLOOKUP(DATE(YEAR(AO$2),MONTH(AO$2),1),Rates_current!$G$6:$O$29,8,FALSE))</f>
        <v>16.63</v>
      </c>
      <c r="AP5">
        <f>IF(AP$3="HLH",VLOOKUP(DATE(YEAR(AP$2),MONTH(AP$2),1),Rates_current!$G$6:$O$29,7,FALSE),VLOOKUP(DATE(YEAR(AP$2),MONTH(AP$2),1),Rates_current!$G$6:$O$29,8,FALSE))</f>
        <v>11.25</v>
      </c>
      <c r="AQ5">
        <f>IF(AQ$3="HLH",VLOOKUP(DATE(YEAR(AQ$2),MONTH(AQ$2),1),Rates_current!$G$6:$O$29,7,FALSE),VLOOKUP(DATE(YEAR(AQ$2),MONTH(AQ$2),1),Rates_current!$G$6:$O$29,8,FALSE))</f>
        <v>17.71</v>
      </c>
      <c r="AR5">
        <f>IF(AR$3="HLH",VLOOKUP(DATE(YEAR(AR$2),MONTH(AR$2),1),Rates_current!$G$6:$O$29,7,FALSE),VLOOKUP(DATE(YEAR(AR$2),MONTH(AR$2),1),Rates_current!$G$6:$O$29,8,FALSE))</f>
        <v>9.31</v>
      </c>
      <c r="AS5">
        <f>IF(AS$3="HLH",VLOOKUP(DATE(YEAR(AS$2),MONTH(AS$2),1),Rates_current!$G$6:$O$29,7,FALSE),VLOOKUP(DATE(YEAR(AS$2),MONTH(AS$2),1),Rates_current!$G$6:$O$29,8,FALSE))</f>
        <v>24.66</v>
      </c>
      <c r="AT5">
        <f>IF(AT$3="HLH",VLOOKUP(DATE(YEAR(AT$2),MONTH(AT$2),1),Rates_current!$G$6:$O$29,7,FALSE),VLOOKUP(DATE(YEAR(AT$2),MONTH(AT$2),1),Rates_current!$G$6:$O$29,8,FALSE))</f>
        <v>19.05</v>
      </c>
      <c r="AU5">
        <f>IF(AU$3="HLH",VLOOKUP(DATE(YEAR(AU$2),MONTH(AU$2),1),Rates_current!$G$6:$O$29,7,FALSE),VLOOKUP(DATE(YEAR(AU$2),MONTH(AU$2),1),Rates_current!$G$6:$O$29,8,FALSE))</f>
        <v>28.11</v>
      </c>
      <c r="AV5">
        <f>IF(AV$3="HLH",VLOOKUP(DATE(YEAR(AV$2),MONTH(AV$2),1),Rates_current!$G$6:$O$29,7,FALSE),VLOOKUP(DATE(YEAR(AV$2),MONTH(AV$2),1),Rates_current!$G$6:$O$29,8,FALSE))</f>
        <v>22.61</v>
      </c>
      <c r="AW5">
        <f>IF(AW$3="HLH",VLOOKUP(DATE(YEAR(AW$2),MONTH(AW$2),1),Rates_current!$G$6:$O$29,7,FALSE),VLOOKUP(DATE(YEAR(AW$2),MONTH(AW$2),1),Rates_current!$G$6:$O$29,8,FALSE))</f>
        <v>27.94</v>
      </c>
      <c r="AX5">
        <f>IF(AX$3="HLH",VLOOKUP(DATE(YEAR(AX$2),MONTH(AX$2),1),Rates_current!$G$6:$O$29,7,FALSE),VLOOKUP(DATE(YEAR(AX$2),MONTH(AX$2),1),Rates_current!$G$6:$O$29,8,FALSE))</f>
        <v>22.19</v>
      </c>
    </row>
    <row r="6" spans="2:50">
      <c r="B6" t="s">
        <v>216</v>
      </c>
      <c r="C6">
        <f>IF(C$3="HLH",VLOOKUP(DATE(YEAR(C$2)-2,MONTH(C$2),1),Rates_previous!$G$6:$O$29,3,FALSE),0)</f>
        <v>10.02</v>
      </c>
      <c r="D6">
        <f>IF(D$3="HLH",VLOOKUP(DATE(YEAR(D$2)-2,MONTH(D$2),1),Rates_previous!$G$6:$O$29,3,FALSE),0)</f>
        <v>0</v>
      </c>
      <c r="E6">
        <f>IF(E$3="HLH",VLOOKUP(DATE(YEAR(E$2)-2,MONTH(E$2),1),Rates_previous!$G$6:$O$29,3,FALSE),0)</f>
        <v>10.27</v>
      </c>
      <c r="F6">
        <f>IF(F$3="HLH",VLOOKUP(DATE(YEAR(F$2)-2,MONTH(F$2),1),Rates_previous!$G$6:$O$29,3,FALSE),0)</f>
        <v>0</v>
      </c>
      <c r="G6">
        <f>IF(G$3="HLH",VLOOKUP(DATE(YEAR(G$2)-2,MONTH(G$2),1),Rates_previous!$G$6:$O$29,3,FALSE),0)</f>
        <v>10.51</v>
      </c>
      <c r="H6">
        <f>IF(H$3="HLH",VLOOKUP(DATE(YEAR(H$2)-2,MONTH(H$2),1),Rates_previous!$G$6:$O$29,3,FALSE),0)</f>
        <v>0</v>
      </c>
      <c r="I6">
        <f>IF(I$3="HLH",VLOOKUP(DATE(YEAR(I$2)-2,MONTH(I$2),1),Rates_previous!$G$6:$O$29,3,FALSE),0)</f>
        <v>10.79</v>
      </c>
      <c r="J6">
        <f>IF(J$3="HLH",VLOOKUP(DATE(YEAR(J$2)-2,MONTH(J$2),1),Rates_previous!$G$6:$O$29,3,FALSE),0)</f>
        <v>0</v>
      </c>
      <c r="K6">
        <f>IF(K$3="HLH",VLOOKUP(DATE(YEAR(K$2)-2,MONTH(K$2),1),Rates_previous!$G$6:$O$29,3,FALSE),0)</f>
        <v>10.66</v>
      </c>
      <c r="L6">
        <f>IF(L$3="HLH",VLOOKUP(DATE(YEAR(L$2)-2,MONTH(L$2),1),Rates_previous!$G$6:$O$29,3,FALSE),0)</f>
        <v>0</v>
      </c>
      <c r="M6">
        <f>IF(M$3="HLH",VLOOKUP(DATE(YEAR(M$2)-2,MONTH(M$2),1),Rates_previous!$G$6:$O$29,3,FALSE),0)</f>
        <v>9.1300000000000008</v>
      </c>
      <c r="N6">
        <f>IF(N$3="HLH",VLOOKUP(DATE(YEAR(N$2)-2,MONTH(N$2),1),Rates_previous!$G$6:$O$29,3,FALSE),0)</f>
        <v>0</v>
      </c>
      <c r="O6">
        <f>IF(O$3="HLH",VLOOKUP(DATE(YEAR(O$2)-2,MONTH(O$2),1),Rates_previous!$G$6:$O$29,3,FALSE),0)</f>
        <v>8.76</v>
      </c>
      <c r="P6">
        <f>IF(P$3="HLH",VLOOKUP(DATE(YEAR(P$2)-2,MONTH(P$2),1),Rates_previous!$G$6:$O$29,3,FALSE),0)</f>
        <v>0</v>
      </c>
      <c r="Q6">
        <f>IF(Q$3="HLH",VLOOKUP(DATE(YEAR(Q$2)-2,MONTH(Q$2),1),Rates_previous!$G$6:$O$29,3,FALSE),0)</f>
        <v>7.95</v>
      </c>
      <c r="R6">
        <f>IF(R$3="HLH",VLOOKUP(DATE(YEAR(R$2)-2,MONTH(R$2),1),Rates_previous!$G$6:$O$29,3,FALSE),0)</f>
        <v>0</v>
      </c>
      <c r="S6">
        <f>IF(S$3="HLH",VLOOKUP(DATE(YEAR(S$2)-2,MONTH(S$2),1),Rates_previous!$G$6:$O$29,3,FALSE),0)</f>
        <v>8.33</v>
      </c>
      <c r="T6">
        <f>IF(T$3="HLH",VLOOKUP(DATE(YEAR(T$2)-2,MONTH(T$2),1),Rates_previous!$G$6:$O$29,3,FALSE),0)</f>
        <v>0</v>
      </c>
      <c r="U6">
        <f>IF(U$3="HLH",VLOOKUP(DATE(YEAR(U$2)-2,MONTH(U$2),1),Rates_previous!$G$6:$O$29,3,FALSE),0)</f>
        <v>9.8699999999999992</v>
      </c>
      <c r="V6">
        <f>IF(V$3="HLH",VLOOKUP(DATE(YEAR(V$2)-2,MONTH(V$2),1),Rates_previous!$G$6:$O$29,3,FALSE),0)</f>
        <v>0</v>
      </c>
      <c r="W6">
        <f>IF(W$3="HLH",VLOOKUP(DATE(YEAR(W$2)-2,MONTH(W$2),1),Rates_previous!$G$6:$O$29,3,FALSE),0)</f>
        <v>10.9</v>
      </c>
      <c r="X6">
        <f>IF(X$3="HLH",VLOOKUP(DATE(YEAR(X$2)-2,MONTH(X$2),1),Rates_previous!$G$6:$O$29,3,FALSE),0)</f>
        <v>0</v>
      </c>
      <c r="Y6">
        <f>IF(Y$3="HLH",VLOOKUP(DATE(YEAR(Y$2)-2,MONTH(Y$2),1),Rates_previous!$G$6:$O$29,3,FALSE),0)</f>
        <v>11.42</v>
      </c>
      <c r="Z6">
        <f>IF(Z$3="HLH",VLOOKUP(DATE(YEAR(Z$2)-2,MONTH(Z$2),1),Rates_previous!$G$6:$O$29,3,FALSE),0)</f>
        <v>0</v>
      </c>
      <c r="AA6">
        <f>IF(AA$3="HLH",VLOOKUP(DATE(YEAR(AA$2)-2,MONTH(AA$2),1),Rates_previous!$G$6:$O$29,3,FALSE),0)</f>
        <v>10.02</v>
      </c>
      <c r="AB6">
        <f>IF(AB$3="HLH",VLOOKUP(DATE(YEAR(AB$2)-2,MONTH(AB$2),1),Rates_previous!$G$6:$O$29,3,FALSE),0)</f>
        <v>0</v>
      </c>
      <c r="AC6">
        <f>IF(AC$3="HLH",VLOOKUP(DATE(YEAR(AC$2)-2,MONTH(AC$2),1),Rates_previous!$G$6:$O$29,3,FALSE),0)</f>
        <v>10.27</v>
      </c>
      <c r="AD6">
        <f>IF(AD$3="HLH",VLOOKUP(DATE(YEAR(AD$2)-2,MONTH(AD$2),1),Rates_previous!$G$6:$O$29,3,FALSE),0)</f>
        <v>0</v>
      </c>
      <c r="AE6">
        <f>IF(AE$3="HLH",VLOOKUP(DATE(YEAR(AE$2)-2,MONTH(AE$2),1),Rates_previous!$G$6:$O$29,3,FALSE),0)</f>
        <v>10.51</v>
      </c>
      <c r="AF6">
        <f>IF(AF$3="HLH",VLOOKUP(DATE(YEAR(AF$2)-2,MONTH(AF$2),1),Rates_previous!$G$6:$O$29,3,FALSE),0)</f>
        <v>0</v>
      </c>
      <c r="AG6">
        <f>IF(AG$3="HLH",VLOOKUP(DATE(YEAR(AG$2)-2,MONTH(AG$2),1),Rates_previous!$G$6:$O$29,3,FALSE),0)</f>
        <v>10.79</v>
      </c>
      <c r="AH6">
        <f>IF(AH$3="HLH",VLOOKUP(DATE(YEAR(AH$2)-2,MONTH(AH$2),1),Rates_previous!$G$6:$O$29,3,FALSE),0)</f>
        <v>0</v>
      </c>
      <c r="AI6">
        <f>IF(AI$3="HLH",VLOOKUP(DATE(YEAR(AI$2)-2,MONTH(AI$2),1),Rates_previous!$G$6:$O$29,3,FALSE),0)</f>
        <v>10.66</v>
      </c>
      <c r="AJ6">
        <f>IF(AJ$3="HLH",VLOOKUP(DATE(YEAR(AJ$2)-2,MONTH(AJ$2),1),Rates_previous!$G$6:$O$29,3,FALSE),0)</f>
        <v>0</v>
      </c>
      <c r="AK6">
        <f>IF(AK$3="HLH",VLOOKUP(DATE(YEAR(AK$2)-2,MONTH(AK$2),1),Rates_previous!$G$6:$O$29,3,FALSE),0)</f>
        <v>9.1300000000000008</v>
      </c>
      <c r="AL6">
        <f>IF(AL$3="HLH",VLOOKUP(DATE(YEAR(AL$2)-2,MONTH(AL$2),1),Rates_previous!$G$6:$O$29,3,FALSE),0)</f>
        <v>0</v>
      </c>
      <c r="AM6">
        <f>IF(AM$3="HLH",VLOOKUP(DATE(YEAR(AM$2)-2,MONTH(AM$2),1),Rates_previous!$G$6:$O$29,3,FALSE),0)</f>
        <v>8.76</v>
      </c>
      <c r="AN6">
        <f>IF(AN$3="HLH",VLOOKUP(DATE(YEAR(AN$2)-2,MONTH(AN$2),1),Rates_previous!$G$6:$O$29,3,FALSE),0)</f>
        <v>0</v>
      </c>
      <c r="AO6">
        <f>IF(AO$3="HLH",VLOOKUP(DATE(YEAR(AO$2)-2,MONTH(AO$2),1),Rates_previous!$G$6:$O$29,3,FALSE),0)</f>
        <v>7.95</v>
      </c>
      <c r="AP6">
        <f>IF(AP$3="HLH",VLOOKUP(DATE(YEAR(AP$2)-2,MONTH(AP$2),1),Rates_previous!$G$6:$O$29,3,FALSE),0)</f>
        <v>0</v>
      </c>
      <c r="AQ6">
        <f>IF(AQ$3="HLH",VLOOKUP(DATE(YEAR(AQ$2)-2,MONTH(AQ$2),1),Rates_previous!$G$6:$O$29,3,FALSE),0)</f>
        <v>8.33</v>
      </c>
      <c r="AR6">
        <f>IF(AR$3="HLH",VLOOKUP(DATE(YEAR(AR$2)-2,MONTH(AR$2),1),Rates_previous!$G$6:$O$29,3,FALSE),0)</f>
        <v>0</v>
      </c>
      <c r="AS6">
        <f>IF(AS$3="HLH",VLOOKUP(DATE(YEAR(AS$2)-2,MONTH(AS$2),1),Rates_previous!$G$6:$O$29,3,FALSE),0)</f>
        <v>9.8699999999999992</v>
      </c>
      <c r="AT6">
        <f>IF(AT$3="HLH",VLOOKUP(DATE(YEAR(AT$2)-2,MONTH(AT$2),1),Rates_previous!$G$6:$O$29,3,FALSE),0)</f>
        <v>0</v>
      </c>
      <c r="AU6">
        <f>IF(AU$3="HLH",VLOOKUP(DATE(YEAR(AU$2)-2,MONTH(AU$2),1),Rates_previous!$G$6:$O$29,3,FALSE),0)</f>
        <v>10.9</v>
      </c>
      <c r="AV6">
        <f>IF(AV$3="HLH",VLOOKUP(DATE(YEAR(AV$2)-2,MONTH(AV$2),1),Rates_previous!$G$6:$O$29,3,FALSE),0)</f>
        <v>0</v>
      </c>
      <c r="AW6">
        <f>IF(AW$3="HLH",VLOOKUP(DATE(YEAR(AW$2)-2,MONTH(AW$2),1),Rates_previous!$G$6:$O$29,3,FALSE),0)</f>
        <v>11.42</v>
      </c>
      <c r="AX6">
        <f>IF(AX$3="HLH",VLOOKUP(DATE(YEAR(AX$2)-2,MONTH(AX$2),1),Rates_previous!$G$6:$O$29,3,FALSE),0)</f>
        <v>0</v>
      </c>
    </row>
    <row r="7" spans="2:50">
      <c r="B7" t="s">
        <v>217</v>
      </c>
      <c r="C7">
        <f>IF(C$3="HLH",VLOOKUP(DATE(YEAR(C$2),MONTH(C$2),1),Rates_current!$G$6:$O$29,3,FALSE),0)</f>
        <v>10.45</v>
      </c>
      <c r="D7">
        <f>IF(D$3="HLH",VLOOKUP(DATE(YEAR(D$2),MONTH(D$2),1),Rates_current!$G$6:$O$29,3,FALSE),0)</f>
        <v>0</v>
      </c>
      <c r="E7">
        <f>IF(E$3="HLH",VLOOKUP(DATE(YEAR(E$2),MONTH(E$2),1),Rates_current!$G$6:$O$29,3,FALSE),0)</f>
        <v>10.65</v>
      </c>
      <c r="F7">
        <f>IF(F$3="HLH",VLOOKUP(DATE(YEAR(F$2),MONTH(F$2),1),Rates_current!$G$6:$O$29,3,FALSE),0)</f>
        <v>0</v>
      </c>
      <c r="G7">
        <f>IF(G$3="HLH",VLOOKUP(DATE(YEAR(G$2),MONTH(G$2),1),Rates_current!$G$6:$O$29,3,FALSE),0)</f>
        <v>11.83</v>
      </c>
      <c r="H7">
        <f>IF(H$3="HLH",VLOOKUP(DATE(YEAR(H$2),MONTH(H$2),1),Rates_current!$G$6:$O$29,3,FALSE),0)</f>
        <v>0</v>
      </c>
      <c r="I7">
        <f>IF(I$3="HLH",VLOOKUP(DATE(YEAR(I$2),MONTH(I$2),1),Rates_current!$G$6:$O$29,3,FALSE),0)</f>
        <v>11.45</v>
      </c>
      <c r="J7">
        <f>IF(J$3="HLH",VLOOKUP(DATE(YEAR(J$2),MONTH(J$2),1),Rates_current!$G$6:$O$29,3,FALSE),0)</f>
        <v>0</v>
      </c>
      <c r="K7">
        <f>IF(K$3="HLH",VLOOKUP(DATE(YEAR(K$2),MONTH(K$2),1),Rates_current!$G$6:$O$29,3,FALSE),0)</f>
        <v>11.15</v>
      </c>
      <c r="L7">
        <f>IF(L$3="HLH",VLOOKUP(DATE(YEAR(L$2),MONTH(L$2),1),Rates_current!$G$6:$O$29,3,FALSE),0)</f>
        <v>0</v>
      </c>
      <c r="M7">
        <f>IF(M$3="HLH",VLOOKUP(DATE(YEAR(M$2),MONTH(M$2),1),Rates_current!$G$6:$O$29,3,FALSE),0)</f>
        <v>9.2799999999999994</v>
      </c>
      <c r="N7">
        <f>IF(N$3="HLH",VLOOKUP(DATE(YEAR(N$2),MONTH(N$2),1),Rates_current!$G$6:$O$29,3,FALSE),0)</f>
        <v>0</v>
      </c>
      <c r="O7">
        <f>IF(O$3="HLH",VLOOKUP(DATE(YEAR(O$2),MONTH(O$2),1),Rates_current!$G$6:$O$29,3,FALSE),0)</f>
        <v>7.68</v>
      </c>
      <c r="P7">
        <f>IF(P$3="HLH",VLOOKUP(DATE(YEAR(P$2),MONTH(P$2),1),Rates_current!$G$6:$O$29,3,FALSE),0)</f>
        <v>0</v>
      </c>
      <c r="Q7">
        <f>IF(Q$3="HLH",VLOOKUP(DATE(YEAR(Q$2),MONTH(Q$2),1),Rates_current!$G$6:$O$29,3,FALSE),0)</f>
        <v>6.49</v>
      </c>
      <c r="R7">
        <f>IF(R$3="HLH",VLOOKUP(DATE(YEAR(R$2),MONTH(R$2),1),Rates_current!$G$6:$O$29,3,FALSE),0)</f>
        <v>0</v>
      </c>
      <c r="S7">
        <f>IF(S$3="HLH",VLOOKUP(DATE(YEAR(S$2),MONTH(S$2),1),Rates_current!$G$6:$O$29,3,FALSE),0)</f>
        <v>6.92</v>
      </c>
      <c r="T7">
        <f>IF(T$3="HLH",VLOOKUP(DATE(YEAR(T$2),MONTH(T$2),1),Rates_current!$G$6:$O$29,3,FALSE),0)</f>
        <v>0</v>
      </c>
      <c r="U7">
        <f>IF(U$3="HLH",VLOOKUP(DATE(YEAR(U$2),MONTH(U$2),1),Rates_current!$G$6:$O$29,3,FALSE),0)</f>
        <v>9.6300000000000008</v>
      </c>
      <c r="V7">
        <f>IF(V$3="HLH",VLOOKUP(DATE(YEAR(V$2),MONTH(V$2),1),Rates_current!$G$6:$O$29,3,FALSE),0)</f>
        <v>0</v>
      </c>
      <c r="W7">
        <f>IF(W$3="HLH",VLOOKUP(DATE(YEAR(W$2),MONTH(W$2),1),Rates_current!$G$6:$O$29,3,FALSE),0)</f>
        <v>10.98</v>
      </c>
      <c r="X7">
        <f>IF(X$3="HLH",VLOOKUP(DATE(YEAR(X$2),MONTH(X$2),1),Rates_current!$G$6:$O$29,3,FALSE),0)</f>
        <v>0</v>
      </c>
      <c r="Y7">
        <f>IF(Y$3="HLH",VLOOKUP(DATE(YEAR(Y$2),MONTH(Y$2),1),Rates_current!$G$6:$O$29,3,FALSE),0)</f>
        <v>10.91</v>
      </c>
      <c r="Z7">
        <f>IF(Z$3="HLH",VLOOKUP(DATE(YEAR(Z$2),MONTH(Z$2),1),Rates_current!$G$6:$O$29,3,FALSE),0)</f>
        <v>0</v>
      </c>
      <c r="AA7">
        <f>IF(AA$3="HLH",VLOOKUP(DATE(YEAR(AA$2),MONTH(AA$2),1),Rates_current!$G$6:$O$29,3,FALSE),0)</f>
        <v>10.45</v>
      </c>
      <c r="AB7">
        <f>IF(AB$3="HLH",VLOOKUP(DATE(YEAR(AB$2),MONTH(AB$2),1),Rates_current!$G$6:$O$29,3,FALSE),0)</f>
        <v>0</v>
      </c>
      <c r="AC7">
        <f>IF(AC$3="HLH",VLOOKUP(DATE(YEAR(AC$2),MONTH(AC$2),1),Rates_current!$G$6:$O$29,3,FALSE),0)</f>
        <v>10.65</v>
      </c>
      <c r="AD7">
        <f>IF(AD$3="HLH",VLOOKUP(DATE(YEAR(AD$2),MONTH(AD$2),1),Rates_current!$G$6:$O$29,3,FALSE),0)</f>
        <v>0</v>
      </c>
      <c r="AE7">
        <f>IF(AE$3="HLH",VLOOKUP(DATE(YEAR(AE$2),MONTH(AE$2),1),Rates_current!$G$6:$O$29,3,FALSE),0)</f>
        <v>11.83</v>
      </c>
      <c r="AF7">
        <f>IF(AF$3="HLH",VLOOKUP(DATE(YEAR(AF$2),MONTH(AF$2),1),Rates_current!$G$6:$O$29,3,FALSE),0)</f>
        <v>0</v>
      </c>
      <c r="AG7">
        <f>IF(AG$3="HLH",VLOOKUP(DATE(YEAR(AG$2),MONTH(AG$2),1),Rates_current!$G$6:$O$29,3,FALSE),0)</f>
        <v>11.45</v>
      </c>
      <c r="AH7">
        <f>IF(AH$3="HLH",VLOOKUP(DATE(YEAR(AH$2),MONTH(AH$2),1),Rates_current!$G$6:$O$29,3,FALSE),0)</f>
        <v>0</v>
      </c>
      <c r="AI7">
        <f>IF(AI$3="HLH",VLOOKUP(DATE(YEAR(AI$2),MONTH(AI$2),1),Rates_current!$G$6:$O$29,3,FALSE),0)</f>
        <v>11.15</v>
      </c>
      <c r="AJ7">
        <f>IF(AJ$3="HLH",VLOOKUP(DATE(YEAR(AJ$2),MONTH(AJ$2),1),Rates_current!$G$6:$O$29,3,FALSE),0)</f>
        <v>0</v>
      </c>
      <c r="AK7">
        <f>IF(AK$3="HLH",VLOOKUP(DATE(YEAR(AK$2),MONTH(AK$2),1),Rates_current!$G$6:$O$29,3,FALSE),0)</f>
        <v>9.2799999999999994</v>
      </c>
      <c r="AL7">
        <f>IF(AL$3="HLH",VLOOKUP(DATE(YEAR(AL$2),MONTH(AL$2),1),Rates_current!$G$6:$O$29,3,FALSE),0)</f>
        <v>0</v>
      </c>
      <c r="AM7">
        <f>IF(AM$3="HLH",VLOOKUP(DATE(YEAR(AM$2),MONTH(AM$2),1),Rates_current!$G$6:$O$29,3,FALSE),0)</f>
        <v>7.68</v>
      </c>
      <c r="AN7">
        <f>IF(AN$3="HLH",VLOOKUP(DATE(YEAR(AN$2),MONTH(AN$2),1),Rates_current!$G$6:$O$29,3,FALSE),0)</f>
        <v>0</v>
      </c>
      <c r="AO7">
        <f>IF(AO$3="HLH",VLOOKUP(DATE(YEAR(AO$2),MONTH(AO$2),1),Rates_current!$G$6:$O$29,3,FALSE),0)</f>
        <v>6.49</v>
      </c>
      <c r="AP7">
        <f>IF(AP$3="HLH",VLOOKUP(DATE(YEAR(AP$2),MONTH(AP$2),1),Rates_current!$G$6:$O$29,3,FALSE),0)</f>
        <v>0</v>
      </c>
      <c r="AQ7">
        <f>IF(AQ$3="HLH",VLOOKUP(DATE(YEAR(AQ$2),MONTH(AQ$2),1),Rates_current!$G$6:$O$29,3,FALSE),0)</f>
        <v>6.92</v>
      </c>
      <c r="AR7">
        <f>IF(AR$3="HLH",VLOOKUP(DATE(YEAR(AR$2),MONTH(AR$2),1),Rates_current!$G$6:$O$29,3,FALSE),0)</f>
        <v>0</v>
      </c>
      <c r="AS7">
        <f>IF(AS$3="HLH",VLOOKUP(DATE(YEAR(AS$2),MONTH(AS$2),1),Rates_current!$G$6:$O$29,3,FALSE),0)</f>
        <v>9.6300000000000008</v>
      </c>
      <c r="AT7">
        <f>IF(AT$3="HLH",VLOOKUP(DATE(YEAR(AT$2),MONTH(AT$2),1),Rates_current!$G$6:$O$29,3,FALSE),0)</f>
        <v>0</v>
      </c>
      <c r="AU7">
        <f>IF(AU$3="HLH",VLOOKUP(DATE(YEAR(AU$2),MONTH(AU$2),1),Rates_current!$G$6:$O$29,3,FALSE),0)</f>
        <v>10.98</v>
      </c>
      <c r="AV7">
        <f>IF(AV$3="HLH",VLOOKUP(DATE(YEAR(AV$2),MONTH(AV$2),1),Rates_current!$G$6:$O$29,3,FALSE),0)</f>
        <v>0</v>
      </c>
      <c r="AW7">
        <f>IF(AW$3="HLH",VLOOKUP(DATE(YEAR(AW$2),MONTH(AW$2),1),Rates_current!$G$6:$O$29,3,FALSE),0)</f>
        <v>10.91</v>
      </c>
      <c r="AX7">
        <f>IF(AX$3="HLH",VLOOKUP(DATE(YEAR(AX$2),MONTH(AX$2),1),Rates_current!$G$6:$O$29,3,FALSE),0)</f>
        <v>0</v>
      </c>
    </row>
    <row r="9" spans="2:50">
      <c r="C9" s="326">
        <f>INDEX($C$2:$AX$2,1,C12)</f>
        <v>43009</v>
      </c>
      <c r="D9" s="326">
        <f t="shared" ref="D9:Z9" si="0">INDEX($C$2:$AX$2,1,D12)</f>
        <v>43040</v>
      </c>
      <c r="E9" s="326">
        <f t="shared" si="0"/>
        <v>43070</v>
      </c>
      <c r="F9" s="326">
        <f t="shared" si="0"/>
        <v>43101</v>
      </c>
      <c r="G9" s="326">
        <f t="shared" si="0"/>
        <v>43132</v>
      </c>
      <c r="H9" s="326">
        <f t="shared" si="0"/>
        <v>43160</v>
      </c>
      <c r="I9" s="326">
        <f t="shared" si="0"/>
        <v>43191</v>
      </c>
      <c r="J9" s="326">
        <f t="shared" si="0"/>
        <v>43221</v>
      </c>
      <c r="K9" s="326">
        <f t="shared" si="0"/>
        <v>43252</v>
      </c>
      <c r="L9" s="326">
        <f t="shared" si="0"/>
        <v>43282</v>
      </c>
      <c r="M9" s="326">
        <f t="shared" si="0"/>
        <v>43313</v>
      </c>
      <c r="N9" s="326">
        <f t="shared" si="0"/>
        <v>43344</v>
      </c>
      <c r="O9" s="326">
        <f t="shared" si="0"/>
        <v>43374</v>
      </c>
      <c r="P9" s="326">
        <f t="shared" si="0"/>
        <v>43405</v>
      </c>
      <c r="Q9" s="326">
        <f t="shared" si="0"/>
        <v>43435</v>
      </c>
      <c r="R9" s="326">
        <f t="shared" si="0"/>
        <v>43466</v>
      </c>
      <c r="S9" s="326">
        <f t="shared" si="0"/>
        <v>43497</v>
      </c>
      <c r="T9" s="326">
        <f t="shared" si="0"/>
        <v>43525</v>
      </c>
      <c r="U9" s="326">
        <f t="shared" si="0"/>
        <v>43556</v>
      </c>
      <c r="V9" s="326">
        <f t="shared" si="0"/>
        <v>43586</v>
      </c>
      <c r="W9" s="326">
        <f t="shared" si="0"/>
        <v>43617</v>
      </c>
      <c r="X9" s="326">
        <f t="shared" si="0"/>
        <v>43647</v>
      </c>
      <c r="Y9" s="326">
        <f t="shared" si="0"/>
        <v>43678</v>
      </c>
      <c r="Z9" s="326">
        <f t="shared" si="0"/>
        <v>43709</v>
      </c>
    </row>
    <row r="10" spans="2:50">
      <c r="B10" s="397" t="s">
        <v>216</v>
      </c>
      <c r="C10">
        <f>INDEX($C$6:$AX$6,1,C12)</f>
        <v>10.02</v>
      </c>
      <c r="D10" s="397">
        <f t="shared" ref="D10:Z10" si="1">INDEX($C$6:$AX$6,1,D12)</f>
        <v>10.27</v>
      </c>
      <c r="E10" s="397">
        <f t="shared" si="1"/>
        <v>10.51</v>
      </c>
      <c r="F10" s="397">
        <f t="shared" si="1"/>
        <v>10.79</v>
      </c>
      <c r="G10" s="397">
        <f t="shared" si="1"/>
        <v>10.66</v>
      </c>
      <c r="H10" s="397">
        <f t="shared" si="1"/>
        <v>9.1300000000000008</v>
      </c>
      <c r="I10" s="397">
        <f t="shared" si="1"/>
        <v>8.76</v>
      </c>
      <c r="J10" s="397">
        <f t="shared" si="1"/>
        <v>7.95</v>
      </c>
      <c r="K10" s="397">
        <f t="shared" si="1"/>
        <v>8.33</v>
      </c>
      <c r="L10" s="397">
        <f t="shared" si="1"/>
        <v>9.8699999999999992</v>
      </c>
      <c r="M10" s="397">
        <f t="shared" si="1"/>
        <v>10.9</v>
      </c>
      <c r="N10" s="397">
        <f t="shared" si="1"/>
        <v>11.42</v>
      </c>
      <c r="O10" s="397">
        <f t="shared" si="1"/>
        <v>10.02</v>
      </c>
      <c r="P10" s="397">
        <f t="shared" si="1"/>
        <v>10.27</v>
      </c>
      <c r="Q10" s="397">
        <f t="shared" si="1"/>
        <v>10.51</v>
      </c>
      <c r="R10" s="397">
        <f>INDEX($C$6:$AX$6,1,R12)</f>
        <v>10.79</v>
      </c>
      <c r="S10" s="397">
        <f t="shared" si="1"/>
        <v>10.66</v>
      </c>
      <c r="T10" s="397">
        <f t="shared" si="1"/>
        <v>9.1300000000000008</v>
      </c>
      <c r="U10" s="397">
        <f t="shared" si="1"/>
        <v>8.76</v>
      </c>
      <c r="V10" s="397">
        <f t="shared" si="1"/>
        <v>7.95</v>
      </c>
      <c r="W10" s="397">
        <f t="shared" si="1"/>
        <v>8.33</v>
      </c>
      <c r="X10" s="397">
        <f t="shared" si="1"/>
        <v>9.8699999999999992</v>
      </c>
      <c r="Y10" s="397">
        <f t="shared" si="1"/>
        <v>10.9</v>
      </c>
      <c r="Z10" s="397">
        <f t="shared" si="1"/>
        <v>11.42</v>
      </c>
      <c r="AA10" s="397"/>
      <c r="AB10" s="397"/>
    </row>
    <row r="11" spans="2:50">
      <c r="B11" s="397" t="s">
        <v>217</v>
      </c>
      <c r="C11" s="397">
        <f>INDEX($C$7:$AX$7,1,C12)</f>
        <v>10.45</v>
      </c>
      <c r="D11" s="397">
        <f t="shared" ref="D11:Z11" si="2">INDEX($C$7:$AX$7,1,D12)</f>
        <v>10.65</v>
      </c>
      <c r="E11" s="397">
        <f t="shared" si="2"/>
        <v>11.83</v>
      </c>
      <c r="F11" s="397">
        <f t="shared" si="2"/>
        <v>11.45</v>
      </c>
      <c r="G11" s="397">
        <f t="shared" si="2"/>
        <v>11.15</v>
      </c>
      <c r="H11" s="397">
        <f t="shared" si="2"/>
        <v>9.2799999999999994</v>
      </c>
      <c r="I11" s="397">
        <f t="shared" si="2"/>
        <v>7.68</v>
      </c>
      <c r="J11" s="397">
        <f t="shared" si="2"/>
        <v>6.49</v>
      </c>
      <c r="K11" s="397">
        <f t="shared" si="2"/>
        <v>6.92</v>
      </c>
      <c r="L11" s="397">
        <f t="shared" si="2"/>
        <v>9.6300000000000008</v>
      </c>
      <c r="M11" s="397">
        <f t="shared" si="2"/>
        <v>10.98</v>
      </c>
      <c r="N11" s="397">
        <f t="shared" si="2"/>
        <v>10.91</v>
      </c>
      <c r="O11" s="397">
        <f t="shared" si="2"/>
        <v>10.45</v>
      </c>
      <c r="P11" s="397">
        <f t="shared" si="2"/>
        <v>10.65</v>
      </c>
      <c r="Q11" s="397">
        <f t="shared" si="2"/>
        <v>11.83</v>
      </c>
      <c r="R11" s="397">
        <f t="shared" si="2"/>
        <v>11.45</v>
      </c>
      <c r="S11" s="397">
        <f t="shared" si="2"/>
        <v>11.15</v>
      </c>
      <c r="T11" s="397">
        <f t="shared" si="2"/>
        <v>9.2799999999999994</v>
      </c>
      <c r="U11" s="397">
        <f t="shared" si="2"/>
        <v>7.68</v>
      </c>
      <c r="V11" s="397">
        <f t="shared" si="2"/>
        <v>6.49</v>
      </c>
      <c r="W11" s="397">
        <f t="shared" si="2"/>
        <v>6.92</v>
      </c>
      <c r="X11" s="397">
        <f t="shared" si="2"/>
        <v>9.6300000000000008</v>
      </c>
      <c r="Y11" s="397">
        <f t="shared" si="2"/>
        <v>10.98</v>
      </c>
      <c r="Z11" s="397">
        <f t="shared" si="2"/>
        <v>10.91</v>
      </c>
    </row>
    <row r="12" spans="2:50">
      <c r="C12" s="404">
        <v>1</v>
      </c>
      <c r="D12" s="404">
        <v>3</v>
      </c>
      <c r="E12" s="404">
        <f>D12+2</f>
        <v>5</v>
      </c>
      <c r="F12" s="404">
        <f t="shared" ref="F12:Z12" si="3">E12+2</f>
        <v>7</v>
      </c>
      <c r="G12" s="404">
        <f t="shared" si="3"/>
        <v>9</v>
      </c>
      <c r="H12" s="404">
        <f t="shared" si="3"/>
        <v>11</v>
      </c>
      <c r="I12" s="404">
        <f t="shared" si="3"/>
        <v>13</v>
      </c>
      <c r="J12" s="404">
        <f t="shared" si="3"/>
        <v>15</v>
      </c>
      <c r="K12" s="404">
        <f t="shared" si="3"/>
        <v>17</v>
      </c>
      <c r="L12" s="404">
        <f t="shared" si="3"/>
        <v>19</v>
      </c>
      <c r="M12" s="404">
        <f t="shared" si="3"/>
        <v>21</v>
      </c>
      <c r="N12" s="404">
        <f t="shared" si="3"/>
        <v>23</v>
      </c>
      <c r="O12" s="404">
        <f t="shared" si="3"/>
        <v>25</v>
      </c>
      <c r="P12" s="404">
        <f t="shared" si="3"/>
        <v>27</v>
      </c>
      <c r="Q12" s="404">
        <f t="shared" si="3"/>
        <v>29</v>
      </c>
      <c r="R12" s="404">
        <f t="shared" si="3"/>
        <v>31</v>
      </c>
      <c r="S12" s="404">
        <f t="shared" si="3"/>
        <v>33</v>
      </c>
      <c r="T12" s="404">
        <f t="shared" si="3"/>
        <v>35</v>
      </c>
      <c r="U12" s="404">
        <f t="shared" si="3"/>
        <v>37</v>
      </c>
      <c r="V12" s="404">
        <f t="shared" si="3"/>
        <v>39</v>
      </c>
      <c r="W12" s="404">
        <f t="shared" si="3"/>
        <v>41</v>
      </c>
      <c r="X12" s="404">
        <f t="shared" si="3"/>
        <v>43</v>
      </c>
      <c r="Y12" s="404">
        <f t="shared" si="3"/>
        <v>45</v>
      </c>
      <c r="Z12" s="404">
        <f t="shared" si="3"/>
        <v>47</v>
      </c>
      <c r="AA12" s="397"/>
      <c r="AB12" s="397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AI170"/>
  <sheetViews>
    <sheetView topLeftCell="B1" zoomScale="85" zoomScaleNormal="85" workbookViewId="0">
      <pane xSplit="2" ySplit="3" topLeftCell="J4" activePane="bottomRight" state="frozen"/>
      <selection activeCell="B1" sqref="B1"/>
      <selection pane="topRight" activeCell="D1" sqref="D1"/>
      <selection pane="bottomLeft" activeCell="B4" sqref="B4"/>
      <selection pane="bottomRight" activeCell="Z109" sqref="Z109"/>
    </sheetView>
  </sheetViews>
  <sheetFormatPr defaultRowHeight="15"/>
  <cols>
    <col min="1" max="1" width="9.5703125" style="2" customWidth="1"/>
    <col min="2" max="2" width="9.140625" style="24"/>
    <col min="3" max="3" width="28.42578125" style="24" bestFit="1" customWidth="1"/>
    <col min="4" max="8" width="12.7109375" customWidth="1"/>
    <col min="9" max="9" width="12.7109375" style="397" customWidth="1"/>
    <col min="10" max="10" width="12.7109375" customWidth="1"/>
    <col min="11" max="11" width="12.7109375" style="397" customWidth="1"/>
    <col min="12" max="16" width="12.7109375" customWidth="1"/>
    <col min="17" max="17" width="12.7109375" style="138" customWidth="1"/>
    <col min="18" max="21" width="12.7109375" customWidth="1"/>
    <col min="22" max="22" width="12.7109375" style="397" customWidth="1"/>
    <col min="23" max="25" width="12.7109375" customWidth="1"/>
    <col min="26" max="26" width="15" bestFit="1" customWidth="1"/>
    <col min="27" max="27" width="8.42578125" style="97" bestFit="1" customWidth="1"/>
    <col min="28" max="28" width="13.5703125" bestFit="1" customWidth="1"/>
    <col min="29" max="29" width="10.85546875" bestFit="1" customWidth="1"/>
    <col min="30" max="30" width="9.85546875" bestFit="1" customWidth="1"/>
    <col min="33" max="33" width="9.85546875" bestFit="1" customWidth="1"/>
  </cols>
  <sheetData>
    <row r="1" spans="1:35" ht="15.75">
      <c r="B1" s="85" t="s">
        <v>219</v>
      </c>
      <c r="C1" s="86"/>
    </row>
    <row r="2" spans="1:35">
      <c r="A2" s="87" t="s">
        <v>0</v>
      </c>
      <c r="B2" s="88"/>
      <c r="C2" s="86"/>
      <c r="D2" s="84" t="s">
        <v>149</v>
      </c>
      <c r="O2" s="84" t="s">
        <v>150</v>
      </c>
    </row>
    <row r="3" spans="1:35" s="104" customFormat="1">
      <c r="A3" s="102" t="s">
        <v>1</v>
      </c>
      <c r="B3" s="103" t="s">
        <v>2</v>
      </c>
      <c r="C3" s="89" t="s">
        <v>3</v>
      </c>
      <c r="D3" s="405" t="s">
        <v>163</v>
      </c>
      <c r="E3" s="405" t="s">
        <v>402</v>
      </c>
      <c r="F3" s="405" t="s">
        <v>213</v>
      </c>
      <c r="G3" s="405" t="s">
        <v>208</v>
      </c>
      <c r="H3" s="406" t="s">
        <v>372</v>
      </c>
      <c r="I3" s="406" t="s">
        <v>403</v>
      </c>
      <c r="J3" s="405" t="s">
        <v>220</v>
      </c>
      <c r="K3" s="405" t="s">
        <v>414</v>
      </c>
      <c r="L3" s="405" t="s">
        <v>183</v>
      </c>
      <c r="M3" s="405" t="s">
        <v>222</v>
      </c>
      <c r="N3" s="405" t="s">
        <v>228</v>
      </c>
      <c r="O3" s="410" t="s">
        <v>163</v>
      </c>
      <c r="P3" s="410" t="s">
        <v>402</v>
      </c>
      <c r="Q3" s="411" t="s">
        <v>213</v>
      </c>
      <c r="R3" s="411" t="s">
        <v>208</v>
      </c>
      <c r="S3" s="410" t="s">
        <v>372</v>
      </c>
      <c r="T3" s="410" t="s">
        <v>403</v>
      </c>
      <c r="U3" s="411" t="s">
        <v>220</v>
      </c>
      <c r="V3" s="411" t="s">
        <v>414</v>
      </c>
      <c r="W3" s="410" t="s">
        <v>183</v>
      </c>
      <c r="X3" s="411" t="s">
        <v>222</v>
      </c>
      <c r="Y3" s="411" t="s">
        <v>228</v>
      </c>
      <c r="Z3" s="419" t="s">
        <v>229</v>
      </c>
      <c r="AA3" s="420" t="s">
        <v>231</v>
      </c>
      <c r="AB3"/>
      <c r="AC3"/>
      <c r="AD3"/>
      <c r="AE3"/>
      <c r="AF3"/>
      <c r="AG3"/>
      <c r="AH3"/>
      <c r="AI3"/>
    </row>
    <row r="4" spans="1:35">
      <c r="B4" s="3">
        <v>10005</v>
      </c>
      <c r="C4" s="4" t="s">
        <v>7</v>
      </c>
      <c r="D4" s="407">
        <f>IF(Init!$R$9="Yes",'Staging Table'!E6,'Staging Table'!BG6)*Rates_previous!$E$75*100*12</f>
        <v>190599.67079999999</v>
      </c>
      <c r="E4" s="407">
        <f>IF(Init!$R$9="Yes",'Staging Table'!F6,'Staging Table'!BH6)*Rates_previous!$E$76*100*12</f>
        <v>-28334.644800000002</v>
      </c>
      <c r="F4" s="408">
        <f>IF(Init!$R$9="Yes",SUMPRODUCT('Staging Table'!L6:AI6,LS_Demand_Rates_Restatement!$C$4:$Z$4)-IF(Init!$R$15="No",('Staging Table'!AV6*Rates_previous!$H$35), 0),SUMPRODUCT('Staging Table'!BN6:CK6,LS_Demand_Rates_Restatement!$C$4:$Z$4)-IF(Init!$R$15="No", 'Staging Table'!CX6*Rates_previous!$H$35, 0))</f>
        <v>1250.5774336361526</v>
      </c>
      <c r="G4" s="408">
        <f>IF(Init!$R$9="Yes",SUMPRODUCT('Staging Table'!AJ6:AU6,LS_Demand_Rates_Restatement!$C$10:$N$10),SUMPRODUCT(LS_Demand_Rates_Restatement!$C$10:$N$10,'Staging Table'!CL6:CW6))*1000</f>
        <v>10811.057676486822</v>
      </c>
      <c r="H4" s="409">
        <f>IF(Init!$R$9="Yes",'Staging Table'!BF6,'Staging Table'!DH6)*Rates_previous!$H$33</f>
        <v>67.86189838885366</v>
      </c>
      <c r="I4" s="409">
        <f>IF(Init!$R$9="Yes",IF('Staging Table'!D6=1,'Staging Table'!H6*-1,'Staging Table'!H6*SUM(D4:H4)*(-1)),IF('Staging Table'!D6=1,'Staging Table'!BJ6*-1,'Staging Table'!BJ6*SUM(D4:H4)*(-1)))</f>
        <v>-10463.671380510708</v>
      </c>
      <c r="J4" s="407">
        <f>IF(Init!$R$9="Yes",'Staging Table'!K6,'Staging Table'!BM6)*(-1)*Rates_previous!$H$32</f>
        <v>0</v>
      </c>
      <c r="K4" s="407">
        <f>IF(Init!$R$12="No",0,'Staging Table'!$AW6*-1)</f>
        <v>0</v>
      </c>
      <c r="L4" s="407">
        <f>IF('Staging Table'!C6=1,"",SUM(D4:K4))</f>
        <v>163930.85162800111</v>
      </c>
      <c r="M4" s="407">
        <f>IF('Staging Table'!C6=1,"",IF(Init!$R$9="Yes",(RT1SC!$C$3*'Staging Table'!E6*'Staging Table'!$F$2)+SUM('Staging Table'!L6:AI6)-IF(Init!$R$15="No",'Staging Table'!AV6, 0),X4))</f>
        <v>4733.460011117385</v>
      </c>
      <c r="N4" s="169">
        <f>IF('Staging Table'!C6=1,"",IF(M4=0, 0, L4/M4))</f>
        <v>34.632351650374126</v>
      </c>
      <c r="O4" s="407">
        <f>'Staging Table'!BG6*Rates_current!$E$75*100*12</f>
        <v>194901.68160000001</v>
      </c>
      <c r="P4" s="407">
        <f>'Staging Table'!BH6*Rates_current!$E$76*100*12</f>
        <v>-27414.601200000005</v>
      </c>
      <c r="Q4" s="408">
        <f>SUMPRODUCT('Staging Table'!BN6:CK6, LS_Demand_Rates_Restatement!$C$5:$Z$5)-IF(Init!$R$15="No",('Staging Table'!CX6*Rates_current!$H$35), 0)</f>
        <v>4483.8441654460712</v>
      </c>
      <c r="R4" s="408">
        <f>SUMPRODUCT('Staging Table'!CL6:CW6, LS_Demand_Rates_Restatement!$C$11:$N$11)*1000</f>
        <v>10648.681530511036</v>
      </c>
      <c r="S4" s="409">
        <f>'Staging Table'!DH6*Rates_current!$H$33</f>
        <v>893.51999999999907</v>
      </c>
      <c r="T4" s="409">
        <f>IF('Staging Table'!D6=1, 'Staging Table'!BJ6*-1,SUM(O4:S4)*'Staging Table'!BJ6*-1)</f>
        <v>-8258.0906743180694</v>
      </c>
      <c r="U4" s="407">
        <f>'Staging Table'!BM6*Rates_current!$H$32*-1</f>
        <v>0</v>
      </c>
      <c r="V4" s="407">
        <f>IF(Init!$R$12="No",0,'Staging Table'!$CY6*-1)</f>
        <v>0</v>
      </c>
      <c r="W4" s="407">
        <f>IF('Staging Table'!C6=1,"",SUM(O4:V4))</f>
        <v>175255.03542163901</v>
      </c>
      <c r="X4" s="407">
        <f>IF('Staging Table'!C6=1,"",(RT1SC!$C$4*'Staging Table'!BG6*'Staging Table'!$BH$2)+SUM('Staging Table'!BN6:CK6)-IF(Init!$R$15="No",'Staging Table'!CX6, 0))</f>
        <v>4721.6400000000003</v>
      </c>
      <c r="Y4" s="169">
        <f>IF('Staging Table'!C6=1,"",IF(X4=0, 0, W4/X4))</f>
        <v>37.117407388458034</v>
      </c>
      <c r="Z4" s="160">
        <f>IF('Staging Table'!C6=1,"",Y4/N4-1)</f>
        <v>7.175532759575276E-2</v>
      </c>
      <c r="AA4" s="97">
        <f t="shared" ref="AA4:AA35" si="0">IF(Z4="","",RANK(Z4,$Z$4:$Z$138))</f>
        <v>3</v>
      </c>
      <c r="AD4" s="412"/>
      <c r="AE4" s="412"/>
      <c r="AG4" s="412"/>
      <c r="AH4" s="412"/>
    </row>
    <row r="5" spans="1:35">
      <c r="B5" s="3">
        <v>10015</v>
      </c>
      <c r="C5" s="4" t="s">
        <v>8</v>
      </c>
      <c r="D5" s="407">
        <f>IF(Init!$R$9="Yes",'Staging Table'!E7,'Staging Table'!BG7)*Rates_previous!$E$75*100*12</f>
        <v>201243.54851999998</v>
      </c>
      <c r="E5" s="407">
        <f>IF(Init!$R$9="Yes",'Staging Table'!F7,'Staging Table'!BH7)*Rates_previous!$E$76*100*12</f>
        <v>-29916.969119999998</v>
      </c>
      <c r="F5" s="408">
        <f>IF(Init!$R$9="Yes",SUMPRODUCT('Staging Table'!L7:AI7,LS_Demand_Rates_Restatement!$C$4:$Z$4)-IF(Init!$R$15="No",('Staging Table'!AV7*Rates_previous!$H$35), 0),SUMPRODUCT('Staging Table'!BN7:CK7,LS_Demand_Rates_Restatement!$C$4:$Z$4)-IF(Init!$R$15="No", 'Staging Table'!CX7*Rates_previous!$H$35, 0))</f>
        <v>-3897.6321911928262</v>
      </c>
      <c r="G5" s="408">
        <f>IF(Init!$R$9="Yes",SUMPRODUCT('Staging Table'!AJ7:AU7,LS_Demand_Rates_Restatement!$C$10:$N$10),SUMPRODUCT(LS_Demand_Rates_Restatement!$C$10:$N$10,'Staging Table'!CL7:CW7))*1000</f>
        <v>44373.415375783479</v>
      </c>
      <c r="H5" s="409">
        <f>IF(Init!$R$9="Yes",'Staging Table'!BF7,'Staging Table'!DH7)*Rates_previous!$H$33</f>
        <v>0</v>
      </c>
      <c r="I5" s="409">
        <f>IF(Init!$R$9="Yes",IF('Staging Table'!D7=1,'Staging Table'!H7*-1,'Staging Table'!H7*SUM(D5:H5)*(-1)),IF('Staging Table'!D7=1,'Staging Table'!BJ7*-1,'Staging Table'!BJ7*SUM(D5:H5)*(-1)))</f>
        <v>0</v>
      </c>
      <c r="J5" s="407">
        <f>IF(Init!$R$9="Yes",'Staging Table'!K7,'Staging Table'!BM7)*(-1)*Rates_previous!$H$32</f>
        <v>0</v>
      </c>
      <c r="K5" s="407">
        <f>IF(Init!$R$12="No",0,'Staging Table'!$AW7*-1)</f>
        <v>0</v>
      </c>
      <c r="L5" s="407">
        <f>IF('Staging Table'!C7=1,"",SUM(D5:K5))</f>
        <v>211802.36258459065</v>
      </c>
      <c r="M5" s="407">
        <f>IF('Staging Table'!C7=1,"",IF(Init!$R$9="Yes",(RT1SC!$C$3*'Staging Table'!E7*'Staging Table'!$F$2)+SUM('Staging Table'!L7:AI7)-IF(Init!$R$15="No",'Staging Table'!AV7, 0),X5))</f>
        <v>4989.3119999999999</v>
      </c>
      <c r="N5" s="169">
        <f>IF('Staging Table'!C7=1,"",IF(M5=0, 0, L5/M5))</f>
        <v>42.4512162367458</v>
      </c>
      <c r="O5" s="407">
        <f>'Staging Table'!BG7*Rates_current!$E$75*100*12</f>
        <v>206876.03328000003</v>
      </c>
      <c r="P5" s="407">
        <f>'Staging Table'!BH7*Rates_current!$E$76*100*12</f>
        <v>-29098.896959999998</v>
      </c>
      <c r="Q5" s="408">
        <f>SUMPRODUCT('Staging Table'!BN7:CK7, LS_Demand_Rates_Restatement!$C$5:$Z$5)-IF(Init!$R$15="No",('Staging Table'!CX7*Rates_current!$H$35), 0)</f>
        <v>-8796.3684798663926</v>
      </c>
      <c r="R5" s="408">
        <f>SUMPRODUCT('Staging Table'!CL7:CW7, LS_Demand_Rates_Restatement!$C$11:$N$11)*1000</f>
        <v>41595.271653463329</v>
      </c>
      <c r="S5" s="409">
        <f>'Staging Table'!DH7*Rates_current!$H$33</f>
        <v>0</v>
      </c>
      <c r="T5" s="409">
        <f>IF('Staging Table'!D7=1, 'Staging Table'!BJ7*-1,SUM(O5:S5)*'Staging Table'!BJ7*-1)</f>
        <v>0</v>
      </c>
      <c r="U5" s="407">
        <f>'Staging Table'!BM7*Rates_current!$H$32*-1</f>
        <v>0</v>
      </c>
      <c r="V5" s="407">
        <f>IF(Init!$R$12="No",0,'Staging Table'!$CY7*-1)</f>
        <v>0</v>
      </c>
      <c r="W5" s="407">
        <f>IF('Staging Table'!C7=1,"",SUM(O5:V5))</f>
        <v>210576.039493597</v>
      </c>
      <c r="X5" s="407">
        <f>IF('Staging Table'!C7=1,"",(RT1SC!$C$4*'Staging Table'!BG7*'Staging Table'!$BH$2)+SUM('Staging Table'!BN7:CK7)-IF(Init!$R$15="No",'Staging Table'!CX7, 0))</f>
        <v>4940.6399999999994</v>
      </c>
      <c r="Y5" s="169">
        <f>IF('Staging Table'!C7=1,"",IF(X5=0, 0, W5/X5))</f>
        <v>42.621206866640158</v>
      </c>
      <c r="Z5" s="160">
        <f>IF('Staging Table'!C7=1,"",Y5/N5-1)</f>
        <v>4.0043759629013742E-3</v>
      </c>
      <c r="AA5" s="97">
        <f t="shared" si="0"/>
        <v>117</v>
      </c>
      <c r="AD5" s="412"/>
      <c r="AE5" s="412"/>
      <c r="AF5" s="432"/>
      <c r="AG5" s="412"/>
      <c r="AH5" s="412"/>
    </row>
    <row r="6" spans="1:35">
      <c r="B6" s="3">
        <v>10024</v>
      </c>
      <c r="C6" s="4" t="s">
        <v>9</v>
      </c>
      <c r="D6" s="407">
        <f>IF(Init!$R$9="Yes",'Staging Table'!E8,'Staging Table'!BG8)*Rates_previous!$E$75*100*12</f>
        <v>70759013.890320003</v>
      </c>
      <c r="E6" s="407">
        <f>IF(Init!$R$9="Yes",'Staging Table'!F8,'Staging Table'!BH8)*Rates_previous!$E$76*100*12</f>
        <v>-5478411.5764800012</v>
      </c>
      <c r="F6" s="408">
        <f>IF(Init!$R$9="Yes",SUMPRODUCT('Staging Table'!L8:AI8,LS_Demand_Rates_Restatement!$C$4:$Z$4)-IF(Init!$R$15="No",('Staging Table'!AV8*Rates_previous!$H$35), 0),SUMPRODUCT('Staging Table'!BN8:CK8,LS_Demand_Rates_Restatement!$C$4:$Z$4)-IF(Init!$R$15="No", 'Staging Table'!CX8*Rates_previous!$H$35, 0))</f>
        <v>-273731.63047619944</v>
      </c>
      <c r="G6" s="408">
        <f>IF(Init!$R$9="Yes",SUMPRODUCT('Staging Table'!AJ8:AU8,LS_Demand_Rates_Restatement!$C$10:$N$10),SUMPRODUCT(LS_Demand_Rates_Restatement!$C$10:$N$10,'Staging Table'!CL8:CW8))*1000</f>
        <v>0</v>
      </c>
      <c r="H6" s="409">
        <f>IF(Init!$R$9="Yes",'Staging Table'!BF8,'Staging Table'!DH8)*Rates_previous!$H$33</f>
        <v>0</v>
      </c>
      <c r="I6" s="409">
        <f>IF(Init!$R$9="Yes",IF('Staging Table'!D8=1,'Staging Table'!H8*-1,'Staging Table'!H8*SUM(D6:H6)*(-1)),IF('Staging Table'!D8=1,'Staging Table'!BJ8*-1,'Staging Table'!BJ8*SUM(D6:H6)*(-1)))</f>
        <v>0</v>
      </c>
      <c r="J6" s="407">
        <f>IF(Init!$R$9="Yes",'Staging Table'!K8,'Staging Table'!BM8)*(-1)*Rates_previous!$H$32</f>
        <v>-3675055.3840000001</v>
      </c>
      <c r="K6" s="407">
        <f>IF(Init!$R$12="No",0,'Staging Table'!$AW8*-1)</f>
        <v>0</v>
      </c>
      <c r="L6" s="407">
        <f>IF('Staging Table'!C8=1,"",SUM(D6:K6))</f>
        <v>61331815.299363799</v>
      </c>
      <c r="M6" s="407">
        <f>IF('Staging Table'!C8=1,"",IF(Init!$R$9="Yes",(RT1SC!$C$3*'Staging Table'!E8*'Staging Table'!$F$2)+SUM('Staging Table'!L8:AI8)-IF(Init!$R$15="No",'Staging Table'!AV8, 0),X6))</f>
        <v>1753435.7329815798</v>
      </c>
      <c r="N6" s="169">
        <f>IF('Staging Table'!C8=1,"",IF(M6=0, 0, L6/M6))</f>
        <v>34.978079975063508</v>
      </c>
      <c r="O6" s="407">
        <f>'Staging Table'!BG8*Rates_current!$E$75*100*12</f>
        <v>72654760.978560001</v>
      </c>
      <c r="P6" s="407">
        <f>'Staging Table'!BH8*Rates_current!$E$76*100*12</f>
        <v>-5314813.1887199981</v>
      </c>
      <c r="Q6" s="408">
        <f>SUMPRODUCT('Staging Table'!BN8:CK8, LS_Demand_Rates_Restatement!$C$5:$Z$5)-IF(Init!$R$15="No",('Staging Table'!CX8*Rates_current!$H$35), 0)</f>
        <v>-605673.97535884671</v>
      </c>
      <c r="R6" s="408">
        <f>SUMPRODUCT('Staging Table'!CL8:CW8, LS_Demand_Rates_Restatement!$C$11:$N$11)*1000</f>
        <v>0</v>
      </c>
      <c r="S6" s="409">
        <f>'Staging Table'!DH8*Rates_current!$H$33</f>
        <v>0</v>
      </c>
      <c r="T6" s="409">
        <f>IF('Staging Table'!D8=1, 'Staging Table'!BJ8*-1,SUM(O6:S6)*'Staging Table'!BJ8*-1)</f>
        <v>0</v>
      </c>
      <c r="U6" s="407">
        <f>'Staging Table'!BM8*Rates_current!$H$32*-1</f>
        <v>-3671932.9920000001</v>
      </c>
      <c r="V6" s="407">
        <f>IF(Init!$R$12="No",0,'Staging Table'!$CY8*-1)</f>
        <v>0</v>
      </c>
      <c r="W6" s="407">
        <f>IF('Staging Table'!C8=1,"",SUM(O6:V6))</f>
        <v>63062340.822481155</v>
      </c>
      <c r="X6" s="407">
        <f>IF('Staging Table'!C8=1,"",(RT1SC!$C$4*'Staging Table'!BG8*'Staging Table'!$BH$2)+SUM('Staging Table'!BN8:CK8)-IF(Init!$R$15="No",'Staging Table'!CX8, 0))</f>
        <v>1726146.5738273088</v>
      </c>
      <c r="Y6" s="169">
        <f>IF('Staging Table'!C8=1,"",IF(X6=0, 0, W6/X6))</f>
        <v>36.533595569845382</v>
      </c>
      <c r="Z6" s="160">
        <f>IF('Staging Table'!C8=1,"",Y6/N6-1)</f>
        <v>4.4471154388429301E-2</v>
      </c>
      <c r="AA6" s="97">
        <f t="shared" si="0"/>
        <v>94</v>
      </c>
      <c r="AD6" s="412"/>
      <c r="AE6" s="412"/>
      <c r="AF6" s="432"/>
      <c r="AG6" s="412"/>
      <c r="AH6" s="412"/>
    </row>
    <row r="7" spans="1:35">
      <c r="B7" s="3">
        <v>10025</v>
      </c>
      <c r="C7" s="4" t="s">
        <v>10</v>
      </c>
      <c r="D7" s="407">
        <f>IF(Init!$R$9="Yes",'Staging Table'!E9,'Staging Table'!BG9)*Rates_previous!$E$75*100*12</f>
        <v>23423956.945199996</v>
      </c>
      <c r="E7" s="407">
        <f>IF(Init!$R$9="Yes",'Staging Table'!F9,'Staging Table'!BH9)*Rates_previous!$E$76*100*12</f>
        <v>-3482217.4512</v>
      </c>
      <c r="F7" s="408">
        <f>IF(Init!$R$9="Yes",SUMPRODUCT('Staging Table'!L9:AI9,LS_Demand_Rates_Restatement!$C$4:$Z$4)-IF(Init!$R$15="No",('Staging Table'!AV9*Rates_previous!$H$35), 0),SUMPRODUCT('Staging Table'!BN9:CK9,LS_Demand_Rates_Restatement!$C$4:$Z$4)-IF(Init!$R$15="No", 'Staging Table'!CX9*Rates_previous!$H$35, 0))</f>
        <v>-1007732.2378068962</v>
      </c>
      <c r="G7" s="408">
        <f>IF(Init!$R$9="Yes",SUMPRODUCT('Staging Table'!AJ9:AU9,LS_Demand_Rates_Restatement!$C$10:$N$10),SUMPRODUCT(LS_Demand_Rates_Restatement!$C$10:$N$10,'Staging Table'!CL9:CW9))*1000</f>
        <v>717507.05443244323</v>
      </c>
      <c r="H7" s="409">
        <f>IF(Init!$R$9="Yes",'Staging Table'!BF9,'Staging Table'!DH9)*Rates_previous!$H$33</f>
        <v>-67611.067408393123</v>
      </c>
      <c r="I7" s="409">
        <f>IF(Init!$R$9="Yes",IF('Staging Table'!D9=1,'Staging Table'!H9*-1,'Staging Table'!H9*SUM(D7:H7)*(-1)),IF('Staging Table'!D9=1,'Staging Table'!BJ9*-1,'Staging Table'!BJ9*SUM(D7:H7)*(-1)))</f>
        <v>-1236331.8117442986</v>
      </c>
      <c r="J7" s="407">
        <f>IF(Init!$R$9="Yes",'Staging Table'!K9,'Staging Table'!BM9)*(-1)*Rates_previous!$H$32</f>
        <v>-975743.08689000004</v>
      </c>
      <c r="K7" s="407">
        <f>IF(Init!$R$12="No",0,'Staging Table'!$AW9*-1)</f>
        <v>0</v>
      </c>
      <c r="L7" s="407">
        <f>IF('Staging Table'!C9=1,"",SUM(D7:K7))</f>
        <v>17371828.344582848</v>
      </c>
      <c r="M7" s="407">
        <f>IF('Staging Table'!C9=1,"",IF(Init!$R$9="Yes",(RT1SC!$C$3*'Staging Table'!E9*'Staging Table'!$F$2)+SUM('Staging Table'!L9:AI9)-IF(Init!$R$15="No",'Staging Table'!AV9, 0),X7))</f>
        <v>542537.38736628334</v>
      </c>
      <c r="N7" s="169">
        <f>IF('Staging Table'!C9=1,"",IF(M7=0, 0, L7/M7))</f>
        <v>32.019596711875273</v>
      </c>
      <c r="O7" s="407">
        <f>'Staging Table'!BG9*Rates_current!$E$75*100*12</f>
        <v>21534979.789439999</v>
      </c>
      <c r="P7" s="407">
        <f>'Staging Table'!BH9*Rates_current!$E$76*100*12</f>
        <v>-3029080.4980800003</v>
      </c>
      <c r="Q7" s="408">
        <f>SUMPRODUCT('Staging Table'!BN9:CK9, LS_Demand_Rates_Restatement!$C$5:$Z$5)-IF(Init!$R$15="No",('Staging Table'!CX9*Rates_current!$H$35), 0)</f>
        <v>-248735.15057369834</v>
      </c>
      <c r="R7" s="408">
        <f>SUMPRODUCT('Staging Table'!CL9:CW9, LS_Demand_Rates_Restatement!$C$11:$N$11)*1000</f>
        <v>832948.73732605099</v>
      </c>
      <c r="S7" s="409">
        <f>'Staging Table'!DH9*Rates_current!$H$33</f>
        <v>0</v>
      </c>
      <c r="T7" s="409">
        <f>IF('Staging Table'!D9=1, 'Staging Table'!BJ9*-1,SUM(O7:S7)*'Staging Table'!BJ9*-1)</f>
        <v>-1262655.7471181853</v>
      </c>
      <c r="U7" s="407">
        <f>'Staging Table'!BM9*Rates_current!$H$32*-1</f>
        <v>-974914.07831999997</v>
      </c>
      <c r="V7" s="407">
        <f>IF(Init!$R$12="No",0,'Staging Table'!$CY9*-1)</f>
        <v>0</v>
      </c>
      <c r="W7" s="407">
        <f>IF('Staging Table'!C9=1,"",SUM(O7:V7))</f>
        <v>16852543.052674167</v>
      </c>
      <c r="X7" s="407">
        <f>IF('Staging Table'!C9=1,"",(RT1SC!$C$4*'Staging Table'!BG9*'Staging Table'!$BH$2)+SUM('Staging Table'!BN9:CK9)-IF(Init!$R$15="No",'Staging Table'!CX9, 0))</f>
        <v>506423.80150216422</v>
      </c>
      <c r="Y7" s="169">
        <f>IF('Staging Table'!C9=1,"",IF(X7=0, 0, W7/X7))</f>
        <v>33.277549362186022</v>
      </c>
      <c r="Z7" s="160">
        <f>IF('Staging Table'!C9=1,"",Y7/N7-1)</f>
        <v>3.9286961095428286E-2</v>
      </c>
      <c r="AA7" s="97">
        <f t="shared" si="0"/>
        <v>100</v>
      </c>
      <c r="AD7" s="412"/>
      <c r="AE7" s="412"/>
      <c r="AF7" s="432"/>
      <c r="AG7" s="412"/>
      <c r="AH7" s="412"/>
    </row>
    <row r="8" spans="1:35">
      <c r="B8" s="3">
        <v>10027</v>
      </c>
      <c r="C8" s="4" t="s">
        <v>11</v>
      </c>
      <c r="D8" s="407">
        <f>IF(Init!$R$9="Yes",'Staging Table'!E10,'Staging Table'!BG10)*Rates_previous!$E$75*100*12</f>
        <v>21480087.835079998</v>
      </c>
      <c r="E8" s="407">
        <f>IF(Init!$R$9="Yes",'Staging Table'!F10,'Staging Table'!BH10)*Rates_previous!$E$76*100*12</f>
        <v>-3193240.8724799994</v>
      </c>
      <c r="F8" s="408">
        <f>IF(Init!$R$9="Yes",SUMPRODUCT('Staging Table'!L10:AI10,LS_Demand_Rates_Restatement!$C$4:$Z$4)-IF(Init!$R$15="No",('Staging Table'!AV10*Rates_previous!$H$35), 0),SUMPRODUCT('Staging Table'!BN10:CK10,LS_Demand_Rates_Restatement!$C$4:$Z$4)-IF(Init!$R$15="No", 'Staging Table'!CX10*Rates_previous!$H$35, 0))</f>
        <v>-278545.3997516114</v>
      </c>
      <c r="G8" s="408">
        <f>IF(Init!$R$9="Yes",SUMPRODUCT('Staging Table'!AJ10:AU10,LS_Demand_Rates_Restatement!$C$10:$N$10),SUMPRODUCT(LS_Demand_Rates_Restatement!$C$10:$N$10,'Staging Table'!CL10:CW10))*1000</f>
        <v>946038.85478826577</v>
      </c>
      <c r="H8" s="409">
        <f>IF(Init!$R$9="Yes",'Staging Table'!BF10,'Staging Table'!DH10)*Rates_previous!$H$33</f>
        <v>0</v>
      </c>
      <c r="I8" s="409">
        <f>IF(Init!$R$9="Yes",IF('Staging Table'!D10=1,'Staging Table'!H10*-1,'Staging Table'!H10*SUM(D8:H8)*(-1)),IF('Staging Table'!D10=1,'Staging Table'!BJ10*-1,'Staging Table'!BJ10*SUM(D8:H8)*(-1)))</f>
        <v>-1329078.3500846822</v>
      </c>
      <c r="J8" s="407">
        <f>IF(Init!$R$9="Yes",'Staging Table'!K10,'Staging Table'!BM10)*(-1)*Rates_previous!$H$32</f>
        <v>-2467810.4857999999</v>
      </c>
      <c r="K8" s="407">
        <f>IF(Init!$R$12="No",0,'Staging Table'!$AW10*-1)</f>
        <v>0</v>
      </c>
      <c r="L8" s="407">
        <f>IF('Staging Table'!C10=1,"",SUM(D8:K8))</f>
        <v>15157451.581751974</v>
      </c>
      <c r="M8" s="407">
        <f>IF('Staging Table'!C10=1,"",IF(Init!$R$9="Yes",(RT1SC!$C$3*'Staging Table'!E10*'Staging Table'!$F$2)+SUM('Staging Table'!L10:AI10)-IF(Init!$R$15="No",'Staging Table'!AV10, 0),X8))</f>
        <v>532284.04800000007</v>
      </c>
      <c r="N8" s="169">
        <f>IF('Staging Table'!C10=1,"",IF(M8=0, 0, L8/M8))</f>
        <v>28.476246167256871</v>
      </c>
      <c r="O8" s="407">
        <f>'Staging Table'!BG10*Rates_current!$E$75*100*12</f>
        <v>22088857.248</v>
      </c>
      <c r="P8" s="407">
        <f>'Staging Table'!BH10*Rates_current!$E$76*100*12</f>
        <v>-3106988.1359999999</v>
      </c>
      <c r="Q8" s="408">
        <f>SUMPRODUCT('Staging Table'!BN10:CK10, LS_Demand_Rates_Restatement!$C$5:$Z$5)-IF(Init!$R$15="No",('Staging Table'!CX10*Rates_current!$H$35), 0)</f>
        <v>-630263.8006527801</v>
      </c>
      <c r="R8" s="408">
        <f>SUMPRODUCT('Staging Table'!CL10:CW10, LS_Demand_Rates_Restatement!$C$11:$N$11)*1000</f>
        <v>855574.82225295587</v>
      </c>
      <c r="S8" s="409">
        <f>'Staging Table'!DH10*Rates_current!$H$33</f>
        <v>0</v>
      </c>
      <c r="T8" s="409">
        <f>IF('Staging Table'!D10=1, 'Staging Table'!BJ10*-1,SUM(O8:S8)*'Staging Table'!BJ10*-1)</f>
        <v>-1423303.3419037173</v>
      </c>
      <c r="U8" s="407">
        <f>'Staging Table'!BM10*Rates_current!$H$32*-1</f>
        <v>-2465713.7903999998</v>
      </c>
      <c r="V8" s="407">
        <f>IF(Init!$R$12="No",0,'Staging Table'!$CY10*-1)</f>
        <v>0</v>
      </c>
      <c r="W8" s="407">
        <f>IF('Staging Table'!C10=1,"",SUM(O8:V8))</f>
        <v>15318163.001296459</v>
      </c>
      <c r="X8" s="407">
        <f>IF('Staging Table'!C10=1,"",(RT1SC!$C$4*'Staging Table'!BG10*'Staging Table'!$BH$2)+SUM('Staging Table'!BN10:CK10)-IF(Init!$R$15="No",'Staging Table'!CX10, 0))</f>
        <v>527457.12</v>
      </c>
      <c r="Y8" s="169">
        <f>IF('Staging Table'!C10=1,"",IF(X8=0, 0, W8/X8))</f>
        <v>29.041532326450458</v>
      </c>
      <c r="Z8" s="160">
        <f>IF('Staging Table'!C10=1,"",Y8/N8-1)</f>
        <v>1.9851147369402078E-2</v>
      </c>
      <c r="AA8" s="97">
        <f t="shared" si="0"/>
        <v>112</v>
      </c>
      <c r="AD8" s="412"/>
      <c r="AE8" s="412"/>
      <c r="AF8" s="432"/>
      <c r="AG8" s="412"/>
      <c r="AH8" s="412"/>
    </row>
    <row r="9" spans="1:35">
      <c r="B9" s="3">
        <v>10029</v>
      </c>
      <c r="C9" s="4" t="s">
        <v>12</v>
      </c>
      <c r="D9" s="407">
        <f>IF(Init!$R$9="Yes",'Staging Table'!E11,'Staging Table'!BG11)*Rates_previous!$E$75*100*12</f>
        <v>6183350.3591999998</v>
      </c>
      <c r="E9" s="407">
        <f>IF(Init!$R$9="Yes",'Staging Table'!F11,'Staging Table'!BH11)*Rates_previous!$E$76*100*12</f>
        <v>-919220.03519999993</v>
      </c>
      <c r="F9" s="408">
        <f>IF(Init!$R$9="Yes",SUMPRODUCT('Staging Table'!L11:AI11,LS_Demand_Rates_Restatement!$C$4:$Z$4)-IF(Init!$R$15="No",('Staging Table'!AV11*Rates_previous!$H$35), 0),SUMPRODUCT('Staging Table'!BN11:CK11,LS_Demand_Rates_Restatement!$C$4:$Z$4)-IF(Init!$R$15="No", 'Staging Table'!CX11*Rates_previous!$H$35, 0))</f>
        <v>0</v>
      </c>
      <c r="G9" s="408">
        <f>IF(Init!$R$9="Yes",SUMPRODUCT('Staging Table'!AJ11:AU11,LS_Demand_Rates_Restatement!$C$10:$N$10),SUMPRODUCT(LS_Demand_Rates_Restatement!$C$10:$N$10,'Staging Table'!CL11:CW11))*1000</f>
        <v>0</v>
      </c>
      <c r="H9" s="409">
        <f>IF(Init!$R$9="Yes",'Staging Table'!BF11,'Staging Table'!DH11)*Rates_previous!$H$33</f>
        <v>0</v>
      </c>
      <c r="I9" s="409">
        <f>IF(Init!$R$9="Yes",IF('Staging Table'!D11=1,'Staging Table'!H11*-1,'Staging Table'!H11*SUM(D9:H9)*(-1)),IF('Staging Table'!D11=1,'Staging Table'!BJ11*-1,'Staging Table'!BJ11*SUM(D9:H9)*(-1)))</f>
        <v>-326428.72139124002</v>
      </c>
      <c r="J9" s="407">
        <f>IF(Init!$R$9="Yes",'Staging Table'!K11,'Staging Table'!BM11)*(-1)*Rates_previous!$H$32</f>
        <v>0</v>
      </c>
      <c r="K9" s="407">
        <f>IF(Init!$R$12="No",0,'Staging Table'!$AW11*-1)</f>
        <v>0</v>
      </c>
      <c r="L9" s="407" t="str">
        <f>IF('Staging Table'!C11=1,"",SUM(D9:K9))</f>
        <v/>
      </c>
      <c r="M9" s="407" t="str">
        <f>IF('Staging Table'!C11=1,"",IF(Init!$R$9="Yes",(RT1SC!$C$3*'Staging Table'!E11*'Staging Table'!$F$2)+SUM('Staging Table'!L11:AI11)-IF(Init!$R$15="No",'Staging Table'!AV11, 0),X9))</f>
        <v/>
      </c>
      <c r="N9" s="169" t="str">
        <f>IF('Staging Table'!C11=1,"",IF(M9=0, 0, L9/M9))</f>
        <v/>
      </c>
      <c r="O9" s="407">
        <f>'Staging Table'!BG11*Rates_current!$E$75*100*12</f>
        <v>6358635.5155199999</v>
      </c>
      <c r="P9" s="407">
        <f>'Staging Table'!BH11*Rates_current!$E$76*100*12</f>
        <v>-894396.88463999983</v>
      </c>
      <c r="Q9" s="408">
        <f>SUMPRODUCT('Staging Table'!BN11:CK11, LS_Demand_Rates_Restatement!$C$5:$Z$5)-IF(Init!$R$15="No",('Staging Table'!CX11*Rates_current!$H$35), 0)</f>
        <v>0</v>
      </c>
      <c r="R9" s="408">
        <f>SUMPRODUCT('Staging Table'!CL11:CW11, LS_Demand_Rates_Restatement!$C$11:$N$11)*1000</f>
        <v>0</v>
      </c>
      <c r="S9" s="409">
        <f>'Staging Table'!DH11*Rates_current!$H$33</f>
        <v>0</v>
      </c>
      <c r="T9" s="409">
        <f>IF('Staging Table'!D11=1, 'Staging Table'!BJ11*-1,SUM(O9:S9)*'Staging Table'!BJ11*-1)</f>
        <v>-347191.78958984371</v>
      </c>
      <c r="U9" s="407">
        <f>'Staging Table'!BM11*Rates_current!$H$32*-1</f>
        <v>0</v>
      </c>
      <c r="V9" s="407">
        <f>IF(Init!$R$12="No",0,'Staging Table'!$CY11*-1)</f>
        <v>0</v>
      </c>
      <c r="W9" s="407" t="str">
        <f>IF('Staging Table'!C11=1,"",SUM(O9:V9))</f>
        <v/>
      </c>
      <c r="X9" s="407" t="str">
        <f>IF('Staging Table'!C11=1,"",(RT1SC!$C$4*'Staging Table'!BG11*'Staging Table'!$BH$2)+SUM('Staging Table'!BN11:CK11)-IF(Init!$R$15="No",'Staging Table'!CX11, 0))</f>
        <v/>
      </c>
      <c r="Y9" s="169" t="str">
        <f>IF('Staging Table'!C11=1,"",IF(X9=0, 0, W9/X9))</f>
        <v/>
      </c>
      <c r="Z9" s="160" t="str">
        <f>IF('Staging Table'!C11=1,"",Y9/N9-1)</f>
        <v/>
      </c>
      <c r="AA9" s="97" t="str">
        <f t="shared" si="0"/>
        <v/>
      </c>
      <c r="AD9" s="412"/>
      <c r="AE9" s="412"/>
      <c r="AF9" s="432"/>
      <c r="AG9" s="412"/>
      <c r="AH9" s="412"/>
    </row>
    <row r="10" spans="1:35">
      <c r="B10" s="3">
        <v>10044</v>
      </c>
      <c r="C10" s="4" t="s">
        <v>13</v>
      </c>
      <c r="D10" s="407">
        <f>IF(Init!$R$9="Yes",'Staging Table'!E12,'Staging Table'!BG12)*Rates_previous!$E$75*100*12</f>
        <v>7128922.7520000003</v>
      </c>
      <c r="E10" s="407">
        <f>IF(Init!$R$9="Yes",'Staging Table'!F12,'Staging Table'!BH12)*Rates_previous!$E$76*100*12</f>
        <v>-1059789.3120000002</v>
      </c>
      <c r="F10" s="408">
        <f>IF(Init!$R$9="Yes",SUMPRODUCT('Staging Table'!L12:AI12,LS_Demand_Rates_Restatement!$C$4:$Z$4)-IF(Init!$R$15="No",('Staging Table'!AV12*Rates_previous!$H$35), 0),SUMPRODUCT('Staging Table'!BN12:CK12,LS_Demand_Rates_Restatement!$C$4:$Z$4)-IF(Init!$R$15="No", 'Staging Table'!CX12*Rates_previous!$H$35, 0))</f>
        <v>-223811.15023815469</v>
      </c>
      <c r="G10" s="408">
        <f>IF(Init!$R$9="Yes",SUMPRODUCT('Staging Table'!AJ12:AU12,LS_Demand_Rates_Restatement!$C$10:$N$10),SUMPRODUCT(LS_Demand_Rates_Restatement!$C$10:$N$10,'Staging Table'!CL12:CW12))*1000</f>
        <v>276884.06033333333</v>
      </c>
      <c r="H10" s="409">
        <f>IF(Init!$R$9="Yes",'Staging Table'!BF12,'Staging Table'!DH12)*Rates_previous!$H$33</f>
        <v>0</v>
      </c>
      <c r="I10" s="409">
        <f>IF(Init!$R$9="Yes",IF('Staging Table'!D12=1,'Staging Table'!H12*-1,'Staging Table'!H12*SUM(D10:H10)*(-1)),IF('Staging Table'!D12=1,'Staging Table'!BJ12*-1,'Staging Table'!BJ12*SUM(D10:H10)*(-1)))</f>
        <v>0</v>
      </c>
      <c r="J10" s="407">
        <f>IF(Init!$R$9="Yes",'Staging Table'!K12,'Staging Table'!BM12)*(-1)*Rates_previous!$H$32</f>
        <v>0</v>
      </c>
      <c r="K10" s="407">
        <f>IF(Init!$R$12="No",0,'Staging Table'!$AW12*-1)</f>
        <v>0</v>
      </c>
      <c r="L10" s="407">
        <f>IF('Staging Table'!C12=1,"",SUM(D10:K10))</f>
        <v>6122206.3500951789</v>
      </c>
      <c r="M10" s="407">
        <f>IF('Staging Table'!C12=1,"",IF(Init!$R$9="Yes",(RT1SC!$C$3*'Staging Table'!E12*'Staging Table'!$F$2)+SUM('Staging Table'!L12:AI12)-IF(Init!$R$15="No",'Staging Table'!AV12, 0),X10))</f>
        <v>165323.53741581904</v>
      </c>
      <c r="N10" s="169">
        <f>IF('Staging Table'!C12=1,"",IF(M10=0, 0, L10/M10))</f>
        <v>37.03166799955838</v>
      </c>
      <c r="O10" s="407">
        <f>'Staging Table'!BG12*Rates_current!$E$75*100*12</f>
        <v>7330850.9625599999</v>
      </c>
      <c r="P10" s="407">
        <f>'Staging Table'!BH12*Rates_current!$E$76*100*12</f>
        <v>-1031147.36592</v>
      </c>
      <c r="Q10" s="408">
        <f>SUMPRODUCT('Staging Table'!BN12:CK12, LS_Demand_Rates_Restatement!$C$5:$Z$5)-IF(Init!$R$15="No",('Staging Table'!CX12*Rates_current!$H$35), 0)</f>
        <v>100257.09772296103</v>
      </c>
      <c r="R10" s="408">
        <f>SUMPRODUCT('Staging Table'!CL12:CW12, LS_Demand_Rates_Restatement!$C$11:$N$11)*1000</f>
        <v>253628.26207773326</v>
      </c>
      <c r="S10" s="409">
        <f>'Staging Table'!DH12*Rates_current!$H$33</f>
        <v>0</v>
      </c>
      <c r="T10" s="409">
        <f>IF('Staging Table'!D12=1, 'Staging Table'!BJ12*-1,SUM(O10:S10)*'Staging Table'!BJ12*-1)</f>
        <v>0</v>
      </c>
      <c r="U10" s="407">
        <f>'Staging Table'!BM12*Rates_current!$H$32*-1</f>
        <v>0</v>
      </c>
      <c r="V10" s="407">
        <f>IF(Init!$R$12="No",0,'Staging Table'!$CY12*-1)</f>
        <v>0</v>
      </c>
      <c r="W10" s="407">
        <f>IF('Staging Table'!C12=1,"",SUM(O10:V10))</f>
        <v>6653588.9564406937</v>
      </c>
      <c r="X10" s="407">
        <f>IF('Staging Table'!C12=1,"",(RT1SC!$C$4*'Staging Table'!BG12*'Staging Table'!$BH$2)+SUM('Staging Table'!BN12:CK12)-IF(Init!$R$15="No",'Staging Table'!CX12, 0))</f>
        <v>175051.08000000002</v>
      </c>
      <c r="Y10" s="169">
        <f>IF('Staging Table'!C12=1,"",IF(X10=0, 0, W10/X10))</f>
        <v>38.009413917587331</v>
      </c>
      <c r="Z10" s="160">
        <f>IF('Staging Table'!C12=1,"",Y10/N10-1)</f>
        <v>2.6402967266843325E-2</v>
      </c>
      <c r="AA10" s="97">
        <f t="shared" si="0"/>
        <v>109</v>
      </c>
      <c r="AD10" s="412"/>
      <c r="AE10" s="412"/>
      <c r="AF10" s="432"/>
      <c r="AG10" s="412"/>
      <c r="AH10" s="412"/>
    </row>
    <row r="11" spans="1:35">
      <c r="B11" s="3">
        <v>10046</v>
      </c>
      <c r="C11" s="4" t="s">
        <v>14</v>
      </c>
      <c r="D11" s="407">
        <f>IF(Init!$R$9="Yes",'Staging Table'!E13,'Staging Table'!BG13)*Rates_previous!$E$75*100*12</f>
        <v>28730796.350759998</v>
      </c>
      <c r="E11" s="407">
        <f>IF(Init!$R$9="Yes",'Staging Table'!F13,'Staging Table'!BH13)*Rates_previous!$E$76*100*12</f>
        <v>-4271134.9185600001</v>
      </c>
      <c r="F11" s="408">
        <f>IF(Init!$R$9="Yes",SUMPRODUCT('Staging Table'!L13:AI13,LS_Demand_Rates_Restatement!$C$4:$Z$4)-IF(Init!$R$15="No",('Staging Table'!AV13*Rates_previous!$H$35), 0),SUMPRODUCT('Staging Table'!BN13:CK13,LS_Demand_Rates_Restatement!$C$4:$Z$4)-IF(Init!$R$15="No", 'Staging Table'!CX13*Rates_previous!$H$35, 0))</f>
        <v>0</v>
      </c>
      <c r="G11" s="408">
        <f>IF(Init!$R$9="Yes",SUMPRODUCT('Staging Table'!AJ13:AU13,LS_Demand_Rates_Restatement!$C$10:$N$10),SUMPRODUCT(LS_Demand_Rates_Restatement!$C$10:$N$10,'Staging Table'!CL13:CW13))*1000</f>
        <v>0</v>
      </c>
      <c r="H11" s="409">
        <f>IF(Init!$R$9="Yes",'Staging Table'!BF13,'Staging Table'!DH13)*Rates_previous!$H$33</f>
        <v>0</v>
      </c>
      <c r="I11" s="409">
        <f>IF(Init!$R$9="Yes",IF('Staging Table'!D13=1,'Staging Table'!H13*-1,'Staging Table'!H13*SUM(D11:H11)*(-1)),IF('Staging Table'!D13=1,'Staging Table'!BJ13*-1,'Staging Table'!BJ13*SUM(D11:H11)*(-1)))</f>
        <v>-1738592.7346007761</v>
      </c>
      <c r="J11" s="407">
        <f>IF(Init!$R$9="Yes",'Staging Table'!K13,'Staging Table'!BM13)*(-1)*Rates_previous!$H$32</f>
        <v>-483575.82889</v>
      </c>
      <c r="K11" s="407">
        <f>IF(Init!$R$12="No",0,'Staging Table'!$AW13*-1)</f>
        <v>0</v>
      </c>
      <c r="L11" s="407" t="str">
        <f>IF('Staging Table'!C13=1,"",SUM(D11:K11))</f>
        <v/>
      </c>
      <c r="M11" s="407" t="str">
        <f>IF('Staging Table'!C13=1,"",IF(Init!$R$9="Yes",(RT1SC!$C$3*'Staging Table'!E13*'Staging Table'!$F$2)+SUM('Staging Table'!L13:AI13)-IF(Init!$R$15="No",'Staging Table'!AV13, 0),X11))</f>
        <v/>
      </c>
      <c r="N11" s="169" t="str">
        <f>IF('Staging Table'!C13=1,"",IF(M11=0, 0, L11/M11))</f>
        <v/>
      </c>
      <c r="O11" s="407">
        <f>'Staging Table'!BG13*Rates_current!$E$75*100*12</f>
        <v>29545311.516479999</v>
      </c>
      <c r="P11" s="407">
        <f>'Staging Table'!BH13*Rates_current!$E$76*100*12</f>
        <v>-4155802.6893600002</v>
      </c>
      <c r="Q11" s="408">
        <f>SUMPRODUCT('Staging Table'!BN13:CK13, LS_Demand_Rates_Restatement!$C$5:$Z$5)-IF(Init!$R$15="No",('Staging Table'!CX13*Rates_current!$H$35), 0)</f>
        <v>0</v>
      </c>
      <c r="R11" s="408">
        <f>SUMPRODUCT('Staging Table'!CL13:CW13, LS_Demand_Rates_Restatement!$C$11:$N$11)*1000</f>
        <v>0</v>
      </c>
      <c r="S11" s="409">
        <f>'Staging Table'!DH13*Rates_current!$H$33</f>
        <v>0</v>
      </c>
      <c r="T11" s="409">
        <f>IF('Staging Table'!D13=1, 'Staging Table'!BJ13*-1,SUM(O11:S11)*'Staging Table'!BJ13*-1)</f>
        <v>-1822945.7379556368</v>
      </c>
      <c r="U11" s="407">
        <f>'Staging Table'!BM13*Rates_current!$H$32*-1</f>
        <v>-483164.97432000004</v>
      </c>
      <c r="V11" s="407">
        <f>IF(Init!$R$12="No",0,'Staging Table'!$CY13*-1)</f>
        <v>0</v>
      </c>
      <c r="W11" s="407" t="str">
        <f>IF('Staging Table'!C13=1,"",SUM(O11:V11))</f>
        <v/>
      </c>
      <c r="X11" s="407" t="str">
        <f>IF('Staging Table'!C13=1,"",(RT1SC!$C$4*'Staging Table'!BG13*'Staging Table'!$BH$2)+SUM('Staging Table'!BN13:CK13)-IF(Init!$R$15="No",'Staging Table'!CX13, 0))</f>
        <v/>
      </c>
      <c r="Y11" s="169" t="str">
        <f>IF('Staging Table'!C13=1,"",IF(X11=0, 0, W11/X11))</f>
        <v/>
      </c>
      <c r="Z11" s="160" t="str">
        <f>IF('Staging Table'!C13=1,"",Y11/N11-1)</f>
        <v/>
      </c>
      <c r="AA11" s="97" t="str">
        <f t="shared" si="0"/>
        <v/>
      </c>
      <c r="AD11" s="412"/>
      <c r="AE11" s="412"/>
      <c r="AF11" s="432"/>
      <c r="AG11" s="412"/>
      <c r="AH11" s="412"/>
    </row>
    <row r="12" spans="1:35">
      <c r="B12" s="3">
        <v>10047</v>
      </c>
      <c r="C12" s="4" t="s">
        <v>15</v>
      </c>
      <c r="D12" s="407">
        <f>IF(Init!$R$9="Yes",'Staging Table'!E14,'Staging Table'!BG14)*Rates_previous!$E$75*100*12</f>
        <v>54271399.769999996</v>
      </c>
      <c r="E12" s="407">
        <f>IF(Init!$R$9="Yes",'Staging Table'!F14,'Staging Table'!BH14)*Rates_previous!$E$76*100*12</f>
        <v>-8068014.1200000001</v>
      </c>
      <c r="F12" s="408">
        <f>IF(Init!$R$9="Yes",SUMPRODUCT('Staging Table'!L14:AI14,LS_Demand_Rates_Restatement!$C$4:$Z$4)-IF(Init!$R$15="No",('Staging Table'!AV14*Rates_previous!$H$35), 0),SUMPRODUCT('Staging Table'!BN14:CK14,LS_Demand_Rates_Restatement!$C$4:$Z$4)-IF(Init!$R$15="No", 'Staging Table'!CX14*Rates_previous!$H$35, 0))</f>
        <v>103253.447050944</v>
      </c>
      <c r="G12" s="408">
        <f>IF(Init!$R$9="Yes",SUMPRODUCT('Staging Table'!AJ14:AU14,LS_Demand_Rates_Restatement!$C$10:$N$10),SUMPRODUCT(LS_Demand_Rates_Restatement!$C$10:$N$10,'Staging Table'!CL14:CW14))*1000</f>
        <v>1787498.3079689103</v>
      </c>
      <c r="H12" s="409">
        <f>IF(Init!$R$9="Yes",'Staging Table'!BF14,'Staging Table'!DH14)*Rates_previous!$H$33</f>
        <v>-8542.8592847352029</v>
      </c>
      <c r="I12" s="409">
        <f>IF(Init!$R$9="Yes",IF('Staging Table'!D14=1,'Staging Table'!H14*-1,'Staging Table'!H14*SUM(D12:H12)*(-1)),IF('Staging Table'!D14=1,'Staging Table'!BJ14*-1,'Staging Table'!BJ14*SUM(D12:H12)*(-1)))</f>
        <v>0</v>
      </c>
      <c r="J12" s="407">
        <f>IF(Init!$R$9="Yes",'Staging Table'!K14,'Staging Table'!BM14)*(-1)*Rates_previous!$H$32</f>
        <v>0</v>
      </c>
      <c r="K12" s="407">
        <f>IF(Init!$R$12="No",0,'Staging Table'!$AW14*-1)</f>
        <v>0</v>
      </c>
      <c r="L12" s="407">
        <f>IF('Staging Table'!C14=1,"",SUM(D12:K12))</f>
        <v>48085594.545735113</v>
      </c>
      <c r="M12" s="407">
        <f>IF('Staging Table'!C14=1,"",IF(Init!$R$9="Yes",(RT1SC!$C$3*'Staging Table'!E14*'Staging Table'!$F$2)+SUM('Staging Table'!L14:AI14)-IF(Init!$R$15="No",'Staging Table'!AV14, 0),X12))</f>
        <v>1343900.2411655667</v>
      </c>
      <c r="N12" s="169">
        <f>IF('Staging Table'!C14=1,"",IF(M12=0, 0, L12/M12))</f>
        <v>35.780627960919482</v>
      </c>
      <c r="O12" s="407">
        <f>'Staging Table'!BG14*Rates_current!$E$75*100*12</f>
        <v>56078436.651839986</v>
      </c>
      <c r="P12" s="407">
        <f>'Staging Table'!BH14*Rates_current!$E$76*100*12</f>
        <v>-7887915.4048800003</v>
      </c>
      <c r="Q12" s="408">
        <f>SUMPRODUCT('Staging Table'!BN14:CK14, LS_Demand_Rates_Restatement!$C$5:$Z$5)-IF(Init!$R$15="No",('Staging Table'!CX14*Rates_current!$H$35), 0)</f>
        <v>514338.88341563038</v>
      </c>
      <c r="R12" s="408">
        <f>SUMPRODUCT('Staging Table'!CL14:CW14, LS_Demand_Rates_Restatement!$C$11:$N$11)*1000</f>
        <v>1701446.8931888714</v>
      </c>
      <c r="S12" s="409">
        <f>'Staging Table'!DH14*Rates_current!$H$33</f>
        <v>61348.123585347435</v>
      </c>
      <c r="T12" s="409">
        <f>IF('Staging Table'!D14=1, 'Staging Table'!BJ14*-1,SUM(O12:S12)*'Staging Table'!BJ14*-1)</f>
        <v>0</v>
      </c>
      <c r="U12" s="407">
        <f>'Staging Table'!BM14*Rates_current!$H$32*-1</f>
        <v>0</v>
      </c>
      <c r="V12" s="407">
        <f>IF(Init!$R$12="No",0,'Staging Table'!$CY14*-1)</f>
        <v>0</v>
      </c>
      <c r="W12" s="407">
        <f>IF('Staging Table'!C14=1,"",SUM(O12:V12))</f>
        <v>50467655.147149839</v>
      </c>
      <c r="X12" s="407">
        <f>IF('Staging Table'!C14=1,"",(RT1SC!$C$4*'Staging Table'!BG14*'Staging Table'!$BH$2)+SUM('Staging Table'!BN14:CK14)-IF(Init!$R$15="No",'Staging Table'!CX14, 0))</f>
        <v>1343900.2575361058</v>
      </c>
      <c r="Y12" s="169">
        <f>IF('Staging Table'!C14=1,"",IF(X12=0, 0, W12/X12))</f>
        <v>37.553125586624091</v>
      </c>
      <c r="Z12" s="160">
        <f>IF('Staging Table'!C14=1,"",Y12/N12-1)</f>
        <v>4.9537912739837209E-2</v>
      </c>
      <c r="AA12" s="97">
        <f t="shared" si="0"/>
        <v>50</v>
      </c>
      <c r="AD12" s="412"/>
      <c r="AE12" s="412"/>
      <c r="AF12" s="432"/>
      <c r="AG12" s="412"/>
      <c r="AH12" s="412"/>
    </row>
    <row r="13" spans="1:35">
      <c r="B13" s="3">
        <v>10055</v>
      </c>
      <c r="C13" s="4" t="s">
        <v>16</v>
      </c>
      <c r="D13" s="407">
        <f>IF(Init!$R$9="Yes",'Staging Table'!E15,'Staging Table'!BG15)*Rates_previous!$E$75*100*12</f>
        <v>139608.07056000002</v>
      </c>
      <c r="E13" s="407">
        <f>IF(Init!$R$9="Yes",'Staging Table'!F15,'Staging Table'!BH15)*Rates_previous!$E$76*100*12</f>
        <v>-20754.20736</v>
      </c>
      <c r="F13" s="408">
        <f>IF(Init!$R$9="Yes",SUMPRODUCT('Staging Table'!L15:AI15,LS_Demand_Rates_Restatement!$C$4:$Z$4)-IF(Init!$R$15="No",('Staging Table'!AV15*Rates_previous!$H$35), 0),SUMPRODUCT('Staging Table'!BN15:CK15,LS_Demand_Rates_Restatement!$C$4:$Z$4)-IF(Init!$R$15="No", 'Staging Table'!CX15*Rates_previous!$H$35, 0))</f>
        <v>-4126.5770832846902</v>
      </c>
      <c r="G13" s="408">
        <f>IF(Init!$R$9="Yes",SUMPRODUCT('Staging Table'!AJ15:AU15,LS_Demand_Rates_Restatement!$C$10:$N$10),SUMPRODUCT(LS_Demand_Rates_Restatement!$C$10:$N$10,'Staging Table'!CL15:CW15))*1000</f>
        <v>13552.647198210467</v>
      </c>
      <c r="H13" s="409">
        <f>IF(Init!$R$9="Yes",'Staging Table'!BF15,'Staging Table'!DH15)*Rates_previous!$H$33</f>
        <v>-1789.938977933358</v>
      </c>
      <c r="I13" s="409">
        <f>IF(Init!$R$9="Yes",IF('Staging Table'!D15=1,'Staging Table'!H15*-1,'Staging Table'!H15*SUM(D13:H13)*(-1)),IF('Staging Table'!D15=1,'Staging Table'!BJ15*-1,'Staging Table'!BJ15*SUM(D13:H13)*(-1)))</f>
        <v>0</v>
      </c>
      <c r="J13" s="407">
        <f>IF(Init!$R$9="Yes",'Staging Table'!K15,'Staging Table'!BM15)*(-1)*Rates_previous!$H$32</f>
        <v>0</v>
      </c>
      <c r="K13" s="407">
        <f>IF(Init!$R$12="No",0,'Staging Table'!$AW15*-1)</f>
        <v>0</v>
      </c>
      <c r="L13" s="407">
        <f>IF('Staging Table'!C15=1,"",SUM(D13:K13))</f>
        <v>126489.99433699244</v>
      </c>
      <c r="M13" s="407">
        <f>IF('Staging Table'!C15=1,"",IF(Init!$R$9="Yes",(RT1SC!$C$3*'Staging Table'!E15*'Staging Table'!$F$2)+SUM('Staging Table'!L15:AI15)-IF(Init!$R$15="No",'Staging Table'!AV15, 0),X13))</f>
        <v>3258.6430081431236</v>
      </c>
      <c r="N13" s="169">
        <f>IF('Staging Table'!C15=1,"",IF(M13=0, 0, L13/M13))</f>
        <v>38.816769440807938</v>
      </c>
      <c r="O13" s="407">
        <f>'Staging Table'!BG15*Rates_current!$E$75*100*12</f>
        <v>143437.44672000001</v>
      </c>
      <c r="P13" s="407">
        <f>'Staging Table'!BH15*Rates_current!$E$76*100*12</f>
        <v>-20175.713039999999</v>
      </c>
      <c r="Q13" s="408">
        <f>SUMPRODUCT('Staging Table'!BN15:CK15, LS_Demand_Rates_Restatement!$C$5:$Z$5)-IF(Init!$R$15="No",('Staging Table'!CX15*Rates_current!$H$35), 0)</f>
        <v>-1154.5851408702922</v>
      </c>
      <c r="R13" s="408">
        <f>SUMPRODUCT('Staging Table'!CL15:CW15, LS_Demand_Rates_Restatement!$C$11:$N$11)*1000</f>
        <v>13953.626133404556</v>
      </c>
      <c r="S13" s="409">
        <f>'Staging Table'!DH15*Rates_current!$H$33</f>
        <v>-2123.0911128894036</v>
      </c>
      <c r="T13" s="409">
        <f>IF('Staging Table'!D15=1, 'Staging Table'!BJ15*-1,SUM(O13:S13)*'Staging Table'!BJ15*-1)</f>
        <v>0</v>
      </c>
      <c r="U13" s="407">
        <f>'Staging Table'!BM15*Rates_current!$H$32*-1</f>
        <v>0</v>
      </c>
      <c r="V13" s="407">
        <f>IF(Init!$R$12="No",0,'Staging Table'!$CY15*-1)</f>
        <v>0</v>
      </c>
      <c r="W13" s="407">
        <f>IF('Staging Table'!C15=1,"",SUM(O13:V13))</f>
        <v>133937.68355964485</v>
      </c>
      <c r="X13" s="407">
        <f>IF('Staging Table'!C15=1,"",(RT1SC!$C$4*'Staging Table'!BG15*'Staging Table'!$BH$2)+SUM('Staging Table'!BN15:CK15)-IF(Init!$R$15="No",'Staging Table'!CX15, 0))</f>
        <v>3258.6430499694588</v>
      </c>
      <c r="Y13" s="169">
        <f>IF('Staging Table'!C15=1,"",IF(X13=0, 0, W13/X13))</f>
        <v>41.102287518389033</v>
      </c>
      <c r="Z13" s="160">
        <f>IF('Staging Table'!C15=1,"",Y13/N13-1)</f>
        <v>5.8879657181834855E-2</v>
      </c>
      <c r="AA13" s="97">
        <f t="shared" si="0"/>
        <v>16</v>
      </c>
      <c r="AD13" s="412"/>
      <c r="AE13" s="412"/>
      <c r="AF13" s="432"/>
      <c r="AG13" s="412"/>
      <c r="AH13" s="412"/>
    </row>
    <row r="14" spans="1:35">
      <c r="B14" s="3">
        <v>10057</v>
      </c>
      <c r="C14" s="4" t="s">
        <v>17</v>
      </c>
      <c r="D14" s="407">
        <f>IF(Init!$R$9="Yes",'Staging Table'!E16,'Staging Table'!BG16)*Rates_previous!$E$75*100*12</f>
        <v>7395267.2270399993</v>
      </c>
      <c r="E14" s="407">
        <f>IF(Init!$R$9="Yes",'Staging Table'!F16,'Staging Table'!BH16)*Rates_previous!$E$76*100*12</f>
        <v>-1099384.2182399998</v>
      </c>
      <c r="F14" s="408">
        <f>IF(Init!$R$9="Yes",SUMPRODUCT('Staging Table'!L16:AI16,LS_Demand_Rates_Restatement!$C$4:$Z$4)-IF(Init!$R$15="No",('Staging Table'!AV16*Rates_previous!$H$35), 0),SUMPRODUCT('Staging Table'!BN16:CK16,LS_Demand_Rates_Restatement!$C$4:$Z$4)-IF(Init!$R$15="No", 'Staging Table'!CX16*Rates_previous!$H$35, 0))</f>
        <v>-147332.65042491726</v>
      </c>
      <c r="G14" s="408">
        <f>IF(Init!$R$9="Yes",SUMPRODUCT('Staging Table'!AJ16:AU16,LS_Demand_Rates_Restatement!$C$10:$N$10),SUMPRODUCT(LS_Demand_Rates_Restatement!$C$10:$N$10,'Staging Table'!CL16:CW16))*1000</f>
        <v>388885.0192866096</v>
      </c>
      <c r="H14" s="409">
        <f>IF(Init!$R$9="Yes",'Staging Table'!BF16,'Staging Table'!DH16)*Rates_previous!$H$33</f>
        <v>-72583.395082512579</v>
      </c>
      <c r="I14" s="409">
        <f>IF(Init!$R$9="Yes",IF('Staging Table'!D16=1,'Staging Table'!H16*-1,'Staging Table'!H16*SUM(D14:H14)*(-1)),IF('Staging Table'!D16=1,'Staging Table'!BJ16*-1,'Staging Table'!BJ16*SUM(D14:H14)*(-1)))</f>
        <v>0</v>
      </c>
      <c r="J14" s="407">
        <f>IF(Init!$R$9="Yes",'Staging Table'!K16,'Staging Table'!BM16)*(-1)*Rates_previous!$H$32</f>
        <v>0</v>
      </c>
      <c r="K14" s="407">
        <f>IF(Init!$R$12="No",0,'Staging Table'!$AW16*-1)</f>
        <v>0</v>
      </c>
      <c r="L14" s="407">
        <f>IF('Staging Table'!C16=1,"",SUM(D14:K14))</f>
        <v>6464851.9825791791</v>
      </c>
      <c r="M14" s="407">
        <f>IF('Staging Table'!C16=1,"",IF(Init!$R$9="Yes",(RT1SC!$C$3*'Staging Table'!E16*'Staging Table'!$F$2)+SUM('Staging Table'!L16:AI16)-IF(Init!$R$15="No",'Staging Table'!AV16, 0),X14))</f>
        <v>175059.07843135452</v>
      </c>
      <c r="N14" s="169">
        <f>IF('Staging Table'!C16=1,"",IF(M14=0, 0, L14/M14))</f>
        <v>36.929544245911394</v>
      </c>
      <c r="O14" s="407">
        <f>'Staging Table'!BG16*Rates_current!$E$75*100*12</f>
        <v>7605241.95744</v>
      </c>
      <c r="P14" s="407">
        <f>'Staging Table'!BH16*Rates_current!$E$76*100*12</f>
        <v>-1069742.8240799999</v>
      </c>
      <c r="Q14" s="408">
        <f>SUMPRODUCT('Staging Table'!BN16:CK16, LS_Demand_Rates_Restatement!$C$5:$Z$5)-IF(Init!$R$15="No",('Staging Table'!CX16*Rates_current!$H$35), 0)</f>
        <v>-46512.770806623899</v>
      </c>
      <c r="R14" s="408">
        <f>SUMPRODUCT('Staging Table'!CL16:CW16, LS_Demand_Rates_Restatement!$C$11:$N$11)*1000</f>
        <v>366095.36841774383</v>
      </c>
      <c r="S14" s="409">
        <f>'Staging Table'!DH16*Rates_current!$H$33</f>
        <v>-83442.111719558685</v>
      </c>
      <c r="T14" s="409">
        <f>IF('Staging Table'!D16=1, 'Staging Table'!BJ16*-1,SUM(O14:S14)*'Staging Table'!BJ16*-1)</f>
        <v>0</v>
      </c>
      <c r="U14" s="407">
        <f>'Staging Table'!BM16*Rates_current!$H$32*-1</f>
        <v>0</v>
      </c>
      <c r="V14" s="407">
        <f>IF(Init!$R$12="No",0,'Staging Table'!$CY16*-1)</f>
        <v>0</v>
      </c>
      <c r="W14" s="407">
        <f>IF('Staging Table'!C16=1,"",SUM(O14:V14))</f>
        <v>6771639.6192515614</v>
      </c>
      <c r="X14" s="407">
        <f>IF('Staging Table'!C16=1,"",(RT1SC!$C$4*'Staging Table'!BG16*'Staging Table'!$BH$2)+SUM('Staging Table'!BN16:CK16)-IF(Init!$R$15="No",'Staging Table'!CX16, 0))</f>
        <v>175059.08064944641</v>
      </c>
      <c r="Y14" s="169">
        <f>IF('Staging Table'!C16=1,"",IF(X14=0, 0, W14/X14))</f>
        <v>38.682024343608227</v>
      </c>
      <c r="Z14" s="160">
        <f>IF('Staging Table'!C16=1,"",Y14/N14-1)</f>
        <v>4.7454690640837072E-2</v>
      </c>
      <c r="AA14" s="97">
        <f t="shared" si="0"/>
        <v>72</v>
      </c>
      <c r="AD14" s="412"/>
      <c r="AE14" s="412"/>
      <c r="AF14" s="432"/>
      <c r="AG14" s="412"/>
      <c r="AH14" s="412"/>
    </row>
    <row r="15" spans="1:35">
      <c r="B15" s="3">
        <v>10059</v>
      </c>
      <c r="C15" s="4" t="s">
        <v>18</v>
      </c>
      <c r="D15" s="407">
        <f>IF(Init!$R$9="Yes",'Staging Table'!E17,'Staging Table'!BG17)*Rates_previous!$E$75*100*12</f>
        <v>2678049.1407599999</v>
      </c>
      <c r="E15" s="407">
        <f>IF(Init!$R$9="Yes",'Staging Table'!F17,'Staging Table'!BH17)*Rates_previous!$E$76*100*12</f>
        <v>-398120.15856000001</v>
      </c>
      <c r="F15" s="408">
        <f>IF(Init!$R$9="Yes",SUMPRODUCT('Staging Table'!L17:AI17,LS_Demand_Rates_Restatement!$C$4:$Z$4)-IF(Init!$R$15="No",('Staging Table'!AV17*Rates_previous!$H$35), 0),SUMPRODUCT('Staging Table'!BN17:CK17,LS_Demand_Rates_Restatement!$C$4:$Z$4)-IF(Init!$R$15="No", 'Staging Table'!CX17*Rates_previous!$H$35, 0))</f>
        <v>-15779.176093948663</v>
      </c>
      <c r="G15" s="408">
        <f>IF(Init!$R$9="Yes",SUMPRODUCT('Staging Table'!AJ17:AU17,LS_Demand_Rates_Restatement!$C$10:$N$10),SUMPRODUCT(LS_Demand_Rates_Restatement!$C$10:$N$10,'Staging Table'!CL17:CW17))*1000</f>
        <v>136654.64149833508</v>
      </c>
      <c r="H15" s="409">
        <f>IF(Init!$R$9="Yes",'Staging Table'!BF17,'Staging Table'!DH17)*Rates_previous!$H$33</f>
        <v>-11810.907717572651</v>
      </c>
      <c r="I15" s="409">
        <f>IF(Init!$R$9="Yes",IF('Staging Table'!D17=1,'Staging Table'!H17*-1,'Staging Table'!H17*SUM(D15:H15)*(-1)),IF('Staging Table'!D17=1,'Staging Table'!BJ17*-1,'Staging Table'!BJ17*SUM(D15:H15)*(-1)))</f>
        <v>0</v>
      </c>
      <c r="J15" s="407">
        <f>IF(Init!$R$9="Yes",'Staging Table'!K17,'Staging Table'!BM17)*(-1)*Rates_previous!$H$32</f>
        <v>0</v>
      </c>
      <c r="K15" s="407">
        <f>IF(Init!$R$12="No",0,'Staging Table'!$AW17*-1)</f>
        <v>0</v>
      </c>
      <c r="L15" s="407">
        <f>IF('Staging Table'!C17=1,"",SUM(D15:K15))</f>
        <v>2388993.5398868141</v>
      </c>
      <c r="M15" s="407">
        <f>IF('Staging Table'!C17=1,"",IF(Init!$R$9="Yes",(RT1SC!$C$3*'Staging Table'!E17*'Staging Table'!$F$2)+SUM('Staging Table'!L17:AI17)-IF(Init!$R$15="No",'Staging Table'!AV17, 0),X15))</f>
        <v>65028.554156206475</v>
      </c>
      <c r="N15" s="169">
        <f>IF('Staging Table'!C17=1,"",IF(M15=0, 0, L15/M15))</f>
        <v>36.737608130547727</v>
      </c>
      <c r="O15" s="407">
        <f>'Staging Table'!BG17*Rates_current!$E$75*100*12</f>
        <v>2738814.48</v>
      </c>
      <c r="P15" s="407">
        <f>'Staging Table'!BH17*Rates_current!$E$76*100*12</f>
        <v>-385237.86</v>
      </c>
      <c r="Q15" s="408">
        <f>SUMPRODUCT('Staging Table'!BN17:CK17, LS_Demand_Rates_Restatement!$C$5:$Z$5)-IF(Init!$R$15="No",('Staging Table'!CX17*Rates_current!$H$35), 0)</f>
        <v>27724.503898764346</v>
      </c>
      <c r="R15" s="408">
        <f>SUMPRODUCT('Staging Table'!CL17:CW17, LS_Demand_Rates_Restatement!$C$11:$N$11)*1000</f>
        <v>134987.69292956727</v>
      </c>
      <c r="S15" s="409">
        <f>'Staging Table'!DH17*Rates_current!$H$33</f>
        <v>-4763.4643349219696</v>
      </c>
      <c r="T15" s="409">
        <f>IF('Staging Table'!D17=1, 'Staging Table'!BJ17*-1,SUM(O15:S15)*'Staging Table'!BJ17*-1)</f>
        <v>0</v>
      </c>
      <c r="U15" s="407">
        <f>'Staging Table'!BM17*Rates_current!$H$32*-1</f>
        <v>0</v>
      </c>
      <c r="V15" s="407">
        <f>IF(Init!$R$12="No",0,'Staging Table'!$CY17*-1)</f>
        <v>0</v>
      </c>
      <c r="W15" s="407">
        <f>IF('Staging Table'!C17=1,"",SUM(O15:V15))</f>
        <v>2511525.35249341</v>
      </c>
      <c r="X15" s="407">
        <f>IF('Staging Table'!C17=1,"",(RT1SC!$C$4*'Staging Table'!BG17*'Staging Table'!$BH$2)+SUM('Staging Table'!BN17:CK17)-IF(Init!$R$15="No",'Staging Table'!CX17, 0))</f>
        <v>65028.554954123771</v>
      </c>
      <c r="Y15" s="169">
        <f>IF('Staging Table'!C17=1,"",IF(X15=0, 0, W15/X15))</f>
        <v>38.621884713034703</v>
      </c>
      <c r="Z15" s="160">
        <f>IF('Staging Table'!C17=1,"",Y15/N15-1)</f>
        <v>5.1290126885538356E-2</v>
      </c>
      <c r="AA15" s="97">
        <f t="shared" si="0"/>
        <v>39</v>
      </c>
      <c r="AD15" s="412"/>
      <c r="AE15" s="412"/>
      <c r="AF15" s="432"/>
      <c r="AG15" s="412"/>
      <c r="AH15" s="412"/>
    </row>
    <row r="16" spans="1:35">
      <c r="B16" s="3">
        <v>10061</v>
      </c>
      <c r="C16" s="4" t="s">
        <v>19</v>
      </c>
      <c r="D16" s="407">
        <f>IF(Init!$R$9="Yes",'Staging Table'!E18,'Staging Table'!BG18)*Rates_previous!$E$75*100*12</f>
        <v>3070139.89212</v>
      </c>
      <c r="E16" s="407">
        <f>IF(Init!$R$9="Yes",'Staging Table'!F18,'Staging Table'!BH18)*Rates_previous!$E$76*100*12</f>
        <v>-456408.57071999996</v>
      </c>
      <c r="F16" s="408">
        <f>IF(Init!$R$9="Yes",SUMPRODUCT('Staging Table'!L18:AI18,LS_Demand_Rates_Restatement!$C$4:$Z$4)-IF(Init!$R$15="No",('Staging Table'!AV18*Rates_previous!$H$35), 0),SUMPRODUCT('Staging Table'!BN18:CK18,LS_Demand_Rates_Restatement!$C$4:$Z$4)-IF(Init!$R$15="No", 'Staging Table'!CX18*Rates_previous!$H$35, 0))</f>
        <v>14232.963956722575</v>
      </c>
      <c r="G16" s="408">
        <f>IF(Init!$R$9="Yes",SUMPRODUCT('Staging Table'!AJ18:AU18,LS_Demand_Rates_Restatement!$C$10:$N$10),SUMPRODUCT(LS_Demand_Rates_Restatement!$C$10:$N$10,'Staging Table'!CL18:CW18))*1000</f>
        <v>128169.57441235751</v>
      </c>
      <c r="H16" s="409">
        <f>IF(Init!$R$9="Yes",'Staging Table'!BF18,'Staging Table'!DH18)*Rates_previous!$H$33</f>
        <v>0</v>
      </c>
      <c r="I16" s="409">
        <f>IF(Init!$R$9="Yes",IF('Staging Table'!D18=1,'Staging Table'!H18*-1,'Staging Table'!H18*SUM(D16:H16)*(-1)),IF('Staging Table'!D18=1,'Staging Table'!BJ18*-1,'Staging Table'!BJ18*SUM(D16:H16)*(-1)))</f>
        <v>0</v>
      </c>
      <c r="J16" s="407">
        <f>IF(Init!$R$9="Yes",'Staging Table'!K18,'Staging Table'!BM18)*(-1)*Rates_previous!$H$32</f>
        <v>0</v>
      </c>
      <c r="K16" s="407">
        <f>IF(Init!$R$12="No",0,'Staging Table'!$AW18*-1)</f>
        <v>0</v>
      </c>
      <c r="L16" s="407">
        <f>IF('Staging Table'!C18=1,"",SUM(D16:K16))</f>
        <v>2756133.8597690798</v>
      </c>
      <c r="M16" s="407">
        <f>IF('Staging Table'!C18=1,"",IF(Init!$R$9="Yes",(RT1SC!$C$3*'Staging Table'!E18*'Staging Table'!$F$2)+SUM('Staging Table'!L18:AI18)-IF(Init!$R$15="No",'Staging Table'!AV18, 0),X16))</f>
        <v>76078.224000000002</v>
      </c>
      <c r="N16" s="169">
        <f>IF('Staging Table'!C18=1,"",IF(M16=0, 0, L16/M16))</f>
        <v>36.227631441147729</v>
      </c>
      <c r="O16" s="407">
        <f>'Staging Table'!BG18*Rates_current!$E$75*100*12</f>
        <v>3157152.4684800003</v>
      </c>
      <c r="P16" s="407">
        <f>'Staging Table'!BH18*Rates_current!$E$76*100*12</f>
        <v>-444080.70335999998</v>
      </c>
      <c r="Q16" s="408">
        <f>SUMPRODUCT('Staging Table'!BN18:CK18, LS_Demand_Rates_Restatement!$C$5:$Z$5)-IF(Init!$R$15="No",('Staging Table'!CX18*Rates_current!$H$35), 0)</f>
        <v>32115.966990807385</v>
      </c>
      <c r="R16" s="408">
        <f>SUMPRODUCT('Staging Table'!CL18:CW18, LS_Demand_Rates_Restatement!$C$11:$N$11)*1000</f>
        <v>121056.89934783652</v>
      </c>
      <c r="S16" s="409">
        <f>'Staging Table'!DH18*Rates_current!$H$33</f>
        <v>0</v>
      </c>
      <c r="T16" s="409">
        <f>IF('Staging Table'!D18=1, 'Staging Table'!BJ18*-1,SUM(O16:S16)*'Staging Table'!BJ18*-1)</f>
        <v>0</v>
      </c>
      <c r="U16" s="407">
        <f>'Staging Table'!BM18*Rates_current!$H$32*-1</f>
        <v>0</v>
      </c>
      <c r="V16" s="407">
        <f>IF(Init!$R$12="No",0,'Staging Table'!$CY18*-1)</f>
        <v>0</v>
      </c>
      <c r="W16" s="407">
        <f>IF('Staging Table'!C18=1,"",SUM(O16:V16))</f>
        <v>2866244.6314586443</v>
      </c>
      <c r="X16" s="407">
        <f>IF('Staging Table'!C18=1,"",(RT1SC!$C$4*'Staging Table'!BG18*'Staging Table'!$BH$2)+SUM('Staging Table'!BN18:CK18)-IF(Init!$R$15="No",'Staging Table'!CX18, 0))</f>
        <v>75388.56</v>
      </c>
      <c r="Y16" s="169">
        <f>IF('Staging Table'!C18=1,"",IF(X16=0, 0, W16/X16))</f>
        <v>38.019623023156889</v>
      </c>
      <c r="Z16" s="160">
        <f>IF('Staging Table'!C18=1,"",Y16/N16-1)</f>
        <v>4.9464773453938626E-2</v>
      </c>
      <c r="AA16" s="97">
        <f t="shared" si="0"/>
        <v>54</v>
      </c>
      <c r="AD16" s="412"/>
      <c r="AE16" s="412"/>
      <c r="AF16" s="432"/>
      <c r="AG16" s="412"/>
      <c r="AH16" s="412"/>
    </row>
    <row r="17" spans="2:34">
      <c r="B17" s="3">
        <v>10062</v>
      </c>
      <c r="C17" s="4" t="s">
        <v>20</v>
      </c>
      <c r="D17" s="407">
        <f>IF(Init!$R$9="Yes",'Staging Table'!E19,'Staging Table'!BG19)*Rates_previous!$E$75*100*12</f>
        <v>1867381.70976</v>
      </c>
      <c r="E17" s="407">
        <f>IF(Init!$R$9="Yes",'Staging Table'!F19,'Staging Table'!BH19)*Rates_previous!$E$76*100*12</f>
        <v>-277605.92255999998</v>
      </c>
      <c r="F17" s="408">
        <f>IF(Init!$R$9="Yes",SUMPRODUCT('Staging Table'!L19:AI19,LS_Demand_Rates_Restatement!$C$4:$Z$4)-IF(Init!$R$15="No",('Staging Table'!AV19*Rates_previous!$H$35), 0),SUMPRODUCT('Staging Table'!BN19:CK19,LS_Demand_Rates_Restatement!$C$4:$Z$4)-IF(Init!$R$15="No", 'Staging Table'!CX19*Rates_previous!$H$35, 0))</f>
        <v>64363.688863531628</v>
      </c>
      <c r="G17" s="408">
        <f>IF(Init!$R$9="Yes",SUMPRODUCT('Staging Table'!AJ19:AU19,LS_Demand_Rates_Restatement!$C$10:$N$10),SUMPRODUCT(LS_Demand_Rates_Restatement!$C$10:$N$10,'Staging Table'!CL19:CW19))*1000</f>
        <v>138549.79958681445</v>
      </c>
      <c r="H17" s="409">
        <f>IF(Init!$R$9="Yes",'Staging Table'!BF19,'Staging Table'!DH19)*Rates_previous!$H$33</f>
        <v>0</v>
      </c>
      <c r="I17" s="409">
        <f>IF(Init!$R$9="Yes",IF('Staging Table'!D19=1,'Staging Table'!H19*-1,'Staging Table'!H19*SUM(D17:H17)*(-1)),IF('Staging Table'!D19=1,'Staging Table'!BJ19*-1,'Staging Table'!BJ19*SUM(D17:H17)*(-1)))</f>
        <v>0</v>
      </c>
      <c r="J17" s="407">
        <f>IF(Init!$R$9="Yes",'Staging Table'!K19,'Staging Table'!BM19)*(-1)*Rates_previous!$H$32</f>
        <v>0</v>
      </c>
      <c r="K17" s="407">
        <f>IF(Init!$R$12="No",0,'Staging Table'!$AW19*-1)</f>
        <v>0</v>
      </c>
      <c r="L17" s="407">
        <f>IF('Staging Table'!C19=1,"",SUM(D17:K17))</f>
        <v>1792689.2756503462</v>
      </c>
      <c r="M17" s="407">
        <f>IF('Staging Table'!C19=1,"",IF(Init!$R$9="Yes",(RT1SC!$C$3*'Staging Table'!E19*'Staging Table'!$F$2)+SUM('Staging Table'!L19:AI19)-IF(Init!$R$15="No",'Staging Table'!AV19, 0),X17))</f>
        <v>46274.112000000001</v>
      </c>
      <c r="N17" s="169">
        <f>IF('Staging Table'!C19=1,"",IF(M17=0, 0, L17/M17))</f>
        <v>38.740652130728002</v>
      </c>
      <c r="O17" s="407">
        <f>'Staging Table'!BG19*Rates_current!$E$75*100*12</f>
        <v>1920227.4172800002</v>
      </c>
      <c r="P17" s="407">
        <f>'Staging Table'!BH19*Rates_current!$E$76*100*12</f>
        <v>-270096.53496000002</v>
      </c>
      <c r="Q17" s="408">
        <f>SUMPRODUCT('Staging Table'!BN19:CK19, LS_Demand_Rates_Restatement!$C$5:$Z$5)-IF(Init!$R$15="No",('Staging Table'!CX19*Rates_current!$H$35), 0)</f>
        <v>105984.03803212658</v>
      </c>
      <c r="R17" s="408">
        <f>SUMPRODUCT('Staging Table'!CL19:CW19, LS_Demand_Rates_Restatement!$C$11:$N$11)*1000</f>
        <v>131803.750495958</v>
      </c>
      <c r="S17" s="409">
        <f>'Staging Table'!DH19*Rates_current!$H$33</f>
        <v>0</v>
      </c>
      <c r="T17" s="409">
        <f>IF('Staging Table'!D19=1, 'Staging Table'!BJ19*-1,SUM(O17:S17)*'Staging Table'!BJ19*-1)</f>
        <v>0</v>
      </c>
      <c r="U17" s="407">
        <f>'Staging Table'!BM19*Rates_current!$H$32*-1</f>
        <v>0</v>
      </c>
      <c r="V17" s="407">
        <f>IF(Init!$R$12="No",0,'Staging Table'!$CY19*-1)</f>
        <v>0</v>
      </c>
      <c r="W17" s="407">
        <f>IF('Staging Table'!C19=1,"",SUM(O17:V17))</f>
        <v>1887918.6708480846</v>
      </c>
      <c r="X17" s="407">
        <f>IF('Staging Table'!C19=1,"",(RT1SC!$C$4*'Staging Table'!BG19*'Staging Table'!$BH$2)+SUM('Staging Table'!BN19:CK19)-IF(Init!$R$15="No",'Staging Table'!CX19, 0))</f>
        <v>45849.84</v>
      </c>
      <c r="Y17" s="169">
        <f>IF('Staging Table'!C19=1,"",IF(X17=0, 0, W17/X17))</f>
        <v>41.176123424816417</v>
      </c>
      <c r="Z17" s="160">
        <f>IF('Staging Table'!C19=1,"",Y17/N17-1)</f>
        <v>6.2866037615217918E-2</v>
      </c>
      <c r="AA17" s="97">
        <f t="shared" si="0"/>
        <v>8</v>
      </c>
      <c r="AD17" s="412"/>
      <c r="AE17" s="412"/>
      <c r="AF17" s="432"/>
      <c r="AG17" s="412"/>
      <c r="AH17" s="412"/>
    </row>
    <row r="18" spans="2:34">
      <c r="B18" s="3">
        <v>10064</v>
      </c>
      <c r="C18" s="4" t="s">
        <v>21</v>
      </c>
      <c r="D18" s="407">
        <f>IF(Init!$R$9="Yes",'Staging Table'!E20,'Staging Table'!BG20)*Rates_previous!$E$75*100*12</f>
        <v>4874648.4637199994</v>
      </c>
      <c r="E18" s="407">
        <f>IF(Init!$R$9="Yes",'Staging Table'!F20,'Staging Table'!BH20)*Rates_previous!$E$76*100*12</f>
        <v>-724667.74031999998</v>
      </c>
      <c r="F18" s="408">
        <f>IF(Init!$R$9="Yes",SUMPRODUCT('Staging Table'!L20:AI20,LS_Demand_Rates_Restatement!$C$4:$Z$4)-IF(Init!$R$15="No",('Staging Table'!AV20*Rates_previous!$H$35), 0),SUMPRODUCT('Staging Table'!BN20:CK20,LS_Demand_Rates_Restatement!$C$4:$Z$4)-IF(Init!$R$15="No", 'Staging Table'!CX20*Rates_previous!$H$35, 0))</f>
        <v>24329.467814476582</v>
      </c>
      <c r="G18" s="408">
        <f>IF(Init!$R$9="Yes",SUMPRODUCT('Staging Table'!AJ20:AU20,LS_Demand_Rates_Restatement!$C$10:$N$10),SUMPRODUCT(LS_Demand_Rates_Restatement!$C$10:$N$10,'Staging Table'!CL20:CW20))*1000</f>
        <v>197834.14621120013</v>
      </c>
      <c r="H18" s="409">
        <f>IF(Init!$R$9="Yes",'Staging Table'!BF20,'Staging Table'!DH20)*Rates_previous!$H$33</f>
        <v>-4473.159183673255</v>
      </c>
      <c r="I18" s="409">
        <f>IF(Init!$R$9="Yes",IF('Staging Table'!D20=1,'Staging Table'!H20*-1,'Staging Table'!H20*SUM(D18:H18)*(-1)),IF('Staging Table'!D20=1,'Staging Table'!BJ20*-1,'Staging Table'!BJ20*SUM(D18:H18)*(-1)))</f>
        <v>0</v>
      </c>
      <c r="J18" s="407">
        <f>IF(Init!$R$9="Yes",'Staging Table'!K20,'Staging Table'!BM20)*(-1)*Rates_previous!$H$32</f>
        <v>0</v>
      </c>
      <c r="K18" s="407">
        <f>IF(Init!$R$12="No",0,'Staging Table'!$AW20*-1)</f>
        <v>0</v>
      </c>
      <c r="L18" s="407">
        <f>IF('Staging Table'!C20=1,"",SUM(D18:K18))</f>
        <v>4367671.1782420026</v>
      </c>
      <c r="M18" s="407">
        <f>IF('Staging Table'!C20=1,"",IF(Init!$R$9="Yes",(RT1SC!$C$3*'Staging Table'!E20*'Staging Table'!$F$2)+SUM('Staging Table'!L20:AI20)-IF(Init!$R$15="No",'Staging Table'!AV20, 0),X18))</f>
        <v>120292.1262843307</v>
      </c>
      <c r="N18" s="169">
        <f>IF('Staging Table'!C20=1,"",IF(M18=0, 0, L18/M18))</f>
        <v>36.308870024612219</v>
      </c>
      <c r="O18" s="407">
        <f>'Staging Table'!BG20*Rates_current!$E$75*100*12</f>
        <v>5076615.565440001</v>
      </c>
      <c r="P18" s="407">
        <f>'Staging Table'!BH20*Rates_current!$E$76*100*12</f>
        <v>-714069.73008000012</v>
      </c>
      <c r="Q18" s="408">
        <f>SUMPRODUCT('Staging Table'!BN20:CK20, LS_Demand_Rates_Restatement!$C$5:$Z$5)-IF(Init!$R$15="No",('Staging Table'!CX20*Rates_current!$H$35), 0)</f>
        <v>42340.738097865709</v>
      </c>
      <c r="R18" s="408">
        <f>SUMPRODUCT('Staging Table'!CL20:CW20, LS_Demand_Rates_Restatement!$C$11:$N$11)*1000</f>
        <v>183844.84561081737</v>
      </c>
      <c r="S18" s="409">
        <f>'Staging Table'!DH20*Rates_current!$H$33</f>
        <v>-11841.590951037313</v>
      </c>
      <c r="T18" s="409">
        <f>IF('Staging Table'!D20=1, 'Staging Table'!BJ20*-1,SUM(O18:S18)*'Staging Table'!BJ20*-1)</f>
        <v>0</v>
      </c>
      <c r="U18" s="407">
        <f>'Staging Table'!BM20*Rates_current!$H$32*-1</f>
        <v>0</v>
      </c>
      <c r="V18" s="407">
        <f>IF(Init!$R$12="No",0,'Staging Table'!$CY20*-1)</f>
        <v>0</v>
      </c>
      <c r="W18" s="407">
        <f>IF('Staging Table'!C20=1,"",SUM(O18:V18))</f>
        <v>4576889.8281176463</v>
      </c>
      <c r="X18" s="407">
        <f>IF('Staging Table'!C20=1,"",(RT1SC!$C$4*'Staging Table'!BG20*'Staging Table'!$BH$2)+SUM('Staging Table'!BN20:CK20)-IF(Init!$R$15="No",'Staging Table'!CX20, 0))</f>
        <v>120239.56776854608</v>
      </c>
      <c r="Y18" s="169">
        <f>IF('Staging Table'!C20=1,"",IF(X18=0, 0, W18/X18))</f>
        <v>38.064756161864146</v>
      </c>
      <c r="Z18" s="160">
        <f>IF('Staging Table'!C20=1,"",Y18/N18-1)</f>
        <v>4.8359702080006617E-2</v>
      </c>
      <c r="AA18" s="97">
        <f t="shared" si="0"/>
        <v>64</v>
      </c>
      <c r="AD18" s="412"/>
      <c r="AE18" s="412"/>
      <c r="AF18" s="432"/>
      <c r="AG18" s="412"/>
      <c r="AH18" s="412"/>
    </row>
    <row r="19" spans="2:34">
      <c r="B19" s="3">
        <v>10065</v>
      </c>
      <c r="C19" s="4" t="s">
        <v>22</v>
      </c>
      <c r="D19" s="407">
        <f>IF(Init!$R$9="Yes",'Staging Table'!E21,'Staging Table'!BG21)*Rates_previous!$E$75*100*12</f>
        <v>775517.88132000004</v>
      </c>
      <c r="E19" s="407">
        <f>IF(Init!$R$9="Yes",'Staging Table'!F21,'Staging Table'!BH21)*Rates_previous!$E$76*100*12</f>
        <v>-115288.88592</v>
      </c>
      <c r="F19" s="408">
        <f>IF(Init!$R$9="Yes",SUMPRODUCT('Staging Table'!L21:AI21,LS_Demand_Rates_Restatement!$C$4:$Z$4)-IF(Init!$R$15="No",('Staging Table'!AV21*Rates_previous!$H$35), 0),SUMPRODUCT('Staging Table'!BN21:CK21,LS_Demand_Rates_Restatement!$C$4:$Z$4)-IF(Init!$R$15="No", 'Staging Table'!CX21*Rates_previous!$H$35, 0))</f>
        <v>43608.333139511466</v>
      </c>
      <c r="G19" s="408">
        <f>IF(Init!$R$9="Yes",SUMPRODUCT('Staging Table'!AJ21:AU21,LS_Demand_Rates_Restatement!$C$10:$N$10),SUMPRODUCT(LS_Demand_Rates_Restatement!$C$10:$N$10,'Staging Table'!CL21:CW21))*1000</f>
        <v>59361.636120771007</v>
      </c>
      <c r="H19" s="409">
        <f>IF(Init!$R$9="Yes",'Staging Table'!BF21,'Staging Table'!DH21)*Rates_previous!$H$33</f>
        <v>12904.574400000001</v>
      </c>
      <c r="I19" s="409">
        <f>IF(Init!$R$9="Yes",IF('Staging Table'!D21=1,'Staging Table'!H21*-1,'Staging Table'!H21*SUM(D19:H19)*(-1)),IF('Staging Table'!D21=1,'Staging Table'!BJ21*-1,'Staging Table'!BJ21*SUM(D19:H19)*(-1)))</f>
        <v>-42685.694648315541</v>
      </c>
      <c r="J19" s="407">
        <f>IF(Init!$R$9="Yes",'Staging Table'!K21,'Staging Table'!BM21)*(-1)*Rates_previous!$H$32</f>
        <v>0</v>
      </c>
      <c r="K19" s="407">
        <f>IF(Init!$R$12="No",0,'Staging Table'!$AW21*-1)</f>
        <v>0</v>
      </c>
      <c r="L19" s="407">
        <f>IF('Staging Table'!C21=1,"",SUM(D19:K19))</f>
        <v>733417.84441196697</v>
      </c>
      <c r="M19" s="407">
        <f>IF('Staging Table'!C21=1,"",IF(Init!$R$9="Yes",(RT1SC!$C$3*'Staging Table'!E21*'Staging Table'!$F$2)+SUM('Staging Table'!L21:AI21)-IF(Init!$R$15="No",'Staging Table'!AV21, 0),X19))</f>
        <v>20677.536</v>
      </c>
      <c r="N19" s="169">
        <f>IF('Staging Table'!C21=1,"",IF(M19=0, 0, L19/M19))</f>
        <v>35.46930564705422</v>
      </c>
      <c r="O19" s="407">
        <f>'Staging Table'!BG21*Rates_current!$E$75*100*12</f>
        <v>858076.94592000009</v>
      </c>
      <c r="P19" s="407">
        <f>'Staging Table'!BH21*Rates_current!$E$76*100*12</f>
        <v>-120695.91744000002</v>
      </c>
      <c r="Q19" s="408">
        <f>SUMPRODUCT('Staging Table'!BN21:CK21, LS_Demand_Rates_Restatement!$C$5:$Z$5)-IF(Init!$R$15="No",('Staging Table'!CX21*Rates_current!$H$35), 0)</f>
        <v>13544.582410800431</v>
      </c>
      <c r="R19" s="408">
        <f>SUMPRODUCT('Staging Table'!CL21:CW21, LS_Demand_Rates_Restatement!$C$11:$N$11)*1000</f>
        <v>57811.119748513171</v>
      </c>
      <c r="S19" s="409">
        <f>'Staging Table'!DH21*Rates_current!$H$33</f>
        <v>0</v>
      </c>
      <c r="T19" s="409">
        <f>IF('Staging Table'!D21=1, 'Staging Table'!BJ21*-1,SUM(O19:S19)*'Staging Table'!BJ21*-1)</f>
        <v>-48949.490789485943</v>
      </c>
      <c r="U19" s="407">
        <f>'Staging Table'!BM21*Rates_current!$H$32*-1</f>
        <v>0</v>
      </c>
      <c r="V19" s="407">
        <f>IF(Init!$R$12="No",0,'Staging Table'!$CY21*-1)</f>
        <v>0</v>
      </c>
      <c r="W19" s="407">
        <f>IF('Staging Table'!C21=1,"",SUM(O19:V19))</f>
        <v>759787.23984982772</v>
      </c>
      <c r="X19" s="407">
        <f>IF('Staging Table'!C21=1,"",(RT1SC!$C$4*'Staging Table'!BG21*'Staging Table'!$BH$2)+SUM('Staging Table'!BN21:CK21)-IF(Init!$R$15="No",'Staging Table'!CX21, 0))</f>
        <v>20489.64</v>
      </c>
      <c r="Y19" s="169">
        <f>IF('Staging Table'!C21=1,"",IF(X19=0, 0, W19/X19))</f>
        <v>37.081531927834149</v>
      </c>
      <c r="Z19" s="160">
        <f>IF('Staging Table'!C21=1,"",Y19/N19-1)</f>
        <v>4.5454125796055012E-2</v>
      </c>
      <c r="AA19" s="97">
        <f t="shared" si="0"/>
        <v>89</v>
      </c>
      <c r="AD19" s="412"/>
      <c r="AE19" s="412"/>
      <c r="AF19" s="432"/>
      <c r="AG19" s="412"/>
      <c r="AH19" s="412"/>
    </row>
    <row r="20" spans="2:34">
      <c r="B20" s="3">
        <v>10066</v>
      </c>
      <c r="C20" s="4" t="s">
        <v>23</v>
      </c>
      <c r="D20" s="407">
        <f>IF(Init!$R$9="Yes",'Staging Table'!E22,'Staging Table'!BG22)*Rates_previous!$E$75*100*12</f>
        <v>8554954.8344400004</v>
      </c>
      <c r="E20" s="407">
        <f>IF(Init!$R$9="Yes",'Staging Table'!F22,'Staging Table'!BH22)*Rates_previous!$E$76*100*12</f>
        <v>-1271783.9726400001</v>
      </c>
      <c r="F20" s="408">
        <f>IF(Init!$R$9="Yes",SUMPRODUCT('Staging Table'!L22:AI22,LS_Demand_Rates_Restatement!$C$4:$Z$4)-IF(Init!$R$15="No",('Staging Table'!AV22*Rates_previous!$H$35), 0),SUMPRODUCT('Staging Table'!BN22:CK22,LS_Demand_Rates_Restatement!$C$4:$Z$4)-IF(Init!$R$15="No", 'Staging Table'!CX22*Rates_previous!$H$35, 0))</f>
        <v>-175604.15427785862</v>
      </c>
      <c r="G20" s="408">
        <f>IF(Init!$R$9="Yes",SUMPRODUCT('Staging Table'!AJ22:AU22,LS_Demand_Rates_Restatement!$C$10:$N$10),SUMPRODUCT(LS_Demand_Rates_Restatement!$C$10:$N$10,'Staging Table'!CL22:CW22))*1000</f>
        <v>367692.28990768339</v>
      </c>
      <c r="H20" s="409">
        <f>IF(Init!$R$9="Yes",'Staging Table'!BF22,'Staging Table'!DH22)*Rates_previous!$H$33</f>
        <v>-96192.893483873937</v>
      </c>
      <c r="I20" s="409">
        <f>IF(Init!$R$9="Yes",IF('Staging Table'!D22=1,'Staging Table'!H22*-1,'Staging Table'!H22*SUM(D20:H20)*(-1)),IF('Staging Table'!D22=1,'Staging Table'!BJ22*-1,'Staging Table'!BJ22*SUM(D20:H20)*(-1)))</f>
        <v>0</v>
      </c>
      <c r="J20" s="407">
        <f>IF(Init!$R$9="Yes",'Staging Table'!K22,'Staging Table'!BM22)*(-1)*Rates_previous!$H$32</f>
        <v>0</v>
      </c>
      <c r="K20" s="407">
        <f>IF(Init!$R$12="No",0,'Staging Table'!$AW22*-1)</f>
        <v>0</v>
      </c>
      <c r="L20" s="407">
        <f>IF('Staging Table'!C22=1,"",SUM(D20:K20))</f>
        <v>7379066.103945951</v>
      </c>
      <c r="M20" s="407">
        <f>IF('Staging Table'!C22=1,"",IF(Init!$R$9="Yes",(RT1SC!$C$3*'Staging Table'!E22*'Staging Table'!$F$2)+SUM('Staging Table'!L22:AI22)-IF(Init!$R$15="No",'Staging Table'!AV22, 0),X20))</f>
        <v>201123.80249899731</v>
      </c>
      <c r="N20" s="169">
        <f>IF('Staging Table'!C22=1,"",IF(M20=0, 0, L20/M20))</f>
        <v>36.689173594869452</v>
      </c>
      <c r="O20" s="407">
        <f>'Staging Table'!BG22*Rates_current!$E$75*100*12</f>
        <v>8797072.1097600013</v>
      </c>
      <c r="P20" s="407">
        <f>'Staging Table'!BH22*Rates_current!$E$76*100*12</f>
        <v>-1237384.0063200002</v>
      </c>
      <c r="Q20" s="408">
        <f>SUMPRODUCT('Staging Table'!BN22:CK22, LS_Demand_Rates_Restatement!$C$5:$Z$5)-IF(Init!$R$15="No",('Staging Table'!CX22*Rates_current!$H$35), 0)</f>
        <v>-303773.89959580894</v>
      </c>
      <c r="R20" s="408">
        <f>SUMPRODUCT('Staging Table'!CL22:CW22, LS_Demand_Rates_Restatement!$C$11:$N$11)*1000</f>
        <v>354685.52222031693</v>
      </c>
      <c r="S20" s="409">
        <f>'Staging Table'!DH22*Rates_current!$H$33</f>
        <v>-113997.68542576917</v>
      </c>
      <c r="T20" s="409">
        <f>IF('Staging Table'!D22=1, 'Staging Table'!BJ22*-1,SUM(O20:S20)*'Staging Table'!BJ22*-1)</f>
        <v>0</v>
      </c>
      <c r="U20" s="407">
        <f>'Staging Table'!BM22*Rates_current!$H$32*-1</f>
        <v>0</v>
      </c>
      <c r="V20" s="407">
        <f>IF(Init!$R$12="No",0,'Staging Table'!$CY22*-1)</f>
        <v>0</v>
      </c>
      <c r="W20" s="407">
        <f>IF('Staging Table'!C22=1,"",SUM(O20:V20))</f>
        <v>7496602.0406387402</v>
      </c>
      <c r="X20" s="407">
        <f>IF('Staging Table'!C22=1,"",(RT1SC!$C$4*'Staging Table'!BG22*'Staging Table'!$BH$2)+SUM('Staging Table'!BN22:CK22)-IF(Init!$R$15="No",'Staging Table'!CX22, 0))</f>
        <v>188509.40506464557</v>
      </c>
      <c r="Y20" s="169">
        <f>IF('Staging Table'!C22=1,"",IF(X20=0, 0, W20/X20))</f>
        <v>39.767787915239182</v>
      </c>
      <c r="Z20" s="160">
        <f>IF('Staging Table'!C22=1,"",Y20/N20-1)</f>
        <v>8.3910702224163414E-2</v>
      </c>
      <c r="AA20" s="97">
        <f t="shared" si="0"/>
        <v>1</v>
      </c>
      <c r="AD20" s="412"/>
      <c r="AE20" s="412"/>
      <c r="AF20" s="432"/>
      <c r="AG20" s="412"/>
      <c r="AH20" s="412"/>
    </row>
    <row r="21" spans="2:34">
      <c r="B21" s="3">
        <v>10067</v>
      </c>
      <c r="C21" s="4" t="s">
        <v>24</v>
      </c>
      <c r="D21" s="407">
        <f>IF(Init!$R$9="Yes",'Staging Table'!E23,'Staging Table'!BG23)*Rates_previous!$E$75*100*12</f>
        <v>5552143.6572000012</v>
      </c>
      <c r="E21" s="407">
        <f>IF(Init!$R$9="Yes",'Staging Table'!F23,'Staging Table'!BH23)*Rates_previous!$E$76*100*12</f>
        <v>-825384.52320000005</v>
      </c>
      <c r="F21" s="408">
        <f>IF(Init!$R$9="Yes",SUMPRODUCT('Staging Table'!L23:AI23,LS_Demand_Rates_Restatement!$C$4:$Z$4)-IF(Init!$R$15="No",('Staging Table'!AV23*Rates_previous!$H$35), 0),SUMPRODUCT('Staging Table'!BN23:CK23,LS_Demand_Rates_Restatement!$C$4:$Z$4)-IF(Init!$R$15="No", 'Staging Table'!CX23*Rates_previous!$H$35, 0))</f>
        <v>34674.387595344073</v>
      </c>
      <c r="G21" s="408">
        <f>IF(Init!$R$9="Yes",SUMPRODUCT('Staging Table'!AJ23:AU23,LS_Demand_Rates_Restatement!$C$10:$N$10),SUMPRODUCT(LS_Demand_Rates_Restatement!$C$10:$N$10,'Staging Table'!CL23:CW23))*1000</f>
        <v>410397.42966660438</v>
      </c>
      <c r="H21" s="409">
        <f>IF(Init!$R$9="Yes",'Staging Table'!BF23,'Staging Table'!DH23)*Rates_previous!$H$33</f>
        <v>0</v>
      </c>
      <c r="I21" s="409">
        <f>IF(Init!$R$9="Yes",IF('Staging Table'!D23=1,'Staging Table'!H23*-1,'Staging Table'!H23*SUM(D21:H21)*(-1)),IF('Staging Table'!D23=1,'Staging Table'!BJ23*-1,'Staging Table'!BJ23*SUM(D21:H21)*(-1)))</f>
        <v>0</v>
      </c>
      <c r="J21" s="407">
        <f>IF(Init!$R$9="Yes",'Staging Table'!K23,'Staging Table'!BM23)*(-1)*Rates_previous!$H$32</f>
        <v>0</v>
      </c>
      <c r="K21" s="407">
        <f>IF(Init!$R$12="No",0,'Staging Table'!$AW23*-1)</f>
        <v>0</v>
      </c>
      <c r="L21" s="407">
        <f>IF('Staging Table'!C23=1,"",SUM(D21:K21))</f>
        <v>5171830.9512619507</v>
      </c>
      <c r="M21" s="407">
        <f>IF('Staging Table'!C23=1,"",IF(Init!$R$9="Yes",(RT1SC!$C$3*'Staging Table'!E23*'Staging Table'!$F$2)+SUM('Staging Table'!L23:AI23)-IF(Init!$R$15="No",'Staging Table'!AV23, 0),X21))</f>
        <v>137583.79200000002</v>
      </c>
      <c r="N21" s="169">
        <f>IF('Staging Table'!C23=1,"",IF(M21=0, 0, L21/M21))</f>
        <v>37.590408550899298</v>
      </c>
      <c r="O21" s="407">
        <f>'Staging Table'!BG23*Rates_current!$E$75*100*12</f>
        <v>5709218.0169600006</v>
      </c>
      <c r="P21" s="407">
        <f>'Staging Table'!BH23*Rates_current!$E$76*100*12</f>
        <v>-803050.71672000003</v>
      </c>
      <c r="Q21" s="408">
        <f>SUMPRODUCT('Staging Table'!BN23:CK23, LS_Demand_Rates_Restatement!$C$5:$Z$5)-IF(Init!$R$15="No",('Staging Table'!CX23*Rates_current!$H$35), 0)</f>
        <v>-69799.933372704283</v>
      </c>
      <c r="R21" s="408">
        <f>SUMPRODUCT('Staging Table'!CL23:CW23, LS_Demand_Rates_Restatement!$C$11:$N$11)*1000</f>
        <v>391210.62890056096</v>
      </c>
      <c r="S21" s="409">
        <f>'Staging Table'!DH23*Rates_current!$H$33</f>
        <v>0</v>
      </c>
      <c r="T21" s="409">
        <f>IF('Staging Table'!D23=1, 'Staging Table'!BJ23*-1,SUM(O21:S21)*'Staging Table'!BJ23*-1)</f>
        <v>0</v>
      </c>
      <c r="U21" s="407">
        <f>'Staging Table'!BM23*Rates_current!$H$32*-1</f>
        <v>0</v>
      </c>
      <c r="V21" s="407">
        <f>IF(Init!$R$12="No",0,'Staging Table'!$CY23*-1)</f>
        <v>0</v>
      </c>
      <c r="W21" s="407">
        <f>IF('Staging Table'!C23=1,"",SUM(O21:V21))</f>
        <v>5227577.9957678569</v>
      </c>
      <c r="X21" s="407">
        <f>IF('Staging Table'!C23=1,"",(RT1SC!$C$4*'Staging Table'!BG23*'Staging Table'!$BH$2)+SUM('Staging Table'!BN23:CK23)-IF(Init!$R$15="No",'Staging Table'!CX23, 0))</f>
        <v>130374.99998892646</v>
      </c>
      <c r="Y21" s="169">
        <f>IF('Staging Table'!C23=1,"",IF(X21=0, 0, W21/X21))</f>
        <v>40.09647552223867</v>
      </c>
      <c r="Z21" s="160">
        <f>IF('Staging Table'!C23=1,"",Y21/N21-1)</f>
        <v>6.6667723707924953E-2</v>
      </c>
      <c r="AA21" s="97">
        <f t="shared" si="0"/>
        <v>6</v>
      </c>
      <c r="AD21" s="412"/>
      <c r="AE21" s="412"/>
      <c r="AF21" s="432"/>
      <c r="AG21" s="412"/>
      <c r="AH21" s="412"/>
    </row>
    <row r="22" spans="2:34">
      <c r="B22" s="3">
        <v>10068</v>
      </c>
      <c r="C22" s="4" t="s">
        <v>25</v>
      </c>
      <c r="D22" s="407">
        <f>IF(Init!$R$9="Yes",'Staging Table'!E24,'Staging Table'!BG24)*Rates_previous!$E$75*100*12</f>
        <v>923789.5732799999</v>
      </c>
      <c r="E22" s="407">
        <f>IF(Init!$R$9="Yes",'Staging Table'!F24,'Staging Table'!BH24)*Rates_previous!$E$76*100*12</f>
        <v>-137331.03168000001</v>
      </c>
      <c r="F22" s="408">
        <f>IF(Init!$R$9="Yes",SUMPRODUCT('Staging Table'!L24:AI24,LS_Demand_Rates_Restatement!$C$4:$Z$4)-IF(Init!$R$15="No",('Staging Table'!AV24*Rates_previous!$H$35), 0),SUMPRODUCT('Staging Table'!BN24:CK24,LS_Demand_Rates_Restatement!$C$4:$Z$4)-IF(Init!$R$15="No", 'Staging Table'!CX24*Rates_previous!$H$35, 0))</f>
        <v>-6768.0567191816726</v>
      </c>
      <c r="G22" s="408">
        <f>IF(Init!$R$9="Yes",SUMPRODUCT('Staging Table'!AJ24:AU24,LS_Demand_Rates_Restatement!$C$10:$N$10),SUMPRODUCT(LS_Demand_Rates_Restatement!$C$10:$N$10,'Staging Table'!CL24:CW24))*1000</f>
        <v>38277.985563479357</v>
      </c>
      <c r="H22" s="409">
        <f>IF(Init!$R$9="Yes",'Staging Table'!BF24,'Staging Table'!DH24)*Rates_previous!$H$33</f>
        <v>-4812.0277231335258</v>
      </c>
      <c r="I22" s="409">
        <f>IF(Init!$R$9="Yes",IF('Staging Table'!D24=1,'Staging Table'!H24*-1,'Staging Table'!H24*SUM(D22:H22)*(-1)),IF('Staging Table'!D24=1,'Staging Table'!BJ24*-1,'Staging Table'!BJ24*SUM(D22:H22)*(-1)))</f>
        <v>0</v>
      </c>
      <c r="J22" s="407">
        <f>IF(Init!$R$9="Yes",'Staging Table'!K24,'Staging Table'!BM24)*(-1)*Rates_previous!$H$32</f>
        <v>0</v>
      </c>
      <c r="K22" s="407">
        <f>IF(Init!$R$12="No",0,'Staging Table'!$AW24*-1)</f>
        <v>0</v>
      </c>
      <c r="L22" s="407">
        <f>IF('Staging Table'!C24=1,"",SUM(D22:K22))</f>
        <v>813156.44272116397</v>
      </c>
      <c r="M22" s="407">
        <f>IF('Staging Table'!C24=1,"",IF(Init!$R$9="Yes",(RT1SC!$C$3*'Staging Table'!E24*'Staging Table'!$F$2)+SUM('Staging Table'!L24:AI24)-IF(Init!$R$15="No",'Staging Table'!AV24, 0),X22))</f>
        <v>22347.372053883217</v>
      </c>
      <c r="N22" s="169">
        <f>IF('Staging Table'!C24=1,"",IF(M22=0, 0, L22/M22))</f>
        <v>36.387117051638512</v>
      </c>
      <c r="O22" s="407">
        <f>'Staging Table'!BG24*Rates_current!$E$75*100*12</f>
        <v>966610.43136000016</v>
      </c>
      <c r="P22" s="407">
        <f>'Staging Table'!BH24*Rates_current!$E$76*100*12</f>
        <v>-135962.08752</v>
      </c>
      <c r="Q22" s="408">
        <f>SUMPRODUCT('Staging Table'!BN24:CK24, LS_Demand_Rates_Restatement!$C$5:$Z$5)-IF(Init!$R$15="No",('Staging Table'!CX24*Rates_current!$H$35), 0)</f>
        <v>-2031.0640424900193</v>
      </c>
      <c r="R22" s="408">
        <f>SUMPRODUCT('Staging Table'!CL24:CW24, LS_Demand_Rates_Restatement!$C$11:$N$11)*1000</f>
        <v>37411.406326700489</v>
      </c>
      <c r="S22" s="409">
        <f>'Staging Table'!DH24*Rates_current!$H$33</f>
        <v>-9374.1527065761857</v>
      </c>
      <c r="T22" s="409">
        <f>IF('Staging Table'!D24=1, 'Staging Table'!BJ24*-1,SUM(O22:S22)*'Staging Table'!BJ24*-1)</f>
        <v>0</v>
      </c>
      <c r="U22" s="407">
        <f>'Staging Table'!BM24*Rates_current!$H$32*-1</f>
        <v>0</v>
      </c>
      <c r="V22" s="407">
        <f>IF(Init!$R$12="No",0,'Staging Table'!$CY24*-1)</f>
        <v>0</v>
      </c>
      <c r="W22" s="407">
        <f>IF('Staging Table'!C24=1,"",SUM(O22:V22))</f>
        <v>856654.53341763455</v>
      </c>
      <c r="X22" s="407">
        <f>IF('Staging Table'!C24=1,"",(RT1SC!$C$4*'Staging Table'!BG24*'Staging Table'!$BH$2)+SUM('Staging Table'!BN24:CK24)-IF(Init!$R$15="No",'Staging Table'!CX24, 0))</f>
        <v>22347.372336739121</v>
      </c>
      <c r="Y22" s="169">
        <f>IF('Staging Table'!C24=1,"",IF(X22=0, 0, W22/X22))</f>
        <v>38.3335687305524</v>
      </c>
      <c r="Z22" s="160">
        <f>IF('Staging Table'!C24=1,"",Y22/N22-1)</f>
        <v>5.3492879805552951E-2</v>
      </c>
      <c r="AA22" s="97">
        <f t="shared" si="0"/>
        <v>30</v>
      </c>
      <c r="AD22" s="412"/>
      <c r="AE22" s="412"/>
      <c r="AF22" s="432"/>
      <c r="AG22" s="412"/>
      <c r="AH22" s="412"/>
    </row>
    <row r="23" spans="2:34">
      <c r="B23" s="3">
        <v>10070</v>
      </c>
      <c r="C23" s="4" t="s">
        <v>26</v>
      </c>
      <c r="D23" s="407">
        <f>IF(Init!$R$9="Yes",'Staging Table'!E25,'Staging Table'!BG25)*Rates_previous!$E$75*100*12</f>
        <v>125746.27632</v>
      </c>
      <c r="E23" s="407">
        <f>IF(Init!$R$9="Yes",'Staging Table'!F25,'Staging Table'!BH25)*Rates_previous!$E$76*100*12</f>
        <v>-18693.50592</v>
      </c>
      <c r="F23" s="408">
        <f>IF(Init!$R$9="Yes",SUMPRODUCT('Staging Table'!L25:AI25,LS_Demand_Rates_Restatement!$C$4:$Z$4)-IF(Init!$R$15="No",('Staging Table'!AV25*Rates_previous!$H$35), 0),SUMPRODUCT('Staging Table'!BN25:CK25,LS_Demand_Rates_Restatement!$C$4:$Z$4)-IF(Init!$R$15="No", 'Staging Table'!CX25*Rates_previous!$H$35, 0))</f>
        <v>790.22117280938073</v>
      </c>
      <c r="G23" s="408">
        <f>IF(Init!$R$9="Yes",SUMPRODUCT('Staging Table'!AJ25:AU25,LS_Demand_Rates_Restatement!$C$10:$N$10),SUMPRODUCT(LS_Demand_Rates_Restatement!$C$10:$N$10,'Staging Table'!CL25:CW25))*1000</f>
        <v>7265.3339423254965</v>
      </c>
      <c r="H23" s="409">
        <f>IF(Init!$R$9="Yes",'Staging Table'!BF25,'Staging Table'!DH25)*Rates_previous!$H$33</f>
        <v>0</v>
      </c>
      <c r="I23" s="409">
        <f>IF(Init!$R$9="Yes",IF('Staging Table'!D25=1,'Staging Table'!H25*-1,'Staging Table'!H25*SUM(D23:H23)*(-1)),IF('Staging Table'!D25=1,'Staging Table'!BJ25*-1,'Staging Table'!BJ25*SUM(D23:H23)*(-1)))</f>
        <v>0</v>
      </c>
      <c r="J23" s="407">
        <f>IF(Init!$R$9="Yes",'Staging Table'!K25,'Staging Table'!BM25)*(-1)*Rates_previous!$H$32</f>
        <v>0</v>
      </c>
      <c r="K23" s="407">
        <f>IF(Init!$R$12="No",0,'Staging Table'!$AW25*-1)</f>
        <v>0</v>
      </c>
      <c r="L23" s="407">
        <f>IF('Staging Table'!C25=1,"",SUM(D23:K23))</f>
        <v>115108.32551513489</v>
      </c>
      <c r="M23" s="407">
        <f>IF('Staging Table'!C25=1,"",IF(Init!$R$9="Yes",(RT1SC!$C$3*'Staging Table'!E25*'Staging Table'!$F$2)+SUM('Staging Table'!L25:AI25)-IF(Init!$R$15="No",'Staging Table'!AV25, 0),X23))</f>
        <v>3118.3199999999997</v>
      </c>
      <c r="N23" s="169">
        <f>IF('Staging Table'!C25=1,"",IF(M23=0, 0, L23/M23))</f>
        <v>36.913570613386341</v>
      </c>
      <c r="O23" s="407">
        <f>'Staging Table'!BG25*Rates_current!$E$75*100*12</f>
        <v>129424.90752000001</v>
      </c>
      <c r="P23" s="407">
        <f>'Staging Table'!BH25*Rates_current!$E$76*100*12</f>
        <v>-18204.728640000001</v>
      </c>
      <c r="Q23" s="408">
        <f>SUMPRODUCT('Staging Table'!BN25:CK25, LS_Demand_Rates_Restatement!$C$5:$Z$5)-IF(Init!$R$15="No",('Staging Table'!CX25*Rates_current!$H$35), 0)</f>
        <v>1680.1974027929327</v>
      </c>
      <c r="R23" s="408">
        <f>SUMPRODUCT('Staging Table'!CL25:CW25, LS_Demand_Rates_Restatement!$C$11:$N$11)*1000</f>
        <v>7098.1157498575467</v>
      </c>
      <c r="S23" s="409">
        <f>'Staging Table'!DH25*Rates_current!$H$33</f>
        <v>0</v>
      </c>
      <c r="T23" s="409">
        <f>IF('Staging Table'!D25=1, 'Staging Table'!BJ25*-1,SUM(O23:S23)*'Staging Table'!BJ25*-1)</f>
        <v>0</v>
      </c>
      <c r="U23" s="407">
        <f>'Staging Table'!BM25*Rates_current!$H$32*-1</f>
        <v>0</v>
      </c>
      <c r="V23" s="407">
        <f>IF(Init!$R$12="No",0,'Staging Table'!$CY25*-1)</f>
        <v>0</v>
      </c>
      <c r="W23" s="407">
        <f>IF('Staging Table'!C25=1,"",SUM(O23:V23))</f>
        <v>119998.49203265049</v>
      </c>
      <c r="X23" s="407">
        <f>IF('Staging Table'!C25=1,"",(RT1SC!$C$4*'Staging Table'!BG25*'Staging Table'!$BH$2)+SUM('Staging Table'!BN25:CK25)-IF(Init!$R$15="No",'Staging Table'!CX25, 0))</f>
        <v>3092.2799999999997</v>
      </c>
      <c r="Y23" s="169">
        <f>IF('Staging Table'!C25=1,"",IF(X23=0, 0, W23/X23))</f>
        <v>38.805830013016447</v>
      </c>
      <c r="Z23" s="160">
        <f>IF('Staging Table'!C25=1,"",Y23/N23-1)</f>
        <v>5.126189009046711E-2</v>
      </c>
      <c r="AA23" s="97">
        <f t="shared" si="0"/>
        <v>40</v>
      </c>
      <c r="AD23" s="412"/>
      <c r="AE23" s="412"/>
      <c r="AF23" s="432"/>
      <c r="AG23" s="412"/>
      <c r="AH23" s="412"/>
    </row>
    <row r="24" spans="2:34">
      <c r="B24" s="3">
        <v>10071</v>
      </c>
      <c r="C24" s="4" t="s">
        <v>27</v>
      </c>
      <c r="D24" s="407">
        <f>IF(Init!$R$9="Yes",'Staging Table'!E26,'Staging Table'!BG26)*Rates_previous!$E$75*100*12</f>
        <v>672049.48860000004</v>
      </c>
      <c r="E24" s="407">
        <f>IF(Init!$R$9="Yes",'Staging Table'!F26,'Staging Table'!BH26)*Rates_previous!$E$76*100*12</f>
        <v>-99907.221600000004</v>
      </c>
      <c r="F24" s="408">
        <f>IF(Init!$R$9="Yes",SUMPRODUCT('Staging Table'!L26:AI26,LS_Demand_Rates_Restatement!$C$4:$Z$4)-IF(Init!$R$15="No",('Staging Table'!AV26*Rates_previous!$H$35), 0),SUMPRODUCT('Staging Table'!BN26:CK26,LS_Demand_Rates_Restatement!$C$4:$Z$4)-IF(Init!$R$15="No", 'Staging Table'!CX26*Rates_previous!$H$35, 0))</f>
        <v>1388.4713912625475</v>
      </c>
      <c r="G24" s="408">
        <f>IF(Init!$R$9="Yes",SUMPRODUCT('Staging Table'!AJ26:AU26,LS_Demand_Rates_Restatement!$C$10:$N$10),SUMPRODUCT(LS_Demand_Rates_Restatement!$C$10:$N$10,'Staging Table'!CL26:CW26))*1000</f>
        <v>26459.907901210827</v>
      </c>
      <c r="H24" s="409">
        <f>IF(Init!$R$9="Yes",'Staging Table'!BF26,'Staging Table'!DH26)*Rates_previous!$H$33</f>
        <v>-1302.7816030834947</v>
      </c>
      <c r="I24" s="409">
        <f>IF(Init!$R$9="Yes",IF('Staging Table'!D26=1,'Staging Table'!H26*-1,'Staging Table'!H26*SUM(D24:H24)*(-1)),IF('Staging Table'!D26=1,'Staging Table'!BJ26*-1,'Staging Table'!BJ26*SUM(D24:H24)*(-1)))</f>
        <v>0</v>
      </c>
      <c r="J24" s="407">
        <f>IF(Init!$R$9="Yes",'Staging Table'!K26,'Staging Table'!BM26)*(-1)*Rates_previous!$H$32</f>
        <v>0</v>
      </c>
      <c r="K24" s="407">
        <f>IF(Init!$R$12="No",0,'Staging Table'!$AW26*-1)</f>
        <v>0</v>
      </c>
      <c r="L24" s="407">
        <f>IF('Staging Table'!C26=1,"",SUM(D24:K24))</f>
        <v>598687.86468938994</v>
      </c>
      <c r="M24" s="407">
        <f>IF('Staging Table'!C26=1,"",IF(Init!$R$9="Yes",(RT1SC!$C$3*'Staging Table'!E26*'Staging Table'!$F$2)+SUM('Staging Table'!L26:AI26)-IF(Init!$R$15="No",'Staging Table'!AV26, 0),X24))</f>
        <v>16507.257039199605</v>
      </c>
      <c r="N24" s="169">
        <f>IF('Staging Table'!C26=1,"",IF(M24=0, 0, L24/M24))</f>
        <v>36.268161528453355</v>
      </c>
      <c r="O24" s="407">
        <f>'Staging Table'!BG26*Rates_current!$E$75*100*12</f>
        <v>684831.00671999983</v>
      </c>
      <c r="P24" s="407">
        <f>'Staging Table'!BH26*Rates_current!$E$76*100*12</f>
        <v>-96327.383039999986</v>
      </c>
      <c r="Q24" s="408">
        <f>SUMPRODUCT('Staging Table'!BN26:CK26, LS_Demand_Rates_Restatement!$C$5:$Z$5)-IF(Init!$R$15="No",('Staging Table'!CX26*Rates_current!$H$35), 0)</f>
        <v>13962.302055959532</v>
      </c>
      <c r="R24" s="408">
        <f>SUMPRODUCT('Staging Table'!CL26:CW26, LS_Demand_Rates_Restatement!$C$11:$N$11)*1000</f>
        <v>23833.213248949429</v>
      </c>
      <c r="S24" s="409">
        <f>'Staging Table'!DH26*Rates_current!$H$33</f>
        <v>1898.7300000000009</v>
      </c>
      <c r="T24" s="409">
        <f>IF('Staging Table'!D26=1, 'Staging Table'!BJ26*-1,SUM(O24:S24)*'Staging Table'!BJ26*-1)</f>
        <v>0</v>
      </c>
      <c r="U24" s="407">
        <f>'Staging Table'!BM26*Rates_current!$H$32*-1</f>
        <v>0</v>
      </c>
      <c r="V24" s="407">
        <f>IF(Init!$R$12="No",0,'Staging Table'!$CY26*-1)</f>
        <v>0</v>
      </c>
      <c r="W24" s="407">
        <f>IF('Staging Table'!C26=1,"",SUM(O24:V24))</f>
        <v>628197.86898490868</v>
      </c>
      <c r="X24" s="407">
        <f>IF('Staging Table'!C26=1,"",(RT1SC!$C$4*'Staging Table'!BG26*'Staging Table'!$BH$2)+SUM('Staging Table'!BN26:CK26)-IF(Init!$R$15="No",'Staging Table'!CX26, 0))</f>
        <v>16503.84</v>
      </c>
      <c r="Y24" s="169">
        <f>IF('Staging Table'!C26=1,"",IF(X24=0, 0, W24/X24))</f>
        <v>38.063739649978956</v>
      </c>
      <c r="Z24" s="160">
        <f>IF('Staging Table'!C26=1,"",Y24/N24-1)</f>
        <v>4.9508385477905259E-2</v>
      </c>
      <c r="AA24" s="97">
        <f t="shared" si="0"/>
        <v>51</v>
      </c>
      <c r="AD24" s="412"/>
      <c r="AE24" s="412"/>
      <c r="AF24" s="432"/>
      <c r="AG24" s="412"/>
      <c r="AH24" s="412"/>
    </row>
    <row r="25" spans="2:34">
      <c r="B25" s="3">
        <v>10072</v>
      </c>
      <c r="C25" s="4" t="s">
        <v>28</v>
      </c>
      <c r="D25" s="407">
        <f>IF(Init!$R$9="Yes",'Staging Table'!E27,'Staging Table'!BG27)*Rates_previous!$E$75*100*12</f>
        <v>8418069.616320001</v>
      </c>
      <c r="E25" s="407">
        <f>IF(Init!$R$9="Yes",'Staging Table'!F27,'Staging Table'!BH27)*Rates_previous!$E$76*100*12</f>
        <v>-1251434.5459199999</v>
      </c>
      <c r="F25" s="408">
        <f>IF(Init!$R$9="Yes",SUMPRODUCT('Staging Table'!L27:AI27,LS_Demand_Rates_Restatement!$C$4:$Z$4)-IF(Init!$R$15="No",('Staging Table'!AV27*Rates_previous!$H$35), 0),SUMPRODUCT('Staging Table'!BN27:CK27,LS_Demand_Rates_Restatement!$C$4:$Z$4)-IF(Init!$R$15="No", 'Staging Table'!CX27*Rates_previous!$H$35, 0))</f>
        <v>-3411.3967833785264</v>
      </c>
      <c r="G25" s="408">
        <f>IF(Init!$R$9="Yes",SUMPRODUCT('Staging Table'!AJ27:AU27,LS_Demand_Rates_Restatement!$C$10:$N$10),SUMPRODUCT(LS_Demand_Rates_Restatement!$C$10:$N$10,'Staging Table'!CL27:CW27))*1000</f>
        <v>383339.68617718125</v>
      </c>
      <c r="H25" s="409">
        <f>IF(Init!$R$9="Yes",'Staging Table'!BF27,'Staging Table'!DH27)*Rates_previous!$H$33</f>
        <v>0</v>
      </c>
      <c r="I25" s="409">
        <f>IF(Init!$R$9="Yes",IF('Staging Table'!D27=1,'Staging Table'!H27*-1,'Staging Table'!H27*SUM(D25:H25)*(-1)),IF('Staging Table'!D27=1,'Staging Table'!BJ27*-1,'Staging Table'!BJ27*SUM(D25:H25)*(-1)))</f>
        <v>0</v>
      </c>
      <c r="J25" s="407">
        <f>IF(Init!$R$9="Yes",'Staging Table'!K27,'Staging Table'!BM27)*(-1)*Rates_previous!$H$32</f>
        <v>0</v>
      </c>
      <c r="K25" s="407">
        <f>IF(Init!$R$12="No",0,'Staging Table'!$AW27*-1)</f>
        <v>0</v>
      </c>
      <c r="L25" s="407">
        <f>IF('Staging Table'!C27=1,"",SUM(D25:K25))</f>
        <v>7546563.3597938037</v>
      </c>
      <c r="M25" s="407">
        <f>IF('Staging Table'!C27=1,"",IF(Init!$R$9="Yes",(RT1SC!$C$3*'Staging Table'!E27*'Staging Table'!$F$2)+SUM('Staging Table'!L27:AI27)-IF(Init!$R$15="No",'Staging Table'!AV27, 0),X25))</f>
        <v>206105.52249101299</v>
      </c>
      <c r="N25" s="169">
        <f>IF('Staging Table'!C27=1,"",IF(M25=0, 0, L25/M25))</f>
        <v>36.61504683904267</v>
      </c>
      <c r="O25" s="407">
        <f>'Staging Table'!BG27*Rates_current!$E$75*100*12</f>
        <v>8656691.9443199988</v>
      </c>
      <c r="P25" s="407">
        <f>'Staging Table'!BH27*Rates_current!$E$76*100*12</f>
        <v>-1217638.3262400001</v>
      </c>
      <c r="Q25" s="408">
        <f>SUMPRODUCT('Staging Table'!BN27:CK27, LS_Demand_Rates_Restatement!$C$5:$Z$5)-IF(Init!$R$15="No",('Staging Table'!CX27*Rates_current!$H$35), 0)</f>
        <v>96124.650754563365</v>
      </c>
      <c r="R25" s="408">
        <f>SUMPRODUCT('Staging Table'!CL27:CW27, LS_Demand_Rates_Restatement!$C$11:$N$11)*1000</f>
        <v>359544.2522933138</v>
      </c>
      <c r="S25" s="409">
        <f>'Staging Table'!DH27*Rates_current!$H$33</f>
        <v>0</v>
      </c>
      <c r="T25" s="409">
        <f>IF('Staging Table'!D27=1, 'Staging Table'!BJ27*-1,SUM(O25:S25)*'Staging Table'!BJ27*-1)</f>
        <v>0</v>
      </c>
      <c r="U25" s="407">
        <f>'Staging Table'!BM27*Rates_current!$H$32*-1</f>
        <v>0</v>
      </c>
      <c r="V25" s="407">
        <f>IF(Init!$R$12="No",0,'Staging Table'!$CY27*-1)</f>
        <v>0</v>
      </c>
      <c r="W25" s="407">
        <f>IF('Staging Table'!C27=1,"",SUM(O25:V25))</f>
        <v>7894722.5211278759</v>
      </c>
      <c r="X25" s="407">
        <f>IF('Staging Table'!C27=1,"",(RT1SC!$C$4*'Staging Table'!BG27*'Staging Table'!$BH$2)+SUM('Staging Table'!BN27:CK27)-IF(Init!$R$15="No",'Staging Table'!CX27, 0))</f>
        <v>205957.44501574116</v>
      </c>
      <c r="Y25" s="169">
        <f>IF('Staging Table'!C27=1,"",IF(X25=0, 0, W25/X25))</f>
        <v>38.331814227567683</v>
      </c>
      <c r="Z25" s="160">
        <f>IF('Staging Table'!C27=1,"",Y25/N25-1)</f>
        <v>4.6886936839704463E-2</v>
      </c>
      <c r="AA25" s="97">
        <f t="shared" si="0"/>
        <v>77</v>
      </c>
      <c r="AD25" s="412"/>
      <c r="AE25" s="412"/>
      <c r="AF25" s="432"/>
      <c r="AG25" s="412"/>
      <c r="AH25" s="412"/>
    </row>
    <row r="26" spans="2:34">
      <c r="B26" s="3">
        <v>10074</v>
      </c>
      <c r="C26" s="4" t="s">
        <v>29</v>
      </c>
      <c r="D26" s="407">
        <f>IF(Init!$R$9="Yes",'Staging Table'!E28,'Staging Table'!BG28)*Rates_previous!$E$75*100*12</f>
        <v>9365869.7974800002</v>
      </c>
      <c r="E26" s="407">
        <f>IF(Init!$R$9="Yes",'Staging Table'!F28,'Staging Table'!BH28)*Rates_previous!$E$76*100*12</f>
        <v>-1392335.0068800002</v>
      </c>
      <c r="F26" s="408">
        <f>IF(Init!$R$9="Yes",SUMPRODUCT('Staging Table'!L28:AI28,LS_Demand_Rates_Restatement!$C$4:$Z$4)-IF(Init!$R$15="No",('Staging Table'!AV28*Rates_previous!$H$35), 0),SUMPRODUCT('Staging Table'!BN28:CK28,LS_Demand_Rates_Restatement!$C$4:$Z$4)-IF(Init!$R$15="No", 'Staging Table'!CX28*Rates_previous!$H$35, 0))</f>
        <v>86091.439700254123</v>
      </c>
      <c r="G26" s="408">
        <f>IF(Init!$R$9="Yes",SUMPRODUCT('Staging Table'!AJ28:AU28,LS_Demand_Rates_Restatement!$C$10:$N$10),SUMPRODUCT(LS_Demand_Rates_Restatement!$C$10:$N$10,'Staging Table'!CL28:CW28))*1000</f>
        <v>680909.1563787394</v>
      </c>
      <c r="H26" s="409">
        <f>IF(Init!$R$9="Yes",'Staging Table'!BF28,'Staging Table'!DH28)*Rates_previous!$H$33</f>
        <v>0</v>
      </c>
      <c r="I26" s="409">
        <f>IF(Init!$R$9="Yes",IF('Staging Table'!D28=1,'Staging Table'!H28*-1,'Staging Table'!H28*SUM(D26:H26)*(-1)),IF('Staging Table'!D28=1,'Staging Table'!BJ28*-1,'Staging Table'!BJ28*SUM(D26:H26)*(-1)))</f>
        <v>0</v>
      </c>
      <c r="J26" s="407">
        <f>IF(Init!$R$9="Yes",'Staging Table'!K28,'Staging Table'!BM28)*(-1)*Rates_previous!$H$32</f>
        <v>0</v>
      </c>
      <c r="K26" s="407">
        <f>IF(Init!$R$12="No",0,'Staging Table'!$AW28*-1)</f>
        <v>0</v>
      </c>
      <c r="L26" s="407">
        <f>IF('Staging Table'!C28=1,"",SUM(D26:K26))</f>
        <v>8740535.3866789937</v>
      </c>
      <c r="M26" s="407">
        <f>IF('Staging Table'!C28=1,"",IF(Init!$R$9="Yes",(RT1SC!$C$3*'Staging Table'!E28*'Staging Table'!$F$2)+SUM('Staging Table'!L28:AI28)-IF(Init!$R$15="No",'Staging Table'!AV28, 0),X26))</f>
        <v>232090.848</v>
      </c>
      <c r="N26" s="169">
        <f>IF('Staging Table'!C28=1,"",IF(M26=0, 0, L26/M26))</f>
        <v>37.659974367791506</v>
      </c>
      <c r="O26" s="407">
        <f>'Staging Table'!BG28*Rates_current!$E$75*100*12</f>
        <v>9631455.1257600002</v>
      </c>
      <c r="P26" s="407">
        <f>'Staging Table'!BH28*Rates_current!$E$76*100*12</f>
        <v>-1354747.1683200002</v>
      </c>
      <c r="Q26" s="408">
        <f>SUMPRODUCT('Staging Table'!BN28:CK28, LS_Demand_Rates_Restatement!$C$5:$Z$5)-IF(Init!$R$15="No",('Staging Table'!CX28*Rates_current!$H$35), 0)</f>
        <v>142097.00414548063</v>
      </c>
      <c r="R26" s="408">
        <f>SUMPRODUCT('Staging Table'!CL28:CW28, LS_Demand_Rates_Restatement!$C$11:$N$11)*1000</f>
        <v>656615.57947039721</v>
      </c>
      <c r="S26" s="409">
        <f>'Staging Table'!DH28*Rates_current!$H$33</f>
        <v>0</v>
      </c>
      <c r="T26" s="409">
        <f>IF('Staging Table'!D28=1, 'Staging Table'!BJ28*-1,SUM(O26:S26)*'Staging Table'!BJ28*-1)</f>
        <v>0</v>
      </c>
      <c r="U26" s="407">
        <f>'Staging Table'!BM28*Rates_current!$H$32*-1</f>
        <v>0</v>
      </c>
      <c r="V26" s="407">
        <f>IF(Init!$R$12="No",0,'Staging Table'!$CY28*-1)</f>
        <v>0</v>
      </c>
      <c r="W26" s="407">
        <f>IF('Staging Table'!C28=1,"",SUM(O26:V26))</f>
        <v>9075420.5410558786</v>
      </c>
      <c r="X26" s="407">
        <f>IF('Staging Table'!C28=1,"",(RT1SC!$C$4*'Staging Table'!BG28*'Staging Table'!$BH$2)+SUM('Staging Table'!BN28:CK28)-IF(Init!$R$15="No",'Staging Table'!CX28, 0))</f>
        <v>229985.04</v>
      </c>
      <c r="Y26" s="169">
        <f>IF('Staging Table'!C28=1,"",IF(X26=0, 0, W26/X26))</f>
        <v>39.460916853791353</v>
      </c>
      <c r="Z26" s="160">
        <f>IF('Staging Table'!C28=1,"",Y26/N26-1)</f>
        <v>4.7821128830615844E-2</v>
      </c>
      <c r="AA26" s="97">
        <f t="shared" si="0"/>
        <v>69</v>
      </c>
      <c r="AD26" s="412"/>
      <c r="AE26" s="412"/>
      <c r="AF26" s="432"/>
      <c r="AG26" s="412"/>
      <c r="AH26" s="412"/>
    </row>
    <row r="27" spans="2:34">
      <c r="B27" s="3">
        <v>10076</v>
      </c>
      <c r="C27" s="4" t="s">
        <v>30</v>
      </c>
      <c r="D27" s="407">
        <f>IF(Init!$R$9="Yes",'Staging Table'!E29,'Staging Table'!BG29)*Rates_previous!$E$75*100*12</f>
        <v>1690891.36524</v>
      </c>
      <c r="E27" s="407">
        <f>IF(Init!$R$9="Yes",'Staging Table'!F29,'Staging Table'!BH29)*Rates_previous!$E$76*100*12</f>
        <v>-251368.77743999998</v>
      </c>
      <c r="F27" s="408">
        <f>IF(Init!$R$9="Yes",SUMPRODUCT('Staging Table'!L29:AI29,LS_Demand_Rates_Restatement!$C$4:$Z$4)-0,SUMPRODUCT('Staging Table'!BN29:CK29,LS_Demand_Rates_Restatement!$C$4:$Z$4)-IF(Init!$R$15="No", 'Staging Table'!CX29*Rates_previous!$H$35, 0))</f>
        <v>-94696.957288027741</v>
      </c>
      <c r="G27" s="408">
        <f>IF(Init!$R$9="Yes",SUMPRODUCT('Staging Table'!AJ29:AU29,LS_Demand_Rates_Restatement!$C$10:$N$10),SUMPRODUCT(LS_Demand_Rates_Restatement!$C$10:$N$10,'Staging Table'!CL29:CW29))*1000</f>
        <v>50462.916083867531</v>
      </c>
      <c r="H27" s="409">
        <f>IF(Init!$R$9="Yes",'Staging Table'!BF29,'Staging Table'!DH29)*Rates_previous!$H$33</f>
        <v>0</v>
      </c>
      <c r="I27" s="409">
        <f>IF(Init!$R$9="Yes",IF('Staging Table'!D29=1,'Staging Table'!H29*-1,'Staging Table'!H29*SUM(D27:H27)*(-1)),IF('Staging Table'!D29=1,'Staging Table'!BJ29*-1,'Staging Table'!BJ29*SUM(D27:H27)*(-1)))</f>
        <v>0</v>
      </c>
      <c r="J27" s="407">
        <f>IF(Init!$R$9="Yes",'Staging Table'!K29,'Staging Table'!BM29)*(-1)*Rates_previous!$H$32</f>
        <v>0</v>
      </c>
      <c r="K27" s="407">
        <f>IF(Init!$R$12="No",0,'Staging Table'!$AW29*-1)</f>
        <v>0</v>
      </c>
      <c r="L27" s="407">
        <f>IF('Staging Table'!C29=1,"",SUM(D27:K27))</f>
        <v>1395288.5465958396</v>
      </c>
      <c r="M27" s="407">
        <f>IF('Staging Table'!C29=1,"",IF(Init!$R$9="Yes",(RT1SC!$C$3*'Staging Table'!E29*'Staging Table'!$F$2)+SUM('Staging Table'!L29:AI29)-IF(Init!$R$15="No",'Staging Table'!AV29, 0),X27))</f>
        <v>37788.541098627087</v>
      </c>
      <c r="N27" s="169">
        <f>IF('Staging Table'!C29=1,"",IF(M27=0, 0, L27/M27))</f>
        <v>36.923588633765284</v>
      </c>
      <c r="O27" s="407">
        <f>'Staging Table'!BG29*Rates_current!$E$75*100*12</f>
        <v>1738828.7279999997</v>
      </c>
      <c r="P27" s="407">
        <f>'Staging Table'!BH29*Rates_current!$E$76*100*12</f>
        <v>-244581.24599999998</v>
      </c>
      <c r="Q27" s="408">
        <f>SUMPRODUCT('Staging Table'!BN29:CK29, LS_Demand_Rates_Restatement!$C$5:$Z$5)-IF(Init!$R$15="No",('Staging Table'!CX29*Rates_current!$H$35), 0)</f>
        <v>21203.817413881479</v>
      </c>
      <c r="R27" s="408">
        <f>SUMPRODUCT('Staging Table'!CL29:CW29, LS_Demand_Rates_Restatement!$C$11:$N$11)*1000</f>
        <v>44539.320075400639</v>
      </c>
      <c r="S27" s="409">
        <f>'Staging Table'!DH29*Rates_current!$H$33</f>
        <v>0</v>
      </c>
      <c r="T27" s="409">
        <f>IF('Staging Table'!D29=1, 'Staging Table'!BJ29*-1,SUM(O27:S27)*'Staging Table'!BJ29*-1)</f>
        <v>0</v>
      </c>
      <c r="U27" s="407">
        <f>'Staging Table'!BM29*Rates_current!$H$32*-1</f>
        <v>0</v>
      </c>
      <c r="V27" s="407">
        <f>IF(Init!$R$12="No",0,'Staging Table'!$CY29*-1)</f>
        <v>0</v>
      </c>
      <c r="W27" s="407">
        <f>IF('Staging Table'!C29=1,"",SUM(O27:V27))</f>
        <v>1559990.6194892817</v>
      </c>
      <c r="X27" s="407">
        <f>IF('Staging Table'!C29=1,"",(RT1SC!$C$4*'Staging Table'!BG29*'Staging Table'!$BH$2)+SUM('Staging Table'!BN29:CK29)-IF(Init!$R$15="No",'Staging Table'!CX29, 0))</f>
        <v>41522.400000000001</v>
      </c>
      <c r="Y27" s="169">
        <f>IF('Staging Table'!C29=1,"",IF(X27=0, 0, W27/X27))</f>
        <v>37.569856739718361</v>
      </c>
      <c r="Z27" s="160">
        <f>IF('Staging Table'!C29=1,"",Y27/N27-1)</f>
        <v>1.7502851967159172E-2</v>
      </c>
      <c r="AA27" s="97">
        <f t="shared" si="0"/>
        <v>114</v>
      </c>
      <c r="AD27" s="412"/>
      <c r="AE27" s="412"/>
      <c r="AF27" s="432"/>
      <c r="AG27" s="412"/>
      <c r="AH27" s="412"/>
    </row>
    <row r="28" spans="2:34">
      <c r="B28" s="3">
        <v>10078</v>
      </c>
      <c r="C28" s="4" t="s">
        <v>31</v>
      </c>
      <c r="D28" s="407">
        <f>IF(Init!$R$9="Yes",'Staging Table'!E30,'Staging Table'!BG30)*Rates_previous!$E$75*100*12</f>
        <v>1249541.7379200002</v>
      </c>
      <c r="E28" s="407">
        <f>IF(Init!$R$9="Yes",'Staging Table'!F30,'Staging Table'!BH30)*Rates_previous!$E$76*100*12</f>
        <v>-185757.51552000002</v>
      </c>
      <c r="F28" s="408">
        <f>IF(Init!$R$9="Yes",SUMPRODUCT('Staging Table'!L30:AI30,LS_Demand_Rates_Restatement!$C$4:$Z$4)-IF(Init!$R$15="No",('Staging Table'!AV30*Rates_previous!$H$35), 0),SUMPRODUCT('Staging Table'!BN30:CK30,LS_Demand_Rates_Restatement!$C$4:$Z$4)-IF(Init!$R$15="No", 'Staging Table'!CX30*Rates_previous!$H$35, 0))</f>
        <v>18716.570296487353</v>
      </c>
      <c r="G28" s="408">
        <f>IF(Init!$R$9="Yes",SUMPRODUCT('Staging Table'!AJ30:AU30,LS_Demand_Rates_Restatement!$C$10:$N$10),SUMPRODUCT(LS_Demand_Rates_Restatement!$C$10:$N$10,'Staging Table'!CL30:CW30))*1000</f>
        <v>95481.567114120349</v>
      </c>
      <c r="H28" s="409">
        <f>IF(Init!$R$9="Yes",'Staging Table'!BF30,'Staging Table'!DH30)*Rates_previous!$H$33</f>
        <v>931.42774502199643</v>
      </c>
      <c r="I28" s="409">
        <f>IF(Init!$R$9="Yes",IF('Staging Table'!D30=1,'Staging Table'!H30*-1,'Staging Table'!H30*SUM(D28:H28)*(-1)),IF('Staging Table'!D30=1,'Staging Table'!BJ30*-1,'Staging Table'!BJ30*SUM(D28:H28)*(-1)))</f>
        <v>0</v>
      </c>
      <c r="J28" s="407">
        <f>IF(Init!$R$9="Yes",'Staging Table'!K30,'Staging Table'!BM30)*(-1)*Rates_previous!$H$32</f>
        <v>0</v>
      </c>
      <c r="K28" s="407">
        <f>IF(Init!$R$12="No",0,'Staging Table'!$AW30*-1)</f>
        <v>0</v>
      </c>
      <c r="L28" s="407">
        <f>IF('Staging Table'!C30=1,"",SUM(D28:K28))</f>
        <v>1178913.7875556301</v>
      </c>
      <c r="M28" s="407">
        <f>IF('Staging Table'!C30=1,"",IF(Init!$R$9="Yes",(RT1SC!$C$3*'Staging Table'!E30*'Staging Table'!$F$2)+SUM('Staging Table'!L30:AI30)-IF(Init!$R$15="No",'Staging Table'!AV30, 0),X28))</f>
        <v>31068.84607288384</v>
      </c>
      <c r="N28" s="169">
        <f>IF('Staging Table'!C30=1,"",IF(M28=0, 0, L28/M28))</f>
        <v>37.945206744725496</v>
      </c>
      <c r="O28" s="407">
        <f>'Staging Table'!BG30*Rates_current!$E$75*100*12</f>
        <v>1341891.7084799998</v>
      </c>
      <c r="P28" s="407">
        <f>'Staging Table'!BH30*Rates_current!$E$76*100*12</f>
        <v>-188748.63335999998</v>
      </c>
      <c r="Q28" s="408">
        <f>SUMPRODUCT('Staging Table'!BN30:CK30, LS_Demand_Rates_Restatement!$C$5:$Z$5)-IF(Init!$R$15="No",('Staging Table'!CX30*Rates_current!$H$35), 0)</f>
        <v>3882.7232738653483</v>
      </c>
      <c r="R28" s="408">
        <f>SUMPRODUCT('Staging Table'!CL30:CW30, LS_Demand_Rates_Restatement!$C$11:$N$11)*1000</f>
        <v>95973.557971527785</v>
      </c>
      <c r="S28" s="409">
        <f>'Staging Table'!DH30*Rates_current!$H$33</f>
        <v>-12434.227539677546</v>
      </c>
      <c r="T28" s="409">
        <f>IF('Staging Table'!D30=1, 'Staging Table'!BJ30*-1,SUM(O28:S28)*'Staging Table'!BJ30*-1)</f>
        <v>0</v>
      </c>
      <c r="U28" s="407">
        <f>'Staging Table'!BM30*Rates_current!$H$32*-1</f>
        <v>0</v>
      </c>
      <c r="V28" s="407">
        <f>IF(Init!$R$12="No",0,'Staging Table'!$CY30*-1)</f>
        <v>0</v>
      </c>
      <c r="W28" s="407">
        <f>IF('Staging Table'!C30=1,"",SUM(O28:V28))</f>
        <v>1240565.1288257153</v>
      </c>
      <c r="X28" s="407">
        <f>IF('Staging Table'!C30=1,"",(RT1SC!$C$4*'Staging Table'!BG30*'Staging Table'!$BH$2)+SUM('Staging Table'!BN30:CK30)-IF(Init!$R$15="No",'Staging Table'!CX30, 0))</f>
        <v>31068.846467476269</v>
      </c>
      <c r="Y28" s="169">
        <f>IF('Staging Table'!C30=1,"",IF(X28=0, 0, W28/X28))</f>
        <v>39.929552264657566</v>
      </c>
      <c r="Z28" s="160">
        <f>IF('Staging Table'!C30=1,"",Y28/N28-1)</f>
        <v>5.2295024593795425E-2</v>
      </c>
      <c r="AA28" s="97">
        <f t="shared" si="0"/>
        <v>35</v>
      </c>
      <c r="AD28" s="412"/>
      <c r="AE28" s="412"/>
      <c r="AF28" s="432"/>
      <c r="AG28" s="412"/>
      <c r="AH28" s="412"/>
    </row>
    <row r="29" spans="2:34">
      <c r="B29" s="3">
        <v>10079</v>
      </c>
      <c r="C29" s="4" t="s">
        <v>32</v>
      </c>
      <c r="D29" s="407">
        <f>IF(Init!$R$9="Yes",'Staging Table'!E31,'Staging Table'!BG31)*Rates_previous!$E$75*100*12</f>
        <v>30951901.345679998</v>
      </c>
      <c r="E29" s="407">
        <f>IF(Init!$R$9="Yes",'Staging Table'!F31,'Staging Table'!BH31)*Rates_previous!$E$76*100*12</f>
        <v>-4601325.5260800002</v>
      </c>
      <c r="F29" s="408">
        <f>IF(Init!$R$9="Yes",SUMPRODUCT('Staging Table'!L31:AI31,LS_Demand_Rates_Restatement!$C$4:$Z$4)-IF(Init!$R$15="No",('Staging Table'!AV31*Rates_previous!$H$35), 0),SUMPRODUCT('Staging Table'!BN31:CK31,LS_Demand_Rates_Restatement!$C$4:$Z$4)-IF(Init!$R$15="No", 'Staging Table'!CX31*Rates_previous!$H$35, 0))</f>
        <v>-1138773.5558190506</v>
      </c>
      <c r="G29" s="408">
        <f>IF(Init!$R$9="Yes",SUMPRODUCT('Staging Table'!AJ31:AU31,LS_Demand_Rates_Restatement!$C$10:$N$10),SUMPRODUCT(LS_Demand_Rates_Restatement!$C$10:$N$10,'Staging Table'!CL31:CW31))*1000</f>
        <v>1661839.2056651979</v>
      </c>
      <c r="H29" s="409">
        <f>IF(Init!$R$9="Yes",'Staging Table'!BF31,'Staging Table'!DH31)*Rates_previous!$H$33</f>
        <v>-27965.904372417976</v>
      </c>
      <c r="I29" s="409">
        <f>IF(Init!$R$9="Yes",IF('Staging Table'!D31=1,'Staging Table'!H31*-1,'Staging Table'!H31*SUM(D29:H29)*(-1)),IF('Staging Table'!D31=1,'Staging Table'!BJ31*-1,'Staging Table'!BJ31*SUM(D29:H29)*(-1)))</f>
        <v>0</v>
      </c>
      <c r="J29" s="407">
        <f>IF(Init!$R$9="Yes",'Staging Table'!K31,'Staging Table'!BM31)*(-1)*Rates_previous!$H$32</f>
        <v>0</v>
      </c>
      <c r="K29" s="407">
        <f>IF(Init!$R$12="No",0,'Staging Table'!$AW31*-1)</f>
        <v>0</v>
      </c>
      <c r="L29" s="407">
        <f>IF('Staging Table'!C31=1,"",SUM(D29:K29))</f>
        <v>26845675.565073729</v>
      </c>
      <c r="M29" s="407">
        <f>IF('Staging Table'!C31=1,"",IF(Init!$R$9="Yes",(RT1SC!$C$3*'Staging Table'!E31*'Staging Table'!$F$2)+SUM('Staging Table'!L31:AI31)-IF(Init!$R$15="No",'Staging Table'!AV31, 0),X29))</f>
        <v>714817.81880537653</v>
      </c>
      <c r="N29" s="169">
        <f>IF('Staging Table'!C31=1,"",IF(M29=0, 0, L29/M29))</f>
        <v>37.555968610210321</v>
      </c>
      <c r="O29" s="407">
        <f>'Staging Table'!BG31*Rates_current!$E$75*100*12</f>
        <v>31829355.406079996</v>
      </c>
      <c r="P29" s="407">
        <f>'Staging Table'!BH31*Rates_current!$E$76*100*12</f>
        <v>-4477073.1465599993</v>
      </c>
      <c r="Q29" s="408">
        <f>SUMPRODUCT('Staging Table'!BN31:CK31, LS_Demand_Rates_Restatement!$C$5:$Z$5)-IF(Init!$R$15="No",('Staging Table'!CX31*Rates_current!$H$35), 0)</f>
        <v>210330.97859403648</v>
      </c>
      <c r="R29" s="408">
        <f>SUMPRODUCT('Staging Table'!CL31:CW31, LS_Demand_Rates_Restatement!$C$11:$N$11)*1000</f>
        <v>1578013.9550939547</v>
      </c>
      <c r="S29" s="409">
        <f>'Staging Table'!DH31*Rates_current!$H$33</f>
        <v>0</v>
      </c>
      <c r="T29" s="409">
        <f>IF('Staging Table'!D31=1, 'Staging Table'!BJ31*-1,SUM(O29:S29)*'Staging Table'!BJ31*-1)</f>
        <v>0</v>
      </c>
      <c r="U29" s="407">
        <f>'Staging Table'!BM31*Rates_current!$H$32*-1</f>
        <v>0</v>
      </c>
      <c r="V29" s="407">
        <f>IF(Init!$R$12="No",0,'Staging Table'!$CY31*-1)</f>
        <v>0</v>
      </c>
      <c r="W29" s="407">
        <f>IF('Staging Table'!C31=1,"",SUM(O29:V29))</f>
        <v>29140627.193207987</v>
      </c>
      <c r="X29" s="407">
        <f>IF('Staging Table'!C31=1,"",(RT1SC!$C$4*'Staging Table'!BG31*'Staging Table'!$BH$2)+SUM('Staging Table'!BN31:CK31)-IF(Init!$R$15="No",'Staging Table'!CX31, 0))</f>
        <v>758340.05208842712</v>
      </c>
      <c r="Y29" s="169">
        <f>IF('Staging Table'!C31=1,"",IF(X29=0, 0, W29/X29))</f>
        <v>38.426860236323122</v>
      </c>
      <c r="Z29" s="160">
        <f>IF('Staging Table'!C31=1,"",Y29/N29-1)</f>
        <v>2.318916695110973E-2</v>
      </c>
      <c r="AA29" s="97">
        <f t="shared" si="0"/>
        <v>111</v>
      </c>
      <c r="AD29" s="412"/>
      <c r="AE29" s="412"/>
      <c r="AF29" s="432"/>
      <c r="AG29" s="412"/>
      <c r="AH29" s="412"/>
    </row>
    <row r="30" spans="2:34">
      <c r="B30" s="3">
        <v>10080</v>
      </c>
      <c r="C30" s="4" t="s">
        <v>33</v>
      </c>
      <c r="D30" s="407">
        <f>IF(Init!$R$9="Yes",'Staging Table'!E32,'Staging Table'!BG32)*Rates_previous!$E$75*100*12</f>
        <v>2610225.3618000001</v>
      </c>
      <c r="E30" s="407">
        <f>IF(Init!$R$9="Yes",'Staging Table'!F32,'Staging Table'!BH32)*Rates_previous!$E$76*100*12</f>
        <v>-388037.4408000001</v>
      </c>
      <c r="F30" s="408">
        <f>IF(Init!$R$9="Yes",SUMPRODUCT('Staging Table'!L32:AI32,LS_Demand_Rates_Restatement!$C$4:$Z$4)-IF(Init!$R$15="No",('Staging Table'!AV32*Rates_previous!$H$35), 0),SUMPRODUCT('Staging Table'!BN32:CK32,LS_Demand_Rates_Restatement!$C$4:$Z$4)-IF(Init!$R$15="No", 'Staging Table'!CX32*Rates_previous!$H$35, 0))</f>
        <v>-132828.26732189208</v>
      </c>
      <c r="G30" s="408">
        <f>IF(Init!$R$9="Yes",SUMPRODUCT('Staging Table'!AJ32:AU32,LS_Demand_Rates_Restatement!$C$10:$N$10),SUMPRODUCT(LS_Demand_Rates_Restatement!$C$10:$N$10,'Staging Table'!CL32:CW32))*1000</f>
        <v>109871.9963934829</v>
      </c>
      <c r="H30" s="409">
        <f>IF(Init!$R$9="Yes",'Staging Table'!BF32,'Staging Table'!DH32)*Rates_previous!$H$33</f>
        <v>-51117.200402583825</v>
      </c>
      <c r="I30" s="409">
        <f>IF(Init!$R$9="Yes",IF('Staging Table'!D32=1,'Staging Table'!H32*-1,'Staging Table'!H32*SUM(D30:H30)*(-1)),IF('Staging Table'!D32=1,'Staging Table'!BJ32*-1,'Staging Table'!BJ32*SUM(D30:H30)*(-1)))</f>
        <v>0</v>
      </c>
      <c r="J30" s="407">
        <f>IF(Init!$R$9="Yes",'Staging Table'!K32,'Staging Table'!BM32)*(-1)*Rates_previous!$H$32</f>
        <v>0</v>
      </c>
      <c r="K30" s="407">
        <f>IF(Init!$R$12="No",0,'Staging Table'!$AW32*-1)</f>
        <v>0</v>
      </c>
      <c r="L30" s="407">
        <f>IF('Staging Table'!C32=1,"",SUM(D30:K30))</f>
        <v>2148114.4496690072</v>
      </c>
      <c r="M30" s="407">
        <f>IF('Staging Table'!C32=1,"",IF(Init!$R$9="Yes",(RT1SC!$C$3*'Staging Table'!E32*'Staging Table'!$F$2)+SUM('Staging Table'!L32:AI32)-IF(Init!$R$15="No",'Staging Table'!AV32, 0),X30))</f>
        <v>58909.421152250412</v>
      </c>
      <c r="N30" s="169">
        <f>IF('Staging Table'!C32=1,"",IF(M30=0, 0, L30/M30))</f>
        <v>36.464701361047858</v>
      </c>
      <c r="O30" s="407">
        <f>'Staging Table'!BG32*Rates_current!$E$75*100*12</f>
        <v>2684547.73728</v>
      </c>
      <c r="P30" s="407">
        <f>'Staging Table'!BH32*Rates_current!$E$76*100*12</f>
        <v>-377604.77496000007</v>
      </c>
      <c r="Q30" s="408">
        <f>SUMPRODUCT('Staging Table'!BN32:CK32, LS_Demand_Rates_Restatement!$C$5:$Z$5)-IF(Init!$R$15="No",('Staging Table'!CX32*Rates_current!$H$35), 0)</f>
        <v>-88281.006409894064</v>
      </c>
      <c r="R30" s="408">
        <f>SUMPRODUCT('Staging Table'!CL32:CW32, LS_Demand_Rates_Restatement!$C$11:$N$11)*1000</f>
        <v>102342.1385473736</v>
      </c>
      <c r="S30" s="409">
        <f>'Staging Table'!DH32*Rates_current!$H$33</f>
        <v>-66252.290325960101</v>
      </c>
      <c r="T30" s="409">
        <f>IF('Staging Table'!D32=1, 'Staging Table'!BJ32*-1,SUM(O30:S30)*'Staging Table'!BJ32*-1)</f>
        <v>0</v>
      </c>
      <c r="U30" s="407">
        <f>'Staging Table'!BM32*Rates_current!$H$32*-1</f>
        <v>0</v>
      </c>
      <c r="V30" s="407">
        <f>IF(Init!$R$12="No",0,'Staging Table'!$CY32*-1)</f>
        <v>0</v>
      </c>
      <c r="W30" s="407">
        <f>IF('Staging Table'!C32=1,"",SUM(O30:V30))</f>
        <v>2254751.804131519</v>
      </c>
      <c r="X30" s="407">
        <f>IF('Staging Table'!C32=1,"",(RT1SC!$C$4*'Staging Table'!BG32*'Staging Table'!$BH$2)+SUM('Staging Table'!BN32:CK32)-IF(Init!$R$15="No",'Staging Table'!CX32, 0))</f>
        <v>58909.421935218808</v>
      </c>
      <c r="Y30" s="169">
        <f>IF('Staging Table'!C32=1,"",IF(X30=0, 0, W30/X30))</f>
        <v>38.274892709200444</v>
      </c>
      <c r="Z30" s="160">
        <f>IF('Staging Table'!C32=1,"",Y30/N30-1)</f>
        <v>4.9642291876446309E-2</v>
      </c>
      <c r="AA30" s="97">
        <f t="shared" si="0"/>
        <v>49</v>
      </c>
      <c r="AD30" s="412"/>
      <c r="AE30" s="412"/>
      <c r="AF30" s="432"/>
      <c r="AG30" s="412"/>
      <c r="AH30" s="412"/>
    </row>
    <row r="31" spans="2:34">
      <c r="B31" s="3">
        <v>10081</v>
      </c>
      <c r="C31" s="4" t="s">
        <v>34</v>
      </c>
      <c r="D31" s="407">
        <f>IF(Init!$R$9="Yes",'Staging Table'!E33,'Staging Table'!BG33)*Rates_previous!$E$75*100*12</f>
        <v>3523371.05736</v>
      </c>
      <c r="E31" s="407">
        <f>IF(Init!$R$9="Yes",'Staging Table'!F33,'Staging Table'!BH33)*Rates_previous!$E$76*100*12</f>
        <v>-523786.14815999998</v>
      </c>
      <c r="F31" s="408">
        <f>IF(Init!$R$9="Yes",SUMPRODUCT('Staging Table'!L33:AI33,LS_Demand_Rates_Restatement!$C$4:$Z$4)-IF(Init!$R$15="No",('Staging Table'!AV33*Rates_previous!$H$35), 0),SUMPRODUCT('Staging Table'!BN33:CK33,LS_Demand_Rates_Restatement!$C$4:$Z$4)-IF(Init!$R$15="No", 'Staging Table'!CX33*Rates_previous!$H$35, 0))</f>
        <v>-107216.78232392599</v>
      </c>
      <c r="G31" s="408">
        <f>IF(Init!$R$9="Yes",SUMPRODUCT('Staging Table'!AJ33:AU33,LS_Demand_Rates_Restatement!$C$10:$N$10),SUMPRODUCT(LS_Demand_Rates_Restatement!$C$10:$N$10,'Staging Table'!CL33:CW33))*1000</f>
        <v>197381.99451573179</v>
      </c>
      <c r="H31" s="409">
        <f>IF(Init!$R$9="Yes",'Staging Table'!BF33,'Staging Table'!DH33)*Rates_previous!$H$33</f>
        <v>-53528.92228121173</v>
      </c>
      <c r="I31" s="409">
        <f>IF(Init!$R$9="Yes",IF('Staging Table'!D33=1,'Staging Table'!H33*-1,'Staging Table'!H33*SUM(D31:H31)*(-1)),IF('Staging Table'!D33=1,'Staging Table'!BJ33*-1,'Staging Table'!BJ33*SUM(D31:H31)*(-1)))</f>
        <v>0</v>
      </c>
      <c r="J31" s="407">
        <f>IF(Init!$R$9="Yes",'Staging Table'!K33,'Staging Table'!BM33)*(-1)*Rates_previous!$H$32</f>
        <v>0</v>
      </c>
      <c r="K31" s="407">
        <f>IF(Init!$R$12="No",0,'Staging Table'!$AW33*-1)</f>
        <v>0</v>
      </c>
      <c r="L31" s="407">
        <f>IF('Staging Table'!C33=1,"",SUM(D31:K31))</f>
        <v>3036221.1991105941</v>
      </c>
      <c r="M31" s="407">
        <f>IF('Staging Table'!C33=1,"",IF(Init!$R$9="Yes",(RT1SC!$C$3*'Staging Table'!E33*'Staging Table'!$F$2)+SUM('Staging Table'!L33:AI33)-IF(Init!$R$15="No",'Staging Table'!AV33, 0),X31))</f>
        <v>81264.49420551279</v>
      </c>
      <c r="N31" s="169">
        <f>IF('Staging Table'!C33=1,"",IF(M31=0, 0, L31/M31))</f>
        <v>37.362211243598978</v>
      </c>
      <c r="O31" s="407">
        <f>'Staging Table'!BG33*Rates_current!$E$75*100*12</f>
        <v>3556637.2224000003</v>
      </c>
      <c r="P31" s="407">
        <f>'Staging Table'!BH33*Rates_current!$E$76*100*12</f>
        <v>-500271.67680000002</v>
      </c>
      <c r="Q31" s="408">
        <f>SUMPRODUCT('Staging Table'!BN33:CK33, LS_Demand_Rates_Restatement!$C$5:$Z$5)-IF(Init!$R$15="No",('Staging Table'!CX33*Rates_current!$H$35), 0)</f>
        <v>-545.00288948382877</v>
      </c>
      <c r="R31" s="408">
        <f>SUMPRODUCT('Staging Table'!CL33:CW33, LS_Demand_Rates_Restatement!$C$11:$N$11)*1000</f>
        <v>190549.65987535607</v>
      </c>
      <c r="S31" s="409">
        <f>'Staging Table'!DH33*Rates_current!$H$33</f>
        <v>-46712.235702373</v>
      </c>
      <c r="T31" s="409">
        <f>IF('Staging Table'!D33=1, 'Staging Table'!BJ33*-1,SUM(O31:S31)*'Staging Table'!BJ33*-1)</f>
        <v>0</v>
      </c>
      <c r="U31" s="407">
        <f>'Staging Table'!BM33*Rates_current!$H$32*-1</f>
        <v>0</v>
      </c>
      <c r="V31" s="407">
        <f>IF(Init!$R$12="No",0,'Staging Table'!$CY33*-1)</f>
        <v>0</v>
      </c>
      <c r="W31" s="407">
        <f>IF('Staging Table'!C33=1,"",SUM(O31:V31))</f>
        <v>3199657.9668834996</v>
      </c>
      <c r="X31" s="407">
        <f>IF('Staging Table'!C33=1,"",(RT1SC!$C$4*'Staging Table'!BG33*'Staging Table'!$BH$2)+SUM('Staging Table'!BN33:CK33)-IF(Init!$R$15="No",'Staging Table'!CX33, 0))</f>
        <v>81264.495239029566</v>
      </c>
      <c r="Y31" s="169">
        <f>IF('Staging Table'!C33=1,"",IF(X31=0, 0, W31/X31))</f>
        <v>39.373381419180632</v>
      </c>
      <c r="Z31" s="160">
        <f>IF('Staging Table'!C33=1,"",Y31/N31-1)</f>
        <v>5.3828992145806609E-2</v>
      </c>
      <c r="AA31" s="97">
        <f t="shared" si="0"/>
        <v>28</v>
      </c>
      <c r="AD31" s="412"/>
      <c r="AE31" s="412"/>
      <c r="AF31" s="432"/>
      <c r="AG31" s="412"/>
      <c r="AH31" s="412"/>
    </row>
    <row r="32" spans="2:34">
      <c r="B32" s="3">
        <v>10082</v>
      </c>
      <c r="C32" s="4" t="s">
        <v>35</v>
      </c>
      <c r="D32" s="407">
        <f>IF(Init!$R$9="Yes",'Staging Table'!E34,'Staging Table'!BG34)*Rates_previous!$E$75*100*12</f>
        <v>40347.722519999996</v>
      </c>
      <c r="E32" s="407">
        <f>IF(Init!$R$9="Yes",'Staging Table'!F34,'Staging Table'!BH34)*Rates_previous!$E$76*100*12</f>
        <v>-5998.1131200000009</v>
      </c>
      <c r="F32" s="408">
        <f>IF(Init!$R$9="Yes",SUMPRODUCT('Staging Table'!L34:AI34,LS_Demand_Rates_Restatement!$C$4:$Z$4)-IF(Init!$R$15="No",('Staging Table'!AV34*Rates_previous!$H$35), 0),SUMPRODUCT('Staging Table'!BN34:CK34,LS_Demand_Rates_Restatement!$C$4:$Z$4)-IF(Init!$R$15="No", 'Staging Table'!CX34*Rates_previous!$H$35, 0))</f>
        <v>-4603.7595659315675</v>
      </c>
      <c r="G32" s="408">
        <f>IF(Init!$R$9="Yes",SUMPRODUCT('Staging Table'!AJ34:AU34,LS_Demand_Rates_Restatement!$C$10:$N$10),SUMPRODUCT(LS_Demand_Rates_Restatement!$C$10:$N$10,'Staging Table'!CL34:CW34))*1000</f>
        <v>3533.3347552439454</v>
      </c>
      <c r="H32" s="409">
        <f>IF(Init!$R$9="Yes",'Staging Table'!BF34,'Staging Table'!DH34)*Rates_previous!$H$33</f>
        <v>-1679.7122791722302</v>
      </c>
      <c r="I32" s="409">
        <f>IF(Init!$R$9="Yes",IF('Staging Table'!D34=1,'Staging Table'!H34*-1,'Staging Table'!H34*SUM(D32:H32)*(-1)),IF('Staging Table'!D34=1,'Staging Table'!BJ34*-1,'Staging Table'!BJ34*SUM(D32:H32)*(-1)))</f>
        <v>0</v>
      </c>
      <c r="J32" s="407">
        <f>IF(Init!$R$9="Yes",'Staging Table'!K34,'Staging Table'!BM34)*(-1)*Rates_previous!$H$32</f>
        <v>0</v>
      </c>
      <c r="K32" s="407">
        <f>IF(Init!$R$12="No",0,'Staging Table'!$AW34*-1)</f>
        <v>0</v>
      </c>
      <c r="L32" s="407">
        <f>IF('Staging Table'!C34=1,"",SUM(D32:K32))</f>
        <v>31599.472310140147</v>
      </c>
      <c r="M32" s="407">
        <f>IF('Staging Table'!C34=1,"",IF(Init!$R$9="Yes",(RT1SC!$C$3*'Staging Table'!E34*'Staging Table'!$F$2)+SUM('Staging Table'!L34:AI34)-IF(Init!$R$15="No",'Staging Table'!AV34, 0),X32))</f>
        <v>811.5780023534204</v>
      </c>
      <c r="N32" s="169">
        <f>IF('Staging Table'!C34=1,"",IF(M32=0, 0, L32/M32))</f>
        <v>38.935841309778901</v>
      </c>
      <c r="O32" s="407">
        <f>'Staging Table'!BG34*Rates_current!$E$75*100*12</f>
        <v>36942.148800000003</v>
      </c>
      <c r="P32" s="407">
        <f>'Staging Table'!BH34*Rates_current!$E$76*100*12</f>
        <v>-5196.231600000001</v>
      </c>
      <c r="Q32" s="408">
        <f>SUMPRODUCT('Staging Table'!BN34:CK34, LS_Demand_Rates_Restatement!$C$5:$Z$5)-IF(Init!$R$15="No",('Staging Table'!CX34*Rates_current!$H$35), 0)</f>
        <v>-946.39053851899178</v>
      </c>
      <c r="R32" s="408">
        <f>SUMPRODUCT('Staging Table'!CL34:CW34, LS_Demand_Rates_Restatement!$C$11:$N$11)*1000</f>
        <v>3527.3625460024932</v>
      </c>
      <c r="S32" s="409">
        <f>'Staging Table'!DH34*Rates_current!$H$33</f>
        <v>-933.07033591289996</v>
      </c>
      <c r="T32" s="409">
        <f>IF('Staging Table'!D34=1, 'Staging Table'!BJ34*-1,SUM(O32:S32)*'Staging Table'!BJ34*-1)</f>
        <v>0</v>
      </c>
      <c r="U32" s="407">
        <f>'Staging Table'!BM34*Rates_current!$H$32*-1</f>
        <v>0</v>
      </c>
      <c r="V32" s="407">
        <f>IF(Init!$R$12="No",0,'Staging Table'!$CY34*-1)</f>
        <v>0</v>
      </c>
      <c r="W32" s="407">
        <f>IF('Staging Table'!C34=1,"",SUM(O32:V32))</f>
        <v>33393.818871570613</v>
      </c>
      <c r="X32" s="407">
        <f>IF('Staging Table'!C34=1,"",(RT1SC!$C$4*'Staging Table'!BG34*'Staging Table'!$BH$2)+SUM('Staging Table'!BN34:CK34)-IF(Init!$R$15="No",'Staging Table'!CX34, 0))</f>
        <v>811.57801286957658</v>
      </c>
      <c r="Y32" s="169">
        <f>IF('Staging Table'!C34=1,"",IF(X32=0, 0, W32/X32))</f>
        <v>41.146776208853645</v>
      </c>
      <c r="Z32" s="160">
        <f>IF('Staging Table'!C34=1,"",Y32/N32-1)</f>
        <v>5.6784053578918137E-2</v>
      </c>
      <c r="AA32" s="97">
        <f t="shared" si="0"/>
        <v>23</v>
      </c>
      <c r="AD32" s="412"/>
      <c r="AE32" s="412"/>
      <c r="AF32" s="432"/>
      <c r="AG32" s="412"/>
      <c r="AH32" s="412"/>
    </row>
    <row r="33" spans="2:34">
      <c r="B33" s="3">
        <v>10083</v>
      </c>
      <c r="C33" s="4" t="s">
        <v>36</v>
      </c>
      <c r="D33" s="407">
        <f>IF(Init!$R$9="Yes",'Staging Table'!E35,'Staging Table'!BG35)*Rates_previous!$E$75*100*12</f>
        <v>2935729.9944000002</v>
      </c>
      <c r="E33" s="407">
        <f>IF(Init!$R$9="Yes",'Staging Table'!F35,'Staging Table'!BH35)*Rates_previous!$E$76*100*12</f>
        <v>-436427.12639999995</v>
      </c>
      <c r="F33" s="408">
        <f>IF(Init!$R$9="Yes",SUMPRODUCT('Staging Table'!L35:AI35,LS_Demand_Rates_Restatement!$C$4:$Z$4)-IF(Init!$R$15="No",('Staging Table'!AV35*Rates_previous!$H$35), 0),SUMPRODUCT('Staging Table'!BN35:CK35,LS_Demand_Rates_Restatement!$C$4:$Z$4)-IF(Init!$R$15="No", 'Staging Table'!CX35*Rates_previous!$H$35, 0))</f>
        <v>23177.11896929039</v>
      </c>
      <c r="G33" s="408">
        <f>IF(Init!$R$9="Yes",SUMPRODUCT('Staging Table'!AJ35:AU35,LS_Demand_Rates_Restatement!$C$10:$N$10),SUMPRODUCT(LS_Demand_Rates_Restatement!$C$10:$N$10,'Staging Table'!CL35:CW35))*1000</f>
        <v>136395.97254754274</v>
      </c>
      <c r="H33" s="409">
        <f>IF(Init!$R$9="Yes",'Staging Table'!BF35,'Staging Table'!DH35)*Rates_previous!$H$33</f>
        <v>0</v>
      </c>
      <c r="I33" s="409">
        <f>IF(Init!$R$9="Yes",IF('Staging Table'!D35=1,'Staging Table'!H35*-1,'Staging Table'!H35*SUM(D33:H33)*(-1)),IF('Staging Table'!D35=1,'Staging Table'!BJ35*-1,'Staging Table'!BJ35*SUM(D33:H33)*(-1)))</f>
        <v>0</v>
      </c>
      <c r="J33" s="407">
        <f>IF(Init!$R$9="Yes",'Staging Table'!K35,'Staging Table'!BM35)*(-1)*Rates_previous!$H$32</f>
        <v>0</v>
      </c>
      <c r="K33" s="407">
        <f>IF(Init!$R$12="No",0,'Staging Table'!$AW35*-1)</f>
        <v>0</v>
      </c>
      <c r="L33" s="407">
        <f>IF('Staging Table'!C35=1,"",SUM(D33:K33))</f>
        <v>2658875.9595168335</v>
      </c>
      <c r="M33" s="407">
        <f>IF('Staging Table'!C35=1,"",IF(Init!$R$9="Yes",(RT1SC!$C$3*'Staging Table'!E35*'Staging Table'!$F$2)+SUM('Staging Table'!L35:AI35)-IF(Init!$R$15="No",'Staging Table'!AV35, 0),X33))</f>
        <v>72749.088000000003</v>
      </c>
      <c r="N33" s="169">
        <f>IF('Staging Table'!C35=1,"",IF(M33=0, 0, L33/M33))</f>
        <v>36.54858133090044</v>
      </c>
      <c r="O33" s="407">
        <f>'Staging Table'!BG35*Rates_current!$E$75*100*12</f>
        <v>3018810.4905600003</v>
      </c>
      <c r="P33" s="407">
        <f>'Staging Table'!BH35*Rates_current!$E$76*100*12</f>
        <v>-424621.71192000003</v>
      </c>
      <c r="Q33" s="408">
        <f>SUMPRODUCT('Staging Table'!BN35:CK35, LS_Demand_Rates_Restatement!$C$5:$Z$5)-IF(Init!$R$15="No",('Staging Table'!CX35*Rates_current!$H$35), 0)</f>
        <v>46702.479138353112</v>
      </c>
      <c r="R33" s="408">
        <f>SUMPRODUCT('Staging Table'!CL35:CW35, LS_Demand_Rates_Restatement!$C$11:$N$11)*1000</f>
        <v>128593.16362791134</v>
      </c>
      <c r="S33" s="409">
        <f>'Staging Table'!DH35*Rates_current!$H$33</f>
        <v>0</v>
      </c>
      <c r="T33" s="409">
        <f>IF('Staging Table'!D35=1, 'Staging Table'!BJ35*-1,SUM(O33:S33)*'Staging Table'!BJ35*-1)</f>
        <v>0</v>
      </c>
      <c r="U33" s="407">
        <f>'Staging Table'!BM35*Rates_current!$H$32*-1</f>
        <v>0</v>
      </c>
      <c r="V33" s="407">
        <f>IF(Init!$R$12="No",0,'Staging Table'!$CY35*-1)</f>
        <v>0</v>
      </c>
      <c r="W33" s="407">
        <f>IF('Staging Table'!C35=1,"",SUM(O33:V33))</f>
        <v>2769484.4214062644</v>
      </c>
      <c r="X33" s="407">
        <f>IF('Staging Table'!C35=1,"",(RT1SC!$C$4*'Staging Table'!BG35*'Staging Table'!$BH$2)+SUM('Staging Table'!BN35:CK35)-IF(Init!$R$15="No",'Staging Table'!CX35, 0))</f>
        <v>72086.039999999994</v>
      </c>
      <c r="Y33" s="169">
        <f>IF('Staging Table'!C35=1,"",IF(X33=0, 0, W33/X33))</f>
        <v>38.419150523544708</v>
      </c>
      <c r="Z33" s="160">
        <f>IF('Staging Table'!C35=1,"",Y33/N33-1)</f>
        <v>5.1180350222315596E-2</v>
      </c>
      <c r="AA33" s="97">
        <f t="shared" si="0"/>
        <v>41</v>
      </c>
      <c r="AD33" s="412"/>
      <c r="AE33" s="412"/>
      <c r="AF33" s="432"/>
      <c r="AG33" s="412"/>
      <c r="AH33" s="412"/>
    </row>
    <row r="34" spans="2:34">
      <c r="B34" s="3">
        <v>10086</v>
      </c>
      <c r="C34" s="4" t="s">
        <v>37</v>
      </c>
      <c r="D34" s="407">
        <f>IF(Init!$R$9="Yes",'Staging Table'!E36,'Staging Table'!BG36)*Rates_previous!$E$75*100*12</f>
        <v>1384941.7637999998</v>
      </c>
      <c r="E34" s="407">
        <f>IF(Init!$R$9="Yes",'Staging Table'!F36,'Staging Table'!BH36)*Rates_previous!$E$76*100*12</f>
        <v>-205886.15280000001</v>
      </c>
      <c r="F34" s="408">
        <f>IF(Init!$R$9="Yes",SUMPRODUCT('Staging Table'!L36:AI36,LS_Demand_Rates_Restatement!$C$4:$Z$4)-IF(Init!$R$15="No",('Staging Table'!AV36*Rates_previous!$H$35), 0),SUMPRODUCT('Staging Table'!BN36:CK36,LS_Demand_Rates_Restatement!$C$4:$Z$4)-IF(Init!$R$15="No", 'Staging Table'!CX36*Rates_previous!$H$35, 0))</f>
        <v>-12126.368639552888</v>
      </c>
      <c r="G34" s="408">
        <f>IF(Init!$R$9="Yes",SUMPRODUCT('Staging Table'!AJ36:AU36,LS_Demand_Rates_Restatement!$C$10:$N$10),SUMPRODUCT(LS_Demand_Rates_Restatement!$C$10:$N$10,'Staging Table'!CL36:CW36))*1000</f>
        <v>71125.620328828358</v>
      </c>
      <c r="H34" s="409">
        <f>IF(Init!$R$9="Yes",'Staging Table'!BF36,'Staging Table'!DH36)*Rates_previous!$H$33</f>
        <v>-6901.008035083597</v>
      </c>
      <c r="I34" s="409">
        <f>IF(Init!$R$9="Yes",IF('Staging Table'!D36=1,'Staging Table'!H36*-1,'Staging Table'!H36*SUM(D34:H34)*(-1)),IF('Staging Table'!D36=1,'Staging Table'!BJ36*-1,'Staging Table'!BJ36*SUM(D34:H34)*(-1)))</f>
        <v>0</v>
      </c>
      <c r="J34" s="407">
        <f>IF(Init!$R$9="Yes",'Staging Table'!K36,'Staging Table'!BM36)*(-1)*Rates_previous!$H$32</f>
        <v>0</v>
      </c>
      <c r="K34" s="407">
        <f>IF(Init!$R$12="No",0,'Staging Table'!$AW36*-1)</f>
        <v>0</v>
      </c>
      <c r="L34" s="407">
        <f>IF('Staging Table'!C36=1,"",SUM(D34:K34))</f>
        <v>1231153.8546541918</v>
      </c>
      <c r="M34" s="407">
        <f>IF('Staging Table'!C36=1,"",IF(Init!$R$9="Yes",(RT1SC!$C$3*'Staging Table'!E36*'Staging Table'!$F$2)+SUM('Staging Table'!L36:AI36)-IF(Init!$R$15="No",'Staging Table'!AV36, 0),X34))</f>
        <v>33539.313080781518</v>
      </c>
      <c r="N34" s="169">
        <f>IF('Staging Table'!C36=1,"",IF(M34=0, 0, L34/M34))</f>
        <v>36.707783838293921</v>
      </c>
      <c r="O34" s="407">
        <f>'Staging Table'!BG36*Rates_current!$E$75*100*12</f>
        <v>1424183.5296</v>
      </c>
      <c r="P34" s="407">
        <f>'Staging Table'!BH36*Rates_current!$E$76*100*12</f>
        <v>-200323.68719999999</v>
      </c>
      <c r="Q34" s="408">
        <f>SUMPRODUCT('Staging Table'!BN36:CK36, LS_Demand_Rates_Restatement!$C$5:$Z$5)-IF(Init!$R$15="No",('Staging Table'!CX36*Rates_current!$H$35), 0)</f>
        <v>7217.3688229574118</v>
      </c>
      <c r="R34" s="408">
        <f>SUMPRODUCT('Staging Table'!CL36:CW36, LS_Demand_Rates_Restatement!$C$11:$N$11)*1000</f>
        <v>68287.601050525307</v>
      </c>
      <c r="S34" s="409">
        <f>'Staging Table'!DH36*Rates_current!$H$33</f>
        <v>-5954.3329241594383</v>
      </c>
      <c r="T34" s="409">
        <f>IF('Staging Table'!D36=1, 'Staging Table'!BJ36*-1,SUM(O34:S34)*'Staging Table'!BJ36*-1)</f>
        <v>0</v>
      </c>
      <c r="U34" s="407">
        <f>'Staging Table'!BM36*Rates_current!$H$32*-1</f>
        <v>0</v>
      </c>
      <c r="V34" s="407">
        <f>IF(Init!$R$12="No",0,'Staging Table'!$CY36*-1)</f>
        <v>0</v>
      </c>
      <c r="W34" s="407">
        <f>IF('Staging Table'!C36=1,"",SUM(O34:V34))</f>
        <v>1293410.4793493231</v>
      </c>
      <c r="X34" s="407">
        <f>IF('Staging Table'!C36=1,"",(RT1SC!$C$4*'Staging Table'!BG36*'Staging Table'!$BH$2)+SUM('Staging Table'!BN36:CK36)-IF(Init!$R$15="No",'Staging Table'!CX36, 0))</f>
        <v>33539.313496144357</v>
      </c>
      <c r="Y34" s="169">
        <f>IF('Staging Table'!C36=1,"",IF(X34=0, 0, W34/X34))</f>
        <v>38.56401173798659</v>
      </c>
      <c r="Z34" s="160">
        <f>IF('Staging Table'!C36=1,"",Y34/N34-1)</f>
        <v>5.0567691797188674E-2</v>
      </c>
      <c r="AA34" s="97">
        <f t="shared" si="0"/>
        <v>43</v>
      </c>
      <c r="AD34" s="412"/>
      <c r="AE34" s="412"/>
      <c r="AF34" s="432"/>
      <c r="AG34" s="412"/>
      <c r="AH34" s="412"/>
    </row>
    <row r="35" spans="2:34">
      <c r="B35" s="3">
        <v>10087</v>
      </c>
      <c r="C35" s="4" t="s">
        <v>38</v>
      </c>
      <c r="D35" s="407">
        <f>IF(Init!$R$9="Yes",'Staging Table'!E37,'Staging Table'!BG37)*Rates_previous!$E$75*100*12</f>
        <v>29573642.946960002</v>
      </c>
      <c r="E35" s="407">
        <f>IF(Init!$R$9="Yes",'Staging Table'!F37,'Staging Table'!BH37)*Rates_previous!$E$76*100*12</f>
        <v>-4396432.92576</v>
      </c>
      <c r="F35" s="408">
        <f>IF(Init!$R$9="Yes",SUMPRODUCT('Staging Table'!L37:AI37,LS_Demand_Rates_Restatement!$C$4:$Z$4)-IF(Init!$R$15="No",('Staging Table'!AV37*Rates_previous!$H$35), 0),SUMPRODUCT('Staging Table'!BN37:CK37,LS_Demand_Rates_Restatement!$C$4:$Z$4)-IF(Init!$R$15="No", 'Staging Table'!CX37*Rates_previous!$H$35, 0))</f>
        <v>-11812068.762857474</v>
      </c>
      <c r="G35" s="408">
        <f>IF(Init!$R$9="Yes",SUMPRODUCT('Staging Table'!AJ37:AU37,LS_Demand_Rates_Restatement!$C$10:$N$10),SUMPRODUCT(LS_Demand_Rates_Restatement!$C$10:$N$10,'Staging Table'!CL37:CW37))*1000</f>
        <v>121940.68507115396</v>
      </c>
      <c r="H35" s="409">
        <f>IF(Init!$R$9="Yes",'Staging Table'!BF37,'Staging Table'!DH37)*Rates_previous!$H$33</f>
        <v>-4096408.5205838839</v>
      </c>
      <c r="I35" s="409">
        <f>IF(Init!$R$9="Yes",IF('Staging Table'!D37=1,'Staging Table'!H37*-1,'Staging Table'!H37*SUM(D35:H35)*(-1)),IF('Staging Table'!D37=1,'Staging Table'!BJ37*-1,'Staging Table'!BJ37*SUM(D35:H35)*(-1)))</f>
        <v>0</v>
      </c>
      <c r="J35" s="407">
        <f>IF(Init!$R$9="Yes",'Staging Table'!K37,'Staging Table'!BM37)*(-1)*Rates_previous!$H$32</f>
        <v>0</v>
      </c>
      <c r="K35" s="407">
        <f>IF(Init!$R$12="No",0,'Staging Table'!$AW37*-1)</f>
        <v>0</v>
      </c>
      <c r="L35" s="407">
        <f>IF('Staging Table'!C37=1,"",SUM(D35:K35))</f>
        <v>9390673.4228297956</v>
      </c>
      <c r="M35" s="407">
        <f>IF('Staging Table'!C37=1,"",IF(Init!$R$9="Yes",(RT1SC!$C$3*'Staging Table'!E37*'Staging Table'!$F$2)+SUM('Staging Table'!L37:AI37)-IF(Init!$R$15="No",'Staging Table'!AV37, 0),X35))</f>
        <v>269978.10072498495</v>
      </c>
      <c r="N35" s="169">
        <f>IF('Staging Table'!C37=1,"",IF(M35=0, 0, L35/M35))</f>
        <v>34.783093138341876</v>
      </c>
      <c r="O35" s="407">
        <f>'Staging Table'!BG37*Rates_current!$E$75*100*12</f>
        <v>11306080.946880002</v>
      </c>
      <c r="P35" s="407">
        <f>'Staging Table'!BH37*Rates_current!$E$76*100*12</f>
        <v>-1590297.7221599999</v>
      </c>
      <c r="Q35" s="408">
        <f>SUMPRODUCT('Staging Table'!BN37:CK37, LS_Demand_Rates_Restatement!$C$5:$Z$5)-IF(Init!$R$15="No",('Staging Table'!CX37*Rates_current!$H$35), 0)</f>
        <v>123722.95004539769</v>
      </c>
      <c r="R35" s="408">
        <f>SUMPRODUCT('Staging Table'!CL37:CW37, LS_Demand_Rates_Restatement!$C$11:$N$11)*1000</f>
        <v>95551.31824511227</v>
      </c>
      <c r="S35" s="409">
        <f>'Staging Table'!DH37*Rates_current!$H$33</f>
        <v>46.702468574163504</v>
      </c>
      <c r="T35" s="409">
        <f>IF('Staging Table'!D37=1, 'Staging Table'!BJ37*-1,SUM(O35:S35)*'Staging Table'!BJ37*-1)</f>
        <v>0</v>
      </c>
      <c r="U35" s="407">
        <f>'Staging Table'!BM37*Rates_current!$H$32*-1</f>
        <v>0</v>
      </c>
      <c r="V35" s="407">
        <f>IF(Init!$R$12="No",0,'Staging Table'!$CY37*-1)</f>
        <v>0</v>
      </c>
      <c r="W35" s="407">
        <f>IF('Staging Table'!C37=1,"",SUM(O35:V35))</f>
        <v>9935104.1954790857</v>
      </c>
      <c r="X35" s="407">
        <f>IF('Staging Table'!C37=1,"",(RT1SC!$C$4*'Staging Table'!BG37*'Staging Table'!$BH$2)+SUM('Staging Table'!BN37:CK37)-IF(Init!$R$15="No",'Staging Table'!CX37, 0))</f>
        <v>269978.1029387117</v>
      </c>
      <c r="Y35" s="169">
        <f>IF('Staging Table'!C37=1,"",IF(X35=0, 0, W35/X35))</f>
        <v>36.799666666798068</v>
      </c>
      <c r="Z35" s="160">
        <f>IF('Staging Table'!C37=1,"",Y35/N35-1)</f>
        <v>5.7975681473632301E-2</v>
      </c>
      <c r="AA35" s="97">
        <f t="shared" si="0"/>
        <v>18</v>
      </c>
      <c r="AD35" s="412"/>
      <c r="AE35" s="412"/>
      <c r="AF35" s="432"/>
      <c r="AG35" s="412"/>
      <c r="AH35" s="412"/>
    </row>
    <row r="36" spans="2:34">
      <c r="B36" s="3">
        <v>10089</v>
      </c>
      <c r="C36" s="4" t="s">
        <v>39</v>
      </c>
      <c r="D36" s="407">
        <f>IF(Init!$R$9="Yes",'Staging Table'!E38,'Staging Table'!BG38)*Rates_previous!$E$75*100*12</f>
        <v>36348347.349720001</v>
      </c>
      <c r="E36" s="407">
        <f>IF(Init!$R$9="Yes",'Staging Table'!F38,'Staging Table'!BH38)*Rates_previous!$E$76*100*12</f>
        <v>-5403563.9563200008</v>
      </c>
      <c r="F36" s="408">
        <f>IF(Init!$R$9="Yes",SUMPRODUCT('Staging Table'!L38:AI38,LS_Demand_Rates_Restatement!$C$4:$Z$4)-IF(Init!$R$15="No",('Staging Table'!AV38*Rates_previous!$H$35), 0),SUMPRODUCT('Staging Table'!BN38:CK38,LS_Demand_Rates_Restatement!$C$4:$Z$4)-IF(Init!$R$15="No", 'Staging Table'!CX38*Rates_previous!$H$35, 0))</f>
        <v>223783.92588029476</v>
      </c>
      <c r="G36" s="408">
        <f>IF(Init!$R$9="Yes",SUMPRODUCT('Staging Table'!AJ38:AU38,LS_Demand_Rates_Restatement!$C$10:$N$10),SUMPRODUCT(LS_Demand_Rates_Restatement!$C$10:$N$10,'Staging Table'!CL38:CW38))*1000</f>
        <v>1779263.0941462254</v>
      </c>
      <c r="H36" s="409">
        <f>IF(Init!$R$9="Yes",'Staging Table'!BF38,'Staging Table'!DH38)*Rates_previous!$H$33</f>
        <v>0</v>
      </c>
      <c r="I36" s="409">
        <f>IF(Init!$R$9="Yes",IF('Staging Table'!D38=1,'Staging Table'!H38*-1,'Staging Table'!H38*SUM(D36:H36)*(-1)),IF('Staging Table'!D38=1,'Staging Table'!BJ38*-1,'Staging Table'!BJ38*SUM(D36:H36)*(-1)))</f>
        <v>0</v>
      </c>
      <c r="J36" s="407">
        <f>IF(Init!$R$9="Yes",'Staging Table'!K38,'Staging Table'!BM38)*(-1)*Rates_previous!$H$32</f>
        <v>0</v>
      </c>
      <c r="K36" s="407">
        <f>IF(Init!$R$12="No",0,'Staging Table'!$AW38*-1)</f>
        <v>0</v>
      </c>
      <c r="L36" s="407">
        <f>IF('Staging Table'!C38=1,"",SUM(D36:K36))</f>
        <v>32947830.413426518</v>
      </c>
      <c r="M36" s="407">
        <f>IF('Staging Table'!C38=1,"",IF(Init!$R$9="Yes",(RT1SC!$C$3*'Staging Table'!E38*'Staging Table'!$F$2)+SUM('Staging Table'!L38:AI38)-IF(Init!$R$15="No",'Staging Table'!AV38, 0),X36))</f>
        <v>900728.92799999996</v>
      </c>
      <c r="N36" s="169">
        <f>IF('Staging Table'!C38=1,"",IF(M36=0, 0, L36/M36))</f>
        <v>36.57907433547701</v>
      </c>
      <c r="O36" s="407">
        <f>'Staging Table'!BG38*Rates_current!$E$75*100*12</f>
        <v>37488637.8288</v>
      </c>
      <c r="P36" s="407">
        <f>'Staging Table'!BH38*Rates_current!$E$76*100*12</f>
        <v>-5273099.9916000003</v>
      </c>
      <c r="Q36" s="408">
        <f>SUMPRODUCT('Staging Table'!BN38:CK38, LS_Demand_Rates_Restatement!$C$5:$Z$5)-IF(Init!$R$15="No",('Staging Table'!CX38*Rates_current!$H$35), 0)</f>
        <v>330365.68872946792</v>
      </c>
      <c r="R36" s="408">
        <f>SUMPRODUCT('Staging Table'!CL38:CW38, LS_Demand_Rates_Restatement!$C$11:$N$11)*1000</f>
        <v>1670417.4363388983</v>
      </c>
      <c r="S36" s="409">
        <f>'Staging Table'!DH38*Rates_current!$H$33</f>
        <v>0</v>
      </c>
      <c r="T36" s="409">
        <f>IF('Staging Table'!D38=1, 'Staging Table'!BJ38*-1,SUM(O36:S36)*'Staging Table'!BJ38*-1)</f>
        <v>0</v>
      </c>
      <c r="U36" s="407">
        <f>'Staging Table'!BM38*Rates_current!$H$32*-1</f>
        <v>0</v>
      </c>
      <c r="V36" s="407">
        <f>IF(Init!$R$12="No",0,'Staging Table'!$CY38*-1)</f>
        <v>0</v>
      </c>
      <c r="W36" s="407">
        <f>IF('Staging Table'!C38=1,"",SUM(O36:V36))</f>
        <v>34216320.962268367</v>
      </c>
      <c r="X36" s="407">
        <f>IF('Staging Table'!C38=1,"",(RT1SC!$C$4*'Staging Table'!BG38*'Staging Table'!$BH$2)+SUM('Staging Table'!BN38:CK38)-IF(Init!$R$15="No",'Staging Table'!CX38, 0))</f>
        <v>892553.06805995747</v>
      </c>
      <c r="Y36" s="169">
        <f>IF('Staging Table'!C38=1,"",IF(X36=0, 0, W36/X36))</f>
        <v>38.335335104096998</v>
      </c>
      <c r="Z36" s="160">
        <f>IF('Staging Table'!C38=1,"",Y36/N36-1)</f>
        <v>4.8012717667834437E-2</v>
      </c>
      <c r="AA36" s="97">
        <f t="shared" ref="AA36:AA67" si="1">IF(Z36="","",RANK(Z36,$Z$4:$Z$138))</f>
        <v>68</v>
      </c>
      <c r="AD36" s="412"/>
      <c r="AE36" s="412"/>
      <c r="AF36" s="432"/>
      <c r="AG36" s="412"/>
      <c r="AH36" s="412"/>
    </row>
    <row r="37" spans="2:34">
      <c r="B37" s="3">
        <v>10091</v>
      </c>
      <c r="C37" s="4" t="s">
        <v>40</v>
      </c>
      <c r="D37" s="407">
        <f>IF(Init!$R$9="Yes",'Staging Table'!E39,'Staging Table'!BG39)*Rates_previous!$E$75*100*12</f>
        <v>3307275.5864399998</v>
      </c>
      <c r="E37" s="407">
        <f>IF(Init!$R$9="Yes",'Staging Table'!F39,'Staging Table'!BH39)*Rates_previous!$E$76*100*12</f>
        <v>-491661.28463999997</v>
      </c>
      <c r="F37" s="408">
        <f>IF(Init!$R$9="Yes",SUMPRODUCT('Staging Table'!L39:AI39,LS_Demand_Rates_Restatement!$C$4:$Z$4)-IF(Init!$R$15="No",('Staging Table'!AV39*Rates_previous!$H$35), 0),SUMPRODUCT('Staging Table'!BN39:CK39,LS_Demand_Rates_Restatement!$C$4:$Z$4)-IF(Init!$R$15="No", 'Staging Table'!CX39*Rates_previous!$H$35, 0))</f>
        <v>21086.17700182374</v>
      </c>
      <c r="G37" s="408">
        <f>IF(Init!$R$9="Yes",SUMPRODUCT('Staging Table'!AJ39:AU39,LS_Demand_Rates_Restatement!$C$10:$N$10),SUMPRODUCT(LS_Demand_Rates_Restatement!$C$10:$N$10,'Staging Table'!CL39:CW39))*1000</f>
        <v>202798.61035109509</v>
      </c>
      <c r="H37" s="409">
        <f>IF(Init!$R$9="Yes",'Staging Table'!BF39,'Staging Table'!DH39)*Rates_previous!$H$33</f>
        <v>0</v>
      </c>
      <c r="I37" s="409">
        <f>IF(Init!$R$9="Yes",IF('Staging Table'!D39=1,'Staging Table'!H39*-1,'Staging Table'!H39*SUM(D37:H37)*(-1)),IF('Staging Table'!D39=1,'Staging Table'!BJ39*-1,'Staging Table'!BJ39*SUM(D37:H37)*(-1)))</f>
        <v>0</v>
      </c>
      <c r="J37" s="407">
        <f>IF(Init!$R$9="Yes",'Staging Table'!K39,'Staging Table'!BM39)*(-1)*Rates_previous!$H$32</f>
        <v>0</v>
      </c>
      <c r="K37" s="407">
        <f>IF(Init!$R$12="No",0,'Staging Table'!$AW39*-1)</f>
        <v>0</v>
      </c>
      <c r="L37" s="407">
        <f>IF('Staging Table'!C39=1,"",SUM(D37:K37))</f>
        <v>3039499.0891529182</v>
      </c>
      <c r="M37" s="407">
        <f>IF('Staging Table'!C39=1,"",IF(Init!$R$9="Yes",(RT1SC!$C$3*'Staging Table'!E39*'Staging Table'!$F$2)+SUM('Staging Table'!L39:AI39)-IF(Init!$R$15="No",'Staging Table'!AV39, 0),X37))</f>
        <v>81954.720000000001</v>
      </c>
      <c r="N37" s="169">
        <f>IF('Staging Table'!C39=1,"",IF(M37=0, 0, L37/M37))</f>
        <v>37.087541622409525</v>
      </c>
      <c r="O37" s="407">
        <f>'Staging Table'!BG39*Rates_current!$E$75*100*12</f>
        <v>3400970.65056</v>
      </c>
      <c r="P37" s="407">
        <f>'Staging Table'!BH39*Rates_current!$E$76*100*12</f>
        <v>-478375.83192000003</v>
      </c>
      <c r="Q37" s="408">
        <f>SUMPRODUCT('Staging Table'!BN39:CK39, LS_Demand_Rates_Restatement!$C$5:$Z$5)-IF(Init!$R$15="No",('Staging Table'!CX39*Rates_current!$H$35), 0)</f>
        <v>46465.437096678841</v>
      </c>
      <c r="R37" s="408">
        <f>SUMPRODUCT('Staging Table'!CL39:CW39, LS_Demand_Rates_Restatement!$C$11:$N$11)*1000</f>
        <v>192062.59850649041</v>
      </c>
      <c r="S37" s="409">
        <f>'Staging Table'!DH39*Rates_current!$H$33</f>
        <v>0</v>
      </c>
      <c r="T37" s="409">
        <f>IF('Staging Table'!D39=1, 'Staging Table'!BJ39*-1,SUM(O37:S37)*'Staging Table'!BJ39*-1)</f>
        <v>0</v>
      </c>
      <c r="U37" s="407">
        <f>'Staging Table'!BM39*Rates_current!$H$32*-1</f>
        <v>0</v>
      </c>
      <c r="V37" s="407">
        <f>IF(Init!$R$12="No",0,'Staging Table'!$CY39*-1)</f>
        <v>0</v>
      </c>
      <c r="W37" s="407">
        <f>IF('Staging Table'!C39=1,"",SUM(O37:V37))</f>
        <v>3161122.8542431691</v>
      </c>
      <c r="X37" s="407">
        <f>IF('Staging Table'!C39=1,"",(RT1SC!$C$4*'Staging Table'!BG39*'Staging Table'!$BH$2)+SUM('Staging Table'!BN39:CK39)-IF(Init!$R$15="No",'Staging Table'!CX39, 0))</f>
        <v>81213.960000000006</v>
      </c>
      <c r="Y37" s="169">
        <f>IF('Staging Table'!C39=1,"",IF(X37=0, 0, W37/X37))</f>
        <v>38.923392656178429</v>
      </c>
      <c r="Z37" s="160">
        <f>IF('Staging Table'!C39=1,"",Y37/N37-1)</f>
        <v>4.9500477881759153E-2</v>
      </c>
      <c r="AA37" s="97">
        <f t="shared" si="1"/>
        <v>52</v>
      </c>
      <c r="AD37" s="412"/>
      <c r="AE37" s="412"/>
      <c r="AF37" s="432"/>
      <c r="AG37" s="412"/>
      <c r="AH37" s="412"/>
    </row>
    <row r="38" spans="2:34">
      <c r="B38" s="3">
        <v>10094</v>
      </c>
      <c r="C38" s="4" t="s">
        <v>41</v>
      </c>
      <c r="D38" s="407">
        <f>IF(Init!$R$9="Yes",'Staging Table'!E40,'Staging Table'!BG40)*Rates_previous!$E$75*100*12</f>
        <v>1042604.95248</v>
      </c>
      <c r="E38" s="407">
        <f>IF(Init!$R$9="Yes",'Staging Table'!F40,'Staging Table'!BH40)*Rates_previous!$E$76*100*12</f>
        <v>-154994.18687999999</v>
      </c>
      <c r="F38" s="408">
        <f>IF(Init!$R$9="Yes",SUMPRODUCT('Staging Table'!L40:AI40,LS_Demand_Rates_Restatement!$C$4:$Z$4)-IF(Init!$R$15="No",('Staging Table'!AV40*Rates_previous!$H$35), 0),SUMPRODUCT('Staging Table'!BN40:CK40,LS_Demand_Rates_Restatement!$C$4:$Z$4)-IF(Init!$R$15="No", 'Staging Table'!CX40*Rates_previous!$H$35, 0))</f>
        <v>22139.938943451147</v>
      </c>
      <c r="G38" s="408">
        <f>IF(Init!$R$9="Yes",SUMPRODUCT('Staging Table'!AJ40:AU40,LS_Demand_Rates_Restatement!$C$10:$N$10),SUMPRODUCT(LS_Demand_Rates_Restatement!$C$10:$N$10,'Staging Table'!CL40:CW40))*1000</f>
        <v>57009.878895254646</v>
      </c>
      <c r="H38" s="409">
        <f>IF(Init!$R$9="Yes",'Staging Table'!BF40,'Staging Table'!DH40)*Rates_previous!$H$33</f>
        <v>5130.7344000000212</v>
      </c>
      <c r="I38" s="409">
        <f>IF(Init!$R$9="Yes",IF('Staging Table'!D40=1,'Staging Table'!H40*-1,'Staging Table'!H40*SUM(D38:H38)*(-1)),IF('Staging Table'!D40=1,'Staging Table'!BJ40*-1,'Staging Table'!BJ40*SUM(D38:H38)*(-1)))</f>
        <v>0</v>
      </c>
      <c r="J38" s="407">
        <f>IF(Init!$R$9="Yes",'Staging Table'!K40,'Staging Table'!BM40)*(-1)*Rates_previous!$H$32</f>
        <v>0</v>
      </c>
      <c r="K38" s="407">
        <f>IF(Init!$R$12="No",0,'Staging Table'!$AW40*-1)</f>
        <v>0</v>
      </c>
      <c r="L38" s="407">
        <f>IF('Staging Table'!C40=1,"",SUM(D38:K38))</f>
        <v>971891.31783870596</v>
      </c>
      <c r="M38" s="407">
        <f>IF('Staging Table'!C40=1,"",IF(Init!$R$9="Yes",(RT1SC!$C$3*'Staging Table'!E40*'Staging Table'!$F$2)+SUM('Staging Table'!L40:AI40)-IF(Init!$R$15="No",'Staging Table'!AV40, 0),X38))</f>
        <v>26413.488000000001</v>
      </c>
      <c r="N38" s="169">
        <f>IF('Staging Table'!C40=1,"",IF(M38=0, 0, L38/M38))</f>
        <v>36.7952660337289</v>
      </c>
      <c r="O38" s="407">
        <f>'Staging Table'!BG40*Rates_current!$E$75*100*12</f>
        <v>1096035.3388799999</v>
      </c>
      <c r="P38" s="407">
        <f>'Staging Table'!BH40*Rates_current!$E$76*100*12</f>
        <v>-154166.81615999999</v>
      </c>
      <c r="Q38" s="408">
        <f>SUMPRODUCT('Staging Table'!BN40:CK40, LS_Demand_Rates_Restatement!$C$5:$Z$5)-IF(Init!$R$15="No",('Staging Table'!CX40*Rates_current!$H$35), 0)</f>
        <v>13767.370062037822</v>
      </c>
      <c r="R38" s="408">
        <f>SUMPRODUCT('Staging Table'!CL40:CW40, LS_Demand_Rates_Restatement!$C$11:$N$11)*1000</f>
        <v>53354.945680929515</v>
      </c>
      <c r="S38" s="409">
        <f>'Staging Table'!DH40*Rates_current!$H$33</f>
        <v>0</v>
      </c>
      <c r="T38" s="409">
        <f>IF('Staging Table'!D40=1, 'Staging Table'!BJ40*-1,SUM(O38:S38)*'Staging Table'!BJ40*-1)</f>
        <v>0</v>
      </c>
      <c r="U38" s="407">
        <f>'Staging Table'!BM40*Rates_current!$H$32*-1</f>
        <v>0</v>
      </c>
      <c r="V38" s="407">
        <f>IF(Init!$R$12="No",0,'Staging Table'!$CY40*-1)</f>
        <v>0</v>
      </c>
      <c r="W38" s="407">
        <f>IF('Staging Table'!C40=1,"",SUM(O38:V38))</f>
        <v>1008990.8384629673</v>
      </c>
      <c r="X38" s="407">
        <f>IF('Staging Table'!C40=1,"",(RT1SC!$C$4*'Staging Table'!BG40*'Staging Table'!$BH$2)+SUM('Staging Table'!BN40:CK40)-IF(Init!$R$15="No",'Staging Table'!CX40, 0))</f>
        <v>26174.880000000001</v>
      </c>
      <c r="Y38" s="169">
        <f>IF('Staging Table'!C40=1,"",IF(X38=0, 0, W38/X38))</f>
        <v>38.548059760463744</v>
      </c>
      <c r="Z38" s="160">
        <f>IF('Staging Table'!C40=1,"",Y38/N38-1)</f>
        <v>4.7636392277422779E-2</v>
      </c>
      <c r="AA38" s="97">
        <f t="shared" si="1"/>
        <v>71</v>
      </c>
      <c r="AD38" s="412"/>
      <c r="AE38" s="412"/>
      <c r="AF38" s="432"/>
      <c r="AG38" s="412"/>
      <c r="AH38" s="412"/>
    </row>
    <row r="39" spans="2:34">
      <c r="B39" s="3">
        <v>10095</v>
      </c>
      <c r="C39" s="4" t="s">
        <v>42</v>
      </c>
      <c r="D39" s="407">
        <f>IF(Init!$R$9="Yes",'Staging Table'!E41,'Staging Table'!BG41)*Rates_previous!$E$75*100*12</f>
        <v>1278502.9865999999</v>
      </c>
      <c r="E39" s="407">
        <f>IF(Init!$R$9="Yes",'Staging Table'!F41,'Staging Table'!BH41)*Rates_previous!$E$76*100*12</f>
        <v>-190062.90960000001</v>
      </c>
      <c r="F39" s="408">
        <f>IF(Init!$R$9="Yes",SUMPRODUCT('Staging Table'!L41:AI41,LS_Demand_Rates_Restatement!$C$4:$Z$4)-IF(Init!$R$15="No",('Staging Table'!AV41*Rates_previous!$H$35), 0),SUMPRODUCT('Staging Table'!BN41:CK41,LS_Demand_Rates_Restatement!$C$4:$Z$4)-IF(Init!$R$15="No", 'Staging Table'!CX41*Rates_previous!$H$35, 0))</f>
        <v>6909.5605807490065</v>
      </c>
      <c r="G39" s="408">
        <f>IF(Init!$R$9="Yes",SUMPRODUCT('Staging Table'!AJ41:AU41,LS_Demand_Rates_Restatement!$C$10:$N$10),SUMPRODUCT(LS_Demand_Rates_Restatement!$C$10:$N$10,'Staging Table'!CL41:CW41))*1000</f>
        <v>62133.003839618927</v>
      </c>
      <c r="H39" s="409">
        <f>IF(Init!$R$9="Yes",'Staging Table'!BF41,'Staging Table'!DH41)*Rates_previous!$H$33</f>
        <v>0</v>
      </c>
      <c r="I39" s="409">
        <f>IF(Init!$R$9="Yes",IF('Staging Table'!D41=1,'Staging Table'!H41*-1,'Staging Table'!H41*SUM(D39:H39)*(-1)),IF('Staging Table'!D41=1,'Staging Table'!BJ41*-1,'Staging Table'!BJ41*SUM(D39:H39)*(-1)))</f>
        <v>0</v>
      </c>
      <c r="J39" s="407">
        <f>IF(Init!$R$9="Yes",'Staging Table'!K41,'Staging Table'!BM41)*(-1)*Rates_previous!$H$32</f>
        <v>0</v>
      </c>
      <c r="K39" s="407">
        <f>IF(Init!$R$12="No",0,'Staging Table'!$AW41*-1)</f>
        <v>0</v>
      </c>
      <c r="L39" s="407">
        <f>IF('Staging Table'!C41=1,"",SUM(D39:K39))</f>
        <v>1157482.6414203681</v>
      </c>
      <c r="M39" s="407">
        <f>IF('Staging Table'!C41=1,"",IF(Init!$R$9="Yes",(RT1SC!$C$3*'Staging Table'!E41*'Staging Table'!$F$2)+SUM('Staging Table'!L41:AI41)-IF(Init!$R$15="No",'Staging Table'!AV41, 0),X39))</f>
        <v>31683.888000000003</v>
      </c>
      <c r="N39" s="169">
        <f>IF('Staging Table'!C41=1,"",IF(M39=0, 0, L39/M39))</f>
        <v>36.532216040543005</v>
      </c>
      <c r="O39" s="407">
        <f>'Staging Table'!BG41*Rates_current!$E$75*100*12</f>
        <v>1314885.7238400001</v>
      </c>
      <c r="P39" s="407">
        <f>'Staging Table'!BH41*Rates_current!$E$76*100*12</f>
        <v>-184950.00888000001</v>
      </c>
      <c r="Q39" s="408">
        <f>SUMPRODUCT('Staging Table'!BN41:CK41, LS_Demand_Rates_Restatement!$C$5:$Z$5)-IF(Init!$R$15="No",('Staging Table'!CX41*Rates_current!$H$35), 0)</f>
        <v>9387.5113168589487</v>
      </c>
      <c r="R39" s="408">
        <f>SUMPRODUCT('Staging Table'!CL41:CW41, LS_Demand_Rates_Restatement!$C$11:$N$11)*1000</f>
        <v>58676.212653231829</v>
      </c>
      <c r="S39" s="409">
        <f>'Staging Table'!DH41*Rates_current!$H$33</f>
        <v>0</v>
      </c>
      <c r="T39" s="409">
        <f>IF('Staging Table'!D41=1, 'Staging Table'!BJ41*-1,SUM(O39:S39)*'Staging Table'!BJ41*-1)</f>
        <v>0</v>
      </c>
      <c r="U39" s="407">
        <f>'Staging Table'!BM41*Rates_current!$H$32*-1</f>
        <v>0</v>
      </c>
      <c r="V39" s="407">
        <f>IF(Init!$R$12="No",0,'Staging Table'!$CY41*-1)</f>
        <v>0</v>
      </c>
      <c r="W39" s="407">
        <f>IF('Staging Table'!C41=1,"",SUM(O39:V39))</f>
        <v>1197999.4389300907</v>
      </c>
      <c r="X39" s="407">
        <f>IF('Staging Table'!C41=1,"",(RT1SC!$C$4*'Staging Table'!BG41*'Staging Table'!$BH$2)+SUM('Staging Table'!BN41:CK41)-IF(Init!$R$15="No",'Staging Table'!CX41, 0))</f>
        <v>31395.84</v>
      </c>
      <c r="Y39" s="169">
        <f>IF('Staging Table'!C41=1,"",IF(X39=0, 0, W39/X39))</f>
        <v>38.157903688198523</v>
      </c>
      <c r="Z39" s="160">
        <f>IF('Staging Table'!C41=1,"",Y39/N39-1)</f>
        <v>4.4500110419016137E-2</v>
      </c>
      <c r="AA39" s="97">
        <f t="shared" si="1"/>
        <v>93</v>
      </c>
      <c r="AD39" s="412"/>
      <c r="AE39" s="412"/>
      <c r="AF39" s="432"/>
      <c r="AG39" s="412"/>
      <c r="AH39" s="412"/>
    </row>
    <row r="40" spans="2:34">
      <c r="B40" s="3">
        <v>10097</v>
      </c>
      <c r="C40" s="4" t="s">
        <v>43</v>
      </c>
      <c r="D40" s="407">
        <f>IF(Init!$R$9="Yes",'Staging Table'!E42,'Staging Table'!BG42)*Rates_previous!$E$75*100*12</f>
        <v>715367.59559999988</v>
      </c>
      <c r="E40" s="407">
        <f>IF(Init!$R$9="Yes",'Staging Table'!F42,'Staging Table'!BH42)*Rates_previous!$E$76*100*12</f>
        <v>-106346.9136</v>
      </c>
      <c r="F40" s="408">
        <f>IF(Init!$R$9="Yes",SUMPRODUCT('Staging Table'!L42:AI42,LS_Demand_Rates_Restatement!$C$4:$Z$4)-IF(Init!$R$15="No",('Staging Table'!AV42*Rates_previous!$H$35), 0),SUMPRODUCT('Staging Table'!BN42:CK42,LS_Demand_Rates_Restatement!$C$4:$Z$4)-IF(Init!$R$15="No", 'Staging Table'!CX42*Rates_previous!$H$35, 0))</f>
        <v>1308.6606384526108</v>
      </c>
      <c r="G40" s="408">
        <f>IF(Init!$R$9="Yes",SUMPRODUCT('Staging Table'!AJ42:AU42,LS_Demand_Rates_Restatement!$C$10:$N$10),SUMPRODUCT(LS_Demand_Rates_Restatement!$C$10:$N$10,'Staging Table'!CL42:CW42))*1000</f>
        <v>37981.071805822641</v>
      </c>
      <c r="H40" s="409">
        <f>IF(Init!$R$9="Yes",'Staging Table'!BF42,'Staging Table'!DH42)*Rates_previous!$H$33</f>
        <v>-1354.5098307223068</v>
      </c>
      <c r="I40" s="409">
        <f>IF(Init!$R$9="Yes",IF('Staging Table'!D42=1,'Staging Table'!H42*-1,'Staging Table'!H42*SUM(D40:H40)*(-1)),IF('Staging Table'!D42=1,'Staging Table'!BJ42*-1,'Staging Table'!BJ42*SUM(D40:H40)*(-1)))</f>
        <v>0</v>
      </c>
      <c r="J40" s="407">
        <f>IF(Init!$R$9="Yes",'Staging Table'!K42,'Staging Table'!BM42)*(-1)*Rates_previous!$H$32</f>
        <v>0</v>
      </c>
      <c r="K40" s="407">
        <f>IF(Init!$R$12="No",0,'Staging Table'!$AW42*-1)</f>
        <v>0</v>
      </c>
      <c r="L40" s="407">
        <f>IF('Staging Table'!C42=1,"",SUM(D40:K40))</f>
        <v>646955.90461355285</v>
      </c>
      <c r="M40" s="407">
        <f>IF('Staging Table'!C42=1,"",IF(Init!$R$9="Yes",(RT1SC!$C$3*'Staging Table'!E42*'Staging Table'!$F$2)+SUM('Staging Table'!L42:AI42)-IF(Init!$R$15="No",'Staging Table'!AV42, 0),X40))</f>
        <v>17573.06004172629</v>
      </c>
      <c r="N40" s="169">
        <f>IF('Staging Table'!C42=1,"",IF(M40=0, 0, L40/M40))</f>
        <v>36.815210502746289</v>
      </c>
      <c r="O40" s="407">
        <f>'Staging Table'!BG42*Rates_current!$E$75*100*12</f>
        <v>735530.92128000013</v>
      </c>
      <c r="P40" s="407">
        <f>'Staging Table'!BH42*Rates_current!$E$76*100*12</f>
        <v>-103458.76295999999</v>
      </c>
      <c r="Q40" s="408">
        <f>SUMPRODUCT('Staging Table'!BN42:CK42, LS_Demand_Rates_Restatement!$C$5:$Z$5)-IF(Init!$R$15="No",('Staging Table'!CX42*Rates_current!$H$35), 0)</f>
        <v>13371.759884317247</v>
      </c>
      <c r="R40" s="408">
        <f>SUMPRODUCT('Staging Table'!CL42:CW42, LS_Demand_Rates_Restatement!$C$11:$N$11)*1000</f>
        <v>36169.394992441237</v>
      </c>
      <c r="S40" s="409">
        <f>'Staging Table'!DH42*Rates_current!$H$33</f>
        <v>0</v>
      </c>
      <c r="T40" s="409">
        <f>IF('Staging Table'!D42=1, 'Staging Table'!BJ42*-1,SUM(O40:S40)*'Staging Table'!BJ42*-1)</f>
        <v>0</v>
      </c>
      <c r="U40" s="407">
        <f>'Staging Table'!BM42*Rates_current!$H$32*-1</f>
        <v>0</v>
      </c>
      <c r="V40" s="407">
        <f>IF(Init!$R$12="No",0,'Staging Table'!$CY42*-1)</f>
        <v>0</v>
      </c>
      <c r="W40" s="407">
        <f>IF('Staging Table'!C42=1,"",SUM(O40:V40))</f>
        <v>681613.31319675874</v>
      </c>
      <c r="X40" s="407">
        <f>IF('Staging Table'!C42=1,"",(RT1SC!$C$4*'Staging Table'!BG42*'Staging Table'!$BH$2)+SUM('Staging Table'!BN42:CK42)-IF(Init!$R$15="No",'Staging Table'!CX42, 0))</f>
        <v>17563.8</v>
      </c>
      <c r="Y40" s="169">
        <f>IF('Staging Table'!C42=1,"",IF(X40=0, 0, W40/X40))</f>
        <v>38.807849850075655</v>
      </c>
      <c r="Z40" s="160">
        <f>IF('Staging Table'!C42=1,"",Y40/N40-1)</f>
        <v>5.4125436745247502E-2</v>
      </c>
      <c r="AA40" s="97">
        <f t="shared" si="1"/>
        <v>27</v>
      </c>
      <c r="AD40" s="412"/>
      <c r="AE40" s="412"/>
      <c r="AF40" s="432"/>
      <c r="AG40" s="412"/>
      <c r="AH40" s="412"/>
    </row>
    <row r="41" spans="2:34">
      <c r="B41" s="3">
        <v>10101</v>
      </c>
      <c r="C41" s="4" t="s">
        <v>44</v>
      </c>
      <c r="D41" s="407">
        <f>IF(Init!$R$9="Yes",'Staging Table'!E43,'Staging Table'!BG43)*Rates_previous!$E$75*100*12</f>
        <v>26686924.29648</v>
      </c>
      <c r="E41" s="407">
        <f>IF(Init!$R$9="Yes",'Staging Table'!F43,'Staging Table'!BH43)*Rates_previous!$E$76*100*12</f>
        <v>-3967291.8508799993</v>
      </c>
      <c r="F41" s="408">
        <f>IF(Init!$R$9="Yes",SUMPRODUCT('Staging Table'!L43:AI43,LS_Demand_Rates_Restatement!$C$4:$Z$4)-IF(Init!$R$15="No",('Staging Table'!AV43*Rates_previous!$H$35), 0),SUMPRODUCT('Staging Table'!BN43:CK43,LS_Demand_Rates_Restatement!$C$4:$Z$4)-IF(Init!$R$15="No", 'Staging Table'!CX43*Rates_previous!$H$35, 0))</f>
        <v>-450334.73597781523</v>
      </c>
      <c r="G41" s="408">
        <f>IF(Init!$R$9="Yes",SUMPRODUCT('Staging Table'!AJ43:AU43,LS_Demand_Rates_Restatement!$C$10:$N$10),SUMPRODUCT(LS_Demand_Rates_Restatement!$C$10:$N$10,'Staging Table'!CL43:CW43))*1000</f>
        <v>2252444.6663425216</v>
      </c>
      <c r="H41" s="409">
        <f>IF(Init!$R$9="Yes",'Staging Table'!BF43,'Staging Table'!DH43)*Rates_previous!$H$33</f>
        <v>-2385.132024026876</v>
      </c>
      <c r="I41" s="409">
        <f>IF(Init!$R$9="Yes",IF('Staging Table'!D43=1,'Staging Table'!H43*-1,'Staging Table'!H43*SUM(D41:H41)*(-1)),IF('Staging Table'!D43=1,'Staging Table'!BJ43*-1,'Staging Table'!BJ43*SUM(D41:H41)*(-1)))</f>
        <v>-1402752.4279258463</v>
      </c>
      <c r="J41" s="407">
        <f>IF(Init!$R$9="Yes",'Staging Table'!K43,'Staging Table'!BM43)*(-1)*Rates_previous!$H$32</f>
        <v>0</v>
      </c>
      <c r="K41" s="407">
        <f>IF(Init!$R$12="No",0,'Staging Table'!$AW43*-1)</f>
        <v>0</v>
      </c>
      <c r="L41" s="407">
        <f>IF('Staging Table'!C43=1,"",SUM(D41:K41))</f>
        <v>23116604.816014834</v>
      </c>
      <c r="M41" s="407">
        <f>IF('Staging Table'!C43=1,"",IF(Init!$R$9="Yes",(RT1SC!$C$3*'Staging Table'!E43*'Staging Table'!$F$2)+SUM('Staging Table'!L43:AI43)-IF(Init!$R$15="No",'Staging Table'!AV43, 0),X41))</f>
        <v>634435.98155660718</v>
      </c>
      <c r="N41" s="169">
        <f>IF('Staging Table'!C43=1,"",IF(M41=0, 0, L41/M41))</f>
        <v>36.436465597833163</v>
      </c>
      <c r="O41" s="407">
        <f>'Staging Table'!BG43*Rates_current!$E$75*100*12</f>
        <v>27443430.636480004</v>
      </c>
      <c r="P41" s="407">
        <f>'Staging Table'!BH43*Rates_current!$E$76*100*12</f>
        <v>-3860155.02936</v>
      </c>
      <c r="Q41" s="408">
        <f>SUMPRODUCT('Staging Table'!BN43:CK43, LS_Demand_Rates_Restatement!$C$5:$Z$5)-IF(Init!$R$15="No",('Staging Table'!CX43*Rates_current!$H$35), 0)</f>
        <v>248998.53802613533</v>
      </c>
      <c r="R41" s="408">
        <f>SUMPRODUCT('Staging Table'!CL43:CW43, LS_Demand_Rates_Restatement!$C$11:$N$11)*1000</f>
        <v>2218839.7319674054</v>
      </c>
      <c r="S41" s="409">
        <f>'Staging Table'!DH43*Rates_current!$H$33</f>
        <v>0</v>
      </c>
      <c r="T41" s="409">
        <f>IF('Staging Table'!D43=1, 'Staging Table'!BJ43*-1,SUM(O41:S41)*'Staging Table'!BJ43*-1)</f>
        <v>-1468187.1909923756</v>
      </c>
      <c r="U41" s="407">
        <f>'Staging Table'!BM43*Rates_current!$H$32*-1</f>
        <v>0</v>
      </c>
      <c r="V41" s="407">
        <f>IF(Init!$R$12="No",0,'Staging Table'!$CY43*-1)</f>
        <v>0</v>
      </c>
      <c r="W41" s="407">
        <f>IF('Staging Table'!C43=1,"",SUM(O41:V41))</f>
        <v>24582926.686121169</v>
      </c>
      <c r="X41" s="407">
        <f>IF('Staging Table'!C43=1,"",(RT1SC!$C$4*'Staging Table'!BG43*'Staging Table'!$BH$2)+SUM('Staging Table'!BN43:CK43)-IF(Init!$R$15="No",'Staging Table'!CX43, 0))</f>
        <v>644863.00556049775</v>
      </c>
      <c r="Y41" s="169">
        <f>IF('Staging Table'!C43=1,"",IF(X41=0, 0, W41/X41))</f>
        <v>38.121161353882201</v>
      </c>
      <c r="Z41" s="160">
        <f>IF('Staging Table'!C43=1,"",Y41/N41-1)</f>
        <v>4.6236530585700431E-2</v>
      </c>
      <c r="AA41" s="97">
        <f t="shared" si="1"/>
        <v>80</v>
      </c>
      <c r="AD41" s="412"/>
      <c r="AE41" s="412"/>
      <c r="AF41" s="432"/>
      <c r="AG41" s="412"/>
      <c r="AH41" s="412"/>
    </row>
    <row r="42" spans="2:34">
      <c r="B42" s="3">
        <v>10103</v>
      </c>
      <c r="C42" s="4" t="s">
        <v>45</v>
      </c>
      <c r="D42" s="407">
        <f>IF(Init!$R$9="Yes",'Staging Table'!E44,'Staging Table'!BG44)*Rates_previous!$E$75*100*12</f>
        <v>105345428.17931999</v>
      </c>
      <c r="E42" s="407">
        <f>IF(Init!$R$9="Yes",'Staging Table'!F44,'Staging Table'!BH44)*Rates_previous!$E$76*100*12</f>
        <v>-7619664.3638400007</v>
      </c>
      <c r="F42" s="408">
        <f>IF(Init!$R$9="Yes",SUMPRODUCT('Staging Table'!L44:AI44,LS_Demand_Rates_Restatement!$C$4:$Z$4)-IF(Init!$R$15="No",('Staging Table'!AV44*Rates_previous!$H$35), 0),SUMPRODUCT('Staging Table'!BN44:CK44,LS_Demand_Rates_Restatement!$C$4:$Z$4)-IF(Init!$R$15="No", 'Staging Table'!CX44*Rates_previous!$H$35, 0))</f>
        <v>-48178.429441619752</v>
      </c>
      <c r="G42" s="408">
        <f>IF(Init!$R$9="Yes",SUMPRODUCT('Staging Table'!AJ44:AU44,LS_Demand_Rates_Restatement!$C$10:$N$10),SUMPRODUCT(LS_Demand_Rates_Restatement!$C$10:$N$10,'Staging Table'!CL44:CW44))*1000</f>
        <v>0</v>
      </c>
      <c r="H42" s="409">
        <f>IF(Init!$R$9="Yes",'Staging Table'!BF44,'Staging Table'!DH44)*Rates_previous!$H$33</f>
        <v>0</v>
      </c>
      <c r="I42" s="409">
        <f>IF(Init!$R$9="Yes",IF('Staging Table'!D44=1,'Staging Table'!H44*-1,'Staging Table'!H44*SUM(D42:H42)*(-1)),IF('Staging Table'!D44=1,'Staging Table'!BJ44*-1,'Staging Table'!BJ44*SUM(D42:H42)*(-1)))</f>
        <v>0</v>
      </c>
      <c r="J42" s="407">
        <f>IF(Init!$R$9="Yes",'Staging Table'!K44,'Staging Table'!BM44)*(-1)*Rates_previous!$H$32</f>
        <v>0</v>
      </c>
      <c r="K42" s="407">
        <f>IF(Init!$R$12="No",0,'Staging Table'!$AW44*-1)</f>
        <v>0</v>
      </c>
      <c r="L42" s="407">
        <f>IF('Staging Table'!C44=1,"",SUM(D42:K42))</f>
        <v>97677585.386038378</v>
      </c>
      <c r="M42" s="407">
        <f>IF('Staging Table'!C44=1,"",IF(Init!$R$9="Yes",(RT1SC!$C$3*'Staging Table'!E44*'Staging Table'!$F$2)+SUM('Staging Table'!L44:AI44)-IF(Init!$R$15="No",'Staging Table'!AV44, 0),X42))</f>
        <v>2610501.3528793915</v>
      </c>
      <c r="N42" s="169">
        <f>IF('Staging Table'!C44=1,"",IF(M42=0, 0, L42/M42))</f>
        <v>37.417174780736921</v>
      </c>
      <c r="O42" s="407">
        <f>'Staging Table'!BG44*Rates_current!$E$75*100*12</f>
        <v>109564808.32512</v>
      </c>
      <c r="P42" s="407">
        <f>'Staging Table'!BH44*Rates_current!$E$76*100*12</f>
        <v>-7587071.5132800005</v>
      </c>
      <c r="Q42" s="408">
        <f>SUMPRODUCT('Staging Table'!BN44:CK44, LS_Demand_Rates_Restatement!$C$5:$Z$5)-IF(Init!$R$15="No",('Staging Table'!CX44*Rates_current!$H$35), 0)</f>
        <v>-35203.921398396051</v>
      </c>
      <c r="R42" s="408">
        <f>SUMPRODUCT('Staging Table'!CL44:CW44, LS_Demand_Rates_Restatement!$C$11:$N$11)*1000</f>
        <v>0</v>
      </c>
      <c r="S42" s="409">
        <f>'Staging Table'!DH44*Rates_current!$H$33</f>
        <v>0</v>
      </c>
      <c r="T42" s="409">
        <f>IF('Staging Table'!D44=1, 'Staging Table'!BJ44*-1,SUM(O42:S42)*'Staging Table'!BJ44*-1)</f>
        <v>0</v>
      </c>
      <c r="U42" s="407">
        <f>'Staging Table'!BM44*Rates_current!$H$32*-1</f>
        <v>0</v>
      </c>
      <c r="V42" s="407">
        <f>IF(Init!$R$12="No",0,'Staging Table'!$CY44*-1)</f>
        <v>0</v>
      </c>
      <c r="W42" s="407">
        <f>IF('Staging Table'!C44=1,"",SUM(O42:V42))</f>
        <v>101942532.8904416</v>
      </c>
      <c r="X42" s="407">
        <f>IF('Staging Table'!C44=1,"",(RT1SC!$C$4*'Staging Table'!BG44*'Staging Table'!$BH$2)+SUM('Staging Table'!BN44:CK44)-IF(Init!$R$15="No",'Staging Table'!CX44, 0))</f>
        <v>2600340.1531708739</v>
      </c>
      <c r="Y42" s="169">
        <f>IF('Staging Table'!C44=1,"",IF(X42=0, 0, W42/X42))</f>
        <v>39.203537570318296</v>
      </c>
      <c r="Z42" s="160">
        <f>IF('Staging Table'!C44=1,"",Y42/N42-1)</f>
        <v>4.7741787028266813E-2</v>
      </c>
      <c r="AA42" s="97">
        <f t="shared" si="1"/>
        <v>70</v>
      </c>
      <c r="AD42" s="412"/>
      <c r="AE42" s="412"/>
      <c r="AF42" s="432"/>
      <c r="AG42" s="412"/>
      <c r="AH42" s="412"/>
    </row>
    <row r="43" spans="2:34">
      <c r="B43" s="3">
        <v>10105</v>
      </c>
      <c r="C43" s="4" t="s">
        <v>46</v>
      </c>
      <c r="D43" s="407">
        <f>IF(Init!$R$9="Yes",'Staging Table'!E45,'Staging Table'!BG45)*Rates_previous!$E$75*100*12</f>
        <v>29878602.420240004</v>
      </c>
      <c r="E43" s="407">
        <f>IF(Init!$R$9="Yes",'Staging Table'!F45,'Staging Table'!BH45)*Rates_previous!$E$76*100*12</f>
        <v>-1768928.1950400001</v>
      </c>
      <c r="F43" s="408">
        <f>IF(Init!$R$9="Yes",SUMPRODUCT('Staging Table'!L45:AI45,LS_Demand_Rates_Restatement!$C$4:$Z$4)-IF(Init!$R$15="No",('Staging Table'!AV45*Rates_previous!$H$35), 0),SUMPRODUCT('Staging Table'!BN45:CK45,LS_Demand_Rates_Restatement!$C$4:$Z$4)-IF(Init!$R$15="No", 'Staging Table'!CX45*Rates_previous!$H$35, 0))</f>
        <v>-25087.331092982393</v>
      </c>
      <c r="G43" s="408">
        <f>IF(Init!$R$9="Yes",SUMPRODUCT('Staging Table'!AJ45:AU45,LS_Demand_Rates_Restatement!$C$10:$N$10),SUMPRODUCT(LS_Demand_Rates_Restatement!$C$10:$N$10,'Staging Table'!CL45:CW45))*1000</f>
        <v>0</v>
      </c>
      <c r="H43" s="409">
        <f>IF(Init!$R$9="Yes",'Staging Table'!BF45,'Staging Table'!DH45)*Rates_previous!$H$33</f>
        <v>0</v>
      </c>
      <c r="I43" s="409">
        <f>IF(Init!$R$9="Yes",IF('Staging Table'!D45=1,'Staging Table'!H45*-1,'Staging Table'!H45*SUM(D43:H43)*(-1)),IF('Staging Table'!D45=1,'Staging Table'!BJ45*-1,'Staging Table'!BJ45*SUM(D43:H43)*(-1)))</f>
        <v>0</v>
      </c>
      <c r="J43" s="407">
        <f>IF(Init!$R$9="Yes",'Staging Table'!K45,'Staging Table'!BM45)*(-1)*Rates_previous!$H$32</f>
        <v>0</v>
      </c>
      <c r="K43" s="407">
        <f>IF(Init!$R$12="No",0,'Staging Table'!$AW45*-1)</f>
        <v>0</v>
      </c>
      <c r="L43" s="407">
        <f>IF('Staging Table'!C45=1,"",SUM(D43:K43))</f>
        <v>28084586.894107021</v>
      </c>
      <c r="M43" s="407">
        <f>IF('Staging Table'!C45=1,"",IF(Init!$R$9="Yes",(RT1SC!$C$3*'Staging Table'!E45*'Staging Table'!$F$2)+SUM('Staging Table'!L45:AI45)-IF(Init!$R$15="No",'Staging Table'!AV45, 0),X43))</f>
        <v>740402.21087275376</v>
      </c>
      <c r="N43" s="169">
        <f>IF('Staging Table'!C45=1,"",IF(M43=0, 0, L43/M43))</f>
        <v>37.931527596334618</v>
      </c>
      <c r="O43" s="407">
        <f>'Staging Table'!BG45*Rates_current!$E$75*100*12</f>
        <v>31006691.968319997</v>
      </c>
      <c r="P43" s="407">
        <f>'Staging Table'!BH45*Rates_current!$E$76*100*12</f>
        <v>-1760626.6104000001</v>
      </c>
      <c r="Q43" s="408">
        <f>SUMPRODUCT('Staging Table'!BN45:CK45, LS_Demand_Rates_Restatement!$C$5:$Z$5)-IF(Init!$R$15="No",('Staging Table'!CX45*Rates_current!$H$35), 0)</f>
        <v>-103752.73996440059</v>
      </c>
      <c r="R43" s="408">
        <f>SUMPRODUCT('Staging Table'!CL45:CW45, LS_Demand_Rates_Restatement!$C$11:$N$11)*1000</f>
        <v>0</v>
      </c>
      <c r="S43" s="409">
        <f>'Staging Table'!DH45*Rates_current!$H$33</f>
        <v>0</v>
      </c>
      <c r="T43" s="409">
        <f>IF('Staging Table'!D45=1, 'Staging Table'!BJ45*-1,SUM(O43:S43)*'Staging Table'!BJ45*-1)</f>
        <v>0</v>
      </c>
      <c r="U43" s="407">
        <f>'Staging Table'!BM45*Rates_current!$H$32*-1</f>
        <v>0</v>
      </c>
      <c r="V43" s="407">
        <f>IF(Init!$R$12="No",0,'Staging Table'!$CY45*-1)</f>
        <v>0</v>
      </c>
      <c r="W43" s="407">
        <f>IF('Staging Table'!C45=1,"",SUM(O43:V43))</f>
        <v>29142312.617955599</v>
      </c>
      <c r="X43" s="407">
        <f>IF('Staging Table'!C45=1,"",(RT1SC!$C$4*'Staging Table'!BG45*'Staging Table'!$BH$2)+SUM('Staging Table'!BN45:CK45)-IF(Init!$R$15="No",'Staging Table'!CX45, 0))</f>
        <v>735485.28283257561</v>
      </c>
      <c r="Y43" s="169">
        <f>IF('Staging Table'!C45=1,"",IF(X43=0, 0, W43/X43))</f>
        <v>39.623243725176614</v>
      </c>
      <c r="Z43" s="160">
        <f>IF('Staging Table'!C45=1,"",Y43/N43-1)</f>
        <v>4.4599209049663191E-2</v>
      </c>
      <c r="AA43" s="97">
        <f t="shared" si="1"/>
        <v>92</v>
      </c>
      <c r="AD43" s="412"/>
      <c r="AE43" s="412"/>
      <c r="AF43" s="432"/>
      <c r="AG43" s="412"/>
      <c r="AH43" s="412"/>
    </row>
    <row r="44" spans="2:34">
      <c r="B44" s="3">
        <v>10106</v>
      </c>
      <c r="C44" s="4" t="s">
        <v>47</v>
      </c>
      <c r="D44" s="407">
        <f>IF(Init!$R$9="Yes",'Staging Table'!E46,'Staging Table'!BG46)*Rates_previous!$E$75*100*12</f>
        <v>8202964.2735599997</v>
      </c>
      <c r="E44" s="407">
        <f>IF(Init!$R$9="Yes",'Staging Table'!F46,'Staging Table'!BH46)*Rates_previous!$E$76*100*12</f>
        <v>-1219456.8753599999</v>
      </c>
      <c r="F44" s="408">
        <f>IF(Init!$R$9="Yes",SUMPRODUCT('Staging Table'!L46:AI46,LS_Demand_Rates_Restatement!$C$4:$Z$4)-IF(Init!$R$15="No",('Staging Table'!AV46*Rates_previous!$H$35), 0),SUMPRODUCT('Staging Table'!BN46:CK46,LS_Demand_Rates_Restatement!$C$4:$Z$4)-IF(Init!$R$15="No", 'Staging Table'!CX46*Rates_previous!$H$35, 0))</f>
        <v>0</v>
      </c>
      <c r="G44" s="408">
        <f>IF(Init!$R$9="Yes",SUMPRODUCT('Staging Table'!AJ46:AU46,LS_Demand_Rates_Restatement!$C$10:$N$10),SUMPRODUCT(LS_Demand_Rates_Restatement!$C$10:$N$10,'Staging Table'!CL46:CW46))*1000</f>
        <v>0</v>
      </c>
      <c r="H44" s="409">
        <f>IF(Init!$R$9="Yes",'Staging Table'!BF46,'Staging Table'!DH46)*Rates_previous!$H$33</f>
        <v>19.075565199648555</v>
      </c>
      <c r="I44" s="409">
        <f>IF(Init!$R$9="Yes",IF('Staging Table'!D46=1,'Staging Table'!H46*-1,'Staging Table'!H46*SUM(D44:H44)*(-1)),IF('Staging Table'!D46=1,'Staging Table'!BJ46*-1,'Staging Table'!BJ46*SUM(D44:H44)*(-1)))</f>
        <v>-488846.853163564</v>
      </c>
      <c r="J44" s="407">
        <f>IF(Init!$R$9="Yes",'Staging Table'!K46,'Staging Table'!BM46)*(-1)*Rates_previous!$H$32</f>
        <v>0</v>
      </c>
      <c r="K44" s="407">
        <f>IF(Init!$R$12="No",0,'Staging Table'!$AW46*-1)</f>
        <v>0</v>
      </c>
      <c r="L44" s="407" t="str">
        <f>IF('Staging Table'!C46=1,"",SUM(D44:K44))</f>
        <v/>
      </c>
      <c r="M44" s="407" t="str">
        <f>IF('Staging Table'!C46=1,"",IF(Init!$R$9="Yes",(RT1SC!$C$3*'Staging Table'!E46*'Staging Table'!$F$2)+SUM('Staging Table'!L46:AI46)-IF(Init!$R$15="No",'Staging Table'!AV46, 0),X44))</f>
        <v/>
      </c>
      <c r="N44" s="169" t="str">
        <f>IF('Staging Table'!C46=1,"",IF(M44=0, 0, L44/M44))</f>
        <v/>
      </c>
      <c r="O44" s="407">
        <f>'Staging Table'!BG46*Rates_current!$E$75*100*12</f>
        <v>8619495.0220799986</v>
      </c>
      <c r="P44" s="407">
        <f>'Staging Table'!BH46*Rates_current!$E$76*100*12</f>
        <v>-1212406.2585599998</v>
      </c>
      <c r="Q44" s="408">
        <f>SUMPRODUCT('Staging Table'!BN46:CK46, LS_Demand_Rates_Restatement!$C$5:$Z$5)-IF(Init!$R$15="No",('Staging Table'!CX46*Rates_current!$H$35), 0)</f>
        <v>0</v>
      </c>
      <c r="R44" s="408">
        <f>SUMPRODUCT('Staging Table'!CL46:CW46, LS_Demand_Rates_Restatement!$C$11:$N$11)*1000</f>
        <v>0</v>
      </c>
      <c r="S44" s="409">
        <f>'Staging Table'!DH46*Rates_current!$H$33</f>
        <v>0</v>
      </c>
      <c r="T44" s="409">
        <f>IF('Staging Table'!D46=1, 'Staging Table'!BJ46*-1,SUM(O44:S44)*'Staging Table'!BJ46*-1)</f>
        <v>-520107.13545787369</v>
      </c>
      <c r="U44" s="407">
        <f>'Staging Table'!BM46*Rates_current!$H$32*-1</f>
        <v>0</v>
      </c>
      <c r="V44" s="407">
        <f>IF(Init!$R$12="No",0,'Staging Table'!$CY46*-1)</f>
        <v>0</v>
      </c>
      <c r="W44" s="407" t="str">
        <f>IF('Staging Table'!C46=1,"",SUM(O44:V44))</f>
        <v/>
      </c>
      <c r="X44" s="407" t="str">
        <f>IF('Staging Table'!C46=1,"",(RT1SC!$C$4*'Staging Table'!BG46*'Staging Table'!$BH$2)+SUM('Staging Table'!BN46:CK46)-IF(Init!$R$15="No",'Staging Table'!CX46, 0))</f>
        <v/>
      </c>
      <c r="Y44" s="169" t="str">
        <f>IF('Staging Table'!C46=1,"",IF(X44=0, 0, W44/X44))</f>
        <v/>
      </c>
      <c r="Z44" s="160" t="str">
        <f>IF('Staging Table'!C46=1,"",Y44/N44-1)</f>
        <v/>
      </c>
      <c r="AA44" s="97" t="str">
        <f t="shared" si="1"/>
        <v/>
      </c>
      <c r="AD44" s="412"/>
      <c r="AE44" s="412"/>
      <c r="AF44" s="432"/>
      <c r="AG44" s="412"/>
      <c r="AH44" s="412"/>
    </row>
    <row r="45" spans="2:34">
      <c r="B45" s="3">
        <v>10109</v>
      </c>
      <c r="C45" s="4" t="s">
        <v>48</v>
      </c>
      <c r="D45" s="407">
        <f>IF(Init!$R$9="Yes",'Staging Table'!E47,'Staging Table'!BG47)*Rates_previous!$E$75*100*12</f>
        <v>4253590.5753600001</v>
      </c>
      <c r="E45" s="407">
        <f>IF(Init!$R$9="Yes",'Staging Table'!F47,'Staging Table'!BH47)*Rates_previous!$E$76*100*12</f>
        <v>-632340.95615999994</v>
      </c>
      <c r="F45" s="408">
        <f>IF(Init!$R$9="Yes",SUMPRODUCT('Staging Table'!L47:AI47,LS_Demand_Rates_Restatement!$C$4:$Z$4)-IF(Init!$R$15="No",('Staging Table'!AV47*Rates_previous!$H$35), 0),SUMPRODUCT('Staging Table'!BN47:CK47,LS_Demand_Rates_Restatement!$C$4:$Z$4)-IF(Init!$R$15="No", 'Staging Table'!CX47*Rates_previous!$H$35, 0))</f>
        <v>-27015.604601817788</v>
      </c>
      <c r="G45" s="408">
        <f>IF(Init!$R$9="Yes",SUMPRODUCT('Staging Table'!AJ47:AU47,LS_Demand_Rates_Restatement!$C$10:$N$10),SUMPRODUCT(LS_Demand_Rates_Restatement!$C$10:$N$10,'Staging Table'!CL47:CW47))*1000</f>
        <v>341558.98097298783</v>
      </c>
      <c r="H45" s="409">
        <f>IF(Init!$R$9="Yes",'Staging Table'!BF47,'Staging Table'!DH47)*Rates_previous!$H$33</f>
        <v>0</v>
      </c>
      <c r="I45" s="409">
        <f>IF(Init!$R$9="Yes",IF('Staging Table'!D47=1,'Staging Table'!H47*-1,'Staging Table'!H47*SUM(D45:H45)*(-1)),IF('Staging Table'!D47=1,'Staging Table'!BJ47*-1,'Staging Table'!BJ47*SUM(D45:H45)*(-1)))</f>
        <v>-289595.64861412672</v>
      </c>
      <c r="J45" s="407">
        <f>IF(Init!$R$9="Yes",'Staging Table'!K47,'Staging Table'!BM47)*(-1)*Rates_previous!$H$32</f>
        <v>-248350.94295000003</v>
      </c>
      <c r="K45" s="407">
        <f>IF(Init!$R$12="No",0,'Staging Table'!$AW47*-1)</f>
        <v>0</v>
      </c>
      <c r="L45" s="407">
        <f>IF('Staging Table'!C47=1,"",SUM(D45:K45))</f>
        <v>3397846.4040070432</v>
      </c>
      <c r="M45" s="407">
        <f>IF('Staging Table'!C47=1,"",IF(Init!$R$9="Yes",(RT1SC!$C$3*'Staging Table'!E47*'Staging Table'!$F$2)+SUM('Staging Table'!L47:AI47)-IF(Init!$R$15="No",'Staging Table'!AV47, 0),X45))</f>
        <v>105408</v>
      </c>
      <c r="N45" s="169">
        <f>IF('Staging Table'!C47=1,"",IF(M45=0, 0, L45/M45))</f>
        <v>32.235185223199785</v>
      </c>
      <c r="O45" s="407">
        <f>'Staging Table'!BG47*Rates_current!$E$75*100*12</f>
        <v>4374459.9648000002</v>
      </c>
      <c r="P45" s="407">
        <f>'Staging Table'!BH47*Rates_current!$E$76*100*12</f>
        <v>-615305.49360000005</v>
      </c>
      <c r="Q45" s="408">
        <f>SUMPRODUCT('Staging Table'!BN47:CK47, LS_Demand_Rates_Restatement!$C$5:$Z$5)-IF(Init!$R$15="No",('Staging Table'!CX47*Rates_current!$H$35), 0)</f>
        <v>-301908.0352277318</v>
      </c>
      <c r="R45" s="408">
        <f>SUMPRODUCT('Staging Table'!CL47:CW47, LS_Demand_Rates_Restatement!$C$11:$N$11)*1000</f>
        <v>330834.95169613604</v>
      </c>
      <c r="S45" s="409">
        <f>'Staging Table'!DH47*Rates_current!$H$33</f>
        <v>0</v>
      </c>
      <c r="T45" s="409">
        <f>IF('Staging Table'!D47=1, 'Staging Table'!BJ47*-1,SUM(O45:S45)*'Staging Table'!BJ47*-1)</f>
        <v>-314889.82484543131</v>
      </c>
      <c r="U45" s="407">
        <f>'Staging Table'!BM47*Rates_current!$H$32*-1</f>
        <v>-248139.93960000004</v>
      </c>
      <c r="V45" s="407">
        <f>IF(Init!$R$12="No",0,'Staging Table'!$CY47*-1)</f>
        <v>0</v>
      </c>
      <c r="W45" s="407">
        <f>IF('Staging Table'!C47=1,"",SUM(O45:V45))</f>
        <v>3225051.6232229727</v>
      </c>
      <c r="X45" s="407">
        <f>IF('Staging Table'!C47=1,"",(RT1SC!$C$4*'Staging Table'!BG47*'Staging Table'!$BH$2)+SUM('Staging Table'!BN47:CK47)-IF(Init!$R$15="No",'Staging Table'!CX47, 0))</f>
        <v>93646.523523935364</v>
      </c>
      <c r="Y45" s="169">
        <f>IF('Staging Table'!C47=1,"",IF(X45=0, 0, W45/X45))</f>
        <v>34.438562178965171</v>
      </c>
      <c r="Z45" s="160">
        <f>IF('Staging Table'!C47=1,"",Y45/N45-1)</f>
        <v>6.8353165663822768E-2</v>
      </c>
      <c r="AA45" s="97">
        <f t="shared" si="1"/>
        <v>4</v>
      </c>
      <c r="AD45" s="412"/>
      <c r="AE45" s="412"/>
      <c r="AF45" s="432"/>
      <c r="AG45" s="412"/>
      <c r="AH45" s="412"/>
    </row>
    <row r="46" spans="2:34">
      <c r="B46" s="3">
        <v>10111</v>
      </c>
      <c r="C46" s="4" t="s">
        <v>49</v>
      </c>
      <c r="D46" s="407">
        <f>IF(Init!$R$9="Yes",'Staging Table'!E48,'Staging Table'!BG48)*Rates_previous!$E$75*100*12</f>
        <v>1029733.2864</v>
      </c>
      <c r="E46" s="407">
        <f>IF(Init!$R$9="Yes",'Staging Table'!F48,'Staging Table'!BH48)*Rates_previous!$E$76*100*12</f>
        <v>-153080.67839999998</v>
      </c>
      <c r="F46" s="408">
        <f>IF(Init!$R$9="Yes",SUMPRODUCT('Staging Table'!L48:AI48,LS_Demand_Rates_Restatement!$C$4:$Z$4)-IF(Init!$R$15="No",('Staging Table'!AV48*Rates_previous!$H$35), 0),SUMPRODUCT('Staging Table'!BN48:CK48,LS_Demand_Rates_Restatement!$C$4:$Z$4)-IF(Init!$R$15="No", 'Staging Table'!CX48*Rates_previous!$H$35, 0))</f>
        <v>30326.280375488859</v>
      </c>
      <c r="G46" s="408">
        <f>IF(Init!$R$9="Yes",SUMPRODUCT('Staging Table'!AJ48:AU48,LS_Demand_Rates_Restatement!$C$10:$N$10),SUMPRODUCT(LS_Demand_Rates_Restatement!$C$10:$N$10,'Staging Table'!CL48:CW48))*1000</f>
        <v>81078.530136111105</v>
      </c>
      <c r="H46" s="409">
        <f>IF(Init!$R$9="Yes",'Staging Table'!BF48,'Staging Table'!DH48)*Rates_previous!$H$33</f>
        <v>9707.3619815554048</v>
      </c>
      <c r="I46" s="409">
        <f>IF(Init!$R$9="Yes",IF('Staging Table'!D48=1,'Staging Table'!H48*-1,'Staging Table'!H48*SUM(D46:H46)*(-1)),IF('Staging Table'!D48=1,'Staging Table'!BJ48*-1,'Staging Table'!BJ48*SUM(D46:H46)*(-1)))</f>
        <v>-69843.534634520867</v>
      </c>
      <c r="J46" s="407">
        <f>IF(Init!$R$9="Yes",'Staging Table'!K48,'Staging Table'!BM48)*(-1)*Rates_previous!$H$32</f>
        <v>-61529.428729999992</v>
      </c>
      <c r="K46" s="407">
        <f>IF(Init!$R$12="No",0,'Staging Table'!$AW48*-1)</f>
        <v>0</v>
      </c>
      <c r="L46" s="407">
        <f>IF('Staging Table'!C48=1,"",SUM(D46:K46))</f>
        <v>866391.81712863431</v>
      </c>
      <c r="M46" s="407">
        <f>IF('Staging Table'!C48=1,"",IF(Init!$R$9="Yes",(RT1SC!$C$3*'Staging Table'!E48*'Staging Table'!$F$2)+SUM('Staging Table'!L48:AI48)-IF(Init!$R$15="No",'Staging Table'!AV48, 0),X46))</f>
        <v>26614.397060062754</v>
      </c>
      <c r="N46" s="169">
        <f>IF('Staging Table'!C48=1,"",IF(M46=0, 0, L46/M46))</f>
        <v>32.553501594395748</v>
      </c>
      <c r="O46" s="407">
        <f>'Staging Table'!BG48*Rates_current!$E$75*100*12</f>
        <v>1082277.5731200003</v>
      </c>
      <c r="P46" s="407">
        <f>'Staging Table'!BH48*Rates_current!$E$76*100*12</f>
        <v>-152231.66784000001</v>
      </c>
      <c r="Q46" s="408">
        <f>SUMPRODUCT('Staging Table'!BN48:CK48, LS_Demand_Rates_Restatement!$C$5:$Z$5)-IF(Init!$R$15="No",('Staging Table'!CX48*Rates_current!$H$35), 0)</f>
        <v>22731.756023664249</v>
      </c>
      <c r="R46" s="408">
        <f>SUMPRODUCT('Staging Table'!CL48:CW48, LS_Demand_Rates_Restatement!$C$11:$N$11)*1000</f>
        <v>79976.186937455495</v>
      </c>
      <c r="S46" s="409">
        <f>'Staging Table'!DH48*Rates_current!$H$33</f>
        <v>9848.0665571862119</v>
      </c>
      <c r="T46" s="409">
        <f>IF('Staging Table'!D48=1, 'Staging Table'!BJ48*-1,SUM(O46:S46)*'Staging Table'!BJ48*-1)</f>
        <v>-72982.134035881449</v>
      </c>
      <c r="U46" s="407">
        <f>'Staging Table'!BM48*Rates_current!$H$32*-1</f>
        <v>-61477.152239999996</v>
      </c>
      <c r="V46" s="407">
        <f>IF(Init!$R$12="No",0,'Staging Table'!$CY48*-1)</f>
        <v>0</v>
      </c>
      <c r="W46" s="407">
        <f>IF('Staging Table'!C48=1,"",SUM(O46:V46))</f>
        <v>908142.62852242484</v>
      </c>
      <c r="X46" s="407">
        <f>IF('Staging Table'!C48=1,"",(RT1SC!$C$4*'Staging Table'!BG48*'Staging Table'!$BH$2)+SUM('Staging Table'!BN48:CK48)-IF(Init!$R$15="No",'Staging Table'!CX48, 0))</f>
        <v>26614.397377034213</v>
      </c>
      <c r="Y46" s="169">
        <f>IF('Staging Table'!C48=1,"",IF(X46=0, 0, W46/X46))</f>
        <v>34.122231499634431</v>
      </c>
      <c r="Z46" s="160">
        <f>IF('Staging Table'!C48=1,"",Y46/N46-1)</f>
        <v>4.8189283131027327E-2</v>
      </c>
      <c r="AA46" s="97">
        <f t="shared" si="1"/>
        <v>65</v>
      </c>
      <c r="AD46" s="412"/>
      <c r="AE46" s="412"/>
      <c r="AF46" s="432"/>
      <c r="AG46" s="412"/>
      <c r="AH46" s="412"/>
    </row>
    <row r="47" spans="2:34">
      <c r="B47" s="3">
        <v>10112</v>
      </c>
      <c r="C47" s="4" t="s">
        <v>50</v>
      </c>
      <c r="D47" s="407">
        <f>IF(Init!$R$9="Yes",'Staging Table'!E49,'Staging Table'!BG49)*Rates_previous!$E$75*100*12</f>
        <v>19834494.833159998</v>
      </c>
      <c r="E47" s="407">
        <f>IF(Init!$R$9="Yes",'Staging Table'!F49,'Staging Table'!BH49)*Rates_previous!$E$76*100*12</f>
        <v>-2948606.1729600001</v>
      </c>
      <c r="F47" s="408">
        <f>IF(Init!$R$9="Yes",SUMPRODUCT('Staging Table'!L49:AI49,LS_Demand_Rates_Restatement!$C$4:$Z$4)-IF(Init!$R$15="No",('Staging Table'!AV49*Rates_previous!$H$35), 0),SUMPRODUCT('Staging Table'!BN49:CK49,LS_Demand_Rates_Restatement!$C$4:$Z$4)-IF(Init!$R$15="No", 'Staging Table'!CX49*Rates_previous!$H$35, 0))</f>
        <v>84748.10139257308</v>
      </c>
      <c r="G47" s="408">
        <f>IF(Init!$R$9="Yes",SUMPRODUCT('Staging Table'!AJ49:AU49,LS_Demand_Rates_Restatement!$C$10:$N$10),SUMPRODUCT(LS_Demand_Rates_Restatement!$C$10:$N$10,'Staging Table'!CL49:CW49))*1000</f>
        <v>1260165.8245147793</v>
      </c>
      <c r="H47" s="409">
        <f>IF(Init!$R$9="Yes",'Staging Table'!BF49,'Staging Table'!DH49)*Rates_previous!$H$33</f>
        <v>-5873.5400612974099</v>
      </c>
      <c r="I47" s="409">
        <f>IF(Init!$R$9="Yes",IF('Staging Table'!D49=1,'Staging Table'!H49*-1,'Staging Table'!H49*SUM(D47:H47)*(-1)),IF('Staging Table'!D49=1,'Staging Table'!BJ49*-1,'Staging Table'!BJ49*SUM(D47:H47)*(-1)))</f>
        <v>0</v>
      </c>
      <c r="J47" s="407">
        <f>IF(Init!$R$9="Yes",'Staging Table'!K49,'Staging Table'!BM49)*(-1)*Rates_previous!$H$32</f>
        <v>0</v>
      </c>
      <c r="K47" s="407">
        <f>IF(Init!$R$12="No",0,'Staging Table'!$AW49*-1)</f>
        <v>0</v>
      </c>
      <c r="L47" s="407">
        <f>IF('Staging Table'!C49=1,"",SUM(D47:K47))</f>
        <v>18224929.046046056</v>
      </c>
      <c r="M47" s="407">
        <f>IF('Staging Table'!C49=1,"",IF(Init!$R$9="Yes",(RT1SC!$C$3*'Staging Table'!E49*'Staging Table'!$F$2)+SUM('Staging Table'!L49:AI49)-IF(Init!$R$15="No",'Staging Table'!AV49, 0),X47))</f>
        <v>490845.04315691552</v>
      </c>
      <c r="N47" s="169">
        <f>IF('Staging Table'!C49=1,"",IF(M47=0, 0, L47/M47))</f>
        <v>37.12969968858345</v>
      </c>
      <c r="O47" s="407">
        <f>'Staging Table'!BG49*Rates_current!$E$75*100*12</f>
        <v>20555885.459520001</v>
      </c>
      <c r="P47" s="407">
        <f>'Staging Table'!BH49*Rates_current!$E$76*100*12</f>
        <v>-2891362.4426400005</v>
      </c>
      <c r="Q47" s="408">
        <f>SUMPRODUCT('Staging Table'!BN49:CK49, LS_Demand_Rates_Restatement!$C$5:$Z$5)-IF(Init!$R$15="No",('Staging Table'!CX49*Rates_current!$H$35), 0)</f>
        <v>197721.68478332463</v>
      </c>
      <c r="R47" s="408">
        <f>SUMPRODUCT('Staging Table'!CL49:CW49, LS_Demand_Rates_Restatement!$C$11:$N$11)*1000</f>
        <v>1201987.4765862892</v>
      </c>
      <c r="S47" s="409">
        <f>'Staging Table'!DH49*Rates_current!$H$33</f>
        <v>-51.393196279444965</v>
      </c>
      <c r="T47" s="409">
        <f>IF('Staging Table'!D49=1, 'Staging Table'!BJ49*-1,SUM(O47:S47)*'Staging Table'!BJ49*-1)</f>
        <v>0</v>
      </c>
      <c r="U47" s="407">
        <f>'Staging Table'!BM49*Rates_current!$H$32*-1</f>
        <v>0</v>
      </c>
      <c r="V47" s="407">
        <f>IF(Init!$R$12="No",0,'Staging Table'!$CY49*-1)</f>
        <v>0</v>
      </c>
      <c r="W47" s="407">
        <f>IF('Staging Table'!C49=1,"",SUM(O47:V47))</f>
        <v>19064180.785053335</v>
      </c>
      <c r="X47" s="407">
        <f>IF('Staging Table'!C49=1,"",(RT1SC!$C$4*'Staging Table'!BG49*'Staging Table'!$BH$2)+SUM('Staging Table'!BN49:CK49)-IF(Init!$R$15="No",'Staging Table'!CX49, 0))</f>
        <v>490845.04916107614</v>
      </c>
      <c r="Y47" s="169">
        <f>IF('Staging Table'!C49=1,"",IF(X47=0, 0, W47/X47))</f>
        <v>38.83950916411753</v>
      </c>
      <c r="Z47" s="160">
        <f>IF('Staging Table'!C49=1,"",Y47/N47-1)</f>
        <v>4.6049644620740349E-2</v>
      </c>
      <c r="AA47" s="97">
        <f t="shared" si="1"/>
        <v>83</v>
      </c>
      <c r="AD47" s="412"/>
      <c r="AE47" s="412"/>
      <c r="AF47" s="432"/>
      <c r="AG47" s="412"/>
      <c r="AH47" s="412"/>
    </row>
    <row r="48" spans="2:34">
      <c r="B48" s="3">
        <v>10113</v>
      </c>
      <c r="C48" s="4" t="s">
        <v>51</v>
      </c>
      <c r="D48" s="407">
        <f>IF(Init!$R$9="Yes",'Staging Table'!E50,'Staging Table'!BG50)*Rates_previous!$E$75*100*12</f>
        <v>13230835.070040001</v>
      </c>
      <c r="E48" s="407">
        <f>IF(Init!$R$9="Yes",'Staging Table'!F50,'Staging Table'!BH50)*Rates_previous!$E$76*100*12</f>
        <v>-1966902.7262400002</v>
      </c>
      <c r="F48" s="408">
        <f>IF(Init!$R$9="Yes",SUMPRODUCT('Staging Table'!L50:AI50,LS_Demand_Rates_Restatement!$C$4:$Z$4)-IF(Init!$R$15="No",('Staging Table'!AV50*Rates_previous!$H$35), 0),SUMPRODUCT('Staging Table'!BN50:CK50,LS_Demand_Rates_Restatement!$C$4:$Z$4)-IF(Init!$R$15="No", 'Staging Table'!CX50*Rates_previous!$H$35, 0))</f>
        <v>-148358.67806178069</v>
      </c>
      <c r="G48" s="408">
        <f>IF(Init!$R$9="Yes",SUMPRODUCT('Staging Table'!AJ50:AU50,LS_Demand_Rates_Restatement!$C$10:$N$10),SUMPRODUCT(LS_Demand_Rates_Restatement!$C$10:$N$10,'Staging Table'!CL50:CW50))*1000</f>
        <v>837243.15781430714</v>
      </c>
      <c r="H48" s="409">
        <f>IF(Init!$R$9="Yes",'Staging Table'!BF50,'Staging Table'!DH50)*Rates_previous!$H$33</f>
        <v>0</v>
      </c>
      <c r="I48" s="409">
        <f>IF(Init!$R$9="Yes",IF('Staging Table'!D50=1,'Staging Table'!H50*-1,'Staging Table'!H50*SUM(D48:H48)*(-1)),IF('Staging Table'!D50=1,'Staging Table'!BJ50*-1,'Staging Table'!BJ50*SUM(D48:H48)*(-1)))</f>
        <v>-884627.97311112261</v>
      </c>
      <c r="J48" s="407">
        <f>IF(Init!$R$9="Yes",'Staging Table'!K50,'Staging Table'!BM50)*(-1)*Rates_previous!$H$32</f>
        <v>-1584900.6727399998</v>
      </c>
      <c r="K48" s="407">
        <f>IF(Init!$R$12="No",0,'Staging Table'!$AW50*-1)</f>
        <v>0</v>
      </c>
      <c r="L48" s="407">
        <f>IF('Staging Table'!C50=1,"",SUM(D48:K48))</f>
        <v>9483288.1777014043</v>
      </c>
      <c r="M48" s="407">
        <f>IF('Staging Table'!C50=1,"",IF(Init!$R$9="Yes",(RT1SC!$C$3*'Staging Table'!E50*'Staging Table'!$F$2)+SUM('Staging Table'!L50:AI50)-IF(Init!$R$15="No",'Staging Table'!AV50, 0),X48))</f>
        <v>327862.80000000005</v>
      </c>
      <c r="N48" s="169">
        <f>IF('Staging Table'!C50=1,"",IF(M48=0, 0, L48/M48))</f>
        <v>28.924562889420219</v>
      </c>
      <c r="O48" s="407">
        <f>'Staging Table'!BG50*Rates_current!$E$75*100*12</f>
        <v>13605920.789760001</v>
      </c>
      <c r="P48" s="407">
        <f>'Staging Table'!BH50*Rates_current!$E$76*100*12</f>
        <v>-1913790.0163200004</v>
      </c>
      <c r="Q48" s="408">
        <f>SUMPRODUCT('Staging Table'!BN50:CK50, LS_Demand_Rates_Restatement!$C$5:$Z$5)-IF(Init!$R$15="No",('Staging Table'!CX50*Rates_current!$H$35), 0)</f>
        <v>-355540.39865993377</v>
      </c>
      <c r="R48" s="408">
        <f>SUMPRODUCT('Staging Table'!CL50:CW50, LS_Demand_Rates_Restatement!$C$11:$N$11)*1000</f>
        <v>783073.86395730032</v>
      </c>
      <c r="S48" s="409">
        <f>'Staging Table'!DH50*Rates_current!$H$33</f>
        <v>0</v>
      </c>
      <c r="T48" s="409">
        <f>IF('Staging Table'!D50=1, 'Staging Table'!BJ50*-1,SUM(O48:S48)*'Staging Table'!BJ50*-1)</f>
        <v>-969497.97940380755</v>
      </c>
      <c r="U48" s="407">
        <f>'Staging Table'!BM50*Rates_current!$H$32*-1</f>
        <v>-1583554.1131199999</v>
      </c>
      <c r="V48" s="407">
        <f>IF(Init!$R$12="No",0,'Staging Table'!$CY50*-1)</f>
        <v>0</v>
      </c>
      <c r="W48" s="407">
        <f>IF('Staging Table'!C50=1,"",SUM(O48:V48))</f>
        <v>9566612.1462135613</v>
      </c>
      <c r="X48" s="407">
        <f>IF('Staging Table'!C50=1,"",(RT1SC!$C$4*'Staging Table'!BG50*'Staging Table'!$BH$2)+SUM('Staging Table'!BN50:CK50)-IF(Init!$R$15="No",'Staging Table'!CX50, 0))</f>
        <v>324890.88</v>
      </c>
      <c r="Y48" s="169">
        <f>IF('Staging Table'!C50=1,"",IF(X48=0, 0, W48/X48))</f>
        <v>29.445616159535046</v>
      </c>
      <c r="Z48" s="160">
        <f>IF('Staging Table'!C50=1,"",Y48/N48-1)</f>
        <v>1.8014214151025776E-2</v>
      </c>
      <c r="AA48" s="97">
        <f t="shared" si="1"/>
        <v>113</v>
      </c>
      <c r="AD48" s="412"/>
      <c r="AE48" s="412"/>
      <c r="AF48" s="432"/>
      <c r="AG48" s="412"/>
      <c r="AH48" s="412"/>
    </row>
    <row r="49" spans="2:34">
      <c r="B49" s="3">
        <v>10116</v>
      </c>
      <c r="C49" s="4" t="s">
        <v>52</v>
      </c>
      <c r="D49" s="407">
        <f>IF(Init!$R$9="Yes",'Staging Table'!E51,'Staging Table'!BG51)*Rates_previous!$E$75*100*12</f>
        <v>70299.099359999993</v>
      </c>
      <c r="E49" s="407">
        <f>IF(Init!$R$9="Yes",'Staging Table'!F51,'Staging Table'!BH51)*Rates_previous!$E$76*100*12</f>
        <v>-10450.70016</v>
      </c>
      <c r="F49" s="408">
        <f>IF(Init!$R$9="Yes",SUMPRODUCT('Staging Table'!L51:AI51,LS_Demand_Rates_Restatement!$C$4:$Z$4)-IF(Init!$R$15="No",('Staging Table'!AV51*Rates_previous!$H$35), 0),SUMPRODUCT('Staging Table'!BN51:CK51,LS_Demand_Rates_Restatement!$C$4:$Z$4)-IF(Init!$R$15="No", 'Staging Table'!CX51*Rates_previous!$H$35, 0))</f>
        <v>5833.784763224151</v>
      </c>
      <c r="G49" s="408">
        <f>IF(Init!$R$9="Yes",SUMPRODUCT('Staging Table'!AJ51:AU51,LS_Demand_Rates_Restatement!$C$10:$N$10),SUMPRODUCT(LS_Demand_Rates_Restatement!$C$10:$N$10,'Staging Table'!CL51:CW51))*1000</f>
        <v>31957.014443340457</v>
      </c>
      <c r="H49" s="409">
        <f>IF(Init!$R$9="Yes",'Staging Table'!BF51,'Staging Table'!DH51)*Rates_previous!$H$33</f>
        <v>2098.9368000000009</v>
      </c>
      <c r="I49" s="409">
        <f>IF(Init!$R$9="Yes",IF('Staging Table'!D51=1,'Staging Table'!H51*-1,'Staging Table'!H51*SUM(D49:H49)*(-1)),IF('Staging Table'!D51=1,'Staging Table'!BJ51*-1,'Staging Table'!BJ51*SUM(D49:H49)*(-1)))</f>
        <v>0</v>
      </c>
      <c r="J49" s="407">
        <f>IF(Init!$R$9="Yes",'Staging Table'!K51,'Staging Table'!BM51)*(-1)*Rates_previous!$H$32</f>
        <v>0</v>
      </c>
      <c r="K49" s="407">
        <f>IF(Init!$R$12="No",0,'Staging Table'!$AW51*-1)</f>
        <v>0</v>
      </c>
      <c r="L49" s="407">
        <f>IF('Staging Table'!C51=1,"",SUM(D49:K49))</f>
        <v>99738.135206564591</v>
      </c>
      <c r="M49" s="407">
        <f>IF('Staging Table'!C51=1,"",IF(Init!$R$9="Yes",(RT1SC!$C$3*'Staging Table'!E51*'Staging Table'!$F$2)+SUM('Staging Table'!L51:AI51)-IF(Init!$R$15="No",'Staging Table'!AV51, 0),X49))</f>
        <v>1976.4</v>
      </c>
      <c r="N49" s="169">
        <f>IF('Staging Table'!C51=1,"",IF(M49=0, 0, L49/M49))</f>
        <v>50.464549284843443</v>
      </c>
      <c r="O49" s="407">
        <f>'Staging Table'!BG51*Rates_current!$E$75*100*12</f>
        <v>82291.821120000008</v>
      </c>
      <c r="P49" s="407">
        <f>'Staging Table'!BH51*Rates_current!$E$76*100*12</f>
        <v>-11575.05384</v>
      </c>
      <c r="Q49" s="408">
        <f>SUMPRODUCT('Staging Table'!BN51:CK51, LS_Demand_Rates_Restatement!$C$5:$Z$5)-IF(Init!$R$15="No",('Staging Table'!CX51*Rates_current!$H$35), 0)</f>
        <v>135.30833029944756</v>
      </c>
      <c r="R49" s="408">
        <f>SUMPRODUCT('Staging Table'!CL51:CW51, LS_Demand_Rates_Restatement!$C$11:$N$11)*1000</f>
        <v>29500.881507647791</v>
      </c>
      <c r="S49" s="409">
        <f>'Staging Table'!DH51*Rates_current!$H$33</f>
        <v>0</v>
      </c>
      <c r="T49" s="409">
        <f>IF('Staging Table'!D51=1, 'Staging Table'!BJ51*-1,SUM(O49:S49)*'Staging Table'!BJ51*-1)</f>
        <v>0</v>
      </c>
      <c r="U49" s="407">
        <f>'Staging Table'!BM51*Rates_current!$H$32*-1</f>
        <v>0</v>
      </c>
      <c r="V49" s="407">
        <f>IF(Init!$R$12="No",0,'Staging Table'!$CY51*-1)</f>
        <v>0</v>
      </c>
      <c r="W49" s="407">
        <f>IF('Staging Table'!C51=1,"",SUM(O49:V49))</f>
        <v>100352.95711794724</v>
      </c>
      <c r="X49" s="407">
        <f>IF('Staging Table'!C51=1,"",(RT1SC!$C$4*'Staging Table'!BG51*'Staging Table'!$BH$2)+SUM('Staging Table'!BN51:CK51)-IF(Init!$R$15="No",'Staging Table'!CX51, 0))</f>
        <v>1962.24</v>
      </c>
      <c r="Y49" s="169">
        <f>IF('Staging Table'!C51=1,"",IF(X49=0, 0, W49/X49))</f>
        <v>51.142040279449631</v>
      </c>
      <c r="Z49" s="160">
        <f>IF('Staging Table'!C51=1,"",Y49/N49-1)</f>
        <v>1.3425087595296592E-2</v>
      </c>
      <c r="AA49" s="97">
        <f t="shared" si="1"/>
        <v>115</v>
      </c>
      <c r="AD49" s="412"/>
      <c r="AE49" s="412"/>
      <c r="AF49" s="432"/>
      <c r="AG49" s="412"/>
      <c r="AH49" s="412"/>
    </row>
    <row r="50" spans="2:34">
      <c r="B50" s="3">
        <v>10118</v>
      </c>
      <c r="C50" s="4" t="s">
        <v>53</v>
      </c>
      <c r="D50" s="407">
        <f>IF(Init!$R$9="Yes",'Staging Table'!E52,'Staging Table'!BG52)*Rates_previous!$E$75*100*12</f>
        <v>16032155.166719999</v>
      </c>
      <c r="E50" s="407">
        <f>IF(Init!$R$9="Yes",'Staging Table'!F52,'Staging Table'!BH52)*Rates_previous!$E$76*100*12</f>
        <v>-2383348.4083199995</v>
      </c>
      <c r="F50" s="408">
        <f>IF(Init!$R$9="Yes",SUMPRODUCT('Staging Table'!L52:AI52,LS_Demand_Rates_Restatement!$C$4:$Z$4)-IF(Init!$R$15="No",('Staging Table'!AV52*Rates_previous!$H$35), 0),SUMPRODUCT('Staging Table'!BN52:CK52,LS_Demand_Rates_Restatement!$C$4:$Z$4)-IF(Init!$R$15="No", 'Staging Table'!CX52*Rates_previous!$H$35, 0))</f>
        <v>0</v>
      </c>
      <c r="G50" s="408">
        <f>IF(Init!$R$9="Yes",SUMPRODUCT('Staging Table'!AJ52:AU52,LS_Demand_Rates_Restatement!$C$10:$N$10),SUMPRODUCT(LS_Demand_Rates_Restatement!$C$10:$N$10,'Staging Table'!CL52:CW52))*1000</f>
        <v>0</v>
      </c>
      <c r="H50" s="409">
        <f>IF(Init!$R$9="Yes",'Staging Table'!BF52,'Staging Table'!DH52)*Rates_previous!$H$33</f>
        <v>0</v>
      </c>
      <c r="I50" s="409">
        <f>IF(Init!$R$9="Yes",IF('Staging Table'!D52=1,'Staging Table'!H52*-1,'Staging Table'!H52*SUM(D50:H50)*(-1)),IF('Staging Table'!D52=1,'Staging Table'!BJ52*-1,'Staging Table'!BJ52*SUM(D50:H50)*(-1)))</f>
        <v>-896453.62789171212</v>
      </c>
      <c r="J50" s="407">
        <f>IF(Init!$R$9="Yes",'Staging Table'!K52,'Staging Table'!BM52)*(-1)*Rates_previous!$H$32</f>
        <v>0</v>
      </c>
      <c r="K50" s="407">
        <f>IF(Init!$R$12="No",0,'Staging Table'!$AW52*-1)</f>
        <v>0</v>
      </c>
      <c r="L50" s="407" t="str">
        <f>IF('Staging Table'!C52=1,"",SUM(D50:K50))</f>
        <v/>
      </c>
      <c r="M50" s="407" t="str">
        <f>IF('Staging Table'!C52=1,"",IF(Init!$R$9="Yes",(RT1SC!$C$3*'Staging Table'!E52*'Staging Table'!$F$2)+SUM('Staging Table'!L52:AI52)-IF(Init!$R$15="No",'Staging Table'!AV52, 0),X50))</f>
        <v/>
      </c>
      <c r="N50" s="169" t="str">
        <f>IF('Staging Table'!C52=1,"",IF(M50=0, 0, L50/M50))</f>
        <v/>
      </c>
      <c r="O50" s="407">
        <f>'Staging Table'!BG52*Rates_current!$E$75*100*12</f>
        <v>16486644.07584</v>
      </c>
      <c r="P50" s="407">
        <f>'Staging Table'!BH52*Rates_current!$E$76*100*12</f>
        <v>-2318988.5728799999</v>
      </c>
      <c r="Q50" s="408">
        <f>SUMPRODUCT('Staging Table'!BN52:CK52, LS_Demand_Rates_Restatement!$C$5:$Z$5)-IF(Init!$R$15="No",('Staging Table'!CX52*Rates_current!$H$35), 0)</f>
        <v>0</v>
      </c>
      <c r="R50" s="408">
        <f>SUMPRODUCT('Staging Table'!CL52:CW52, LS_Demand_Rates_Restatement!$C$11:$N$11)*1000</f>
        <v>0</v>
      </c>
      <c r="S50" s="409">
        <f>'Staging Table'!DH52*Rates_current!$H$33</f>
        <v>0</v>
      </c>
      <c r="T50" s="409">
        <f>IF('Staging Table'!D52=1, 'Staging Table'!BJ52*-1,SUM(O50:S50)*'Staging Table'!BJ52*-1)</f>
        <v>-948314.91035794897</v>
      </c>
      <c r="U50" s="407">
        <f>'Staging Table'!BM52*Rates_current!$H$32*-1</f>
        <v>0</v>
      </c>
      <c r="V50" s="407">
        <f>IF(Init!$R$12="No",0,'Staging Table'!$CY52*-1)</f>
        <v>0</v>
      </c>
      <c r="W50" s="407" t="str">
        <f>IF('Staging Table'!C52=1,"",SUM(O50:V50))</f>
        <v/>
      </c>
      <c r="X50" s="407" t="str">
        <f>IF('Staging Table'!C52=1,"",(RT1SC!$C$4*'Staging Table'!BG52*'Staging Table'!$BH$2)+SUM('Staging Table'!BN52:CK52)-IF(Init!$R$15="No",'Staging Table'!CX52, 0))</f>
        <v/>
      </c>
      <c r="Y50" s="169" t="str">
        <f>IF('Staging Table'!C52=1,"",IF(X50=0, 0, W50/X50))</f>
        <v/>
      </c>
      <c r="Z50" s="160" t="str">
        <f>IF('Staging Table'!C52=1,"",Y50/N50-1)</f>
        <v/>
      </c>
      <c r="AA50" s="97" t="str">
        <f t="shared" si="1"/>
        <v/>
      </c>
      <c r="AD50" s="412"/>
      <c r="AE50" s="412"/>
      <c r="AF50" s="432"/>
      <c r="AG50" s="412"/>
      <c r="AH50" s="412"/>
    </row>
    <row r="51" spans="2:34">
      <c r="B51" s="3">
        <v>10121</v>
      </c>
      <c r="C51" s="4" t="s">
        <v>54</v>
      </c>
      <c r="D51" s="407">
        <f>IF(Init!$R$9="Yes",'Staging Table'!E53,'Staging Table'!BG53)*Rates_previous!$E$75*100*12</f>
        <v>14090018.78088</v>
      </c>
      <c r="E51" s="407">
        <f>IF(Init!$R$9="Yes",'Staging Table'!F53,'Staging Table'!BH53)*Rates_previous!$E$76*100*12</f>
        <v>-2094629.4172799997</v>
      </c>
      <c r="F51" s="408">
        <f>IF(Init!$R$9="Yes",SUMPRODUCT('Staging Table'!L53:AI53,LS_Demand_Rates_Restatement!$C$4:$Z$4)-IF(Init!$R$15="No",('Staging Table'!AV53*Rates_previous!$H$35), 0),SUMPRODUCT('Staging Table'!BN53:CK53,LS_Demand_Rates_Restatement!$C$4:$Z$4)-IF(Init!$R$15="No", 'Staging Table'!CX53*Rates_previous!$H$35, 0))</f>
        <v>0</v>
      </c>
      <c r="G51" s="408">
        <f>IF(Init!$R$9="Yes",SUMPRODUCT('Staging Table'!AJ53:AU53,LS_Demand_Rates_Restatement!$C$10:$N$10),SUMPRODUCT(LS_Demand_Rates_Restatement!$C$10:$N$10,'Staging Table'!CL53:CW53))*1000</f>
        <v>0</v>
      </c>
      <c r="H51" s="409">
        <f>IF(Init!$R$9="Yes",'Staging Table'!BF53,'Staging Table'!DH53)*Rates_previous!$H$33</f>
        <v>9.0516260807431532</v>
      </c>
      <c r="I51" s="409">
        <f>IF(Init!$R$9="Yes",IF('Staging Table'!D53=1,'Staging Table'!H53*-1,'Staging Table'!H53*SUM(D51:H51)*(-1)),IF('Staging Table'!D53=1,'Staging Table'!BJ53*-1,'Staging Table'!BJ53*SUM(D51:H51)*(-1)))</f>
        <v>-659746.91283743444</v>
      </c>
      <c r="J51" s="407">
        <f>IF(Init!$R$9="Yes",'Staging Table'!K53,'Staging Table'!BM53)*(-1)*Rates_previous!$H$32</f>
        <v>0</v>
      </c>
      <c r="K51" s="407">
        <f>IF(Init!$R$12="No",0,'Staging Table'!$AW53*-1)</f>
        <v>0</v>
      </c>
      <c r="L51" s="407" t="str">
        <f>IF('Staging Table'!C53=1,"",SUM(D51:K51))</f>
        <v/>
      </c>
      <c r="M51" s="407" t="str">
        <f>IF('Staging Table'!C53=1,"",IF(Init!$R$9="Yes",(RT1SC!$C$3*'Staging Table'!E53*'Staging Table'!$F$2)+SUM('Staging Table'!L53:AI53)-IF(Init!$R$15="No",'Staging Table'!AV53, 0),X51))</f>
        <v/>
      </c>
      <c r="N51" s="169" t="str">
        <f>IF('Staging Table'!C53=1,"",IF(M51=0, 0, L51/M51))</f>
        <v/>
      </c>
      <c r="O51" s="407">
        <f>'Staging Table'!BG53*Rates_current!$E$75*100*12</f>
        <v>14253045.32736</v>
      </c>
      <c r="P51" s="407">
        <f>'Staging Table'!BH53*Rates_current!$E$76*100*12</f>
        <v>-2004813.6595200002</v>
      </c>
      <c r="Q51" s="408">
        <f>SUMPRODUCT('Staging Table'!BN53:CK53, LS_Demand_Rates_Restatement!$C$5:$Z$5)-IF(Init!$R$15="No",('Staging Table'!CX53*Rates_current!$H$35), 0)</f>
        <v>0</v>
      </c>
      <c r="R51" s="408">
        <f>SUMPRODUCT('Staging Table'!CL53:CW53, LS_Demand_Rates_Restatement!$C$11:$N$11)*1000</f>
        <v>0</v>
      </c>
      <c r="S51" s="409">
        <f>'Staging Table'!DH53*Rates_current!$H$33</f>
        <v>27.527385455861804</v>
      </c>
      <c r="T51" s="409">
        <f>IF('Staging Table'!D53=1, 'Staging Table'!BJ53*-1,SUM(O51:S51)*'Staging Table'!BJ53*-1)</f>
        <v>-734895.55171352741</v>
      </c>
      <c r="U51" s="407">
        <f>'Staging Table'!BM53*Rates_current!$H$32*-1</f>
        <v>0</v>
      </c>
      <c r="V51" s="407">
        <f>IF(Init!$R$12="No",0,'Staging Table'!$CY53*-1)</f>
        <v>0</v>
      </c>
      <c r="W51" s="407" t="str">
        <f>IF('Staging Table'!C53=1,"",SUM(O51:V51))</f>
        <v/>
      </c>
      <c r="X51" s="407" t="str">
        <f>IF('Staging Table'!C53=1,"",(RT1SC!$C$4*'Staging Table'!BG53*'Staging Table'!$BH$2)+SUM('Staging Table'!BN53:CK53)-IF(Init!$R$15="No",'Staging Table'!CX53, 0))</f>
        <v/>
      </c>
      <c r="Y51" s="169" t="str">
        <f>IF('Staging Table'!C53=1,"",IF(X51=0, 0, W51/X51))</f>
        <v/>
      </c>
      <c r="Z51" s="160" t="str">
        <f>IF('Staging Table'!C53=1,"",Y51/N51-1)</f>
        <v/>
      </c>
      <c r="AA51" s="97" t="str">
        <f t="shared" si="1"/>
        <v/>
      </c>
      <c r="AD51" s="412"/>
      <c r="AE51" s="412"/>
      <c r="AF51" s="432"/>
      <c r="AG51" s="412"/>
      <c r="AH51" s="412"/>
    </row>
    <row r="52" spans="2:34">
      <c r="B52" s="3">
        <v>10123</v>
      </c>
      <c r="C52" s="4" t="s">
        <v>55</v>
      </c>
      <c r="D52" s="407">
        <f>IF(Init!$R$9="Yes",'Staging Table'!E54,'Staging Table'!BG54)*Rates_previous!$E$75*100*12</f>
        <v>192776962.62384</v>
      </c>
      <c r="E52" s="407">
        <f>IF(Init!$R$9="Yes",'Staging Table'!F54,'Staging Table'!BH54)*Rates_previous!$E$76*100*12</f>
        <v>-13961436.247199997</v>
      </c>
      <c r="F52" s="408">
        <f>IF(Init!$R$9="Yes",SUMPRODUCT('Staging Table'!L54:AI54,LS_Demand_Rates_Restatement!$C$4:$Z$4)-IF(Init!$R$15="No",('Staging Table'!AV54*Rates_previous!$H$35), 0),SUMPRODUCT('Staging Table'!BN54:CK54,LS_Demand_Rates_Restatement!$C$4:$Z$4)-IF(Init!$R$15="No", 'Staging Table'!CX54*Rates_previous!$H$35, 0))</f>
        <v>-265139.15013743902</v>
      </c>
      <c r="G52" s="408">
        <f>IF(Init!$R$9="Yes",SUMPRODUCT('Staging Table'!AJ54:AU54,LS_Demand_Rates_Restatement!$C$10:$N$10),SUMPRODUCT(LS_Demand_Rates_Restatement!$C$10:$N$10,'Staging Table'!CL54:CW54))*1000</f>
        <v>0</v>
      </c>
      <c r="H52" s="409">
        <f>IF(Init!$R$9="Yes",'Staging Table'!BF54,'Staging Table'!DH54)*Rates_previous!$H$33</f>
        <v>0</v>
      </c>
      <c r="I52" s="409">
        <f>IF(Init!$R$9="Yes",IF('Staging Table'!D54=1,'Staging Table'!H54*-1,'Staging Table'!H54*SUM(D52:H52)*(-1)),IF('Staging Table'!D54=1,'Staging Table'!BJ54*-1,'Staging Table'!BJ54*SUM(D52:H52)*(-1)))</f>
        <v>0</v>
      </c>
      <c r="J52" s="407">
        <f>IF(Init!$R$9="Yes",'Staging Table'!K54,'Staging Table'!BM54)*(-1)*Rates_previous!$H$32</f>
        <v>0</v>
      </c>
      <c r="K52" s="407">
        <f>IF(Init!$R$12="No",0,'Staging Table'!$AW54*-1)</f>
        <v>0</v>
      </c>
      <c r="L52" s="407">
        <f>IF('Staging Table'!C54=1,"",SUM(D52:K52))</f>
        <v>178550387.2265026</v>
      </c>
      <c r="M52" s="407">
        <f>IF('Staging Table'!C54=1,"",IF(Init!$R$9="Yes",(RT1SC!$C$3*'Staging Table'!E54*'Staging Table'!$F$2)+SUM('Staging Table'!L54:AI54)-IF(Init!$R$15="No",'Staging Table'!AV54, 0),X52))</f>
        <v>4777090.5696431752</v>
      </c>
      <c r="N52" s="169">
        <f>IF('Staging Table'!C54=1,"",IF(M52=0, 0, L52/M52))</f>
        <v>37.376387284999588</v>
      </c>
      <c r="O52" s="407">
        <f>'Staging Table'!BG54*Rates_current!$E$75*100*12</f>
        <v>198241761.39840004</v>
      </c>
      <c r="P52" s="407">
        <f>'Staging Table'!BH54*Rates_current!$E$76*100*12</f>
        <v>-13583916.97656</v>
      </c>
      <c r="Q52" s="408">
        <f>SUMPRODUCT('Staging Table'!BN54:CK54, LS_Demand_Rates_Restatement!$C$5:$Z$5)-IF(Init!$R$15="No",('Staging Table'!CX54*Rates_current!$H$35), 0)</f>
        <v>-703880.26376727805</v>
      </c>
      <c r="R52" s="408">
        <f>SUMPRODUCT('Staging Table'!CL54:CW54, LS_Demand_Rates_Restatement!$C$11:$N$11)*1000</f>
        <v>0</v>
      </c>
      <c r="S52" s="409">
        <f>'Staging Table'!DH54*Rates_current!$H$33</f>
        <v>0</v>
      </c>
      <c r="T52" s="409">
        <f>IF('Staging Table'!D54=1, 'Staging Table'!BJ54*-1,SUM(O52:S52)*'Staging Table'!BJ54*-1)</f>
        <v>0</v>
      </c>
      <c r="U52" s="407">
        <f>'Staging Table'!BM54*Rates_current!$H$32*-1</f>
        <v>0</v>
      </c>
      <c r="V52" s="407">
        <f>IF(Init!$R$12="No",0,'Staging Table'!$CY54*-1)</f>
        <v>0</v>
      </c>
      <c r="W52" s="407">
        <f>IF('Staging Table'!C54=1,"",SUM(O52:V52))</f>
        <v>183953964.15807277</v>
      </c>
      <c r="X52" s="407">
        <f>IF('Staging Table'!C54=1,"",(RT1SC!$C$4*'Staging Table'!BG54*'Staging Table'!$BH$2)+SUM('Staging Table'!BN54:CK54)-IF(Init!$R$15="No",'Staging Table'!CX54, 0))</f>
        <v>4706454.822257557</v>
      </c>
      <c r="Y52" s="169">
        <f>IF('Staging Table'!C54=1,"",IF(X52=0, 0, W52/X52))</f>
        <v>39.085462647622975</v>
      </c>
      <c r="Z52" s="160">
        <f>IF('Staging Table'!C54=1,"",Y52/N52-1)</f>
        <v>4.572607163960174E-2</v>
      </c>
      <c r="AA52" s="97">
        <f t="shared" si="1"/>
        <v>86</v>
      </c>
      <c r="AD52" s="412"/>
      <c r="AE52" s="412"/>
      <c r="AF52" s="432"/>
      <c r="AG52" s="412"/>
      <c r="AH52" s="412"/>
    </row>
    <row r="53" spans="2:34">
      <c r="B53" s="3">
        <v>10136</v>
      </c>
      <c r="C53" s="4" t="s">
        <v>56</v>
      </c>
      <c r="D53" s="407">
        <f>IF(Init!$R$9="Yes",'Staging Table'!E55,'Staging Table'!BG55)*Rates_previous!$E$75*100*12</f>
        <v>6389049.4844399989</v>
      </c>
      <c r="E53" s="407">
        <f>IF(Init!$R$9="Yes",'Staging Table'!F55,'Staging Table'!BH55)*Rates_previous!$E$76*100*12</f>
        <v>-949799.37263999972</v>
      </c>
      <c r="F53" s="408">
        <f>IF(Init!$R$9="Yes",SUMPRODUCT('Staging Table'!L55:AI55,LS_Demand_Rates_Restatement!$C$4:$Z$4)-IF(Init!$R$15="No",('Staging Table'!AV55*Rates_previous!$H$35), 0),SUMPRODUCT('Staging Table'!BN55:CK55,LS_Demand_Rates_Restatement!$C$4:$Z$4)-IF(Init!$R$15="No", 'Staging Table'!CX55*Rates_previous!$H$35, 0))</f>
        <v>0</v>
      </c>
      <c r="G53" s="408">
        <f>IF(Init!$R$9="Yes",SUMPRODUCT('Staging Table'!AJ55:AU55,LS_Demand_Rates_Restatement!$C$10:$N$10),SUMPRODUCT(LS_Demand_Rates_Restatement!$C$10:$N$10,'Staging Table'!CL55:CW55))*1000</f>
        <v>0</v>
      </c>
      <c r="H53" s="409">
        <f>IF(Init!$R$9="Yes",'Staging Table'!BF55,'Staging Table'!DH55)*Rates_previous!$H$33</f>
        <v>3.1634475799786741</v>
      </c>
      <c r="I53" s="409">
        <f>IF(Init!$R$9="Yes",IF('Staging Table'!D55=1,'Staging Table'!H55*-1,'Staging Table'!H55*SUM(D53:H53)*(-1)),IF('Staging Table'!D55=1,'Staging Table'!BJ55*-1,'Staging Table'!BJ55*SUM(D53:H53)*(-1)))</f>
        <v>-380747.72926733061</v>
      </c>
      <c r="J53" s="407">
        <f>IF(Init!$R$9="Yes",'Staging Table'!K55,'Staging Table'!BM55)*(-1)*Rates_previous!$H$32</f>
        <v>0</v>
      </c>
      <c r="K53" s="407">
        <f>IF(Init!$R$12="No",0,'Staging Table'!$AW55*-1)</f>
        <v>0</v>
      </c>
      <c r="L53" s="407" t="str">
        <f>IF('Staging Table'!C55=1,"",SUM(D53:K53))</f>
        <v/>
      </c>
      <c r="M53" s="407" t="str">
        <f>IF('Staging Table'!C55=1,"",IF(Init!$R$9="Yes",(RT1SC!$C$3*'Staging Table'!E55*'Staging Table'!$F$2)+SUM('Staging Table'!L55:AI55)-IF(Init!$R$15="No",'Staging Table'!AV55, 0),X53))</f>
        <v/>
      </c>
      <c r="N53" s="169" t="str">
        <f>IF('Staging Table'!C55=1,"",IF(M53=0, 0, L53/M53))</f>
        <v/>
      </c>
      <c r="O53" s="407">
        <f>'Staging Table'!BG55*Rates_current!$E$75*100*12</f>
        <v>6645255.63552</v>
      </c>
      <c r="P53" s="407">
        <f>'Staging Table'!BH55*Rates_current!$E$76*100*12</f>
        <v>-934712.47464000015</v>
      </c>
      <c r="Q53" s="408">
        <f>SUMPRODUCT('Staging Table'!BN55:CK55, LS_Demand_Rates_Restatement!$C$5:$Z$5)-IF(Init!$R$15="No",('Staging Table'!CX55*Rates_current!$H$35), 0)</f>
        <v>0</v>
      </c>
      <c r="R53" s="408">
        <f>SUMPRODUCT('Staging Table'!CL55:CW55, LS_Demand_Rates_Restatement!$C$11:$N$11)*1000</f>
        <v>0</v>
      </c>
      <c r="S53" s="409">
        <f>'Staging Table'!DH55*Rates_current!$H$33</f>
        <v>27.009076842005015</v>
      </c>
      <c r="T53" s="409">
        <f>IF('Staging Table'!D55=1, 'Staging Table'!BJ55*-1,SUM(O53:S53)*'Staging Table'!BJ55*-1)</f>
        <v>-399739.91189697897</v>
      </c>
      <c r="U53" s="407">
        <f>'Staging Table'!BM55*Rates_current!$H$32*-1</f>
        <v>0</v>
      </c>
      <c r="V53" s="407">
        <f>IF(Init!$R$12="No",0,'Staging Table'!$CY55*-1)</f>
        <v>0</v>
      </c>
      <c r="W53" s="407" t="str">
        <f>IF('Staging Table'!C55=1,"",SUM(O53:V53))</f>
        <v/>
      </c>
      <c r="X53" s="407" t="str">
        <f>IF('Staging Table'!C55=1,"",(RT1SC!$C$4*'Staging Table'!BG55*'Staging Table'!$BH$2)+SUM('Staging Table'!BN55:CK55)-IF(Init!$R$15="No",'Staging Table'!CX55, 0))</f>
        <v/>
      </c>
      <c r="Y53" s="169" t="str">
        <f>IF('Staging Table'!C55=1,"",IF(X53=0, 0, W53/X53))</f>
        <v/>
      </c>
      <c r="Z53" s="160" t="str">
        <f>IF('Staging Table'!C55=1,"",Y53/N53-1)</f>
        <v/>
      </c>
      <c r="AA53" s="97" t="str">
        <f t="shared" si="1"/>
        <v/>
      </c>
      <c r="AD53" s="412"/>
      <c r="AE53" s="412"/>
      <c r="AF53" s="432"/>
      <c r="AG53" s="412"/>
      <c r="AH53" s="412"/>
    </row>
    <row r="54" spans="2:34">
      <c r="B54" s="3">
        <v>10142</v>
      </c>
      <c r="C54" s="4" t="s">
        <v>57</v>
      </c>
      <c r="D54" s="407">
        <f>IF(Init!$R$9="Yes",'Staging Table'!E56,'Staging Table'!BG56)*Rates_previous!$E$75*100*12</f>
        <v>943344.60443999991</v>
      </c>
      <c r="E54" s="407">
        <f>IF(Init!$R$9="Yes",'Staging Table'!F56,'Staging Table'!BH56)*Rates_previous!$E$76*100*12</f>
        <v>-140238.09263999999</v>
      </c>
      <c r="F54" s="408">
        <f>IF(Init!$R$9="Yes",SUMPRODUCT('Staging Table'!L56:AI56,LS_Demand_Rates_Restatement!$C$4:$Z$4)-IF(Init!$R$15="No",('Staging Table'!AV56*Rates_previous!$H$35), 0),SUMPRODUCT('Staging Table'!BN56:CK56,LS_Demand_Rates_Restatement!$C$4:$Z$4)-IF(Init!$R$15="No", 'Staging Table'!CX56*Rates_previous!$H$35, 0))</f>
        <v>-2073.9413123687482</v>
      </c>
      <c r="G54" s="408">
        <f>IF(Init!$R$9="Yes",SUMPRODUCT('Staging Table'!AJ56:AU56,LS_Demand_Rates_Restatement!$C$10:$N$10),SUMPRODUCT(LS_Demand_Rates_Restatement!$C$10:$N$10,'Staging Table'!CL56:CW56))*1000</f>
        <v>82906.441588666305</v>
      </c>
      <c r="H54" s="409">
        <f>IF(Init!$R$9="Yes",'Staging Table'!BF56,'Staging Table'!DH56)*Rates_previous!$H$33</f>
        <v>0</v>
      </c>
      <c r="I54" s="409">
        <f>IF(Init!$R$9="Yes",IF('Staging Table'!D56=1,'Staging Table'!H56*-1,'Staging Table'!H56*SUM(D54:H54)*(-1)),IF('Staging Table'!D56=1,'Staging Table'!BJ56*-1,'Staging Table'!BJ56*SUM(D54:H54)*(-1)))</f>
        <v>-30442.859575907685</v>
      </c>
      <c r="J54" s="407">
        <f>IF(Init!$R$9="Yes",'Staging Table'!K56,'Staging Table'!BM56)*(-1)*Rates_previous!$H$32</f>
        <v>-67906.826679999998</v>
      </c>
      <c r="K54" s="407">
        <f>IF(Init!$R$12="No",0,'Staging Table'!$AW56*-1)</f>
        <v>0</v>
      </c>
      <c r="L54" s="407">
        <f>IF('Staging Table'!C56=1,"",SUM(D54:K54))</f>
        <v>785589.3258203899</v>
      </c>
      <c r="M54" s="407">
        <f>IF('Staging Table'!C56=1,"",IF(Init!$R$9="Yes",(RT1SC!$C$3*'Staging Table'!E56*'Staging Table'!$F$2)+SUM('Staging Table'!L56:AI56)-IF(Init!$R$15="No",'Staging Table'!AV56, 0),X54))</f>
        <v>23374.224000000002</v>
      </c>
      <c r="N54" s="169">
        <f>IF('Staging Table'!C56=1,"",IF(M54=0, 0, L54/M54))</f>
        <v>33.609215254392609</v>
      </c>
      <c r="O54" s="407">
        <f>'Staging Table'!BG56*Rates_current!$E$75*100*12</f>
        <v>969922.48607999994</v>
      </c>
      <c r="P54" s="407">
        <f>'Staging Table'!BH56*Rates_current!$E$76*100*12</f>
        <v>-136427.95656000002</v>
      </c>
      <c r="Q54" s="408">
        <f>SUMPRODUCT('Staging Table'!BN56:CK56, LS_Demand_Rates_Restatement!$C$5:$Z$5)-IF(Init!$R$15="No",('Staging Table'!CX56*Rates_current!$H$35), 0)</f>
        <v>-6496.034870309486</v>
      </c>
      <c r="R54" s="408">
        <f>SUMPRODUCT('Staging Table'!CL56:CW56, LS_Demand_Rates_Restatement!$C$11:$N$11)*1000</f>
        <v>80471.869350756795</v>
      </c>
      <c r="S54" s="409">
        <f>'Staging Table'!DH56*Rates_current!$H$33</f>
        <v>0</v>
      </c>
      <c r="T54" s="409">
        <f>IF('Staging Table'!D56=1, 'Staging Table'!BJ56*-1,SUM(O54:S54)*'Staging Table'!BJ56*-1)</f>
        <v>-29489.354642556136</v>
      </c>
      <c r="U54" s="407">
        <f>'Staging Table'!BM56*Rates_current!$H$32*-1</f>
        <v>-67849.131840000002</v>
      </c>
      <c r="V54" s="407">
        <f>IF(Init!$R$12="No",0,'Staging Table'!$CY56*-1)</f>
        <v>0</v>
      </c>
      <c r="W54" s="407">
        <f>IF('Staging Table'!C56=1,"",SUM(O54:V54))</f>
        <v>810131.87751789088</v>
      </c>
      <c r="X54" s="407">
        <f>IF('Staging Table'!C56=1,"",(RT1SC!$C$4*'Staging Table'!BG56*'Staging Table'!$BH$2)+SUM('Staging Table'!BN56:CK56)-IF(Init!$R$15="No",'Staging Table'!CX56, 0))</f>
        <v>23161.440000000002</v>
      </c>
      <c r="Y54" s="169">
        <f>IF('Staging Table'!C56=1,"",IF(X54=0, 0, W54/X54))</f>
        <v>34.977612683748973</v>
      </c>
      <c r="Z54" s="160">
        <f>IF('Staging Table'!C56=1,"",Y54/N54-1)</f>
        <v>4.0714947344018038E-2</v>
      </c>
      <c r="AA54" s="97">
        <f t="shared" si="1"/>
        <v>99</v>
      </c>
      <c r="AD54" s="412"/>
      <c r="AE54" s="412"/>
      <c r="AF54" s="432"/>
      <c r="AG54" s="412"/>
      <c r="AH54" s="412"/>
    </row>
    <row r="55" spans="2:34">
      <c r="B55" s="3">
        <v>10144</v>
      </c>
      <c r="C55" s="4" t="s">
        <v>58</v>
      </c>
      <c r="D55" s="407">
        <f>IF(Init!$R$9="Yes",'Staging Table'!E57,'Staging Table'!BG57)*Rates_previous!$E$75*100*12</f>
        <v>1175777.1900000002</v>
      </c>
      <c r="E55" s="407">
        <f>IF(Init!$R$9="Yes",'Staging Table'!F57,'Staging Table'!BH57)*Rates_previous!$E$76*100*12</f>
        <v>-174791.63999999998</v>
      </c>
      <c r="F55" s="408">
        <f>IF(Init!$R$9="Yes",SUMPRODUCT('Staging Table'!L57:AI57,LS_Demand_Rates_Restatement!$C$4:$Z$4)-IF(Init!$R$15="No",('Staging Table'!AV57*Rates_previous!$H$35), 0),SUMPRODUCT('Staging Table'!BN57:CK57,LS_Demand_Rates_Restatement!$C$4:$Z$4)-IF(Init!$R$15="No", 'Staging Table'!CX57*Rates_previous!$H$35, 0))</f>
        <v>-4254.2524276990407</v>
      </c>
      <c r="G55" s="408">
        <f>IF(Init!$R$9="Yes",SUMPRODUCT('Staging Table'!AJ57:AU57,LS_Demand_Rates_Restatement!$C$10:$N$10),SUMPRODUCT(LS_Demand_Rates_Restatement!$C$10:$N$10,'Staging Table'!CL57:CW57))*1000</f>
        <v>67507.716139476484</v>
      </c>
      <c r="H55" s="409">
        <f>IF(Init!$R$9="Yes",'Staging Table'!BF57,'Staging Table'!DH57)*Rates_previous!$H$33</f>
        <v>-4896.368093055813</v>
      </c>
      <c r="I55" s="409">
        <f>IF(Init!$R$9="Yes",IF('Staging Table'!D57=1,'Staging Table'!H57*-1,'Staging Table'!H57*SUM(D55:H55)*(-1)),IF('Staging Table'!D57=1,'Staging Table'!BJ57*-1,'Staging Table'!BJ57*SUM(D55:H55)*(-1)))</f>
        <v>0</v>
      </c>
      <c r="J55" s="407">
        <f>IF(Init!$R$9="Yes",'Staging Table'!K57,'Staging Table'!BM57)*(-1)*Rates_previous!$H$32</f>
        <v>0</v>
      </c>
      <c r="K55" s="407">
        <f>IF(Init!$R$12="No",0,'Staging Table'!$AW57*-1)</f>
        <v>0</v>
      </c>
      <c r="L55" s="407">
        <f>IF('Staging Table'!C57=1,"",SUM(D55:K55))</f>
        <v>1059342.6456187216</v>
      </c>
      <c r="M55" s="407">
        <f>IF('Staging Table'!C57=1,"",IF(Init!$R$9="Yes",(RT1SC!$C$3*'Staging Table'!E57*'Staging Table'!$F$2)+SUM('Staging Table'!L57:AI57)-IF(Init!$R$15="No",'Staging Table'!AV57, 0),X55))</f>
        <v>28583.266068581266</v>
      </c>
      <c r="N55" s="169">
        <f>IF('Staging Table'!C57=1,"",IF(M55=0, 0, L55/M55))</f>
        <v>37.061637500661668</v>
      </c>
      <c r="O55" s="407">
        <f>'Staging Table'!BG57*Rates_current!$E$75*100*12</f>
        <v>1196925.62112</v>
      </c>
      <c r="P55" s="407">
        <f>'Staging Table'!BH57*Rates_current!$E$76*100*12</f>
        <v>-168357.90383999998</v>
      </c>
      <c r="Q55" s="408">
        <f>SUMPRODUCT('Staging Table'!BN57:CK57, LS_Demand_Rates_Restatement!$C$5:$Z$5)-IF(Init!$R$15="No",('Staging Table'!CX57*Rates_current!$H$35), 0)</f>
        <v>22034.089899984647</v>
      </c>
      <c r="R55" s="408">
        <f>SUMPRODUCT('Staging Table'!CL57:CW57, LS_Demand_Rates_Restatement!$C$11:$N$11)*1000</f>
        <v>70089.021543304858</v>
      </c>
      <c r="S55" s="409">
        <f>'Staging Table'!DH57*Rates_current!$H$33</f>
        <v>-7.8231835779633911</v>
      </c>
      <c r="T55" s="409">
        <f>IF('Staging Table'!D57=1, 'Staging Table'!BJ57*-1,SUM(O55:S55)*'Staging Table'!BJ57*-1)</f>
        <v>0</v>
      </c>
      <c r="U55" s="407">
        <f>'Staging Table'!BM57*Rates_current!$H$32*-1</f>
        <v>0</v>
      </c>
      <c r="V55" s="407">
        <f>IF(Init!$R$12="No",0,'Staging Table'!$CY57*-1)</f>
        <v>0</v>
      </c>
      <c r="W55" s="407">
        <f>IF('Staging Table'!C57=1,"",SUM(O55:V55))</f>
        <v>1120683.0055397116</v>
      </c>
      <c r="X55" s="407">
        <f>IF('Staging Table'!C57=1,"",(RT1SC!$C$4*'Staging Table'!BG57*'Staging Table'!$BH$2)+SUM('Staging Table'!BN57:CK57)-IF(Init!$R$15="No",'Staging Table'!CX57, 0))</f>
        <v>28583.266416974275</v>
      </c>
      <c r="Y55" s="169">
        <f>IF('Staging Table'!C57=1,"",IF(X55=0, 0, W55/X55))</f>
        <v>39.207660495869355</v>
      </c>
      <c r="Z55" s="160">
        <f>IF('Staging Table'!C57=1,"",Y55/N55-1)</f>
        <v>5.7904160202564503E-2</v>
      </c>
      <c r="AA55" s="97">
        <f t="shared" si="1"/>
        <v>19</v>
      </c>
      <c r="AD55" s="412"/>
      <c r="AE55" s="412"/>
      <c r="AF55" s="432"/>
      <c r="AG55" s="412"/>
      <c r="AH55" s="412"/>
    </row>
    <row r="56" spans="2:34">
      <c r="B56" s="3">
        <v>10156</v>
      </c>
      <c r="C56" s="4" t="s">
        <v>59</v>
      </c>
      <c r="D56" s="407">
        <f>IF(Init!$R$9="Yes",'Staging Table'!E58,'Staging Table'!BG58)*Rates_previous!$E$75*100*12</f>
        <v>11278549.870560002</v>
      </c>
      <c r="E56" s="407">
        <f>IF(Init!$R$9="Yes",'Staging Table'!F58,'Staging Table'!BH58)*Rates_previous!$E$76*100*12</f>
        <v>-1676675.0073599999</v>
      </c>
      <c r="F56" s="408">
        <f>IF(Init!$R$9="Yes",SUMPRODUCT('Staging Table'!L58:AI58,LS_Demand_Rates_Restatement!$C$4:$Z$4)-IF(Init!$R$15="No",('Staging Table'!AV58*Rates_previous!$H$35), 0),SUMPRODUCT('Staging Table'!BN58:CK58,LS_Demand_Rates_Restatement!$C$4:$Z$4)-IF(Init!$R$15="No", 'Staging Table'!CX58*Rates_previous!$H$35, 0))</f>
        <v>11063.276782723795</v>
      </c>
      <c r="G56" s="408">
        <f>IF(Init!$R$9="Yes",SUMPRODUCT('Staging Table'!AJ58:AU58,LS_Demand_Rates_Restatement!$C$10:$N$10),SUMPRODUCT(LS_Demand_Rates_Restatement!$C$10:$N$10,'Staging Table'!CL58:CW58))*1000</f>
        <v>690499.90803568379</v>
      </c>
      <c r="H56" s="409">
        <f>IF(Init!$R$9="Yes",'Staging Table'!BF58,'Staging Table'!DH58)*Rates_previous!$H$33</f>
        <v>-21853.962927935259</v>
      </c>
      <c r="I56" s="409">
        <f>IF(Init!$R$9="Yes",IF('Staging Table'!D58=1,'Staging Table'!H58*-1,'Staging Table'!H58*SUM(D56:H56)*(-1)),IF('Staging Table'!D58=1,'Staging Table'!BJ58*-1,'Staging Table'!BJ58*SUM(D56:H56)*(-1)))</f>
        <v>0</v>
      </c>
      <c r="J56" s="407">
        <f>IF(Init!$R$9="Yes",'Staging Table'!K58,'Staging Table'!BM58)*(-1)*Rates_previous!$H$32</f>
        <v>0</v>
      </c>
      <c r="K56" s="407">
        <f>IF(Init!$R$12="No",0,'Staging Table'!$AW58*-1)</f>
        <v>0</v>
      </c>
      <c r="L56" s="407">
        <f>IF('Staging Table'!C58=1,"",SUM(D56:K56))</f>
        <v>10281584.085090473</v>
      </c>
      <c r="M56" s="407">
        <f>IF('Staging Table'!C58=1,"",IF(Init!$R$9="Yes",(RT1SC!$C$3*'Staging Table'!E58*'Staging Table'!$F$2)+SUM('Staging Table'!L58:AI58)-IF(Init!$R$15="No",'Staging Table'!AV58, 0),X56))</f>
        <v>277019.93765786046</v>
      </c>
      <c r="N56" s="169">
        <f>IF('Staging Table'!C58=1,"",IF(M56=0, 0, L56/M56))</f>
        <v>37.114960648749296</v>
      </c>
      <c r="O56" s="407">
        <f>'Staging Table'!BG58*Rates_current!$E$75*100*12</f>
        <v>11600853.81696</v>
      </c>
      <c r="P56" s="407">
        <f>'Staging Table'!BH58*Rates_current!$E$76*100*12</f>
        <v>-1631760.06672</v>
      </c>
      <c r="Q56" s="408">
        <f>SUMPRODUCT('Staging Table'!BN58:CK58, LS_Demand_Rates_Restatement!$C$5:$Z$5)-IF(Init!$R$15="No",('Staging Table'!CX58*Rates_current!$H$35), 0)</f>
        <v>189332.1668948704</v>
      </c>
      <c r="R56" s="408">
        <f>SUMPRODUCT('Staging Table'!CL58:CW58, LS_Demand_Rates_Restatement!$C$11:$N$11)*1000</f>
        <v>708839.73543319979</v>
      </c>
      <c r="S56" s="409">
        <f>'Staging Table'!DH58*Rates_current!$H$33</f>
        <v>31.378277875672211</v>
      </c>
      <c r="T56" s="409">
        <f>IF('Staging Table'!D58=1, 'Staging Table'!BJ58*-1,SUM(O56:S56)*'Staging Table'!BJ58*-1)</f>
        <v>0</v>
      </c>
      <c r="U56" s="407">
        <f>'Staging Table'!BM58*Rates_current!$H$32*-1</f>
        <v>0</v>
      </c>
      <c r="V56" s="407">
        <f>IF(Init!$R$12="No",0,'Staging Table'!$CY58*-1)</f>
        <v>0</v>
      </c>
      <c r="W56" s="407">
        <f>IF('Staging Table'!C58=1,"",SUM(O56:V56))</f>
        <v>10867297.030845946</v>
      </c>
      <c r="X56" s="407">
        <f>IF('Staging Table'!C58=1,"",(RT1SC!$C$4*'Staging Table'!BG58*'Staging Table'!$BH$2)+SUM('Staging Table'!BN58:CK58)-IF(Init!$R$15="No",'Staging Table'!CX58, 0))</f>
        <v>277019.94104140199</v>
      </c>
      <c r="Y56" s="169">
        <f>IF('Staging Table'!C58=1,"",IF(X56=0, 0, W56/X56))</f>
        <v>39.229295154682653</v>
      </c>
      <c r="Z56" s="160">
        <f>IF('Staging Table'!C58=1,"",Y56/N56-1)</f>
        <v>5.6967176280829701E-2</v>
      </c>
      <c r="AA56" s="97">
        <f t="shared" si="1"/>
        <v>20</v>
      </c>
      <c r="AD56" s="412"/>
      <c r="AE56" s="412"/>
      <c r="AF56" s="432"/>
      <c r="AG56" s="412"/>
      <c r="AH56" s="412"/>
    </row>
    <row r="57" spans="2:34">
      <c r="B57" s="3">
        <v>10157</v>
      </c>
      <c r="C57" s="4" t="s">
        <v>60</v>
      </c>
      <c r="D57" s="407">
        <f>IF(Init!$R$9="Yes",'Staging Table'!E59,'Staging Table'!BG59)*Rates_previous!$E$75*100*12</f>
        <v>16939360.093319997</v>
      </c>
      <c r="E57" s="407">
        <f>IF(Init!$R$9="Yes",'Staging Table'!F59,'Staging Table'!BH59)*Rates_previous!$E$76*100*12</f>
        <v>-1155538.3324800001</v>
      </c>
      <c r="F57" s="408">
        <f>IF(Init!$R$9="Yes",SUMPRODUCT('Staging Table'!L59:AI59,LS_Demand_Rates_Restatement!$C$4:$Z$4)-IF(Init!$R$15="No",('Staging Table'!AV59*Rates_previous!$H$35), 0),SUMPRODUCT('Staging Table'!BN59:CK59,LS_Demand_Rates_Restatement!$C$4:$Z$4)-IF(Init!$R$15="No", 'Staging Table'!CX59*Rates_previous!$H$35, 0))</f>
        <v>8615.7132439503621</v>
      </c>
      <c r="G57" s="408">
        <f>IF(Init!$R$9="Yes",SUMPRODUCT('Staging Table'!AJ59:AU59,LS_Demand_Rates_Restatement!$C$10:$N$10),SUMPRODUCT(LS_Demand_Rates_Restatement!$C$10:$N$10,'Staging Table'!CL59:CW59))*1000</f>
        <v>0</v>
      </c>
      <c r="H57" s="409">
        <f>IF(Init!$R$9="Yes",'Staging Table'!BF59,'Staging Table'!DH59)*Rates_previous!$H$33</f>
        <v>0</v>
      </c>
      <c r="I57" s="409">
        <f>IF(Init!$R$9="Yes",IF('Staging Table'!D59=1,'Staging Table'!H59*-1,'Staging Table'!H59*SUM(D57:H57)*(-1)),IF('Staging Table'!D59=1,'Staging Table'!BJ59*-1,'Staging Table'!BJ59*SUM(D57:H57)*(-1)))</f>
        <v>-817847</v>
      </c>
      <c r="J57" s="407">
        <f>IF(Init!$R$9="Yes",'Staging Table'!K59,'Staging Table'!BM59)*(-1)*Rates_previous!$H$32</f>
        <v>0</v>
      </c>
      <c r="K57" s="407">
        <f>IF(Init!$R$12="No",0,'Staging Table'!$AW59*-1)</f>
        <v>0</v>
      </c>
      <c r="L57" s="407">
        <f>IF('Staging Table'!C59=1,"",SUM(D57:K57))</f>
        <v>14974590.474083947</v>
      </c>
      <c r="M57" s="407">
        <f>IF('Staging Table'!C59=1,"",IF(Init!$R$9="Yes",(RT1SC!$C$3*'Staging Table'!E59*'Staging Table'!$F$2)+SUM('Staging Table'!L59:AI59)-IF(Init!$R$15="No",'Staging Table'!AV59, 0),X57))</f>
        <v>419761.34828811069</v>
      </c>
      <c r="N57" s="169">
        <f>IF('Staging Table'!C59=1,"",IF(M57=0, 0, L57/M57))</f>
        <v>35.674057497561378</v>
      </c>
      <c r="O57" s="407">
        <f>'Staging Table'!BG59*Rates_current!$E$75*100*12</f>
        <v>18033118.856640004</v>
      </c>
      <c r="P57" s="407">
        <f>'Staging Table'!BH59*Rates_current!$E$76*100*12</f>
        <v>-1210578.6184800002</v>
      </c>
      <c r="Q57" s="408">
        <f>SUMPRODUCT('Staging Table'!BN59:CK59, LS_Demand_Rates_Restatement!$C$5:$Z$5)-IF(Init!$R$15="No",('Staging Table'!CX59*Rates_current!$H$35), 0)</f>
        <v>9685.1782752404888</v>
      </c>
      <c r="R57" s="408">
        <f>SUMPRODUCT('Staging Table'!CL59:CW59, LS_Demand_Rates_Restatement!$C$11:$N$11)*1000</f>
        <v>0</v>
      </c>
      <c r="S57" s="409">
        <f>'Staging Table'!DH59*Rates_current!$H$33</f>
        <v>0</v>
      </c>
      <c r="T57" s="409">
        <f>IF('Staging Table'!D59=1, 'Staging Table'!BJ59*-1,SUM(O57:S57)*'Staging Table'!BJ59*-1)</f>
        <v>-817847</v>
      </c>
      <c r="U57" s="407">
        <f>'Staging Table'!BM59*Rates_current!$H$32*-1</f>
        <v>0</v>
      </c>
      <c r="V57" s="407">
        <f>IF(Init!$R$12="No",0,'Staging Table'!$CY59*-1)</f>
        <v>0</v>
      </c>
      <c r="W57" s="407">
        <f>IF('Staging Table'!C59=1,"",SUM(O57:V57))</f>
        <v>16014378.416435242</v>
      </c>
      <c r="X57" s="407">
        <f>IF('Staging Table'!C59=1,"",(RT1SC!$C$4*'Staging Table'!BG59*'Staging Table'!$BH$2)+SUM('Staging Table'!BN59:CK59)-IF(Init!$R$15="No",'Staging Table'!CX59, 0))</f>
        <v>427922.35155025631</v>
      </c>
      <c r="Y57" s="169">
        <f>IF('Staging Table'!C59=1,"",IF(X57=0, 0, W57/X57))</f>
        <v>37.423561443844029</v>
      </c>
      <c r="Z57" s="160">
        <f>IF('Staging Table'!C59=1,"",Y57/N57-1)</f>
        <v>4.9041350185698551E-2</v>
      </c>
      <c r="AA57" s="97">
        <f t="shared" si="1"/>
        <v>59</v>
      </c>
      <c r="AD57" s="412"/>
      <c r="AE57" s="412"/>
      <c r="AF57" s="432"/>
      <c r="AG57" s="412"/>
      <c r="AH57" s="412"/>
    </row>
    <row r="58" spans="2:34">
      <c r="B58" s="3">
        <v>10158</v>
      </c>
      <c r="C58" s="4" t="s">
        <v>61</v>
      </c>
      <c r="D58" s="407">
        <f>IF(Init!$R$9="Yes",'Staging Table'!E60,'Staging Table'!BG60)*Rates_previous!$E$75*100*12</f>
        <v>971315.72496000002</v>
      </c>
      <c r="E58" s="407">
        <f>IF(Init!$R$9="Yes",'Staging Table'!F60,'Staging Table'!BH60)*Rates_previous!$E$76*100*12</f>
        <v>-144396.29376</v>
      </c>
      <c r="F58" s="408">
        <f>IF(Init!$R$9="Yes",SUMPRODUCT('Staging Table'!L60:AI60,LS_Demand_Rates_Restatement!$C$4:$Z$4)-IF(Init!$R$15="No",('Staging Table'!AV60*Rates_previous!$H$35), 0),SUMPRODUCT('Staging Table'!BN60:CK60,LS_Demand_Rates_Restatement!$C$4:$Z$4)-IF(Init!$R$15="No", 'Staging Table'!CX60*Rates_previous!$H$35, 0))</f>
        <v>-71806.930679236015</v>
      </c>
      <c r="G58" s="408">
        <f>IF(Init!$R$9="Yes",SUMPRODUCT('Staging Table'!AJ60:AU60,LS_Demand_Rates_Restatement!$C$10:$N$10),SUMPRODUCT(LS_Demand_Rates_Restatement!$C$10:$N$10,'Staging Table'!CL60:CW60))*1000</f>
        <v>28534.606268126787</v>
      </c>
      <c r="H58" s="409">
        <f>IF(Init!$R$9="Yes",'Staging Table'!BF60,'Staging Table'!DH60)*Rates_previous!$H$33</f>
        <v>-25866.96534860025</v>
      </c>
      <c r="I58" s="409">
        <f>IF(Init!$R$9="Yes",IF('Staging Table'!D60=1,'Staging Table'!H60*-1,'Staging Table'!H60*SUM(D58:H58)*(-1)),IF('Staging Table'!D60=1,'Staging Table'!BJ60*-1,'Staging Table'!BJ60*SUM(D58:H58)*(-1)))</f>
        <v>0</v>
      </c>
      <c r="J58" s="407">
        <f>IF(Init!$R$9="Yes",'Staging Table'!K60,'Staging Table'!BM60)*(-1)*Rates_previous!$H$32</f>
        <v>0</v>
      </c>
      <c r="K58" s="407">
        <f>IF(Init!$R$12="No",0,'Staging Table'!$AW60*-1)</f>
        <v>0</v>
      </c>
      <c r="L58" s="407">
        <f>IF('Staging Table'!C60=1,"",SUM(D58:K58))</f>
        <v>757780.14144029038</v>
      </c>
      <c r="M58" s="407">
        <f>IF('Staging Table'!C60=1,"",IF(Init!$R$9="Yes",(RT1SC!$C$3*'Staging Table'!E60*'Staging Table'!$F$2)+SUM('Staging Table'!L60:AI60)-IF(Init!$R$15="No",'Staging Table'!AV60, 0),X58))</f>
        <v>21145.339056655343</v>
      </c>
      <c r="N58" s="169">
        <f>IF('Staging Table'!C60=1,"",IF(M58=0, 0, L58/M58))</f>
        <v>35.836745838406621</v>
      </c>
      <c r="O58" s="407">
        <f>'Staging Table'!BG60*Rates_current!$E$75*100*12</f>
        <v>967374.75167999999</v>
      </c>
      <c r="P58" s="407">
        <f>'Staging Table'!BH60*Rates_current!$E$76*100*12</f>
        <v>-136069.59576</v>
      </c>
      <c r="Q58" s="408">
        <f>SUMPRODUCT('Staging Table'!BN60:CK60, LS_Demand_Rates_Restatement!$C$5:$Z$5)-IF(Init!$R$15="No",('Staging Table'!CX60*Rates_current!$H$35), 0)</f>
        <v>-34504.125570114607</v>
      </c>
      <c r="R58" s="408">
        <f>SUMPRODUCT('Staging Table'!CL60:CW60, LS_Demand_Rates_Restatement!$C$11:$N$11)*1000</f>
        <v>28618.265455484328</v>
      </c>
      <c r="S58" s="409">
        <f>'Staging Table'!DH60*Rates_current!$H$33</f>
        <v>-24923.453453181275</v>
      </c>
      <c r="T58" s="409">
        <f>IF('Staging Table'!D60=1, 'Staging Table'!BJ60*-1,SUM(O58:S58)*'Staging Table'!BJ60*-1)</f>
        <v>0</v>
      </c>
      <c r="U58" s="407">
        <f>'Staging Table'!BM60*Rates_current!$H$32*-1</f>
        <v>0</v>
      </c>
      <c r="V58" s="407">
        <f>IF(Init!$R$12="No",0,'Staging Table'!$CY60*-1)</f>
        <v>0</v>
      </c>
      <c r="W58" s="407">
        <f>IF('Staging Table'!C60=1,"",SUM(O58:V58))</f>
        <v>800495.84235218843</v>
      </c>
      <c r="X58" s="407">
        <f>IF('Staging Table'!C60=1,"",(RT1SC!$C$4*'Staging Table'!BG60*'Staging Table'!$BH$2)+SUM('Staging Table'!BN60:CK60)-IF(Init!$R$15="No",'Staging Table'!CX60, 0))</f>
        <v>21145.339337005389</v>
      </c>
      <c r="Y58" s="169">
        <f>IF('Staging Table'!C60=1,"",IF(X58=0, 0, W58/X58))</f>
        <v>37.856845406650962</v>
      </c>
      <c r="Z58" s="160">
        <f>IF('Staging Table'!C60=1,"",Y58/N58-1)</f>
        <v>5.6369503451939584E-2</v>
      </c>
      <c r="AA58" s="97">
        <f t="shared" si="1"/>
        <v>24</v>
      </c>
      <c r="AD58" s="412"/>
      <c r="AE58" s="412"/>
      <c r="AF58" s="432"/>
      <c r="AG58" s="412"/>
      <c r="AH58" s="412"/>
    </row>
    <row r="59" spans="2:34">
      <c r="B59" s="3">
        <v>10170</v>
      </c>
      <c r="C59" s="4" t="s">
        <v>62</v>
      </c>
      <c r="D59" s="407">
        <f>IF(Init!$R$9="Yes",'Staging Table'!E61,'Staging Table'!BG61)*Rates_previous!$E$75*100*12</f>
        <v>82536835.885560006</v>
      </c>
      <c r="E59" s="407">
        <f>IF(Init!$R$9="Yes",'Staging Table'!F61,'Staging Table'!BH61)*Rates_previous!$E$76*100*12</f>
        <v>-5661593.2152000014</v>
      </c>
      <c r="F59" s="408">
        <f>IF(Init!$R$9="Yes",SUMPRODUCT('Staging Table'!L61:AI61,LS_Demand_Rates_Restatement!$C$4:$Z$4)-IF(Init!$R$15="No",('Staging Table'!AV61*Rates_previous!$H$35), 0),SUMPRODUCT('Staging Table'!BN61:CK61,LS_Demand_Rates_Restatement!$C$4:$Z$4)-IF(Init!$R$15="No", 'Staging Table'!CX61*Rates_previous!$H$35, 0))</f>
        <v>63532.067342684415</v>
      </c>
      <c r="G59" s="408">
        <f>IF(Init!$R$9="Yes",SUMPRODUCT('Staging Table'!AJ61:AU61,LS_Demand_Rates_Restatement!$C$10:$N$10),SUMPRODUCT(LS_Demand_Rates_Restatement!$C$10:$N$10,'Staging Table'!CL61:CW61))*1000</f>
        <v>0</v>
      </c>
      <c r="H59" s="409">
        <f>IF(Init!$R$9="Yes",'Staging Table'!BF61,'Staging Table'!DH61)*Rates_previous!$H$33</f>
        <v>0</v>
      </c>
      <c r="I59" s="409">
        <f>IF(Init!$R$9="Yes",IF('Staging Table'!D61=1,'Staging Table'!H61*-1,'Staging Table'!H61*SUM(D59:H59)*(-1)),IF('Staging Table'!D61=1,'Staging Table'!BJ61*-1,'Staging Table'!BJ61*SUM(D59:H59)*(-1)))</f>
        <v>0</v>
      </c>
      <c r="J59" s="407">
        <f>IF(Init!$R$9="Yes",'Staging Table'!K61,'Staging Table'!BM61)*(-1)*Rates_previous!$H$32</f>
        <v>0</v>
      </c>
      <c r="K59" s="407">
        <f>IF(Init!$R$12="No",0,'Staging Table'!$AW61*-1)</f>
        <v>0</v>
      </c>
      <c r="L59" s="407">
        <f>IF('Staging Table'!C61=1,"",SUM(D59:K59))</f>
        <v>76938774.737702683</v>
      </c>
      <c r="M59" s="407">
        <f>IF('Staging Table'!C61=1,"",IF(Init!$R$9="Yes",(RT1SC!$C$3*'Staging Table'!E61*'Staging Table'!$F$2)+SUM('Staging Table'!L61:AI61)-IF(Init!$R$15="No",'Staging Table'!AV61, 0),X59))</f>
        <v>2045294.8976911975</v>
      </c>
      <c r="N59" s="169">
        <f>IF('Staging Table'!C61=1,"",IF(M59=0, 0, L59/M59))</f>
        <v>37.61744813647848</v>
      </c>
      <c r="O59" s="407">
        <f>'Staging Table'!BG61*Rates_current!$E$75*100*12</f>
        <v>86974811.720640004</v>
      </c>
      <c r="P59" s="407">
        <f>'Staging Table'!BH61*Rates_current!$E$76*100*12</f>
        <v>-5803617.3199199997</v>
      </c>
      <c r="Q59" s="408">
        <f>SUMPRODUCT('Staging Table'!BN61:CK61, LS_Demand_Rates_Restatement!$C$5:$Z$5)-IF(Init!$R$15="No",('Staging Table'!CX61*Rates_current!$H$35), 0)</f>
        <v>8152.487174952199</v>
      </c>
      <c r="R59" s="408">
        <f>SUMPRODUCT('Staging Table'!CL61:CW61, LS_Demand_Rates_Restatement!$C$11:$N$11)*1000</f>
        <v>0</v>
      </c>
      <c r="S59" s="409">
        <f>'Staging Table'!DH61*Rates_current!$H$33</f>
        <v>0</v>
      </c>
      <c r="T59" s="409">
        <f>IF('Staging Table'!D61=1, 'Staging Table'!BJ61*-1,SUM(O59:S59)*'Staging Table'!BJ61*-1)</f>
        <v>0</v>
      </c>
      <c r="U59" s="407">
        <f>'Staging Table'!BM61*Rates_current!$H$32*-1</f>
        <v>0</v>
      </c>
      <c r="V59" s="407">
        <f>IF(Init!$R$12="No",0,'Staging Table'!$CY61*-1)</f>
        <v>0</v>
      </c>
      <c r="W59" s="407">
        <f>IF('Staging Table'!C61=1,"",SUM(O59:V59))</f>
        <v>81179346.887894958</v>
      </c>
      <c r="X59" s="407">
        <f>IF('Staging Table'!C61=1,"",(RT1SC!$C$4*'Staging Table'!BG61*'Staging Table'!$BH$2)+SUM('Staging Table'!BN61:CK61)-IF(Init!$R$15="No",'Staging Table'!CX61, 0))</f>
        <v>2063903.7985193687</v>
      </c>
      <c r="Y59" s="169">
        <f>IF('Staging Table'!C61=1,"",IF(X59=0, 0, W59/X59))</f>
        <v>39.332912195874876</v>
      </c>
      <c r="Z59" s="160">
        <f>IF('Staging Table'!C61=1,"",Y59/N59-1)</f>
        <v>4.5602882289425439E-2</v>
      </c>
      <c r="AA59" s="97">
        <f t="shared" si="1"/>
        <v>87</v>
      </c>
      <c r="AD59" s="412"/>
      <c r="AE59" s="412"/>
      <c r="AF59" s="432"/>
      <c r="AG59" s="412"/>
      <c r="AH59" s="412"/>
    </row>
    <row r="60" spans="2:34">
      <c r="B60" s="3">
        <v>10172</v>
      </c>
      <c r="C60" s="4" t="s">
        <v>63</v>
      </c>
      <c r="D60" s="407">
        <f>IF(Init!$R$9="Yes",'Staging Table'!E62,'Staging Table'!BG62)*Rates_previous!$E$75*100*12</f>
        <v>2010207.6968399999</v>
      </c>
      <c r="E60" s="407">
        <f>IF(Init!$R$9="Yes",'Staging Table'!F62,'Staging Table'!BH62)*Rates_previous!$E$76*100*12</f>
        <v>-298838.50703999994</v>
      </c>
      <c r="F60" s="408">
        <f>IF(Init!$R$9="Yes",SUMPRODUCT('Staging Table'!L62:AI62,LS_Demand_Rates_Restatement!$C$4:$Z$4)-IF(Init!$R$15="No",('Staging Table'!AV62*Rates_previous!$H$35), 0),SUMPRODUCT('Staging Table'!BN62:CK62,LS_Demand_Rates_Restatement!$C$4:$Z$4)-IF(Init!$R$15="No", 'Staging Table'!CX62*Rates_previous!$H$35, 0))</f>
        <v>-45284.092532455528</v>
      </c>
      <c r="G60" s="408">
        <f>IF(Init!$R$9="Yes",SUMPRODUCT('Staging Table'!AJ62:AU62,LS_Demand_Rates_Restatement!$C$10:$N$10),SUMPRODUCT(LS_Demand_Rates_Restatement!$C$10:$N$10,'Staging Table'!CL62:CW62))*1000</f>
        <v>115324.83579940349</v>
      </c>
      <c r="H60" s="409">
        <f>IF(Init!$R$9="Yes",'Staging Table'!BF62,'Staging Table'!DH62)*Rates_previous!$H$33</f>
        <v>-18322.569912317056</v>
      </c>
      <c r="I60" s="409">
        <f>IF(Init!$R$9="Yes",IF('Staging Table'!D62=1,'Staging Table'!H62*-1,'Staging Table'!H62*SUM(D60:H60)*(-1)),IF('Staging Table'!D62=1,'Staging Table'!BJ62*-1,'Staging Table'!BJ62*SUM(D60:H60)*(-1)))</f>
        <v>0</v>
      </c>
      <c r="J60" s="407">
        <f>IF(Init!$R$9="Yes",'Staging Table'!K62,'Staging Table'!BM62)*(-1)*Rates_previous!$H$32</f>
        <v>0</v>
      </c>
      <c r="K60" s="407">
        <f>IF(Init!$R$12="No",0,'Staging Table'!$AW62*-1)</f>
        <v>0</v>
      </c>
      <c r="L60" s="407">
        <f>IF('Staging Table'!C62=1,"",SUM(D60:K60))</f>
        <v>1763087.3631546309</v>
      </c>
      <c r="M60" s="407">
        <f>IF('Staging Table'!C62=1,"",IF(Init!$R$9="Yes",(RT1SC!$C$3*'Staging Table'!E62*'Staging Table'!$F$2)+SUM('Staging Table'!L62:AI62)-IF(Init!$R$15="No",'Staging Table'!AV62, 0),X60))</f>
        <v>47743.717117252316</v>
      </c>
      <c r="N60" s="169">
        <f>IF('Staging Table'!C62=1,"",IF(M60=0, 0, L60/M60))</f>
        <v>36.928154521876024</v>
      </c>
      <c r="O60" s="407">
        <f>'Staging Table'!BG62*Rates_current!$E$75*100*12</f>
        <v>2026213.1683199997</v>
      </c>
      <c r="P60" s="407">
        <f>'Staging Table'!BH62*Rates_current!$E$76*100*12</f>
        <v>-285004.34424000001</v>
      </c>
      <c r="Q60" s="408">
        <f>SUMPRODUCT('Staging Table'!BN62:CK62, LS_Demand_Rates_Restatement!$C$5:$Z$5)-IF(Init!$R$15="No",('Staging Table'!CX62*Rates_current!$H$35), 0)</f>
        <v>-1877.4305426313135</v>
      </c>
      <c r="R60" s="408">
        <f>SUMPRODUCT('Staging Table'!CL62:CW62, LS_Demand_Rates_Restatement!$C$11:$N$11)*1000</f>
        <v>109089.11664051817</v>
      </c>
      <c r="S60" s="409">
        <f>'Staging Table'!DH62*Rates_current!$H$33</f>
        <v>-8131.4692501054524</v>
      </c>
      <c r="T60" s="409">
        <f>IF('Staging Table'!D62=1, 'Staging Table'!BJ62*-1,SUM(O60:S60)*'Staging Table'!BJ62*-1)</f>
        <v>0</v>
      </c>
      <c r="U60" s="407">
        <f>'Staging Table'!BM62*Rates_current!$H$32*-1</f>
        <v>0</v>
      </c>
      <c r="V60" s="407">
        <f>IF(Init!$R$12="No",0,'Staging Table'!$CY62*-1)</f>
        <v>0</v>
      </c>
      <c r="W60" s="407">
        <f>IF('Staging Table'!C62=1,"",SUM(O60:V60))</f>
        <v>1840289.040927781</v>
      </c>
      <c r="X60" s="407">
        <f>IF('Staging Table'!C62=1,"",(RT1SC!$C$4*'Staging Table'!BG62*'Staging Table'!$BH$2)+SUM('Staging Table'!BN62:CK62)-IF(Init!$R$15="No",'Staging Table'!CX62, 0))</f>
        <v>47743.717705874078</v>
      </c>
      <c r="Y60" s="169">
        <f>IF('Staging Table'!C62=1,"",IF(X60=0, 0, W60/X60))</f>
        <v>38.545155872965537</v>
      </c>
      <c r="Z60" s="160">
        <f>IF('Staging Table'!C62=1,"",Y60/N60-1)</f>
        <v>4.3787764972972321E-2</v>
      </c>
      <c r="AA60" s="97">
        <f t="shared" si="1"/>
        <v>95</v>
      </c>
      <c r="AD60" s="412"/>
      <c r="AE60" s="412"/>
      <c r="AF60" s="432"/>
      <c r="AG60" s="412"/>
      <c r="AH60" s="412"/>
    </row>
    <row r="61" spans="2:34">
      <c r="B61" s="3">
        <v>10173</v>
      </c>
      <c r="C61" s="4" t="s">
        <v>64</v>
      </c>
      <c r="D61" s="407">
        <f>IF(Init!$R$9="Yes",'Staging Table'!E63,'Staging Table'!BG63)*Rates_previous!$E$75*100*12</f>
        <v>11629302.77124</v>
      </c>
      <c r="E61" s="407">
        <f>IF(Init!$R$9="Yes",'Staging Table'!F63,'Staging Table'!BH63)*Rates_previous!$E$76*100*12</f>
        <v>-1728818.11344</v>
      </c>
      <c r="F61" s="408">
        <f>IF(Init!$R$9="Yes",SUMPRODUCT('Staging Table'!L63:AI63,LS_Demand_Rates_Restatement!$C$4:$Z$4)-IF(Init!$R$15="No",('Staging Table'!AV63*Rates_previous!$H$35), 0),SUMPRODUCT('Staging Table'!BN63:CK63,LS_Demand_Rates_Restatement!$C$4:$Z$4)-IF(Init!$R$15="No", 'Staging Table'!CX63*Rates_previous!$H$35, 0))</f>
        <v>0</v>
      </c>
      <c r="G61" s="408">
        <f>IF(Init!$R$9="Yes",SUMPRODUCT('Staging Table'!AJ63:AU63,LS_Demand_Rates_Restatement!$C$10:$N$10),SUMPRODUCT(LS_Demand_Rates_Restatement!$C$10:$N$10,'Staging Table'!CL63:CW63))*1000</f>
        <v>0</v>
      </c>
      <c r="H61" s="409">
        <f>IF(Init!$R$9="Yes",'Staging Table'!BF63,'Staging Table'!DH63)*Rates_previous!$H$33</f>
        <v>0</v>
      </c>
      <c r="I61" s="409">
        <f>IF(Init!$R$9="Yes",IF('Staging Table'!D63=1,'Staging Table'!H63*-1,'Staging Table'!H63*SUM(D61:H61)*(-1)),IF('Staging Table'!D63=1,'Staging Table'!BJ63*-1,'Staging Table'!BJ63*SUM(D61:H61)*(-1)))</f>
        <v>-728180.64658119006</v>
      </c>
      <c r="J61" s="407">
        <f>IF(Init!$R$9="Yes",'Staging Table'!K63,'Staging Table'!BM63)*(-1)*Rates_previous!$H$32</f>
        <v>-521528.65291999996</v>
      </c>
      <c r="K61" s="407">
        <f>IF(Init!$R$12="No",0,'Staging Table'!$AW63*-1)</f>
        <v>0</v>
      </c>
      <c r="L61" s="407" t="str">
        <f>IF('Staging Table'!C63=1,"",SUM(D61:K61))</f>
        <v/>
      </c>
      <c r="M61" s="407" t="str">
        <f>IF('Staging Table'!C63=1,"",IF(Init!$R$9="Yes",(RT1SC!$C$3*'Staging Table'!E63*'Staging Table'!$F$2)+SUM('Staging Table'!L63:AI63)-IF(Init!$R$15="No",'Staging Table'!AV63, 0),X61))</f>
        <v/>
      </c>
      <c r="N61" s="169" t="str">
        <f>IF('Staging Table'!C63=1,"",IF(M61=0, 0, L61/M61))</f>
        <v/>
      </c>
      <c r="O61" s="407">
        <f>'Staging Table'!BG63*Rates_current!$E$75*100*12</f>
        <v>11958555.72672</v>
      </c>
      <c r="P61" s="407">
        <f>'Staging Table'!BH63*Rates_current!$E$76*100*12</f>
        <v>-1682073.9230399998</v>
      </c>
      <c r="Q61" s="408">
        <f>SUMPRODUCT('Staging Table'!BN63:CK63, LS_Demand_Rates_Restatement!$C$5:$Z$5)-IF(Init!$R$15="No",('Staging Table'!CX63*Rates_current!$H$35), 0)</f>
        <v>0</v>
      </c>
      <c r="R61" s="408">
        <f>SUMPRODUCT('Staging Table'!CL63:CW63, LS_Demand_Rates_Restatement!$C$11:$N$11)*1000</f>
        <v>0</v>
      </c>
      <c r="S61" s="409">
        <f>'Staging Table'!DH63*Rates_current!$H$33</f>
        <v>0</v>
      </c>
      <c r="T61" s="409">
        <f>IF('Staging Table'!D63=1, 'Staging Table'!BJ63*-1,SUM(O61:S61)*'Staging Table'!BJ63*-1)</f>
        <v>-773043.75681115361</v>
      </c>
      <c r="U61" s="407">
        <f>'Staging Table'!BM63*Rates_current!$H$32*-1</f>
        <v>-521085.55296</v>
      </c>
      <c r="V61" s="407">
        <f>IF(Init!$R$12="No",0,'Staging Table'!$CY63*-1)</f>
        <v>0</v>
      </c>
      <c r="W61" s="407" t="str">
        <f>IF('Staging Table'!C63=1,"",SUM(O61:V61))</f>
        <v/>
      </c>
      <c r="X61" s="407" t="str">
        <f>IF('Staging Table'!C63=1,"",(RT1SC!$C$4*'Staging Table'!BG63*'Staging Table'!$BH$2)+SUM('Staging Table'!BN63:CK63)-IF(Init!$R$15="No",'Staging Table'!CX63, 0))</f>
        <v/>
      </c>
      <c r="Y61" s="169" t="str">
        <f>IF('Staging Table'!C63=1,"",IF(X61=0, 0, W61/X61))</f>
        <v/>
      </c>
      <c r="Z61" s="160" t="str">
        <f>IF('Staging Table'!C63=1,"",Y61/N61-1)</f>
        <v/>
      </c>
      <c r="AA61" s="97" t="str">
        <f t="shared" si="1"/>
        <v/>
      </c>
      <c r="AD61" s="412"/>
      <c r="AE61" s="412"/>
      <c r="AF61" s="432"/>
      <c r="AG61" s="412"/>
      <c r="AH61" s="412"/>
    </row>
    <row r="62" spans="2:34">
      <c r="B62" s="3">
        <v>10174</v>
      </c>
      <c r="C62" s="4" t="s">
        <v>65</v>
      </c>
      <c r="D62" s="407">
        <f>IF(Init!$R$9="Yes",'Staging Table'!E64,'Staging Table'!BG64)*Rates_previous!$E$75*100*12</f>
        <v>177975.53675999999</v>
      </c>
      <c r="E62" s="407">
        <f>IF(Init!$R$9="Yes",'Staging Table'!F64,'Staging Table'!BH64)*Rates_previous!$E$76*100*12</f>
        <v>-26457.934559999998</v>
      </c>
      <c r="F62" s="408">
        <f>IF(Init!$R$9="Yes",SUMPRODUCT('Staging Table'!L64:AI64,LS_Demand_Rates_Restatement!$C$4:$Z$4)-IF(Init!$R$15="No",('Staging Table'!AV64*Rates_previous!$H$35), 0),SUMPRODUCT('Staging Table'!BN64:CK64,LS_Demand_Rates_Restatement!$C$4:$Z$4)-IF(Init!$R$15="No", 'Staging Table'!CX64*Rates_previous!$H$35, 0))</f>
        <v>-1163.9457446306556</v>
      </c>
      <c r="G62" s="408">
        <f>IF(Init!$R$9="Yes",SUMPRODUCT('Staging Table'!AJ64:AU64,LS_Demand_Rates_Restatement!$C$10:$N$10),SUMPRODUCT(LS_Demand_Rates_Restatement!$C$10:$N$10,'Staging Table'!CL64:CW64))*1000</f>
        <v>11321.409468598646</v>
      </c>
      <c r="H62" s="409">
        <f>IF(Init!$R$9="Yes",'Staging Table'!BF64,'Staging Table'!DH64)*Rates_previous!$H$33</f>
        <v>-606.51695812780872</v>
      </c>
      <c r="I62" s="409">
        <f>IF(Init!$R$9="Yes",IF('Staging Table'!D64=1,'Staging Table'!H64*-1,'Staging Table'!H64*SUM(D62:H62)*(-1)),IF('Staging Table'!D64=1,'Staging Table'!BJ64*-1,'Staging Table'!BJ64*SUM(D62:H62)*(-1)))</f>
        <v>0</v>
      </c>
      <c r="J62" s="407">
        <f>IF(Init!$R$9="Yes",'Staging Table'!K64,'Staging Table'!BM64)*(-1)*Rates_previous!$H$32</f>
        <v>0</v>
      </c>
      <c r="K62" s="407">
        <f>IF(Init!$R$12="No",0,'Staging Table'!$AW64*-1)</f>
        <v>0</v>
      </c>
      <c r="L62" s="407">
        <f>IF('Staging Table'!C64=1,"",SUM(D62:K62))</f>
        <v>161068.54896584016</v>
      </c>
      <c r="M62" s="407">
        <f>IF('Staging Table'!C64=1,"",IF(Init!$R$9="Yes",(RT1SC!$C$3*'Staging Table'!E64*'Staging Table'!$F$2)+SUM('Staging Table'!L64:AI64)-IF(Init!$R$15="No",'Staging Table'!AV64, 0),X62))</f>
        <v>4341.0350103810388</v>
      </c>
      <c r="N62" s="169">
        <f>IF('Staging Table'!C64=1,"",IF(M62=0, 0, L62/M62))</f>
        <v>37.10372032952165</v>
      </c>
      <c r="O62" s="407">
        <f>'Staging Table'!BG64*Rates_current!$E$75*100*12</f>
        <v>183182.10336000001</v>
      </c>
      <c r="P62" s="407">
        <f>'Staging Table'!BH64*Rates_current!$E$76*100*12</f>
        <v>-25766.141520000001</v>
      </c>
      <c r="Q62" s="408">
        <f>SUMPRODUCT('Staging Table'!BN64:CK64, LS_Demand_Rates_Restatement!$C$5:$Z$5)-IF(Init!$R$15="No",('Staging Table'!CX64*Rates_current!$H$35), 0)</f>
        <v>1385.9238726541032</v>
      </c>
      <c r="R62" s="408">
        <f>SUMPRODUCT('Staging Table'!CL64:CW64, LS_Demand_Rates_Restatement!$C$11:$N$11)*1000</f>
        <v>11192.249008564811</v>
      </c>
      <c r="S62" s="409">
        <f>'Staging Table'!DH64*Rates_current!$H$33</f>
        <v>-385.11293635430229</v>
      </c>
      <c r="T62" s="409">
        <f>IF('Staging Table'!D64=1, 'Staging Table'!BJ64*-1,SUM(O62:S62)*'Staging Table'!BJ64*-1)</f>
        <v>0</v>
      </c>
      <c r="U62" s="407">
        <f>'Staging Table'!BM64*Rates_current!$H$32*-1</f>
        <v>0</v>
      </c>
      <c r="V62" s="407">
        <f>IF(Init!$R$12="No",0,'Staging Table'!$CY64*-1)</f>
        <v>0</v>
      </c>
      <c r="W62" s="407">
        <f>IF('Staging Table'!C64=1,"",SUM(O62:V62))</f>
        <v>169609.0217848646</v>
      </c>
      <c r="X62" s="407">
        <f>IF('Staging Table'!C64=1,"",(RT1SC!$C$4*'Staging Table'!BG64*'Staging Table'!$BH$2)+SUM('Staging Table'!BN64:CK64)-IF(Init!$R$15="No",'Staging Table'!CX64, 0))</f>
        <v>4341.0350638153486</v>
      </c>
      <c r="Y62" s="169">
        <f>IF('Staging Table'!C64=1,"",IF(X62=0, 0, W62/X62))</f>
        <v>39.071101544108409</v>
      </c>
      <c r="Z62" s="160">
        <f>IF('Staging Table'!C64=1,"",Y62/N62-1)</f>
        <v>5.3023826104613203E-2</v>
      </c>
      <c r="AA62" s="97">
        <f t="shared" si="1"/>
        <v>32</v>
      </c>
      <c r="AD62" s="412"/>
      <c r="AE62" s="412"/>
      <c r="AF62" s="432"/>
      <c r="AG62" s="412"/>
      <c r="AH62" s="412"/>
    </row>
    <row r="63" spans="2:34">
      <c r="B63" s="3">
        <v>10177</v>
      </c>
      <c r="C63" s="4" t="s">
        <v>66</v>
      </c>
      <c r="D63" s="407">
        <f>IF(Init!$R$9="Yes",'Staging Table'!E65,'Staging Table'!BG65)*Rates_previous!$E$75*100*12</f>
        <v>4094427.4736400004</v>
      </c>
      <c r="E63" s="407">
        <f>IF(Init!$R$9="Yes",'Staging Table'!F65,'Staging Table'!BH65)*Rates_previous!$E$76*100*12</f>
        <v>-608679.68784000003</v>
      </c>
      <c r="F63" s="408">
        <f>IF(Init!$R$9="Yes",SUMPRODUCT('Staging Table'!L65:AI65,LS_Demand_Rates_Restatement!$C$4:$Z$4)-IF(Init!$R$15="No",('Staging Table'!AV65*Rates_previous!$H$35), 0),SUMPRODUCT('Staging Table'!BN65:CK65,LS_Demand_Rates_Restatement!$C$4:$Z$4)-IF(Init!$R$15="No", 'Staging Table'!CX65*Rates_previous!$H$35, 0))</f>
        <v>-400881.55444879777</v>
      </c>
      <c r="G63" s="408">
        <f>IF(Init!$R$9="Yes",SUMPRODUCT('Staging Table'!AJ65:AU65,LS_Demand_Rates_Restatement!$C$10:$N$10),SUMPRODUCT(LS_Demand_Rates_Restatement!$C$10:$N$10,'Staging Table'!CL65:CW65))*1000</f>
        <v>93642.490324127531</v>
      </c>
      <c r="H63" s="409">
        <f>IF(Init!$R$9="Yes",'Staging Table'!BF65,'Staging Table'!DH65)*Rates_previous!$H$33</f>
        <v>-145272.93373642844</v>
      </c>
      <c r="I63" s="409">
        <f>IF(Init!$R$9="Yes",IF('Staging Table'!D65=1,'Staging Table'!H65*-1,'Staging Table'!H65*SUM(D63:H63)*(-1)),IF('Staging Table'!D65=1,'Staging Table'!BJ65*-1,'Staging Table'!BJ65*SUM(D63:H63)*(-1)))</f>
        <v>-226825.37222207108</v>
      </c>
      <c r="J63" s="407">
        <f>IF(Init!$R$9="Yes",'Staging Table'!K65,'Staging Table'!BM65)*(-1)*Rates_previous!$H$32</f>
        <v>0</v>
      </c>
      <c r="K63" s="407">
        <f>IF(Init!$R$12="No",0,'Staging Table'!$AW65*-1)</f>
        <v>0</v>
      </c>
      <c r="L63" s="407">
        <f>IF('Staging Table'!C65=1,"",SUM(D63:K63))</f>
        <v>2806410.4157168306</v>
      </c>
      <c r="M63" s="407">
        <f>IF('Staging Table'!C65=1,"",IF(Init!$R$9="Yes",(RT1SC!$C$3*'Staging Table'!E65*'Staging Table'!$F$2)+SUM('Staging Table'!L65:AI65)-IF(Init!$R$15="No",'Staging Table'!AV65, 0),X63))</f>
        <v>85048.963238821641</v>
      </c>
      <c r="N63" s="169">
        <f>IF('Staging Table'!C65=1,"",IF(M63=0, 0, L63/M63))</f>
        <v>32.997585259637944</v>
      </c>
      <c r="O63" s="407">
        <f>'Staging Table'!BG65*Rates_current!$E$75*100*12</f>
        <v>3624406.95744</v>
      </c>
      <c r="P63" s="407">
        <f>'Staging Table'!BH65*Rates_current!$E$76*100*12</f>
        <v>-509804.07407999999</v>
      </c>
      <c r="Q63" s="408">
        <f>SUMPRODUCT('Staging Table'!BN65:CK65, LS_Demand_Rates_Restatement!$C$5:$Z$5)-IF(Init!$R$15="No",('Staging Table'!CX65*Rates_current!$H$35), 0)</f>
        <v>19659.124264474573</v>
      </c>
      <c r="R63" s="408">
        <f>SUMPRODUCT('Staging Table'!CL65:CW65, LS_Demand_Rates_Restatement!$C$11:$N$11)*1000</f>
        <v>86901.920079202289</v>
      </c>
      <c r="S63" s="409">
        <f>'Staging Table'!DH65*Rates_current!$H$33</f>
        <v>-19122.905651358011</v>
      </c>
      <c r="T63" s="409">
        <f>IF('Staging Table'!D65=1, 'Staging Table'!BJ65*-1,SUM(O63:S63)*'Staging Table'!BJ65*-1)</f>
        <v>-224142.87154366233</v>
      </c>
      <c r="U63" s="407">
        <f>'Staging Table'!BM65*Rates_current!$H$32*-1</f>
        <v>0</v>
      </c>
      <c r="V63" s="407">
        <f>IF(Init!$R$12="No",0,'Staging Table'!$CY65*-1)</f>
        <v>0</v>
      </c>
      <c r="W63" s="407">
        <f>IF('Staging Table'!C65=1,"",SUM(O63:V63))</f>
        <v>2977898.1505086566</v>
      </c>
      <c r="X63" s="407">
        <f>IF('Staging Table'!C65=1,"",(RT1SC!$C$4*'Staging Table'!BG65*'Staging Table'!$BH$2)+SUM('Staging Table'!BN65:CK65)-IF(Init!$R$15="No",'Staging Table'!CX65, 0))</f>
        <v>85048.96426263859</v>
      </c>
      <c r="Y63" s="169">
        <f>IF('Staging Table'!C65=1,"",IF(X63=0, 0, W63/X63))</f>
        <v>35.013926110994703</v>
      </c>
      <c r="Z63" s="160">
        <f>IF('Staging Table'!C65=1,"",Y63/N63-1)</f>
        <v>6.1105709266038755E-2</v>
      </c>
      <c r="AA63" s="97">
        <f t="shared" si="1"/>
        <v>9</v>
      </c>
      <c r="AD63" s="412"/>
      <c r="AE63" s="412"/>
      <c r="AF63" s="432"/>
      <c r="AG63" s="412"/>
      <c r="AH63" s="412"/>
    </row>
    <row r="64" spans="2:34">
      <c r="B64" s="3">
        <v>10179</v>
      </c>
      <c r="C64" s="4" t="s">
        <v>67</v>
      </c>
      <c r="D64" s="407">
        <f>IF(Init!$R$9="Yes",'Staging Table'!E66,'Staging Table'!BG66)*Rates_previous!$E$75*100*12</f>
        <v>58557417.042599991</v>
      </c>
      <c r="E64" s="407">
        <f>IF(Init!$R$9="Yes",'Staging Table'!F66,'Staging Table'!BH66)*Rates_previous!$E$76*100*12</f>
        <v>-8705175.6456000004</v>
      </c>
      <c r="F64" s="408">
        <f>IF(Init!$R$9="Yes",SUMPRODUCT('Staging Table'!L66:AI66,LS_Demand_Rates_Restatement!$C$4:$Z$4)-IF(Init!$R$15="No",('Staging Table'!AV66*Rates_previous!$H$35), 0),SUMPRODUCT('Staging Table'!BN66:CK66,LS_Demand_Rates_Restatement!$C$4:$Z$4)-IF(Init!$R$15="No", 'Staging Table'!CX66*Rates_previous!$H$35, 0))</f>
        <v>415086.26519478706</v>
      </c>
      <c r="G64" s="408">
        <f>IF(Init!$R$9="Yes",SUMPRODUCT('Staging Table'!AJ66:AU66,LS_Demand_Rates_Restatement!$C$10:$N$10),SUMPRODUCT(LS_Demand_Rates_Restatement!$C$10:$N$10,'Staging Table'!CL66:CW66))*1000</f>
        <v>4690527.7016564095</v>
      </c>
      <c r="H64" s="409">
        <f>IF(Init!$R$9="Yes",'Staging Table'!BF66,'Staging Table'!DH66)*Rates_previous!$H$33</f>
        <v>0</v>
      </c>
      <c r="I64" s="409">
        <f>IF(Init!$R$9="Yes",IF('Staging Table'!D66=1,'Staging Table'!H66*-1,'Staging Table'!H66*SUM(D64:H64)*(-1)),IF('Staging Table'!D66=1,'Staging Table'!BJ66*-1,'Staging Table'!BJ66*SUM(D64:H64)*(-1)))</f>
        <v>0</v>
      </c>
      <c r="J64" s="407">
        <f>IF(Init!$R$9="Yes",'Staging Table'!K66,'Staging Table'!BM66)*(-1)*Rates_previous!$H$32</f>
        <v>0</v>
      </c>
      <c r="K64" s="407">
        <f>IF(Init!$R$12="No",0,'Staging Table'!$AW66*-1)</f>
        <v>0</v>
      </c>
      <c r="L64" s="407">
        <f>IF('Staging Table'!C66=1,"",SUM(D64:K64))</f>
        <v>54957855.36385119</v>
      </c>
      <c r="M64" s="407">
        <f>IF('Staging Table'!C66=1,"",IF(Init!$R$9="Yes",(RT1SC!$C$3*'Staging Table'!E66*'Staging Table'!$F$2)+SUM('Staging Table'!L66:AI66)-IF(Init!$R$15="No",'Staging Table'!AV66, 0),X64))</f>
        <v>1451072.88</v>
      </c>
      <c r="N64" s="169">
        <f>IF('Staging Table'!C66=1,"",IF(M64=0, 0, L64/M64))</f>
        <v>37.873945631077603</v>
      </c>
      <c r="O64" s="407">
        <f>'Staging Table'!BG66*Rates_current!$E$75*100*12</f>
        <v>60216976.411199994</v>
      </c>
      <c r="P64" s="407">
        <f>'Staging Table'!BH66*Rates_current!$E$76*100*12</f>
        <v>-8470036.6884000003</v>
      </c>
      <c r="Q64" s="408">
        <f>SUMPRODUCT('Staging Table'!BN66:CK66, LS_Demand_Rates_Restatement!$C$5:$Z$5)-IF(Init!$R$15="No",('Staging Table'!CX66*Rates_current!$H$35), 0)</f>
        <v>234649.4239913341</v>
      </c>
      <c r="R64" s="408">
        <f>SUMPRODUCT('Staging Table'!CL66:CW66, LS_Demand_Rates_Restatement!$C$11:$N$11)*1000</f>
        <v>4499939.1989033027</v>
      </c>
      <c r="S64" s="409">
        <f>'Staging Table'!DH66*Rates_current!$H$33</f>
        <v>0</v>
      </c>
      <c r="T64" s="409">
        <f>IF('Staging Table'!D66=1, 'Staging Table'!BJ66*-1,SUM(O64:S64)*'Staging Table'!BJ66*-1)</f>
        <v>0</v>
      </c>
      <c r="U64" s="407">
        <f>'Staging Table'!BM66*Rates_current!$H$32*-1</f>
        <v>0</v>
      </c>
      <c r="V64" s="407">
        <f>IF(Init!$R$12="No",0,'Staging Table'!$CY66*-1)</f>
        <v>0</v>
      </c>
      <c r="W64" s="407">
        <f>IF('Staging Table'!C66=1,"",SUM(O64:V64))</f>
        <v>56481528.345694631</v>
      </c>
      <c r="X64" s="407">
        <f>IF('Staging Table'!C66=1,"",(RT1SC!$C$4*'Staging Table'!BG66*'Staging Table'!$BH$2)+SUM('Staging Table'!BN66:CK66)-IF(Init!$R$15="No",'Staging Table'!CX66, 0))</f>
        <v>1410942.9639778535</v>
      </c>
      <c r="Y64" s="169">
        <f>IF('Staging Table'!C66=1,"",IF(X64=0, 0, W64/X64))</f>
        <v>40.031050005350309</v>
      </c>
      <c r="Z64" s="160">
        <f>IF('Staging Table'!C66=1,"",Y64/N64-1)</f>
        <v>5.6954836321639668E-2</v>
      </c>
      <c r="AA64" s="97">
        <f t="shared" si="1"/>
        <v>21</v>
      </c>
      <c r="AD64" s="412"/>
      <c r="AE64" s="412"/>
      <c r="AF64" s="432"/>
      <c r="AG64" s="412"/>
      <c r="AH64" s="412"/>
    </row>
    <row r="65" spans="2:34">
      <c r="B65" s="3">
        <v>10183</v>
      </c>
      <c r="C65" s="4" t="s">
        <v>68</v>
      </c>
      <c r="D65" s="407">
        <f>IF(Init!$R$9="Yes",'Staging Table'!E67,'Staging Table'!BG67)*Rates_previous!$E$75*100*12</f>
        <v>41192054.30844</v>
      </c>
      <c r="E65" s="407">
        <f>IF(Init!$R$9="Yes",'Staging Table'!F67,'Staging Table'!BH67)*Rates_previous!$E$76*100*12</f>
        <v>-3253258.8019199995</v>
      </c>
      <c r="F65" s="408">
        <f>IF(Init!$R$9="Yes",SUMPRODUCT('Staging Table'!L67:AI67,LS_Demand_Rates_Restatement!$C$4:$Z$4)-IF(Init!$R$15="No",('Staging Table'!AV67*Rates_previous!$H$35), 0),SUMPRODUCT('Staging Table'!BN67:CK67,LS_Demand_Rates_Restatement!$C$4:$Z$4)-IF(Init!$R$15="No", 'Staging Table'!CX67*Rates_previous!$H$35, 0))</f>
        <v>-64692.575891611137</v>
      </c>
      <c r="G65" s="408">
        <f>IF(Init!$R$9="Yes",SUMPRODUCT('Staging Table'!AJ67:AU67,LS_Demand_Rates_Restatement!$C$10:$N$10),SUMPRODUCT(LS_Demand_Rates_Restatement!$C$10:$N$10,'Staging Table'!CL67:CW67))*1000</f>
        <v>0</v>
      </c>
      <c r="H65" s="409">
        <f>IF(Init!$R$9="Yes",'Staging Table'!BF67,'Staging Table'!DH67)*Rates_previous!$H$33</f>
        <v>0</v>
      </c>
      <c r="I65" s="409">
        <f>IF(Init!$R$9="Yes",IF('Staging Table'!D67=1,'Staging Table'!H67*-1,'Staging Table'!H67*SUM(D65:H65)*(-1)),IF('Staging Table'!D67=1,'Staging Table'!BJ67*-1,'Staging Table'!BJ67*SUM(D65:H65)*(-1)))</f>
        <v>0</v>
      </c>
      <c r="J65" s="407">
        <f>IF(Init!$R$9="Yes",'Staging Table'!K67,'Staging Table'!BM67)*(-1)*Rates_previous!$H$32</f>
        <v>-1111173.2971900001</v>
      </c>
      <c r="K65" s="407">
        <f>IF(Init!$R$12="No",0,'Staging Table'!$AW67*-1)</f>
        <v>0</v>
      </c>
      <c r="L65" s="407">
        <f>IF('Staging Table'!C67=1,"",SUM(D65:K65))</f>
        <v>36762929.633438386</v>
      </c>
      <c r="M65" s="407">
        <f>IF('Staging Table'!C67=1,"",IF(Init!$R$9="Yes",(RT1SC!$C$3*'Staging Table'!E67*'Staging Table'!$F$2)+SUM('Staging Table'!L67:AI67)-IF(Init!$R$15="No",'Staging Table'!AV67, 0),X65))</f>
        <v>1020753.5089921909</v>
      </c>
      <c r="N65" s="169">
        <f>IF('Staging Table'!C67=1,"",IF(M65=0, 0, L65/M65))</f>
        <v>36.015482003814135</v>
      </c>
      <c r="O65" s="407">
        <f>'Staging Table'!BG67*Rates_current!$E$75*100*12</f>
        <v>42359651.228159994</v>
      </c>
      <c r="P65" s="407">
        <f>'Staging Table'!BH67*Rates_current!$E$76*100*12</f>
        <v>-3165293.4381599994</v>
      </c>
      <c r="Q65" s="408">
        <f>SUMPRODUCT('Staging Table'!BN67:CK67, LS_Demand_Rates_Restatement!$C$5:$Z$5)-IF(Init!$R$15="No",('Staging Table'!CX67*Rates_current!$H$35), 0)</f>
        <v>-223020.43777397808</v>
      </c>
      <c r="R65" s="408">
        <f>SUMPRODUCT('Staging Table'!CL67:CW67, LS_Demand_Rates_Restatement!$C$11:$N$11)*1000</f>
        <v>0</v>
      </c>
      <c r="S65" s="409">
        <f>'Staging Table'!DH67*Rates_current!$H$33</f>
        <v>0</v>
      </c>
      <c r="T65" s="409">
        <f>IF('Staging Table'!D67=1, 'Staging Table'!BJ67*-1,SUM(O65:S65)*'Staging Table'!BJ67*-1)</f>
        <v>0</v>
      </c>
      <c r="U65" s="407">
        <f>'Staging Table'!BM67*Rates_current!$H$32*-1</f>
        <v>-1110229.2247200001</v>
      </c>
      <c r="V65" s="407">
        <f>IF(Init!$R$12="No",0,'Staging Table'!$CY67*-1)</f>
        <v>0</v>
      </c>
      <c r="W65" s="407">
        <f>IF('Staging Table'!C67=1,"",SUM(O65:V65))</f>
        <v>37861108.12750601</v>
      </c>
      <c r="X65" s="407">
        <f>IF('Staging Table'!C67=1,"",(RT1SC!$C$4*'Staging Table'!BG67*'Staging Table'!$BH$2)+SUM('Staging Table'!BN67:CK67)-IF(Init!$R$15="No",'Staging Table'!CX67, 0))</f>
        <v>1005483.1731664767</v>
      </c>
      <c r="Y65" s="169">
        <f>IF('Staging Table'!C67=1,"",IF(X65=0, 0, W65/X65))</f>
        <v>37.654641209234228</v>
      </c>
      <c r="Z65" s="160">
        <f>IF('Staging Table'!C67=1,"",Y65/N65-1)</f>
        <v>4.5512627187566101E-2</v>
      </c>
      <c r="AA65" s="97">
        <f t="shared" si="1"/>
        <v>88</v>
      </c>
      <c r="AD65" s="412"/>
      <c r="AE65" s="412"/>
      <c r="AF65" s="432"/>
      <c r="AG65" s="412"/>
      <c r="AH65" s="412"/>
    </row>
    <row r="66" spans="2:34">
      <c r="B66" s="3">
        <v>10186</v>
      </c>
      <c r="C66" s="4" t="s">
        <v>69</v>
      </c>
      <c r="D66" s="407">
        <f>IF(Init!$R$9="Yes",'Staging Table'!E68,'Staging Table'!BG68)*Rates_previous!$E$75*100*12</f>
        <v>7482646.0371599989</v>
      </c>
      <c r="E66" s="407">
        <f>IF(Init!$R$9="Yes",'Staging Table'!F68,'Staging Table'!BH68)*Rates_previous!$E$76*100*12</f>
        <v>-1112373.9969599999</v>
      </c>
      <c r="F66" s="408">
        <f>IF(Init!$R$9="Yes",SUMPRODUCT('Staging Table'!L68:AI68,LS_Demand_Rates_Restatement!$C$4:$Z$4)-IF(Init!$R$15="No",('Staging Table'!AV68*Rates_previous!$H$35), 0),SUMPRODUCT('Staging Table'!BN68:CK68,LS_Demand_Rates_Restatement!$C$4:$Z$4)-IF(Init!$R$15="No", 'Staging Table'!CX68*Rates_previous!$H$35, 0))</f>
        <v>-618127.51940475649</v>
      </c>
      <c r="G66" s="408">
        <f>IF(Init!$R$9="Yes",SUMPRODUCT('Staging Table'!AJ68:AU68,LS_Demand_Rates_Restatement!$C$10:$N$10),SUMPRODUCT(LS_Demand_Rates_Restatement!$C$10:$N$10,'Staging Table'!CL68:CW68))*1000</f>
        <v>371993.16627625533</v>
      </c>
      <c r="H66" s="409">
        <f>IF(Init!$R$9="Yes",'Staging Table'!BF68,'Staging Table'!DH68)*Rates_previous!$H$33</f>
        <v>-220200.90828740716</v>
      </c>
      <c r="I66" s="409">
        <f>IF(Init!$R$9="Yes",IF('Staging Table'!D68=1,'Staging Table'!H68*-1,'Staging Table'!H68*SUM(D66:H66)*(-1)),IF('Staging Table'!D68=1,'Staging Table'!BJ68*-1,'Staging Table'!BJ68*SUM(D66:H66)*(-1)))</f>
        <v>-423489.38514218281</v>
      </c>
      <c r="J66" s="407">
        <f>IF(Init!$R$9="Yes",'Staging Table'!K68,'Staging Table'!BM68)*(-1)*Rates_previous!$H$32</f>
        <v>0</v>
      </c>
      <c r="K66" s="407">
        <f>IF(Init!$R$12="No",0,'Staging Table'!$AW68*-1)</f>
        <v>0</v>
      </c>
      <c r="L66" s="407">
        <f>IF('Staging Table'!C68=1,"",SUM(D66:K66))</f>
        <v>5480447.3936419077</v>
      </c>
      <c r="M66" s="407">
        <f>IF('Staging Table'!C68=1,"",IF(Init!$R$9="Yes",(RT1SC!$C$3*'Staging Table'!E68*'Staging Table'!$F$2)+SUM('Staging Table'!L68:AI68)-IF(Init!$R$15="No",'Staging Table'!AV68, 0),X66))</f>
        <v>160539.99743645117</v>
      </c>
      <c r="N66" s="169">
        <f>IF('Staging Table'!C68=1,"",IF(M66=0, 0, L66/M66))</f>
        <v>34.137582416564513</v>
      </c>
      <c r="O66" s="407">
        <f>'Staging Table'!BG68*Rates_current!$E$75*100*12</f>
        <v>6723216.3081600014</v>
      </c>
      <c r="P66" s="407">
        <f>'Staging Table'!BH68*Rates_current!$E$76*100*12</f>
        <v>-945678.31511999993</v>
      </c>
      <c r="Q66" s="408">
        <f>SUMPRODUCT('Staging Table'!BN68:CK68, LS_Demand_Rates_Restatement!$C$5:$Z$5)-IF(Init!$R$15="No",('Staging Table'!CX68*Rates_current!$H$35), 0)</f>
        <v>51402.543752084857</v>
      </c>
      <c r="R66" s="408">
        <f>SUMPRODUCT('Staging Table'!CL68:CW68, LS_Demand_Rates_Restatement!$C$11:$N$11)*1000</f>
        <v>350521.7778915955</v>
      </c>
      <c r="S66" s="409">
        <f>'Staging Table'!DH68*Rates_current!$H$33</f>
        <v>-57.638387279788731</v>
      </c>
      <c r="T66" s="409">
        <f>IF('Staging Table'!D68=1, 'Staging Table'!BJ68*-1,SUM(O66:S66)*'Staging Table'!BJ68*-1)</f>
        <v>-432558.32734074816</v>
      </c>
      <c r="U66" s="407">
        <f>'Staging Table'!BM68*Rates_current!$H$32*-1</f>
        <v>0</v>
      </c>
      <c r="V66" s="407">
        <f>IF(Init!$R$12="No",0,'Staging Table'!$CY68*-1)</f>
        <v>0</v>
      </c>
      <c r="W66" s="407">
        <f>IF('Staging Table'!C68=1,"",SUM(O66:V66))</f>
        <v>5746846.3489556536</v>
      </c>
      <c r="X66" s="407">
        <f>IF('Staging Table'!C68=1,"",(RT1SC!$C$4*'Staging Table'!BG68*'Staging Table'!$BH$2)+SUM('Staging Table'!BN68:CK68)-IF(Init!$R$15="No",'Staging Table'!CX68, 0))</f>
        <v>160539.99934217415</v>
      </c>
      <c r="Y66" s="169">
        <f>IF('Staging Table'!C68=1,"",IF(X66=0, 0, W66/X66))</f>
        <v>35.796975037397715</v>
      </c>
      <c r="Z66" s="160">
        <f>IF('Staging Table'!C68=1,"",Y66/N66-1)</f>
        <v>4.860896710799345E-2</v>
      </c>
      <c r="AA66" s="97">
        <f t="shared" si="1"/>
        <v>62</v>
      </c>
      <c r="AD66" s="412"/>
      <c r="AE66" s="412"/>
      <c r="AF66" s="432"/>
      <c r="AG66" s="412"/>
      <c r="AH66" s="412"/>
    </row>
    <row r="67" spans="2:34">
      <c r="B67" s="3">
        <v>10190</v>
      </c>
      <c r="C67" s="4" t="s">
        <v>70</v>
      </c>
      <c r="D67" s="407">
        <f>IF(Init!$R$9="Yes",'Staging Table'!E69,'Staging Table'!BG69)*Rates_previous!$E$75*100*12</f>
        <v>1822330.87848</v>
      </c>
      <c r="E67" s="407">
        <f>IF(Init!$R$9="Yes",'Staging Table'!F69,'Staging Table'!BH69)*Rates_previous!$E$76*100*12</f>
        <v>-270908.64288000006</v>
      </c>
      <c r="F67" s="408">
        <f>IF(Init!$R$9="Yes",SUMPRODUCT('Staging Table'!L69:AI69,LS_Demand_Rates_Restatement!$C$4:$Z$4)-IF(Init!$R$15="No",('Staging Table'!AV69*Rates_previous!$H$35), 0),SUMPRODUCT('Staging Table'!BN69:CK69,LS_Demand_Rates_Restatement!$C$4:$Z$4)-IF(Init!$R$15="No", 'Staging Table'!CX69*Rates_previous!$H$35, 0))</f>
        <v>22697.912809493748</v>
      </c>
      <c r="G67" s="408">
        <f>IF(Init!$R$9="Yes",SUMPRODUCT('Staging Table'!AJ69:AU69,LS_Demand_Rates_Restatement!$C$10:$N$10),SUMPRODUCT(LS_Demand_Rates_Restatement!$C$10:$N$10,'Staging Table'!CL69:CW69))*1000</f>
        <v>117699.74862021902</v>
      </c>
      <c r="H67" s="409">
        <f>IF(Init!$R$9="Yes",'Staging Table'!BF69,'Staging Table'!DH69)*Rates_previous!$H$33</f>
        <v>0</v>
      </c>
      <c r="I67" s="409">
        <f>IF(Init!$R$9="Yes",IF('Staging Table'!D69=1,'Staging Table'!H69*-1,'Staging Table'!H69*SUM(D67:H67)*(-1)),IF('Staging Table'!D69=1,'Staging Table'!BJ69*-1,'Staging Table'!BJ69*SUM(D67:H67)*(-1)))</f>
        <v>0</v>
      </c>
      <c r="J67" s="407">
        <f>IF(Init!$R$9="Yes",'Staging Table'!K69,'Staging Table'!BM69)*(-1)*Rates_previous!$H$32</f>
        <v>0</v>
      </c>
      <c r="K67" s="407">
        <f>IF(Init!$R$12="No",0,'Staging Table'!$AW69*-1)</f>
        <v>0</v>
      </c>
      <c r="L67" s="407">
        <f>IF('Staging Table'!C69=1,"",SUM(D67:K67))</f>
        <v>1691819.8970297126</v>
      </c>
      <c r="M67" s="407">
        <f>IF('Staging Table'!C69=1,"",IF(Init!$R$9="Yes",(RT1SC!$C$3*'Staging Table'!E69*'Staging Table'!$F$2)+SUM('Staging Table'!L69:AI69)-IF(Init!$R$15="No",'Staging Table'!AV69, 0),X67))</f>
        <v>45158.544000000002</v>
      </c>
      <c r="N67" s="169">
        <f>IF('Staging Table'!C69=1,"",IF(M67=0, 0, L67/M67))</f>
        <v>37.464004531007745</v>
      </c>
      <c r="O67" s="407">
        <f>'Staging Table'!BG69*Rates_current!$E$75*100*12</f>
        <v>1873858.6512000002</v>
      </c>
      <c r="P67" s="407">
        <f>'Staging Table'!BH69*Rates_current!$E$76*100*12</f>
        <v>-263574.36839999998</v>
      </c>
      <c r="Q67" s="408">
        <f>SUMPRODUCT('Staging Table'!BN69:CK69, LS_Demand_Rates_Restatement!$C$5:$Z$5)-IF(Init!$R$15="No",('Staging Table'!CX69*Rates_current!$H$35), 0)</f>
        <v>50539.636475889754</v>
      </c>
      <c r="R67" s="408">
        <f>SUMPRODUCT('Staging Table'!CL69:CW69, LS_Demand_Rates_Restatement!$C$11:$N$11)*1000</f>
        <v>116699.55940157587</v>
      </c>
      <c r="S67" s="409">
        <f>'Staging Table'!DH69*Rates_current!$H$33</f>
        <v>0</v>
      </c>
      <c r="T67" s="409">
        <f>IF('Staging Table'!D69=1, 'Staging Table'!BJ69*-1,SUM(O67:S67)*'Staging Table'!BJ69*-1)</f>
        <v>0</v>
      </c>
      <c r="U67" s="407">
        <f>'Staging Table'!BM69*Rates_current!$H$32*-1</f>
        <v>0</v>
      </c>
      <c r="V67" s="407">
        <f>IF(Init!$R$12="No",0,'Staging Table'!$CY69*-1)</f>
        <v>0</v>
      </c>
      <c r="W67" s="407">
        <f>IF('Staging Table'!C69=1,"",SUM(O67:V67))</f>
        <v>1777523.4786774658</v>
      </c>
      <c r="X67" s="407">
        <f>IF('Staging Table'!C69=1,"",(RT1SC!$C$4*'Staging Table'!BG69*'Staging Table'!$BH$2)+SUM('Staging Table'!BN69:CK69)-IF(Init!$R$15="No",'Staging Table'!CX69, 0))</f>
        <v>44746.079999999994</v>
      </c>
      <c r="Y67" s="169">
        <f>IF('Staging Table'!C69=1,"",IF(X67=0, 0, W67/X67))</f>
        <v>39.724674846991427</v>
      </c>
      <c r="Z67" s="160">
        <f>IF('Staging Table'!C69=1,"",Y67/N67-1)</f>
        <v>6.0342463233277632E-2</v>
      </c>
      <c r="AA67" s="97">
        <f t="shared" si="1"/>
        <v>12</v>
      </c>
      <c r="AD67" s="412"/>
      <c r="AE67" s="412"/>
      <c r="AF67" s="432"/>
      <c r="AG67" s="412"/>
      <c r="AH67" s="412"/>
    </row>
    <row r="68" spans="2:34">
      <c r="B68" s="3">
        <v>10191</v>
      </c>
      <c r="C68" s="4" t="s">
        <v>71</v>
      </c>
      <c r="D68" s="407">
        <f>IF(Init!$R$9="Yes",'Staging Table'!E70,'Staging Table'!BG70)*Rates_previous!$E$75*100*12</f>
        <v>45220638.259439997</v>
      </c>
      <c r="E68" s="407">
        <f>IF(Init!$R$9="Yes",'Staging Table'!F70,'Staging Table'!BH70)*Rates_previous!$E$76*100*12</f>
        <v>-3154565.9222399993</v>
      </c>
      <c r="F68" s="408">
        <f>IF(Init!$R$9="Yes",SUMPRODUCT('Staging Table'!L70:AI70,LS_Demand_Rates_Restatement!$C$4:$Z$4)-IF(Init!$R$15="No",('Staging Table'!AV70*Rates_previous!$H$35), 0),SUMPRODUCT('Staging Table'!BN70:CK70,LS_Demand_Rates_Restatement!$C$4:$Z$4)-IF(Init!$R$15="No", 'Staging Table'!CX70*Rates_previous!$H$35, 0))</f>
        <v>-8891.7214952706927</v>
      </c>
      <c r="G68" s="408">
        <f>IF(Init!$R$9="Yes",SUMPRODUCT('Staging Table'!AJ70:AU70,LS_Demand_Rates_Restatement!$C$10:$N$10),SUMPRODUCT(LS_Demand_Rates_Restatement!$C$10:$N$10,'Staging Table'!CL70:CW70))*1000</f>
        <v>0</v>
      </c>
      <c r="H68" s="409">
        <f>IF(Init!$R$9="Yes",'Staging Table'!BF70,'Staging Table'!DH70)*Rates_previous!$H$33</f>
        <v>0</v>
      </c>
      <c r="I68" s="409">
        <f>IF(Init!$R$9="Yes",IF('Staging Table'!D70=1,'Staging Table'!H70*-1,'Staging Table'!H70*SUM(D68:H68)*(-1)),IF('Staging Table'!D70=1,'Staging Table'!BJ70*-1,'Staging Table'!BJ70*SUM(D68:H68)*(-1)))</f>
        <v>0</v>
      </c>
      <c r="J68" s="407">
        <f>IF(Init!$R$9="Yes",'Staging Table'!K70,'Staging Table'!BM70)*(-1)*Rates_previous!$H$32</f>
        <v>0</v>
      </c>
      <c r="K68" s="407">
        <f>IF(Init!$R$12="No",0,'Staging Table'!$AW70*-1)</f>
        <v>0</v>
      </c>
      <c r="L68" s="407">
        <f>IF('Staging Table'!C70=1,"",SUM(D68:K68))</f>
        <v>42057180.61570473</v>
      </c>
      <c r="M68" s="407">
        <f>IF('Staging Table'!C70=1,"",IF(Init!$R$9="Yes",(RT1SC!$C$3*'Staging Table'!E70*'Staging Table'!$F$2)+SUM('Staging Table'!L70:AI70)-IF(Init!$R$15="No",'Staging Table'!AV70, 0),X68))</f>
        <v>1120584.4340971885</v>
      </c>
      <c r="N68" s="169">
        <f>IF('Staging Table'!C70=1,"",IF(M68=0, 0, L68/M68))</f>
        <v>37.531469593889703</v>
      </c>
      <c r="O68" s="407">
        <f>'Staging Table'!BG70*Rates_current!$E$75*100*12</f>
        <v>46928248.554240003</v>
      </c>
      <c r="P68" s="407">
        <f>'Staging Table'!BH70*Rates_current!$E$76*100*12</f>
        <v>-3129134.8334400007</v>
      </c>
      <c r="Q68" s="408">
        <f>SUMPRODUCT('Staging Table'!BN70:CK70, LS_Demand_Rates_Restatement!$C$5:$Z$5)-IF(Init!$R$15="No",('Staging Table'!CX70*Rates_current!$H$35), 0)</f>
        <v>-33550.647779597544</v>
      </c>
      <c r="R68" s="408">
        <f>SUMPRODUCT('Staging Table'!CL70:CW70, LS_Demand_Rates_Restatement!$C$11:$N$11)*1000</f>
        <v>0</v>
      </c>
      <c r="S68" s="409">
        <f>'Staging Table'!DH70*Rates_current!$H$33</f>
        <v>0</v>
      </c>
      <c r="T68" s="409">
        <f>IF('Staging Table'!D70=1, 'Staging Table'!BJ70*-1,SUM(O68:S68)*'Staging Table'!BJ70*-1)</f>
        <v>0</v>
      </c>
      <c r="U68" s="407">
        <f>'Staging Table'!BM70*Rates_current!$H$32*-1</f>
        <v>0</v>
      </c>
      <c r="V68" s="407">
        <f>IF(Init!$R$12="No",0,'Staging Table'!$CY70*-1)</f>
        <v>0</v>
      </c>
      <c r="W68" s="407">
        <f>IF('Staging Table'!C70=1,"",SUM(O68:V68))</f>
        <v>43765563.073020406</v>
      </c>
      <c r="X68" s="407">
        <f>IF('Staging Table'!C70=1,"",(RT1SC!$C$4*'Staging Table'!BG70*'Staging Table'!$BH$2)+SUM('Staging Table'!BN70:CK70)-IF(Init!$R$15="No",'Staging Table'!CX70, 0))</f>
        <v>1113731.2524802582</v>
      </c>
      <c r="Y68" s="169">
        <f>IF('Staging Table'!C70=1,"",IF(X68=0, 0, W68/X68))</f>
        <v>39.296340993893573</v>
      </c>
      <c r="Z68" s="160">
        <f>IF('Staging Table'!C70=1,"",Y68/N68-1)</f>
        <v>4.7023775490294017E-2</v>
      </c>
      <c r="AA68" s="97">
        <f t="shared" ref="AA68:AA99" si="2">IF(Z68="","",RANK(Z68,$Z$4:$Z$138))</f>
        <v>76</v>
      </c>
      <c r="AD68" s="412"/>
      <c r="AE68" s="412"/>
      <c r="AF68" s="432"/>
      <c r="AG68" s="412"/>
      <c r="AH68" s="412"/>
    </row>
    <row r="69" spans="2:34">
      <c r="B69" s="3">
        <v>10197</v>
      </c>
      <c r="C69" s="4" t="s">
        <v>72</v>
      </c>
      <c r="D69" s="407">
        <f>IF(Init!$R$9="Yes",'Staging Table'!E71,'Staging Table'!BG71)*Rates_previous!$E$75*100*12</f>
        <v>7986621.2706000013</v>
      </c>
      <c r="E69" s="407">
        <f>IF(Init!$R$9="Yes",'Staging Table'!F71,'Staging Table'!BH71)*Rates_previous!$E$76*100*12</f>
        <v>-1187295.2135999999</v>
      </c>
      <c r="F69" s="408">
        <f>IF(Init!$R$9="Yes",SUMPRODUCT('Staging Table'!L71:AI71,LS_Demand_Rates_Restatement!$C$4:$Z$4)-IF(Init!$R$15="No",('Staging Table'!AV71*Rates_previous!$H$35), 0),SUMPRODUCT('Staging Table'!BN71:CK71,LS_Demand_Rates_Restatement!$C$4:$Z$4)-IF(Init!$R$15="No", 'Staging Table'!CX71*Rates_previous!$H$35, 0))</f>
        <v>-198681.21554567956</v>
      </c>
      <c r="G69" s="408">
        <f>IF(Init!$R$9="Yes",SUMPRODUCT('Staging Table'!AJ71:AU71,LS_Demand_Rates_Restatement!$C$10:$N$10),SUMPRODUCT(LS_Demand_Rates_Restatement!$C$10:$N$10,'Staging Table'!CL71:CW71))*1000</f>
        <v>390796.44247742172</v>
      </c>
      <c r="H69" s="409">
        <f>IF(Init!$R$9="Yes",'Staging Table'!BF71,'Staging Table'!DH71)*Rates_previous!$H$33</f>
        <v>0</v>
      </c>
      <c r="I69" s="409">
        <f>IF(Init!$R$9="Yes",IF('Staging Table'!D71=1,'Staging Table'!H71*-1,'Staging Table'!H71*SUM(D69:H69)*(-1)),IF('Staging Table'!D71=1,'Staging Table'!BJ71*-1,'Staging Table'!BJ71*SUM(D69:H69)*(-1)))</f>
        <v>-501496.08329642401</v>
      </c>
      <c r="J69" s="407">
        <f>IF(Init!$R$9="Yes",'Staging Table'!K71,'Staging Table'!BM71)*(-1)*Rates_previous!$H$32</f>
        <v>-1175813.6428499997</v>
      </c>
      <c r="K69" s="407">
        <f>IF(Init!$R$12="No",0,'Staging Table'!$AW71*-1)</f>
        <v>0</v>
      </c>
      <c r="L69" s="407">
        <f>IF('Staging Table'!C71=1,"",SUM(D69:K69))</f>
        <v>5314131.557785321</v>
      </c>
      <c r="M69" s="407">
        <f>IF('Staging Table'!C71=1,"",IF(Init!$R$9="Yes",(RT1SC!$C$3*'Staging Table'!E71*'Staging Table'!$F$2)+SUM('Staging Table'!L71:AI71)-IF(Init!$R$15="No",'Staging Table'!AV71, 0),X69))</f>
        <v>197912.304</v>
      </c>
      <c r="N69" s="169">
        <f>IF('Staging Table'!C71=1,"",IF(M69=0, 0, L69/M69))</f>
        <v>26.850940797421675</v>
      </c>
      <c r="O69" s="407">
        <f>'Staging Table'!BG71*Rates_current!$E$75*100*12</f>
        <v>8212621.8383999988</v>
      </c>
      <c r="P69" s="407">
        <f>'Staging Table'!BH71*Rates_current!$E$76*100*12</f>
        <v>-1155176.0388</v>
      </c>
      <c r="Q69" s="408">
        <f>SUMPRODUCT('Staging Table'!BN71:CK71, LS_Demand_Rates_Restatement!$C$5:$Z$5)-IF(Init!$R$15="No",('Staging Table'!CX71*Rates_current!$H$35), 0)</f>
        <v>-436536.79443228326</v>
      </c>
      <c r="R69" s="408">
        <f>SUMPRODUCT('Staging Table'!CL71:CW71, LS_Demand_Rates_Restatement!$C$11:$N$11)*1000</f>
        <v>345281.55937356659</v>
      </c>
      <c r="S69" s="409">
        <f>'Staging Table'!DH71*Rates_current!$H$33</f>
        <v>0</v>
      </c>
      <c r="T69" s="409">
        <f>IF('Staging Table'!D71=1, 'Staging Table'!BJ71*-1,SUM(O69:S69)*'Staging Table'!BJ71*-1)</f>
        <v>-500746.0955990873</v>
      </c>
      <c r="U69" s="407">
        <f>'Staging Table'!BM71*Rates_current!$H$32*-1</f>
        <v>-1174814.6507999997</v>
      </c>
      <c r="V69" s="407">
        <f>IF(Init!$R$12="No",0,'Staging Table'!$CY71*-1)</f>
        <v>0</v>
      </c>
      <c r="W69" s="407">
        <f>IF('Staging Table'!C71=1,"",SUM(O69:V69))</f>
        <v>5290629.8181421952</v>
      </c>
      <c r="X69" s="407">
        <f>IF('Staging Table'!C71=1,"",(RT1SC!$C$4*'Staging Table'!BG71*'Staging Table'!$BH$2)+SUM('Staging Table'!BN71:CK71)-IF(Init!$R$15="No",'Staging Table'!CX71, 0))</f>
        <v>196110.12</v>
      </c>
      <c r="Y69" s="169">
        <f>IF('Staging Table'!C71=1,"",IF(X69=0, 0, W69/X69))</f>
        <v>26.977852127887104</v>
      </c>
      <c r="Z69" s="160">
        <f>IF('Staging Table'!C71=1,"",Y69/N69-1)</f>
        <v>4.7265133621543498E-3</v>
      </c>
      <c r="AA69" s="97">
        <f t="shared" si="2"/>
        <v>116</v>
      </c>
      <c r="AD69" s="412"/>
      <c r="AE69" s="412"/>
      <c r="AF69" s="432"/>
      <c r="AG69" s="412"/>
      <c r="AH69" s="412"/>
    </row>
    <row r="70" spans="2:34">
      <c r="B70" s="3">
        <v>10202</v>
      </c>
      <c r="C70" s="4" t="s">
        <v>73</v>
      </c>
      <c r="D70" s="407">
        <f>IF(Init!$R$9="Yes",'Staging Table'!E72,'Staging Table'!BG72)*Rates_previous!$E$75*100*12</f>
        <v>4597907.6430000002</v>
      </c>
      <c r="E70" s="407">
        <f>IF(Init!$R$9="Yes",'Staging Table'!F72,'Staging Table'!BH72)*Rates_previous!$E$76*100*12</f>
        <v>-683527.30799999996</v>
      </c>
      <c r="F70" s="408">
        <f>IF(Init!$R$9="Yes",SUMPRODUCT('Staging Table'!L72:AI72,LS_Demand_Rates_Restatement!$C$4:$Z$4)-IF(Init!$R$15="No",('Staging Table'!AV72*Rates_previous!$H$35), 0),SUMPRODUCT('Staging Table'!BN72:CK72,LS_Demand_Rates_Restatement!$C$4:$Z$4)-IF(Init!$R$15="No", 'Staging Table'!CX72*Rates_previous!$H$35, 0))</f>
        <v>65346.287599044095</v>
      </c>
      <c r="G70" s="408">
        <f>IF(Init!$R$9="Yes",SUMPRODUCT('Staging Table'!AJ72:AU72,LS_Demand_Rates_Restatement!$C$10:$N$10),SUMPRODUCT(LS_Demand_Rates_Restatement!$C$10:$N$10,'Staging Table'!CL72:CW72))*1000</f>
        <v>228363.5245214031</v>
      </c>
      <c r="H70" s="409">
        <f>IF(Init!$R$9="Yes",'Staging Table'!BF72,'Staging Table'!DH72)*Rates_previous!$H$33</f>
        <v>0</v>
      </c>
      <c r="I70" s="409">
        <f>IF(Init!$R$9="Yes",IF('Staging Table'!D72=1,'Staging Table'!H72*-1,'Staging Table'!H72*SUM(D70:H70)*(-1)),IF('Staging Table'!D72=1,'Staging Table'!BJ72*-1,'Staging Table'!BJ72*SUM(D70:H70)*(-1)))</f>
        <v>0</v>
      </c>
      <c r="J70" s="407">
        <f>IF(Init!$R$9="Yes",'Staging Table'!K72,'Staging Table'!BM72)*(-1)*Rates_previous!$H$32</f>
        <v>0</v>
      </c>
      <c r="K70" s="407">
        <f>IF(Init!$R$12="No",0,'Staging Table'!$AW72*-1)</f>
        <v>0</v>
      </c>
      <c r="L70" s="407">
        <f>IF('Staging Table'!C72=1,"",SUM(D70:K70))</f>
        <v>4208090.1471204469</v>
      </c>
      <c r="M70" s="407">
        <f>IF('Staging Table'!C72=1,"",IF(Init!$R$9="Yes",(RT1SC!$C$3*'Staging Table'!E72*'Staging Table'!$F$2)+SUM('Staging Table'!L72:AI72)-IF(Init!$R$15="No",'Staging Table'!AV72, 0),X70))</f>
        <v>113937.264</v>
      </c>
      <c r="N70" s="169">
        <f>IF('Staging Table'!C72=1,"",IF(M70=0, 0, L70/M70))</f>
        <v>36.933396497220144</v>
      </c>
      <c r="O70" s="407">
        <f>'Staging Table'!BG72*Rates_current!$E$75*100*12</f>
        <v>4728085.4995200001</v>
      </c>
      <c r="P70" s="407">
        <f>'Staging Table'!BH72*Rates_current!$E$76*100*12</f>
        <v>-665045.97263999993</v>
      </c>
      <c r="Q70" s="408">
        <f>SUMPRODUCT('Staging Table'!BN72:CK72, LS_Demand_Rates_Restatement!$C$5:$Z$5)-IF(Init!$R$15="No",('Staging Table'!CX72*Rates_current!$H$35), 0)</f>
        <v>109249.39782465211</v>
      </c>
      <c r="R70" s="408">
        <f>SUMPRODUCT('Staging Table'!CL72:CW72, LS_Demand_Rates_Restatement!$C$11:$N$11)*1000</f>
        <v>224373.45413775818</v>
      </c>
      <c r="S70" s="409">
        <f>'Staging Table'!DH72*Rates_current!$H$33</f>
        <v>0</v>
      </c>
      <c r="T70" s="409">
        <f>IF('Staging Table'!D72=1, 'Staging Table'!BJ72*-1,SUM(O70:S70)*'Staging Table'!BJ72*-1)</f>
        <v>0</v>
      </c>
      <c r="U70" s="407">
        <f>'Staging Table'!BM72*Rates_current!$H$32*-1</f>
        <v>0</v>
      </c>
      <c r="V70" s="407">
        <f>IF(Init!$R$12="No",0,'Staging Table'!$CY72*-1)</f>
        <v>0</v>
      </c>
      <c r="W70" s="407">
        <f>IF('Staging Table'!C72=1,"",SUM(O70:V70))</f>
        <v>4396662.3788424106</v>
      </c>
      <c r="X70" s="407">
        <f>IF('Staging Table'!C72=1,"",(RT1SC!$C$4*'Staging Table'!BG72*'Staging Table'!$BH$2)+SUM('Staging Table'!BN72:CK72)-IF(Init!$R$15="No",'Staging Table'!CX72, 0))</f>
        <v>112897.15764712828</v>
      </c>
      <c r="Y70" s="169">
        <f>IF('Staging Table'!C72=1,"",IF(X70=0, 0, W70/X70))</f>
        <v>38.943959887676115</v>
      </c>
      <c r="Z70" s="160">
        <f>IF('Staging Table'!C72=1,"",Y70/N70-1)</f>
        <v>5.443754382587862E-2</v>
      </c>
      <c r="AA70" s="97">
        <f t="shared" si="2"/>
        <v>26</v>
      </c>
      <c r="AD70" s="412"/>
      <c r="AE70" s="412"/>
      <c r="AF70" s="432"/>
      <c r="AG70" s="412"/>
      <c r="AH70" s="412"/>
    </row>
    <row r="71" spans="2:34">
      <c r="B71" s="3">
        <v>10203</v>
      </c>
      <c r="C71" s="4" t="s">
        <v>74</v>
      </c>
      <c r="D71" s="407">
        <f>IF(Init!$R$9="Yes",'Staging Table'!E73,'Staging Table'!BG73)*Rates_previous!$E$75*100*12</f>
        <v>2181004.8044400001</v>
      </c>
      <c r="E71" s="407">
        <f>IF(Init!$R$9="Yes",'Staging Table'!F73,'Staging Table'!BH73)*Rates_previous!$E$76*100*12</f>
        <v>-324229.29264</v>
      </c>
      <c r="F71" s="408">
        <f>IF(Init!$R$9="Yes",SUMPRODUCT('Staging Table'!L73:AI73,LS_Demand_Rates_Restatement!$C$4:$Z$4)-IF(Init!$R$15="No",('Staging Table'!AV73*Rates_previous!$H$35), 0),SUMPRODUCT('Staging Table'!BN73:CK73,LS_Demand_Rates_Restatement!$C$4:$Z$4)-IF(Init!$R$15="No", 'Staging Table'!CX73*Rates_previous!$H$35, 0))</f>
        <v>19539.756450873101</v>
      </c>
      <c r="G71" s="408">
        <f>IF(Init!$R$9="Yes",SUMPRODUCT('Staging Table'!AJ73:AU73,LS_Demand_Rates_Restatement!$C$10:$N$10),SUMPRODUCT(LS_Demand_Rates_Restatement!$C$10:$N$10,'Staging Table'!CL73:CW73))*1000</f>
        <v>135164.05823806973</v>
      </c>
      <c r="H71" s="409">
        <f>IF(Init!$R$9="Yes",'Staging Table'!BF73,'Staging Table'!DH73)*Rates_previous!$H$33</f>
        <v>0</v>
      </c>
      <c r="I71" s="409">
        <f>IF(Init!$R$9="Yes",IF('Staging Table'!D73=1,'Staging Table'!H73*-1,'Staging Table'!H73*SUM(D71:H71)*(-1)),IF('Staging Table'!D73=1,'Staging Table'!BJ73*-1,'Staging Table'!BJ73*SUM(D71:H71)*(-1)))</f>
        <v>-143036.29490662873</v>
      </c>
      <c r="J71" s="407">
        <f>IF(Init!$R$9="Yes",'Staging Table'!K73,'Staging Table'!BM73)*(-1)*Rates_previous!$H$32</f>
        <v>0</v>
      </c>
      <c r="K71" s="407">
        <f>IF(Init!$R$12="No",0,'Staging Table'!$AW73*-1)</f>
        <v>0</v>
      </c>
      <c r="L71" s="407">
        <f>IF('Staging Table'!C73=1,"",SUM(D71:K71))</f>
        <v>1868443.0315823141</v>
      </c>
      <c r="M71" s="407">
        <f>IF('Staging Table'!C73=1,"",IF(Init!$R$9="Yes",(RT1SC!$C$3*'Staging Table'!E73*'Staging Table'!$F$2)+SUM('Staging Table'!L73:AI73)-IF(Init!$R$15="No",'Staging Table'!AV73, 0),X71))</f>
        <v>54047.951999999997</v>
      </c>
      <c r="N71" s="169">
        <f>IF('Staging Table'!C73=1,"",IF(M71=0, 0, L71/M71))</f>
        <v>34.570098633567355</v>
      </c>
      <c r="O71" s="407">
        <f>'Staging Table'!BG73*Rates_current!$E$75*100*12</f>
        <v>2243025.3657600004</v>
      </c>
      <c r="P71" s="407">
        <f>'Staging Table'!BH73*Rates_current!$E$76*100*12</f>
        <v>-315500.84832000005</v>
      </c>
      <c r="Q71" s="408">
        <f>SUMPRODUCT('Staging Table'!BN73:CK73, LS_Demand_Rates_Restatement!$C$5:$Z$5)-IF(Init!$R$15="No",('Staging Table'!CX73*Rates_current!$H$35), 0)</f>
        <v>41316.248757852176</v>
      </c>
      <c r="R71" s="408">
        <f>SUMPRODUCT('Staging Table'!CL73:CW73, LS_Demand_Rates_Restatement!$C$11:$N$11)*1000</f>
        <v>128099.54408568374</v>
      </c>
      <c r="S71" s="409">
        <f>'Staging Table'!DH73*Rates_current!$H$33</f>
        <v>0</v>
      </c>
      <c r="T71" s="409">
        <f>IF('Staging Table'!D73=1, 'Staging Table'!BJ73*-1,SUM(O71:S71)*'Staging Table'!BJ73*-1)</f>
        <v>-153123.97300117562</v>
      </c>
      <c r="U71" s="407">
        <f>'Staging Table'!BM73*Rates_current!$H$32*-1</f>
        <v>0</v>
      </c>
      <c r="V71" s="407">
        <f>IF(Init!$R$12="No",0,'Staging Table'!$CY73*-1)</f>
        <v>0</v>
      </c>
      <c r="W71" s="407">
        <f>IF('Staging Table'!C73=1,"",SUM(O71:V71))</f>
        <v>1943816.3372823608</v>
      </c>
      <c r="X71" s="407">
        <f>IF('Staging Table'!C73=1,"",(RT1SC!$C$4*'Staging Table'!BG73*'Staging Table'!$BH$2)+SUM('Staging Table'!BN73:CK73)-IF(Init!$R$15="No",'Staging Table'!CX73, 0))</f>
        <v>53558.64</v>
      </c>
      <c r="Y71" s="169">
        <f>IF('Staging Table'!C73=1,"",IF(X71=0, 0, W71/X71))</f>
        <v>36.29323555046134</v>
      </c>
      <c r="Z71" s="160">
        <f>IF('Staging Table'!C73=1,"",Y71/N71-1)</f>
        <v>4.9844720871603965E-2</v>
      </c>
      <c r="AA71" s="97">
        <f t="shared" si="2"/>
        <v>47</v>
      </c>
      <c r="AD71" s="412"/>
      <c r="AE71" s="412"/>
      <c r="AF71" s="432"/>
      <c r="AG71" s="412"/>
      <c r="AH71" s="412"/>
    </row>
    <row r="72" spans="2:34">
      <c r="B72" s="3">
        <v>10204</v>
      </c>
      <c r="C72" s="4" t="s">
        <v>75</v>
      </c>
      <c r="D72" s="407">
        <f>IF(Init!$R$9="Yes",'Staging Table'!E74,'Staging Table'!BG74)*Rates_previous!$E$75*100*12</f>
        <v>27290654.942039996</v>
      </c>
      <c r="E72" s="407">
        <f>IF(Init!$R$9="Yes",'Staging Table'!F74,'Staging Table'!BH74)*Rates_previous!$E$76*100*12</f>
        <v>-2034280.3036799999</v>
      </c>
      <c r="F72" s="408">
        <f>IF(Init!$R$9="Yes",SUMPRODUCT('Staging Table'!L74:AI74,LS_Demand_Rates_Restatement!$C$4:$Z$4)-IF(Init!$R$15="No",('Staging Table'!AV74*Rates_previous!$H$35), 0),SUMPRODUCT('Staging Table'!BN74:CK74,LS_Demand_Rates_Restatement!$C$4:$Z$4)-IF(Init!$R$15="No", 'Staging Table'!CX74*Rates_previous!$H$35, 0))</f>
        <v>-9238.0417939982181</v>
      </c>
      <c r="G72" s="408">
        <f>IF(Init!$R$9="Yes",SUMPRODUCT('Staging Table'!AJ74:AU74,LS_Demand_Rates_Restatement!$C$10:$N$10),SUMPRODUCT(LS_Demand_Rates_Restatement!$C$10:$N$10,'Staging Table'!CL74:CW74))*1000</f>
        <v>0</v>
      </c>
      <c r="H72" s="409">
        <f>IF(Init!$R$9="Yes",'Staging Table'!BF74,'Staging Table'!DH74)*Rates_previous!$H$33</f>
        <v>0</v>
      </c>
      <c r="I72" s="409">
        <f>IF(Init!$R$9="Yes",IF('Staging Table'!D74=1,'Staging Table'!H74*-1,'Staging Table'!H74*SUM(D72:H72)*(-1)),IF('Staging Table'!D74=1,'Staging Table'!BJ74*-1,'Staging Table'!BJ74*SUM(D72:H72)*(-1)))</f>
        <v>0</v>
      </c>
      <c r="J72" s="407">
        <f>IF(Init!$R$9="Yes",'Staging Table'!K74,'Staging Table'!BM74)*(-1)*Rates_previous!$H$32</f>
        <v>0</v>
      </c>
      <c r="K72" s="407">
        <f>IF(Init!$R$12="No",0,'Staging Table'!$AW74*-1)</f>
        <v>0</v>
      </c>
      <c r="L72" s="407">
        <f>IF('Staging Table'!C74=1,"",SUM(D72:K72))</f>
        <v>25247136.596565999</v>
      </c>
      <c r="M72" s="407">
        <f>IF('Staging Table'!C74=1,"",IF(Init!$R$9="Yes",(RT1SC!$C$3*'Staging Table'!E74*'Staging Table'!$F$2)+SUM('Staging Table'!L74:AI74)-IF(Init!$R$15="No",'Staging Table'!AV74, 0),X72))</f>
        <v>676273.54898872098</v>
      </c>
      <c r="N72" s="169">
        <f>IF('Staging Table'!C74=1,"",IF(M72=0, 0, L72/M72))</f>
        <v>37.332728204910282</v>
      </c>
      <c r="O72" s="407">
        <f>'Staging Table'!BG74*Rates_current!$E$75*100*12</f>
        <v>24102331.744319998</v>
      </c>
      <c r="P72" s="407">
        <f>'Staging Table'!BH74*Rates_current!$E$76*100*12</f>
        <v>-1422011.4904799999</v>
      </c>
      <c r="Q72" s="408">
        <f>SUMPRODUCT('Staging Table'!BN74:CK74, LS_Demand_Rates_Restatement!$C$5:$Z$5)-IF(Init!$R$15="No",('Staging Table'!CX74*Rates_current!$H$35), 0)</f>
        <v>-32839.929719669315</v>
      </c>
      <c r="R72" s="408">
        <f>SUMPRODUCT('Staging Table'!CL74:CW74, LS_Demand_Rates_Restatement!$C$11:$N$11)*1000</f>
        <v>0</v>
      </c>
      <c r="S72" s="409">
        <f>'Staging Table'!DH74*Rates_current!$H$33</f>
        <v>0</v>
      </c>
      <c r="T72" s="409">
        <f>IF('Staging Table'!D74=1, 'Staging Table'!BJ74*-1,SUM(O72:S72)*'Staging Table'!BJ74*-1)</f>
        <v>0</v>
      </c>
      <c r="U72" s="407">
        <f>'Staging Table'!BM74*Rates_current!$H$32*-1</f>
        <v>0</v>
      </c>
      <c r="V72" s="407">
        <f>IF(Init!$R$12="No",0,'Staging Table'!$CY74*-1)</f>
        <v>0</v>
      </c>
      <c r="W72" s="407">
        <f>IF('Staging Table'!C74=1,"",SUM(O72:V72))</f>
        <v>22647480.324120332</v>
      </c>
      <c r="X72" s="407">
        <f>IF('Staging Table'!C74=1,"",(RT1SC!$C$4*'Staging Table'!BG74*'Staging Table'!$BH$2)+SUM('Staging Table'!BN74:CK74)-IF(Init!$R$15="No",'Staging Table'!CX74, 0))</f>
        <v>572089.15636442683</v>
      </c>
      <c r="Y72" s="169">
        <f>IF('Staging Table'!C74=1,"",IF(X72=0, 0, W72/X72))</f>
        <v>39.587326681811199</v>
      </c>
      <c r="Z72" s="160">
        <f>IF('Staging Table'!C74=1,"",Y72/N72-1)</f>
        <v>6.0392009513099865E-2</v>
      </c>
      <c r="AA72" s="97">
        <f t="shared" si="2"/>
        <v>11</v>
      </c>
      <c r="AD72" s="412"/>
      <c r="AE72" s="412"/>
      <c r="AF72" s="432"/>
      <c r="AG72" s="412"/>
      <c r="AH72" s="412"/>
    </row>
    <row r="73" spans="2:34">
      <c r="B73" s="3">
        <v>10209</v>
      </c>
      <c r="C73" s="4" t="s">
        <v>76</v>
      </c>
      <c r="D73" s="407">
        <f>IF(Init!$R$9="Yes",'Staging Table'!E75,'Staging Table'!BG75)*Rates_previous!$E$75*100*12</f>
        <v>37818687.667319998</v>
      </c>
      <c r="E73" s="407">
        <f>IF(Init!$R$9="Yes",'Staging Table'!F75,'Staging Table'!BH75)*Rates_previous!$E$76*100*12</f>
        <v>-5622145.5019199997</v>
      </c>
      <c r="F73" s="408">
        <f>IF(Init!$R$9="Yes",SUMPRODUCT('Staging Table'!L75:AI75,LS_Demand_Rates_Restatement!$C$4:$Z$4)-IF(Init!$R$15="No",('Staging Table'!AV75*Rates_previous!$H$35), 0),SUMPRODUCT('Staging Table'!BN75:CK75,LS_Demand_Rates_Restatement!$C$4:$Z$4)-IF(Init!$R$15="No", 'Staging Table'!CX75*Rates_previous!$H$35, 0))</f>
        <v>-584188.35814768507</v>
      </c>
      <c r="G73" s="408">
        <f>IF(Init!$R$9="Yes",SUMPRODUCT('Staging Table'!AJ75:AU75,LS_Demand_Rates_Restatement!$C$10:$N$10),SUMPRODUCT(LS_Demand_Rates_Restatement!$C$10:$N$10,'Staging Table'!CL75:CW75))*1000</f>
        <v>2568146.6247324077</v>
      </c>
      <c r="H73" s="409">
        <f>IF(Init!$R$9="Yes",'Staging Table'!BF75,'Staging Table'!DH75)*Rates_previous!$H$33</f>
        <v>-47931.244177734799</v>
      </c>
      <c r="I73" s="409">
        <f>IF(Init!$R$9="Yes",IF('Staging Table'!D75=1,'Staging Table'!H75*-1,'Staging Table'!H75*SUM(D73:H73)*(-1)),IF('Staging Table'!D75=1,'Staging Table'!BJ75*-1,'Staging Table'!BJ75*SUM(D73:H73)*(-1)))</f>
        <v>-2450377.141992664</v>
      </c>
      <c r="J73" s="407">
        <f>IF(Init!$R$9="Yes",'Staging Table'!K75,'Staging Table'!BM75)*(-1)*Rates_previous!$H$32</f>
        <v>-707526.49077000003</v>
      </c>
      <c r="K73" s="407">
        <f>IF(Init!$R$12="No",0,'Staging Table'!$AW75*-1)</f>
        <v>0</v>
      </c>
      <c r="L73" s="407">
        <f>IF('Staging Table'!C75=1,"",SUM(D73:K73))</f>
        <v>30974665.555044319</v>
      </c>
      <c r="M73" s="407">
        <f>IF('Staging Table'!C75=1,"",IF(Init!$R$9="Yes",(RT1SC!$C$3*'Staging Table'!E75*'Staging Table'!$F$2)+SUM('Staging Table'!L75:AI75)-IF(Init!$R$15="No",'Staging Table'!AV75, 0),X73))</f>
        <v>907803.81620590563</v>
      </c>
      <c r="N73" s="169">
        <f>IF('Staging Table'!C75=1,"",IF(M73=0, 0, L73/M73))</f>
        <v>34.120439903525067</v>
      </c>
      <c r="O73" s="407">
        <f>'Staging Table'!BG75*Rates_current!$E$75*100*12</f>
        <v>37861880.918399997</v>
      </c>
      <c r="P73" s="407">
        <f>'Staging Table'!BH75*Rates_current!$E$76*100*12</f>
        <v>-5325599.8487999998</v>
      </c>
      <c r="Q73" s="408">
        <f>SUMPRODUCT('Staging Table'!BN75:CK75, LS_Demand_Rates_Restatement!$C$5:$Z$5)-IF(Init!$R$15="No",('Staging Table'!CX75*Rates_current!$H$35), 0)</f>
        <v>-63035.01760384332</v>
      </c>
      <c r="R73" s="408">
        <f>SUMPRODUCT('Staging Table'!CL75:CW75, LS_Demand_Rates_Restatement!$C$11:$N$11)*1000</f>
        <v>2462191.0599062946</v>
      </c>
      <c r="S73" s="409">
        <f>'Staging Table'!DH75*Rates_current!$H$33</f>
        <v>0</v>
      </c>
      <c r="T73" s="409">
        <f>IF('Staging Table'!D75=1, 'Staging Table'!BJ75*-1,SUM(O73:S73)*'Staging Table'!BJ75*-1)</f>
        <v>-2574025.4857113678</v>
      </c>
      <c r="U73" s="407">
        <f>'Staging Table'!BM75*Rates_current!$H$32*-1</f>
        <v>-706925.36375999998</v>
      </c>
      <c r="V73" s="407">
        <f>IF(Init!$R$12="No",0,'Staging Table'!$CY75*-1)</f>
        <v>0</v>
      </c>
      <c r="W73" s="407">
        <f>IF('Staging Table'!C75=1,"",SUM(O73:V73))</f>
        <v>31654486.262431081</v>
      </c>
      <c r="X73" s="407">
        <f>IF('Staging Table'!C75=1,"",(RT1SC!$C$4*'Staging Table'!BG75*'Staging Table'!$BH$2)+SUM('Staging Table'!BN75:CK75)-IF(Init!$R$15="No",'Staging Table'!CX75, 0))</f>
        <v>884226.01118998462</v>
      </c>
      <c r="Y73" s="169">
        <f>IF('Staging Table'!C75=1,"",IF(X73=0, 0, W73/X73))</f>
        <v>35.799089669202012</v>
      </c>
      <c r="Z73" s="160">
        <f>IF('Staging Table'!C75=1,"",Y73/N73-1)</f>
        <v>4.9197776184108255E-2</v>
      </c>
      <c r="AA73" s="97">
        <f t="shared" si="2"/>
        <v>58</v>
      </c>
      <c r="AD73" s="412"/>
      <c r="AE73" s="412"/>
      <c r="AF73" s="432"/>
      <c r="AG73" s="412"/>
      <c r="AH73" s="412"/>
    </row>
    <row r="74" spans="2:34">
      <c r="B74" s="3">
        <v>10230</v>
      </c>
      <c r="C74" s="4" t="s">
        <v>77</v>
      </c>
      <c r="D74" s="407">
        <f>IF(Init!$R$9="Yes",'Staging Table'!E76,'Staging Table'!BG76)*Rates_previous!$E$75*100*12</f>
        <v>3405793.3383599999</v>
      </c>
      <c r="E74" s="407">
        <f>IF(Init!$R$9="Yes",'Staging Table'!F76,'Staging Table'!BH76)*Rates_previous!$E$76*100*12</f>
        <v>-506306.98415999999</v>
      </c>
      <c r="F74" s="408">
        <f>IF(Init!$R$9="Yes",SUMPRODUCT('Staging Table'!L76:AI76,LS_Demand_Rates_Restatement!$C$4:$Z$4)-IF(Init!$R$15="No",('Staging Table'!AV76*Rates_previous!$H$35), 0),SUMPRODUCT('Staging Table'!BN76:CK76,LS_Demand_Rates_Restatement!$C$4:$Z$4)-IF(Init!$R$15="No", 'Staging Table'!CX76*Rates_previous!$H$35, 0))</f>
        <v>29302.299222961854</v>
      </c>
      <c r="G74" s="408">
        <f>IF(Init!$R$9="Yes",SUMPRODUCT('Staging Table'!AJ76:AU76,LS_Demand_Rates_Restatement!$C$10:$N$10),SUMPRODUCT(LS_Demand_Rates_Restatement!$C$10:$N$10,'Staging Table'!CL76:CW76))*1000</f>
        <v>294055.22526582971</v>
      </c>
      <c r="H74" s="409">
        <f>IF(Init!$R$9="Yes",'Staging Table'!BF76,'Staging Table'!DH76)*Rates_previous!$H$33</f>
        <v>0</v>
      </c>
      <c r="I74" s="409">
        <f>IF(Init!$R$9="Yes",IF('Staging Table'!D76=1,'Staging Table'!H76*-1,'Staging Table'!H76*SUM(D74:H74)*(-1)),IF('Staging Table'!D76=1,'Staging Table'!BJ76*-1,'Staging Table'!BJ76*SUM(D74:H74)*(-1)))</f>
        <v>-245967.4448215286</v>
      </c>
      <c r="J74" s="407">
        <f>IF(Init!$R$9="Yes",'Staging Table'!K76,'Staging Table'!BM76)*(-1)*Rates_previous!$H$32</f>
        <v>0</v>
      </c>
      <c r="K74" s="407">
        <f>IF(Init!$R$12="No",0,'Staging Table'!$AW76*-1)</f>
        <v>0</v>
      </c>
      <c r="L74" s="407">
        <f>IF('Staging Table'!C76=1,"",SUM(D74:K74))</f>
        <v>2976876.4338672631</v>
      </c>
      <c r="M74" s="407">
        <f>IF('Staging Table'!C76=1,"",IF(Init!$R$9="Yes",(RT1SC!$C$3*'Staging Table'!E76*'Staging Table'!$F$2)+SUM('Staging Table'!L76:AI76)-IF(Init!$R$15="No",'Staging Table'!AV76, 0),X74))</f>
        <v>84396.672000000006</v>
      </c>
      <c r="N74" s="169">
        <f>IF('Staging Table'!C76=1,"",IF(M74=0, 0, L74/M74))</f>
        <v>35.272438632026429</v>
      </c>
      <c r="O74" s="407">
        <f>'Staging Table'!BG76*Rates_current!$E$75*100*12</f>
        <v>3502370.4796799999</v>
      </c>
      <c r="P74" s="407">
        <f>'Staging Table'!BH76*Rates_current!$E$76*100*12</f>
        <v>-492638.59175999998</v>
      </c>
      <c r="Q74" s="408">
        <f>SUMPRODUCT('Staging Table'!BN76:CK76, LS_Demand_Rates_Restatement!$C$5:$Z$5)-IF(Init!$R$15="No",('Staging Table'!CX76*Rates_current!$H$35), 0)</f>
        <v>60088.436183394864</v>
      </c>
      <c r="R74" s="408">
        <f>SUMPRODUCT('Staging Table'!CL76:CW76, LS_Demand_Rates_Restatement!$C$11:$N$11)*1000</f>
        <v>289448.04091493052</v>
      </c>
      <c r="S74" s="409">
        <f>'Staging Table'!DH76*Rates_current!$H$33</f>
        <v>0</v>
      </c>
      <c r="T74" s="409">
        <f>IF('Staging Table'!D76=1, 'Staging Table'!BJ76*-1,SUM(O74:S74)*'Staging Table'!BJ76*-1)</f>
        <v>-250887.76889340804</v>
      </c>
      <c r="U74" s="407">
        <f>'Staging Table'!BM76*Rates_current!$H$32*-1</f>
        <v>0</v>
      </c>
      <c r="V74" s="407">
        <f>IF(Init!$R$12="No",0,'Staging Table'!$CY76*-1)</f>
        <v>0</v>
      </c>
      <c r="W74" s="407">
        <f>IF('Staging Table'!C76=1,"",SUM(O74:V74))</f>
        <v>3108380.5961249168</v>
      </c>
      <c r="X74" s="407">
        <f>IF('Staging Table'!C76=1,"",(RT1SC!$C$4*'Staging Table'!BG76*'Staging Table'!$BH$2)+SUM('Staging Table'!BN76:CK76)-IF(Init!$R$15="No",'Staging Table'!CX76, 0))</f>
        <v>83631.72</v>
      </c>
      <c r="Y74" s="169">
        <f>IF('Staging Table'!C76=1,"",IF(X74=0, 0, W74/X74))</f>
        <v>37.167483774397041</v>
      </c>
      <c r="Z74" s="160">
        <f>IF('Staging Table'!C76=1,"",Y74/N74-1)</f>
        <v>5.3725946259070456E-2</v>
      </c>
      <c r="AA74" s="97">
        <f t="shared" si="2"/>
        <v>29</v>
      </c>
      <c r="AD74" s="412"/>
      <c r="AE74" s="412"/>
      <c r="AF74" s="432"/>
      <c r="AG74" s="412"/>
      <c r="AH74" s="412"/>
    </row>
    <row r="75" spans="2:34">
      <c r="B75" s="3">
        <v>10231</v>
      </c>
      <c r="C75" s="4" t="s">
        <v>78</v>
      </c>
      <c r="D75" s="407">
        <f>IF(Init!$R$9="Yes",'Staging Table'!E77,'Staging Table'!BG77)*Rates_previous!$E$75*100*12</f>
        <v>12867705.567360001</v>
      </c>
      <c r="E75" s="407">
        <f>IF(Init!$R$9="Yes",'Staging Table'!F77,'Staging Table'!BH77)*Rates_previous!$E$76*100*12</f>
        <v>-1912919.7081599999</v>
      </c>
      <c r="F75" s="408">
        <f>IF(Init!$R$9="Yes",SUMPRODUCT('Staging Table'!L77:AI77,LS_Demand_Rates_Restatement!$C$4:$Z$4)-IF(Init!$R$15="No",('Staging Table'!AV77*Rates_previous!$H$35), 0),SUMPRODUCT('Staging Table'!BN77:CK77,LS_Demand_Rates_Restatement!$C$4:$Z$4)-IF(Init!$R$15="No", 'Staging Table'!CX77*Rates_previous!$H$35, 0))</f>
        <v>132690.39380874776</v>
      </c>
      <c r="G75" s="408">
        <f>IF(Init!$R$9="Yes",SUMPRODUCT('Staging Table'!AJ77:AU77,LS_Demand_Rates_Restatement!$C$10:$N$10),SUMPRODUCT(LS_Demand_Rates_Restatement!$C$10:$N$10,'Staging Table'!CL77:CW77))*1000</f>
        <v>693316.66195297334</v>
      </c>
      <c r="H75" s="409">
        <f>IF(Init!$R$9="Yes",'Staging Table'!BF77,'Staging Table'!DH77)*Rates_previous!$H$33</f>
        <v>0</v>
      </c>
      <c r="I75" s="409">
        <f>IF(Init!$R$9="Yes",IF('Staging Table'!D77=1,'Staging Table'!H77*-1,'Staging Table'!H77*SUM(D75:H75)*(-1)),IF('Staging Table'!D77=1,'Staging Table'!BJ77*-1,'Staging Table'!BJ77*SUM(D75:H75)*(-1)))</f>
        <v>-901466.27385287103</v>
      </c>
      <c r="J75" s="407">
        <f>IF(Init!$R$9="Yes",'Staging Table'!K77,'Staging Table'!BM77)*(-1)*Rates_previous!$H$32</f>
        <v>-254617.22032999998</v>
      </c>
      <c r="K75" s="407">
        <f>IF(Init!$R$12="No",0,'Staging Table'!$AW77*-1)</f>
        <v>0</v>
      </c>
      <c r="L75" s="407">
        <f>IF('Staging Table'!C77=1,"",SUM(D75:K75))</f>
        <v>10624709.42077885</v>
      </c>
      <c r="M75" s="407">
        <f>IF('Staging Table'!C77=1,"",IF(Init!$R$9="Yes",(RT1SC!$C$3*'Staging Table'!E77*'Staging Table'!$F$2)+SUM('Staging Table'!L77:AI77)-IF(Init!$R$15="No",'Staging Table'!AV77, 0),X75))</f>
        <v>318867.984</v>
      </c>
      <c r="N75" s="169">
        <f>IF('Staging Table'!C77=1,"",IF(M75=0, 0, L75/M75))</f>
        <v>33.32008841871955</v>
      </c>
      <c r="O75" s="407">
        <f>'Staging Table'!BG77*Rates_current!$E$75*100*12</f>
        <v>13232677.70016</v>
      </c>
      <c r="P75" s="407">
        <f>'Staging Table'!BH77*Rates_current!$E$76*100*12</f>
        <v>-1861290.15912</v>
      </c>
      <c r="Q75" s="408">
        <f>SUMPRODUCT('Staging Table'!BN77:CK77, LS_Demand_Rates_Restatement!$C$5:$Z$5)-IF(Init!$R$15="No",('Staging Table'!CX77*Rates_current!$H$35), 0)</f>
        <v>214411.83897139938</v>
      </c>
      <c r="R75" s="408">
        <f>SUMPRODUCT('Staging Table'!CL77:CW77, LS_Demand_Rates_Restatement!$C$11:$N$11)*1000</f>
        <v>642554.02000246604</v>
      </c>
      <c r="S75" s="409">
        <f>'Staging Table'!DH77*Rates_current!$H$33</f>
        <v>0</v>
      </c>
      <c r="T75" s="409">
        <f>IF('Staging Table'!D77=1, 'Staging Table'!BJ77*-1,SUM(O75:S75)*'Staging Table'!BJ77*-1)</f>
        <v>-1034652.063342916</v>
      </c>
      <c r="U75" s="407">
        <f>'Staging Table'!BM77*Rates_current!$H$32*-1</f>
        <v>-254400.89304</v>
      </c>
      <c r="V75" s="407">
        <f>IF(Init!$R$12="No",0,'Staging Table'!$CY77*-1)</f>
        <v>0</v>
      </c>
      <c r="W75" s="407">
        <f>IF('Staging Table'!C77=1,"",SUM(O75:V75))</f>
        <v>10939300.443630949</v>
      </c>
      <c r="X75" s="407">
        <f>IF('Staging Table'!C77=1,"",(RT1SC!$C$4*'Staging Table'!BG77*'Staging Table'!$BH$2)+SUM('Staging Table'!BN77:CK77)-IF(Init!$R$15="No",'Staging Table'!CX77, 0))</f>
        <v>315981.95999999996</v>
      </c>
      <c r="Y75" s="169">
        <f>IF('Staging Table'!C77=1,"",IF(X75=0, 0, W75/X75))</f>
        <v>34.620015787075154</v>
      </c>
      <c r="Z75" s="160">
        <f>IF('Staging Table'!C77=1,"",Y75/N75-1)</f>
        <v>3.9013322894584368E-2</v>
      </c>
      <c r="AA75" s="97">
        <f t="shared" si="2"/>
        <v>101</v>
      </c>
      <c r="AD75" s="412"/>
      <c r="AE75" s="412"/>
      <c r="AF75" s="432"/>
      <c r="AG75" s="412"/>
      <c r="AH75" s="412"/>
    </row>
    <row r="76" spans="2:34">
      <c r="B76" s="3">
        <v>10234</v>
      </c>
      <c r="C76" s="4" t="s">
        <v>79</v>
      </c>
      <c r="D76" s="407">
        <f>IF(Init!$R$9="Yes",'Staging Table'!E78,'Staging Table'!BG78)*Rates_previous!$E$75*100*12</f>
        <v>17901517.132800002</v>
      </c>
      <c r="E76" s="407">
        <f>IF(Init!$R$9="Yes",'Staging Table'!F78,'Staging Table'!BH78)*Rates_previous!$E$76*100*12</f>
        <v>-2661248.7168000001</v>
      </c>
      <c r="F76" s="408">
        <f>IF(Init!$R$9="Yes",SUMPRODUCT('Staging Table'!L78:AI78,LS_Demand_Rates_Restatement!$C$4:$Z$4)-IF(Init!$R$15="No",('Staging Table'!AV78*Rates_previous!$H$35), 0),SUMPRODUCT('Staging Table'!BN78:CK78,LS_Demand_Rates_Restatement!$C$4:$Z$4)-IF(Init!$R$15="No", 'Staging Table'!CX78*Rates_previous!$H$35, 0))</f>
        <v>142418.99279609381</v>
      </c>
      <c r="G76" s="408">
        <f>IF(Init!$R$9="Yes",SUMPRODUCT('Staging Table'!AJ78:AU78,LS_Demand_Rates_Restatement!$C$10:$N$10),SUMPRODUCT(LS_Demand_Rates_Restatement!$C$10:$N$10,'Staging Table'!CL78:CW78))*1000</f>
        <v>790854.14558159723</v>
      </c>
      <c r="H76" s="409">
        <f>IF(Init!$R$9="Yes",'Staging Table'!BF78,'Staging Table'!DH78)*Rates_previous!$H$33</f>
        <v>0</v>
      </c>
      <c r="I76" s="409">
        <f>IF(Init!$R$9="Yes",IF('Staging Table'!D78=1,'Staging Table'!H78*-1,'Staging Table'!H78*SUM(D76:H76)*(-1)),IF('Staging Table'!D78=1,'Staging Table'!BJ78*-1,'Staging Table'!BJ78*SUM(D76:H76)*(-1)))</f>
        <v>-830673.09423283825</v>
      </c>
      <c r="J76" s="407">
        <f>IF(Init!$R$9="Yes",'Staging Table'!K78,'Staging Table'!BM78)*(-1)*Rates_previous!$H$32</f>
        <v>0</v>
      </c>
      <c r="K76" s="407">
        <f>IF(Init!$R$12="No",0,'Staging Table'!$AW78*-1)</f>
        <v>0</v>
      </c>
      <c r="L76" s="407">
        <f>IF('Staging Table'!C78=1,"",SUM(D76:K76))</f>
        <v>15342868.460144853</v>
      </c>
      <c r="M76" s="407">
        <f>IF('Staging Table'!C78=1,"",IF(Init!$R$9="Yes",(RT1SC!$C$3*'Staging Table'!E78*'Staging Table'!$F$2)+SUM('Staging Table'!L78:AI78)-IF(Init!$R$15="No",'Staging Table'!AV78, 0),X76))</f>
        <v>443609.56800000003</v>
      </c>
      <c r="N76" s="169">
        <f>IF('Staging Table'!C78=1,"",IF(M76=0, 0, L76/M76))</f>
        <v>34.586423663758424</v>
      </c>
      <c r="O76" s="407">
        <f>'Staging Table'!BG78*Rates_current!$E$75*100*12</f>
        <v>18408909.680640001</v>
      </c>
      <c r="P76" s="407">
        <f>'Staging Table'!BH78*Rates_current!$E$76*100*12</f>
        <v>-2589371.79648</v>
      </c>
      <c r="Q76" s="408">
        <f>SUMPRODUCT('Staging Table'!BN78:CK78, LS_Demand_Rates_Restatement!$C$5:$Z$5)-IF(Init!$R$15="No",('Staging Table'!CX78*Rates_current!$H$35), 0)</f>
        <v>285285.22213063127</v>
      </c>
      <c r="R76" s="408">
        <f>SUMPRODUCT('Staging Table'!CL78:CW78, LS_Demand_Rates_Restatement!$C$11:$N$11)*1000</f>
        <v>751354.93545985571</v>
      </c>
      <c r="S76" s="409">
        <f>'Staging Table'!DH78*Rates_current!$H$33</f>
        <v>0</v>
      </c>
      <c r="T76" s="409">
        <f>IF('Staging Table'!D78=1, 'Staging Table'!BJ78*-1,SUM(O76:S76)*'Staging Table'!BJ78*-1)</f>
        <v>-894068.39809539833</v>
      </c>
      <c r="U76" s="407">
        <f>'Staging Table'!BM78*Rates_current!$H$32*-1</f>
        <v>0</v>
      </c>
      <c r="V76" s="407">
        <f>IF(Init!$R$12="No",0,'Staging Table'!$CY78*-1)</f>
        <v>0</v>
      </c>
      <c r="W76" s="407">
        <f>IF('Staging Table'!C78=1,"",SUM(O76:V76))</f>
        <v>15962109.643655088</v>
      </c>
      <c r="X76" s="407">
        <f>IF('Staging Table'!C78=1,"",(RT1SC!$C$4*'Staging Table'!BG78*'Staging Table'!$BH$2)+SUM('Staging Table'!BN78:CK78)-IF(Init!$R$15="No",'Staging Table'!CX78, 0))</f>
        <v>439581.75941313186</v>
      </c>
      <c r="Y76" s="169">
        <f>IF('Staging Table'!C78=1,"",IF(X76=0, 0, W76/X76))</f>
        <v>36.312038208695164</v>
      </c>
      <c r="Z76" s="160">
        <f>IF('Staging Table'!C78=1,"",Y76/N76-1)</f>
        <v>4.9892829675388883E-2</v>
      </c>
      <c r="AA76" s="97">
        <f t="shared" si="2"/>
        <v>46</v>
      </c>
      <c r="AD76" s="412"/>
      <c r="AE76" s="412"/>
      <c r="AF76" s="432"/>
      <c r="AG76" s="412"/>
      <c r="AH76" s="412"/>
    </row>
    <row r="77" spans="2:34">
      <c r="B77" s="3">
        <v>10235</v>
      </c>
      <c r="C77" s="4" t="s">
        <v>80</v>
      </c>
      <c r="D77" s="407">
        <f>IF(Init!$R$9="Yes",'Staging Table'!E79,'Staging Table'!BG79)*Rates_previous!$E$75*100*12</f>
        <v>11252063.942279998</v>
      </c>
      <c r="E77" s="407">
        <f>IF(Init!$R$9="Yes",'Staging Table'!F79,'Staging Table'!BH79)*Rates_previous!$E$76*100*12</f>
        <v>-1672737.5956799998</v>
      </c>
      <c r="F77" s="408">
        <f>IF(Init!$R$9="Yes",SUMPRODUCT('Staging Table'!L79:AI79,LS_Demand_Rates_Restatement!$C$4:$Z$4)-IF(Init!$R$15="No",('Staging Table'!AV79*Rates_previous!$H$35), 0),SUMPRODUCT('Staging Table'!BN79:CK79,LS_Demand_Rates_Restatement!$C$4:$Z$4)-IF(Init!$R$15="No", 'Staging Table'!CX79*Rates_previous!$H$35, 0))</f>
        <v>-90638.433513443044</v>
      </c>
      <c r="G77" s="408">
        <f>IF(Init!$R$9="Yes",SUMPRODUCT('Staging Table'!AJ79:AU79,LS_Demand_Rates_Restatement!$C$10:$N$10),SUMPRODUCT(LS_Demand_Rates_Restatement!$C$10:$N$10,'Staging Table'!CL79:CW79))*1000</f>
        <v>529488.7924500712</v>
      </c>
      <c r="H77" s="409">
        <f>IF(Init!$R$9="Yes",'Staging Table'!BF79,'Staging Table'!DH79)*Rates_previous!$H$33</f>
        <v>-56845.995641607544</v>
      </c>
      <c r="I77" s="409">
        <f>IF(Init!$R$9="Yes",IF('Staging Table'!D79=1,'Staging Table'!H79*-1,'Staging Table'!H79*SUM(D77:H77)*(-1)),IF('Staging Table'!D79=1,'Staging Table'!BJ79*-1,'Staging Table'!BJ79*SUM(D77:H77)*(-1)))</f>
        <v>0</v>
      </c>
      <c r="J77" s="407">
        <f>IF(Init!$R$9="Yes",'Staging Table'!K79,'Staging Table'!BM79)*(-1)*Rates_previous!$H$32</f>
        <v>0</v>
      </c>
      <c r="K77" s="407">
        <f>IF(Init!$R$12="No",0,'Staging Table'!$AW79*-1)</f>
        <v>0</v>
      </c>
      <c r="L77" s="407">
        <f>IF('Staging Table'!C79=1,"",SUM(D77:K77))</f>
        <v>9961330.7098950166</v>
      </c>
      <c r="M77" s="407">
        <f>IF('Staging Table'!C79=1,"",IF(Init!$R$9="Yes",(RT1SC!$C$3*'Staging Table'!E79*'Staging Table'!$F$2)+SUM('Staging Table'!L79:AI79)-IF(Init!$R$15="No",'Staging Table'!AV79, 0),X77))</f>
        <v>272407.23565631552</v>
      </c>
      <c r="N77" s="169">
        <f>IF('Staging Table'!C79=1,"",IF(M77=0, 0, L77/M77))</f>
        <v>36.567790447617917</v>
      </c>
      <c r="O77" s="407">
        <f>'Staging Table'!BG79*Rates_current!$E$75*100*12</f>
        <v>11407990.32288</v>
      </c>
      <c r="P77" s="407">
        <f>'Staging Table'!BH79*Rates_current!$E$76*100*12</f>
        <v>-1604632.1541599999</v>
      </c>
      <c r="Q77" s="408">
        <f>SUMPRODUCT('Staging Table'!BN79:CK79, LS_Demand_Rates_Restatement!$C$5:$Z$5)-IF(Init!$R$15="No",('Staging Table'!CX79*Rates_current!$H$35), 0)</f>
        <v>147929.99789879314</v>
      </c>
      <c r="R77" s="408">
        <f>SUMPRODUCT('Staging Table'!CL79:CW79, LS_Demand_Rates_Restatement!$C$11:$N$11)*1000</f>
        <v>510987.619539165</v>
      </c>
      <c r="S77" s="409">
        <f>'Staging Table'!DH79*Rates_current!$H$33</f>
        <v>-31.633078772531007</v>
      </c>
      <c r="T77" s="409">
        <f>IF('Staging Table'!D79=1, 'Staging Table'!BJ79*-1,SUM(O77:S77)*'Staging Table'!BJ79*-1)</f>
        <v>0</v>
      </c>
      <c r="U77" s="407">
        <f>'Staging Table'!BM79*Rates_current!$H$32*-1</f>
        <v>0</v>
      </c>
      <c r="V77" s="407">
        <f>IF(Init!$R$12="No",0,'Staging Table'!$CY79*-1)</f>
        <v>0</v>
      </c>
      <c r="W77" s="407">
        <f>IF('Staging Table'!C79=1,"",SUM(O77:V77))</f>
        <v>10462244.153079186</v>
      </c>
      <c r="X77" s="407">
        <f>IF('Staging Table'!C79=1,"",(RT1SC!$C$4*'Staging Table'!BG79*'Staging Table'!$BH$2)+SUM('Staging Table'!BN79:CK79)-IF(Init!$R$15="No",'Staging Table'!CX79, 0))</f>
        <v>272407.23897421395</v>
      </c>
      <c r="Y77" s="169">
        <f>IF('Staging Table'!C79=1,"",IF(X77=0, 0, W77/X77))</f>
        <v>38.406630427576637</v>
      </c>
      <c r="Z77" s="160">
        <f>IF('Staging Table'!C79=1,"",Y77/N77-1)</f>
        <v>5.0285783129084383E-2</v>
      </c>
      <c r="AA77" s="97">
        <f t="shared" si="2"/>
        <v>44</v>
      </c>
      <c r="AD77" s="412"/>
      <c r="AE77" s="412"/>
      <c r="AF77" s="432"/>
      <c r="AG77" s="412"/>
      <c r="AH77" s="412"/>
    </row>
    <row r="78" spans="2:34">
      <c r="B78" s="3">
        <v>10236</v>
      </c>
      <c r="C78" s="4" t="s">
        <v>81</v>
      </c>
      <c r="D78" s="407">
        <f>IF(Init!$R$9="Yes",'Staging Table'!E80,'Staging Table'!BG80)*Rates_previous!$E$75*100*12</f>
        <v>9710434.3971599992</v>
      </c>
      <c r="E78" s="407">
        <f>IF(Init!$R$9="Yes",'Staging Table'!F80,'Staging Table'!BH80)*Rates_previous!$E$76*100*12</f>
        <v>-1443558.1569600001</v>
      </c>
      <c r="F78" s="408">
        <f>IF(Init!$R$9="Yes",SUMPRODUCT('Staging Table'!L80:AI80,LS_Demand_Rates_Restatement!$C$4:$Z$4)-IF(Init!$R$15="No",('Staging Table'!AV80*Rates_previous!$H$35), 0),SUMPRODUCT('Staging Table'!BN80:CK80,LS_Demand_Rates_Restatement!$C$4:$Z$4)-IF(Init!$R$15="No", 'Staging Table'!CX80*Rates_previous!$H$35, 0))</f>
        <v>0</v>
      </c>
      <c r="G78" s="408">
        <f>IF(Init!$R$9="Yes",SUMPRODUCT('Staging Table'!AJ80:AU80,LS_Demand_Rates_Restatement!$C$10:$N$10),SUMPRODUCT(LS_Demand_Rates_Restatement!$C$10:$N$10,'Staging Table'!CL80:CW80))*1000</f>
        <v>0</v>
      </c>
      <c r="H78" s="409">
        <f>IF(Init!$R$9="Yes",'Staging Table'!BF80,'Staging Table'!DH80)*Rates_previous!$H$33</f>
        <v>-4.3419617242208917</v>
      </c>
      <c r="I78" s="409">
        <f>IF(Init!$R$9="Yes",IF('Staging Table'!D80=1,'Staging Table'!H80*-1,'Staging Table'!H80*SUM(D78:H78)*(-1)),IF('Staging Table'!D80=1,'Staging Table'!BJ80*-1,'Staging Table'!BJ80*SUM(D78:H78)*(-1)))</f>
        <v>-537346.67338548787</v>
      </c>
      <c r="J78" s="407">
        <f>IF(Init!$R$9="Yes",'Staging Table'!K80,'Staging Table'!BM80)*(-1)*Rates_previous!$H$32</f>
        <v>0</v>
      </c>
      <c r="K78" s="407">
        <f>IF(Init!$R$12="No",0,'Staging Table'!$AW80*-1)</f>
        <v>0</v>
      </c>
      <c r="L78" s="407" t="str">
        <f>IF('Staging Table'!C80=1,"",SUM(D78:K78))</f>
        <v/>
      </c>
      <c r="M78" s="407" t="str">
        <f>IF('Staging Table'!C80=1,"",IF(Init!$R$9="Yes",(RT1SC!$C$3*'Staging Table'!E80*'Staging Table'!$F$2)+SUM('Staging Table'!L80:AI80)-IF(Init!$R$15="No",'Staging Table'!AV80, 0),X78))</f>
        <v/>
      </c>
      <c r="N78" s="169" t="str">
        <f>IF('Staging Table'!C80=1,"",IF(M78=0, 0, L78/M78))</f>
        <v/>
      </c>
      <c r="O78" s="407">
        <f>'Staging Table'!BG80*Rates_current!$E$75*100*12</f>
        <v>10057691.090880001</v>
      </c>
      <c r="P78" s="407">
        <f>'Staging Table'!BH80*Rates_current!$E$76*100*12</f>
        <v>-1414700.93016</v>
      </c>
      <c r="Q78" s="408">
        <f>SUMPRODUCT('Staging Table'!BN80:CK80, LS_Demand_Rates_Restatement!$C$5:$Z$5)-IF(Init!$R$15="No",('Staging Table'!CX80*Rates_current!$H$35), 0)</f>
        <v>0</v>
      </c>
      <c r="R78" s="408">
        <f>SUMPRODUCT('Staging Table'!CL80:CW80, LS_Demand_Rates_Restatement!$C$11:$N$11)*1000</f>
        <v>0</v>
      </c>
      <c r="S78" s="409">
        <f>'Staging Table'!DH80*Rates_current!$H$33</f>
        <v>18.825818597862963</v>
      </c>
      <c r="T78" s="409">
        <f>IF('Staging Table'!D80=1, 'Staging Table'!BJ80*-1,SUM(O78:S78)*'Staging Table'!BJ80*-1)</f>
        <v>-561795.58412500902</v>
      </c>
      <c r="U78" s="407">
        <f>'Staging Table'!BM80*Rates_current!$H$32*-1</f>
        <v>0</v>
      </c>
      <c r="V78" s="407">
        <f>IF(Init!$R$12="No",0,'Staging Table'!$CY80*-1)</f>
        <v>0</v>
      </c>
      <c r="W78" s="407" t="str">
        <f>IF('Staging Table'!C80=1,"",SUM(O78:V78))</f>
        <v/>
      </c>
      <c r="X78" s="407" t="str">
        <f>IF('Staging Table'!C80=1,"",(RT1SC!$C$4*'Staging Table'!BG80*'Staging Table'!$BH$2)+SUM('Staging Table'!BN80:CK80)-IF(Init!$R$15="No",'Staging Table'!CX80, 0))</f>
        <v/>
      </c>
      <c r="Y78" s="169" t="str">
        <f>IF('Staging Table'!C80=1,"",IF(X78=0, 0, W78/X78))</f>
        <v/>
      </c>
      <c r="Z78" s="160" t="str">
        <f>IF('Staging Table'!C80=1,"",Y78/N78-1)</f>
        <v/>
      </c>
      <c r="AA78" s="97" t="str">
        <f t="shared" si="2"/>
        <v/>
      </c>
      <c r="AD78" s="412"/>
      <c r="AE78" s="412"/>
      <c r="AF78" s="432"/>
      <c r="AG78" s="412"/>
      <c r="AH78" s="412"/>
    </row>
    <row r="79" spans="2:34">
      <c r="B79" s="3">
        <v>10237</v>
      </c>
      <c r="C79" s="4" t="s">
        <v>82</v>
      </c>
      <c r="D79" s="407">
        <f>IF(Init!$R$9="Yes",'Staging Table'!E81,'Staging Table'!BG81)*Rates_previous!$E$75*100*12</f>
        <v>38369941.520400003</v>
      </c>
      <c r="E79" s="407">
        <f>IF(Init!$R$9="Yes",'Staging Table'!F81,'Staging Table'!BH81)*Rates_previous!$E$76*100*12</f>
        <v>-2164803.66096</v>
      </c>
      <c r="F79" s="408">
        <f>IF(Init!$R$9="Yes",SUMPRODUCT('Staging Table'!L81:AI81,LS_Demand_Rates_Restatement!$C$4:$Z$4)-IF(Init!$R$15="No",('Staging Table'!AV81*Rates_previous!$H$35), 0),SUMPRODUCT('Staging Table'!BN81:CK81,LS_Demand_Rates_Restatement!$C$4:$Z$4)-IF(Init!$R$15="No", 'Staging Table'!CX81*Rates_previous!$H$35, 0))</f>
        <v>-4623.471965673798</v>
      </c>
      <c r="G79" s="408">
        <f>IF(Init!$R$9="Yes",SUMPRODUCT('Staging Table'!AJ81:AU81,LS_Demand_Rates_Restatement!$C$10:$N$10),SUMPRODUCT(LS_Demand_Rates_Restatement!$C$10:$N$10,'Staging Table'!CL81:CW81))*1000</f>
        <v>0</v>
      </c>
      <c r="H79" s="409">
        <f>IF(Init!$R$9="Yes",'Staging Table'!BF81,'Staging Table'!DH81)*Rates_previous!$H$33</f>
        <v>0</v>
      </c>
      <c r="I79" s="409">
        <f>IF(Init!$R$9="Yes",IF('Staging Table'!D81=1,'Staging Table'!H81*-1,'Staging Table'!H81*SUM(D79:H79)*(-1)),IF('Staging Table'!D81=1,'Staging Table'!BJ81*-1,'Staging Table'!BJ81*SUM(D79:H79)*(-1)))</f>
        <v>-1864727</v>
      </c>
      <c r="J79" s="407">
        <f>IF(Init!$R$9="Yes",'Staging Table'!K81,'Staging Table'!BM81)*(-1)*Rates_previous!$H$32</f>
        <v>0</v>
      </c>
      <c r="K79" s="407">
        <f>IF(Init!$R$12="No",0,'Staging Table'!$AW81*-1)</f>
        <v>0</v>
      </c>
      <c r="L79" s="407">
        <f>IF('Staging Table'!C81=1,"",SUM(D79:K79))</f>
        <v>34335787.387474328</v>
      </c>
      <c r="M79" s="407">
        <f>IF('Staging Table'!C81=1,"",IF(Init!$R$9="Yes",(RT1SC!$C$3*'Staging Table'!E81*'Staging Table'!$F$2)+SUM('Staging Table'!L81:AI81)-IF(Init!$R$15="No",'Staging Table'!AV81, 0),X79))</f>
        <v>950822.79053894838</v>
      </c>
      <c r="N79" s="169">
        <f>IF('Staging Table'!C81=1,"",IF(M79=0, 0, L79/M79))</f>
        <v>36.11165795469838</v>
      </c>
      <c r="O79" s="407">
        <f>'Staging Table'!BG81*Rates_current!$E$75*100*12</f>
        <v>39819560.03136</v>
      </c>
      <c r="P79" s="407">
        <f>'Staging Table'!BH81*Rates_current!$E$76*100*12</f>
        <v>-2157116.9995200005</v>
      </c>
      <c r="Q79" s="408">
        <f>SUMPRODUCT('Staging Table'!BN81:CK81, LS_Demand_Rates_Restatement!$C$5:$Z$5)-IF(Init!$R$15="No",('Staging Table'!CX81*Rates_current!$H$35), 0)</f>
        <v>-51387.215363672127</v>
      </c>
      <c r="R79" s="408">
        <f>SUMPRODUCT('Staging Table'!CL81:CW81, LS_Demand_Rates_Restatement!$C$11:$N$11)*1000</f>
        <v>0</v>
      </c>
      <c r="S79" s="409">
        <f>'Staging Table'!DH81*Rates_current!$H$33</f>
        <v>0</v>
      </c>
      <c r="T79" s="409">
        <f>IF('Staging Table'!D81=1, 'Staging Table'!BJ81*-1,SUM(O79:S79)*'Staging Table'!BJ81*-1)</f>
        <v>-1864727</v>
      </c>
      <c r="U79" s="407">
        <f>'Staging Table'!BM81*Rates_current!$H$32*-1</f>
        <v>0</v>
      </c>
      <c r="V79" s="407">
        <f>IF(Init!$R$12="No",0,'Staging Table'!$CY81*-1)</f>
        <v>0</v>
      </c>
      <c r="W79" s="407">
        <f>IF('Staging Table'!C81=1,"",SUM(O79:V79))</f>
        <v>35746328.816476323</v>
      </c>
      <c r="X79" s="407">
        <f>IF('Staging Table'!C81=1,"",(RT1SC!$C$4*'Staging Table'!BG81*'Staging Table'!$BH$2)+SUM('Staging Table'!BN81:CK81)-IF(Init!$R$15="No",'Staging Table'!CX81, 0))</f>
        <v>944214.14306816063</v>
      </c>
      <c r="Y79" s="169">
        <f>IF('Staging Table'!C81=1,"",IF(X79=0, 0, W79/X79))</f>
        <v>37.858285727770422</v>
      </c>
      <c r="Z79" s="160">
        <f>IF('Staging Table'!C81=1,"",Y79/N79-1)</f>
        <v>4.8367421270526068E-2</v>
      </c>
      <c r="AA79" s="97">
        <f t="shared" si="2"/>
        <v>63</v>
      </c>
      <c r="AD79" s="412"/>
      <c r="AE79" s="412"/>
      <c r="AF79" s="432"/>
      <c r="AG79" s="412"/>
      <c r="AH79" s="412"/>
    </row>
    <row r="80" spans="2:34">
      <c r="B80" s="3">
        <v>10239</v>
      </c>
      <c r="C80" s="4" t="s">
        <v>83</v>
      </c>
      <c r="D80" s="407">
        <f>IF(Init!$R$9="Yes",'Staging Table'!E82,'Staging Table'!BG82)*Rates_previous!$E$75*100*12</f>
        <v>4866479.9063999997</v>
      </c>
      <c r="E80" s="407">
        <f>IF(Init!$R$9="Yes",'Staging Table'!F82,'Staging Table'!BH82)*Rates_previous!$E$76*100*12</f>
        <v>-723453.39839999995</v>
      </c>
      <c r="F80" s="408">
        <f>IF(Init!$R$9="Yes",SUMPRODUCT('Staging Table'!L82:AI82,LS_Demand_Rates_Restatement!$C$4:$Z$4)-IF(Init!$R$15="No",('Staging Table'!AV82*Rates_previous!$H$35), 0),SUMPRODUCT('Staging Table'!BN82:CK82,LS_Demand_Rates_Restatement!$C$4:$Z$4)-IF(Init!$R$15="No", 'Staging Table'!CX82*Rates_previous!$H$35, 0))</f>
        <v>0</v>
      </c>
      <c r="G80" s="408">
        <f>IF(Init!$R$9="Yes",SUMPRODUCT('Staging Table'!AJ82:AU82,LS_Demand_Rates_Restatement!$C$10:$N$10),SUMPRODUCT(LS_Demand_Rates_Restatement!$C$10:$N$10,'Staging Table'!CL82:CW82))*1000</f>
        <v>0</v>
      </c>
      <c r="H80" s="409">
        <f>IF(Init!$R$9="Yes",'Staging Table'!BF82,'Staging Table'!DH82)*Rates_previous!$H$33</f>
        <v>-19.814740776090183</v>
      </c>
      <c r="I80" s="409">
        <f>IF(Init!$R$9="Yes",IF('Staging Table'!D82=1,'Staging Table'!H82*-1,'Staging Table'!H82*SUM(D80:H80)*(-1)),IF('Staging Table'!D82=1,'Staging Table'!BJ82*-1,'Staging Table'!BJ82*SUM(D80:H80)*(-1)))</f>
        <v>-290010.46852814569</v>
      </c>
      <c r="J80" s="407">
        <f>IF(Init!$R$9="Yes",'Staging Table'!K82,'Staging Table'!BM82)*(-1)*Rates_previous!$H$32</f>
        <v>0</v>
      </c>
      <c r="K80" s="407">
        <f>IF(Init!$R$12="No",0,'Staging Table'!$AW82*-1)</f>
        <v>0</v>
      </c>
      <c r="L80" s="407" t="str">
        <f>IF('Staging Table'!C82=1,"",SUM(D80:K80))</f>
        <v/>
      </c>
      <c r="M80" s="407" t="str">
        <f>IF('Staging Table'!C82=1,"",IF(Init!$R$9="Yes",(RT1SC!$C$3*'Staging Table'!E82*'Staging Table'!$F$2)+SUM('Staging Table'!L82:AI82)-IF(Init!$R$15="No",'Staging Table'!AV82, 0),X80))</f>
        <v/>
      </c>
      <c r="N80" s="169" t="str">
        <f>IF('Staging Table'!C82=1,"",IF(M80=0, 0, L80/M80))</f>
        <v/>
      </c>
      <c r="O80" s="407">
        <f>'Staging Table'!BG82*Rates_current!$E$75*100*12</f>
        <v>4992540.33024</v>
      </c>
      <c r="P80" s="407">
        <f>'Staging Table'!BH82*Rates_current!$E$76*100*12</f>
        <v>-702243.82368000003</v>
      </c>
      <c r="Q80" s="408">
        <f>SUMPRODUCT('Staging Table'!BN82:CK82, LS_Demand_Rates_Restatement!$C$5:$Z$5)-IF(Init!$R$15="No",('Staging Table'!CX82*Rates_current!$H$35), 0)</f>
        <v>0</v>
      </c>
      <c r="R80" s="408">
        <f>SUMPRODUCT('Staging Table'!CL82:CW82, LS_Demand_Rates_Restatement!$C$11:$N$11)*1000</f>
        <v>0</v>
      </c>
      <c r="S80" s="409">
        <f>'Staging Table'!DH82*Rates_current!$H$33</f>
        <v>13.427550504067767</v>
      </c>
      <c r="T80" s="409">
        <f>IF('Staging Table'!D82=1, 'Staging Table'!BJ82*-1,SUM(O80:S80)*'Staging Table'!BJ82*-1)</f>
        <v>-300321.69538773526</v>
      </c>
      <c r="U80" s="407">
        <f>'Staging Table'!BM82*Rates_current!$H$32*-1</f>
        <v>0</v>
      </c>
      <c r="V80" s="407">
        <f>IF(Init!$R$12="No",0,'Staging Table'!$CY82*-1)</f>
        <v>0</v>
      </c>
      <c r="W80" s="407" t="str">
        <f>IF('Staging Table'!C82=1,"",SUM(O80:V80))</f>
        <v/>
      </c>
      <c r="X80" s="407" t="str">
        <f>IF('Staging Table'!C82=1,"",(RT1SC!$C$4*'Staging Table'!BG82*'Staging Table'!$BH$2)+SUM('Staging Table'!BN82:CK82)-IF(Init!$R$15="No",'Staging Table'!CX82, 0))</f>
        <v/>
      </c>
      <c r="Y80" s="169" t="str">
        <f>IF('Staging Table'!C82=1,"",IF(X80=0, 0, W80/X80))</f>
        <v/>
      </c>
      <c r="Z80" s="160" t="str">
        <f>IF('Staging Table'!C82=1,"",Y80/N80-1)</f>
        <v/>
      </c>
      <c r="AA80" s="97" t="str">
        <f t="shared" si="2"/>
        <v/>
      </c>
      <c r="AD80" s="412"/>
      <c r="AE80" s="412"/>
      <c r="AF80" s="432"/>
      <c r="AG80" s="412"/>
      <c r="AH80" s="412"/>
    </row>
    <row r="81" spans="2:34">
      <c r="B81" s="3">
        <v>10242</v>
      </c>
      <c r="C81" s="4" t="s">
        <v>84</v>
      </c>
      <c r="D81" s="407">
        <f>IF(Init!$R$9="Yes",'Staging Table'!E83,'Staging Table'!BG83)*Rates_previous!$E$75*100*12</f>
        <v>3343662.7963199997</v>
      </c>
      <c r="E81" s="407">
        <f>IF(Init!$R$9="Yes",'Staging Table'!F83,'Staging Table'!BH83)*Rates_previous!$E$76*100*12</f>
        <v>-497070.62592000008</v>
      </c>
      <c r="F81" s="408">
        <f>IF(Init!$R$9="Yes",SUMPRODUCT('Staging Table'!L83:AI83,LS_Demand_Rates_Restatement!$C$4:$Z$4)-IF(Init!$R$15="No",('Staging Table'!AV83*Rates_previous!$H$35), 0),SUMPRODUCT('Staging Table'!BN83:CK83,LS_Demand_Rates_Restatement!$C$4:$Z$4)-IF(Init!$R$15="No", 'Staging Table'!CX83*Rates_previous!$H$35, 0))</f>
        <v>-39511.489638761384</v>
      </c>
      <c r="G81" s="408">
        <f>IF(Init!$R$9="Yes",SUMPRODUCT('Staging Table'!AJ83:AU83,LS_Demand_Rates_Restatement!$C$10:$N$10),SUMPRODUCT(LS_Demand_Rates_Restatement!$C$10:$N$10,'Staging Table'!CL83:CW83))*1000</f>
        <v>197367.12902540958</v>
      </c>
      <c r="H81" s="409">
        <f>IF(Init!$R$9="Yes",'Staging Table'!BF83,'Staging Table'!DH83)*Rates_previous!$H$33</f>
        <v>0</v>
      </c>
      <c r="I81" s="409">
        <f>IF(Init!$R$9="Yes",IF('Staging Table'!D83=1,'Staging Table'!H83*-1,'Staging Table'!H83*SUM(D81:H81)*(-1)),IF('Staging Table'!D83=1,'Staging Table'!BJ83*-1,'Staging Table'!BJ83*SUM(D81:H81)*(-1)))</f>
        <v>-210972.32520321844</v>
      </c>
      <c r="J81" s="407">
        <f>IF(Init!$R$9="Yes",'Staging Table'!K83,'Staging Table'!BM83)*(-1)*Rates_previous!$H$32</f>
        <v>-442068.18238000001</v>
      </c>
      <c r="K81" s="407">
        <f>IF(Init!$R$12="No",0,'Staging Table'!$AW83*-1)</f>
        <v>0</v>
      </c>
      <c r="L81" s="407">
        <f>IF('Staging Table'!C83=1,"",SUM(D81:K81))</f>
        <v>2351407.3022034294</v>
      </c>
      <c r="M81" s="407">
        <f>IF('Staging Table'!C83=1,"",IF(Init!$R$9="Yes",(RT1SC!$C$3*'Staging Table'!E83*'Staging Table'!$F$2)+SUM('Staging Table'!L83:AI83)-IF(Init!$R$15="No",'Staging Table'!AV83, 0),X81))</f>
        <v>82859.471999999994</v>
      </c>
      <c r="N81" s="169">
        <f>IF('Staging Table'!C83=1,"",IF(M81=0, 0, L81/M81))</f>
        <v>28.378255924723121</v>
      </c>
      <c r="O81" s="407">
        <f>'Staging Table'!BG83*Rates_current!$E$75*100*12</f>
        <v>3388231.9785599997</v>
      </c>
      <c r="P81" s="407">
        <f>'Staging Table'!BH83*Rates_current!$E$76*100*12</f>
        <v>-476584.02791999996</v>
      </c>
      <c r="Q81" s="408">
        <f>SUMPRODUCT('Staging Table'!BN83:CK83, LS_Demand_Rates_Restatement!$C$5:$Z$5)-IF(Init!$R$15="No",('Staging Table'!CX83*Rates_current!$H$35), 0)</f>
        <v>-61905.220984265427</v>
      </c>
      <c r="R81" s="408">
        <f>SUMPRODUCT('Staging Table'!CL83:CW83, LS_Demand_Rates_Restatement!$C$11:$N$11)*1000</f>
        <v>184799.09028383193</v>
      </c>
      <c r="S81" s="409">
        <f>'Staging Table'!DH83*Rates_current!$H$33</f>
        <v>15301.529999999941</v>
      </c>
      <c r="T81" s="409">
        <f>IF('Staging Table'!D83=1, 'Staging Table'!BJ83*-1,SUM(O81:S81)*'Staging Table'!BJ83*-1)</f>
        <v>-213489.03449576968</v>
      </c>
      <c r="U81" s="407">
        <f>'Staging Table'!BM83*Rates_current!$H$32*-1</f>
        <v>-441692.59343999997</v>
      </c>
      <c r="V81" s="407">
        <f>IF(Init!$R$12="No",0,'Staging Table'!$CY83*-1)</f>
        <v>0</v>
      </c>
      <c r="W81" s="407">
        <f>IF('Staging Table'!C83=1,"",SUM(O81:V81))</f>
        <v>2394661.7220037971</v>
      </c>
      <c r="X81" s="407">
        <f>IF('Staging Table'!C83=1,"",(RT1SC!$C$4*'Staging Table'!BG83*'Staging Table'!$BH$2)+SUM('Staging Table'!BN83:CK83)-IF(Init!$R$15="No",'Staging Table'!CX83, 0))</f>
        <v>82107.48</v>
      </c>
      <c r="Y81" s="169">
        <f>IF('Staging Table'!C83=1,"",IF(X81=0, 0, W81/X81))</f>
        <v>29.164964288318156</v>
      </c>
      <c r="Z81" s="160">
        <f>IF('Staging Table'!C83=1,"",Y81/N81-1)</f>
        <v>2.7722223863294371E-2</v>
      </c>
      <c r="AA81" s="97">
        <f t="shared" si="2"/>
        <v>108</v>
      </c>
      <c r="AD81" s="412"/>
      <c r="AE81" s="412"/>
      <c r="AF81" s="432"/>
      <c r="AG81" s="412"/>
      <c r="AH81" s="412"/>
    </row>
    <row r="82" spans="2:34">
      <c r="B82" s="3">
        <v>10244</v>
      </c>
      <c r="C82" s="4" t="s">
        <v>85</v>
      </c>
      <c r="D82" s="407">
        <f>IF(Init!$R$9="Yes",'Staging Table'!E84,'Staging Table'!BG84)*Rates_previous!$E$75*100*12</f>
        <v>30200394.072240002</v>
      </c>
      <c r="E82" s="407">
        <f>IF(Init!$R$9="Yes",'Staging Table'!F84,'Staging Table'!BH84)*Rates_previous!$E$76*100*12</f>
        <v>-4489606.0694399998</v>
      </c>
      <c r="F82" s="408">
        <f>IF(Init!$R$9="Yes",SUMPRODUCT('Staging Table'!L84:AI84,LS_Demand_Rates_Restatement!$C$4:$Z$4)-IF(Init!$R$15="No",('Staging Table'!AV84*Rates_previous!$H$35), 0),SUMPRODUCT('Staging Table'!BN84:CK84,LS_Demand_Rates_Restatement!$C$4:$Z$4)-IF(Init!$R$15="No", 'Staging Table'!CX84*Rates_previous!$H$35, 0))</f>
        <v>275338.02823846933</v>
      </c>
      <c r="G82" s="408">
        <f>IF(Init!$R$9="Yes",SUMPRODUCT('Staging Table'!AJ84:AU84,LS_Demand_Rates_Restatement!$C$10:$N$10),SUMPRODUCT(LS_Demand_Rates_Restatement!$C$10:$N$10,'Staging Table'!CL84:CW84))*1000</f>
        <v>1745449.8420375534</v>
      </c>
      <c r="H82" s="409">
        <f>IF(Init!$R$9="Yes",'Staging Table'!BF84,'Staging Table'!DH84)*Rates_previous!$H$33</f>
        <v>0</v>
      </c>
      <c r="I82" s="409">
        <f>IF(Init!$R$9="Yes",IF('Staging Table'!D84=1,'Staging Table'!H84*-1,'Staging Table'!H84*SUM(D82:H82)*(-1)),IF('Staging Table'!D84=1,'Staging Table'!BJ84*-1,'Staging Table'!BJ84*SUM(D82:H82)*(-1)))</f>
        <v>-1743761.4908990206</v>
      </c>
      <c r="J82" s="407">
        <f>IF(Init!$R$9="Yes",'Staging Table'!K84,'Staging Table'!BM84)*(-1)*Rates_previous!$H$32</f>
        <v>0</v>
      </c>
      <c r="K82" s="407">
        <f>IF(Init!$R$12="No",0,'Staging Table'!$AW84*-1)</f>
        <v>0</v>
      </c>
      <c r="L82" s="407">
        <f>IF('Staging Table'!C84=1,"",SUM(D82:K82))</f>
        <v>25987814.382177006</v>
      </c>
      <c r="M82" s="407">
        <f>IF('Staging Table'!C84=1,"",IF(Init!$R$9="Yes",(RT1SC!$C$3*'Staging Table'!E84*'Staging Table'!$F$2)+SUM('Staging Table'!L84:AI84)-IF(Init!$R$15="No",'Staging Table'!AV84, 0),X82))</f>
        <v>748379.23199999996</v>
      </c>
      <c r="N82" s="169">
        <f>IF('Staging Table'!C84=1,"",IF(M82=0, 0, L82/M82))</f>
        <v>34.725461732450917</v>
      </c>
      <c r="O82" s="407">
        <f>'Staging Table'!BG84*Rates_current!$E$75*100*12</f>
        <v>31056627.56256</v>
      </c>
      <c r="P82" s="407">
        <f>'Staging Table'!BH84*Rates_current!$E$76*100*12</f>
        <v>-4368382.31592</v>
      </c>
      <c r="Q82" s="408">
        <f>SUMPRODUCT('Staging Table'!BN84:CK84, LS_Demand_Rates_Restatement!$C$5:$Z$5)-IF(Init!$R$15="No",('Staging Table'!CX84*Rates_current!$H$35), 0)</f>
        <v>670490.09692243673</v>
      </c>
      <c r="R82" s="408">
        <f>SUMPRODUCT('Staging Table'!CL84:CW84, LS_Demand_Rates_Restatement!$C$11:$N$11)*1000</f>
        <v>1666096.002384705</v>
      </c>
      <c r="S82" s="409">
        <f>'Staging Table'!DH84*Rates_current!$H$33</f>
        <v>0</v>
      </c>
      <c r="T82" s="409">
        <f>IF('Staging Table'!D84=1, 'Staging Table'!BJ84*-1,SUM(O82:S82)*'Staging Table'!BJ84*-1)</f>
        <v>-1716125.6814233635</v>
      </c>
      <c r="U82" s="407">
        <f>'Staging Table'!BM84*Rates_current!$H$32*-1</f>
        <v>0</v>
      </c>
      <c r="V82" s="407">
        <f>IF(Init!$R$12="No",0,'Staging Table'!$CY84*-1)</f>
        <v>0</v>
      </c>
      <c r="W82" s="407">
        <f>IF('Staging Table'!C84=1,"",SUM(O82:V82))</f>
        <v>27308705.66452378</v>
      </c>
      <c r="X82" s="407">
        <f>IF('Staging Table'!C84=1,"",(RT1SC!$C$4*'Staging Table'!BG84*'Staging Table'!$BH$2)+SUM('Staging Table'!BN84:CK84)-IF(Init!$R$15="No",'Staging Table'!CX84, 0))</f>
        <v>741590.541819231</v>
      </c>
      <c r="Y82" s="169">
        <f>IF('Staging Table'!C84=1,"",IF(X82=0, 0, W82/X82))</f>
        <v>36.824506414997551</v>
      </c>
      <c r="Z82" s="160">
        <f>IF('Staging Table'!C84=1,"",Y82/N82-1)</f>
        <v>6.0446847293756045E-2</v>
      </c>
      <c r="AA82" s="97">
        <f t="shared" si="2"/>
        <v>10</v>
      </c>
      <c r="AD82" s="412"/>
      <c r="AE82" s="412"/>
      <c r="AF82" s="432"/>
      <c r="AG82" s="412"/>
      <c r="AH82" s="412"/>
    </row>
    <row r="83" spans="2:34">
      <c r="B83" s="3">
        <v>10246</v>
      </c>
      <c r="C83" s="4" t="s">
        <v>86</v>
      </c>
      <c r="D83" s="407">
        <f>IF(Init!$R$9="Yes",'Staging Table'!E85,'Staging Table'!BG85)*Rates_previous!$E$75*100*12</f>
        <v>3154548.31776</v>
      </c>
      <c r="E83" s="407">
        <f>IF(Init!$R$9="Yes",'Staging Table'!F85,'Staging Table'!BH85)*Rates_previous!$E$76*100*12</f>
        <v>-468956.77056000003</v>
      </c>
      <c r="F83" s="408">
        <f>IF(Init!$R$9="Yes",SUMPRODUCT('Staging Table'!L85:AI85,LS_Demand_Rates_Restatement!$C$4:$Z$4)-IF(Init!$R$15="No",('Staging Table'!AV85*Rates_previous!$H$35), 0),SUMPRODUCT('Staging Table'!BN85:CK85,LS_Demand_Rates_Restatement!$C$4:$Z$4)-IF(Init!$R$15="No", 'Staging Table'!CX85*Rates_previous!$H$35, 0))</f>
        <v>-30666.60477485826</v>
      </c>
      <c r="G83" s="408">
        <f>IF(Init!$R$9="Yes",SUMPRODUCT('Staging Table'!AJ85:AU85,LS_Demand_Rates_Restatement!$C$10:$N$10),SUMPRODUCT(LS_Demand_Rates_Restatement!$C$10:$N$10,'Staging Table'!CL85:CW85))*1000</f>
        <v>138398.44985053421</v>
      </c>
      <c r="H83" s="409">
        <f>IF(Init!$R$9="Yes",'Staging Table'!BF85,'Staging Table'!DH85)*Rates_previous!$H$33</f>
        <v>-18482.488821600491</v>
      </c>
      <c r="I83" s="409">
        <f>IF(Init!$R$9="Yes",IF('Staging Table'!D85=1,'Staging Table'!H85*-1,'Staging Table'!H85*SUM(D83:H83)*(-1)),IF('Staging Table'!D85=1,'Staging Table'!BJ85*-1,'Staging Table'!BJ85*SUM(D83:H83)*(-1)))</f>
        <v>-186885.53484763193</v>
      </c>
      <c r="J83" s="407">
        <f>IF(Init!$R$9="Yes",'Staging Table'!K85,'Staging Table'!BM85)*(-1)*Rates_previous!$H$32</f>
        <v>0</v>
      </c>
      <c r="K83" s="407">
        <f>IF(Init!$R$12="No",0,'Staging Table'!$AW85*-1)</f>
        <v>0</v>
      </c>
      <c r="L83" s="407">
        <f>IF('Staging Table'!C85=1,"",SUM(D83:K83))</f>
        <v>2587955.3686064431</v>
      </c>
      <c r="M83" s="407">
        <f>IF('Staging Table'!C85=1,"",IF(Init!$R$9="Yes",(RT1SC!$C$3*'Staging Table'!E85*'Staging Table'!$F$2)+SUM('Staging Table'!L85:AI85)-IF(Init!$R$15="No",'Staging Table'!AV85, 0),X83))</f>
        <v>76080.399183999936</v>
      </c>
      <c r="N83" s="169">
        <f>IF('Staging Table'!C85=1,"",IF(M83=0, 0, L83/M83))</f>
        <v>34.016059278914803</v>
      </c>
      <c r="O83" s="407">
        <f>'Staging Table'!BG85*Rates_current!$E$75*100*12</f>
        <v>3244030.2115200004</v>
      </c>
      <c r="P83" s="407">
        <f>'Staging Table'!BH85*Rates_current!$E$76*100*12</f>
        <v>-456300.80663999997</v>
      </c>
      <c r="Q83" s="408">
        <f>SUMPRODUCT('Staging Table'!BN85:CK85, LS_Demand_Rates_Restatement!$C$5:$Z$5)-IF(Init!$R$15="No",('Staging Table'!CX85*Rates_current!$H$35), 0)</f>
        <v>22603.450608949446</v>
      </c>
      <c r="R83" s="408">
        <f>SUMPRODUCT('Staging Table'!CL85:CW85, LS_Demand_Rates_Restatement!$C$11:$N$11)*1000</f>
        <v>136853.4733604879</v>
      </c>
      <c r="S83" s="409">
        <f>'Staging Table'!DH85*Rates_current!$H$33</f>
        <v>-17649.568340889335</v>
      </c>
      <c r="T83" s="409">
        <f>IF('Staging Table'!D85=1, 'Staging Table'!BJ85*-1,SUM(O83:S83)*'Staging Table'!BJ85*-1)</f>
        <v>-190721.35708566936</v>
      </c>
      <c r="U83" s="407">
        <f>'Staging Table'!BM85*Rates_current!$H$32*-1</f>
        <v>0</v>
      </c>
      <c r="V83" s="407">
        <f>IF(Init!$R$12="No",0,'Staging Table'!$CY85*-1)</f>
        <v>0</v>
      </c>
      <c r="W83" s="407">
        <f>IF('Staging Table'!C85=1,"",SUM(O83:V83))</f>
        <v>2738815.4034228791</v>
      </c>
      <c r="X83" s="407">
        <f>IF('Staging Table'!C85=1,"",(RT1SC!$C$4*'Staging Table'!BG85*'Staging Table'!$BH$2)+SUM('Staging Table'!BN85:CK85)-IF(Init!$R$15="No",'Staging Table'!CX85, 0))</f>
        <v>76080.40013012632</v>
      </c>
      <c r="Y83" s="169">
        <f>IF('Staging Table'!C85=1,"",IF(X83=0, 0, W83/X83))</f>
        <v>35.998961608225862</v>
      </c>
      <c r="Z83" s="160">
        <f>IF('Staging Table'!C85=1,"",Y83/N83-1)</f>
        <v>5.8293123052621798E-2</v>
      </c>
      <c r="AA83" s="97">
        <f t="shared" si="2"/>
        <v>17</v>
      </c>
      <c r="AD83" s="412"/>
      <c r="AE83" s="412"/>
      <c r="AF83" s="432"/>
      <c r="AG83" s="412"/>
      <c r="AH83" s="412"/>
    </row>
    <row r="84" spans="2:34">
      <c r="B84" s="3">
        <v>10247</v>
      </c>
      <c r="C84" s="4" t="s">
        <v>87</v>
      </c>
      <c r="D84" s="407">
        <f>IF(Init!$R$9="Yes",'Staging Table'!E86,'Staging Table'!BG86)*Rates_previous!$E$75*100*12</f>
        <v>28056271.541759998</v>
      </c>
      <c r="E84" s="407">
        <f>IF(Init!$R$9="Yes",'Staging Table'!F86,'Staging Table'!BH86)*Rates_previous!$E$76*100*12</f>
        <v>-4170859.7145600002</v>
      </c>
      <c r="F84" s="408">
        <f>IF(Init!$R$9="Yes",SUMPRODUCT('Staging Table'!L86:AI86,LS_Demand_Rates_Restatement!$C$4:$Z$4)-IF(Init!$R$15="No",('Staging Table'!AV86*Rates_previous!$H$35), 0),SUMPRODUCT('Staging Table'!BN86:CK86,LS_Demand_Rates_Restatement!$C$4:$Z$4)-IF(Init!$R$15="No", 'Staging Table'!CX86*Rates_previous!$H$35, 0))</f>
        <v>231423.85532013356</v>
      </c>
      <c r="G84" s="408">
        <f>IF(Init!$R$9="Yes",SUMPRODUCT('Staging Table'!AJ86:AU86,LS_Demand_Rates_Restatement!$C$10:$N$10),SUMPRODUCT(LS_Demand_Rates_Restatement!$C$10:$N$10,'Staging Table'!CL86:CW86))*1000</f>
        <v>1243952.9214656337</v>
      </c>
      <c r="H84" s="409">
        <f>IF(Init!$R$9="Yes",'Staging Table'!BF86,'Staging Table'!DH86)*Rates_previous!$H$33</f>
        <v>0</v>
      </c>
      <c r="I84" s="409">
        <f>IF(Init!$R$9="Yes",IF('Staging Table'!D86=1,'Staging Table'!H86*-1,'Staging Table'!H86*SUM(D84:H84)*(-1)),IF('Staging Table'!D86=1,'Staging Table'!BJ86*-1,'Staging Table'!BJ86*SUM(D84:H84)*(-1)))</f>
        <v>-1279959.0008431615</v>
      </c>
      <c r="J84" s="407">
        <f>IF(Init!$R$9="Yes",'Staging Table'!K86,'Staging Table'!BM86)*(-1)*Rates_previous!$H$32</f>
        <v>0</v>
      </c>
      <c r="K84" s="407">
        <f>IF(Init!$R$12="No",0,'Staging Table'!$AW86*-1)</f>
        <v>0</v>
      </c>
      <c r="L84" s="407">
        <f>IF('Staging Table'!C86=1,"",SUM(D84:K84))</f>
        <v>24080829.603142604</v>
      </c>
      <c r="M84" s="407">
        <f>IF('Staging Table'!C86=1,"",IF(Init!$R$9="Yes",(RT1SC!$C$3*'Staging Table'!E86*'Staging Table'!$F$2)+SUM('Staging Table'!L86:AI86)-IF(Init!$R$15="No",'Staging Table'!AV86, 0),X84))</f>
        <v>695244.81599999999</v>
      </c>
      <c r="N84" s="169">
        <f>IF('Staging Table'!C86=1,"",IF(M84=0, 0, L84/M84))</f>
        <v>34.636474877566876</v>
      </c>
      <c r="O84" s="407">
        <f>'Staging Table'!BG86*Rates_current!$E$75*100*12</f>
        <v>28851563.43936</v>
      </c>
      <c r="P84" s="407">
        <f>'Staging Table'!BH86*Rates_current!$E$76*100*12</f>
        <v>-4058221.0435199998</v>
      </c>
      <c r="Q84" s="408">
        <f>SUMPRODUCT('Staging Table'!BN86:CK86, LS_Demand_Rates_Restatement!$C$5:$Z$5)-IF(Init!$R$15="No",('Staging Table'!CX86*Rates_current!$H$35), 0)</f>
        <v>493895.2588360688</v>
      </c>
      <c r="R84" s="408">
        <f>SUMPRODUCT('Staging Table'!CL86:CW86, LS_Demand_Rates_Restatement!$C$11:$N$11)*1000</f>
        <v>1181340.7296301727</v>
      </c>
      <c r="S84" s="409">
        <f>'Staging Table'!DH86*Rates_current!$H$33</f>
        <v>0</v>
      </c>
      <c r="T84" s="409">
        <f>IF('Staging Table'!D86=1, 'Staging Table'!BJ86*-1,SUM(O84:S84)*'Staging Table'!BJ86*-1)</f>
        <v>-1356663.5670734388</v>
      </c>
      <c r="U84" s="407">
        <f>'Staging Table'!BM86*Rates_current!$H$32*-1</f>
        <v>0</v>
      </c>
      <c r="V84" s="407">
        <f>IF(Init!$R$12="No",0,'Staging Table'!$CY86*-1)</f>
        <v>0</v>
      </c>
      <c r="W84" s="407">
        <f>IF('Staging Table'!C86=1,"",SUM(O84:V84))</f>
        <v>25111914.817232803</v>
      </c>
      <c r="X84" s="407">
        <f>IF('Staging Table'!C86=1,"",(RT1SC!$C$4*'Staging Table'!BG86*'Staging Table'!$BH$2)+SUM('Staging Table'!BN86:CK86)-IF(Init!$R$15="No",'Staging Table'!CX86, 0))</f>
        <v>688938.96</v>
      </c>
      <c r="Y84" s="169">
        <f>IF('Staging Table'!C86=1,"",IF(X84=0, 0, W84/X84))</f>
        <v>36.450130236839563</v>
      </c>
      <c r="Z84" s="160">
        <f>IF('Staging Table'!C86=1,"",Y84/N84-1)</f>
        <v>5.236258498255375E-2</v>
      </c>
      <c r="AA84" s="97">
        <f t="shared" si="2"/>
        <v>34</v>
      </c>
      <c r="AD84" s="412"/>
      <c r="AE84" s="412"/>
      <c r="AF84" s="432"/>
      <c r="AG84" s="412"/>
      <c r="AH84" s="412"/>
    </row>
    <row r="85" spans="2:34">
      <c r="B85" s="3">
        <v>10256</v>
      </c>
      <c r="C85" s="4" t="s">
        <v>88</v>
      </c>
      <c r="D85" s="407">
        <f>IF(Init!$R$9="Yes",'Staging Table'!E87,'Staging Table'!BG87)*Rates_previous!$E$75*100*12</f>
        <v>16104434.522399999</v>
      </c>
      <c r="E85" s="407">
        <f>IF(Init!$R$9="Yes",'Staging Table'!F87,'Staging Table'!BH87)*Rates_previous!$E$76*100*12</f>
        <v>-2394093.4944000002</v>
      </c>
      <c r="F85" s="408">
        <f>IF(Init!$R$9="Yes",SUMPRODUCT('Staging Table'!L87:AI87,LS_Demand_Rates_Restatement!$C$4:$Z$4)-IF(Init!$R$15="No",('Staging Table'!AV87*Rates_previous!$H$35), 0),SUMPRODUCT('Staging Table'!BN87:CK87,LS_Demand_Rates_Restatement!$C$4:$Z$4)-IF(Init!$R$15="No", 'Staging Table'!CX87*Rates_previous!$H$35, 0))</f>
        <v>-159910.64202237868</v>
      </c>
      <c r="G85" s="408">
        <f>IF(Init!$R$9="Yes",SUMPRODUCT('Staging Table'!AJ87:AU87,LS_Demand_Rates_Restatement!$C$10:$N$10),SUMPRODUCT(LS_Demand_Rates_Restatement!$C$10:$N$10,'Staging Table'!CL87:CW87))*1000</f>
        <v>1037542.9013998219</v>
      </c>
      <c r="H85" s="409">
        <f>IF(Init!$R$9="Yes",'Staging Table'!BF87,'Staging Table'!DH87)*Rates_previous!$H$33</f>
        <v>-65629.069436781123</v>
      </c>
      <c r="I85" s="409">
        <f>IF(Init!$R$9="Yes",IF('Staging Table'!D87=1,'Staging Table'!H87*-1,'Staging Table'!H87*SUM(D85:H85)*(-1)),IF('Staging Table'!D87=1,'Staging Table'!BJ87*-1,'Staging Table'!BJ87*SUM(D85:H85)*(-1)))</f>
        <v>-943952.37416614289</v>
      </c>
      <c r="J85" s="407">
        <f>IF(Init!$R$9="Yes",'Staging Table'!K87,'Staging Table'!BM87)*(-1)*Rates_previous!$H$32</f>
        <v>-488329.22578000004</v>
      </c>
      <c r="K85" s="407">
        <f>IF(Init!$R$12="No",0,'Staging Table'!$AW87*-1)</f>
        <v>0</v>
      </c>
      <c r="L85" s="407">
        <f>IF('Staging Table'!C87=1,"",SUM(D85:K85))</f>
        <v>13090062.617994517</v>
      </c>
      <c r="M85" s="407">
        <f>IF('Staging Table'!C87=1,"",IF(Init!$R$9="Yes",(RT1SC!$C$3*'Staging Table'!E87*'Staging Table'!$F$2)+SUM('Staging Table'!L87:AI87)-IF(Init!$R$15="No",'Staging Table'!AV87, 0),X85))</f>
        <v>391658.97393934679</v>
      </c>
      <c r="N85" s="169">
        <f>IF('Staging Table'!C87=1,"",IF(M85=0, 0, L85/M85))</f>
        <v>33.42209291500027</v>
      </c>
      <c r="O85" s="407">
        <f>'Staging Table'!BG87*Rates_current!$E$75*100*12</f>
        <v>16402059.293759998</v>
      </c>
      <c r="P85" s="407">
        <f>'Staging Table'!BH87*Rates_current!$E$76*100*12</f>
        <v>-2307090.9943200001</v>
      </c>
      <c r="Q85" s="408">
        <f>SUMPRODUCT('Staging Table'!BN87:CK87, LS_Demand_Rates_Restatement!$C$5:$Z$5)-IF(Init!$R$15="No",('Staging Table'!CX87*Rates_current!$H$35), 0)</f>
        <v>104531.23260010881</v>
      </c>
      <c r="R85" s="408">
        <f>SUMPRODUCT('Staging Table'!CL87:CW87, LS_Demand_Rates_Restatement!$C$11:$N$11)*1000</f>
        <v>1003110.7547582709</v>
      </c>
      <c r="S85" s="409">
        <f>'Staging Table'!DH87*Rates_current!$H$33</f>
        <v>-7.9213964600348845</v>
      </c>
      <c r="T85" s="409">
        <f>IF('Staging Table'!D87=1, 'Staging Table'!BJ87*-1,SUM(O85:S85)*'Staging Table'!BJ87*-1)</f>
        <v>-988169.15375112474</v>
      </c>
      <c r="U85" s="407">
        <f>'Staging Table'!BM87*Rates_current!$H$32*-1</f>
        <v>-487914.33264000004</v>
      </c>
      <c r="V85" s="407">
        <f>IF(Init!$R$12="No",0,'Staging Table'!$CY87*-1)</f>
        <v>0</v>
      </c>
      <c r="W85" s="407">
        <f>IF('Staging Table'!C87=1,"",SUM(O85:V85))</f>
        <v>13726518.879010793</v>
      </c>
      <c r="X85" s="407">
        <f>IF('Staging Table'!C87=1,"",(RT1SC!$C$4*'Staging Table'!BG87*'Staging Table'!$BH$2)+SUM('Staging Table'!BN87:CK87)-IF(Init!$R$15="No",'Staging Table'!CX87, 0))</f>
        <v>391658.97871400317</v>
      </c>
      <c r="Y85" s="169">
        <f>IF('Staging Table'!C87=1,"",IF(X85=0, 0, W85/X85))</f>
        <v>35.047119113881358</v>
      </c>
      <c r="Z85" s="160">
        <f>IF('Staging Table'!C87=1,"",Y85/N85-1)</f>
        <v>4.8621317731773583E-2</v>
      </c>
      <c r="AA85" s="97">
        <f t="shared" si="2"/>
        <v>61</v>
      </c>
      <c r="AD85" s="412"/>
      <c r="AE85" s="412"/>
      <c r="AF85" s="432"/>
      <c r="AG85" s="412"/>
      <c r="AH85" s="412"/>
    </row>
    <row r="86" spans="2:34">
      <c r="B86" s="3">
        <v>10258</v>
      </c>
      <c r="C86" s="4" t="s">
        <v>89</v>
      </c>
      <c r="D86" s="407">
        <f>IF(Init!$R$9="Yes",'Staging Table'!E88,'Staging Table'!BG88)*Rates_previous!$E$75*100*12</f>
        <v>13092959.723760001</v>
      </c>
      <c r="E86" s="407">
        <f>IF(Init!$R$9="Yes",'Staging Table'!F88,'Staging Table'!BH88)*Rates_previous!$E$76*100*12</f>
        <v>-1946406.1065599998</v>
      </c>
      <c r="F86" s="408">
        <f>IF(Init!$R$9="Yes",SUMPRODUCT('Staging Table'!L88:AI88,LS_Demand_Rates_Restatement!$C$4:$Z$4)-IF(Init!$R$15="No",('Staging Table'!AV88*Rates_previous!$H$35), 0),SUMPRODUCT('Staging Table'!BN88:CK88,LS_Demand_Rates_Restatement!$C$4:$Z$4)-IF(Init!$R$15="No", 'Staging Table'!CX88*Rates_previous!$H$35, 0))</f>
        <v>279162.14215893898</v>
      </c>
      <c r="G86" s="408">
        <f>IF(Init!$R$9="Yes",SUMPRODUCT('Staging Table'!AJ88:AU88,LS_Demand_Rates_Restatement!$C$10:$N$10),SUMPRODUCT(LS_Demand_Rates_Restatement!$C$10:$N$10,'Staging Table'!CL88:CW88))*1000</f>
        <v>922483.19454636739</v>
      </c>
      <c r="H86" s="409">
        <f>IF(Init!$R$9="Yes",'Staging Table'!BF88,'Staging Table'!DH88)*Rates_previous!$H$33</f>
        <v>50219.006399999802</v>
      </c>
      <c r="I86" s="409">
        <f>IF(Init!$R$9="Yes",IF('Staging Table'!D88=1,'Staging Table'!H88*-1,'Staging Table'!H88*SUM(D86:H86)*(-1)),IF('Staging Table'!D88=1,'Staging Table'!BJ88*-1,'Staging Table'!BJ88*SUM(D86:H86)*(-1)))</f>
        <v>-805897.16741984512</v>
      </c>
      <c r="J86" s="407">
        <f>IF(Init!$R$9="Yes",'Staging Table'!K88,'Staging Table'!BM88)*(-1)*Rates_previous!$H$32</f>
        <v>-216415.24893999999</v>
      </c>
      <c r="K86" s="407">
        <f>IF(Init!$R$12="No",0,'Staging Table'!$AW88*-1)</f>
        <v>0</v>
      </c>
      <c r="L86" s="407">
        <f>IF('Staging Table'!C88=1,"",SUM(D86:K86))</f>
        <v>11376105.543945463</v>
      </c>
      <c r="M86" s="407">
        <f>IF('Staging Table'!C88=1,"",IF(Init!$R$9="Yes",(RT1SC!$C$3*'Staging Table'!E88*'Staging Table'!$F$2)+SUM('Staging Table'!L88:AI88)-IF(Init!$R$15="No",'Staging Table'!AV88, 0),X86))</f>
        <v>330120.288</v>
      </c>
      <c r="N86" s="169">
        <f>IF('Staging Table'!C88=1,"",IF(M86=0, 0, L86/M86))</f>
        <v>34.460485942461865</v>
      </c>
      <c r="O86" s="407">
        <f>'Staging Table'!BG88*Rates_current!$E$75*100*12</f>
        <v>13699422.642240001</v>
      </c>
      <c r="P86" s="407">
        <f>'Staging Table'!BH88*Rates_current!$E$76*100*12</f>
        <v>-1926941.8576799999</v>
      </c>
      <c r="Q86" s="408">
        <f>SUMPRODUCT('Staging Table'!BN88:CK88, LS_Demand_Rates_Restatement!$C$5:$Z$5)-IF(Init!$R$15="No",('Staging Table'!CX88*Rates_current!$H$35), 0)</f>
        <v>261299.33082045012</v>
      </c>
      <c r="R86" s="408">
        <f>SUMPRODUCT('Staging Table'!CL88:CW88, LS_Demand_Rates_Restatement!$C$11:$N$11)*1000</f>
        <v>879532.90829740907</v>
      </c>
      <c r="S86" s="409">
        <f>'Staging Table'!DH88*Rates_current!$H$33</f>
        <v>0</v>
      </c>
      <c r="T86" s="409">
        <f>IF('Staging Table'!D88=1, 'Staging Table'!BJ88*-1,SUM(O86:S86)*'Staging Table'!BJ88*-1)</f>
        <v>-878318.3001194424</v>
      </c>
      <c r="U86" s="407">
        <f>'Staging Table'!BM88*Rates_current!$H$32*-1</f>
        <v>-216231.37872000001</v>
      </c>
      <c r="V86" s="407">
        <f>IF(Init!$R$12="No",0,'Staging Table'!$CY88*-1)</f>
        <v>0</v>
      </c>
      <c r="W86" s="407">
        <f>IF('Staging Table'!C88=1,"",SUM(O86:V86))</f>
        <v>11818763.344838416</v>
      </c>
      <c r="X86" s="407">
        <f>IF('Staging Table'!C88=1,"",(RT1SC!$C$4*'Staging Table'!BG88*'Staging Table'!$BH$2)+SUM('Staging Table'!BN88:CK88)-IF(Init!$R$15="No",'Staging Table'!CX88, 0))</f>
        <v>325678.35177248268</v>
      </c>
      <c r="Y86" s="169">
        <f>IF('Staging Table'!C88=1,"",IF(X86=0, 0, W86/X86))</f>
        <v>36.289680540679434</v>
      </c>
      <c r="Z86" s="160">
        <f>IF('Staging Table'!C88=1,"",Y86/N86-1)</f>
        <v>5.3080928727231136E-2</v>
      </c>
      <c r="AA86" s="97">
        <f t="shared" si="2"/>
        <v>31</v>
      </c>
      <c r="AD86" s="412"/>
      <c r="AE86" s="412"/>
      <c r="AF86" s="432"/>
      <c r="AG86" s="412"/>
      <c r="AH86" s="412"/>
    </row>
    <row r="87" spans="2:34">
      <c r="B87" s="3">
        <v>10259</v>
      </c>
      <c r="C87" s="4" t="s">
        <v>90</v>
      </c>
      <c r="D87" s="407">
        <f>IF(Init!$R$9="Yes",'Staging Table'!E89,'Staging Table'!BG89)*Rates_previous!$E$75*100*12</f>
        <v>9427505.27544</v>
      </c>
      <c r="E87" s="407">
        <f>IF(Init!$R$9="Yes",'Staging Table'!F89,'Staging Table'!BH89)*Rates_previous!$E$76*100*12</f>
        <v>-1401497.7686400001</v>
      </c>
      <c r="F87" s="408">
        <f>IF(Init!$R$9="Yes",SUMPRODUCT('Staging Table'!L89:AI89,LS_Demand_Rates_Restatement!$C$4:$Z$4)-IF(Init!$R$15="No",('Staging Table'!AV89*Rates_previous!$H$35), 0),SUMPRODUCT('Staging Table'!BN89:CK89,LS_Demand_Rates_Restatement!$C$4:$Z$4)-IF(Init!$R$15="No", 'Staging Table'!CX89*Rates_previous!$H$35, 0))</f>
        <v>66615.064244112233</v>
      </c>
      <c r="G87" s="408">
        <f>IF(Init!$R$9="Yes",SUMPRODUCT('Staging Table'!AJ89:AU89,LS_Demand_Rates_Restatement!$C$10:$N$10),SUMPRODUCT(LS_Demand_Rates_Restatement!$C$10:$N$10,'Staging Table'!CL89:CW89))*1000</f>
        <v>674551.55147799128</v>
      </c>
      <c r="H87" s="409">
        <f>IF(Init!$R$9="Yes",'Staging Table'!BF89,'Staging Table'!DH89)*Rates_previous!$H$33</f>
        <v>6094.3361165425895</v>
      </c>
      <c r="I87" s="409">
        <f>IF(Init!$R$9="Yes",IF('Staging Table'!D89=1,'Staging Table'!H89*-1,'Staging Table'!H89*SUM(D87:H87)*(-1)),IF('Staging Table'!D89=1,'Staging Table'!BJ89*-1,'Staging Table'!BJ89*SUM(D87:H87)*(-1)))</f>
        <v>-570262.44981151202</v>
      </c>
      <c r="J87" s="407">
        <f>IF(Init!$R$9="Yes",'Staging Table'!K89,'Staging Table'!BM89)*(-1)*Rates_previous!$H$32</f>
        <v>0</v>
      </c>
      <c r="K87" s="407">
        <f>IF(Init!$R$12="No",0,'Staging Table'!$AW89*-1)</f>
        <v>0</v>
      </c>
      <c r="L87" s="407">
        <f>IF('Staging Table'!C89=1,"",SUM(D87:K87))</f>
        <v>8203006.008827134</v>
      </c>
      <c r="M87" s="407">
        <f>IF('Staging Table'!C89=1,"",IF(Init!$R$9="Yes",(RT1SC!$C$3*'Staging Table'!E89*'Staging Table'!$F$2)+SUM('Staging Table'!L89:AI89)-IF(Init!$R$15="No",'Staging Table'!AV89, 0),X87))</f>
        <v>234307.88954989181</v>
      </c>
      <c r="N87" s="169">
        <f>IF('Staging Table'!C89=1,"",IF(M87=0, 0, L87/M87))</f>
        <v>35.009516856582181</v>
      </c>
      <c r="O87" s="407">
        <f>'Staging Table'!BG89*Rates_current!$E$75*100*12</f>
        <v>9740752.9315200001</v>
      </c>
      <c r="P87" s="407">
        <f>'Staging Table'!BH89*Rates_current!$E$76*100*12</f>
        <v>-1370120.8466399999</v>
      </c>
      <c r="Q87" s="408">
        <f>SUMPRODUCT('Staging Table'!BN89:CK89, LS_Demand_Rates_Restatement!$C$5:$Z$5)-IF(Init!$R$15="No",('Staging Table'!CX89*Rates_current!$H$35), 0)</f>
        <v>105958.36173018135</v>
      </c>
      <c r="R87" s="408">
        <f>SUMPRODUCT('Staging Table'!CL89:CW89, LS_Demand_Rates_Restatement!$C$11:$N$11)*1000</f>
        <v>643914.65480721148</v>
      </c>
      <c r="S87" s="409">
        <f>'Staging Table'!DH89*Rates_current!$H$33</f>
        <v>0</v>
      </c>
      <c r="T87" s="409">
        <f>IF('Staging Table'!D89=1, 'Staging Table'!BJ89*-1,SUM(O87:S87)*'Staging Table'!BJ89*-1)</f>
        <v>-608506.55288535426</v>
      </c>
      <c r="U87" s="407">
        <f>'Staging Table'!BM89*Rates_current!$H$32*-1</f>
        <v>0</v>
      </c>
      <c r="V87" s="407">
        <f>IF(Init!$R$12="No",0,'Staging Table'!$CY89*-1)</f>
        <v>0</v>
      </c>
      <c r="W87" s="407">
        <f>IF('Staging Table'!C89=1,"",SUM(O87:V87))</f>
        <v>8511998.5485320389</v>
      </c>
      <c r="X87" s="407">
        <f>IF('Staging Table'!C89=1,"",(RT1SC!$C$4*'Staging Table'!BG89*'Staging Table'!$BH$2)+SUM('Staging Table'!BN89:CK89)-IF(Init!$R$15="No",'Staging Table'!CX89, 0))</f>
        <v>232595.52</v>
      </c>
      <c r="Y87" s="169">
        <f>IF('Staging Table'!C89=1,"",IF(X87=0, 0, W87/X87))</f>
        <v>36.595711510402431</v>
      </c>
      <c r="Z87" s="160">
        <f>IF('Staging Table'!C89=1,"",Y87/N87-1)</f>
        <v>4.5307527673636772E-2</v>
      </c>
      <c r="AA87" s="97">
        <f t="shared" si="2"/>
        <v>90</v>
      </c>
      <c r="AD87" s="412"/>
      <c r="AE87" s="412"/>
      <c r="AF87" s="432"/>
      <c r="AG87" s="412"/>
      <c r="AH87" s="412"/>
    </row>
    <row r="88" spans="2:34">
      <c r="B88" s="3">
        <v>10260</v>
      </c>
      <c r="C88" s="4" t="s">
        <v>91</v>
      </c>
      <c r="D88" s="407">
        <f>IF(Init!$R$9="Yes",'Staging Table'!E90,'Staging Table'!BG90)*Rates_previous!$E$75*100*12</f>
        <v>9095069.7457199991</v>
      </c>
      <c r="E88" s="407">
        <f>IF(Init!$R$9="Yes",'Staging Table'!F90,'Staging Table'!BH90)*Rates_previous!$E$76*100*12</f>
        <v>-1352077.7323200002</v>
      </c>
      <c r="F88" s="408">
        <f>IF(Init!$R$9="Yes",SUMPRODUCT('Staging Table'!L90:AI90,LS_Demand_Rates_Restatement!$C$4:$Z$4)-IF(Init!$R$15="No",('Staging Table'!AV90*Rates_previous!$H$35), 0),SUMPRODUCT('Staging Table'!BN90:CK90,LS_Demand_Rates_Restatement!$C$4:$Z$4)-IF(Init!$R$15="No", 'Staging Table'!CX90*Rates_previous!$H$35, 0))</f>
        <v>150852.67964290449</v>
      </c>
      <c r="G88" s="408">
        <f>IF(Init!$R$9="Yes",SUMPRODUCT('Staging Table'!AJ90:AU90,LS_Demand_Rates_Restatement!$C$10:$N$10),SUMPRODUCT(LS_Demand_Rates_Restatement!$C$10:$N$10,'Staging Table'!CL90:CW90))*1000</f>
        <v>456615.19791183231</v>
      </c>
      <c r="H88" s="409">
        <f>IF(Init!$R$9="Yes",'Staging Table'!BF90,'Staging Table'!DH90)*Rates_previous!$H$33</f>
        <v>28763.207999999886</v>
      </c>
      <c r="I88" s="409">
        <f>IF(Init!$R$9="Yes",IF('Staging Table'!D90=1,'Staging Table'!H90*-1,'Staging Table'!H90*SUM(D88:H88)*(-1)),IF('Staging Table'!D90=1,'Staging Table'!BJ90*-1,'Staging Table'!BJ90*SUM(D88:H88)*(-1)))</f>
        <v>0</v>
      </c>
      <c r="J88" s="407">
        <f>IF(Init!$R$9="Yes",'Staging Table'!K90,'Staging Table'!BM90)*(-1)*Rates_previous!$H$32</f>
        <v>0</v>
      </c>
      <c r="K88" s="407">
        <f>IF(Init!$R$12="No",0,'Staging Table'!$AW90*-1)</f>
        <v>0</v>
      </c>
      <c r="L88" s="407">
        <f>IF('Staging Table'!C90=1,"",SUM(D88:K88))</f>
        <v>8379223.0989547353</v>
      </c>
      <c r="M88" s="407">
        <f>IF('Staging Table'!C90=1,"",IF(Init!$R$9="Yes",(RT1SC!$C$3*'Staging Table'!E90*'Staging Table'!$F$2)+SUM('Staging Table'!L90:AI90)-IF(Init!$R$15="No",'Staging Table'!AV90, 0),X88))</f>
        <v>228629.95199999999</v>
      </c>
      <c r="N88" s="169">
        <f>IF('Staging Table'!C90=1,"",IF(M88=0, 0, L88/M88))</f>
        <v>36.64971726431861</v>
      </c>
      <c r="O88" s="407">
        <f>'Staging Table'!BG90*Rates_current!$E$75*100*12</f>
        <v>9488017.6790400017</v>
      </c>
      <c r="P88" s="407">
        <f>'Staging Table'!BH90*Rates_current!$E$76*100*12</f>
        <v>-1334571.4552800001</v>
      </c>
      <c r="Q88" s="408">
        <f>SUMPRODUCT('Staging Table'!BN90:CK90, LS_Demand_Rates_Restatement!$C$5:$Z$5)-IF(Init!$R$15="No",('Staging Table'!CX90*Rates_current!$H$35), 0)</f>
        <v>118422.96508464904</v>
      </c>
      <c r="R88" s="408">
        <f>SUMPRODUCT('Staging Table'!CL90:CW90, LS_Demand_Rates_Restatement!$C$11:$N$11)*1000</f>
        <v>430414.22707783122</v>
      </c>
      <c r="S88" s="409">
        <f>'Staging Table'!DH90*Rates_current!$H$33</f>
        <v>0</v>
      </c>
      <c r="T88" s="409">
        <f>IF('Staging Table'!D90=1, 'Staging Table'!BJ90*-1,SUM(O88:S88)*'Staging Table'!BJ90*-1)</f>
        <v>0</v>
      </c>
      <c r="U88" s="407">
        <f>'Staging Table'!BM90*Rates_current!$H$32*-1</f>
        <v>0</v>
      </c>
      <c r="V88" s="407">
        <f>IF(Init!$R$12="No",0,'Staging Table'!$CY90*-1)</f>
        <v>0</v>
      </c>
      <c r="W88" s="407">
        <f>IF('Staging Table'!C90=1,"",SUM(O88:V88))</f>
        <v>8702283.4159224816</v>
      </c>
      <c r="X88" s="407">
        <f>IF('Staging Table'!C90=1,"",(RT1SC!$C$4*'Staging Table'!BG90*'Staging Table'!$BH$2)+SUM('Staging Table'!BN90:CK90)-IF(Init!$R$15="No",'Staging Table'!CX90, 0))</f>
        <v>226559.88</v>
      </c>
      <c r="Y88" s="169">
        <f>IF('Staging Table'!C90=1,"",IF(X88=0, 0, W88/X88))</f>
        <v>38.410522710033575</v>
      </c>
      <c r="Z88" s="160">
        <f>IF('Staging Table'!C90=1,"",Y88/N88-1)</f>
        <v>4.8044175430222102E-2</v>
      </c>
      <c r="AA88" s="97">
        <f t="shared" si="2"/>
        <v>67</v>
      </c>
      <c r="AD88" s="412"/>
      <c r="AE88" s="412"/>
      <c r="AF88" s="432"/>
      <c r="AG88" s="412"/>
      <c r="AH88" s="412"/>
    </row>
    <row r="89" spans="2:34">
      <c r="B89" s="3">
        <v>10273</v>
      </c>
      <c r="C89" s="4" t="s">
        <v>92</v>
      </c>
      <c r="D89" s="407">
        <f>IF(Init!$R$9="Yes",'Staging Table'!E91,'Staging Table'!BG91)*Rates_previous!$E$75*100*12</f>
        <v>2064417.2135999999</v>
      </c>
      <c r="E89" s="407">
        <f>IF(Init!$R$9="Yes",'Staging Table'!F91,'Staging Table'!BH91)*Rates_previous!$E$76*100*12</f>
        <v>-306897.32160000002</v>
      </c>
      <c r="F89" s="408">
        <f>IF(Init!$R$9="Yes",SUMPRODUCT('Staging Table'!L91:AI91,LS_Demand_Rates_Restatement!$C$4:$Z$4)-IF(Init!$R$15="No",('Staging Table'!AV91*Rates_previous!$H$35), 0),SUMPRODUCT('Staging Table'!BN91:CK91,LS_Demand_Rates_Restatement!$C$4:$Z$4)-IF(Init!$R$15="No", 'Staging Table'!CX91*Rates_previous!$H$35, 0))</f>
        <v>-7064.2355641922913</v>
      </c>
      <c r="G89" s="408">
        <f>IF(Init!$R$9="Yes",SUMPRODUCT('Staging Table'!AJ91:AU91,LS_Demand_Rates_Restatement!$C$10:$N$10),SUMPRODUCT(LS_Demand_Rates_Restatement!$C$10:$N$10,'Staging Table'!CL91:CW91))*1000</f>
        <v>114150.55748870202</v>
      </c>
      <c r="H89" s="409">
        <f>IF(Init!$R$9="Yes",'Staging Table'!BF91,'Staging Table'!DH91)*Rates_previous!$H$33</f>
        <v>0</v>
      </c>
      <c r="I89" s="409">
        <f>IF(Init!$R$9="Yes",IF('Staging Table'!D91=1,'Staging Table'!H91*-1,'Staging Table'!H91*SUM(D89:H89)*(-1)),IF('Staging Table'!D91=1,'Staging Table'!BJ91*-1,'Staging Table'!BJ91*SUM(D89:H89)*(-1)))</f>
        <v>-154016.47327016451</v>
      </c>
      <c r="J89" s="407">
        <f>IF(Init!$R$9="Yes",'Staging Table'!K91,'Staging Table'!BM91)*(-1)*Rates_previous!$H$32</f>
        <v>-112074.23424999999</v>
      </c>
      <c r="K89" s="407">
        <f>IF(Init!$R$12="No",0,'Staging Table'!$AW91*-1)</f>
        <v>0</v>
      </c>
      <c r="L89" s="407">
        <f>IF('Staging Table'!C91=1,"",SUM(D89:K89))</f>
        <v>1598515.5064043452</v>
      </c>
      <c r="M89" s="407">
        <f>IF('Staging Table'!C91=1,"",IF(Init!$R$9="Yes",(RT1SC!$C$3*'Staging Table'!E91*'Staging Table'!$F$2)+SUM('Staging Table'!L91:AI91)-IF(Init!$R$15="No",'Staging Table'!AV91, 0),X89))</f>
        <v>51158.015999999996</v>
      </c>
      <c r="N89" s="169">
        <f>IF('Staging Table'!C91=1,"",IF(M89=0, 0, L89/M89))</f>
        <v>31.246628219599941</v>
      </c>
      <c r="O89" s="407">
        <f>'Staging Table'!BG91*Rates_current!$E$75*100*12</f>
        <v>2123027.07552</v>
      </c>
      <c r="P89" s="407">
        <f>'Staging Table'!BH91*Rates_current!$E$76*100*12</f>
        <v>-298622.05463999999</v>
      </c>
      <c r="Q89" s="408">
        <f>SUMPRODUCT('Staging Table'!BN91:CK91, LS_Demand_Rates_Restatement!$C$5:$Z$5)-IF(Init!$R$15="No",('Staging Table'!CX91*Rates_current!$H$35), 0)</f>
        <v>-86134.657508405217</v>
      </c>
      <c r="R89" s="408">
        <f>SUMPRODUCT('Staging Table'!CL91:CW91, LS_Demand_Rates_Restatement!$C$11:$N$11)*1000</f>
        <v>108772.53797894415</v>
      </c>
      <c r="S89" s="409">
        <f>'Staging Table'!DH91*Rates_current!$H$33</f>
        <v>0</v>
      </c>
      <c r="T89" s="409">
        <f>IF('Staging Table'!D91=1, 'Staging Table'!BJ91*-1,SUM(O89:S89)*'Staging Table'!BJ91*-1)</f>
        <v>-177708.06058647885</v>
      </c>
      <c r="U89" s="407">
        <f>'Staging Table'!BM91*Rates_current!$H$32*-1</f>
        <v>-111979.014</v>
      </c>
      <c r="V89" s="407">
        <f>IF(Init!$R$12="No",0,'Staging Table'!$CY91*-1)</f>
        <v>0</v>
      </c>
      <c r="W89" s="407">
        <f>IF('Staging Table'!C91=1,"",SUM(O89:V89))</f>
        <v>1557355.8267640602</v>
      </c>
      <c r="X89" s="407">
        <f>IF('Staging Table'!C91=1,"",(RT1SC!$C$4*'Staging Table'!BG91*'Staging Table'!$BH$2)+SUM('Staging Table'!BN91:CK91)-IF(Init!$R$15="No",'Staging Table'!CX91, 0))</f>
        <v>48126.727739601251</v>
      </c>
      <c r="Y89" s="169">
        <f>IF('Staging Table'!C91=1,"",IF(X89=0, 0, W89/X89))</f>
        <v>32.359478815813702</v>
      </c>
      <c r="Z89" s="160">
        <f>IF('Staging Table'!C91=1,"",Y89/N89-1)</f>
        <v>3.5615061836198558E-2</v>
      </c>
      <c r="AA89" s="97">
        <f t="shared" si="2"/>
        <v>105</v>
      </c>
      <c r="AD89" s="412"/>
      <c r="AE89" s="412"/>
      <c r="AF89" s="432"/>
      <c r="AG89" s="412"/>
      <c r="AH89" s="412"/>
    </row>
    <row r="90" spans="2:34">
      <c r="B90" s="3">
        <v>10278</v>
      </c>
      <c r="C90" s="4" t="s">
        <v>93</v>
      </c>
      <c r="D90" s="407">
        <f>IF(Init!$R$9="Yes",'Staging Table'!E92,'Staging Table'!BG92)*Rates_previous!$E$75*100*12</f>
        <v>12611014.841879999</v>
      </c>
      <c r="E90" s="407">
        <f>IF(Init!$R$9="Yes",'Staging Table'!F92,'Staging Table'!BH92)*Rates_previous!$E$76*100*12</f>
        <v>-1874759.93328</v>
      </c>
      <c r="F90" s="408">
        <f>IF(Init!$R$9="Yes",SUMPRODUCT('Staging Table'!L92:AI92,LS_Demand_Rates_Restatement!$C$4:$Z$4)-IF(Init!$R$15="No",('Staging Table'!AV92*Rates_previous!$H$35), 0),SUMPRODUCT('Staging Table'!BN92:CK92,LS_Demand_Rates_Restatement!$C$4:$Z$4)-IF(Init!$R$15="No", 'Staging Table'!CX92*Rates_previous!$H$35, 0))</f>
        <v>0</v>
      </c>
      <c r="G90" s="408">
        <f>IF(Init!$R$9="Yes",SUMPRODUCT('Staging Table'!AJ92:AU92,LS_Demand_Rates_Restatement!$C$10:$N$10),SUMPRODUCT(LS_Demand_Rates_Restatement!$C$10:$N$10,'Staging Table'!CL92:CW92))*1000</f>
        <v>0</v>
      </c>
      <c r="H90" s="409">
        <f>IF(Init!$R$9="Yes",'Staging Table'!BF92,'Staging Table'!DH92)*Rates_previous!$H$33</f>
        <v>0</v>
      </c>
      <c r="I90" s="409">
        <f>IF(Init!$R$9="Yes",IF('Staging Table'!D92=1,'Staging Table'!H92*-1,'Staging Table'!H92*SUM(D90:H90)*(-1)),IF('Staging Table'!D92=1,'Staging Table'!BJ92*-1,'Staging Table'!BJ92*SUM(D90:H90)*(-1)))</f>
        <v>-784498.14617140184</v>
      </c>
      <c r="J90" s="407">
        <f>IF(Init!$R$9="Yes",'Staging Table'!K92,'Staging Table'!BM92)*(-1)*Rates_previous!$H$32</f>
        <v>0</v>
      </c>
      <c r="K90" s="407">
        <f>IF(Init!$R$12="No",0,'Staging Table'!$AW92*-1)</f>
        <v>0</v>
      </c>
      <c r="L90" s="407" t="str">
        <f>IF('Staging Table'!C92=1,"",SUM(D90:K90))</f>
        <v/>
      </c>
      <c r="M90" s="407" t="str">
        <f>IF('Staging Table'!C92=1,"",IF(Init!$R$9="Yes",(RT1SC!$C$3*'Staging Table'!E92*'Staging Table'!$F$2)+SUM('Staging Table'!L92:AI92)-IF(Init!$R$15="No",'Staging Table'!AV92, 0),X90))</f>
        <v/>
      </c>
      <c r="N90" s="169" t="str">
        <f>IF('Staging Table'!C92=1,"",IF(M90=0, 0, L90/M90))</f>
        <v/>
      </c>
      <c r="O90" s="407">
        <f>'Staging Table'!BG92*Rates_current!$E$75*100*12</f>
        <v>12193456.838399999</v>
      </c>
      <c r="P90" s="407">
        <f>'Staging Table'!BH92*Rates_current!$E$76*100*12</f>
        <v>-1715114.7888000002</v>
      </c>
      <c r="Q90" s="408">
        <f>SUMPRODUCT('Staging Table'!BN92:CK92, LS_Demand_Rates_Restatement!$C$5:$Z$5)-IF(Init!$R$15="No",('Staging Table'!CX92*Rates_current!$H$35), 0)</f>
        <v>0</v>
      </c>
      <c r="R90" s="408">
        <f>SUMPRODUCT('Staging Table'!CL92:CW92, LS_Demand_Rates_Restatement!$C$11:$N$11)*1000</f>
        <v>0</v>
      </c>
      <c r="S90" s="409">
        <f>'Staging Table'!DH92*Rates_current!$H$33</f>
        <v>3.6808556400501402</v>
      </c>
      <c r="T90" s="409">
        <f>IF('Staging Table'!D92=1, 'Staging Table'!BJ92*-1,SUM(O90:S90)*'Staging Table'!BJ92*-1)</f>
        <v>-733484.2011318946</v>
      </c>
      <c r="U90" s="407">
        <f>'Staging Table'!BM92*Rates_current!$H$32*-1</f>
        <v>0</v>
      </c>
      <c r="V90" s="407">
        <f>IF(Init!$R$12="No",0,'Staging Table'!$CY92*-1)</f>
        <v>0</v>
      </c>
      <c r="W90" s="407" t="str">
        <f>IF('Staging Table'!C92=1,"",SUM(O90:V90))</f>
        <v/>
      </c>
      <c r="X90" s="407" t="str">
        <f>IF('Staging Table'!C92=1,"",(RT1SC!$C$4*'Staging Table'!BG92*'Staging Table'!$BH$2)+SUM('Staging Table'!BN92:CK92)-IF(Init!$R$15="No",'Staging Table'!CX92, 0))</f>
        <v/>
      </c>
      <c r="Y90" s="169" t="str">
        <f>IF('Staging Table'!C92=1,"",IF(X90=0, 0, W90/X90))</f>
        <v/>
      </c>
      <c r="Z90" s="160" t="str">
        <f>IF('Staging Table'!C92=1,"",Y90/N90-1)</f>
        <v/>
      </c>
      <c r="AA90" s="97" t="str">
        <f t="shared" si="2"/>
        <v/>
      </c>
      <c r="AD90" s="412"/>
      <c r="AE90" s="412"/>
      <c r="AF90" s="432"/>
      <c r="AG90" s="412"/>
      <c r="AH90" s="412"/>
    </row>
    <row r="91" spans="2:34">
      <c r="B91" s="3">
        <v>10279</v>
      </c>
      <c r="C91" s="4" t="s">
        <v>94</v>
      </c>
      <c r="D91" s="407">
        <f>IF(Init!$R$9="Yes",'Staging Table'!E93,'Staging Table'!BG93)*Rates_previous!$E$75*100*12</f>
        <v>22733590.085639998</v>
      </c>
      <c r="E91" s="407">
        <f>IF(Init!$R$9="Yes",'Staging Table'!F93,'Staging Table'!BH93)*Rates_previous!$E$76*100*12</f>
        <v>-3379587.1598400003</v>
      </c>
      <c r="F91" s="408">
        <f>IF(Init!$R$9="Yes",SUMPRODUCT('Staging Table'!L93:AI93,LS_Demand_Rates_Restatement!$C$4:$Z$4)-IF(Init!$R$15="No",('Staging Table'!AV93*Rates_previous!$H$35), 0),SUMPRODUCT('Staging Table'!BN93:CK93,LS_Demand_Rates_Restatement!$C$4:$Z$4)-IF(Init!$R$15="No", 'Staging Table'!CX93*Rates_previous!$H$35, 0))</f>
        <v>-348199.36564074404</v>
      </c>
      <c r="G91" s="408">
        <f>IF(Init!$R$9="Yes",SUMPRODUCT('Staging Table'!AJ93:AU93,LS_Demand_Rates_Restatement!$C$10:$N$10),SUMPRODUCT(LS_Demand_Rates_Restatement!$C$10:$N$10,'Staging Table'!CL93:CW93))*1000</f>
        <v>0</v>
      </c>
      <c r="H91" s="409">
        <f>IF(Init!$R$9="Yes",'Staging Table'!BF93,'Staging Table'!DH93)*Rates_previous!$H$33</f>
        <v>0</v>
      </c>
      <c r="I91" s="409">
        <f>IF(Init!$R$9="Yes",IF('Staging Table'!D93=1,'Staging Table'!H93*-1,'Staging Table'!H93*SUM(D91:H91)*(-1)),IF('Staging Table'!D93=1,'Staging Table'!BJ93*-1,'Staging Table'!BJ93*SUM(D91:H91)*(-1)))</f>
        <v>0</v>
      </c>
      <c r="J91" s="407">
        <f>IF(Init!$R$9="Yes",'Staging Table'!K93,'Staging Table'!BM93)*(-1)*Rates_previous!$H$32</f>
        <v>0</v>
      </c>
      <c r="K91" s="407">
        <f>IF(Init!$R$12="No",0,'Staging Table'!$AW93*-1)</f>
        <v>0</v>
      </c>
      <c r="L91" s="407">
        <f>IF('Staging Table'!C93=1,"",SUM(D91:K91))</f>
        <v>19005803.560159255</v>
      </c>
      <c r="M91" s="407">
        <f>IF('Staging Table'!C93=1,"",IF(Init!$R$9="Yes",(RT1SC!$C$3*'Staging Table'!E93*'Staging Table'!$F$2)+SUM('Staging Table'!L93:AI93)-IF(Init!$R$15="No",'Staging Table'!AV93, 0),X91))</f>
        <v>546755.74532601528</v>
      </c>
      <c r="N91" s="169">
        <f>IF('Staging Table'!C93=1,"",IF(M91=0, 0, L91/M91))</f>
        <v>34.76104955939077</v>
      </c>
      <c r="O91" s="407">
        <f>'Staging Table'!BG93*Rates_current!$E$75*100*12</f>
        <v>23377756.080960002</v>
      </c>
      <c r="P91" s="407">
        <f>'Staging Table'!BH93*Rates_current!$E$76*100*12</f>
        <v>-3288282.8647200004</v>
      </c>
      <c r="Q91" s="408">
        <f>SUMPRODUCT('Staging Table'!BN93:CK93, LS_Demand_Rates_Restatement!$C$5:$Z$5)-IF(Init!$R$15="No",('Staging Table'!CX93*Rates_current!$H$35), 0)</f>
        <v>192896.29837135156</v>
      </c>
      <c r="R91" s="408">
        <f>SUMPRODUCT('Staging Table'!CL93:CW93, LS_Demand_Rates_Restatement!$C$11:$N$11)*1000</f>
        <v>0</v>
      </c>
      <c r="S91" s="409">
        <f>'Staging Table'!DH93*Rates_current!$H$33</f>
        <v>0</v>
      </c>
      <c r="T91" s="409">
        <f>IF('Staging Table'!D93=1, 'Staging Table'!BJ93*-1,SUM(O91:S91)*'Staging Table'!BJ93*-1)</f>
        <v>0</v>
      </c>
      <c r="U91" s="407">
        <f>'Staging Table'!BM93*Rates_current!$H$32*-1</f>
        <v>0</v>
      </c>
      <c r="V91" s="407">
        <f>IF(Init!$R$12="No",0,'Staging Table'!$CY93*-1)</f>
        <v>0</v>
      </c>
      <c r="W91" s="407">
        <f>IF('Staging Table'!C93=1,"",SUM(O91:V91))</f>
        <v>20282369.514611352</v>
      </c>
      <c r="X91" s="407">
        <f>IF('Staging Table'!C93=1,"",(RT1SC!$C$4*'Staging Table'!BG93*'Staging Table'!$BH$2)+SUM('Staging Table'!BN93:CK93)-IF(Init!$R$15="No",'Staging Table'!CX93, 0))</f>
        <v>558231</v>
      </c>
      <c r="Y91" s="169">
        <f>IF('Staging Table'!C93=1,"",IF(X91=0, 0, W91/X91))</f>
        <v>36.33329126223974</v>
      </c>
      <c r="Z91" s="160">
        <f>IF('Staging Table'!C93=1,"",Y91/N91-1)</f>
        <v>4.5229983639093696E-2</v>
      </c>
      <c r="AA91" s="97">
        <f t="shared" si="2"/>
        <v>91</v>
      </c>
      <c r="AD91" s="412"/>
      <c r="AE91" s="412"/>
      <c r="AF91" s="432"/>
      <c r="AG91" s="412"/>
      <c r="AH91" s="412"/>
    </row>
    <row r="92" spans="2:34">
      <c r="B92" s="3">
        <v>10284</v>
      </c>
      <c r="C92" s="4" t="s">
        <v>95</v>
      </c>
      <c r="D92" s="407">
        <f>IF(Init!$R$9="Yes",'Staging Table'!E94,'Staging Table'!BG94)*Rates_previous!$E$75*100*12</f>
        <v>3462973.2396</v>
      </c>
      <c r="E92" s="407">
        <f>IF(Init!$R$9="Yes",'Staging Table'!F94,'Staging Table'!BH94)*Rates_previous!$E$76*100*12</f>
        <v>-514807.37760000001</v>
      </c>
      <c r="F92" s="408">
        <f>IF(Init!$R$9="Yes",SUMPRODUCT('Staging Table'!L94:AI94,LS_Demand_Rates_Restatement!$C$4:$Z$4)-IF(Init!$R$15="No",('Staging Table'!AV94*Rates_previous!$H$35), 0),SUMPRODUCT('Staging Table'!BN94:CK94,LS_Demand_Rates_Restatement!$C$4:$Z$4)-IF(Init!$R$15="No", 'Staging Table'!CX94*Rates_previous!$H$35, 0))</f>
        <v>20637.943635934625</v>
      </c>
      <c r="G92" s="408">
        <f>IF(Init!$R$9="Yes",SUMPRODUCT('Staging Table'!AJ94:AU94,LS_Demand_Rates_Restatement!$C$10:$N$10),SUMPRODUCT(LS_Demand_Rates_Restatement!$C$10:$N$10,'Staging Table'!CL94:CW94))*1000</f>
        <v>180669.70787037033</v>
      </c>
      <c r="H92" s="409">
        <f>IF(Init!$R$9="Yes",'Staging Table'!BF94,'Staging Table'!DH94)*Rates_previous!$H$33</f>
        <v>-1373.54476238962</v>
      </c>
      <c r="I92" s="409">
        <f>IF(Init!$R$9="Yes",IF('Staging Table'!D94=1,'Staging Table'!H94*-1,'Staging Table'!H94*SUM(D92:H92)*(-1)),IF('Staging Table'!D94=1,'Staging Table'!BJ94*-1,'Staging Table'!BJ94*SUM(D92:H92)*(-1)))</f>
        <v>-173145.49828091532</v>
      </c>
      <c r="J92" s="407">
        <f>IF(Init!$R$9="Yes",'Staging Table'!K94,'Staging Table'!BM94)*(-1)*Rates_previous!$H$32</f>
        <v>0</v>
      </c>
      <c r="K92" s="407">
        <f>IF(Init!$R$12="No",0,'Staging Table'!$AW94*-1)</f>
        <v>0</v>
      </c>
      <c r="L92" s="407">
        <f>IF('Staging Table'!C94=1,"",SUM(D92:K92))</f>
        <v>2974954.4704629993</v>
      </c>
      <c r="M92" s="407">
        <f>IF('Staging Table'!C94=1,"",IF(Init!$R$9="Yes",(RT1SC!$C$3*'Staging Table'!E94*'Staging Table'!$F$2)+SUM('Staging Table'!L94:AI94)-IF(Init!$R$15="No",'Staging Table'!AV94, 0),X92))</f>
        <v>85655.693201989881</v>
      </c>
      <c r="N92" s="169">
        <f>IF('Staging Table'!C94=1,"",IF(M92=0, 0, L92/M92))</f>
        <v>34.731543920233989</v>
      </c>
      <c r="O92" s="407">
        <f>'Staging Table'!BG94*Rates_current!$E$75*100*12</f>
        <v>3587210.0352000003</v>
      </c>
      <c r="P92" s="407">
        <f>'Staging Table'!BH94*Rates_current!$E$76*100*12</f>
        <v>-504572.00640000007</v>
      </c>
      <c r="Q92" s="408">
        <f>SUMPRODUCT('Staging Table'!BN94:CK94, LS_Demand_Rates_Restatement!$C$5:$Z$5)-IF(Init!$R$15="No",('Staging Table'!CX94*Rates_current!$H$35), 0)</f>
        <v>64302.771965535081</v>
      </c>
      <c r="R92" s="408">
        <f>SUMPRODUCT('Staging Table'!CL94:CW94, LS_Demand_Rates_Restatement!$C$11:$N$11)*1000</f>
        <v>180423.9616788016</v>
      </c>
      <c r="S92" s="409">
        <f>'Staging Table'!DH94*Rates_current!$H$33</f>
        <v>5.2816834232180554</v>
      </c>
      <c r="T92" s="409">
        <f>IF('Staging Table'!D94=1, 'Staging Table'!BJ94*-1,SUM(O92:S92)*'Staging Table'!BJ94*-1)</f>
        <v>-183005.35242702681</v>
      </c>
      <c r="U92" s="407">
        <f>'Staging Table'!BM94*Rates_current!$H$32*-1</f>
        <v>0</v>
      </c>
      <c r="V92" s="407">
        <f>IF(Init!$R$12="No",0,'Staging Table'!$CY94*-1)</f>
        <v>0</v>
      </c>
      <c r="W92" s="407">
        <f>IF('Staging Table'!C94=1,"",SUM(O92:V92))</f>
        <v>3144364.6917007333</v>
      </c>
      <c r="X92" s="407">
        <f>IF('Staging Table'!C94=1,"",(RT1SC!$C$4*'Staging Table'!BG94*'Staging Table'!$BH$2)+SUM('Staging Table'!BN94:CK94)-IF(Init!$R$15="No",'Staging Table'!CX94, 0))</f>
        <v>85655.694249680251</v>
      </c>
      <c r="Y92" s="169">
        <f>IF('Staging Table'!C94=1,"",IF(X92=0, 0, W92/X92))</f>
        <v>36.709348038615317</v>
      </c>
      <c r="Z92" s="160">
        <f>IF('Staging Table'!C94=1,"",Y92/N92-1)</f>
        <v>5.6945470749116156E-2</v>
      </c>
      <c r="AA92" s="97">
        <f t="shared" si="2"/>
        <v>22</v>
      </c>
      <c r="AD92" s="412"/>
      <c r="AE92" s="412"/>
      <c r="AF92" s="432"/>
      <c r="AG92" s="412"/>
      <c r="AH92" s="412"/>
    </row>
    <row r="93" spans="2:34">
      <c r="B93" s="3">
        <v>10285</v>
      </c>
      <c r="C93" s="4" t="s">
        <v>96</v>
      </c>
      <c r="D93" s="407">
        <f>IF(Init!$R$9="Yes",'Staging Table'!E95,'Staging Table'!BG95)*Rates_previous!$E$75*100*12</f>
        <v>2288433.7097999998</v>
      </c>
      <c r="E93" s="407">
        <f>IF(Init!$R$9="Yes",'Staging Table'!F95,'Staging Table'!BH95)*Rates_previous!$E$76*100*12</f>
        <v>-340199.72879999998</v>
      </c>
      <c r="F93" s="408">
        <f>IF(Init!$R$9="Yes",SUMPRODUCT('Staging Table'!L95:AI95,LS_Demand_Rates_Restatement!$C$4:$Z$4)-IF(Init!$R$15="No",('Staging Table'!AV95*Rates_previous!$H$35), 0),SUMPRODUCT('Staging Table'!BN95:CK95,LS_Demand_Rates_Restatement!$C$4:$Z$4)-IF(Init!$R$15="No", 'Staging Table'!CX95*Rates_previous!$H$35, 0))</f>
        <v>0</v>
      </c>
      <c r="G93" s="408">
        <f>IF(Init!$R$9="Yes",SUMPRODUCT('Staging Table'!AJ95:AU95,LS_Demand_Rates_Restatement!$C$10:$N$10),SUMPRODUCT(LS_Demand_Rates_Restatement!$C$10:$N$10,'Staging Table'!CL95:CW95))*1000</f>
        <v>0</v>
      </c>
      <c r="H93" s="409">
        <f>IF(Init!$R$9="Yes",'Staging Table'!BF95,'Staging Table'!DH95)*Rates_previous!$H$33</f>
        <v>-10.721485782043237</v>
      </c>
      <c r="I93" s="409">
        <f>IF(Init!$R$9="Yes",IF('Staging Table'!D95=1,'Staging Table'!H95*-1,'Staging Table'!H95*SUM(D93:H93)*(-1)),IF('Staging Table'!D95=1,'Staging Table'!BJ95*-1,'Staging Table'!BJ95*SUM(D93:H93)*(-1)))</f>
        <v>-136375.62816599527</v>
      </c>
      <c r="J93" s="407">
        <f>IF(Init!$R$9="Yes",'Staging Table'!K95,'Staging Table'!BM95)*(-1)*Rates_previous!$H$32</f>
        <v>0</v>
      </c>
      <c r="K93" s="407">
        <f>IF(Init!$R$12="No",0,'Staging Table'!$AW95*-1)</f>
        <v>0</v>
      </c>
      <c r="L93" s="407" t="str">
        <f>IF('Staging Table'!C95=1,"",SUM(D93:K93))</f>
        <v/>
      </c>
      <c r="M93" s="407" t="str">
        <f>IF('Staging Table'!C95=1,"",IF(Init!$R$9="Yes",(RT1SC!$C$3*'Staging Table'!E95*'Staging Table'!$F$2)+SUM('Staging Table'!L95:AI95)-IF(Init!$R$15="No",'Staging Table'!AV95, 0),X93))</f>
        <v/>
      </c>
      <c r="N93" s="169" t="str">
        <f>IF('Staging Table'!C95=1,"",IF(M93=0, 0, L93/M93))</f>
        <v/>
      </c>
      <c r="O93" s="407">
        <f>'Staging Table'!BG95*Rates_current!$E$75*100*12</f>
        <v>2356654.3199999998</v>
      </c>
      <c r="P93" s="407">
        <f>'Staging Table'!BH95*Rates_current!$E$76*100*12</f>
        <v>-331483.74</v>
      </c>
      <c r="Q93" s="408">
        <f>SUMPRODUCT('Staging Table'!BN95:CK95, LS_Demand_Rates_Restatement!$C$5:$Z$5)-IF(Init!$R$15="No",('Staging Table'!CX95*Rates_current!$H$35), 0)</f>
        <v>0</v>
      </c>
      <c r="R93" s="408">
        <f>SUMPRODUCT('Staging Table'!CL95:CW95, LS_Demand_Rates_Restatement!$C$11:$N$11)*1000</f>
        <v>0</v>
      </c>
      <c r="S93" s="409">
        <f>'Staging Table'!DH95*Rates_current!$H$33</f>
        <v>0</v>
      </c>
      <c r="T93" s="409">
        <f>IF('Staging Table'!D95=1, 'Staging Table'!BJ95*-1,SUM(O93:S93)*'Staging Table'!BJ95*-1)</f>
        <v>-146307.85588075966</v>
      </c>
      <c r="U93" s="407">
        <f>'Staging Table'!BM95*Rates_current!$H$32*-1</f>
        <v>0</v>
      </c>
      <c r="V93" s="407">
        <f>IF(Init!$R$12="No",0,'Staging Table'!$CY95*-1)</f>
        <v>0</v>
      </c>
      <c r="W93" s="407" t="str">
        <f>IF('Staging Table'!C95=1,"",SUM(O93:V93))</f>
        <v/>
      </c>
      <c r="X93" s="407" t="str">
        <f>IF('Staging Table'!C95=1,"",(RT1SC!$C$4*'Staging Table'!BG95*'Staging Table'!$BH$2)+SUM('Staging Table'!BN95:CK95)-IF(Init!$R$15="No",'Staging Table'!CX95, 0))</f>
        <v/>
      </c>
      <c r="Y93" s="169" t="str">
        <f>IF('Staging Table'!C95=1,"",IF(X93=0, 0, W93/X93))</f>
        <v/>
      </c>
      <c r="Z93" s="160" t="str">
        <f>IF('Staging Table'!C95=1,"",Y93/N93-1)</f>
        <v/>
      </c>
      <c r="AA93" s="97" t="str">
        <f t="shared" si="2"/>
        <v/>
      </c>
      <c r="AD93" s="412"/>
      <c r="AE93" s="412"/>
      <c r="AF93" s="432"/>
      <c r="AG93" s="412"/>
      <c r="AH93" s="412"/>
    </row>
    <row r="94" spans="2:34">
      <c r="B94" s="3">
        <v>10286</v>
      </c>
      <c r="C94" s="4" t="s">
        <v>97</v>
      </c>
      <c r="D94" s="407">
        <f>IF(Init!$R$9="Yes",'Staging Table'!E96,'Staging Table'!BG96)*Rates_previous!$E$75*100*12</f>
        <v>16115325.932160001</v>
      </c>
      <c r="E94" s="407">
        <f>IF(Init!$R$9="Yes",'Staging Table'!F96,'Staging Table'!BH96)*Rates_previous!$E$76*100*12</f>
        <v>-1065529.8374399999</v>
      </c>
      <c r="F94" s="408">
        <f>IF(Init!$R$9="Yes",SUMPRODUCT('Staging Table'!L96:AI96,LS_Demand_Rates_Restatement!$C$4:$Z$4)-IF(Init!$R$15="No",('Staging Table'!AV96*Rates_previous!$H$35), 0),SUMPRODUCT('Staging Table'!BN96:CK96,LS_Demand_Rates_Restatement!$C$4:$Z$4)-IF(Init!$R$15="No", 'Staging Table'!CX96*Rates_previous!$H$35, 0))</f>
        <v>56100.182331276541</v>
      </c>
      <c r="G94" s="408">
        <f>IF(Init!$R$9="Yes",SUMPRODUCT('Staging Table'!AJ96:AU96,LS_Demand_Rates_Restatement!$C$10:$N$10),SUMPRODUCT(LS_Demand_Rates_Restatement!$C$10:$N$10,'Staging Table'!CL96:CW96))*1000</f>
        <v>0</v>
      </c>
      <c r="H94" s="409">
        <f>IF(Init!$R$9="Yes",'Staging Table'!BF96,'Staging Table'!DH96)*Rates_previous!$H$33</f>
        <v>0</v>
      </c>
      <c r="I94" s="409">
        <f>IF(Init!$R$9="Yes",IF('Staging Table'!D96=1,'Staging Table'!H96*-1,'Staging Table'!H96*SUM(D94:H94)*(-1)),IF('Staging Table'!D96=1,'Staging Table'!BJ96*-1,'Staging Table'!BJ96*SUM(D94:H94)*(-1)))</f>
        <v>0</v>
      </c>
      <c r="J94" s="407">
        <f>IF(Init!$R$9="Yes",'Staging Table'!K96,'Staging Table'!BM96)*(-1)*Rates_previous!$H$32</f>
        <v>-652153.93726999999</v>
      </c>
      <c r="K94" s="407">
        <f>IF(Init!$R$12="No",0,'Staging Table'!$AW96*-1)</f>
        <v>0</v>
      </c>
      <c r="L94" s="407">
        <f>IF('Staging Table'!C96=1,"",SUM(D94:K94))</f>
        <v>14453742.339781279</v>
      </c>
      <c r="M94" s="407">
        <f>IF('Staging Table'!C96=1,"",IF(Init!$R$9="Yes",(RT1SC!$C$3*'Staging Table'!E96*'Staging Table'!$F$2)+SUM('Staging Table'!L96:AI96)-IF(Init!$R$15="No",'Staging Table'!AV96, 0),X94))</f>
        <v>399346.98905899003</v>
      </c>
      <c r="N94" s="169">
        <f>IF('Staging Table'!C96=1,"",IF(M94=0, 0, L94/M94))</f>
        <v>36.193442634536119</v>
      </c>
      <c r="O94" s="407">
        <f>'Staging Table'!BG96*Rates_current!$E$75*100*12</f>
        <v>16572247.951680001</v>
      </c>
      <c r="P94" s="407">
        <f>'Staging Table'!BH96*Rates_current!$E$76*100*12</f>
        <v>-1036737.7944000002</v>
      </c>
      <c r="Q94" s="408">
        <f>SUMPRODUCT('Staging Table'!BN96:CK96, LS_Demand_Rates_Restatement!$C$5:$Z$5)-IF(Init!$R$15="No",('Staging Table'!CX96*Rates_current!$H$35), 0)</f>
        <v>118595.34537410646</v>
      </c>
      <c r="R94" s="408">
        <f>SUMPRODUCT('Staging Table'!CL96:CW96, LS_Demand_Rates_Restatement!$C$11:$N$11)*1000</f>
        <v>0</v>
      </c>
      <c r="S94" s="409">
        <f>'Staging Table'!DH96*Rates_current!$H$33</f>
        <v>0</v>
      </c>
      <c r="T94" s="409">
        <f>IF('Staging Table'!D96=1, 'Staging Table'!BJ96*-1,SUM(O94:S94)*'Staging Table'!BJ96*-1)</f>
        <v>0</v>
      </c>
      <c r="U94" s="407">
        <f>'Staging Table'!BM96*Rates_current!$H$32*-1</f>
        <v>-651599.85576000006</v>
      </c>
      <c r="V94" s="407">
        <f>IF(Init!$R$12="No",0,'Staging Table'!$CY96*-1)</f>
        <v>0</v>
      </c>
      <c r="W94" s="407">
        <f>IF('Staging Table'!C96=1,"",SUM(O94:V94))</f>
        <v>15002505.646894107</v>
      </c>
      <c r="X94" s="407">
        <f>IF('Staging Table'!C96=1,"",(RT1SC!$C$4*'Staging Table'!BG96*'Staging Table'!$BH$2)+SUM('Staging Table'!BN96:CK96)-IF(Init!$R$15="No",'Staging Table'!CX96, 0))</f>
        <v>394008.45717993437</v>
      </c>
      <c r="Y94" s="169">
        <f>IF('Staging Table'!C96=1,"",IF(X94=0, 0, W94/X94))</f>
        <v>38.076608188242048</v>
      </c>
      <c r="Z94" s="160">
        <f>IF('Staging Table'!C96=1,"",Y94/N94-1)</f>
        <v>5.203057285048085E-2</v>
      </c>
      <c r="AA94" s="97">
        <f t="shared" si="2"/>
        <v>36</v>
      </c>
      <c r="AD94" s="412"/>
      <c r="AE94" s="412"/>
      <c r="AF94" s="432"/>
      <c r="AG94" s="412"/>
      <c r="AH94" s="412"/>
    </row>
    <row r="95" spans="2:34">
      <c r="B95" s="3">
        <v>10288</v>
      </c>
      <c r="C95" s="4" t="s">
        <v>98</v>
      </c>
      <c r="D95" s="407">
        <f>IF(Init!$R$9="Yes",'Staging Table'!E97,'Staging Table'!BG97)*Rates_previous!$E$75*100*12</f>
        <v>8682186.3030000012</v>
      </c>
      <c r="E95" s="407">
        <f>IF(Init!$R$9="Yes",'Staging Table'!F97,'Staging Table'!BH97)*Rates_previous!$E$76*100*12</f>
        <v>-1290698.2680000002</v>
      </c>
      <c r="F95" s="408">
        <f>IF(Init!$R$9="Yes",SUMPRODUCT('Staging Table'!L97:AI97,LS_Demand_Rates_Restatement!$C$4:$Z$4)-IF(Init!$R$15="No",('Staging Table'!AV97*Rates_previous!$H$35), 0),SUMPRODUCT('Staging Table'!BN97:CK97,LS_Demand_Rates_Restatement!$C$4:$Z$4)-IF(Init!$R$15="No", 'Staging Table'!CX97*Rates_previous!$H$35, 0))</f>
        <v>0</v>
      </c>
      <c r="G95" s="408">
        <f>IF(Init!$R$9="Yes",SUMPRODUCT('Staging Table'!AJ97:AU97,LS_Demand_Rates_Restatement!$C$10:$N$10),SUMPRODUCT(LS_Demand_Rates_Restatement!$C$10:$N$10,'Staging Table'!CL97:CW97))*1000</f>
        <v>0</v>
      </c>
      <c r="H95" s="409">
        <f>IF(Init!$R$9="Yes",'Staging Table'!BF97,'Staging Table'!DH97)*Rates_previous!$H$33</f>
        <v>0</v>
      </c>
      <c r="I95" s="409">
        <f>IF(Init!$R$9="Yes",IF('Staging Table'!D97=1,'Staging Table'!H97*-1,'Staging Table'!H97*SUM(D95:H95)*(-1)),IF('Staging Table'!D97=1,'Staging Table'!BJ97*-1,'Staging Table'!BJ97*SUM(D95:H95)*(-1)))</f>
        <v>-371052.69935700006</v>
      </c>
      <c r="J95" s="407">
        <f>IF(Init!$R$9="Yes",'Staging Table'!K97,'Staging Table'!BM97)*(-1)*Rates_previous!$H$32</f>
        <v>0</v>
      </c>
      <c r="K95" s="407">
        <f>IF(Init!$R$12="No",0,'Staging Table'!$AW97*-1)</f>
        <v>0</v>
      </c>
      <c r="L95" s="407" t="str">
        <f>IF('Staging Table'!C97=1,"",SUM(D95:K95))</f>
        <v/>
      </c>
      <c r="M95" s="407" t="str">
        <f>IF('Staging Table'!C97=1,"",IF(Init!$R$9="Yes",(RT1SC!$C$3*'Staging Table'!E97*'Staging Table'!$F$2)+SUM('Staging Table'!L97:AI97)-IF(Init!$R$15="No",'Staging Table'!AV97, 0),X95))</f>
        <v/>
      </c>
      <c r="N95" s="169" t="str">
        <f>IF('Staging Table'!C97=1,"",IF(M95=0, 0, L95/M95))</f>
        <v/>
      </c>
      <c r="O95" s="407">
        <f>'Staging Table'!BG97*Rates_current!$E$75*100*12</f>
        <v>8928025.6579200011</v>
      </c>
      <c r="P95" s="407">
        <f>'Staging Table'!BH97*Rates_current!$E$76*100*12</f>
        <v>-1255803.75144</v>
      </c>
      <c r="Q95" s="408">
        <f>SUMPRODUCT('Staging Table'!BN97:CK97, LS_Demand_Rates_Restatement!$C$5:$Z$5)-IF(Init!$R$15="No",('Staging Table'!CX97*Rates_current!$H$35), 0)</f>
        <v>0</v>
      </c>
      <c r="R95" s="408">
        <f>SUMPRODUCT('Staging Table'!CL97:CW97, LS_Demand_Rates_Restatement!$C$11:$N$11)*1000</f>
        <v>0</v>
      </c>
      <c r="S95" s="409">
        <f>'Staging Table'!DH97*Rates_current!$H$33</f>
        <v>0</v>
      </c>
      <c r="T95" s="409">
        <f>IF('Staging Table'!D97=1, 'Staging Table'!BJ97*-1,SUM(O95:S95)*'Staging Table'!BJ97*-1)</f>
        <v>-430416.15701833734</v>
      </c>
      <c r="U95" s="407">
        <f>'Staging Table'!BM97*Rates_current!$H$32*-1</f>
        <v>0</v>
      </c>
      <c r="V95" s="407">
        <f>IF(Init!$R$12="No",0,'Staging Table'!$CY97*-1)</f>
        <v>0</v>
      </c>
      <c r="W95" s="407" t="str">
        <f>IF('Staging Table'!C97=1,"",SUM(O95:V95))</f>
        <v/>
      </c>
      <c r="X95" s="407" t="str">
        <f>IF('Staging Table'!C97=1,"",(RT1SC!$C$4*'Staging Table'!BG97*'Staging Table'!$BH$2)+SUM('Staging Table'!BN97:CK97)-IF(Init!$R$15="No",'Staging Table'!CX97, 0))</f>
        <v/>
      </c>
      <c r="Y95" s="169" t="str">
        <f>IF('Staging Table'!C97=1,"",IF(X95=0, 0, W95/X95))</f>
        <v/>
      </c>
      <c r="Z95" s="160" t="str">
        <f>IF('Staging Table'!C97=1,"",Y95/N95-1)</f>
        <v/>
      </c>
      <c r="AA95" s="97" t="str">
        <f t="shared" si="2"/>
        <v/>
      </c>
      <c r="AD95" s="412"/>
      <c r="AE95" s="412"/>
      <c r="AF95" s="432"/>
      <c r="AG95" s="412"/>
      <c r="AH95" s="412"/>
    </row>
    <row r="96" spans="2:34">
      <c r="B96" s="3">
        <v>10291</v>
      </c>
      <c r="C96" s="4" t="s">
        <v>99</v>
      </c>
      <c r="D96" s="407">
        <f>IF(Init!$R$9="Yes",'Staging Table'!E98,'Staging Table'!BG98)*Rates_previous!$E$75*100*12</f>
        <v>27565910.570519999</v>
      </c>
      <c r="E96" s="407">
        <f>IF(Init!$R$9="Yes",'Staging Table'!F98,'Staging Table'!BH98)*Rates_previous!$E$76*100*12</f>
        <v>-4097962.4011200001</v>
      </c>
      <c r="F96" s="408">
        <f>IF(Init!$R$9="Yes",SUMPRODUCT('Staging Table'!L98:AI98,LS_Demand_Rates_Restatement!$C$4:$Z$4)-IF(Init!$R$15="No",('Staging Table'!AV98*Rates_previous!$H$35), 0),SUMPRODUCT('Staging Table'!BN98:CK98,LS_Demand_Rates_Restatement!$C$4:$Z$4)-IF(Init!$R$15="No", 'Staging Table'!CX98*Rates_previous!$H$35, 0))</f>
        <v>257903.69531425057</v>
      </c>
      <c r="G96" s="408">
        <f>IF(Init!$R$9="Yes",SUMPRODUCT('Staging Table'!AJ98:AU98,LS_Demand_Rates_Restatement!$C$10:$N$10),SUMPRODUCT(LS_Demand_Rates_Restatement!$C$10:$N$10,'Staging Table'!CL98:CW98))*1000</f>
        <v>1516449.9562791842</v>
      </c>
      <c r="H96" s="409">
        <f>IF(Init!$R$9="Yes",'Staging Table'!BF98,'Staging Table'!DH98)*Rates_previous!$H$33</f>
        <v>45324.536979712539</v>
      </c>
      <c r="I96" s="409">
        <f>IF(Init!$R$9="Yes",IF('Staging Table'!D98=1,'Staging Table'!H98*-1,'Staging Table'!H98*SUM(D96:H96)*(-1)),IF('Staging Table'!D98=1,'Staging Table'!BJ98*-1,'Staging Table'!BJ98*SUM(D96:H96)*(-1)))</f>
        <v>-1264381.3178986574</v>
      </c>
      <c r="J96" s="407">
        <f>IF(Init!$R$9="Yes",'Staging Table'!K98,'Staging Table'!BM98)*(-1)*Rates_previous!$H$32</f>
        <v>-426787.27376999991</v>
      </c>
      <c r="K96" s="407">
        <f>IF(Init!$R$12="No",0,'Staging Table'!$AW98*-1)</f>
        <v>0</v>
      </c>
      <c r="L96" s="407">
        <f>IF('Staging Table'!C98=1,"",SUM(D96:K96))</f>
        <v>23596457.766304489</v>
      </c>
      <c r="M96" s="407">
        <f>IF('Staging Table'!C98=1,"",IF(Init!$R$9="Yes",(RT1SC!$C$3*'Staging Table'!E98*'Staging Table'!$F$2)+SUM('Staging Table'!L98:AI98)-IF(Init!$R$15="No",'Staging Table'!AV98, 0),X96))</f>
        <v>688217.96060787712</v>
      </c>
      <c r="N96" s="169">
        <f>IF('Staging Table'!C98=1,"",IF(M96=0, 0, L96/M96))</f>
        <v>34.286314971295752</v>
      </c>
      <c r="O96" s="407">
        <f>'Staging Table'!BG98*Rates_current!$E$75*100*12</f>
        <v>28397302.39584</v>
      </c>
      <c r="P96" s="407">
        <f>'Staging Table'!BH98*Rates_current!$E$76*100*12</f>
        <v>-3994325.3128800001</v>
      </c>
      <c r="Q96" s="408">
        <f>SUMPRODUCT('Staging Table'!BN98:CK98, LS_Demand_Rates_Restatement!$C$5:$Z$5)-IF(Init!$R$15="No",('Staging Table'!CX98*Rates_current!$H$35), 0)</f>
        <v>310156.25656419643</v>
      </c>
      <c r="R96" s="408">
        <f>SUMPRODUCT('Staging Table'!CL98:CW98, LS_Demand_Rates_Restatement!$C$11:$N$11)*1000</f>
        <v>1448112.6526966437</v>
      </c>
      <c r="S96" s="409">
        <f>'Staging Table'!DH98*Rates_current!$H$33</f>
        <v>56180.070000000356</v>
      </c>
      <c r="T96" s="409">
        <f>IF('Staging Table'!D98=1, 'Staging Table'!BJ98*-1,SUM(O96:S96)*'Staging Table'!BJ98*-1)</f>
        <v>-1310871.3031110421</v>
      </c>
      <c r="U96" s="407">
        <f>'Staging Table'!BM98*Rates_current!$H$32*-1</f>
        <v>-426424.66775999992</v>
      </c>
      <c r="V96" s="407">
        <f>IF(Init!$R$12="No",0,'Staging Table'!$CY98*-1)</f>
        <v>0</v>
      </c>
      <c r="W96" s="407">
        <f>IF('Staging Table'!C98=1,"",SUM(O96:V96))</f>
        <v>24480130.091349799</v>
      </c>
      <c r="X96" s="407">
        <f>IF('Staging Table'!C98=1,"",(RT1SC!$C$4*'Staging Table'!BG98*'Staging Table'!$BH$2)+SUM('Staging Table'!BN98:CK98)-IF(Init!$R$15="No",'Staging Table'!CX98, 0))</f>
        <v>682500.36</v>
      </c>
      <c r="Y96" s="169">
        <f>IF('Staging Table'!C98=1,"",IF(X96=0, 0, W96/X96))</f>
        <v>35.868303558623474</v>
      </c>
      <c r="Z96" s="160">
        <f>IF('Staging Table'!C98=1,"",Y96/N96-1)</f>
        <v>4.6140525415232059E-2</v>
      </c>
      <c r="AA96" s="97">
        <f t="shared" si="2"/>
        <v>81</v>
      </c>
      <c r="AD96" s="412"/>
      <c r="AE96" s="412"/>
      <c r="AF96" s="432"/>
      <c r="AG96" s="412"/>
      <c r="AH96" s="412"/>
    </row>
    <row r="97" spans="2:34">
      <c r="B97" s="3">
        <v>10294</v>
      </c>
      <c r="C97" s="4" t="s">
        <v>100</v>
      </c>
      <c r="D97" s="407">
        <f>IF(Init!$R$9="Yes",'Staging Table'!E99,'Staging Table'!BG99)*Rates_previous!$E$75*100*12</f>
        <v>12121891.530839998</v>
      </c>
      <c r="E97" s="407">
        <f>IF(Init!$R$9="Yes",'Staging Table'!F99,'Staging Table'!BH99)*Rates_previous!$E$76*100*12</f>
        <v>-764409.83951999992</v>
      </c>
      <c r="F97" s="408">
        <f>IF(Init!$R$9="Yes",SUMPRODUCT('Staging Table'!L99:AI99,LS_Demand_Rates_Restatement!$C$4:$Z$4)-IF(Init!$R$15="No",('Staging Table'!AV99*Rates_previous!$H$35), 0),SUMPRODUCT('Staging Table'!BN99:CK99,LS_Demand_Rates_Restatement!$C$4:$Z$4)-IF(Init!$R$15="No", 'Staging Table'!CX99*Rates_previous!$H$35, 0))</f>
        <v>7824.1366026447085</v>
      </c>
      <c r="G97" s="408">
        <f>IF(Init!$R$9="Yes",SUMPRODUCT('Staging Table'!AJ99:AU99,LS_Demand_Rates_Restatement!$C$10:$N$10),SUMPRODUCT(LS_Demand_Rates_Restatement!$C$10:$N$10,'Staging Table'!CL99:CW99))*1000</f>
        <v>0</v>
      </c>
      <c r="H97" s="409">
        <f>IF(Init!$R$9="Yes",'Staging Table'!BF99,'Staging Table'!DH99)*Rates_previous!$H$33</f>
        <v>0</v>
      </c>
      <c r="I97" s="409">
        <f>IF(Init!$R$9="Yes",IF('Staging Table'!D99=1,'Staging Table'!H99*-1,'Staging Table'!H99*SUM(D97:H97)*(-1)),IF('Staging Table'!D99=1,'Staging Table'!BJ99*-1,'Staging Table'!BJ99*SUM(D97:H97)*(-1)))</f>
        <v>0</v>
      </c>
      <c r="J97" s="407">
        <f>IF(Init!$R$9="Yes",'Staging Table'!K99,'Staging Table'!BM99)*(-1)*Rates_previous!$H$32</f>
        <v>0</v>
      </c>
      <c r="K97" s="407">
        <f>IF(Init!$R$12="No",0,'Staging Table'!$AW99*-1)</f>
        <v>0</v>
      </c>
      <c r="L97" s="407">
        <f>IF('Staging Table'!C99=1,"",SUM(D97:K97))</f>
        <v>11365305.827922642</v>
      </c>
      <c r="M97" s="407">
        <f>IF('Staging Table'!C99=1,"",IF(Init!$R$9="Yes",(RT1SC!$C$3*'Staging Table'!E99*'Staging Table'!$F$2)+SUM('Staging Table'!L99:AI99)-IF(Init!$R$15="No",'Staging Table'!AV99, 0),X97))</f>
        <v>300386.02690930449</v>
      </c>
      <c r="N97" s="169">
        <f>IF('Staging Table'!C99=1,"",IF(M97=0, 0, L97/M97))</f>
        <v>37.835667473820834</v>
      </c>
      <c r="O97" s="407">
        <f>'Staging Table'!BG99*Rates_current!$E$75*100*12</f>
        <v>12579438.600000001</v>
      </c>
      <c r="P97" s="407">
        <f>'Staging Table'!BH99*Rates_current!$E$76*100*12</f>
        <v>-759760.73207999999</v>
      </c>
      <c r="Q97" s="408">
        <f>SUMPRODUCT('Staging Table'!BN99:CK99, LS_Demand_Rates_Restatement!$C$5:$Z$5)-IF(Init!$R$15="No",('Staging Table'!CX99*Rates_current!$H$35), 0)</f>
        <v>9357.4468474399455</v>
      </c>
      <c r="R97" s="408">
        <f>SUMPRODUCT('Staging Table'!CL99:CW99, LS_Demand_Rates_Restatement!$C$11:$N$11)*1000</f>
        <v>0</v>
      </c>
      <c r="S97" s="409">
        <f>'Staging Table'!DH99*Rates_current!$H$33</f>
        <v>0</v>
      </c>
      <c r="T97" s="409">
        <f>IF('Staging Table'!D99=1, 'Staging Table'!BJ99*-1,SUM(O97:S97)*'Staging Table'!BJ99*-1)</f>
        <v>0</v>
      </c>
      <c r="U97" s="407">
        <f>'Staging Table'!BM99*Rates_current!$H$32*-1</f>
        <v>0</v>
      </c>
      <c r="V97" s="407">
        <f>IF(Init!$R$12="No",0,'Staging Table'!$CY99*-1)</f>
        <v>0</v>
      </c>
      <c r="W97" s="407">
        <f>IF('Staging Table'!C99=1,"",SUM(O97:V97))</f>
        <v>11829035.314767443</v>
      </c>
      <c r="X97" s="407">
        <f>IF('Staging Table'!C99=1,"",(RT1SC!$C$4*'Staging Table'!BG99*'Staging Table'!$BH$2)+SUM('Staging Table'!BN99:CK99)-IF(Init!$R$15="No",'Staging Table'!CX99, 0))</f>
        <v>298290.74577641353</v>
      </c>
      <c r="Y97" s="169">
        <f>IF('Staging Table'!C99=1,"",IF(X97=0, 0, W97/X97))</f>
        <v>39.656058668457653</v>
      </c>
      <c r="Z97" s="160">
        <f>IF('Staging Table'!C99=1,"",Y97/N97-1)</f>
        <v>4.8113098464468207E-2</v>
      </c>
      <c r="AA97" s="97">
        <f t="shared" si="2"/>
        <v>66</v>
      </c>
      <c r="AD97" s="412"/>
      <c r="AE97" s="412"/>
      <c r="AF97" s="432"/>
      <c r="AG97" s="412"/>
      <c r="AH97" s="412"/>
    </row>
    <row r="98" spans="2:34">
      <c r="B98" s="3">
        <v>10304</v>
      </c>
      <c r="C98" s="4" t="s">
        <v>101</v>
      </c>
      <c r="D98" s="407">
        <f>IF(Init!$R$9="Yes",'Staging Table'!E100,'Staging Table'!BG100)*Rates_previous!$E$75*100*12</f>
        <v>4916976.4425600003</v>
      </c>
      <c r="E98" s="407">
        <f>IF(Init!$R$9="Yes",'Staging Table'!F100,'Staging Table'!BH100)*Rates_previous!$E$76*100*12</f>
        <v>-730960.23936000001</v>
      </c>
      <c r="F98" s="408">
        <f>IF(Init!$R$9="Yes",SUMPRODUCT('Staging Table'!L100:AI100,LS_Demand_Rates_Restatement!$C$4:$Z$4)-IF(Init!$R$15="No",('Staging Table'!AV100*Rates_previous!$H$35), 0),SUMPRODUCT('Staging Table'!BN100:CK100,LS_Demand_Rates_Restatement!$C$4:$Z$4)-IF(Init!$R$15="No", 'Staging Table'!CX100*Rates_previous!$H$35, 0))</f>
        <v>-36985.66787604105</v>
      </c>
      <c r="G98" s="408">
        <f>IF(Init!$R$9="Yes",SUMPRODUCT('Staging Table'!AJ100:AU100,LS_Demand_Rates_Restatement!$C$10:$N$10),SUMPRODUCT(LS_Demand_Rates_Restatement!$C$10:$N$10,'Staging Table'!CL100:CW100))*1000</f>
        <v>237921.84597475073</v>
      </c>
      <c r="H98" s="409">
        <f>IF(Init!$R$9="Yes",'Staging Table'!BF100,'Staging Table'!DH100)*Rates_previous!$H$33</f>
        <v>-24103.193711823031</v>
      </c>
      <c r="I98" s="409">
        <f>IF(Init!$R$9="Yes",IF('Staging Table'!D100=1,'Staging Table'!H100*-1,'Staging Table'!H100*SUM(D98:H98)*(-1)),IF('Staging Table'!D100=1,'Staging Table'!BJ100*-1,'Staging Table'!BJ100*SUM(D98:H98)*(-1)))</f>
        <v>0</v>
      </c>
      <c r="J98" s="407">
        <f>IF(Init!$R$9="Yes",'Staging Table'!K100,'Staging Table'!BM100)*(-1)*Rates_previous!$H$32</f>
        <v>0</v>
      </c>
      <c r="K98" s="407">
        <f>IF(Init!$R$12="No",0,'Staging Table'!$AW100*-1)</f>
        <v>0</v>
      </c>
      <c r="L98" s="407">
        <f>IF('Staging Table'!C100=1,"",SUM(D98:K98))</f>
        <v>4362849.1875868868</v>
      </c>
      <c r="M98" s="407">
        <f>IF('Staging Table'!C100=1,"",IF(Init!$R$9="Yes",(RT1SC!$C$3*'Staging Table'!E100*'Staging Table'!$F$2)+SUM('Staging Table'!L100:AI100)-IF(Init!$R$15="No",'Staging Table'!AV100, 0),X98))</f>
        <v>119119.33928679966</v>
      </c>
      <c r="N98" s="169">
        <f>IF('Staging Table'!C100=1,"",IF(M98=0, 0, L98/M98))</f>
        <v>36.62586792126676</v>
      </c>
      <c r="O98" s="407">
        <f>'Staging Table'!BG100*Rates_current!$E$75*100*12</f>
        <v>4988463.9551999997</v>
      </c>
      <c r="P98" s="407">
        <f>'Staging Table'!BH100*Rates_current!$E$76*100*12</f>
        <v>-701670.44640000002</v>
      </c>
      <c r="Q98" s="408">
        <f>SUMPRODUCT('Staging Table'!BN100:CK100, LS_Demand_Rates_Restatement!$C$5:$Z$5)-IF(Init!$R$15="No",('Staging Table'!CX100*Rates_current!$H$35), 0)</f>
        <v>77730.946057228401</v>
      </c>
      <c r="R98" s="408">
        <f>SUMPRODUCT('Staging Table'!CL100:CW100, LS_Demand_Rates_Restatement!$C$11:$N$11)*1000</f>
        <v>238020.36485596505</v>
      </c>
      <c r="S98" s="409">
        <f>'Staging Table'!DH100*Rates_current!$H$33</f>
        <v>10.974407416459144</v>
      </c>
      <c r="T98" s="409">
        <f>IF('Staging Table'!D100=1, 'Staging Table'!BJ100*-1,SUM(O98:S98)*'Staging Table'!BJ100*-1)</f>
        <v>0</v>
      </c>
      <c r="U98" s="407">
        <f>'Staging Table'!BM100*Rates_current!$H$32*-1</f>
        <v>0</v>
      </c>
      <c r="V98" s="407">
        <f>IF(Init!$R$12="No",0,'Staging Table'!$CY100*-1)</f>
        <v>0</v>
      </c>
      <c r="W98" s="407">
        <f>IF('Staging Table'!C100=1,"",SUM(O98:V98))</f>
        <v>4602555.7941206098</v>
      </c>
      <c r="X98" s="407">
        <f>IF('Staging Table'!C100=1,"",(RT1SC!$C$4*'Staging Table'!BG100*'Staging Table'!$BH$2)+SUM('Staging Table'!BN100:CK100)-IF(Init!$R$15="No",'Staging Table'!CX100, 0))</f>
        <v>119119.3407378366</v>
      </c>
      <c r="Y98" s="169">
        <f>IF('Staging Table'!C100=1,"",IF(X98=0, 0, W98/X98))</f>
        <v>38.638190621371294</v>
      </c>
      <c r="Z98" s="160">
        <f>IF('Staging Table'!C100=1,"",Y98/N98-1)</f>
        <v>5.4942662503735029E-2</v>
      </c>
      <c r="AA98" s="97">
        <f t="shared" si="2"/>
        <v>25</v>
      </c>
      <c r="AD98" s="412"/>
      <c r="AE98" s="412"/>
      <c r="AF98" s="432"/>
      <c r="AG98" s="412"/>
      <c r="AH98" s="412"/>
    </row>
    <row r="99" spans="2:34">
      <c r="B99" s="3">
        <v>10306</v>
      </c>
      <c r="C99" s="4" t="s">
        <v>102</v>
      </c>
      <c r="D99" s="407">
        <f>IF(Init!$R$9="Yes",'Staging Table'!E101,'Staging Table'!BG101)*Rates_previous!$E$75*100*12</f>
        <v>0</v>
      </c>
      <c r="E99" s="407">
        <f>IF(Init!$R$9="Yes",'Staging Table'!F101,'Staging Table'!BH101)*Rates_previous!$E$76*100*12</f>
        <v>0</v>
      </c>
      <c r="F99" s="408">
        <f>IF(Init!$R$9="Yes",SUMPRODUCT('Staging Table'!L101:AI101,LS_Demand_Rates_Restatement!$C$4:$Z$4)-IF(Init!$R$15="No",('Staging Table'!AV101*Rates_previous!$H$35), 0),SUMPRODUCT('Staging Table'!BN101:CK101,LS_Demand_Rates_Restatement!$C$4:$Z$4)-IF(Init!$R$15="No", 'Staging Table'!CX101*Rates_previous!$H$35, 0))</f>
        <v>0</v>
      </c>
      <c r="G99" s="408">
        <f>IF(Init!$R$9="Yes",SUMPRODUCT('Staging Table'!AJ101:AU101,LS_Demand_Rates_Restatement!$C$10:$N$10),SUMPRODUCT(LS_Demand_Rates_Restatement!$C$10:$N$10,'Staging Table'!CL101:CW101))*1000</f>
        <v>0</v>
      </c>
      <c r="H99" s="409">
        <f>IF(Init!$R$9="Yes",'Staging Table'!BF101,'Staging Table'!DH101)*Rates_previous!$H$33</f>
        <v>0</v>
      </c>
      <c r="I99" s="409">
        <f>IF(Init!$R$9="Yes",IF('Staging Table'!D101=1,'Staging Table'!H101*-1,'Staging Table'!H101*SUM(D99:H99)*(-1)),IF('Staging Table'!D101=1,'Staging Table'!BJ101*-1,'Staging Table'!BJ101*SUM(D99:H99)*(-1)))</f>
        <v>0</v>
      </c>
      <c r="J99" s="407">
        <f>IF(Init!$R$9="Yes",'Staging Table'!K101,'Staging Table'!BM101)*(-1)*Rates_previous!$H$32</f>
        <v>0</v>
      </c>
      <c r="K99" s="407">
        <f>IF(Init!$R$12="No",0,'Staging Table'!$AW101*-1)</f>
        <v>0</v>
      </c>
      <c r="L99" s="407">
        <f>IF('Staging Table'!C101=1,"",SUM(D99:K99))</f>
        <v>0</v>
      </c>
      <c r="M99" s="407">
        <f>IF('Staging Table'!C101=1,"",IF(Init!$R$9="Yes",(RT1SC!$C$3*'Staging Table'!E101*'Staging Table'!$F$2)+SUM('Staging Table'!L101:AI101)-IF(Init!$R$15="No",'Staging Table'!AV101, 0),X99))</f>
        <v>0</v>
      </c>
      <c r="N99" s="169">
        <f>IF('Staging Table'!C101=1,"",IF(M99=0, 0, L99/M99))</f>
        <v>0</v>
      </c>
      <c r="O99" s="407">
        <f>'Staging Table'!BG101*Rates_current!$E$75*100*12</f>
        <v>0</v>
      </c>
      <c r="P99" s="407">
        <f>'Staging Table'!BH101*Rates_current!$E$76*100*12</f>
        <v>0</v>
      </c>
      <c r="Q99" s="408">
        <f>SUMPRODUCT('Staging Table'!BN101:CK101, LS_Demand_Rates_Restatement!$C$5:$Z$5)-IF(Init!$R$15="No",('Staging Table'!CX101*Rates_current!$H$35), 0)</f>
        <v>0</v>
      </c>
      <c r="R99" s="408">
        <f>SUMPRODUCT('Staging Table'!CL101:CW101, LS_Demand_Rates_Restatement!$C$11:$N$11)*1000</f>
        <v>0</v>
      </c>
      <c r="S99" s="409">
        <f>'Staging Table'!DH101*Rates_current!$H$33</f>
        <v>0</v>
      </c>
      <c r="T99" s="409">
        <f>IF('Staging Table'!D101=1, 'Staging Table'!BJ101*-1,SUM(O99:S99)*'Staging Table'!BJ101*-1)</f>
        <v>0</v>
      </c>
      <c r="U99" s="407">
        <f>'Staging Table'!BM101*Rates_current!$H$32*-1</f>
        <v>0</v>
      </c>
      <c r="V99" s="407">
        <f>IF(Init!$R$12="No",0,'Staging Table'!$CY101*-1)</f>
        <v>0</v>
      </c>
      <c r="W99" s="407">
        <f>IF('Staging Table'!C101=1,"",SUM(O99:V99))</f>
        <v>0</v>
      </c>
      <c r="X99" s="407">
        <f>IF('Staging Table'!C101=1,"",(RT1SC!$C$4*'Staging Table'!BG101*'Staging Table'!$BH$2)+SUM('Staging Table'!BN101:CK101)-IF(Init!$R$15="No",'Staging Table'!CX101, 0))</f>
        <v>0</v>
      </c>
      <c r="Y99" s="169">
        <f>IF('Staging Table'!C101=1,"",IF(X99=0, 0, W99/X99))</f>
        <v>0</v>
      </c>
      <c r="Z99" s="160"/>
      <c r="AA99" s="97" t="str">
        <f t="shared" si="2"/>
        <v/>
      </c>
      <c r="AD99" s="412"/>
      <c r="AE99" s="412"/>
      <c r="AF99" s="432"/>
      <c r="AG99" s="412"/>
      <c r="AH99" s="412"/>
    </row>
    <row r="100" spans="2:34">
      <c r="B100" s="3">
        <v>10307</v>
      </c>
      <c r="C100" s="4" t="s">
        <v>103</v>
      </c>
      <c r="D100" s="407">
        <f>IF(Init!$R$9="Yes",'Staging Table'!E102,'Staging Table'!BG102)*Rates_previous!$E$75*100*12</f>
        <v>25268070.643200003</v>
      </c>
      <c r="E100" s="407">
        <f>IF(Init!$R$9="Yes",'Staging Table'!F102,'Staging Table'!BH102)*Rates_previous!$E$76*100*12</f>
        <v>-3756364.3392000003</v>
      </c>
      <c r="F100" s="408">
        <f>IF(Init!$R$9="Yes",SUMPRODUCT('Staging Table'!L102:AI102,LS_Demand_Rates_Restatement!$C$4:$Z$4)-IF(Init!$R$15="No",('Staging Table'!AV102*Rates_previous!$H$35), 0),SUMPRODUCT('Staging Table'!BN102:CK102,LS_Demand_Rates_Restatement!$C$4:$Z$4)-IF(Init!$R$15="No", 'Staging Table'!CX102*Rates_previous!$H$35, 0))</f>
        <v>-770754.39500223577</v>
      </c>
      <c r="G100" s="408">
        <f>IF(Init!$R$9="Yes",SUMPRODUCT('Staging Table'!AJ102:AU102,LS_Demand_Rates_Restatement!$C$10:$N$10),SUMPRODUCT(LS_Demand_Rates_Restatement!$C$10:$N$10,'Staging Table'!CL102:CW102))*1000</f>
        <v>1745470.321483013</v>
      </c>
      <c r="H100" s="409">
        <f>IF(Init!$R$9="Yes",'Staging Table'!BF102,'Staging Table'!DH102)*Rates_previous!$H$33</f>
        <v>-326955.7764064481</v>
      </c>
      <c r="I100" s="409">
        <f>IF(Init!$R$9="Yes",IF('Staging Table'!D102=1,'Staging Table'!H102*-1,'Staging Table'!H102*SUM(D100:H100)*(-1)),IF('Staging Table'!D102=1,'Staging Table'!BJ102*-1,'Staging Table'!BJ102*SUM(D100:H100)*(-1)))</f>
        <v>0</v>
      </c>
      <c r="J100" s="407">
        <f>IF(Init!$R$9="Yes",'Staging Table'!K102,'Staging Table'!BM102)*(-1)*Rates_previous!$H$32</f>
        <v>0</v>
      </c>
      <c r="K100" s="407">
        <f>IF(Init!$R$12="No",0,'Staging Table'!$AW102*-1)</f>
        <v>0</v>
      </c>
      <c r="L100" s="407">
        <f>IF('Staging Table'!C102=1,"",SUM(D100:K100))</f>
        <v>22159466.454074331</v>
      </c>
      <c r="M100" s="407">
        <f>IF('Staging Table'!C102=1,"",IF(Init!$R$9="Yes",(RT1SC!$C$3*'Staging Table'!E102*'Staging Table'!$F$2)+SUM('Staging Table'!L102:AI102)-IF(Init!$R$15="No",'Staging Table'!AV102, 0),X100))</f>
        <v>588784.08447384764</v>
      </c>
      <c r="N100" s="169">
        <f>IF('Staging Table'!C102=1,"",IF(M100=0, 0, L100/M100))</f>
        <v>37.635980724371294</v>
      </c>
      <c r="O100" s="407">
        <f>'Staging Table'!BG102*Rates_current!$E$75*100*12</f>
        <v>24674807.664000001</v>
      </c>
      <c r="P100" s="407">
        <f>'Staging Table'!BH102*Rates_current!$E$76*100*12</f>
        <v>-3470724.3479999998</v>
      </c>
      <c r="Q100" s="408">
        <f>SUMPRODUCT('Staging Table'!BN102:CK102, LS_Demand_Rates_Restatement!$C$5:$Z$5)-IF(Init!$R$15="No",('Staging Table'!CX102*Rates_current!$H$35), 0)</f>
        <v>397198.29791472916</v>
      </c>
      <c r="R100" s="408">
        <f>SUMPRODUCT('Staging Table'!CL102:CW102, LS_Demand_Rates_Restatement!$C$11:$N$11)*1000</f>
        <v>1697459.1110576924</v>
      </c>
      <c r="S100" s="409">
        <f>'Staging Table'!DH102*Rates_current!$H$33</f>
        <v>-8.1141511349414941</v>
      </c>
      <c r="T100" s="409">
        <f>IF('Staging Table'!D102=1, 'Staging Table'!BJ102*-1,SUM(O100:S100)*'Staging Table'!BJ102*-1)</f>
        <v>0</v>
      </c>
      <c r="U100" s="407">
        <f>'Staging Table'!BM102*Rates_current!$H$32*-1</f>
        <v>0</v>
      </c>
      <c r="V100" s="407">
        <f>IF(Init!$R$12="No",0,'Staging Table'!$CY102*-1)</f>
        <v>0</v>
      </c>
      <c r="W100" s="407">
        <f>IF('Staging Table'!C102=1,"",SUM(O100:V100))</f>
        <v>23298732.610821284</v>
      </c>
      <c r="X100" s="407">
        <f>IF('Staging Table'!C102=1,"",(RT1SC!$C$4*'Staging Table'!BG102*'Staging Table'!$BH$2)+SUM('Staging Table'!BN102:CK102)-IF(Init!$R$15="No",'Staging Table'!CX102, 0))</f>
        <v>589205.7235959894</v>
      </c>
      <c r="Y100" s="169">
        <f>IF('Staging Table'!C102=1,"",IF(X100=0, 0, W100/X100))</f>
        <v>39.542610802601295</v>
      </c>
      <c r="Z100" s="160">
        <f>IF('Staging Table'!C102=1,"",Y100/N100-1)</f>
        <v>5.0659768698291252E-2</v>
      </c>
      <c r="AA100" s="97">
        <f t="shared" ref="AA100:AA131" si="3">IF(Z100="","",RANK(Z100,$Z$4:$Z$138))</f>
        <v>42</v>
      </c>
      <c r="AD100" s="412"/>
      <c r="AE100" s="412"/>
      <c r="AF100" s="432"/>
      <c r="AG100" s="412"/>
      <c r="AH100" s="412"/>
    </row>
    <row r="101" spans="2:34">
      <c r="B101" s="3">
        <v>10326</v>
      </c>
      <c r="C101" s="4" t="s">
        <v>104</v>
      </c>
      <c r="D101" s="407">
        <f>IF(Init!$R$9="Yes",'Staging Table'!E103,'Staging Table'!BG103)*Rates_previous!$E$75*100*12</f>
        <v>10157724.793439999</v>
      </c>
      <c r="E101" s="407">
        <f>IF(Init!$R$9="Yes",'Staging Table'!F103,'Staging Table'!BH103)*Rates_previous!$E$76*100*12</f>
        <v>-1510052.5766399999</v>
      </c>
      <c r="F101" s="408">
        <f>IF(Init!$R$9="Yes",SUMPRODUCT('Staging Table'!L103:AI103,LS_Demand_Rates_Restatement!$C$4:$Z$4)-IF(Init!$R$15="No",('Staging Table'!AV103*Rates_previous!$H$35), 0),SUMPRODUCT('Staging Table'!BN103:CK103,LS_Demand_Rates_Restatement!$C$4:$Z$4)-IF(Init!$R$15="No", 'Staging Table'!CX103*Rates_previous!$H$35, 0))</f>
        <v>84203.584968173396</v>
      </c>
      <c r="G101" s="408">
        <f>IF(Init!$R$9="Yes",SUMPRODUCT('Staging Table'!AJ103:AU103,LS_Demand_Rates_Restatement!$C$10:$N$10),SUMPRODUCT(LS_Demand_Rates_Restatement!$C$10:$N$10,'Staging Table'!CL103:CW103))*1000</f>
        <v>296558.84336805542</v>
      </c>
      <c r="H101" s="409">
        <f>IF(Init!$R$9="Yes",'Staging Table'!BF103,'Staging Table'!DH103)*Rates_previous!$H$33</f>
        <v>17606.434193486912</v>
      </c>
      <c r="I101" s="409">
        <f>IF(Init!$R$9="Yes",IF('Staging Table'!D103=1,'Staging Table'!H103*-1,'Staging Table'!H103*SUM(D101:H101)*(-1)),IF('Staging Table'!D103=1,'Staging Table'!BJ103*-1,'Staging Table'!BJ103*SUM(D101:H101)*(-1)))</f>
        <v>0</v>
      </c>
      <c r="J101" s="407">
        <f>IF(Init!$R$9="Yes",'Staging Table'!K103,'Staging Table'!BM103)*(-1)*Rates_previous!$H$32</f>
        <v>0</v>
      </c>
      <c r="K101" s="407">
        <f>IF(Init!$R$12="No",0,'Staging Table'!$AW103*-1)</f>
        <v>0</v>
      </c>
      <c r="L101" s="407">
        <f>IF('Staging Table'!C103=1,"",SUM(D101:K101))</f>
        <v>9046041.0793297142</v>
      </c>
      <c r="M101" s="407">
        <f>IF('Staging Table'!C103=1,"",IF(Init!$R$9="Yes",(RT1SC!$C$3*'Staging Table'!E103*'Staging Table'!$F$2)+SUM('Staging Table'!L103:AI103)-IF(Init!$R$15="No",'Staging Table'!AV103, 0),X101))</f>
        <v>253703.7315924844</v>
      </c>
      <c r="N101" s="169">
        <f>IF('Staging Table'!C103=1,"",IF(M101=0, 0, L101/M101))</f>
        <v>35.655924422349685</v>
      </c>
      <c r="O101" s="407">
        <f>'Staging Table'!BG103*Rates_current!$E$75*100*12</f>
        <v>10512206.907839999</v>
      </c>
      <c r="P101" s="407">
        <f>'Staging Table'!BH103*Rates_current!$E$76*100*12</f>
        <v>-1478632.4968799998</v>
      </c>
      <c r="Q101" s="408">
        <f>SUMPRODUCT('Staging Table'!BN103:CK103, LS_Demand_Rates_Restatement!$C$5:$Z$5)-IF(Init!$R$15="No",('Staging Table'!CX103*Rates_current!$H$35), 0)</f>
        <v>149948.04970474425</v>
      </c>
      <c r="R101" s="408">
        <f>SUMPRODUCT('Staging Table'!CL103:CW103, LS_Demand_Rates_Restatement!$C$11:$N$11)*1000</f>
        <v>256797.1825947293</v>
      </c>
      <c r="S101" s="409">
        <f>'Staging Table'!DH103*Rates_current!$H$33</f>
        <v>34245.666942398595</v>
      </c>
      <c r="T101" s="409">
        <f>IF('Staging Table'!D103=1, 'Staging Table'!BJ103*-1,SUM(O101:S101)*'Staging Table'!BJ103*-1)</f>
        <v>0</v>
      </c>
      <c r="U101" s="407">
        <f>'Staging Table'!BM103*Rates_current!$H$32*-1</f>
        <v>0</v>
      </c>
      <c r="V101" s="407">
        <f>IF(Init!$R$12="No",0,'Staging Table'!$CY103*-1)</f>
        <v>0</v>
      </c>
      <c r="W101" s="407">
        <f>IF('Staging Table'!C103=1,"",SUM(O101:V101))</f>
        <v>9474565.3102018703</v>
      </c>
      <c r="X101" s="407">
        <f>IF('Staging Table'!C103=1,"",(RT1SC!$C$4*'Staging Table'!BG103*'Staging Table'!$BH$2)+SUM('Staging Table'!BN103:CK103)-IF(Init!$R$15="No",'Staging Table'!CX103, 0))</f>
        <v>253703.73466214893</v>
      </c>
      <c r="Y101" s="169">
        <f>IF('Staging Table'!C103=1,"",IF(X101=0, 0, W101/X101))</f>
        <v>37.344997395560291</v>
      </c>
      <c r="Z101" s="160">
        <f>IF('Staging Table'!C103=1,"",Y101/N101-1)</f>
        <v>4.7371453708598077E-2</v>
      </c>
      <c r="AA101" s="97">
        <f t="shared" si="3"/>
        <v>74</v>
      </c>
      <c r="AD101" s="412"/>
      <c r="AE101" s="412"/>
      <c r="AF101" s="432"/>
      <c r="AG101" s="412"/>
      <c r="AH101" s="412"/>
    </row>
    <row r="102" spans="2:34">
      <c r="B102" s="3">
        <v>10331</v>
      </c>
      <c r="C102" s="4" t="s">
        <v>105</v>
      </c>
      <c r="D102" s="407">
        <f>IF(Init!$R$9="Yes",'Staging Table'!E104,'Staging Table'!BG104)*Rates_previous!$E$75*100*12</f>
        <v>12352343.86008</v>
      </c>
      <c r="E102" s="407">
        <f>IF(Init!$R$9="Yes",'Staging Table'!F104,'Staging Table'!BH104)*Rates_previous!$E$76*100*12</f>
        <v>-1836305.7724800003</v>
      </c>
      <c r="F102" s="408">
        <f>IF(Init!$R$9="Yes",SUMPRODUCT('Staging Table'!L104:AI104,LS_Demand_Rates_Restatement!$C$4:$Z$4)-IF(Init!$R$15="No",('Staging Table'!AV104*Rates_previous!$H$35), 0),SUMPRODUCT('Staging Table'!BN104:CK104,LS_Demand_Rates_Restatement!$C$4:$Z$4)-IF(Init!$R$15="No", 'Staging Table'!CX104*Rates_previous!$H$35, 0))</f>
        <v>0</v>
      </c>
      <c r="G102" s="408">
        <f>IF(Init!$R$9="Yes",SUMPRODUCT('Staging Table'!AJ104:AU104,LS_Demand_Rates_Restatement!$C$10:$N$10),SUMPRODUCT(LS_Demand_Rates_Restatement!$C$10:$N$10,'Staging Table'!CL104:CW104))*1000</f>
        <v>0</v>
      </c>
      <c r="H102" s="409">
        <f>IF(Init!$R$9="Yes",'Staging Table'!BF104,'Staging Table'!DH104)*Rates_previous!$H$33</f>
        <v>-0.71775864697701763</v>
      </c>
      <c r="I102" s="409">
        <f>IF(Init!$R$9="Yes",IF('Staging Table'!D104=1,'Staging Table'!H104*-1,'Staging Table'!H104*SUM(D102:H102)*(-1)),IF('Staging Table'!D104=1,'Staging Table'!BJ104*-1,'Staging Table'!BJ104*SUM(D102:H102)*(-1)))</f>
        <v>-736122.61588889488</v>
      </c>
      <c r="J102" s="407">
        <f>IF(Init!$R$9="Yes",'Staging Table'!K104,'Staging Table'!BM104)*(-1)*Rates_previous!$H$32</f>
        <v>-1566432.3186600001</v>
      </c>
      <c r="K102" s="407">
        <f>IF(Init!$R$12="No",0,'Staging Table'!$AW104*-1)</f>
        <v>0</v>
      </c>
      <c r="L102" s="407" t="str">
        <f>IF('Staging Table'!C104=1,"",SUM(D102:K102))</f>
        <v/>
      </c>
      <c r="M102" s="407" t="str">
        <f>IF('Staging Table'!C104=1,"",IF(Init!$R$9="Yes",(RT1SC!$C$3*'Staging Table'!E104*'Staging Table'!$F$2)+SUM('Staging Table'!L104:AI104)-IF(Init!$R$15="No",'Staging Table'!AV104, 0),X102))</f>
        <v/>
      </c>
      <c r="N102" s="169" t="str">
        <f>IF('Staging Table'!C104=1,"",IF(M102=0, 0, L102/M102))</f>
        <v/>
      </c>
      <c r="O102" s="407">
        <f>'Staging Table'!BG104*Rates_current!$E$75*100*12</f>
        <v>13212295.824960001</v>
      </c>
      <c r="P102" s="407">
        <f>'Staging Table'!BH104*Rates_current!$E$76*100*12</f>
        <v>-1858423.2727199998</v>
      </c>
      <c r="Q102" s="408">
        <f>SUMPRODUCT('Staging Table'!BN104:CK104, LS_Demand_Rates_Restatement!$C$5:$Z$5)-IF(Init!$R$15="No",('Staging Table'!CX104*Rates_current!$H$35), 0)</f>
        <v>0</v>
      </c>
      <c r="R102" s="408">
        <f>SUMPRODUCT('Staging Table'!CL104:CW104, LS_Demand_Rates_Restatement!$C$11:$N$11)*1000</f>
        <v>0</v>
      </c>
      <c r="S102" s="409">
        <f>'Staging Table'!DH104*Rates_current!$H$33</f>
        <v>0</v>
      </c>
      <c r="T102" s="409">
        <f>IF('Staging Table'!D104=1, 'Staging Table'!BJ104*-1,SUM(O102:S102)*'Staging Table'!BJ104*-1)</f>
        <v>-796602.70435521775</v>
      </c>
      <c r="U102" s="407">
        <f>'Staging Table'!BM104*Rates_current!$H$32*-1</f>
        <v>-1565101.4500800001</v>
      </c>
      <c r="V102" s="407">
        <f>IF(Init!$R$12="No",0,'Staging Table'!$CY104*-1)</f>
        <v>0</v>
      </c>
      <c r="W102" s="407" t="str">
        <f>IF('Staging Table'!C104=1,"",SUM(O102:V102))</f>
        <v/>
      </c>
      <c r="X102" s="407" t="str">
        <f>IF('Staging Table'!C104=1,"",(RT1SC!$C$4*'Staging Table'!BG104*'Staging Table'!$BH$2)+SUM('Staging Table'!BN104:CK104)-IF(Init!$R$15="No",'Staging Table'!CX104, 0))</f>
        <v/>
      </c>
      <c r="Y102" s="169" t="str">
        <f>IF('Staging Table'!C104=1,"",IF(X102=0, 0, W102/X102))</f>
        <v/>
      </c>
      <c r="Z102" s="160" t="str">
        <f>IF('Staging Table'!C104=1,"",Y102/N102-1)</f>
        <v/>
      </c>
      <c r="AA102" s="97" t="str">
        <f t="shared" si="3"/>
        <v/>
      </c>
      <c r="AD102" s="412"/>
      <c r="AE102" s="412"/>
      <c r="AF102" s="432"/>
      <c r="AG102" s="412"/>
      <c r="AH102" s="412"/>
    </row>
    <row r="103" spans="2:34">
      <c r="B103" s="3">
        <v>10333</v>
      </c>
      <c r="C103" s="4" t="s">
        <v>106</v>
      </c>
      <c r="D103" s="407">
        <f>IF(Init!$R$9="Yes",'Staging Table'!E105,'Staging Table'!BG105)*Rates_previous!$E$75*100*12</f>
        <v>6498953.7101999987</v>
      </c>
      <c r="E103" s="407">
        <f>IF(Init!$R$9="Yes",'Staging Table'!F105,'Staging Table'!BH105)*Rates_previous!$E$76*100*12</f>
        <v>-966137.79120000009</v>
      </c>
      <c r="F103" s="408">
        <f>IF(Init!$R$9="Yes",SUMPRODUCT('Staging Table'!L105:AI105,LS_Demand_Rates_Restatement!$C$4:$Z$4)-IF(Init!$R$15="No",('Staging Table'!AV105*Rates_previous!$H$35), 0),SUMPRODUCT('Staging Table'!BN105:CK105,LS_Demand_Rates_Restatement!$C$4:$Z$4)-IF(Init!$R$15="No", 'Staging Table'!CX105*Rates_previous!$H$35, 0))</f>
        <v>7290.1237781394429</v>
      </c>
      <c r="G103" s="408">
        <f>IF(Init!$R$9="Yes",SUMPRODUCT('Staging Table'!AJ105:AU105,LS_Demand_Rates_Restatement!$C$10:$N$10),SUMPRODUCT(LS_Demand_Rates_Restatement!$C$10:$N$10,'Staging Table'!CL105:CW105))*1000</f>
        <v>374863.86836242885</v>
      </c>
      <c r="H103" s="409">
        <f>IF(Init!$R$9="Yes",'Staging Table'!BF105,'Staging Table'!DH105)*Rates_previous!$H$33</f>
        <v>-4062.1377951958289</v>
      </c>
      <c r="I103" s="409">
        <f>IF(Init!$R$9="Yes",IF('Staging Table'!D105=1,'Staging Table'!H105*-1,'Staging Table'!H105*SUM(D103:H103)*(-1)),IF('Staging Table'!D105=1,'Staging Table'!BJ105*-1,'Staging Table'!BJ105*SUM(D103:H103)*(-1)))</f>
        <v>-388878.62240839197</v>
      </c>
      <c r="J103" s="407">
        <f>IF(Init!$R$9="Yes",'Staging Table'!K105,'Staging Table'!BM105)*(-1)*Rates_previous!$H$32</f>
        <v>0</v>
      </c>
      <c r="K103" s="407">
        <f>IF(Init!$R$12="No",0,'Staging Table'!$AW105*-1)</f>
        <v>0</v>
      </c>
      <c r="L103" s="407">
        <f>IF('Staging Table'!C105=1,"",SUM(D103:K103))</f>
        <v>5522029.1509369789</v>
      </c>
      <c r="M103" s="407">
        <f>IF('Staging Table'!C105=1,"",IF(Init!$R$9="Yes",(RT1SC!$C$3*'Staging Table'!E105*'Staging Table'!$F$2)+SUM('Staging Table'!L105:AI105)-IF(Init!$R$15="No",'Staging Table'!AV105, 0),X103))</f>
        <v>160586.85737907392</v>
      </c>
      <c r="N103" s="169">
        <f>IF('Staging Table'!C105=1,"",IF(M103=0, 0, L103/M103))</f>
        <v>34.386557163279754</v>
      </c>
      <c r="O103" s="407">
        <f>'Staging Table'!BG105*Rates_current!$E$75*100*12</f>
        <v>6683216.8780800011</v>
      </c>
      <c r="P103" s="407">
        <f>'Staging Table'!BH105*Rates_current!$E$76*100*12</f>
        <v>-940052.05055999989</v>
      </c>
      <c r="Q103" s="408">
        <f>SUMPRODUCT('Staging Table'!BN105:CK105, LS_Demand_Rates_Restatement!$C$5:$Z$5)-IF(Init!$R$15="No",('Staging Table'!CX105*Rates_current!$H$35), 0)</f>
        <v>53717.220068158327</v>
      </c>
      <c r="R103" s="408">
        <f>SUMPRODUCT('Staging Table'!CL105:CW105, LS_Demand_Rates_Restatement!$C$11:$N$11)*1000</f>
        <v>355344.4110787661</v>
      </c>
      <c r="S103" s="409">
        <f>'Staging Table'!DH105*Rates_current!$H$33</f>
        <v>0</v>
      </c>
      <c r="T103" s="409">
        <f>IF('Staging Table'!D105=1, 'Staging Table'!BJ105*-1,SUM(O103:S103)*'Staging Table'!BJ105*-1)</f>
        <v>-411440.69756183092</v>
      </c>
      <c r="U103" s="407">
        <f>'Staging Table'!BM105*Rates_current!$H$32*-1</f>
        <v>0</v>
      </c>
      <c r="V103" s="407">
        <f>IF(Init!$R$12="No",0,'Staging Table'!$CY105*-1)</f>
        <v>0</v>
      </c>
      <c r="W103" s="407">
        <f>IF('Staging Table'!C105=1,"",SUM(O103:V103))</f>
        <v>5740785.761105095</v>
      </c>
      <c r="X103" s="407">
        <f>IF('Staging Table'!C105=1,"",(RT1SC!$C$4*'Staging Table'!BG105*'Staging Table'!$BH$2)+SUM('Staging Table'!BN105:CK105)-IF(Init!$R$15="No",'Staging Table'!CX105, 0))</f>
        <v>159589.68</v>
      </c>
      <c r="Y103" s="169">
        <f>IF('Staging Table'!C105=1,"",IF(X103=0, 0, W103/X103))</f>
        <v>35.972161615369458</v>
      </c>
      <c r="Z103" s="160">
        <f>IF('Staging Table'!C105=1,"",Y103/N103-1)</f>
        <v>4.6111172007150536E-2</v>
      </c>
      <c r="AA103" s="97">
        <f t="shared" si="3"/>
        <v>82</v>
      </c>
      <c r="AD103" s="412"/>
      <c r="AE103" s="412"/>
      <c r="AF103" s="432"/>
      <c r="AG103" s="412"/>
      <c r="AH103" s="412"/>
    </row>
    <row r="104" spans="2:34">
      <c r="B104" s="3">
        <v>10338</v>
      </c>
      <c r="C104" s="4" t="s">
        <v>107</v>
      </c>
      <c r="D104" s="407">
        <f>IF(Init!$R$9="Yes",'Staging Table'!E106,'Staging Table'!BG106)*Rates_previous!$E$75*100*12</f>
        <v>832697.78256000008</v>
      </c>
      <c r="E104" s="407">
        <f>IF(Init!$R$9="Yes",'Staging Table'!F106,'Staging Table'!BH106)*Rates_previous!$E$76*100*12</f>
        <v>-123789.27935999999</v>
      </c>
      <c r="F104" s="408">
        <f>IF(Init!$R$9="Yes",SUMPRODUCT('Staging Table'!L106:AI106,LS_Demand_Rates_Restatement!$C$4:$Z$4)-IF(Init!$R$15="No",('Staging Table'!AV106*Rates_previous!$H$35), 0),SUMPRODUCT('Staging Table'!BN106:CK106,LS_Demand_Rates_Restatement!$C$4:$Z$4)-IF(Init!$R$15="No", 'Staging Table'!CX106*Rates_previous!$H$35, 0))</f>
        <v>-3987.4345799787161</v>
      </c>
      <c r="G104" s="408">
        <f>IF(Init!$R$9="Yes",SUMPRODUCT('Staging Table'!AJ106:AU106,LS_Demand_Rates_Restatement!$C$10:$N$10),SUMPRODUCT(LS_Demand_Rates_Restatement!$C$10:$N$10,'Staging Table'!CL106:CW106))*1000</f>
        <v>38227.66677540954</v>
      </c>
      <c r="H104" s="409">
        <f>IF(Init!$R$9="Yes",'Staging Table'!BF106,'Staging Table'!DH106)*Rates_previous!$H$33</f>
        <v>0</v>
      </c>
      <c r="I104" s="409">
        <f>IF(Init!$R$9="Yes",IF('Staging Table'!D106=1,'Staging Table'!H106*-1,'Staging Table'!H106*SUM(D104:H104)*(-1)),IF('Staging Table'!D106=1,'Staging Table'!BJ106*-1,'Staging Table'!BJ106*SUM(D104:H104)*(-1)))</f>
        <v>-31665.567615199318</v>
      </c>
      <c r="J104" s="407">
        <f>IF(Init!$R$9="Yes",'Staging Table'!K106,'Staging Table'!BM106)*(-1)*Rates_previous!$H$32</f>
        <v>-48906.8217</v>
      </c>
      <c r="K104" s="407">
        <f>IF(Init!$R$12="No",0,'Staging Table'!$AW106*-1)</f>
        <v>0</v>
      </c>
      <c r="L104" s="407">
        <f>IF('Staging Table'!C106=1,"",SUM(D104:K104))</f>
        <v>662576.34608023171</v>
      </c>
      <c r="M104" s="407">
        <f>IF('Staging Table'!C106=1,"",IF(Init!$R$9="Yes",(RT1SC!$C$3*'Staging Table'!E106*'Staging Table'!$F$2)+SUM('Staging Table'!L106:AI106)-IF(Init!$R$15="No",'Staging Table'!AV106, 0),X104))</f>
        <v>20633.616000000002</v>
      </c>
      <c r="N104" s="169">
        <f>IF('Staging Table'!C106=1,"",IF(M104=0, 0, L104/M104))</f>
        <v>32.111499316466471</v>
      </c>
      <c r="O104" s="407">
        <f>'Staging Table'!BG106*Rates_current!$E$75*100*12</f>
        <v>856548.30527999997</v>
      </c>
      <c r="P104" s="407">
        <f>'Staging Table'!BH106*Rates_current!$E$76*100*12</f>
        <v>-120480.90096</v>
      </c>
      <c r="Q104" s="408">
        <f>SUMPRODUCT('Staging Table'!BN106:CK106, LS_Demand_Rates_Restatement!$C$5:$Z$5)-IF(Init!$R$15="No",('Staging Table'!CX106*Rates_current!$H$35), 0)</f>
        <v>-5867.8272317129213</v>
      </c>
      <c r="R104" s="408">
        <f>SUMPRODUCT('Staging Table'!CL106:CW106, LS_Demand_Rates_Restatement!$C$11:$N$11)*1000</f>
        <v>35402.259976112895</v>
      </c>
      <c r="S104" s="409">
        <f>'Staging Table'!DH106*Rates_current!$H$33</f>
        <v>0</v>
      </c>
      <c r="T104" s="409">
        <f>IF('Staging Table'!D106=1, 'Staging Table'!BJ106*-1,SUM(O104:S104)*'Staging Table'!BJ106*-1)</f>
        <v>-31437.218046139042</v>
      </c>
      <c r="U104" s="407">
        <f>'Staging Table'!BM106*Rates_current!$H$32*-1</f>
        <v>-48865.2696</v>
      </c>
      <c r="V104" s="407">
        <f>IF(Init!$R$12="No",0,'Staging Table'!$CY106*-1)</f>
        <v>0</v>
      </c>
      <c r="W104" s="407">
        <f>IF('Staging Table'!C106=1,"",SUM(O104:V104))</f>
        <v>685299.34941826097</v>
      </c>
      <c r="X104" s="407">
        <f>IF('Staging Table'!C106=1,"",(RT1SC!$C$4*'Staging Table'!BG106*'Staging Table'!$BH$2)+SUM('Staging Table'!BN106:CK106)-IF(Init!$R$15="No",'Staging Table'!CX106, 0))</f>
        <v>20454.599999999999</v>
      </c>
      <c r="Y104" s="169">
        <f>IF('Staging Table'!C106=1,"",IF(X104=0, 0, W104/X104))</f>
        <v>33.503434406845457</v>
      </c>
      <c r="Z104" s="160">
        <f>IF('Staging Table'!C106=1,"",Y104/N104-1)</f>
        <v>4.3346935521793473E-2</v>
      </c>
      <c r="AA104" s="97">
        <f t="shared" si="3"/>
        <v>97</v>
      </c>
      <c r="AD104" s="412"/>
      <c r="AE104" s="412"/>
      <c r="AF104" s="432"/>
      <c r="AG104" s="412"/>
      <c r="AH104" s="412"/>
    </row>
    <row r="105" spans="2:34">
      <c r="B105" s="3">
        <v>10342</v>
      </c>
      <c r="C105" s="4" t="s">
        <v>108</v>
      </c>
      <c r="D105" s="407">
        <f>IF(Init!$R$9="Yes",'Staging Table'!E107,'Staging Table'!BG107)*Rates_previous!$E$75*100*12</f>
        <v>13220686.2564</v>
      </c>
      <c r="E105" s="407">
        <f>IF(Init!$R$9="Yes",'Staging Table'!F107,'Staging Table'!BH107)*Rates_previous!$E$76*100*12</f>
        <v>-1965393.9983999999</v>
      </c>
      <c r="F105" s="408">
        <f>IF(Init!$R$9="Yes",SUMPRODUCT('Staging Table'!L107:AI107,LS_Demand_Rates_Restatement!$C$4:$Z$4)-IF(Init!$R$15="No",('Staging Table'!AV107*Rates_previous!$H$35), 0),SUMPRODUCT('Staging Table'!BN107:CK107,LS_Demand_Rates_Restatement!$C$4:$Z$4)-IF(Init!$R$15="No", 'Staging Table'!CX107*Rates_previous!$H$35, 0))</f>
        <v>110419.07208039818</v>
      </c>
      <c r="G105" s="408">
        <f>IF(Init!$R$9="Yes",SUMPRODUCT('Staging Table'!AJ107:AU107,LS_Demand_Rates_Restatement!$C$10:$N$10),SUMPRODUCT(LS_Demand_Rates_Restatement!$C$10:$N$10,'Staging Table'!CL107:CW107))*1000</f>
        <v>704938.44241562509</v>
      </c>
      <c r="H105" s="409">
        <f>IF(Init!$R$9="Yes",'Staging Table'!BF107,'Staging Table'!DH107)*Rates_previous!$H$33</f>
        <v>-697.78027539176401</v>
      </c>
      <c r="I105" s="409">
        <f>IF(Init!$R$9="Yes",IF('Staging Table'!D107=1,'Staging Table'!H107*-1,'Staging Table'!H107*SUM(D105:H105)*(-1)),IF('Staging Table'!D107=1,'Staging Table'!BJ107*-1,'Staging Table'!BJ107*SUM(D105:H105)*(-1)))</f>
        <v>0</v>
      </c>
      <c r="J105" s="407">
        <f>IF(Init!$R$9="Yes",'Staging Table'!K107,'Staging Table'!BM107)*(-1)*Rates_previous!$H$32</f>
        <v>0</v>
      </c>
      <c r="K105" s="407">
        <f>IF(Init!$R$12="No",0,'Staging Table'!$AW107*-1)</f>
        <v>0</v>
      </c>
      <c r="L105" s="407">
        <f>IF('Staging Table'!C107=1,"",SUM(D105:K105))</f>
        <v>12069951.992220633</v>
      </c>
      <c r="M105" s="407">
        <f>IF('Staging Table'!C107=1,"",IF(Init!$R$9="Yes",(RT1SC!$C$3*'Staging Table'!E107*'Staging Table'!$F$2)+SUM('Staging Table'!L107:AI107)-IF(Init!$R$15="No",'Staging Table'!AV107, 0),X105))</f>
        <v>327538.00277114217</v>
      </c>
      <c r="N105" s="169">
        <f>IF('Staging Table'!C107=1,"",IF(M105=0, 0, L105/M105))</f>
        <v>36.850539143862846</v>
      </c>
      <c r="O105" s="407">
        <f>'Staging Table'!BG107*Rates_current!$E$75*100*12</f>
        <v>13716492.462719999</v>
      </c>
      <c r="P105" s="407">
        <f>'Staging Table'!BH107*Rates_current!$E$76*100*12</f>
        <v>-1929342.8750400001</v>
      </c>
      <c r="Q105" s="408">
        <f>SUMPRODUCT('Staging Table'!BN107:CK107, LS_Demand_Rates_Restatement!$C$5:$Z$5)-IF(Init!$R$15="No",('Staging Table'!CX107*Rates_current!$H$35), 0)</f>
        <v>191289.33683016856</v>
      </c>
      <c r="R105" s="408">
        <f>SUMPRODUCT('Staging Table'!CL107:CW107, LS_Demand_Rates_Restatement!$C$11:$N$11)*1000</f>
        <v>695652.69790205674</v>
      </c>
      <c r="S105" s="409">
        <f>'Staging Table'!DH107*Rates_current!$H$33</f>
        <v>20.486424973540124</v>
      </c>
      <c r="T105" s="409">
        <f>IF('Staging Table'!D107=1, 'Staging Table'!BJ107*-1,SUM(O105:S105)*'Staging Table'!BJ107*-1)</f>
        <v>0</v>
      </c>
      <c r="U105" s="407">
        <f>'Staging Table'!BM107*Rates_current!$H$32*-1</f>
        <v>0</v>
      </c>
      <c r="V105" s="407">
        <f>IF(Init!$R$12="No",0,'Staging Table'!$CY107*-1)</f>
        <v>0</v>
      </c>
      <c r="W105" s="407">
        <f>IF('Staging Table'!C107=1,"",SUM(O105:V105))</f>
        <v>12674112.108837198</v>
      </c>
      <c r="X105" s="407">
        <f>IF('Staging Table'!C107=1,"",(RT1SC!$C$4*'Staging Table'!BG107*'Staging Table'!$BH$2)+SUM('Staging Table'!BN107:CK107)-IF(Init!$R$15="No",'Staging Table'!CX107, 0))</f>
        <v>327538.00677842932</v>
      </c>
      <c r="Y105" s="169">
        <f>IF('Staging Table'!C107=1,"",IF(X105=0, 0, W105/X105))</f>
        <v>38.695088345612653</v>
      </c>
      <c r="Z105" s="160">
        <f>IF('Staging Table'!C107=1,"",Y105/N105-1)</f>
        <v>5.0054876932702941E-2</v>
      </c>
      <c r="AA105" s="97">
        <f t="shared" si="3"/>
        <v>45</v>
      </c>
      <c r="AD105" s="412"/>
      <c r="AE105" s="412"/>
      <c r="AF105" s="432"/>
      <c r="AG105" s="412"/>
      <c r="AH105" s="412"/>
    </row>
    <row r="106" spans="2:34">
      <c r="B106" s="3">
        <v>10343</v>
      </c>
      <c r="C106" s="4" t="s">
        <v>109</v>
      </c>
      <c r="D106" s="407">
        <f>IF(Init!$R$9="Yes",'Staging Table'!E108,'Staging Table'!BG108)*Rates_previous!$E$75*100*12</f>
        <v>4336018.7446799995</v>
      </c>
      <c r="E106" s="407">
        <f>IF(Init!$R$9="Yes",'Staging Table'!F108,'Staging Table'!BH108)*Rates_previous!$E$76*100*12</f>
        <v>-644594.77008000005</v>
      </c>
      <c r="F106" s="408">
        <f>IF(Init!$R$9="Yes",SUMPRODUCT('Staging Table'!L108:AI108,LS_Demand_Rates_Restatement!$C$4:$Z$4)-IF(Init!$R$15="No",('Staging Table'!AV108*Rates_previous!$H$35), 0),SUMPRODUCT('Staging Table'!BN108:CK108,LS_Demand_Rates_Restatement!$C$4:$Z$4)-IF(Init!$R$15="No", 'Staging Table'!CX108*Rates_previous!$H$35, 0))</f>
        <v>-205515.96762824076</v>
      </c>
      <c r="G106" s="408">
        <f>IF(Init!$R$9="Yes",SUMPRODUCT('Staging Table'!AJ108:AU108,LS_Demand_Rates_Restatement!$C$10:$N$10),SUMPRODUCT(LS_Demand_Rates_Restatement!$C$10:$N$10,'Staging Table'!CL108:CW108))*1000</f>
        <v>0</v>
      </c>
      <c r="H106" s="409">
        <f>IF(Init!$R$9="Yes",'Staging Table'!BF108,'Staging Table'!DH108)*Rates_previous!$H$33</f>
        <v>-69822.099311717349</v>
      </c>
      <c r="I106" s="409">
        <f>IF(Init!$R$9="Yes",IF('Staging Table'!D108=1,'Staging Table'!H108*-1,'Staging Table'!H108*SUM(D106:H106)*(-1)),IF('Staging Table'!D108=1,'Staging Table'!BJ108*-1,'Staging Table'!BJ108*SUM(D106:H106)*(-1)))</f>
        <v>-187884.72492130229</v>
      </c>
      <c r="J106" s="407">
        <f>IF(Init!$R$9="Yes",'Staging Table'!K108,'Staging Table'!BM108)*(-1)*Rates_previous!$H$32</f>
        <v>-123651.62996999999</v>
      </c>
      <c r="K106" s="407">
        <f>IF(Init!$R$12="No",0,'Staging Table'!$AW108*-1)</f>
        <v>0</v>
      </c>
      <c r="L106" s="407">
        <f>IF('Staging Table'!C108=1,"",SUM(D106:K106))</f>
        <v>3104549.5527687389</v>
      </c>
      <c r="M106" s="407">
        <f>IF('Staging Table'!C108=1,"",IF(Init!$R$9="Yes",(RT1SC!$C$3*'Staging Table'!E108*'Staging Table'!$F$2)+SUM('Staging Table'!L108:AI108)-IF(Init!$R$15="No",'Staging Table'!AV108, 0),X106))</f>
        <v>99556.385252913286</v>
      </c>
      <c r="N106" s="169">
        <f>IF('Staging Table'!C108=1,"",IF(M106=0, 0, L106/M106))</f>
        <v>31.1838316033867</v>
      </c>
      <c r="O106" s="407">
        <f>'Staging Table'!BG108*Rates_current!$E$75*100*12</f>
        <v>4169367.3456000006</v>
      </c>
      <c r="P106" s="407">
        <f>'Staging Table'!BH108*Rates_current!$E$76*100*12</f>
        <v>-586457.44920000003</v>
      </c>
      <c r="Q106" s="408">
        <f>SUMPRODUCT('Staging Table'!BN108:CK108, LS_Demand_Rates_Restatement!$C$5:$Z$5)-IF(Init!$R$15="No",('Staging Table'!CX108*Rates_current!$H$35), 0)</f>
        <v>4075.2967881841969</v>
      </c>
      <c r="R106" s="408">
        <f>SUMPRODUCT('Staging Table'!CL108:CW108, LS_Demand_Rates_Restatement!$C$11:$N$11)*1000</f>
        <v>0</v>
      </c>
      <c r="S106" s="409">
        <f>'Staging Table'!DH108*Rates_current!$H$33</f>
        <v>-12.922730790483911</v>
      </c>
      <c r="T106" s="409">
        <f>IF('Staging Table'!D108=1, 'Staging Table'!BJ108*-1,SUM(O106:S106)*'Staging Table'!BJ108*-1)</f>
        <v>-215218.33622744362</v>
      </c>
      <c r="U106" s="407">
        <f>'Staging Table'!BM108*Rates_current!$H$32*-1</f>
        <v>-123546.57335999999</v>
      </c>
      <c r="V106" s="407">
        <f>IF(Init!$R$12="No",0,'Staging Table'!$CY108*-1)</f>
        <v>0</v>
      </c>
      <c r="W106" s="407">
        <f>IF('Staging Table'!C108=1,"",SUM(O106:V106))</f>
        <v>3248207.3608699506</v>
      </c>
      <c r="X106" s="407">
        <f>IF('Staging Table'!C108=1,"",(RT1SC!$C$4*'Staging Table'!BG108*'Staging Table'!$BH$2)+SUM('Staging Table'!BN108:CK108)-IF(Init!$R$15="No",'Staging Table'!CX108, 0))</f>
        <v>99556.38645248703</v>
      </c>
      <c r="Y106" s="169">
        <f>IF('Staging Table'!C108=1,"",IF(X106=0, 0, W106/X106))</f>
        <v>32.626810560467128</v>
      </c>
      <c r="Z106" s="160">
        <f>IF('Staging Table'!C108=1,"",Y106/N106-1)</f>
        <v>4.6273305199727721E-2</v>
      </c>
      <c r="AA106" s="97">
        <f t="shared" si="3"/>
        <v>79</v>
      </c>
      <c r="AD106" s="412"/>
      <c r="AE106" s="412"/>
      <c r="AF106" s="432"/>
      <c r="AG106" s="412"/>
      <c r="AH106" s="412"/>
    </row>
    <row r="107" spans="2:34">
      <c r="B107" s="3">
        <v>10349</v>
      </c>
      <c r="C107" s="4" t="s">
        <v>110</v>
      </c>
      <c r="D107" s="407">
        <f>IF(Init!$R$9="Yes",'Staging Table'!E109,'Staging Table'!BG109)*Rates_previous!$E$75*100*12</f>
        <v>180262237.74552</v>
      </c>
      <c r="E107" s="407">
        <f>IF(Init!$R$9="Yes",'Staging Table'!F109,'Staging Table'!BH109)*Rates_previous!$E$76*100*12</f>
        <v>-26797876.701119997</v>
      </c>
      <c r="F107" s="408">
        <f>IF(Init!$R$9="Yes",SUMPRODUCT('Staging Table'!L109:AI109,LS_Demand_Rates_Restatement!$C$4:$Z$4)-IF(Init!$R$15="No",('Staging Table'!AV109*Rates_previous!$H$35), 0),SUMPRODUCT('Staging Table'!BN109:CK109,LS_Demand_Rates_Restatement!$C$4:$Z$4)-IF(Init!$R$15="No", 'Staging Table'!CX109*Rates_previous!$H$35, 0))</f>
        <v>4896490.2562963404</v>
      </c>
      <c r="G107" s="408">
        <f>IF(Init!$R$9="Yes",SUMPRODUCT('Staging Table'!AJ109:AU109,LS_Demand_Rates_Restatement!$C$10:$N$10),SUMPRODUCT(LS_Demand_Rates_Restatement!$C$10:$N$10,'Staging Table'!CL109:CW109))*1000</f>
        <v>0</v>
      </c>
      <c r="H107" s="409">
        <f>IF(Init!$R$9="Yes",'Staging Table'!BF109,'Staging Table'!DH109)*Rates_previous!$H$33</f>
        <v>0</v>
      </c>
      <c r="I107" s="409">
        <f>IF(Init!$R$9="Yes",IF('Staging Table'!D109=1,'Staging Table'!H109*-1,'Staging Table'!H109*SUM(D107:H107)*(-1)),IF('Staging Table'!D109=1,'Staging Table'!BJ109*-1,'Staging Table'!BJ109*SUM(D107:H107)*(-1)))</f>
        <v>0</v>
      </c>
      <c r="J107" s="407">
        <f>IF(Init!$R$9="Yes",'Staging Table'!K109,'Staging Table'!BM109)*(-1)*Rates_previous!$H$32</f>
        <v>0</v>
      </c>
      <c r="K107" s="407">
        <f>IF(Init!$R$12="No",0,'Staging Table'!$AW109*-1)</f>
        <v>0</v>
      </c>
      <c r="L107" s="407">
        <f>IF('Staging Table'!C109=1,"",SUM(D107:K107))</f>
        <v>158360851.30069634</v>
      </c>
      <c r="M107" s="407">
        <f>IF('Staging Table'!C109=1,"",IF(Init!$R$9="Yes",(RT1SC!$C$3*'Staging Table'!E109*'Staging Table'!$F$2)+SUM('Staging Table'!L109:AI109)-IF(Init!$R$15="No",'Staging Table'!AV109, 0),X107))</f>
        <v>4466971.450514419</v>
      </c>
      <c r="N107" s="169">
        <f>IF('Staging Table'!C109=1,"",IF(M107=0, 0, L107/M107))</f>
        <v>35.45150289296329</v>
      </c>
      <c r="O107" s="407">
        <f>'Staging Table'!BG109*Rates_current!$E$75*100*12</f>
        <v>187406246.99519998</v>
      </c>
      <c r="P107" s="407">
        <f>'Staging Table'!BH109*Rates_current!$E$76*100*12</f>
        <v>-26360303.726400003</v>
      </c>
      <c r="Q107" s="408">
        <f>SUMPRODUCT('Staging Table'!BN109:CK109, LS_Demand_Rates_Restatement!$C$5:$Z$5)-IF(Init!$R$15="No",('Staging Table'!CX109*Rates_current!$H$35), 0)</f>
        <v>9356380.463915864</v>
      </c>
      <c r="R107" s="408">
        <f>SUMPRODUCT('Staging Table'!CL109:CW109, LS_Demand_Rates_Restatement!$C$11:$N$11)*1000</f>
        <v>0</v>
      </c>
      <c r="S107" s="409">
        <f>'Staging Table'!DH109*Rates_current!$H$33</f>
        <v>0</v>
      </c>
      <c r="T107" s="409">
        <f>IF('Staging Table'!D109=1, 'Staging Table'!BJ109*-1,SUM(O107:S107)*'Staging Table'!BJ109*-1)</f>
        <v>0</v>
      </c>
      <c r="U107" s="407">
        <f>'Staging Table'!BM109*Rates_current!$H$32*-1</f>
        <v>0</v>
      </c>
      <c r="V107" s="407">
        <f>IF(Init!$R$12="No",0,'Staging Table'!$CY109*-1)</f>
        <v>0</v>
      </c>
      <c r="W107" s="407">
        <f>IF('Staging Table'!C109=1,"",SUM(O107:V107))</f>
        <v>170402323.73271582</v>
      </c>
      <c r="X107" s="407">
        <f>IF('Staging Table'!C109=1,"",(RT1SC!$C$4*'Staging Table'!BG109*'Staging Table'!$BH$2)+SUM('Staging Table'!BN109:CK109)-IF(Init!$R$15="No",'Staging Table'!CX109, 0))</f>
        <v>4474087.0652869176</v>
      </c>
      <c r="Y107" s="169">
        <f>IF('Staging Table'!C109=1,"",IF(X107=0, 0, W107/X107))</f>
        <v>38.086501502131171</v>
      </c>
      <c r="Z107" s="160">
        <f>IF('Staging Table'!C109=1,"",Y107/N107-1)</f>
        <v>7.4326852013117284E-2</v>
      </c>
      <c r="AA107" s="97">
        <f t="shared" si="3"/>
        <v>2</v>
      </c>
      <c r="AD107" s="412"/>
      <c r="AE107" s="412"/>
      <c r="AF107" s="432"/>
      <c r="AG107" s="412"/>
      <c r="AH107" s="412"/>
    </row>
    <row r="108" spans="2:34">
      <c r="B108" s="3">
        <v>10352</v>
      </c>
      <c r="C108" s="4" t="s">
        <v>111</v>
      </c>
      <c r="D108" s="407">
        <f>IF(Init!$R$9="Yes",'Staging Table'!E110,'Staging Table'!BG110)*Rates_previous!$E$75*100*12</f>
        <v>5451398.1169199999</v>
      </c>
      <c r="E108" s="407">
        <f>IF(Init!$R$9="Yes",'Staging Table'!F110,'Staging Table'!BH110)*Rates_previous!$E$76*100*12</f>
        <v>-810407.63951999997</v>
      </c>
      <c r="F108" s="408">
        <f>IF(Init!$R$9="Yes",SUMPRODUCT('Staging Table'!L110:AI110,LS_Demand_Rates_Restatement!$C$4:$Z$4)-IF(Init!$R$15="No",('Staging Table'!AV110*Rates_previous!$H$35), 0),SUMPRODUCT('Staging Table'!BN110:CK110,LS_Demand_Rates_Restatement!$C$4:$Z$4)-IF(Init!$R$15="No", 'Staging Table'!CX110*Rates_previous!$H$35, 0))</f>
        <v>9879.9472439209276</v>
      </c>
      <c r="G108" s="408">
        <f>IF(Init!$R$9="Yes",SUMPRODUCT('Staging Table'!AJ110:AU110,LS_Demand_Rates_Restatement!$C$10:$N$10),SUMPRODUCT(LS_Demand_Rates_Restatement!$C$10:$N$10,'Staging Table'!CL110:CW110))*1000</f>
        <v>255961.1520086182</v>
      </c>
      <c r="H108" s="409">
        <f>IF(Init!$R$9="Yes",'Staging Table'!BF110,'Staging Table'!DH110)*Rates_previous!$H$33</f>
        <v>-13447.970435950934</v>
      </c>
      <c r="I108" s="409">
        <f>IF(Init!$R$9="Yes",IF('Staging Table'!D110=1,'Staging Table'!H110*-1,'Staging Table'!H110*SUM(D108:H108)*(-1)),IF('Staging Table'!D110=1,'Staging Table'!BJ110*-1,'Staging Table'!BJ110*SUM(D108:H108)*(-1)))</f>
        <v>-293603.01637299528</v>
      </c>
      <c r="J108" s="407">
        <f>IF(Init!$R$9="Yes",'Staging Table'!K110,'Staging Table'!BM110)*(-1)*Rates_previous!$H$32</f>
        <v>0</v>
      </c>
      <c r="K108" s="407">
        <f>IF(Init!$R$12="No",0,'Staging Table'!$AW110*-1)</f>
        <v>0</v>
      </c>
      <c r="L108" s="407">
        <f>IF('Staging Table'!C110=1,"",SUM(D108:K108))</f>
        <v>4599780.5898435926</v>
      </c>
      <c r="M108" s="407">
        <f>IF('Staging Table'!C110=1,"",IF(Init!$R$9="Yes",(RT1SC!$C$3*'Staging Table'!E110*'Staging Table'!$F$2)+SUM('Staging Table'!L110:AI110)-IF(Init!$R$15="No",'Staging Table'!AV110, 0),X108))</f>
        <v>133569.59131797164</v>
      </c>
      <c r="N108" s="169">
        <f>IF('Staging Table'!C110=1,"",IF(M108=0, 0, L108/M108))</f>
        <v>34.437333710885561</v>
      </c>
      <c r="O108" s="407">
        <f>'Staging Table'!BG110*Rates_current!$E$75*100*12</f>
        <v>5593805.6486399993</v>
      </c>
      <c r="P108" s="407">
        <f>'Staging Table'!BH110*Rates_current!$E$76*100*12</f>
        <v>-786816.97247999988</v>
      </c>
      <c r="Q108" s="408">
        <f>SUMPRODUCT('Staging Table'!BN110:CK110, LS_Demand_Rates_Restatement!$C$5:$Z$5)-IF(Init!$R$15="No",('Staging Table'!CX110*Rates_current!$H$35), 0)</f>
        <v>95835.24805860022</v>
      </c>
      <c r="R108" s="408">
        <f>SUMPRODUCT('Staging Table'!CL110:CW110, LS_Demand_Rates_Restatement!$C$11:$N$11)*1000</f>
        <v>240692.39678673435</v>
      </c>
      <c r="S108" s="409">
        <f>'Staging Table'!DH110*Rates_current!$H$33</f>
        <v>-36.809903817847953</v>
      </c>
      <c r="T108" s="409">
        <f>IF('Staging Table'!D110=1, 'Staging Table'!BJ110*-1,SUM(O108:S108)*'Staging Table'!BJ110*-1)</f>
        <v>-231456.57799956822</v>
      </c>
      <c r="U108" s="407">
        <f>'Staging Table'!BM110*Rates_current!$H$32*-1</f>
        <v>0</v>
      </c>
      <c r="V108" s="407">
        <f>IF(Init!$R$12="No",0,'Staging Table'!$CY110*-1)</f>
        <v>0</v>
      </c>
      <c r="W108" s="407">
        <f>IF('Staging Table'!C110=1,"",SUM(O108:V108))</f>
        <v>4912022.9331019474</v>
      </c>
      <c r="X108" s="407">
        <f>IF('Staging Table'!C110=1,"",(RT1SC!$C$4*'Staging Table'!BG110*'Staging Table'!$BH$2)+SUM('Staging Table'!BN110:CK110)-IF(Init!$R$15="No",'Staging Table'!CX110, 0))</f>
        <v>133569.59294872015</v>
      </c>
      <c r="Y108" s="169">
        <f>IF('Staging Table'!C110=1,"",IF(X108=0, 0, W108/X108))</f>
        <v>36.775008627807708</v>
      </c>
      <c r="Z108" s="160">
        <f>IF('Staging Table'!C110=1,"",Y108/N108-1)</f>
        <v>6.7881995062330169E-2</v>
      </c>
      <c r="AA108" s="97">
        <f t="shared" si="3"/>
        <v>5</v>
      </c>
      <c r="AD108" s="412"/>
      <c r="AE108" s="412"/>
      <c r="AF108" s="432"/>
      <c r="AG108" s="412"/>
      <c r="AH108" s="412"/>
    </row>
    <row r="109" spans="2:34">
      <c r="B109" s="3">
        <v>10354</v>
      </c>
      <c r="C109" s="4" t="s">
        <v>112</v>
      </c>
      <c r="D109" s="407">
        <f>IF(Init!$R$9="Yes",'Staging Table'!E111,'Staging Table'!BG111)*Rates_previous!$E$75*100*12</f>
        <v>273636768.93840003</v>
      </c>
      <c r="E109" s="407">
        <f>IF(Init!$R$9="Yes",'Staging Table'!F111,'Staging Table'!BH111)*Rates_previous!$E$76*100*12</f>
        <v>-20646425.31504</v>
      </c>
      <c r="F109" s="408">
        <f>IF(Init!$R$9="Yes",SUMPRODUCT('Staging Table'!L111:AI111,LS_Demand_Rates_Restatement!$C$4:$Z$4)-IF(Init!$R$15="No",('Staging Table'!AV111*Rates_previous!$H$35), 0),SUMPRODUCT('Staging Table'!BN111:CK111,LS_Demand_Rates_Restatement!$C$4:$Z$4)-IF(Init!$R$15="No", 'Staging Table'!CX111*Rates_previous!$H$35, 0))</f>
        <v>-6183.5346232347656</v>
      </c>
      <c r="G109" s="408">
        <f>IF(Init!$R$9="Yes",SUMPRODUCT('Staging Table'!AJ111:AU111,LS_Demand_Rates_Restatement!$C$10:$N$10),SUMPRODUCT(LS_Demand_Rates_Restatement!$C$10:$N$10,'Staging Table'!CL111:CW111))*1000</f>
        <v>0</v>
      </c>
      <c r="H109" s="409">
        <f>IF(Init!$R$9="Yes",'Staging Table'!BF111,'Staging Table'!DH111)*Rates_previous!$H$33</f>
        <v>0</v>
      </c>
      <c r="I109" s="409">
        <f>IF(Init!$R$9="Yes",IF('Staging Table'!D111=1,'Staging Table'!H111*-1,'Staging Table'!H111*SUM(D109:H109)*(-1)),IF('Staging Table'!D111=1,'Staging Table'!BJ111*-1,'Staging Table'!BJ111*SUM(D109:H109)*(-1)))</f>
        <v>0</v>
      </c>
      <c r="J109" s="407">
        <f>IF(Init!$R$9="Yes",'Staging Table'!K111,'Staging Table'!BM111)*(-1)*Rates_previous!$H$32</f>
        <v>0</v>
      </c>
      <c r="K109" s="407">
        <f>IF(Init!$R$12="No",0,'Staging Table'!$AW111*-1)</f>
        <v>0</v>
      </c>
      <c r="L109" s="407">
        <f>IF('Staging Table'!C111=1,"",SUM(D109:K109))</f>
        <v>252984160.0887368</v>
      </c>
      <c r="M109" s="407">
        <f>IF('Staging Table'!C111=1,"",IF(Init!$R$9="Yes",(RT1SC!$C$3*'Staging Table'!E111*'Staging Table'!$F$2)+SUM('Staging Table'!L111:AI111)-IF(Init!$R$15="No",'Staging Table'!AV111, 0),X109))</f>
        <v>6780826.4634374427</v>
      </c>
      <c r="N109" s="169">
        <f>IF('Staging Table'!C111=1,"",IF(M109=0, 0, L109/M109))</f>
        <v>37.308750113697812</v>
      </c>
      <c r="O109" s="407">
        <f>'Staging Table'!BG111*Rates_current!$E$75*100*12</f>
        <v>284004361.09152001</v>
      </c>
      <c r="P109" s="407">
        <f>'Staging Table'!BH111*Rates_current!$E$76*100*12</f>
        <v>-20455413.644400001</v>
      </c>
      <c r="Q109" s="408">
        <f>SUMPRODUCT('Staging Table'!BN111:CK111, LS_Demand_Rates_Restatement!$C$5:$Z$5)-IF(Init!$R$15="No",('Staging Table'!CX111*Rates_current!$H$35), 0)</f>
        <v>26054.09694321861</v>
      </c>
      <c r="R109" s="408">
        <f>SUMPRODUCT('Staging Table'!CL111:CW111, LS_Demand_Rates_Restatement!$C$11:$N$11)*1000</f>
        <v>0</v>
      </c>
      <c r="S109" s="409">
        <f>'Staging Table'!DH111*Rates_current!$H$33</f>
        <v>0</v>
      </c>
      <c r="T109" s="409">
        <f>IF('Staging Table'!D111=1, 'Staging Table'!BJ111*-1,SUM(O109:S109)*'Staging Table'!BJ111*-1)</f>
        <v>0</v>
      </c>
      <c r="U109" s="407">
        <f>'Staging Table'!BM111*Rates_current!$H$32*-1</f>
        <v>0</v>
      </c>
      <c r="V109" s="407">
        <f>IF(Init!$R$12="No",0,'Staging Table'!$CY111*-1)</f>
        <v>0</v>
      </c>
      <c r="W109" s="407">
        <f>IF('Staging Table'!C111=1,"",SUM(O109:V109))</f>
        <v>263575001.54406324</v>
      </c>
      <c r="X109" s="407">
        <f>IF('Staging Table'!C111=1,"",(RT1SC!$C$4*'Staging Table'!BG111*'Staging Table'!$BH$2)+SUM('Staging Table'!BN111:CK111)-IF(Init!$R$15="No",'Staging Table'!CX111, 0))</f>
        <v>6745121.7175592845</v>
      </c>
      <c r="Y109" s="169">
        <f>IF('Staging Table'!C111=1,"",IF(X109=0, 0, W109/X109))</f>
        <v>39.07638921591434</v>
      </c>
      <c r="Z109" s="160">
        <f>IF('Staging Table'!C111=1,"",Y109/N109-1)</f>
        <v>4.7378673818599504E-2</v>
      </c>
      <c r="AA109" s="97">
        <f t="shared" si="3"/>
        <v>73</v>
      </c>
      <c r="AD109" s="412"/>
      <c r="AE109" s="412"/>
      <c r="AF109" s="432"/>
      <c r="AG109" s="412"/>
      <c r="AH109" s="412"/>
    </row>
    <row r="110" spans="2:34">
      <c r="B110" s="3">
        <v>10360</v>
      </c>
      <c r="C110" s="4" t="s">
        <v>113</v>
      </c>
      <c r="D110" s="407">
        <f>IF(Init!$R$9="Yes",'Staging Table'!E112,'Staging Table'!BG112)*Rates_previous!$E$75*100*12</f>
        <v>2374574.8597200001</v>
      </c>
      <c r="E110" s="407">
        <f>IF(Init!$R$9="Yes",'Staging Table'!F112,'Staging Table'!BH112)*Rates_previous!$E$76*100*12</f>
        <v>-353005.51632</v>
      </c>
      <c r="F110" s="408">
        <f>IF(Init!$R$9="Yes",SUMPRODUCT('Staging Table'!L112:AI112,LS_Demand_Rates_Restatement!$C$4:$Z$4)-IF(Init!$R$15="No",('Staging Table'!AV112*Rates_previous!$H$35), 0),SUMPRODUCT('Staging Table'!BN112:CK112,LS_Demand_Rates_Restatement!$C$4:$Z$4)-IF(Init!$R$15="No", 'Staging Table'!CX112*Rates_previous!$H$35, 0))</f>
        <v>-35427.308828699926</v>
      </c>
      <c r="G110" s="408">
        <f>IF(Init!$R$9="Yes",SUMPRODUCT('Staging Table'!AJ112:AU112,LS_Demand_Rates_Restatement!$C$10:$N$10),SUMPRODUCT(LS_Demand_Rates_Restatement!$C$10:$N$10,'Staging Table'!CL112:CW112))*1000</f>
        <v>129616.39409408832</v>
      </c>
      <c r="H110" s="409">
        <f>IF(Init!$R$9="Yes",'Staging Table'!BF112,'Staging Table'!DH112)*Rates_previous!$H$33</f>
        <v>0</v>
      </c>
      <c r="I110" s="409">
        <f>IF(Init!$R$9="Yes",IF('Staging Table'!D112=1,'Staging Table'!H112*-1,'Staging Table'!H112*SUM(D110:H110)*(-1)),IF('Staging Table'!D112=1,'Staging Table'!BJ112*-1,'Staging Table'!BJ112*SUM(D110:H110)*(-1)))</f>
        <v>-103270.16890315761</v>
      </c>
      <c r="J110" s="407">
        <f>IF(Init!$R$9="Yes",'Staging Table'!K112,'Staging Table'!BM112)*(-1)*Rates_previous!$H$32</f>
        <v>-235509.93179999999</v>
      </c>
      <c r="K110" s="407">
        <f>IF(Init!$R$12="No",0,'Staging Table'!$AW112*-1)</f>
        <v>0</v>
      </c>
      <c r="L110" s="407">
        <f>IF('Staging Table'!C112=1,"",SUM(D110:K110))</f>
        <v>1776978.3279622309</v>
      </c>
      <c r="M110" s="407">
        <f>IF('Staging Table'!C112=1,"",IF(Init!$R$9="Yes",(RT1SC!$C$3*'Staging Table'!E112*'Staging Table'!$F$2)+SUM('Staging Table'!L112:AI112)-IF(Init!$R$15="No",'Staging Table'!AV112, 0),X110))</f>
        <v>58844.015999999996</v>
      </c>
      <c r="N110" s="169">
        <f>IF('Staging Table'!C112=1,"",IF(M110=0, 0, L110/M110))</f>
        <v>30.198114417653461</v>
      </c>
      <c r="O110" s="407">
        <f>'Staging Table'!BG112*Rates_current!$E$75*100*12</f>
        <v>2442258.1958400002</v>
      </c>
      <c r="P110" s="407">
        <f>'Staging Table'!BH112*Rates_current!$E$76*100*12</f>
        <v>-343524.66287999996</v>
      </c>
      <c r="Q110" s="408">
        <f>SUMPRODUCT('Staging Table'!BN112:CK112, LS_Demand_Rates_Restatement!$C$5:$Z$5)-IF(Init!$R$15="No",('Staging Table'!CX112*Rates_current!$H$35), 0)</f>
        <v>-72255.569974580634</v>
      </c>
      <c r="R110" s="408">
        <f>SUMPRODUCT('Staging Table'!CL112:CW112, LS_Demand_Rates_Restatement!$C$11:$N$11)*1000</f>
        <v>123262.52731915066</v>
      </c>
      <c r="S110" s="409">
        <f>'Staging Table'!DH112*Rates_current!$H$33</f>
        <v>0</v>
      </c>
      <c r="T110" s="409">
        <f>IF('Staging Table'!D112=1, 'Staging Table'!BJ112*-1,SUM(O110:S110)*'Staging Table'!BJ112*-1)</f>
        <v>-101214.12245361424</v>
      </c>
      <c r="U110" s="407">
        <f>'Staging Table'!BM112*Rates_current!$H$32*-1</f>
        <v>-235309.83840000001</v>
      </c>
      <c r="V110" s="407">
        <f>IF(Init!$R$12="No",0,'Staging Table'!$CY112*-1)</f>
        <v>0</v>
      </c>
      <c r="W110" s="407">
        <f>IF('Staging Table'!C112=1,"",SUM(O110:V110))</f>
        <v>1813216.5294509565</v>
      </c>
      <c r="X110" s="407">
        <f>IF('Staging Table'!C112=1,"",(RT1SC!$C$4*'Staging Table'!BG112*'Staging Table'!$BH$2)+SUM('Staging Table'!BN112:CK112)-IF(Init!$R$15="No",'Staging Table'!CX112, 0))</f>
        <v>58315.32</v>
      </c>
      <c r="Y110" s="169">
        <f>IF('Staging Table'!C112=1,"",IF(X110=0, 0, W110/X110))</f>
        <v>31.093313548668796</v>
      </c>
      <c r="Z110" s="160">
        <f>IF('Staging Table'!C112=1,"",Y110/N110-1)</f>
        <v>2.9644206212160462E-2</v>
      </c>
      <c r="AA110" s="97">
        <f t="shared" si="3"/>
        <v>107</v>
      </c>
      <c r="AD110" s="412"/>
      <c r="AE110" s="412"/>
      <c r="AF110" s="432"/>
      <c r="AG110" s="412"/>
      <c r="AH110" s="412"/>
    </row>
    <row r="111" spans="2:34">
      <c r="B111" s="3">
        <v>10363</v>
      </c>
      <c r="C111" s="4" t="s">
        <v>114</v>
      </c>
      <c r="D111" s="407">
        <f>IF(Init!$R$9="Yes",'Staging Table'!E113,'Staging Table'!BG113)*Rates_previous!$E$75*100*12</f>
        <v>32345259.19884</v>
      </c>
      <c r="E111" s="407">
        <f>IF(Init!$R$9="Yes",'Staging Table'!F113,'Staging Table'!BH113)*Rates_previous!$E$76*100*12</f>
        <v>-4808462.8190399995</v>
      </c>
      <c r="F111" s="408">
        <f>IF(Init!$R$9="Yes",SUMPRODUCT('Staging Table'!L113:AI113,LS_Demand_Rates_Restatement!$C$4:$Z$4)-IF(Init!$R$15="No",('Staging Table'!AV113*Rates_previous!$H$35), 0),SUMPRODUCT('Staging Table'!BN113:CK113,LS_Demand_Rates_Restatement!$C$4:$Z$4)-IF(Init!$R$15="No", 'Staging Table'!CX113*Rates_previous!$H$35, 0))</f>
        <v>883436.00425690925</v>
      </c>
      <c r="G111" s="408">
        <f>IF(Init!$R$9="Yes",SUMPRODUCT('Staging Table'!AJ113:AU113,LS_Demand_Rates_Restatement!$C$10:$N$10),SUMPRODUCT(LS_Demand_Rates_Restatement!$C$10:$N$10,'Staging Table'!CL113:CW113))*1000</f>
        <v>1417330.8153726496</v>
      </c>
      <c r="H111" s="409">
        <f>IF(Init!$R$9="Yes",'Staging Table'!BF113,'Staging Table'!DH113)*Rates_previous!$H$33</f>
        <v>223943.65579684346</v>
      </c>
      <c r="I111" s="409">
        <f>IF(Init!$R$9="Yes",IF('Staging Table'!D113=1,'Staging Table'!H113*-1,'Staging Table'!H113*SUM(D111:H111)*(-1)),IF('Staging Table'!D113=1,'Staging Table'!BJ113*-1,'Staging Table'!BJ113*SUM(D111:H111)*(-1)))</f>
        <v>0</v>
      </c>
      <c r="J111" s="407">
        <f>IF(Init!$R$9="Yes",'Staging Table'!K113,'Staging Table'!BM113)*(-1)*Rates_previous!$H$32</f>
        <v>0</v>
      </c>
      <c r="K111" s="407">
        <f>IF(Init!$R$12="No",0,'Staging Table'!$AW113*-1)</f>
        <v>0</v>
      </c>
      <c r="L111" s="407">
        <f>IF('Staging Table'!C113=1,"",SUM(D111:K111))</f>
        <v>30061506.855226401</v>
      </c>
      <c r="M111" s="407">
        <f>IF('Staging Table'!C113=1,"",IF(Init!$R$9="Yes",(RT1SC!$C$3*'Staging Table'!E113*'Staging Table'!$F$2)+SUM('Staging Table'!L113:AI113)-IF(Init!$R$15="No",'Staging Table'!AV113, 0),X111))</f>
        <v>826835.58388664899</v>
      </c>
      <c r="N111" s="169">
        <f>IF('Staging Table'!C113=1,"",IF(M111=0, 0, L111/M111))</f>
        <v>36.35729695366804</v>
      </c>
      <c r="O111" s="407">
        <f>'Staging Table'!BG113*Rates_current!$E$75*100*12</f>
        <v>34626513.003839999</v>
      </c>
      <c r="P111" s="407">
        <f>'Staging Table'!BH113*Rates_current!$E$76*100*12</f>
        <v>-4870517.4688799996</v>
      </c>
      <c r="Q111" s="408">
        <f>SUMPRODUCT('Staging Table'!BN113:CK113, LS_Demand_Rates_Restatement!$C$5:$Z$5)-IF(Init!$R$15="No",('Staging Table'!CX113*Rates_current!$H$35), 0)</f>
        <v>461117.86795079487</v>
      </c>
      <c r="R111" s="408">
        <f>SUMPRODUCT('Staging Table'!CL113:CW113, LS_Demand_Rates_Restatement!$C$11:$N$11)*1000</f>
        <v>1329159.2755195599</v>
      </c>
      <c r="S111" s="409">
        <f>'Staging Table'!DH113*Rates_current!$H$33</f>
        <v>-41.895698333100881</v>
      </c>
      <c r="T111" s="409">
        <f>IF('Staging Table'!D113=1, 'Staging Table'!BJ113*-1,SUM(O111:S111)*'Staging Table'!BJ113*-1)</f>
        <v>0</v>
      </c>
      <c r="U111" s="407">
        <f>'Staging Table'!BM113*Rates_current!$H$32*-1</f>
        <v>0</v>
      </c>
      <c r="V111" s="407">
        <f>IF(Init!$R$12="No",0,'Staging Table'!$CY113*-1)</f>
        <v>0</v>
      </c>
      <c r="W111" s="407">
        <f>IF('Staging Table'!C113=1,"",SUM(O111:V111))</f>
        <v>31546230.782732025</v>
      </c>
      <c r="X111" s="407">
        <f>IF('Staging Table'!C113=1,"",(RT1SC!$C$4*'Staging Table'!BG113*'Staging Table'!$BH$2)+SUM('Staging Table'!BN113:CK113)-IF(Init!$R$15="No",'Staging Table'!CX113, 0))</f>
        <v>826835.59406287584</v>
      </c>
      <c r="Y111" s="169">
        <f>IF('Staging Table'!C113=1,"",IF(X111=0, 0, W111/X111))</f>
        <v>38.152966574311655</v>
      </c>
      <c r="Z111" s="160">
        <f>IF('Staging Table'!C113=1,"",Y111/N111-1)</f>
        <v>4.9389524829965392E-2</v>
      </c>
      <c r="AA111" s="97">
        <f t="shared" si="3"/>
        <v>55</v>
      </c>
      <c r="AD111" s="412"/>
      <c r="AE111" s="412"/>
      <c r="AF111" s="432"/>
      <c r="AG111" s="412"/>
      <c r="AH111" s="412"/>
    </row>
    <row r="112" spans="2:34">
      <c r="B112" s="3">
        <v>10369</v>
      </c>
      <c r="C112" s="4" t="s">
        <v>115</v>
      </c>
      <c r="D112" s="407">
        <f>IF(Init!$R$9="Yes",'Staging Table'!E114,'Staging Table'!BG114)*Rates_previous!$E$75*100*12</f>
        <v>5732842.0464000003</v>
      </c>
      <c r="E112" s="407">
        <f>IF(Init!$R$9="Yes",'Staging Table'!F114,'Staging Table'!BH114)*Rates_previous!$E$76*100*12</f>
        <v>-852247.23839999991</v>
      </c>
      <c r="F112" s="408">
        <f>IF(Init!$R$9="Yes",SUMPRODUCT('Staging Table'!L114:AI114,LS_Demand_Rates_Restatement!$C$4:$Z$4)-IF(Init!$R$15="No",('Staging Table'!AV114*Rates_previous!$H$35), 0),SUMPRODUCT('Staging Table'!BN114:CK114,LS_Demand_Rates_Restatement!$C$4:$Z$4)-IF(Init!$R$15="No", 'Staging Table'!CX114*Rates_previous!$H$35, 0))</f>
        <v>-28692.090955382679</v>
      </c>
      <c r="G112" s="408">
        <f>IF(Init!$R$9="Yes",SUMPRODUCT('Staging Table'!AJ114:AU114,LS_Demand_Rates_Restatement!$C$10:$N$10),SUMPRODUCT(LS_Demand_Rates_Restatement!$C$10:$N$10,'Staging Table'!CL114:CW114))*1000</f>
        <v>356753.68050996261</v>
      </c>
      <c r="H112" s="409">
        <f>IF(Init!$R$9="Yes",'Staging Table'!BF114,'Staging Table'!DH114)*Rates_previous!$H$33</f>
        <v>7696.10160000008</v>
      </c>
      <c r="I112" s="409">
        <f>IF(Init!$R$9="Yes",IF('Staging Table'!D114=1,'Staging Table'!H114*-1,'Staging Table'!H114*SUM(D112:H112)*(-1)),IF('Staging Table'!D114=1,'Staging Table'!BJ114*-1,'Staging Table'!BJ114*SUM(D112:H112)*(-1)))</f>
        <v>-365144.67494082061</v>
      </c>
      <c r="J112" s="407">
        <f>IF(Init!$R$9="Yes",'Staging Table'!K114,'Staging Table'!BM114)*(-1)*Rates_previous!$H$32</f>
        <v>-543902.30477000005</v>
      </c>
      <c r="K112" s="407">
        <f>IF(Init!$R$12="No",0,'Staging Table'!$AW114*-1)</f>
        <v>0</v>
      </c>
      <c r="L112" s="407">
        <f>IF('Staging Table'!C114=1,"",SUM(D112:K112))</f>
        <v>4307305.5194437588</v>
      </c>
      <c r="M112" s="407">
        <f>IF('Staging Table'!C114=1,"",IF(Init!$R$9="Yes",(RT1SC!$C$3*'Staging Table'!E114*'Staging Table'!$F$2)+SUM('Staging Table'!L114:AI114)-IF(Init!$R$15="No",'Staging Table'!AV114, 0),X112))</f>
        <v>142933.24799999999</v>
      </c>
      <c r="N112" s="169">
        <f>IF('Staging Table'!C114=1,"",IF(M112=0, 0, L112/M112))</f>
        <v>30.135084591681277</v>
      </c>
      <c r="O112" s="407">
        <f>'Staging Table'!BG114*Rates_current!$E$75*100*12</f>
        <v>5931380.4566400005</v>
      </c>
      <c r="P112" s="407">
        <f>'Staging Table'!BH114*Rates_current!$E$76*100*12</f>
        <v>-834299.77847999986</v>
      </c>
      <c r="Q112" s="408">
        <f>SUMPRODUCT('Staging Table'!BN114:CK114, LS_Demand_Rates_Restatement!$C$5:$Z$5)-IF(Init!$R$15="No",('Staging Table'!CX114*Rates_current!$H$35), 0)</f>
        <v>-127456.04165296804</v>
      </c>
      <c r="R112" s="408">
        <f>SUMPRODUCT('Staging Table'!CL114:CW114, LS_Demand_Rates_Restatement!$C$11:$N$11)*1000</f>
        <v>333888.976002938</v>
      </c>
      <c r="S112" s="409">
        <f>'Staging Table'!DH114*Rates_current!$H$33</f>
        <v>0</v>
      </c>
      <c r="T112" s="409">
        <f>IF('Staging Table'!D114=1, 'Staging Table'!BJ114*-1,SUM(O112:S112)*'Staging Table'!BJ114*-1)</f>
        <v>-387479.92669330793</v>
      </c>
      <c r="U112" s="407">
        <f>'Staging Table'!BM114*Rates_current!$H$32*-1</f>
        <v>-543440.19576000003</v>
      </c>
      <c r="V112" s="407">
        <f>IF(Init!$R$12="No",0,'Staging Table'!$CY114*-1)</f>
        <v>0</v>
      </c>
      <c r="W112" s="407">
        <f>IF('Staging Table'!C114=1,"",SUM(O112:V112))</f>
        <v>4372593.4900566619</v>
      </c>
      <c r="X112" s="407">
        <f>IF('Staging Table'!C114=1,"",(RT1SC!$C$4*'Staging Table'!BG114*'Staging Table'!$BH$2)+SUM('Staging Table'!BN114:CK114)-IF(Init!$R$15="No",'Staging Table'!CX114, 0))</f>
        <v>141631.67999999999</v>
      </c>
      <c r="Y112" s="169">
        <f>IF('Staging Table'!C114=1,"",IF(X112=0, 0, W112/X112))</f>
        <v>30.872990351146452</v>
      </c>
      <c r="Z112" s="160">
        <f>IF('Staging Table'!C114=1,"",Y112/N112-1)</f>
        <v>2.4486599903849937E-2</v>
      </c>
      <c r="AA112" s="97">
        <f t="shared" si="3"/>
        <v>110</v>
      </c>
      <c r="AD112" s="412"/>
      <c r="AE112" s="412"/>
      <c r="AF112" s="432"/>
      <c r="AG112" s="412"/>
      <c r="AH112" s="412"/>
    </row>
    <row r="113" spans="2:34">
      <c r="B113" s="3">
        <v>10370</v>
      </c>
      <c r="C113" s="4" t="s">
        <v>116</v>
      </c>
      <c r="D113" s="407">
        <f>IF(Init!$R$9="Yes",'Staging Table'!E115,'Staging Table'!BG115)*Rates_previous!$E$75*100*12</f>
        <v>132669004.88268</v>
      </c>
      <c r="E113" s="407">
        <f>IF(Init!$R$9="Yes",'Staging Table'!F115,'Staging Table'!BH115)*Rates_previous!$E$76*100*12</f>
        <v>-8811228.173279997</v>
      </c>
      <c r="F113" s="408">
        <f>IF(Init!$R$9="Yes",SUMPRODUCT('Staging Table'!L115:AI115,LS_Demand_Rates_Restatement!$C$4:$Z$4)-IF(Init!$R$15="No",('Staging Table'!AV115*Rates_previous!$H$35), 0),SUMPRODUCT('Staging Table'!BN115:CK115,LS_Demand_Rates_Restatement!$C$4:$Z$4)-IF(Init!$R$15="No", 'Staging Table'!CX115*Rates_previous!$H$35, 0))</f>
        <v>-82492.066747074015</v>
      </c>
      <c r="G113" s="408">
        <f>IF(Init!$R$9="Yes",SUMPRODUCT('Staging Table'!AJ115:AU115,LS_Demand_Rates_Restatement!$C$10:$N$10),SUMPRODUCT(LS_Demand_Rates_Restatement!$C$10:$N$10,'Staging Table'!CL115:CW115))*1000</f>
        <v>0</v>
      </c>
      <c r="H113" s="409">
        <f>IF(Init!$R$9="Yes",'Staging Table'!BF115,'Staging Table'!DH115)*Rates_previous!$H$33</f>
        <v>0</v>
      </c>
      <c r="I113" s="409">
        <f>IF(Init!$R$9="Yes",IF('Staging Table'!D115=1,'Staging Table'!H115*-1,'Staging Table'!H115*SUM(D113:H113)*(-1)),IF('Staging Table'!D115=1,'Staging Table'!BJ115*-1,'Staging Table'!BJ115*SUM(D113:H113)*(-1)))</f>
        <v>0</v>
      </c>
      <c r="J113" s="407">
        <f>IF(Init!$R$9="Yes",'Staging Table'!K115,'Staging Table'!BM115)*(-1)*Rates_previous!$H$32</f>
        <v>0</v>
      </c>
      <c r="K113" s="407">
        <f>IF(Init!$R$12="No",0,'Staging Table'!$AW115*-1)</f>
        <v>0</v>
      </c>
      <c r="L113" s="407">
        <f>IF('Staging Table'!C115=1,"",SUM(D113:K113))</f>
        <v>123775284.64265293</v>
      </c>
      <c r="M113" s="407">
        <f>IF('Staging Table'!C115=1,"",IF(Init!$R$9="Yes",(RT1SC!$C$3*'Staging Table'!E115*'Staging Table'!$F$2)+SUM('Staging Table'!L115:AI115)-IF(Init!$R$15="No",'Staging Table'!AV115, 0),X113))</f>
        <v>3287588.031710289</v>
      </c>
      <c r="N113" s="169">
        <f>IF('Staging Table'!C115=1,"",IF(M113=0, 0, L113/M113))</f>
        <v>37.649268536320164</v>
      </c>
      <c r="O113" s="407">
        <f>'Staging Table'!BG115*Rates_current!$E$75*100*12</f>
        <v>137876506.84512001</v>
      </c>
      <c r="P113" s="407">
        <f>'Staging Table'!BH115*Rates_current!$E$76*100*12</f>
        <v>-8776399.3363199998</v>
      </c>
      <c r="Q113" s="408">
        <f>SUMPRODUCT('Staging Table'!BN115:CK115, LS_Demand_Rates_Restatement!$C$5:$Z$5)-IF(Init!$R$15="No",('Staging Table'!CX115*Rates_current!$H$35), 0)</f>
        <v>-245262.88650603531</v>
      </c>
      <c r="R113" s="408">
        <f>SUMPRODUCT('Staging Table'!CL115:CW115, LS_Demand_Rates_Restatement!$C$11:$N$11)*1000</f>
        <v>0</v>
      </c>
      <c r="S113" s="409">
        <f>'Staging Table'!DH115*Rates_current!$H$33</f>
        <v>0</v>
      </c>
      <c r="T113" s="409">
        <f>IF('Staging Table'!D115=1, 'Staging Table'!BJ115*-1,SUM(O113:S113)*'Staging Table'!BJ115*-1)</f>
        <v>0</v>
      </c>
      <c r="U113" s="407">
        <f>'Staging Table'!BM115*Rates_current!$H$32*-1</f>
        <v>0</v>
      </c>
      <c r="V113" s="407">
        <f>IF(Init!$R$12="No",0,'Staging Table'!$CY115*-1)</f>
        <v>0</v>
      </c>
      <c r="W113" s="407">
        <f>IF('Staging Table'!C115=1,"",SUM(O113:V113))</f>
        <v>128854844.62229398</v>
      </c>
      <c r="X113" s="407">
        <f>IF('Staging Table'!C115=1,"",(RT1SC!$C$4*'Staging Table'!BG115*'Staging Table'!$BH$2)+SUM('Staging Table'!BN115:CK115)-IF(Init!$R$15="No",'Staging Table'!CX115, 0))</f>
        <v>3270178.3214434497</v>
      </c>
      <c r="Y113" s="169">
        <f>IF('Staging Table'!C115=1,"",IF(X113=0, 0, W113/X113))</f>
        <v>39.403002514375949</v>
      </c>
      <c r="Z113" s="160">
        <f>IF('Staging Table'!C115=1,"",Y113/N113-1)</f>
        <v>4.658082470749636E-2</v>
      </c>
      <c r="AA113" s="97">
        <f t="shared" si="3"/>
        <v>78</v>
      </c>
      <c r="AD113" s="412"/>
      <c r="AE113" s="412"/>
      <c r="AF113" s="432"/>
      <c r="AG113" s="412"/>
      <c r="AH113" s="412"/>
    </row>
    <row r="114" spans="2:34">
      <c r="B114" s="3">
        <v>10371</v>
      </c>
      <c r="C114" s="4" t="s">
        <v>117</v>
      </c>
      <c r="D114" s="407">
        <f>IF(Init!$R$9="Yes",'Staging Table'!E116,'Staging Table'!BG116)*Rates_previous!$E$75*100*12</f>
        <v>3872638.7657999997</v>
      </c>
      <c r="E114" s="407">
        <f>IF(Init!$R$9="Yes",'Staging Table'!F116,'Staging Table'!BH116)*Rates_previous!$E$76*100*12</f>
        <v>-575708.46479999996</v>
      </c>
      <c r="F114" s="408">
        <f>IF(Init!$R$9="Yes",SUMPRODUCT('Staging Table'!L116:AI116,LS_Demand_Rates_Restatement!$C$4:$Z$4)-IF(Init!$R$15="No",('Staging Table'!AV116*Rates_previous!$H$35), 0),SUMPRODUCT('Staging Table'!BN116:CK116,LS_Demand_Rates_Restatement!$C$4:$Z$4)-IF(Init!$R$15="No", 'Staging Table'!CX116*Rates_previous!$H$35, 0))</f>
        <v>-100122.85276521076</v>
      </c>
      <c r="G114" s="408">
        <f>IF(Init!$R$9="Yes",SUMPRODUCT('Staging Table'!AJ116:AU116,LS_Demand_Rates_Restatement!$C$10:$N$10),SUMPRODUCT(LS_Demand_Rates_Restatement!$C$10:$N$10,'Staging Table'!CL116:CW116))*1000</f>
        <v>119579.04218284367</v>
      </c>
      <c r="H114" s="409">
        <f>IF(Init!$R$9="Yes",'Staging Table'!BF116,'Staging Table'!DH116)*Rates_previous!$H$33</f>
        <v>0</v>
      </c>
      <c r="I114" s="409">
        <f>IF(Init!$R$9="Yes",IF('Staging Table'!D116=1,'Staging Table'!H116*-1,'Staging Table'!H116*SUM(D114:H114)*(-1)),IF('Staging Table'!D116=1,'Staging Table'!BJ116*-1,'Staging Table'!BJ116*SUM(D114:H114)*(-1)))</f>
        <v>0</v>
      </c>
      <c r="J114" s="407">
        <f>IF(Init!$R$9="Yes",'Staging Table'!K116,'Staging Table'!BM116)*(-1)*Rates_previous!$H$32</f>
        <v>0</v>
      </c>
      <c r="K114" s="407">
        <f>IF(Init!$R$12="No",0,'Staging Table'!$AW116*-1)</f>
        <v>0</v>
      </c>
      <c r="L114" s="407">
        <f>IF('Staging Table'!C116=1,"",SUM(D114:K114))</f>
        <v>3316386.4904176327</v>
      </c>
      <c r="M114" s="407">
        <f>IF('Staging Table'!C116=1,"",IF(Init!$R$9="Yes",(RT1SC!$C$3*'Staging Table'!E116*'Staging Table'!$F$2)+SUM('Staging Table'!L116:AI116)-IF(Init!$R$15="No",'Staging Table'!AV116, 0),X114))</f>
        <v>91178.586225885039</v>
      </c>
      <c r="N114" s="169">
        <f>IF('Staging Table'!C116=1,"",IF(M114=0, 0, L114/M114))</f>
        <v>36.372427207871439</v>
      </c>
      <c r="O114" s="407">
        <f>'Staging Table'!BG116*Rates_current!$E$75*100*12</f>
        <v>3982108.8672000002</v>
      </c>
      <c r="P114" s="407">
        <f>'Staging Table'!BH116*Rates_current!$E$76*100*12</f>
        <v>-560117.93039999995</v>
      </c>
      <c r="Q114" s="408">
        <f>SUMPRODUCT('Staging Table'!BN116:CK116, LS_Demand_Rates_Restatement!$C$5:$Z$5)-IF(Init!$R$15="No",('Staging Table'!CX116*Rates_current!$H$35), 0)</f>
        <v>-30069.362253805779</v>
      </c>
      <c r="R114" s="408">
        <f>SUMPRODUCT('Staging Table'!CL116:CW116, LS_Demand_Rates_Restatement!$C$11:$N$11)*1000</f>
        <v>116323.97243048434</v>
      </c>
      <c r="S114" s="409">
        <f>'Staging Table'!DH116*Rates_current!$H$33</f>
        <v>0</v>
      </c>
      <c r="T114" s="409">
        <f>IF('Staging Table'!D116=1, 'Staging Table'!BJ116*-1,SUM(O114:S114)*'Staging Table'!BJ116*-1)</f>
        <v>0</v>
      </c>
      <c r="U114" s="407">
        <f>'Staging Table'!BM116*Rates_current!$H$32*-1</f>
        <v>0</v>
      </c>
      <c r="V114" s="407">
        <f>IF(Init!$R$12="No",0,'Staging Table'!$CY116*-1)</f>
        <v>0</v>
      </c>
      <c r="W114" s="407">
        <f>IF('Staging Table'!C116=1,"",SUM(O114:V114))</f>
        <v>3508245.546976679</v>
      </c>
      <c r="X114" s="407">
        <f>IF('Staging Table'!C116=1,"",(RT1SC!$C$4*'Staging Table'!BG116*'Staging Table'!$BH$2)+SUM('Staging Table'!BN116:CK116)-IF(Init!$R$15="No",'Staging Table'!CX116, 0))</f>
        <v>91876.459387251583</v>
      </c>
      <c r="Y114" s="169">
        <f>IF('Staging Table'!C116=1,"",IF(X114=0, 0, W114/X114))</f>
        <v>38.184379006048957</v>
      </c>
      <c r="Z114" s="160">
        <f>IF('Staging Table'!C116=1,"",Y114/N114-1)</f>
        <v>4.981663136809833E-2</v>
      </c>
      <c r="AA114" s="97">
        <f t="shared" si="3"/>
        <v>48</v>
      </c>
      <c r="AD114" s="412"/>
      <c r="AE114" s="412"/>
      <c r="AF114" s="432"/>
      <c r="AG114" s="412"/>
      <c r="AH114" s="412"/>
    </row>
    <row r="115" spans="2:34">
      <c r="B115" s="3">
        <v>10376</v>
      </c>
      <c r="C115" s="4" t="s">
        <v>118</v>
      </c>
      <c r="D115" s="407">
        <f>IF(Init!$R$9="Yes",'Staging Table'!E117,'Staging Table'!BG117)*Rates_previous!$E$75*100*12</f>
        <v>19436463.31284</v>
      </c>
      <c r="E115" s="407">
        <f>IF(Init!$R$9="Yes",'Staging Table'!F117,'Staging Table'!BH117)*Rates_previous!$E$76*100*12</f>
        <v>-2889434.60304</v>
      </c>
      <c r="F115" s="408">
        <f>IF(Init!$R$9="Yes",SUMPRODUCT('Staging Table'!L117:AI117,LS_Demand_Rates_Restatement!$C$4:$Z$4)-IF(Init!$R$15="No",('Staging Table'!AV117*Rates_previous!$H$35), 0),SUMPRODUCT('Staging Table'!BN117:CK117,LS_Demand_Rates_Restatement!$C$4:$Z$4)-IF(Init!$R$15="No", 'Staging Table'!CX117*Rates_previous!$H$35, 0))</f>
        <v>-52577.08154572286</v>
      </c>
      <c r="G115" s="408">
        <f>IF(Init!$R$9="Yes",SUMPRODUCT('Staging Table'!AJ117:AU117,LS_Demand_Rates_Restatement!$C$10:$N$10),SUMPRODUCT(LS_Demand_Rates_Restatement!$C$10:$N$10,'Staging Table'!CL117:CW117))*1000</f>
        <v>835001.33986840246</v>
      </c>
      <c r="H115" s="409">
        <f>IF(Init!$R$9="Yes",'Staging Table'!BF117,'Staging Table'!DH117)*Rates_previous!$H$33</f>
        <v>-59650.600666764891</v>
      </c>
      <c r="I115" s="409">
        <f>IF(Init!$R$9="Yes",IF('Staging Table'!D117=1,'Staging Table'!H117*-1,'Staging Table'!H117*SUM(D115:H115)*(-1)),IF('Staging Table'!D117=1,'Staging Table'!BJ117*-1,'Staging Table'!BJ117*SUM(D115:H115)*(-1)))</f>
        <v>0</v>
      </c>
      <c r="J115" s="407">
        <f>IF(Init!$R$9="Yes",'Staging Table'!K117,'Staging Table'!BM117)*(-1)*Rates_previous!$H$32</f>
        <v>0</v>
      </c>
      <c r="K115" s="407">
        <f>IF(Init!$R$12="No",0,'Staging Table'!$AW117*-1)</f>
        <v>0</v>
      </c>
      <c r="L115" s="407">
        <f>IF('Staging Table'!C117=1,"",SUM(D115:K115))</f>
        <v>17269802.367455915</v>
      </c>
      <c r="M115" s="407">
        <f>IF('Staging Table'!C117=1,"",IF(Init!$R$9="Yes",(RT1SC!$C$3*'Staging Table'!E117*'Staging Table'!$F$2)+SUM('Staging Table'!L117:AI117)-IF(Init!$R$15="No",'Staging Table'!AV117, 0),X115))</f>
        <v>474904.10713369888</v>
      </c>
      <c r="N115" s="169">
        <f>IF('Staging Table'!C117=1,"",IF(M115=0, 0, L115/M115))</f>
        <v>36.364819987951755</v>
      </c>
      <c r="O115" s="407">
        <f>'Staging Table'!BG117*Rates_current!$E$75*100*12</f>
        <v>19899843.851519998</v>
      </c>
      <c r="P115" s="407">
        <f>'Staging Table'!BH117*Rates_current!$E$76*100*12</f>
        <v>-2799084.5366399996</v>
      </c>
      <c r="Q115" s="408">
        <f>SUMPRODUCT('Staging Table'!BN117:CK117, LS_Demand_Rates_Restatement!$C$5:$Z$5)-IF(Init!$R$15="No",('Staging Table'!CX117*Rates_current!$H$35), 0)</f>
        <v>249918.80187771414</v>
      </c>
      <c r="R115" s="408">
        <f>SUMPRODUCT('Staging Table'!CL117:CW117, LS_Demand_Rates_Restatement!$C$11:$N$11)*1000</f>
        <v>827625.96353482013</v>
      </c>
      <c r="S115" s="409">
        <f>'Staging Table'!DH117*Rates_current!$H$33</f>
        <v>-3596.6101102396933</v>
      </c>
      <c r="T115" s="409">
        <f>IF('Staging Table'!D117=1, 'Staging Table'!BJ117*-1,SUM(O115:S115)*'Staging Table'!BJ117*-1)</f>
        <v>0</v>
      </c>
      <c r="U115" s="407">
        <f>'Staging Table'!BM117*Rates_current!$H$32*-1</f>
        <v>0</v>
      </c>
      <c r="V115" s="407">
        <f>IF(Init!$R$12="No",0,'Staging Table'!$CY117*-1)</f>
        <v>0</v>
      </c>
      <c r="W115" s="407">
        <f>IF('Staging Table'!C117=1,"",SUM(O115:V115))</f>
        <v>18174707.470182296</v>
      </c>
      <c r="X115" s="407">
        <f>IF('Staging Table'!C117=1,"",(RT1SC!$C$4*'Staging Table'!BG117*'Staging Table'!$BH$2)+SUM('Staging Table'!BN117:CK117)-IF(Init!$R$15="No",'Staging Table'!CX117, 0))</f>
        <v>474904.11293253017</v>
      </c>
      <c r="Y115" s="169">
        <f>IF('Staging Table'!C117=1,"",IF(X115=0, 0, W115/X115))</f>
        <v>38.270267566127366</v>
      </c>
      <c r="Z115" s="160">
        <f>IF('Staging Table'!C117=1,"",Y115/N115-1)</f>
        <v>5.2398102858942197E-2</v>
      </c>
      <c r="AA115" s="97">
        <f t="shared" si="3"/>
        <v>33</v>
      </c>
      <c r="AD115" s="412"/>
      <c r="AE115" s="412"/>
      <c r="AF115" s="432"/>
      <c r="AG115" s="412"/>
      <c r="AH115" s="412"/>
    </row>
    <row r="116" spans="2:34">
      <c r="B116" s="3">
        <v>10378</v>
      </c>
      <c r="C116" s="4" t="s">
        <v>119</v>
      </c>
      <c r="D116" s="407">
        <f>IF(Init!$R$9="Yes",'Staging Table'!E118,'Staging Table'!BG118)*Rates_previous!$E$75*100*12</f>
        <v>709179.29460000014</v>
      </c>
      <c r="E116" s="407">
        <f>IF(Init!$R$9="Yes",'Staging Table'!F118,'Staging Table'!BH118)*Rates_previous!$E$76*100*12</f>
        <v>-105426.95760000002</v>
      </c>
      <c r="F116" s="408">
        <f>IF(Init!$R$9="Yes",SUMPRODUCT('Staging Table'!L118:AI118,LS_Demand_Rates_Restatement!$C$4:$Z$4)-IF(Init!$R$15="No",('Staging Table'!AV118*Rates_previous!$H$35), 0),SUMPRODUCT('Staging Table'!BN118:CK118,LS_Demand_Rates_Restatement!$C$4:$Z$4)-IF(Init!$R$15="No", 'Staging Table'!CX118*Rates_previous!$H$35, 0))</f>
        <v>-20804.548329717461</v>
      </c>
      <c r="G116" s="408">
        <f>IF(Init!$R$9="Yes",SUMPRODUCT('Staging Table'!AJ118:AU118,LS_Demand_Rates_Restatement!$C$10:$N$10),SUMPRODUCT(LS_Demand_Rates_Restatement!$C$10:$N$10,'Staging Table'!CL118:CW118))*1000</f>
        <v>14295.171440064092</v>
      </c>
      <c r="H116" s="409">
        <f>IF(Init!$R$9="Yes",'Staging Table'!BF118,'Staging Table'!DH118)*Rates_previous!$H$33</f>
        <v>-9579.6113339167987</v>
      </c>
      <c r="I116" s="409">
        <f>IF(Init!$R$9="Yes",IF('Staging Table'!D118=1,'Staging Table'!H118*-1,'Staging Table'!H118*SUM(D116:H116)*(-1)),IF('Staging Table'!D118=1,'Staging Table'!BJ118*-1,'Staging Table'!BJ118*SUM(D116:H116)*(-1)))</f>
        <v>0</v>
      </c>
      <c r="J116" s="407">
        <f>IF(Init!$R$9="Yes",'Staging Table'!K118,'Staging Table'!BM118)*(-1)*Rates_previous!$H$32</f>
        <v>0</v>
      </c>
      <c r="K116" s="407">
        <f>IF(Init!$R$12="No",0,'Staging Table'!$AW118*-1)</f>
        <v>0</v>
      </c>
      <c r="L116" s="407">
        <f>IF('Staging Table'!C118=1,"",SUM(D116:K116))</f>
        <v>587663.34877642989</v>
      </c>
      <c r="M116" s="407">
        <f>IF('Staging Table'!C118=1,"",IF(Init!$R$9="Yes",(RT1SC!$C$3*'Staging Table'!E118*'Staging Table'!$F$2)+SUM('Staging Table'!L118:AI118)-IF(Init!$R$15="No",'Staging Table'!AV118, 0),X116))</f>
        <v>16494.342041365333</v>
      </c>
      <c r="N116" s="169">
        <f>IF('Staging Table'!C118=1,"",IF(M116=0, 0, L116/M116))</f>
        <v>35.628177668600451</v>
      </c>
      <c r="O116" s="407">
        <f>'Staging Table'!BG118*Rates_current!$E$75*100*12</f>
        <v>690690.79583999992</v>
      </c>
      <c r="P116" s="407">
        <f>'Staging Table'!BH118*Rates_current!$E$76*100*12</f>
        <v>-97151.612879999986</v>
      </c>
      <c r="Q116" s="408">
        <f>SUMPRODUCT('Staging Table'!BN118:CK118, LS_Demand_Rates_Restatement!$C$5:$Z$5)-IF(Init!$R$15="No",('Staging Table'!CX118*Rates_current!$H$35), 0)</f>
        <v>16353.067929965633</v>
      </c>
      <c r="R116" s="408">
        <f>SUMPRODUCT('Staging Table'!CL118:CW118, LS_Demand_Rates_Restatement!$C$11:$N$11)*1000</f>
        <v>13173.651148326202</v>
      </c>
      <c r="S116" s="409">
        <f>'Staging Table'!DH118*Rates_current!$H$33</f>
        <v>-9.4064321370842663</v>
      </c>
      <c r="T116" s="409">
        <f>IF('Staging Table'!D118=1, 'Staging Table'!BJ118*-1,SUM(O116:S116)*'Staging Table'!BJ118*-1)</f>
        <v>0</v>
      </c>
      <c r="U116" s="407">
        <f>'Staging Table'!BM118*Rates_current!$H$32*-1</f>
        <v>0</v>
      </c>
      <c r="V116" s="407">
        <f>IF(Init!$R$12="No",0,'Staging Table'!$CY118*-1)</f>
        <v>0</v>
      </c>
      <c r="W116" s="407">
        <f>IF('Staging Table'!C118=1,"",SUM(O116:V116))</f>
        <v>623056.49560615467</v>
      </c>
      <c r="X116" s="407">
        <f>IF('Staging Table'!C118=1,"",(RT1SC!$C$4*'Staging Table'!BG118*'Staging Table'!$BH$2)+SUM('Staging Table'!BN118:CK118)-IF(Init!$R$15="No",'Staging Table'!CX118, 0))</f>
        <v>16494.342240616701</v>
      </c>
      <c r="Y116" s="169">
        <f>IF('Staging Table'!C118=1,"",IF(X116=0, 0, W116/X116))</f>
        <v>37.773952214469112</v>
      </c>
      <c r="Z116" s="160">
        <f>IF('Staging Table'!C118=1,"",Y116/N116-1)</f>
        <v>6.0226895852710349E-2</v>
      </c>
      <c r="AA116" s="97">
        <f t="shared" si="3"/>
        <v>13</v>
      </c>
      <c r="AD116" s="412"/>
      <c r="AE116" s="412"/>
      <c r="AF116" s="432"/>
      <c r="AG116" s="412"/>
      <c r="AH116" s="412"/>
    </row>
    <row r="117" spans="2:34">
      <c r="B117" s="3">
        <v>10379</v>
      </c>
      <c r="C117" s="4" t="s">
        <v>120</v>
      </c>
      <c r="D117" s="407">
        <f>IF(Init!$R$9="Yes",'Staging Table'!E119,'Staging Table'!BG119)*Rates_previous!$E$75*100*12</f>
        <v>1687673.4487199998</v>
      </c>
      <c r="E117" s="407">
        <f>IF(Init!$R$9="Yes",'Staging Table'!F119,'Staging Table'!BH119)*Rates_previous!$E$76*100*12</f>
        <v>-250890.40031999996</v>
      </c>
      <c r="F117" s="408">
        <f>IF(Init!$R$9="Yes",SUMPRODUCT('Staging Table'!L119:AI119,LS_Demand_Rates_Restatement!$C$4:$Z$4)-IF(Init!$R$15="No",('Staging Table'!AV119*Rates_previous!$H$35), 0),SUMPRODUCT('Staging Table'!BN119:CK119,LS_Demand_Rates_Restatement!$C$4:$Z$4)-IF(Init!$R$15="No", 'Staging Table'!CX119*Rates_previous!$H$35, 0))</f>
        <v>-4828.647773076249</v>
      </c>
      <c r="G117" s="408">
        <f>IF(Init!$R$9="Yes",SUMPRODUCT('Staging Table'!AJ119:AU119,LS_Demand_Rates_Restatement!$C$10:$N$10),SUMPRODUCT(LS_Demand_Rates_Restatement!$C$10:$N$10,'Staging Table'!CL119:CW119))*1000</f>
        <v>128527.57836964034</v>
      </c>
      <c r="H117" s="409">
        <f>IF(Init!$R$9="Yes",'Staging Table'!BF119,'Staging Table'!DH119)*Rates_previous!$H$33</f>
        <v>-5683.008928811455</v>
      </c>
      <c r="I117" s="409">
        <f>IF(Init!$R$9="Yes",IF('Staging Table'!D119=1,'Staging Table'!H119*-1,'Staging Table'!H119*SUM(D117:H117)*(-1)),IF('Staging Table'!D119=1,'Staging Table'!BJ119*-1,'Staging Table'!BJ119*SUM(D117:H117)*(-1)))</f>
        <v>0</v>
      </c>
      <c r="J117" s="407">
        <f>IF(Init!$R$9="Yes",'Staging Table'!K119,'Staging Table'!BM119)*(-1)*Rates_previous!$H$32</f>
        <v>0</v>
      </c>
      <c r="K117" s="407">
        <f>IF(Init!$R$12="No",0,'Staging Table'!$AW119*-1)</f>
        <v>0</v>
      </c>
      <c r="L117" s="407">
        <f>IF('Staging Table'!C119=1,"",SUM(D117:K117))</f>
        <v>1554798.9700677523</v>
      </c>
      <c r="M117" s="407">
        <f>IF('Staging Table'!C119=1,"",IF(Init!$R$9="Yes",(RT1SC!$C$3*'Staging Table'!E119*'Staging Table'!$F$2)+SUM('Staging Table'!L119:AI119)-IF(Init!$R$15="No",'Staging Table'!AV119, 0),X117))</f>
        <v>41178.476098439387</v>
      </c>
      <c r="N117" s="169">
        <f>IF('Staging Table'!C119=1,"",IF(M117=0, 0, L117/M117))</f>
        <v>37.757564567249183</v>
      </c>
      <c r="O117" s="407">
        <f>'Staging Table'!BG119*Rates_current!$E$75*100*12</f>
        <v>1724561.41536</v>
      </c>
      <c r="P117" s="407">
        <f>'Staging Table'!BH119*Rates_current!$E$76*100*12</f>
        <v>-242574.42552000005</v>
      </c>
      <c r="Q117" s="408">
        <f>SUMPRODUCT('Staging Table'!BN119:CK119, LS_Demand_Rates_Restatement!$C$5:$Z$5)-IF(Init!$R$15="No",('Staging Table'!CX119*Rates_current!$H$35), 0)</f>
        <v>26604.243276516787</v>
      </c>
      <c r="R117" s="408">
        <f>SUMPRODUCT('Staging Table'!CL119:CW119, LS_Demand_Rates_Restatement!$C$11:$N$11)*1000</f>
        <v>126527.14346480594</v>
      </c>
      <c r="S117" s="409">
        <f>'Staging Table'!DH119*Rates_current!$H$33</f>
        <v>-29.113339961435486</v>
      </c>
      <c r="T117" s="409">
        <f>IF('Staging Table'!D119=1, 'Staging Table'!BJ119*-1,SUM(O117:S117)*'Staging Table'!BJ119*-1)</f>
        <v>0</v>
      </c>
      <c r="U117" s="407">
        <f>'Staging Table'!BM119*Rates_current!$H$32*-1</f>
        <v>0</v>
      </c>
      <c r="V117" s="407">
        <f>IF(Init!$R$12="No",0,'Staging Table'!$CY119*-1)</f>
        <v>0</v>
      </c>
      <c r="W117" s="407">
        <f>IF('Staging Table'!C119=1,"",SUM(O117:V117))</f>
        <v>1635089.2632413611</v>
      </c>
      <c r="X117" s="407">
        <f>IF('Staging Table'!C119=1,"",(RT1SC!$C$4*'Staging Table'!BG119*'Staging Table'!$BH$2)+SUM('Staging Table'!BN119:CK119)-IF(Init!$R$15="No",'Staging Table'!CX119, 0))</f>
        <v>41178.476600787333</v>
      </c>
      <c r="Y117" s="169">
        <f>IF('Staging Table'!C119=1,"",IF(X117=0, 0, W117/X117))</f>
        <v>39.70737623669396</v>
      </c>
      <c r="Z117" s="160">
        <f>IF('Staging Table'!C119=1,"",Y117/N117-1)</f>
        <v>5.1640292264401921E-2</v>
      </c>
      <c r="AA117" s="97">
        <f t="shared" si="3"/>
        <v>37</v>
      </c>
      <c r="AD117" s="412"/>
      <c r="AE117" s="412"/>
      <c r="AF117" s="432"/>
      <c r="AG117" s="412"/>
      <c r="AH117" s="412"/>
    </row>
    <row r="118" spans="2:34">
      <c r="B118" s="3">
        <v>10388</v>
      </c>
      <c r="C118" s="4" t="s">
        <v>121</v>
      </c>
      <c r="D118" s="407">
        <f>IF(Init!$R$9="Yes",'Staging Table'!E120,'Staging Table'!BG120)*Rates_previous!$E$75*100*12</f>
        <v>39743001.746279992</v>
      </c>
      <c r="E118" s="407">
        <f>IF(Init!$R$9="Yes",'Staging Table'!F120,'Staging Table'!BH120)*Rates_previous!$E$76*100*12</f>
        <v>-5908215.0196800008</v>
      </c>
      <c r="F118" s="408">
        <f>IF(Init!$R$9="Yes",SUMPRODUCT('Staging Table'!L120:AI120,LS_Demand_Rates_Restatement!$C$4:$Z$4)-IF(Init!$R$15="No",('Staging Table'!AV120*Rates_previous!$H$35), 0),SUMPRODUCT('Staging Table'!BN120:CK120,LS_Demand_Rates_Restatement!$C$4:$Z$4)-IF(Init!$R$15="No", 'Staging Table'!CX120*Rates_previous!$H$35, 0))</f>
        <v>0</v>
      </c>
      <c r="G118" s="408">
        <f>IF(Init!$R$9="Yes",SUMPRODUCT('Staging Table'!AJ120:AU120,LS_Demand_Rates_Restatement!$C$10:$N$10),SUMPRODUCT(LS_Demand_Rates_Restatement!$C$10:$N$10,'Staging Table'!CL120:CW120))*1000</f>
        <v>0</v>
      </c>
      <c r="H118" s="409">
        <f>IF(Init!$R$9="Yes",'Staging Table'!BF120,'Staging Table'!DH120)*Rates_previous!$H$33</f>
        <v>0</v>
      </c>
      <c r="I118" s="409">
        <f>IF(Init!$R$9="Yes",IF('Staging Table'!D120=1,'Staging Table'!H120*-1,'Staging Table'!H120*SUM(D118:H118)*(-1)),IF('Staging Table'!D120=1,'Staging Table'!BJ120*-1,'Staging Table'!BJ120*SUM(D118:H118)*(-1)))</f>
        <v>-2505804.3049719953</v>
      </c>
      <c r="J118" s="407">
        <f>IF(Init!$R$9="Yes",'Staging Table'!K120,'Staging Table'!BM120)*(-1)*Rates_previous!$H$32</f>
        <v>-2692651.4657900003</v>
      </c>
      <c r="K118" s="407">
        <f>IF(Init!$R$12="No",0,'Staging Table'!$AW120*-1)</f>
        <v>0</v>
      </c>
      <c r="L118" s="407" t="str">
        <f>IF('Staging Table'!C120=1,"",SUM(D118:K118))</f>
        <v/>
      </c>
      <c r="M118" s="407" t="str">
        <f>IF('Staging Table'!C120=1,"",IF(Init!$R$9="Yes",(RT1SC!$C$3*'Staging Table'!E120*'Staging Table'!$F$2)+SUM('Staging Table'!L120:AI120)-IF(Init!$R$15="No",'Staging Table'!AV120, 0),X118))</f>
        <v/>
      </c>
      <c r="N118" s="169" t="str">
        <f>IF('Staging Table'!C120=1,"",IF(M118=0, 0, L118/M118))</f>
        <v/>
      </c>
      <c r="O118" s="407">
        <f>'Staging Table'!BG120*Rates_current!$E$75*100*12</f>
        <v>40869481.377599999</v>
      </c>
      <c r="P118" s="407">
        <f>'Staging Table'!BH120*Rates_current!$E$76*100*12</f>
        <v>-5748644.7731999997</v>
      </c>
      <c r="Q118" s="408">
        <f>SUMPRODUCT('Staging Table'!BN120:CK120, LS_Demand_Rates_Restatement!$C$5:$Z$5)-IF(Init!$R$15="No",('Staging Table'!CX120*Rates_current!$H$35), 0)</f>
        <v>0</v>
      </c>
      <c r="R118" s="408">
        <f>SUMPRODUCT('Staging Table'!CL120:CW120, LS_Demand_Rates_Restatement!$C$11:$N$11)*1000</f>
        <v>0</v>
      </c>
      <c r="S118" s="409">
        <f>'Staging Table'!DH120*Rates_current!$H$33</f>
        <v>0</v>
      </c>
      <c r="T118" s="409">
        <f>IF('Staging Table'!D120=1, 'Staging Table'!BJ120*-1,SUM(O118:S118)*'Staging Table'!BJ120*-1)</f>
        <v>-3138738.379451015</v>
      </c>
      <c r="U118" s="407">
        <f>'Staging Table'!BM120*Rates_current!$H$32*-1</f>
        <v>-2690363.7415200002</v>
      </c>
      <c r="V118" s="407">
        <f>IF(Init!$R$12="No",0,'Staging Table'!$CY120*-1)</f>
        <v>0</v>
      </c>
      <c r="W118" s="407" t="str">
        <f>IF('Staging Table'!C120=1,"",SUM(O118:V118))</f>
        <v/>
      </c>
      <c r="X118" s="407" t="str">
        <f>IF('Staging Table'!C120=1,"",(RT1SC!$C$4*'Staging Table'!BG120*'Staging Table'!$BH$2)+SUM('Staging Table'!BN120:CK120)-IF(Init!$R$15="No",'Staging Table'!CX120, 0))</f>
        <v/>
      </c>
      <c r="Y118" s="169" t="str">
        <f>IF('Staging Table'!C120=1,"",IF(X118=0, 0, W118/X118))</f>
        <v/>
      </c>
      <c r="Z118" s="160" t="str">
        <f>IF('Staging Table'!C120=1,"",Y118/N118-1)</f>
        <v/>
      </c>
      <c r="AA118" s="97" t="str">
        <f t="shared" si="3"/>
        <v/>
      </c>
      <c r="AD118" s="412"/>
      <c r="AE118" s="412"/>
      <c r="AF118" s="432"/>
      <c r="AG118" s="412"/>
      <c r="AH118" s="412"/>
    </row>
    <row r="119" spans="2:34">
      <c r="B119" s="3">
        <v>10391</v>
      </c>
      <c r="C119" s="4" t="s">
        <v>122</v>
      </c>
      <c r="D119" s="407">
        <f>IF(Init!$R$9="Yes",'Staging Table'!E121,'Staging Table'!BG121)*Rates_previous!$E$75*100*12</f>
        <v>10522091.956319999</v>
      </c>
      <c r="E119" s="407">
        <f>IF(Init!$R$9="Yes",'Staging Table'!F121,'Staging Table'!BH121)*Rates_previous!$E$76*100*12</f>
        <v>-1564219.5859199998</v>
      </c>
      <c r="F119" s="408">
        <f>IF(Init!$R$9="Yes",SUMPRODUCT('Staging Table'!L121:AI121,LS_Demand_Rates_Restatement!$C$4:$Z$4)-IF(Init!$R$15="No",('Staging Table'!AV121*Rates_previous!$H$35), 0),SUMPRODUCT('Staging Table'!BN121:CK121,LS_Demand_Rates_Restatement!$C$4:$Z$4)-IF(Init!$R$15="No", 'Staging Table'!CX121*Rates_previous!$H$35, 0))</f>
        <v>-55576.451169956068</v>
      </c>
      <c r="G119" s="408">
        <f>IF(Init!$R$9="Yes",SUMPRODUCT('Staging Table'!AJ121:AU121,LS_Demand_Rates_Restatement!$C$10:$N$10),SUMPRODUCT(LS_Demand_Rates_Restatement!$C$10:$N$10,'Staging Table'!CL121:CW121))*1000</f>
        <v>521848.75686478813</v>
      </c>
      <c r="H119" s="409">
        <f>IF(Init!$R$9="Yes",'Staging Table'!BF121,'Staging Table'!DH121)*Rates_previous!$H$33</f>
        <v>0</v>
      </c>
      <c r="I119" s="409">
        <f>IF(Init!$R$9="Yes",IF('Staging Table'!D121=1,'Staging Table'!H121*-1,'Staging Table'!H121*SUM(D119:H119)*(-1)),IF('Staging Table'!D121=1,'Staging Table'!BJ121*-1,'Staging Table'!BJ121*SUM(D119:H119)*(-1)))</f>
        <v>-368107.09104826406</v>
      </c>
      <c r="J119" s="407">
        <f>IF(Init!$R$9="Yes",'Staging Table'!K121,'Staging Table'!BM121)*(-1)*Rates_previous!$H$32</f>
        <v>-521059.70080999995</v>
      </c>
      <c r="K119" s="407">
        <f>IF(Init!$R$12="No",0,'Staging Table'!$AW121*-1)</f>
        <v>0</v>
      </c>
      <c r="L119" s="407">
        <f>IF('Staging Table'!C121=1,"",SUM(D119:K119))</f>
        <v>8534977.8842365649</v>
      </c>
      <c r="M119" s="407">
        <f>IF('Staging Table'!C121=1,"",IF(Init!$R$9="Yes",(RT1SC!$C$3*'Staging Table'!E121*'Staging Table'!$F$2)+SUM('Staging Table'!L121:AI121)-IF(Init!$R$15="No",'Staging Table'!AV121, 0),X119))</f>
        <v>260744.25600000002</v>
      </c>
      <c r="N119" s="169">
        <f>IF('Staging Table'!C121=1,"",IF(M119=0, 0, L119/M119))</f>
        <v>32.733138651524364</v>
      </c>
      <c r="O119" s="407">
        <f>'Staging Table'!BG121*Rates_current!$E$75*100*12</f>
        <v>10820737.543679999</v>
      </c>
      <c r="P119" s="407">
        <f>'Staging Table'!BH121*Rates_current!$E$76*100*12</f>
        <v>-1522029.9897599998</v>
      </c>
      <c r="Q119" s="408">
        <f>SUMPRODUCT('Staging Table'!BN121:CK121, LS_Demand_Rates_Restatement!$C$5:$Z$5)-IF(Init!$R$15="No",('Staging Table'!CX121*Rates_current!$H$35), 0)</f>
        <v>-110320.96491302448</v>
      </c>
      <c r="R119" s="408">
        <f>SUMPRODUCT('Staging Table'!CL121:CW121, LS_Demand_Rates_Restatement!$C$11:$N$11)*1000</f>
        <v>513260.94746252679</v>
      </c>
      <c r="S119" s="409">
        <f>'Staging Table'!DH121*Rates_current!$H$33</f>
        <v>0</v>
      </c>
      <c r="T119" s="409">
        <f>IF('Staging Table'!D121=1, 'Staging Table'!BJ121*-1,SUM(O119:S119)*'Staging Table'!BJ121*-1)</f>
        <v>-403737.00929967681</v>
      </c>
      <c r="U119" s="407">
        <f>'Staging Table'!BM121*Rates_current!$H$32*-1</f>
        <v>-520616.99927999999</v>
      </c>
      <c r="V119" s="407">
        <f>IF(Init!$R$12="No",0,'Staging Table'!$CY121*-1)</f>
        <v>0</v>
      </c>
      <c r="W119" s="407">
        <f>IF('Staging Table'!C121=1,"",SUM(O119:V119))</f>
        <v>8777293.5278898254</v>
      </c>
      <c r="X119" s="407">
        <f>IF('Staging Table'!C121=1,"",(RT1SC!$C$4*'Staging Table'!BG121*'Staging Table'!$BH$2)+SUM('Staging Table'!BN121:CK121)-IF(Init!$R$15="No",'Staging Table'!CX121, 0))</f>
        <v>258383.94176963207</v>
      </c>
      <c r="Y119" s="169">
        <f>IF('Staging Table'!C121=1,"",IF(X119=0, 0, W119/X119))</f>
        <v>33.969965268644351</v>
      </c>
      <c r="Z119" s="160">
        <f>IF('Staging Table'!C121=1,"",Y119/N119-1)</f>
        <v>3.7785151930806116E-2</v>
      </c>
      <c r="AA119" s="97">
        <f t="shared" si="3"/>
        <v>103</v>
      </c>
      <c r="AD119" s="412"/>
      <c r="AE119" s="412"/>
      <c r="AF119" s="432"/>
      <c r="AG119" s="412"/>
      <c r="AH119" s="412"/>
    </row>
    <row r="120" spans="2:34">
      <c r="B120" s="3">
        <v>10406</v>
      </c>
      <c r="C120" s="4" t="s">
        <v>123</v>
      </c>
      <c r="D120" s="407">
        <f>IF(Init!$R$9="Yes",'Staging Table'!E122,'Staging Table'!BG122)*Rates_previous!$E$75*100*12</f>
        <v>160895.826</v>
      </c>
      <c r="E120" s="407">
        <f>IF(Init!$R$9="Yes",'Staging Table'!F122,'Staging Table'!BH122)*Rates_previous!$E$76*100*12</f>
        <v>-23918.856</v>
      </c>
      <c r="F120" s="408">
        <f>IF(Init!$R$9="Yes",SUMPRODUCT('Staging Table'!L122:AI122,LS_Demand_Rates_Restatement!$C$4:$Z$4)-IF(Init!$R$15="No",('Staging Table'!AV122*Rates_previous!$H$35), 0),SUMPRODUCT('Staging Table'!BN122:CK122,LS_Demand_Rates_Restatement!$C$4:$Z$4)-IF(Init!$R$15="No", 'Staging Table'!CX122*Rates_previous!$H$35, 0))</f>
        <v>915.53441442147232</v>
      </c>
      <c r="G120" s="408">
        <f>IF(Init!$R$9="Yes",SUMPRODUCT('Staging Table'!AJ122:AU122,LS_Demand_Rates_Restatement!$C$10:$N$10),SUMPRODUCT(LS_Demand_Rates_Restatement!$C$10:$N$10,'Staging Table'!CL122:CW122))*1000</f>
        <v>11306.810902742163</v>
      </c>
      <c r="H120" s="409">
        <f>IF(Init!$R$9="Yes",'Staging Table'!BF122,'Staging Table'!DH122)*Rates_previous!$H$33</f>
        <v>0</v>
      </c>
      <c r="I120" s="409">
        <f>IF(Init!$R$9="Yes",IF('Staging Table'!D122=1,'Staging Table'!H122*-1,'Staging Table'!H122*SUM(D120:H120)*(-1)),IF('Staging Table'!D122=1,'Staging Table'!BJ122*-1,'Staging Table'!BJ122*SUM(D120:H120)*(-1)))</f>
        <v>0</v>
      </c>
      <c r="J120" s="407">
        <f>IF(Init!$R$9="Yes",'Staging Table'!K122,'Staging Table'!BM122)*(-1)*Rates_previous!$H$32</f>
        <v>0</v>
      </c>
      <c r="K120" s="407">
        <f>IF(Init!$R$12="No",0,'Staging Table'!$AW122*-1)</f>
        <v>0</v>
      </c>
      <c r="L120" s="407">
        <f>IF('Staging Table'!C122=1,"",SUM(D120:K120))</f>
        <v>149199.31531716365</v>
      </c>
      <c r="M120" s="407">
        <f>IF('Staging Table'!C122=1,"",IF(Init!$R$9="Yes",(RT1SC!$C$3*'Staging Table'!E122*'Staging Table'!$F$2)+SUM('Staging Table'!L122:AI122)-IF(Init!$R$15="No",'Staging Table'!AV122, 0),X120))</f>
        <v>3987.9360000000001</v>
      </c>
      <c r="N120" s="169">
        <f>IF('Staging Table'!C122=1,"",IF(M120=0, 0, L120/M120))</f>
        <v>37.412665428222432</v>
      </c>
      <c r="O120" s="407">
        <f>'Staging Table'!BG122*Rates_current!$E$75*100*12</f>
        <v>165347.96256000001</v>
      </c>
      <c r="P120" s="407">
        <f>'Staging Table'!BH122*Rates_current!$E$76*100*12</f>
        <v>-23257.615920000004</v>
      </c>
      <c r="Q120" s="408">
        <f>SUMPRODUCT('Staging Table'!BN122:CK122, LS_Demand_Rates_Restatement!$C$5:$Z$5)-IF(Init!$R$15="No",('Staging Table'!CX122*Rates_current!$H$35), 0)</f>
        <v>3447.684126855529</v>
      </c>
      <c r="R120" s="408">
        <f>SUMPRODUCT('Staging Table'!CL122:CW122, LS_Demand_Rates_Restatement!$C$11:$N$11)*1000</f>
        <v>11108.529996296294</v>
      </c>
      <c r="S120" s="409">
        <f>'Staging Table'!DH122*Rates_current!$H$33</f>
        <v>0</v>
      </c>
      <c r="T120" s="409">
        <f>IF('Staging Table'!D122=1, 'Staging Table'!BJ122*-1,SUM(O120:S120)*'Staging Table'!BJ122*-1)</f>
        <v>0</v>
      </c>
      <c r="U120" s="407">
        <f>'Staging Table'!BM122*Rates_current!$H$32*-1</f>
        <v>0</v>
      </c>
      <c r="V120" s="407">
        <f>IF(Init!$R$12="No",0,'Staging Table'!$CY122*-1)</f>
        <v>0</v>
      </c>
      <c r="W120" s="407">
        <f>IF('Staging Table'!C122=1,"",SUM(O120:V120))</f>
        <v>156646.56076315182</v>
      </c>
      <c r="X120" s="407">
        <f>IF('Staging Table'!C122=1,"",(RT1SC!$C$4*'Staging Table'!BG122*'Staging Table'!$BH$2)+SUM('Staging Table'!BN122:CK122)-IF(Init!$R$15="No",'Staging Table'!CX122, 0))</f>
        <v>3950.76</v>
      </c>
      <c r="Y120" s="169">
        <f>IF('Staging Table'!C122=1,"",IF(X120=0, 0, W120/X120))</f>
        <v>39.649728346736275</v>
      </c>
      <c r="Z120" s="160">
        <f>IF('Staging Table'!C122=1,"",Y120/N120-1)</f>
        <v>5.9794267339912777E-2</v>
      </c>
      <c r="AA120" s="97">
        <f t="shared" si="3"/>
        <v>15</v>
      </c>
      <c r="AD120" s="412"/>
      <c r="AE120" s="412"/>
      <c r="AF120" s="432"/>
      <c r="AG120" s="412"/>
      <c r="AH120" s="412"/>
    </row>
    <row r="121" spans="2:34">
      <c r="B121" s="3">
        <v>10408</v>
      </c>
      <c r="C121" s="4" t="s">
        <v>124</v>
      </c>
      <c r="D121" s="407">
        <f>IF(Init!$R$9="Yes",'Staging Table'!E123,'Staging Table'!BG123)*Rates_previous!$E$75*100*12</f>
        <v>525015.45684</v>
      </c>
      <c r="E121" s="407">
        <f>IF(Init!$R$9="Yes",'Staging Table'!F123,'Staging Table'!BH123)*Rates_previous!$E$76*100*12</f>
        <v>-78049.067039999994</v>
      </c>
      <c r="F121" s="408">
        <f>IF(Init!$R$9="Yes",SUMPRODUCT('Staging Table'!L123:AI123,LS_Demand_Rates_Restatement!$C$4:$Z$4)-IF(Init!$R$15="No",('Staging Table'!AV123*Rates_previous!$H$35), 0),SUMPRODUCT('Staging Table'!BN123:CK123,LS_Demand_Rates_Restatement!$C$4:$Z$4)-IF(Init!$R$15="No", 'Staging Table'!CX123*Rates_previous!$H$35, 0))</f>
        <v>-28394.414883256795</v>
      </c>
      <c r="G121" s="408">
        <f>IF(Init!$R$9="Yes",SUMPRODUCT('Staging Table'!AJ123:AU123,LS_Demand_Rates_Restatement!$C$10:$N$10),SUMPRODUCT(LS_Demand_Rates_Restatement!$C$10:$N$10,'Staging Table'!CL123:CW123))*1000</f>
        <v>29315.548615464748</v>
      </c>
      <c r="H121" s="409">
        <f>IF(Init!$R$9="Yes",'Staging Table'!BF123,'Staging Table'!DH123)*Rates_previous!$H$33</f>
        <v>-8560.2772789834507</v>
      </c>
      <c r="I121" s="409">
        <f>IF(Init!$R$9="Yes",IF('Staging Table'!D123=1,'Staging Table'!H123*-1,'Staging Table'!H123*SUM(D121:H121)*(-1)),IF('Staging Table'!D123=1,'Staging Table'!BJ123*-1,'Staging Table'!BJ123*SUM(D121:H121)*(-1)))</f>
        <v>0</v>
      </c>
      <c r="J121" s="407">
        <f>IF(Init!$R$9="Yes",'Staging Table'!K123,'Staging Table'!BM123)*(-1)*Rates_previous!$H$32</f>
        <v>0</v>
      </c>
      <c r="K121" s="407">
        <f>IF(Init!$R$12="No",0,'Staging Table'!$AW123*-1)</f>
        <v>0</v>
      </c>
      <c r="L121" s="407">
        <f>IF('Staging Table'!C123=1,"",SUM(D121:K121))</f>
        <v>439327.24625322456</v>
      </c>
      <c r="M121" s="407">
        <f>IF('Staging Table'!C123=1,"",IF(Init!$R$9="Yes",(RT1SC!$C$3*'Staging Table'!E123*'Staging Table'!$F$2)+SUM('Staging Table'!L123:AI123)-IF(Init!$R$15="No",'Staging Table'!AV123, 0),X121))</f>
        <v>12041.84103062334</v>
      </c>
      <c r="N121" s="169">
        <f>IF('Staging Table'!C123=1,"",IF(M121=0, 0, L121/M121))</f>
        <v>36.483395282829356</v>
      </c>
      <c r="O121" s="407">
        <f>'Staging Table'!BG123*Rates_current!$E$75*100*12</f>
        <v>529419.20832000009</v>
      </c>
      <c r="P121" s="407">
        <f>'Staging Table'!BH123*Rates_current!$E$76*100*12</f>
        <v>-74467.374240000005</v>
      </c>
      <c r="Q121" s="408">
        <f>SUMPRODUCT('Staging Table'!BN123:CK123, LS_Demand_Rates_Restatement!$C$5:$Z$5)-IF(Init!$R$15="No",('Staging Table'!CX123*Rates_current!$H$35), 0)</f>
        <v>-15635.389701258413</v>
      </c>
      <c r="R121" s="408">
        <f>SUMPRODUCT('Staging Table'!CL123:CW123, LS_Demand_Rates_Restatement!$C$11:$N$11)*1000</f>
        <v>28447.470553338677</v>
      </c>
      <c r="S121" s="409">
        <f>'Staging Table'!DH123*Rates_current!$H$33</f>
        <v>-7635.1948984621104</v>
      </c>
      <c r="T121" s="409">
        <f>IF('Staging Table'!D123=1, 'Staging Table'!BJ123*-1,SUM(O121:S121)*'Staging Table'!BJ123*-1)</f>
        <v>0</v>
      </c>
      <c r="U121" s="407">
        <f>'Staging Table'!BM123*Rates_current!$H$32*-1</f>
        <v>0</v>
      </c>
      <c r="V121" s="407">
        <f>IF(Init!$R$12="No",0,'Staging Table'!$CY123*-1)</f>
        <v>0</v>
      </c>
      <c r="W121" s="407">
        <f>IF('Staging Table'!C123=1,"",SUM(O121:V121))</f>
        <v>460128.72003361827</v>
      </c>
      <c r="X121" s="407">
        <f>IF('Staging Table'!C123=1,"",(RT1SC!$C$4*'Staging Table'!BG123*'Staging Table'!$BH$2)+SUM('Staging Table'!BN123:CK123)-IF(Init!$R$15="No",'Staging Table'!CX123, 0))</f>
        <v>12041.841184434345</v>
      </c>
      <c r="Y121" s="169">
        <f>IF('Staging Table'!C123=1,"",IF(X121=0, 0, W121/X121))</f>
        <v>38.210827811646851</v>
      </c>
      <c r="Z121" s="160">
        <f>IF('Staging Table'!C123=1,"",Y121/N121-1)</f>
        <v>4.734845853643721E-2</v>
      </c>
      <c r="AA121" s="97">
        <f t="shared" si="3"/>
        <v>75</v>
      </c>
      <c r="AD121" s="412"/>
      <c r="AE121" s="412"/>
      <c r="AF121" s="432"/>
      <c r="AG121" s="412"/>
      <c r="AH121" s="412"/>
    </row>
    <row r="122" spans="2:34">
      <c r="B122" s="3">
        <v>10409</v>
      </c>
      <c r="C122" s="4" t="s">
        <v>125</v>
      </c>
      <c r="D122" s="407">
        <f>IF(Init!$R$9="Yes",'Staging Table'!E124,'Staging Table'!BG124)*Rates_previous!$E$75*100*12</f>
        <v>7168280.3463599999</v>
      </c>
      <c r="E122" s="407">
        <f>IF(Init!$R$9="Yes",'Staging Table'!F124,'Staging Table'!BH124)*Rates_previous!$E$76*100*12</f>
        <v>-1065640.2321599999</v>
      </c>
      <c r="F122" s="408">
        <f>IF(Init!$R$9="Yes",SUMPRODUCT('Staging Table'!L124:AI124,LS_Demand_Rates_Restatement!$C$4:$Z$4)-IF(Init!$R$15="No",('Staging Table'!AV124*Rates_previous!$H$35), 0),SUMPRODUCT('Staging Table'!BN124:CK124,LS_Demand_Rates_Restatement!$C$4:$Z$4)-IF(Init!$R$15="No", 'Staging Table'!CX124*Rates_previous!$H$35, 0))</f>
        <v>-162242.57805179287</v>
      </c>
      <c r="G122" s="408">
        <f>IF(Init!$R$9="Yes",SUMPRODUCT('Staging Table'!AJ124:AU124,LS_Demand_Rates_Restatement!$C$10:$N$10),SUMPRODUCT(LS_Demand_Rates_Restatement!$C$10:$N$10,'Staging Table'!CL124:CW124))*1000</f>
        <v>181905.6633639957</v>
      </c>
      <c r="H122" s="409">
        <f>IF(Init!$R$9="Yes",'Staging Table'!BF124,'Staging Table'!DH124)*Rates_previous!$H$33</f>
        <v>-59178.494899684658</v>
      </c>
      <c r="I122" s="409">
        <f>IF(Init!$R$9="Yes",IF('Staging Table'!D124=1,'Staging Table'!H124*-1,'Staging Table'!H124*SUM(D122:H122)*(-1)),IF('Staging Table'!D124=1,'Staging Table'!BJ124*-1,'Staging Table'!BJ124*SUM(D122:H122)*(-1)))</f>
        <v>0</v>
      </c>
      <c r="J122" s="407">
        <f>IF(Init!$R$9="Yes",'Staging Table'!K124,'Staging Table'!BM124)*(-1)*Rates_previous!$H$32</f>
        <v>0</v>
      </c>
      <c r="K122" s="407">
        <f>IF(Init!$R$12="No",0,'Staging Table'!$AW124*-1)</f>
        <v>0</v>
      </c>
      <c r="L122" s="407">
        <f>IF('Staging Table'!C124=1,"",SUM(D122:K122))</f>
        <v>6063124.7046125187</v>
      </c>
      <c r="M122" s="407">
        <f>IF('Staging Table'!C124=1,"",IF(Init!$R$9="Yes",(RT1SC!$C$3*'Staging Table'!E124*'Staging Table'!$F$2)+SUM('Staging Table'!L124:AI124)-IF(Init!$R$15="No",'Staging Table'!AV124, 0),X122))</f>
        <v>170943.21241811474</v>
      </c>
      <c r="N122" s="169">
        <f>IF('Staging Table'!C124=1,"",IF(M122=0, 0, L122/M122))</f>
        <v>35.468648440878447</v>
      </c>
      <c r="O122" s="407">
        <f>'Staging Table'!BG124*Rates_current!$E$75*100*12</f>
        <v>7139006.5622399999</v>
      </c>
      <c r="P122" s="407">
        <f>'Staging Table'!BH124*Rates_current!$E$76*100*12</f>
        <v>-1004162.7976800001</v>
      </c>
      <c r="Q122" s="408">
        <f>SUMPRODUCT('Staging Table'!BN124:CK124, LS_Demand_Rates_Restatement!$C$5:$Z$5)-IF(Init!$R$15="No",('Staging Table'!CX124*Rates_current!$H$35), 0)</f>
        <v>57249.797854339944</v>
      </c>
      <c r="R122" s="408">
        <f>SUMPRODUCT('Staging Table'!CL124:CW124, LS_Demand_Rates_Restatement!$C$11:$N$11)*1000</f>
        <v>163605.09830198542</v>
      </c>
      <c r="S122" s="409">
        <f>'Staging Table'!DH124*Rates_current!$H$33</f>
        <v>6038.5847095492572</v>
      </c>
      <c r="T122" s="409">
        <f>IF('Staging Table'!D124=1, 'Staging Table'!BJ124*-1,SUM(O122:S122)*'Staging Table'!BJ124*-1)</f>
        <v>0</v>
      </c>
      <c r="U122" s="407">
        <f>'Staging Table'!BM124*Rates_current!$H$32*-1</f>
        <v>0</v>
      </c>
      <c r="V122" s="407">
        <f>IF(Init!$R$12="No",0,'Staging Table'!$CY124*-1)</f>
        <v>0</v>
      </c>
      <c r="W122" s="407">
        <f>IF('Staging Table'!C124=1,"",SUM(O122:V122))</f>
        <v>6361737.2454258744</v>
      </c>
      <c r="X122" s="407">
        <f>IF('Staging Table'!C124=1,"",(RT1SC!$C$4*'Staging Table'!BG124*'Staging Table'!$BH$2)+SUM('Staging Table'!BN124:CK124)-IF(Init!$R$15="No",'Staging Table'!CX124, 0))</f>
        <v>170943.21448702348</v>
      </c>
      <c r="Y122" s="169">
        <f>IF('Staging Table'!C124=1,"",IF(X122=0, 0, W122/X122))</f>
        <v>37.215500273096843</v>
      </c>
      <c r="Z122" s="160">
        <f>IF('Staging Table'!C124=1,"",Y122/N122-1)</f>
        <v>4.9250589154254509E-2</v>
      </c>
      <c r="AA122" s="97">
        <f t="shared" si="3"/>
        <v>57</v>
      </c>
      <c r="AD122" s="412"/>
      <c r="AE122" s="412"/>
      <c r="AF122" s="432"/>
      <c r="AG122" s="412"/>
      <c r="AH122" s="412"/>
    </row>
    <row r="123" spans="2:34">
      <c r="B123" s="3">
        <v>10426</v>
      </c>
      <c r="C123" s="4" t="s">
        <v>126</v>
      </c>
      <c r="D123" s="407">
        <f>IF(Init!$R$9="Yes",'Staging Table'!E125,'Staging Table'!BG125)*Rates_previous!$E$75*100*12</f>
        <v>9149279.26248</v>
      </c>
      <c r="E123" s="407">
        <f>IF(Init!$R$9="Yes",'Staging Table'!F125,'Staging Table'!BH125)*Rates_previous!$E$76*100*12</f>
        <v>-1360136.54688</v>
      </c>
      <c r="F123" s="408">
        <f>IF(Init!$R$9="Yes",SUMPRODUCT('Staging Table'!L125:AI125,LS_Demand_Rates_Restatement!$C$4:$Z$4)-IF(Init!$R$15="No",('Staging Table'!AV125*Rates_previous!$H$35), 0),SUMPRODUCT('Staging Table'!BN125:CK125,LS_Demand_Rates_Restatement!$C$4:$Z$4)-IF(Init!$R$15="No", 'Staging Table'!CX125*Rates_previous!$H$35, 0))</f>
        <v>-1712338.9700816115</v>
      </c>
      <c r="G123" s="408">
        <f>IF(Init!$R$9="Yes",SUMPRODUCT('Staging Table'!AJ125:AU125,LS_Demand_Rates_Restatement!$C$10:$N$10),SUMPRODUCT(LS_Demand_Rates_Restatement!$C$10:$N$10,'Staging Table'!CL125:CW125))*1000</f>
        <v>41144.453191666682</v>
      </c>
      <c r="H123" s="409">
        <f>IF(Init!$R$9="Yes",'Staging Table'!BF125,'Staging Table'!DH125)*Rates_previous!$H$33</f>
        <v>-602366.64307707932</v>
      </c>
      <c r="I123" s="409">
        <f>IF(Init!$R$9="Yes",IF('Staging Table'!D125=1,'Staging Table'!H125*-1,'Staging Table'!H125*SUM(D123:H123)*(-1)),IF('Staging Table'!D125=1,'Staging Table'!BJ125*-1,'Staging Table'!BJ125*SUM(D123:H123)*(-1)))</f>
        <v>0</v>
      </c>
      <c r="J123" s="407">
        <f>IF(Init!$R$9="Yes",'Staging Table'!K125,'Staging Table'!BM125)*(-1)*Rates_previous!$H$32</f>
        <v>0</v>
      </c>
      <c r="K123" s="407">
        <f>IF(Init!$R$12="No",0,'Staging Table'!$AW125*-1)</f>
        <v>0</v>
      </c>
      <c r="L123" s="407">
        <f>IF('Staging Table'!C125=1,"",SUM(D123:K123))</f>
        <v>5515581.5556329759</v>
      </c>
      <c r="M123" s="407">
        <f>IF('Staging Table'!C125=1,"",IF(Init!$R$9="Yes",(RT1SC!$C$3*'Staging Table'!E125*'Staging Table'!$F$2)+SUM('Staging Table'!L125:AI125)-IF(Init!$R$15="No",'Staging Table'!AV125, 0),X123))</f>
        <v>158659.79653366335</v>
      </c>
      <c r="N123" s="169">
        <f>IF('Staging Table'!C125=1,"",IF(M123=0, 0, L123/M123))</f>
        <v>34.763573861401731</v>
      </c>
      <c r="O123" s="407">
        <f>'Staging Table'!BG125*Rates_current!$E$75*100*12</f>
        <v>6644491.3151999991</v>
      </c>
      <c r="P123" s="407">
        <f>'Staging Table'!BH125*Rates_current!$E$76*100*12</f>
        <v>-934604.96640000003</v>
      </c>
      <c r="Q123" s="408">
        <f>SUMPRODUCT('Staging Table'!BN125:CK125, LS_Demand_Rates_Restatement!$C$5:$Z$5)-IF(Init!$R$15="No",('Staging Table'!CX125*Rates_current!$H$35), 0)</f>
        <v>90728.993877411413</v>
      </c>
      <c r="R123" s="408">
        <f>SUMPRODUCT('Staging Table'!CL125:CW125, LS_Demand_Rates_Restatement!$C$11:$N$11)*1000</f>
        <v>46785.044205128172</v>
      </c>
      <c r="S123" s="409">
        <f>'Staging Table'!DH125*Rates_current!$H$33</f>
        <v>-16.851486954627035</v>
      </c>
      <c r="T123" s="409">
        <f>IF('Staging Table'!D125=1, 'Staging Table'!BJ125*-1,SUM(O123:S123)*'Staging Table'!BJ125*-1)</f>
        <v>0</v>
      </c>
      <c r="U123" s="407">
        <f>'Staging Table'!BM125*Rates_current!$H$32*-1</f>
        <v>0</v>
      </c>
      <c r="V123" s="407">
        <f>IF(Init!$R$12="No",0,'Staging Table'!$CY125*-1)</f>
        <v>0</v>
      </c>
      <c r="W123" s="407">
        <f>IF('Staging Table'!C125=1,"",SUM(O123:V123))</f>
        <v>5847383.5353955841</v>
      </c>
      <c r="X123" s="407">
        <f>IF('Staging Table'!C125=1,"",(RT1SC!$C$4*'Staging Table'!BG125*'Staging Table'!$BH$2)+SUM('Staging Table'!BN125:CK125)-IF(Init!$R$15="No",'Staging Table'!CX125, 0))</f>
        <v>158659.79831474865</v>
      </c>
      <c r="Y123" s="169">
        <f>IF('Staging Table'!C125=1,"",IF(X123=0, 0, W123/X123))</f>
        <v>36.85485294640025</v>
      </c>
      <c r="Z123" s="160">
        <f>IF('Staging Table'!C125=1,"",Y123/N123-1)</f>
        <v>6.0157194807881398E-2</v>
      </c>
      <c r="AA123" s="97">
        <f t="shared" si="3"/>
        <v>14</v>
      </c>
      <c r="AD123" s="412"/>
      <c r="AE123" s="412"/>
      <c r="AF123" s="432"/>
      <c r="AG123" s="412"/>
      <c r="AH123" s="412"/>
    </row>
    <row r="124" spans="2:34">
      <c r="B124" s="3">
        <v>10434</v>
      </c>
      <c r="C124" s="4" t="s">
        <v>127</v>
      </c>
      <c r="D124" s="407">
        <f>IF(Init!$R$9="Yes",'Staging Table'!E126,'Staging Table'!BG126)*Rates_previous!$E$75*100*12</f>
        <v>9532458.8603999987</v>
      </c>
      <c r="E124" s="407">
        <f>IF(Init!$R$9="Yes",'Staging Table'!F126,'Staging Table'!BH126)*Rates_previous!$E$76*100*12</f>
        <v>-1417100.2223999999</v>
      </c>
      <c r="F124" s="408">
        <f>IF(Init!$R$9="Yes",SUMPRODUCT('Staging Table'!L126:AI126,LS_Demand_Rates_Restatement!$C$4:$Z$4)-IF(Init!$R$15="No",('Staging Table'!AV126*Rates_previous!$H$35), 0),SUMPRODUCT('Staging Table'!BN126:CK126,LS_Demand_Rates_Restatement!$C$4:$Z$4)-IF(Init!$R$15="No", 'Staging Table'!CX126*Rates_previous!$H$35, 0))</f>
        <v>85107.625700570992</v>
      </c>
      <c r="G124" s="408">
        <f>IF(Init!$R$9="Yes",SUMPRODUCT('Staging Table'!AJ126:AU126,LS_Demand_Rates_Restatement!$C$10:$N$10),SUMPRODUCT(LS_Demand_Rates_Restatement!$C$10:$N$10,'Staging Table'!CL126:CW126))*1000</f>
        <v>556409.95348661859</v>
      </c>
      <c r="H124" s="409">
        <f>IF(Init!$R$9="Yes",'Staging Table'!BF126,'Staging Table'!DH126)*Rates_previous!$H$33</f>
        <v>0</v>
      </c>
      <c r="I124" s="409">
        <f>IF(Init!$R$9="Yes",IF('Staging Table'!D126=1,'Staging Table'!H126*-1,'Staging Table'!H126*SUM(D124:H124)*(-1)),IF('Staging Table'!D126=1,'Staging Table'!BJ126*-1,'Staging Table'!BJ126*SUM(D124:H124)*(-1)))</f>
        <v>0</v>
      </c>
      <c r="J124" s="407">
        <f>IF(Init!$R$9="Yes",'Staging Table'!K126,'Staging Table'!BM126)*(-1)*Rates_previous!$H$32</f>
        <v>0</v>
      </c>
      <c r="K124" s="407">
        <f>IF(Init!$R$12="No",0,'Staging Table'!$AW126*-1)</f>
        <v>0</v>
      </c>
      <c r="L124" s="407">
        <f>IF('Staging Table'!C126=1,"",SUM(D124:K124))</f>
        <v>8756876.2171871886</v>
      </c>
      <c r="M124" s="407">
        <f>IF('Staging Table'!C126=1,"",IF(Init!$R$9="Yes",(RT1SC!$C$3*'Staging Table'!E126*'Staging Table'!$F$2)+SUM('Staging Table'!L126:AI126)-IF(Init!$R$15="No",'Staging Table'!AV126, 0),X124))</f>
        <v>236219.32800000001</v>
      </c>
      <c r="N124" s="169">
        <f>IF('Staging Table'!C126=1,"",IF(M124=0, 0, L124/M124))</f>
        <v>37.070955587458059</v>
      </c>
      <c r="O124" s="407">
        <f>'Staging Table'!BG126*Rates_current!$E$75*100*12</f>
        <v>9802662.87744</v>
      </c>
      <c r="P124" s="407">
        <f>'Staging Table'!BH126*Rates_current!$E$76*100*12</f>
        <v>-1378829.0140799999</v>
      </c>
      <c r="Q124" s="408">
        <f>SUMPRODUCT('Staging Table'!BN126:CK126, LS_Demand_Rates_Restatement!$C$5:$Z$5)-IF(Init!$R$15="No",('Staging Table'!CX126*Rates_current!$H$35), 0)</f>
        <v>151494.12288285</v>
      </c>
      <c r="R124" s="408">
        <f>SUMPRODUCT('Staging Table'!CL126:CW126, LS_Demand_Rates_Restatement!$C$11:$N$11)*1000</f>
        <v>525896.32419689256</v>
      </c>
      <c r="S124" s="409">
        <f>'Staging Table'!DH126*Rates_current!$H$33</f>
        <v>0</v>
      </c>
      <c r="T124" s="409">
        <f>IF('Staging Table'!D126=1, 'Staging Table'!BJ126*-1,SUM(O124:S124)*'Staging Table'!BJ126*-1)</f>
        <v>0</v>
      </c>
      <c r="U124" s="407">
        <f>'Staging Table'!BM126*Rates_current!$H$32*-1</f>
        <v>0</v>
      </c>
      <c r="V124" s="407">
        <f>IF(Init!$R$12="No",0,'Staging Table'!$CY126*-1)</f>
        <v>0</v>
      </c>
      <c r="W124" s="407">
        <f>IF('Staging Table'!C126=1,"",SUM(O124:V124))</f>
        <v>9101224.3104397431</v>
      </c>
      <c r="X124" s="407">
        <f>IF('Staging Table'!C126=1,"",(RT1SC!$C$4*'Staging Table'!BG126*'Staging Table'!$BH$2)+SUM('Staging Table'!BN126:CK126)-IF(Init!$R$15="No",'Staging Table'!CX126, 0))</f>
        <v>234074.4114149643</v>
      </c>
      <c r="Y124" s="169">
        <f>IF('Staging Table'!C126=1,"",IF(X124=0, 0, W124/X124))</f>
        <v>38.881756683370241</v>
      </c>
      <c r="Z124" s="160">
        <f>IF('Staging Table'!C126=1,"",Y124/N124-1)</f>
        <v>4.8846895560599402E-2</v>
      </c>
      <c r="AA124" s="97">
        <f t="shared" si="3"/>
        <v>60</v>
      </c>
      <c r="AD124" s="412"/>
      <c r="AE124" s="412"/>
      <c r="AF124" s="432"/>
      <c r="AG124" s="412"/>
      <c r="AH124" s="412"/>
    </row>
    <row r="125" spans="2:34">
      <c r="B125" s="3">
        <v>10436</v>
      </c>
      <c r="C125" s="4" t="s">
        <v>128</v>
      </c>
      <c r="D125" s="407">
        <f>IF(Init!$R$9="Yes",'Staging Table'!E127,'Staging Table'!BG127)*Rates_previous!$E$75*100*12</f>
        <v>6722475.1423199996</v>
      </c>
      <c r="E125" s="407">
        <f>IF(Init!$R$9="Yes",'Staging Table'!F127,'Staging Table'!BH127)*Rates_previous!$E$76*100*12</f>
        <v>-999366.60192000004</v>
      </c>
      <c r="F125" s="408">
        <f>IF(Init!$R$9="Yes",SUMPRODUCT('Staging Table'!L127:AI127,LS_Demand_Rates_Restatement!$C$4:$Z$4)-IF(Init!$R$15="No",('Staging Table'!AV127*Rates_previous!$H$35), 0),SUMPRODUCT('Staging Table'!BN127:CK127,LS_Demand_Rates_Restatement!$C$4:$Z$4)-IF(Init!$R$15="No", 'Staging Table'!CX127*Rates_previous!$H$35, 0))</f>
        <v>-54420.981245909759</v>
      </c>
      <c r="G125" s="408">
        <f>IF(Init!$R$9="Yes",SUMPRODUCT('Staging Table'!AJ127:AU127,LS_Demand_Rates_Restatement!$C$10:$N$10),SUMPRODUCT(LS_Demand_Rates_Restatement!$C$10:$N$10,'Staging Table'!CL127:CW127))*1000</f>
        <v>458080.01515030261</v>
      </c>
      <c r="H125" s="409">
        <f>IF(Init!$R$9="Yes",'Staging Table'!BF127,'Staging Table'!DH127)*Rates_previous!$H$33</f>
        <v>0</v>
      </c>
      <c r="I125" s="409">
        <f>IF(Init!$R$9="Yes",IF('Staging Table'!D127=1,'Staging Table'!H127*-1,'Staging Table'!H127*SUM(D125:H125)*(-1)),IF('Staging Table'!D127=1,'Staging Table'!BJ127*-1,'Staging Table'!BJ127*SUM(D125:H125)*(-1)))</f>
        <v>-450746.29044157412</v>
      </c>
      <c r="J125" s="407">
        <f>IF(Init!$R$9="Yes",'Staging Table'!K127,'Staging Table'!BM127)*(-1)*Rates_previous!$H$32</f>
        <v>-457420.54665999993</v>
      </c>
      <c r="K125" s="407">
        <f>IF(Init!$R$12="No",0,'Staging Table'!$AW127*-1)</f>
        <v>0</v>
      </c>
      <c r="L125" s="407">
        <f>IF('Staging Table'!C127=1,"",SUM(D125:K125))</f>
        <v>5218600.7372028185</v>
      </c>
      <c r="M125" s="407">
        <f>IF('Staging Table'!C127=1,"",IF(Init!$R$9="Yes",(RT1SC!$C$3*'Staging Table'!E127*'Staging Table'!$F$2)+SUM('Staging Table'!L127:AI127)-IF(Init!$R$15="No",'Staging Table'!AV127, 0),X125))</f>
        <v>166588.56</v>
      </c>
      <c r="N125" s="169">
        <f>IF('Staging Table'!C127=1,"",IF(M125=0, 0, L125/M125))</f>
        <v>31.326285173500622</v>
      </c>
      <c r="O125" s="407">
        <f>'Staging Table'!BG127*Rates_current!$E$75*100*12</f>
        <v>6913277.2944000009</v>
      </c>
      <c r="P125" s="407">
        <f>'Staging Table'!BH127*Rates_current!$E$76*100*12</f>
        <v>-972412.03080000007</v>
      </c>
      <c r="Q125" s="408">
        <f>SUMPRODUCT('Staging Table'!BN127:CK127, LS_Demand_Rates_Restatement!$C$5:$Z$5)-IF(Init!$R$15="No",('Staging Table'!CX127*Rates_current!$H$35), 0)</f>
        <v>-100880.58537859033</v>
      </c>
      <c r="R125" s="408">
        <f>SUMPRODUCT('Staging Table'!CL127:CW127, LS_Demand_Rates_Restatement!$C$11:$N$11)*1000</f>
        <v>428729.95456115552</v>
      </c>
      <c r="S125" s="409">
        <f>'Staging Table'!DH127*Rates_current!$H$33</f>
        <v>0</v>
      </c>
      <c r="T125" s="409">
        <f>IF('Staging Table'!D127=1, 'Staging Table'!BJ127*-1,SUM(O125:S125)*'Staging Table'!BJ127*-1)</f>
        <v>-468917.81741832185</v>
      </c>
      <c r="U125" s="407">
        <f>'Staging Table'!BM127*Rates_current!$H$32*-1</f>
        <v>-457031.9140799999</v>
      </c>
      <c r="V125" s="407">
        <f>IF(Init!$R$12="No",0,'Staging Table'!$CY127*-1)</f>
        <v>0</v>
      </c>
      <c r="W125" s="407">
        <f>IF('Staging Table'!C127=1,"",SUM(O125:V125))</f>
        <v>5342764.9012842448</v>
      </c>
      <c r="X125" s="407">
        <f>IF('Staging Table'!C127=1,"",(RT1SC!$C$4*'Staging Table'!BG127*'Staging Table'!$BH$2)+SUM('Staging Table'!BN127:CK127)-IF(Init!$R$15="No",'Staging Table'!CX127, 0))</f>
        <v>165082.19999999998</v>
      </c>
      <c r="Y125" s="169">
        <f>IF('Staging Table'!C127=1,"",IF(X125=0, 0, W125/X125))</f>
        <v>32.364270050218892</v>
      </c>
      <c r="Z125" s="160">
        <f>IF('Staging Table'!C127=1,"",Y125/N125-1)</f>
        <v>3.3134630262394271E-2</v>
      </c>
      <c r="AA125" s="97">
        <f t="shared" si="3"/>
        <v>106</v>
      </c>
      <c r="AD125" s="412"/>
      <c r="AE125" s="412"/>
      <c r="AF125" s="432"/>
      <c r="AG125" s="412"/>
      <c r="AH125" s="412"/>
    </row>
    <row r="126" spans="2:34">
      <c r="B126" s="3">
        <v>10440</v>
      </c>
      <c r="C126" s="4" t="s">
        <v>129</v>
      </c>
      <c r="D126" s="407">
        <f>IF(Init!$R$9="Yes",'Staging Table'!E128,'Staging Table'!BG128)*Rates_previous!$E$75*100*12</f>
        <v>1756734.8878799998</v>
      </c>
      <c r="E126" s="407">
        <f>IF(Init!$R$9="Yes",'Staging Table'!F128,'Staging Table'!BH128)*Rates_previous!$E$76*100*12</f>
        <v>-261157.10928</v>
      </c>
      <c r="F126" s="408">
        <f>IF(Init!$R$9="Yes",SUMPRODUCT('Staging Table'!L128:AI128,LS_Demand_Rates_Restatement!$C$4:$Z$4)-IF(Init!$R$15="No",('Staging Table'!AV128*Rates_previous!$H$35), 0),SUMPRODUCT('Staging Table'!BN128:CK128,LS_Demand_Rates_Restatement!$C$4:$Z$4)-IF(Init!$R$15="No", 'Staging Table'!CX128*Rates_previous!$H$35, 0))</f>
        <v>2955.3459145010274</v>
      </c>
      <c r="G126" s="408">
        <f>IF(Init!$R$9="Yes",SUMPRODUCT('Staging Table'!AJ128:AU128,LS_Demand_Rates_Restatement!$C$10:$N$10),SUMPRODUCT(LS_Demand_Rates_Restatement!$C$10:$N$10,'Staging Table'!CL128:CW128))*1000</f>
        <v>90281.148104727574</v>
      </c>
      <c r="H126" s="409">
        <f>IF(Init!$R$9="Yes",'Staging Table'!BF128,'Staging Table'!DH128)*Rates_previous!$H$33</f>
        <v>-3769.3202931614978</v>
      </c>
      <c r="I126" s="409">
        <f>IF(Init!$R$9="Yes",IF('Staging Table'!D128=1,'Staging Table'!H128*-1,'Staging Table'!H128*SUM(D126:H126)*(-1)),IF('Staging Table'!D128=1,'Staging Table'!BJ128*-1,'Staging Table'!BJ128*SUM(D126:H126)*(-1)))</f>
        <v>-97401.012320436799</v>
      </c>
      <c r="J126" s="407">
        <f>IF(Init!$R$9="Yes",'Staging Table'!K128,'Staging Table'!BM128)*(-1)*Rates_previous!$H$32</f>
        <v>0</v>
      </c>
      <c r="K126" s="407">
        <f>IF(Init!$R$12="No",0,'Staging Table'!$AW128*-1)</f>
        <v>0</v>
      </c>
      <c r="L126" s="407">
        <f>IF('Staging Table'!C128=1,"",SUM(D126:K126))</f>
        <v>1487643.94000563</v>
      </c>
      <c r="M126" s="407">
        <f>IF('Staging Table'!C128=1,"",IF(Init!$R$9="Yes",(RT1SC!$C$3*'Staging Table'!E128*'Staging Table'!$F$2)+SUM('Staging Table'!L128:AI128)-IF(Init!$R$15="No",'Staging Table'!AV128, 0),X126))</f>
        <v>43107.592102467628</v>
      </c>
      <c r="N126" s="169">
        <f>IF('Staging Table'!C128=1,"",IF(M126=0, 0, L126/M126))</f>
        <v>34.510021725859097</v>
      </c>
      <c r="O126" s="407">
        <f>'Staging Table'!BG128*Rates_current!$E$75*100*12</f>
        <v>1801248.2208</v>
      </c>
      <c r="P126" s="407">
        <f>'Staging Table'!BH128*Rates_current!$E$76*100*12</f>
        <v>-253361.08559999996</v>
      </c>
      <c r="Q126" s="408">
        <f>SUMPRODUCT('Staging Table'!BN128:CK128, LS_Demand_Rates_Restatement!$C$5:$Z$5)-IF(Init!$R$15="No",('Staging Table'!CX128*Rates_current!$H$35), 0)</f>
        <v>35561.657181522321</v>
      </c>
      <c r="R126" s="408">
        <f>SUMPRODUCT('Staging Table'!CL128:CW128, LS_Demand_Rates_Restatement!$C$11:$N$11)*1000</f>
        <v>89368.86512467057</v>
      </c>
      <c r="S126" s="409">
        <f>'Staging Table'!DH128*Rates_current!$H$33</f>
        <v>1223.9060006606669</v>
      </c>
      <c r="T126" s="409">
        <f>IF('Staging Table'!D128=1, 'Staging Table'!BJ128*-1,SUM(O126:S126)*'Staging Table'!BJ128*-1)</f>
        <v>-92072.285992876961</v>
      </c>
      <c r="U126" s="407">
        <f>'Staging Table'!BM128*Rates_current!$H$32*-1</f>
        <v>0</v>
      </c>
      <c r="V126" s="407">
        <f>IF(Init!$R$12="No",0,'Staging Table'!$CY128*-1)</f>
        <v>0</v>
      </c>
      <c r="W126" s="407">
        <f>IF('Staging Table'!C128=1,"",SUM(O126:V126))</f>
        <v>1581969.2775139769</v>
      </c>
      <c r="X126" s="407">
        <f>IF('Staging Table'!C128=1,"",(RT1SC!$C$4*'Staging Table'!BG128*'Staging Table'!$BH$2)+SUM('Staging Table'!BN128:CK128)-IF(Init!$R$15="No",'Staging Table'!CX128, 0))</f>
        <v>43107.592627502796</v>
      </c>
      <c r="Y126" s="169">
        <f>IF('Staging Table'!C128=1,"",IF(X126=0, 0, W126/X126))</f>
        <v>36.698158748597685</v>
      </c>
      <c r="Z126" s="160">
        <f>IF('Staging Table'!C128=1,"",Y126/N126-1)</f>
        <v>6.3405843094528347E-2</v>
      </c>
      <c r="AA126" s="97">
        <f t="shared" si="3"/>
        <v>7</v>
      </c>
      <c r="AD126" s="412"/>
      <c r="AE126" s="412"/>
      <c r="AF126" s="432"/>
      <c r="AG126" s="412"/>
      <c r="AH126" s="412"/>
    </row>
    <row r="127" spans="2:34">
      <c r="B127" s="3">
        <v>10442</v>
      </c>
      <c r="C127" s="4" t="s">
        <v>130</v>
      </c>
      <c r="D127" s="407">
        <f>IF(Init!$R$9="Yes",'Staging Table'!E129,'Staging Table'!BG129)*Rates_previous!$E$75*100*12</f>
        <v>4481320.0521600004</v>
      </c>
      <c r="E127" s="407">
        <f>IF(Init!$R$9="Yes",'Staging Table'!F129,'Staging Table'!BH129)*Rates_previous!$E$76*100*12</f>
        <v>-666195.33695999999</v>
      </c>
      <c r="F127" s="408">
        <f>IF(Init!$R$9="Yes",SUMPRODUCT('Staging Table'!L129:AI129,LS_Demand_Rates_Restatement!$C$4:$Z$4)-IF(Init!$R$15="No",('Staging Table'!AV129*Rates_previous!$H$35), 0),SUMPRODUCT('Staging Table'!BN129:CK129,LS_Demand_Rates_Restatement!$C$4:$Z$4)-IF(Init!$R$15="No", 'Staging Table'!CX129*Rates_previous!$H$35, 0))</f>
        <v>-58760.519457209244</v>
      </c>
      <c r="G127" s="408">
        <f>IF(Init!$R$9="Yes",SUMPRODUCT('Staging Table'!AJ129:AU129,LS_Demand_Rates_Restatement!$C$10:$N$10),SUMPRODUCT(LS_Demand_Rates_Restatement!$C$10:$N$10,'Staging Table'!CL129:CW129))*1000</f>
        <v>392167.71682722564</v>
      </c>
      <c r="H127" s="409">
        <f>IF(Init!$R$9="Yes",'Staging Table'!BF129,'Staging Table'!DH129)*Rates_previous!$H$33</f>
        <v>-25322.892086711872</v>
      </c>
      <c r="I127" s="409">
        <f>IF(Init!$R$9="Yes",IF('Staging Table'!D129=1,'Staging Table'!H129*-1,'Staging Table'!H129*SUM(D127:H127)*(-1)),IF('Staging Table'!D129=1,'Staging Table'!BJ129*-1,'Staging Table'!BJ129*SUM(D127:H127)*(-1)))</f>
        <v>-288624.63143383135</v>
      </c>
      <c r="J127" s="407">
        <f>IF(Init!$R$9="Yes",'Staging Table'!K129,'Staging Table'!BM129)*(-1)*Rates_previous!$H$32</f>
        <v>-114561.2941</v>
      </c>
      <c r="K127" s="407">
        <f>IF(Init!$R$12="No",0,'Staging Table'!$AW129*-1)</f>
        <v>0</v>
      </c>
      <c r="L127" s="407">
        <f>IF('Staging Table'!C129=1,"",SUM(D127:K127))</f>
        <v>3720023.0949494732</v>
      </c>
      <c r="M127" s="407">
        <f>IF('Staging Table'!C129=1,"",IF(Init!$R$9="Yes",(RT1SC!$C$3*'Staging Table'!E129*'Staging Table'!$F$2)+SUM('Staging Table'!L129:AI129)-IF(Init!$R$15="No",'Staging Table'!AV129, 0),X127))</f>
        <v>108185.98426138848</v>
      </c>
      <c r="N127" s="169">
        <f>IF('Staging Table'!C129=1,"",IF(M127=0, 0, L127/M127))</f>
        <v>34.385443921844015</v>
      </c>
      <c r="O127" s="407">
        <f>'Staging Table'!BG129*Rates_current!$E$75*100*12</f>
        <v>4787447.7110400004</v>
      </c>
      <c r="P127" s="407">
        <f>'Staging Table'!BH129*Rates_current!$E$76*100*12</f>
        <v>-673395.77928000002</v>
      </c>
      <c r="Q127" s="408">
        <f>SUMPRODUCT('Staging Table'!BN129:CK129, LS_Demand_Rates_Restatement!$C$5:$Z$5)-IF(Init!$R$15="No",('Staging Table'!CX129*Rates_current!$H$35), 0)</f>
        <v>-103005.24697752004</v>
      </c>
      <c r="R127" s="408">
        <f>SUMPRODUCT('Staging Table'!CL129:CW129, LS_Demand_Rates_Restatement!$C$11:$N$11)*1000</f>
        <v>387349.44658755331</v>
      </c>
      <c r="S127" s="409">
        <f>'Staging Table'!DH129*Rates_current!$H$33</f>
        <v>-78183.182735443595</v>
      </c>
      <c r="T127" s="409">
        <f>IF('Staging Table'!D129=1, 'Staging Table'!BJ129*-1,SUM(O127:S127)*'Staging Table'!BJ129*-1)</f>
        <v>-302414.90640442132</v>
      </c>
      <c r="U127" s="407">
        <f>'Staging Table'!BM129*Rates_current!$H$32*-1</f>
        <v>-114463.9608</v>
      </c>
      <c r="V127" s="407">
        <f>IF(Init!$R$12="No",0,'Staging Table'!$CY129*-1)</f>
        <v>0</v>
      </c>
      <c r="W127" s="407">
        <f>IF('Staging Table'!C129=1,"",SUM(O127:V127))</f>
        <v>3903334.0814301688</v>
      </c>
      <c r="X127" s="407">
        <f>IF('Staging Table'!C129=1,"",(RT1SC!$C$4*'Staging Table'!BG129*'Staging Table'!$BH$2)+SUM('Staging Table'!BN129:CK129)-IF(Init!$R$15="No",'Staging Table'!CX129, 0))</f>
        <v>108185.98566780835</v>
      </c>
      <c r="Y127" s="169">
        <f>IF('Staging Table'!C129=1,"",IF(X127=0, 0, W127/X127))</f>
        <v>36.079849504866495</v>
      </c>
      <c r="Z127" s="160">
        <f>IF('Staging Table'!C129=1,"",Y127/N127-1)</f>
        <v>4.9276827336409035E-2</v>
      </c>
      <c r="AA127" s="97">
        <f t="shared" si="3"/>
        <v>56</v>
      </c>
      <c r="AD127" s="412"/>
      <c r="AE127" s="412"/>
      <c r="AF127" s="432"/>
      <c r="AG127" s="412"/>
      <c r="AH127" s="412"/>
    </row>
    <row r="128" spans="2:34">
      <c r="B128" s="3">
        <v>10446</v>
      </c>
      <c r="C128" s="4" t="s">
        <v>131</v>
      </c>
      <c r="D128" s="407">
        <f>IF(Init!$R$9="Yes",'Staging Table'!E130,'Staging Table'!BG130)*Rates_previous!$E$75*100*12</f>
        <v>33617326.352399997</v>
      </c>
      <c r="E128" s="407">
        <f>IF(Init!$R$9="Yes",'Staging Table'!F130,'Staging Table'!BH130)*Rates_previous!$E$76*100*12</f>
        <v>-4997568.9743999997</v>
      </c>
      <c r="F128" s="408">
        <f>IF(Init!$R$9="Yes",SUMPRODUCT('Staging Table'!L130:AI130,LS_Demand_Rates_Restatement!$C$4:$Z$4)-IF(Init!$R$15="No",('Staging Table'!AV130*Rates_previous!$H$35), 0),SUMPRODUCT('Staging Table'!BN130:CK130,LS_Demand_Rates_Restatement!$C$4:$Z$4)-IF(Init!$R$15="No", 'Staging Table'!CX130*Rates_previous!$H$35, 0))</f>
        <v>-1401681.8946012633</v>
      </c>
      <c r="G128" s="408">
        <f>IF(Init!$R$9="Yes",SUMPRODUCT('Staging Table'!AJ130:AU130,LS_Demand_Rates_Restatement!$C$10:$N$10),SUMPRODUCT(LS_Demand_Rates_Restatement!$C$10:$N$10,'Staging Table'!CL130:CW130))*1000</f>
        <v>1007967.6125051548</v>
      </c>
      <c r="H128" s="409">
        <f>IF(Init!$R$9="Yes",'Staging Table'!BF130,'Staging Table'!DH130)*Rates_previous!$H$33</f>
        <v>-79729.898146506908</v>
      </c>
      <c r="I128" s="409">
        <f>IF(Init!$R$9="Yes",IF('Staging Table'!D130=1,'Staging Table'!H130*-1,'Staging Table'!H130*SUM(D128:H128)*(-1)),IF('Staging Table'!D130=1,'Staging Table'!BJ130*-1,'Staging Table'!BJ130*SUM(D128:H128)*(-1)))</f>
        <v>-1629390.071018175</v>
      </c>
      <c r="J128" s="407">
        <f>IF(Init!$R$9="Yes",'Staging Table'!K130,'Staging Table'!BM130)*(-1)*Rates_previous!$H$32</f>
        <v>-84406.671799999996</v>
      </c>
      <c r="K128" s="407">
        <f>IF(Init!$R$12="No",0,'Staging Table'!$AW130*-1)</f>
        <v>0</v>
      </c>
      <c r="L128" s="407">
        <f>IF('Staging Table'!C130=1,"",SUM(D128:K128))</f>
        <v>26432516.454939213</v>
      </c>
      <c r="M128" s="407">
        <f>IF('Staging Table'!C130=1,"",IF(Init!$R$9="Yes",(RT1SC!$C$3*'Staging Table'!E130*'Staging Table'!$F$2)+SUM('Staging Table'!L130:AI130)-IF(Init!$R$15="No",'Staging Table'!AV130, 0),X128))</f>
        <v>780259.72396084666</v>
      </c>
      <c r="N128" s="169">
        <f>IF('Staging Table'!C130=1,"",IF(M128=0, 0, L128/M128))</f>
        <v>33.876561410551027</v>
      </c>
      <c r="O128" s="407">
        <f>'Staging Table'!BG130*Rates_current!$E$75*100*12</f>
        <v>34569953.300160006</v>
      </c>
      <c r="P128" s="407">
        <f>'Staging Table'!BH130*Rates_current!$E$76*100*12</f>
        <v>-4862561.8591200002</v>
      </c>
      <c r="Q128" s="408">
        <f>SUMPRODUCT('Staging Table'!BN130:CK130, LS_Demand_Rates_Restatement!$C$5:$Z$5)-IF(Init!$R$15="No",('Staging Table'!CX130*Rates_current!$H$35), 0)</f>
        <v>-472154.58503499016</v>
      </c>
      <c r="R128" s="408">
        <f>SUMPRODUCT('Staging Table'!CL130:CW130, LS_Demand_Rates_Restatement!$C$11:$N$11)*1000</f>
        <v>928881.17754230753</v>
      </c>
      <c r="S128" s="409">
        <f>'Staging Table'!DH130*Rates_current!$H$33</f>
        <v>-18495.786949555117</v>
      </c>
      <c r="T128" s="409">
        <f>IF('Staging Table'!D130=1, 'Staging Table'!BJ130*-1,SUM(O128:S128)*'Staging Table'!BJ130*-1)</f>
        <v>-1854054.6178089299</v>
      </c>
      <c r="U128" s="407">
        <f>'Staging Table'!BM130*Rates_current!$H$32*-1</f>
        <v>-84334.958400000003</v>
      </c>
      <c r="V128" s="407">
        <f>IF(Init!$R$12="No",0,'Staging Table'!$CY130*-1)</f>
        <v>0</v>
      </c>
      <c r="W128" s="407">
        <f>IF('Staging Table'!C130=1,"",SUM(O128:V128))</f>
        <v>28207232.670388836</v>
      </c>
      <c r="X128" s="407">
        <f>IF('Staging Table'!C130=1,"",(RT1SC!$C$4*'Staging Table'!BG130*'Staging Table'!$BH$2)+SUM('Staging Table'!BN130:CK130)-IF(Init!$R$15="No",'Staging Table'!CX130, 0))</f>
        <v>803356.83004317211</v>
      </c>
      <c r="Y128" s="169">
        <f>IF('Staging Table'!C130=1,"",IF(X128=0, 0, W128/X128))</f>
        <v>35.111710780965154</v>
      </c>
      <c r="Z128" s="160">
        <f>IF('Staging Table'!C130=1,"",Y128/N128-1)</f>
        <v>3.6460293459106285E-2</v>
      </c>
      <c r="AA128" s="97">
        <f t="shared" si="3"/>
        <v>104</v>
      </c>
      <c r="AD128" s="412"/>
      <c r="AE128" s="412"/>
      <c r="AF128" s="432"/>
      <c r="AG128" s="412"/>
      <c r="AH128" s="412"/>
    </row>
    <row r="129" spans="1:34">
      <c r="B129" s="3">
        <v>10448</v>
      </c>
      <c r="C129" s="4" t="s">
        <v>132</v>
      </c>
      <c r="D129" s="407">
        <f>IF(Init!$R$9="Yes",'Staging Table'!E131,'Staging Table'!BG131)*Rates_previous!$E$75*100*12</f>
        <v>2934987.3982799998</v>
      </c>
      <c r="E129" s="407">
        <f>IF(Init!$R$9="Yes",'Staging Table'!F131,'Staging Table'!BH131)*Rates_previous!$E$76*100*12</f>
        <v>-436316.73167999997</v>
      </c>
      <c r="F129" s="408">
        <f>IF(Init!$R$9="Yes",SUMPRODUCT('Staging Table'!L131:AI131,LS_Demand_Rates_Restatement!$C$4:$Z$4)-IF(Init!$R$15="No",('Staging Table'!AV131*Rates_previous!$H$35), 0),SUMPRODUCT('Staging Table'!BN131:CK131,LS_Demand_Rates_Restatement!$C$4:$Z$4)-IF(Init!$R$15="No", 'Staging Table'!CX131*Rates_previous!$H$35, 0))</f>
        <v>0</v>
      </c>
      <c r="G129" s="408">
        <f>IF(Init!$R$9="Yes",SUMPRODUCT('Staging Table'!AJ131:AU131,LS_Demand_Rates_Restatement!$C$10:$N$10),SUMPRODUCT(LS_Demand_Rates_Restatement!$C$10:$N$10,'Staging Table'!CL131:CW131))*1000</f>
        <v>0</v>
      </c>
      <c r="H129" s="409">
        <f>IF(Init!$R$9="Yes",'Staging Table'!BF131,'Staging Table'!DH131)*Rates_previous!$H$33</f>
        <v>-12.136169185095786</v>
      </c>
      <c r="I129" s="409">
        <f>IF(Init!$R$9="Yes",IF('Staging Table'!D131=1,'Staging Table'!H131*-1,'Staging Table'!H131*SUM(D129:H129)*(-1)),IF('Staging Table'!D131=1,'Staging Table'!BJ131*-1,'Staging Table'!BJ131*SUM(D129:H129)*(-1)))</f>
        <v>-174906.09713015708</v>
      </c>
      <c r="J129" s="407">
        <f>IF(Init!$R$9="Yes",'Staging Table'!K131,'Staging Table'!BM131)*(-1)*Rates_previous!$H$32</f>
        <v>0</v>
      </c>
      <c r="K129" s="407">
        <f>IF(Init!$R$12="No",0,'Staging Table'!$AW131*-1)</f>
        <v>0</v>
      </c>
      <c r="L129" s="407" t="str">
        <f>IF('Staging Table'!C131=1,"",SUM(D129:K129))</f>
        <v/>
      </c>
      <c r="M129" s="407" t="str">
        <f>IF('Staging Table'!C131=1,"",IF(Init!$R$9="Yes",(RT1SC!$C$3*'Staging Table'!E131*'Staging Table'!$F$2)+SUM('Staging Table'!L131:AI131)-IF(Init!$R$15="No",'Staging Table'!AV131, 0),X129))</f>
        <v/>
      </c>
      <c r="N129" s="169" t="str">
        <f>IF('Staging Table'!C131=1,"",IF(M129=0, 0, L129/M129))</f>
        <v/>
      </c>
      <c r="O129" s="407">
        <f>'Staging Table'!BG131*Rates_current!$E$75*100*12</f>
        <v>2990530.6387200002</v>
      </c>
      <c r="P129" s="407">
        <f>'Staging Table'!BH131*Rates_current!$E$76*100*12</f>
        <v>-420643.90704000002</v>
      </c>
      <c r="Q129" s="408">
        <f>SUMPRODUCT('Staging Table'!BN131:CK131, LS_Demand_Rates_Restatement!$C$5:$Z$5)-IF(Init!$R$15="No",('Staging Table'!CX131*Rates_current!$H$35), 0)</f>
        <v>0</v>
      </c>
      <c r="R129" s="408">
        <f>SUMPRODUCT('Staging Table'!CL131:CW131, LS_Demand_Rates_Restatement!$C$11:$N$11)*1000</f>
        <v>0</v>
      </c>
      <c r="S129" s="409">
        <f>'Staging Table'!DH131*Rates_current!$H$33</f>
        <v>-15.610375188047328</v>
      </c>
      <c r="T129" s="409">
        <f>IF('Staging Table'!D131=1, 'Staging Table'!BJ131*-1,SUM(O129:S129)*'Staging Table'!BJ131*-1)</f>
        <v>-179890.97849133689</v>
      </c>
      <c r="U129" s="407">
        <f>'Staging Table'!BM131*Rates_current!$H$32*-1</f>
        <v>0</v>
      </c>
      <c r="V129" s="407">
        <f>IF(Init!$R$12="No",0,'Staging Table'!$CY131*-1)</f>
        <v>0</v>
      </c>
      <c r="W129" s="407" t="str">
        <f>IF('Staging Table'!C131=1,"",SUM(O129:V129))</f>
        <v/>
      </c>
      <c r="X129" s="407" t="str">
        <f>IF('Staging Table'!C131=1,"",(RT1SC!$C$4*'Staging Table'!BG131*'Staging Table'!$BH$2)+SUM('Staging Table'!BN131:CK131)-IF(Init!$R$15="No",'Staging Table'!CX131, 0))</f>
        <v/>
      </c>
      <c r="Y129" s="169" t="str">
        <f>IF('Staging Table'!C131=1,"",IF(X129=0, 0, W129/X129))</f>
        <v/>
      </c>
      <c r="Z129" s="160" t="str">
        <f>IF('Staging Table'!C131=1,"",Y129/N129-1)</f>
        <v/>
      </c>
      <c r="AA129" s="97" t="str">
        <f t="shared" si="3"/>
        <v/>
      </c>
      <c r="AD129" s="412"/>
      <c r="AE129" s="412"/>
      <c r="AF129" s="432"/>
      <c r="AG129" s="412"/>
      <c r="AH129" s="412"/>
    </row>
    <row r="130" spans="1:34">
      <c r="B130" s="3">
        <v>10451</v>
      </c>
      <c r="C130" s="4" t="s">
        <v>133</v>
      </c>
      <c r="D130" s="407">
        <f>IF(Init!$R$9="Yes",'Staging Table'!E132,'Staging Table'!BG132)*Rates_previous!$E$75*100*12</f>
        <v>9213142.5287999995</v>
      </c>
      <c r="E130" s="407">
        <f>IF(Init!$R$9="Yes",'Staging Table'!F132,'Staging Table'!BH132)*Rates_previous!$E$76*100*12</f>
        <v>-1369630.4928000001</v>
      </c>
      <c r="F130" s="408">
        <f>IF(Init!$R$9="Yes",SUMPRODUCT('Staging Table'!L132:AI132,LS_Demand_Rates_Restatement!$C$4:$Z$4)-IF(Init!$R$15="No",('Staging Table'!AV132*Rates_previous!$H$35), 0),SUMPRODUCT('Staging Table'!BN132:CK132,LS_Demand_Rates_Restatement!$C$4:$Z$4)-IF(Init!$R$15="No", 'Staging Table'!CX132*Rates_previous!$H$35, 0))</f>
        <v>7549.4284355031559</v>
      </c>
      <c r="G130" s="408">
        <f>IF(Init!$R$9="Yes",SUMPRODUCT('Staging Table'!AJ132:AU132,LS_Demand_Rates_Restatement!$C$10:$N$10),SUMPRODUCT(LS_Demand_Rates_Restatement!$C$10:$N$10,'Staging Table'!CL132:CW132))*1000</f>
        <v>191899.25181931091</v>
      </c>
      <c r="H130" s="409">
        <f>IF(Init!$R$9="Yes",'Staging Table'!BF132,'Staging Table'!DH132)*Rates_previous!$H$33</f>
        <v>15372.277755886962</v>
      </c>
      <c r="I130" s="409">
        <f>IF(Init!$R$9="Yes",IF('Staging Table'!D132=1,'Staging Table'!H132*-1,'Staging Table'!H132*SUM(D130:H130)*(-1)),IF('Staging Table'!D132=1,'Staging Table'!BJ132*-1,'Staging Table'!BJ132*SUM(D130:H130)*(-1)))</f>
        <v>0</v>
      </c>
      <c r="J130" s="407">
        <f>IF(Init!$R$9="Yes",'Staging Table'!K132,'Staging Table'!BM132)*(-1)*Rates_previous!$H$32</f>
        <v>0</v>
      </c>
      <c r="K130" s="407">
        <f>IF(Init!$R$12="No",0,'Staging Table'!$AW132*-1)</f>
        <v>0</v>
      </c>
      <c r="L130" s="407">
        <f>IF('Staging Table'!C132=1,"",SUM(D130:K130))</f>
        <v>8058332.9940107008</v>
      </c>
      <c r="M130" s="407">
        <f>IF('Staging Table'!C132=1,"",IF(Init!$R$9="Yes",(RT1SC!$C$3*'Staging Table'!E132*'Staging Table'!$F$2)+SUM('Staging Table'!L132:AI132)-IF(Init!$R$15="No",'Staging Table'!AV132, 0),X130))</f>
        <v>230041.92453738835</v>
      </c>
      <c r="N130" s="169">
        <f>IF('Staging Table'!C132=1,"",IF(M130=0, 0, L130/M130))</f>
        <v>35.029845147643918</v>
      </c>
      <c r="O130" s="407">
        <f>'Staging Table'!BG132*Rates_current!$E$75*100*12</f>
        <v>9605977.7817600016</v>
      </c>
      <c r="P130" s="407">
        <f>'Staging Table'!BH132*Rates_current!$E$76*100*12</f>
        <v>-1351163.5603199999</v>
      </c>
      <c r="Q130" s="408">
        <f>SUMPRODUCT('Staging Table'!BN132:CK132, LS_Demand_Rates_Restatement!$C$5:$Z$5)-IF(Init!$R$15="No",('Staging Table'!CX132*Rates_current!$H$35), 0)</f>
        <v>-12349.096515104226</v>
      </c>
      <c r="R130" s="408">
        <f>SUMPRODUCT('Staging Table'!CL132:CW132, LS_Demand_Rates_Restatement!$C$11:$N$11)*1000</f>
        <v>178400.1715376603</v>
      </c>
      <c r="S130" s="409">
        <f>'Staging Table'!DH132*Rates_current!$H$33</f>
        <v>8431.9236671726758</v>
      </c>
      <c r="T130" s="409">
        <f>IF('Staging Table'!D132=1, 'Staging Table'!BJ132*-1,SUM(O130:S130)*'Staging Table'!BJ132*-1)</f>
        <v>0</v>
      </c>
      <c r="U130" s="407">
        <f>'Staging Table'!BM132*Rates_current!$H$32*-1</f>
        <v>0</v>
      </c>
      <c r="V130" s="407">
        <f>IF(Init!$R$12="No",0,'Staging Table'!$CY132*-1)</f>
        <v>0</v>
      </c>
      <c r="W130" s="407">
        <f>IF('Staging Table'!C132=1,"",SUM(O130:V130))</f>
        <v>8429297.2201297302</v>
      </c>
      <c r="X130" s="407">
        <f>IF('Staging Table'!C132=1,"",(RT1SC!$C$4*'Staging Table'!BG132*'Staging Table'!$BH$2)+SUM('Staging Table'!BN132:CK132)-IF(Init!$R$15="No",'Staging Table'!CX132, 0))</f>
        <v>230041.92734644489</v>
      </c>
      <c r="Y130" s="169">
        <f>IF('Staging Table'!C132=1,"",IF(X130=0, 0, W130/X130))</f>
        <v>36.642438695252039</v>
      </c>
      <c r="Z130" s="160">
        <f>IF('Staging Table'!C132=1,"",Y130/N130-1)</f>
        <v>4.6034846594706691E-2</v>
      </c>
      <c r="AA130" s="97">
        <f t="shared" si="3"/>
        <v>84</v>
      </c>
      <c r="AD130" s="412"/>
      <c r="AE130" s="412"/>
      <c r="AF130" s="432"/>
      <c r="AG130" s="412"/>
      <c r="AH130" s="412"/>
    </row>
    <row r="131" spans="1:34">
      <c r="B131" s="3">
        <v>10482</v>
      </c>
      <c r="C131" s="4" t="s">
        <v>134</v>
      </c>
      <c r="D131" s="407">
        <f>IF(Init!$R$9="Yes",'Staging Table'!E133,'Staging Table'!BG133)*Rates_previous!$E$75*100*12</f>
        <v>1006465.27464</v>
      </c>
      <c r="E131" s="407">
        <f>IF(Init!$R$9="Yes",'Staging Table'!F133,'Staging Table'!BH133)*Rates_previous!$E$76*100*12</f>
        <v>-149621.64384</v>
      </c>
      <c r="F131" s="408">
        <f>IF(Init!$R$9="Yes",SUMPRODUCT('Staging Table'!L133:AI133,LS_Demand_Rates_Restatement!$C$4:$Z$4)-IF(Init!$R$15="No",('Staging Table'!AV133*Rates_previous!$H$35), 0),SUMPRODUCT('Staging Table'!BN133:CK133,LS_Demand_Rates_Restatement!$C$4:$Z$4)-IF(Init!$R$15="No", 'Staging Table'!CX133*Rates_previous!$H$35, 0))</f>
        <v>-35416.280705630415</v>
      </c>
      <c r="G131" s="408">
        <f>IF(Init!$R$9="Yes",SUMPRODUCT('Staging Table'!AJ133:AU133,LS_Demand_Rates_Restatement!$C$10:$N$10),SUMPRODUCT(LS_Demand_Rates_Restatement!$C$10:$N$10,'Staging Table'!CL133:CW133))*1000</f>
        <v>57197.328415188742</v>
      </c>
      <c r="H131" s="409">
        <f>IF(Init!$R$9="Yes",'Staging Table'!BF133,'Staging Table'!DH133)*Rates_previous!$H$33</f>
        <v>-11518.58423045571</v>
      </c>
      <c r="I131" s="409">
        <f>IF(Init!$R$9="Yes",IF('Staging Table'!D133=1,'Staging Table'!H133*-1,'Staging Table'!H133*SUM(D131:H131)*(-1)),IF('Staging Table'!D133=1,'Staging Table'!BJ133*-1,'Staging Table'!BJ133*SUM(D131:H131)*(-1)))</f>
        <v>0</v>
      </c>
      <c r="J131" s="407">
        <f>IF(Init!$R$9="Yes",'Staging Table'!K133,'Staging Table'!BM133)*(-1)*Rates_previous!$H$32</f>
        <v>0</v>
      </c>
      <c r="K131" s="407">
        <f>IF(Init!$R$12="No",0,'Staging Table'!$AW133*-1)</f>
        <v>0</v>
      </c>
      <c r="L131" s="407">
        <f>IF('Staging Table'!C133=1,"",SUM(D131:K131))</f>
        <v>867106.09427910252</v>
      </c>
      <c r="M131" s="407">
        <f>IF('Staging Table'!C133=1,"",IF(Init!$R$9="Yes",(RT1SC!$C$3*'Staging Table'!E133*'Staging Table'!$F$2)+SUM('Staging Table'!L133:AI133)-IF(Init!$R$15="No",'Staging Table'!AV133, 0),X131))</f>
        <v>23636.241058705567</v>
      </c>
      <c r="N131" s="169">
        <f>IF('Staging Table'!C133=1,"",IF(M131=0, 0, L131/M131))</f>
        <v>36.685448084805977</v>
      </c>
      <c r="O131" s="407">
        <f>'Staging Table'!BG133*Rates_current!$E$75*100*12</f>
        <v>994635.50976000004</v>
      </c>
      <c r="P131" s="407">
        <f>'Staging Table'!BH133*Rates_current!$E$76*100*12</f>
        <v>-139904.05632</v>
      </c>
      <c r="Q131" s="408">
        <f>SUMPRODUCT('Staging Table'!BN133:CK133, LS_Demand_Rates_Restatement!$C$5:$Z$5)-IF(Init!$R$15="No",('Staging Table'!CX133*Rates_current!$H$35), 0)</f>
        <v>-2597.8887420561828</v>
      </c>
      <c r="R131" s="408">
        <f>SUMPRODUCT('Staging Table'!CL133:CW133, LS_Demand_Rates_Restatement!$C$11:$N$11)*1000</f>
        <v>54278.49204764067</v>
      </c>
      <c r="S131" s="409">
        <f>'Staging Table'!DH133*Rates_current!$H$33</f>
        <v>-1429.5128320962613</v>
      </c>
      <c r="T131" s="409">
        <f>IF('Staging Table'!D133=1, 'Staging Table'!BJ133*-1,SUM(O131:S131)*'Staging Table'!BJ133*-1)</f>
        <v>0</v>
      </c>
      <c r="U131" s="407">
        <f>'Staging Table'!BM133*Rates_current!$H$32*-1</f>
        <v>0</v>
      </c>
      <c r="V131" s="407">
        <f>IF(Init!$R$12="No",0,'Staging Table'!$CY133*-1)</f>
        <v>0</v>
      </c>
      <c r="W131" s="407">
        <f>IF('Staging Table'!C133=1,"",SUM(O131:V131))</f>
        <v>904982.54391348828</v>
      </c>
      <c r="X131" s="407">
        <f>IF('Staging Table'!C133=1,"",(RT1SC!$C$4*'Staging Table'!BG133*'Staging Table'!$BH$2)+SUM('Staging Table'!BN133:CK133)-IF(Init!$R$15="No",'Staging Table'!CX133, 0))</f>
        <v>23636.241346502251</v>
      </c>
      <c r="Y131" s="169">
        <f>IF('Staging Table'!C133=1,"",IF(X131=0, 0, W131/X131))</f>
        <v>38.287921105840702</v>
      </c>
      <c r="Z131" s="160">
        <f>IF('Staging Table'!C133=1,"",Y131/N131-1)</f>
        <v>4.3681435138267277E-2</v>
      </c>
      <c r="AA131" s="97">
        <f t="shared" si="3"/>
        <v>96</v>
      </c>
      <c r="AD131" s="412"/>
      <c r="AE131" s="412"/>
      <c r="AF131" s="432"/>
      <c r="AG131" s="412"/>
      <c r="AH131" s="412"/>
    </row>
    <row r="132" spans="1:34">
      <c r="B132" s="3">
        <v>10502</v>
      </c>
      <c r="C132" s="4" t="s">
        <v>135</v>
      </c>
      <c r="D132" s="407">
        <f>IF(Init!$R$9="Yes",'Staging Table'!E134,'Staging Table'!BG134)*Rates_previous!$E$75*100*12</f>
        <v>4083536.0638800003</v>
      </c>
      <c r="E132" s="407">
        <f>IF(Init!$R$9="Yes",'Staging Table'!F134,'Staging Table'!BH134)*Rates_previous!$E$76*100*12</f>
        <v>-607060.56527999998</v>
      </c>
      <c r="F132" s="408">
        <f>IF(Init!$R$9="Yes",SUMPRODUCT('Staging Table'!L134:AI134,LS_Demand_Rates_Restatement!$C$4:$Z$4)-IF(Init!$R$15="No",('Staging Table'!AV134*Rates_previous!$H$35), 0),SUMPRODUCT('Staging Table'!BN134:CK134,LS_Demand_Rates_Restatement!$C$4:$Z$4)-IF(Init!$R$15="No", 'Staging Table'!CX134*Rates_previous!$H$35, 0))</f>
        <v>31664.027356017148</v>
      </c>
      <c r="G132" s="408">
        <f>IF(Init!$R$9="Yes",SUMPRODUCT('Staging Table'!AJ134:AU134,LS_Demand_Rates_Restatement!$C$10:$N$10),SUMPRODUCT(LS_Demand_Rates_Restatement!$C$10:$N$10,'Staging Table'!CL134:CW134))*1000</f>
        <v>523563.03821258905</v>
      </c>
      <c r="H132" s="409">
        <f>IF(Init!$R$9="Yes",'Staging Table'!BF134,'Staging Table'!DH134)*Rates_previous!$H$33</f>
        <v>0</v>
      </c>
      <c r="I132" s="409">
        <f>IF(Init!$R$9="Yes",IF('Staging Table'!D134=1,'Staging Table'!H134*-1,'Staging Table'!H134*SUM(D132:H132)*(-1)),IF('Staging Table'!D134=1,'Staging Table'!BJ134*-1,'Staging Table'!BJ134*SUM(D132:H132)*(-1)))</f>
        <v>-287218.49067137152</v>
      </c>
      <c r="J132" s="407">
        <f>IF(Init!$R$9="Yes",'Staging Table'!K134,'Staging Table'!BM134)*(-1)*Rates_previous!$H$32</f>
        <v>-84622.733689999994</v>
      </c>
      <c r="K132" s="407">
        <f>IF(Init!$R$12="No",0,'Staging Table'!$AW134*-1)</f>
        <v>0</v>
      </c>
      <c r="L132" s="407">
        <f>IF('Staging Table'!C134=1,"",SUM(D132:K132))</f>
        <v>3659861.3398072352</v>
      </c>
      <c r="M132" s="407">
        <f>IF('Staging Table'!C134=1,"",IF(Init!$R$9="Yes",(RT1SC!$C$3*'Staging Table'!E134*'Staging Table'!$F$2)+SUM('Staging Table'!L134:AI134)-IF(Init!$R$15="No",'Staging Table'!AV134, 0),X132))</f>
        <v>101191.67999999999</v>
      </c>
      <c r="N132" s="169">
        <f>IF('Staging Table'!C134=1,"",IF(M132=0, 0, L132/M132))</f>
        <v>36.167611208819096</v>
      </c>
      <c r="O132" s="407">
        <f>'Staging Table'!BG134*Rates_current!$E$75*100*12</f>
        <v>6091632.9503999986</v>
      </c>
      <c r="P132" s="407">
        <f>'Staging Table'!BH134*Rates_current!$E$76*100*12</f>
        <v>-856840.67279999983</v>
      </c>
      <c r="Q132" s="408">
        <f>SUMPRODUCT('Staging Table'!BN134:CK134, LS_Demand_Rates_Restatement!$C$5:$Z$5)-IF(Init!$R$15="No",('Staging Table'!CX134*Rates_current!$H$35), 0)</f>
        <v>-23410.304397510969</v>
      </c>
      <c r="R132" s="408">
        <f>SUMPRODUCT('Staging Table'!CL134:CW134, LS_Demand_Rates_Restatement!$C$11:$N$11)*1000</f>
        <v>295904.15575909015</v>
      </c>
      <c r="S132" s="409">
        <f>'Staging Table'!DH134*Rates_current!$H$33</f>
        <v>31.532307396875694</v>
      </c>
      <c r="T132" s="409">
        <f>IF('Staging Table'!D134=1, 'Staging Table'!BJ134*-1,SUM(O132:S132)*'Staging Table'!BJ134*-1)</f>
        <v>-385512.23628882825</v>
      </c>
      <c r="U132" s="407">
        <f>'Staging Table'!BM134*Rates_current!$H$32*-1</f>
        <v>-84550.836719999992</v>
      </c>
      <c r="V132" s="407">
        <f>IF(Init!$R$12="No",0,'Staging Table'!$CY134*-1)</f>
        <v>0</v>
      </c>
      <c r="W132" s="407">
        <f>IF('Staging Table'!C134=1,"",SUM(O132:V132))</f>
        <v>5037254.5882601468</v>
      </c>
      <c r="X132" s="407">
        <f>IF('Staging Table'!C134=1,"",(RT1SC!$C$4*'Staging Table'!BG134*'Staging Table'!$BH$2)+SUM('Staging Table'!BN134:CK134)-IF(Init!$R$15="No",'Staging Table'!CX134, 0))</f>
        <v>145462.27312214879</v>
      </c>
      <c r="Y132" s="169">
        <f>IF('Staging Table'!C134=1,"",IF(X132=0, 0, W132/X132))</f>
        <v>34.62928551948464</v>
      </c>
      <c r="Z132" s="160">
        <f>IF('Staging Table'!C134=1,"",Y132/N132-1)</f>
        <v>-4.2533240043217235E-2</v>
      </c>
      <c r="AA132" s="97">
        <f t="shared" ref="AA132" si="4">IF(Z132="","",RANK(Z132,$Z$4:$Z$138))</f>
        <v>118</v>
      </c>
      <c r="AD132" s="412"/>
      <c r="AE132" s="412"/>
      <c r="AF132" s="432"/>
      <c r="AG132" s="412"/>
      <c r="AH132" s="412"/>
    </row>
    <row r="133" spans="1:34" s="138" customFormat="1">
      <c r="A133" s="140"/>
      <c r="B133" s="26">
        <v>10999</v>
      </c>
      <c r="C133" s="27" t="s">
        <v>320</v>
      </c>
      <c r="D133" s="407">
        <f>IF(Init!$R$9="Yes",'Staging Table'!E135,'Staging Table'!BG135)*Rates_previous!$E$75*100*12</f>
        <v>0</v>
      </c>
      <c r="E133" s="407">
        <f>IF(Init!$R$9="Yes",'Staging Table'!F135,'Staging Table'!BH135)*Rates_previous!$E$76*100*12</f>
        <v>0</v>
      </c>
      <c r="F133" s="408">
        <f>IF(Init!$R$9="Yes",SUMPRODUCT('Staging Table'!L135:AI135,LS_Demand_Rates_Restatement!$C$4:$Z$4)-IF(Init!$R$15="No",('Staging Table'!AV135*Rates_previous!$H$35), 0),SUMPRODUCT('Staging Table'!BN135:CK135,LS_Demand_Rates_Restatement!$C$4:$Z$4)-IF(Init!$R$15="No", 'Staging Table'!CX135*Rates_previous!$H$35, 0))</f>
        <v>0</v>
      </c>
      <c r="G133" s="408">
        <f>IF(Init!$R$9="Yes",SUMPRODUCT('Staging Table'!AJ135:AU135,LS_Demand_Rates_Restatement!$C$10:$N$10),SUMPRODUCT(LS_Demand_Rates_Restatement!$C$10:$N$10,'Staging Table'!CL135:CW135))*1000</f>
        <v>0</v>
      </c>
      <c r="H133" s="409">
        <f>IF(Init!$R$9="Yes",'Staging Table'!BF135,'Staging Table'!DH135)*Rates_previous!$H$33</f>
        <v>0</v>
      </c>
      <c r="I133" s="409">
        <f>IF(Init!$R$9="Yes",IF('Staging Table'!D135=1,'Staging Table'!H135*-1,'Staging Table'!H135*SUM(D133:H133)*(-1)),IF('Staging Table'!D135=1,'Staging Table'!BJ135*-1,'Staging Table'!BJ135*SUM(D133:H133)*(-1)))</f>
        <v>0</v>
      </c>
      <c r="J133" s="407">
        <f>IF(Init!$R$9="Yes",'Staging Table'!K135,'Staging Table'!BM135)*(-1)*Rates_previous!$H$32</f>
        <v>0</v>
      </c>
      <c r="K133" s="407">
        <f>IF(Init!$R$12="No",0,'Staging Table'!$AW135*-1)</f>
        <v>0</v>
      </c>
      <c r="L133" s="407">
        <f>IF('Staging Table'!C135=1,"",SUM(D133:K133))</f>
        <v>0</v>
      </c>
      <c r="M133" s="407">
        <f>IF('Staging Table'!C135=1,"",IF(Init!$R$9="Yes",(RT1SC!$C$3*'Staging Table'!E135*'Staging Table'!$F$2)+SUM('Staging Table'!L135:AI135)-IF(Init!$R$15="No",'Staging Table'!AV135, 0),X133))</f>
        <v>0</v>
      </c>
      <c r="N133" s="169">
        <f>IF('Staging Table'!C135=1,"",IF(M133=0, 0, L133/M133))</f>
        <v>0</v>
      </c>
      <c r="O133" s="407">
        <f>'Staging Table'!BG135*Rates_current!$E$75*100*12</f>
        <v>1470297.5222400001</v>
      </c>
      <c r="P133" s="407">
        <f>'Staging Table'!BH135*Rates_current!$E$76*100*12</f>
        <v>-206810.01768000002</v>
      </c>
      <c r="Q133" s="408">
        <f>SUMPRODUCT('Staging Table'!BN135:CK135, LS_Demand_Rates_Restatement!$C$5:$Z$5)-IF(Init!$R$15="No",('Staging Table'!CX135*Rates_current!$H$35), 0)</f>
        <v>-1298.2301876219462</v>
      </c>
      <c r="R133" s="408">
        <f>SUMPRODUCT('Staging Table'!CL135:CW135, LS_Demand_Rates_Restatement!$C$11:$N$11)*1000</f>
        <v>29008.689270423776</v>
      </c>
      <c r="S133" s="409">
        <f>'Staging Table'!DH135*Rates_current!$H$33</f>
        <v>0</v>
      </c>
      <c r="T133" s="409">
        <f>IF('Staging Table'!D135=1, 'Staging Table'!BJ135*-1,SUM(O133:S133)*'Staging Table'!BJ135*-1)</f>
        <v>0</v>
      </c>
      <c r="U133" s="407">
        <f>'Staging Table'!BM135*Rates_current!$H$32*-1</f>
        <v>0</v>
      </c>
      <c r="V133" s="407">
        <f>IF(Init!$R$12="No",0,'Staging Table'!$CY135*-1)</f>
        <v>0</v>
      </c>
      <c r="W133" s="407">
        <f>IF('Staging Table'!C135=1,"",SUM(O133:V133))</f>
        <v>1291197.9636428019</v>
      </c>
      <c r="X133" s="407">
        <f>IF('Staging Table'!C135=1,"",(RT1SC!$C$4*'Staging Table'!BG135*'Staging Table'!$BH$2)+SUM('Staging Table'!BN135:CK135)-IF(Init!$R$15="No",'Staging Table'!CX135, 0))</f>
        <v>35110.080000000002</v>
      </c>
      <c r="Y133" s="169">
        <f>IF('Staging Table'!C135=1,"",IF(X133=0, 0, W133/X133))</f>
        <v>36.775705542191922</v>
      </c>
      <c r="Z133" s="160"/>
      <c r="AA133" s="97"/>
      <c r="AB133"/>
      <c r="AC133"/>
      <c r="AD133" s="412"/>
      <c r="AE133" s="412"/>
      <c r="AF133" s="432"/>
      <c r="AG133" s="412"/>
      <c r="AH133" s="412"/>
    </row>
    <row r="134" spans="1:34">
      <c r="B134" s="3">
        <v>10597</v>
      </c>
      <c r="C134" s="4" t="s">
        <v>136</v>
      </c>
      <c r="D134" s="407">
        <f>IF(Init!$R$9="Yes",'Staging Table'!E136,'Staging Table'!BG136)*Rates_previous!$E$75*100*12</f>
        <v>4430328.4519200008</v>
      </c>
      <c r="E134" s="407">
        <f>IF(Init!$R$9="Yes",'Staging Table'!F136,'Staging Table'!BH136)*Rates_previous!$E$76*100*12</f>
        <v>-658614.89951999998</v>
      </c>
      <c r="F134" s="408">
        <f>IF(Init!$R$9="Yes",SUMPRODUCT('Staging Table'!L136:AI136,LS_Demand_Rates_Restatement!$C$4:$Z$4)-IF(Init!$R$15="No",('Staging Table'!AV136*Rates_previous!$H$35), 0),SUMPRODUCT('Staging Table'!BN136:CK136,LS_Demand_Rates_Restatement!$C$4:$Z$4)-IF(Init!$R$15="No", 'Staging Table'!CX136*Rates_previous!$H$35, 0))</f>
        <v>-1721.0414941301306</v>
      </c>
      <c r="G134" s="408">
        <f>IF(Init!$R$9="Yes",SUMPRODUCT('Staging Table'!AJ136:AU136,LS_Demand_Rates_Restatement!$C$10:$N$10),SUMPRODUCT(LS_Demand_Rates_Restatement!$C$10:$N$10,'Staging Table'!CL136:CW136))*1000</f>
        <v>204714.68212651354</v>
      </c>
      <c r="H134" s="409">
        <f>IF(Init!$R$9="Yes",'Staging Table'!BF136,'Staging Table'!DH136)*Rates_previous!$H$33</f>
        <v>-11293.199513034144</v>
      </c>
      <c r="I134" s="409">
        <f>IF(Init!$R$9="Yes",IF('Staging Table'!D136=1,'Staging Table'!H136*-1,'Staging Table'!H136*SUM(D134:H134)*(-1)),IF('Staging Table'!D136=1,'Staging Table'!BJ136*-1,'Staging Table'!BJ136*SUM(D134:H134)*(-1)))</f>
        <v>0</v>
      </c>
      <c r="J134" s="407">
        <f>IF(Init!$R$9="Yes",'Staging Table'!K136,'Staging Table'!BM136)*(-1)*Rates_previous!$H$32</f>
        <v>0</v>
      </c>
      <c r="K134" s="407">
        <f>IF(Init!$R$12="No",0,'Staging Table'!$AW136*-1)</f>
        <v>0</v>
      </c>
      <c r="L134" s="407">
        <f>IF('Staging Table'!C136=1,"",SUM(D134:K134))</f>
        <v>3963413.9935193504</v>
      </c>
      <c r="M134" s="407">
        <f>IF('Staging Table'!C136=1,"",IF(Init!$R$9="Yes",(RT1SC!$C$3*'Staging Table'!E136*'Staging Table'!$F$2)+SUM('Staging Table'!L136:AI136)-IF(Init!$R$15="No",'Staging Table'!AV136, 0),X134))</f>
        <v>108506.36425841422</v>
      </c>
      <c r="N134" s="169">
        <f>IF('Staging Table'!C136=1,"",IF(M134=0, 0, L134/M134))</f>
        <v>36.527018674040626</v>
      </c>
      <c r="O134" s="407">
        <f>'Staging Table'!BG136*Rates_current!$E$75*100*12</f>
        <v>4563247.0838399995</v>
      </c>
      <c r="P134" s="407">
        <f>'Staging Table'!BH136*Rates_current!$E$76*100*12</f>
        <v>-641860.02888</v>
      </c>
      <c r="Q134" s="408">
        <f>SUMPRODUCT('Staging Table'!BN136:CK136, LS_Demand_Rates_Restatement!$C$5:$Z$5)-IF(Init!$R$15="No",('Staging Table'!CX136*Rates_current!$H$35), 0)</f>
        <v>35831.838429009324</v>
      </c>
      <c r="R134" s="408">
        <f>SUMPRODUCT('Staging Table'!CL136:CW136, LS_Demand_Rates_Restatement!$C$11:$N$11)*1000</f>
        <v>194446.42185316954</v>
      </c>
      <c r="S134" s="409">
        <f>'Staging Table'!DH136*Rates_current!$H$33</f>
        <v>-5855.7487312825178</v>
      </c>
      <c r="T134" s="409">
        <f>IF('Staging Table'!D136=1, 'Staging Table'!BJ136*-1,SUM(O134:S134)*'Staging Table'!BJ136*-1)</f>
        <v>0</v>
      </c>
      <c r="U134" s="407">
        <f>'Staging Table'!BM136*Rates_current!$H$32*-1</f>
        <v>0</v>
      </c>
      <c r="V134" s="407">
        <f>IF(Init!$R$12="No",0,'Staging Table'!$CY136*-1)</f>
        <v>0</v>
      </c>
      <c r="W134" s="407">
        <f>IF('Staging Table'!C136=1,"",SUM(O134:V134))</f>
        <v>4145809.5665108957</v>
      </c>
      <c r="X134" s="407">
        <f>IF('Staging Table'!C136=1,"",(RT1SC!$C$4*'Staging Table'!BG136*'Staging Table'!$BH$2)+SUM('Staging Table'!BN136:CK136)-IF(Init!$R$15="No",'Staging Table'!CX136, 0))</f>
        <v>108506.36558970333</v>
      </c>
      <c r="Y134" s="169">
        <f>IF('Staging Table'!C136=1,"",IF(X134=0, 0, W134/X134))</f>
        <v>38.207984794067336</v>
      </c>
      <c r="Z134" s="160">
        <f>IF('Staging Table'!C136=1,"",Y134/N134-1)</f>
        <v>4.6019800713200665E-2</v>
      </c>
      <c r="AA134" s="97">
        <f>IF(Z134="","",RANK(Z134,$Z$4:$Z$138))</f>
        <v>85</v>
      </c>
      <c r="AD134" s="412"/>
      <c r="AE134" s="412"/>
      <c r="AF134" s="432"/>
      <c r="AG134" s="412"/>
      <c r="AH134" s="412"/>
    </row>
    <row r="135" spans="1:34">
      <c r="B135" s="3">
        <v>10706</v>
      </c>
      <c r="C135" s="4" t="s">
        <v>137</v>
      </c>
      <c r="D135" s="407">
        <f>IF(Init!$R$9="Yes",'Staging Table'!E137,'Staging Table'!BG137)*Rates_previous!$E$75*100*12</f>
        <v>5853390.1498799995</v>
      </c>
      <c r="E135" s="407">
        <f>IF(Init!$R$9="Yes",'Staging Table'!F137,'Staging Table'!BH137)*Rates_previous!$E$76*100*12</f>
        <v>-870167.98127999995</v>
      </c>
      <c r="F135" s="408">
        <f>IF(Init!$R$9="Yes",SUMPRODUCT('Staging Table'!L137:AI137,LS_Demand_Rates_Restatement!$C$4:$Z$4)-IF(Init!$R$15="No",('Staging Table'!AV137*Rates_previous!$H$35), 0),SUMPRODUCT('Staging Table'!BN137:CK137,LS_Demand_Rates_Restatement!$C$4:$Z$4)-IF(Init!$R$15="No", 'Staging Table'!CX137*Rates_previous!$H$35, 0))</f>
        <v>110279.99410465319</v>
      </c>
      <c r="G135" s="408">
        <f>IF(Init!$R$9="Yes",SUMPRODUCT('Staging Table'!AJ137:AU137,LS_Demand_Rates_Restatement!$C$10:$N$10),SUMPRODUCT(LS_Demand_Rates_Restatement!$C$10:$N$10,'Staging Table'!CL137:CW137))*1000</f>
        <v>307903.79338855937</v>
      </c>
      <c r="H135" s="409">
        <f>IF(Init!$R$9="Yes",'Staging Table'!BF137,'Staging Table'!DH137)*Rates_previous!$H$33</f>
        <v>46409.824799999828</v>
      </c>
      <c r="I135" s="409">
        <f>IF(Init!$R$9="Yes",IF('Staging Table'!D137=1,'Staging Table'!H137*-1,'Staging Table'!H137*SUM(D135:H135)*(-1)),IF('Staging Table'!D137=1,'Staging Table'!BJ137*-1,'Staging Table'!BJ137*SUM(D135:H135)*(-1)))</f>
        <v>0</v>
      </c>
      <c r="J135" s="407">
        <f>IF(Init!$R$9="Yes",'Staging Table'!K137,'Staging Table'!BM137)*(-1)*Rates_previous!$H$32</f>
        <v>0</v>
      </c>
      <c r="K135" s="407">
        <f>IF(Init!$R$12="No",0,'Staging Table'!$AW137*-1)</f>
        <v>0</v>
      </c>
      <c r="L135" s="407">
        <f>IF('Staging Table'!C137=1,"",SUM(D135:K135))</f>
        <v>5447815.7808932122</v>
      </c>
      <c r="M135" s="407">
        <f>IF('Staging Table'!C137=1,"",IF(Init!$R$9="Yes",(RT1SC!$C$3*'Staging Table'!E137*'Staging Table'!$F$2)+SUM('Staging Table'!L137:AI137)-IF(Init!$R$15="No",'Staging Table'!AV137, 0),X135))</f>
        <v>150294.24</v>
      </c>
      <c r="N135" s="169">
        <f>IF('Staging Table'!C137=1,"",IF(M135=0, 0, L135/M135))</f>
        <v>36.247668446197359</v>
      </c>
      <c r="O135" s="407">
        <f>'Staging Table'!BG137*Rates_current!$E$75*100*12</f>
        <v>6236853.8112000003</v>
      </c>
      <c r="P135" s="407">
        <f>'Staging Table'!BH137*Rates_current!$E$76*100*12</f>
        <v>-877267.23840000015</v>
      </c>
      <c r="Q135" s="408">
        <f>SUMPRODUCT('Staging Table'!BN137:CK137, LS_Demand_Rates_Restatement!$C$5:$Z$5)-IF(Init!$R$15="No",('Staging Table'!CX137*Rates_current!$H$35), 0)</f>
        <v>-38216.663635725956</v>
      </c>
      <c r="R135" s="408">
        <f>SUMPRODUCT('Staging Table'!CL137:CW137, LS_Demand_Rates_Restatement!$C$11:$N$11)*1000</f>
        <v>286792.2992171474</v>
      </c>
      <c r="S135" s="409">
        <f>'Staging Table'!DH137*Rates_current!$H$33</f>
        <v>0</v>
      </c>
      <c r="T135" s="409">
        <f>IF('Staging Table'!D137=1, 'Staging Table'!BJ137*-1,SUM(O135:S135)*'Staging Table'!BJ137*-1)</f>
        <v>0</v>
      </c>
      <c r="U135" s="407">
        <f>'Staging Table'!BM137*Rates_current!$H$32*-1</f>
        <v>0</v>
      </c>
      <c r="V135" s="407">
        <f>IF(Init!$R$12="No",0,'Staging Table'!$CY137*-1)</f>
        <v>0</v>
      </c>
      <c r="W135" s="407">
        <f>IF('Staging Table'!C137=1,"",SUM(O135:V135))</f>
        <v>5608162.2083814219</v>
      </c>
      <c r="X135" s="407">
        <f>IF('Staging Table'!C137=1,"",(RT1SC!$C$4*'Staging Table'!BG137*'Staging Table'!$BH$2)+SUM('Staging Table'!BN137:CK137)-IF(Init!$R$15="No",'Staging Table'!CX137, 0))</f>
        <v>148928.76</v>
      </c>
      <c r="Y135" s="169">
        <f>IF('Staging Table'!C137=1,"",IF(X135=0, 0, W135/X135))</f>
        <v>37.656676980197922</v>
      </c>
      <c r="Z135" s="160">
        <f>IF('Staging Table'!C137=1,"",Y135/N135-1)</f>
        <v>3.8871701116223845E-2</v>
      </c>
      <c r="AA135" s="97">
        <f>IF(Z135="","",RANK(Z135,$Z$4:$Z$138))</f>
        <v>102</v>
      </c>
      <c r="AD135" s="412"/>
      <c r="AE135" s="412"/>
      <c r="AF135" s="432"/>
      <c r="AG135" s="412"/>
      <c r="AH135" s="412"/>
    </row>
    <row r="136" spans="1:34">
      <c r="B136" s="3">
        <v>11680</v>
      </c>
      <c r="C136" s="4" t="s">
        <v>138</v>
      </c>
      <c r="D136" s="407">
        <f>IF(Init!$R$9="Yes",'Staging Table'!E138,'Staging Table'!BG138)*Rates_previous!$E$75*100*12</f>
        <v>2221600.0589999999</v>
      </c>
      <c r="E136" s="407">
        <f>IF(Init!$R$9="Yes",'Staging Table'!F138,'Staging Table'!BH138)*Rates_previous!$E$76*100*12</f>
        <v>-330264.20400000003</v>
      </c>
      <c r="F136" s="408">
        <f>IF(Init!$R$9="Yes",SUMPRODUCT('Staging Table'!L138:AI138,LS_Demand_Rates_Restatement!$C$4:$Z$4)-IF(Init!$R$15="No",('Staging Table'!AV138*Rates_previous!$H$35), 0),SUMPRODUCT('Staging Table'!BN138:CK138,LS_Demand_Rates_Restatement!$C$4:$Z$4)-IF(Init!$R$15="No", 'Staging Table'!CX138*Rates_previous!$H$35, 0))</f>
        <v>21260.631726819734</v>
      </c>
      <c r="G136" s="408">
        <f>IF(Init!$R$9="Yes",SUMPRODUCT('Staging Table'!AJ138:AU138,LS_Demand_Rates_Restatement!$C$10:$N$10),SUMPRODUCT(LS_Demand_Rates_Restatement!$C$10:$N$10,'Staging Table'!CL138:CW138))*1000</f>
        <v>46879.435403347568</v>
      </c>
      <c r="H136" s="409">
        <f>IF(Init!$R$9="Yes",'Staging Table'!BF138,'Staging Table'!DH138)*Rates_previous!$H$33</f>
        <v>0</v>
      </c>
      <c r="I136" s="409">
        <f>IF(Init!$R$9="Yes",IF('Staging Table'!D138=1,'Staging Table'!H138*-1,'Staging Table'!H138*SUM(D136:H136)*(-1)),IF('Staging Table'!D138=1,'Staging Table'!BJ138*-1,'Staging Table'!BJ138*SUM(D136:H136)*(-1)))</f>
        <v>0</v>
      </c>
      <c r="J136" s="407">
        <f>IF(Init!$R$9="Yes",'Staging Table'!K138,'Staging Table'!BM138)*(-1)*Rates_previous!$H$32</f>
        <v>0</v>
      </c>
      <c r="K136" s="407">
        <f>IF(Init!$R$12="No",0,'Staging Table'!$AW138*-1)</f>
        <v>0</v>
      </c>
      <c r="L136" s="407">
        <f>IF('Staging Table'!C138=1,"",SUM(D136:K136))</f>
        <v>1959475.9221301673</v>
      </c>
      <c r="M136" s="407">
        <f>IF('Staging Table'!C138=1,"",IF(Init!$R$9="Yes",(RT1SC!$C$3*'Staging Table'!E138*'Staging Table'!$F$2)+SUM('Staging Table'!L138:AI138)-IF(Init!$R$15="No",'Staging Table'!AV138, 0),X136))</f>
        <v>55049.328000000001</v>
      </c>
      <c r="N136" s="169">
        <f>IF('Staging Table'!C138=1,"",IF(M136=0, 0, L136/M136))</f>
        <v>35.594910843056383</v>
      </c>
      <c r="O136" s="407">
        <f>'Staging Table'!BG138*Rates_current!$E$75*100*12</f>
        <v>2284298.66304</v>
      </c>
      <c r="P136" s="407">
        <f>'Staging Table'!BH138*Rates_current!$E$76*100*12</f>
        <v>-321306.29327999998</v>
      </c>
      <c r="Q136" s="408">
        <f>SUMPRODUCT('Staging Table'!BN138:CK138, LS_Demand_Rates_Restatement!$C$5:$Z$5)-IF(Init!$R$15="No",('Staging Table'!CX138*Rates_current!$H$35), 0)</f>
        <v>34697.516265711689</v>
      </c>
      <c r="R136" s="408">
        <f>SUMPRODUCT('Staging Table'!CL138:CW138, LS_Demand_Rates_Restatement!$C$11:$N$11)*1000</f>
        <v>40005.69941812678</v>
      </c>
      <c r="S136" s="409">
        <f>'Staging Table'!DH138*Rates_current!$H$33</f>
        <v>0</v>
      </c>
      <c r="T136" s="409">
        <f>IF('Staging Table'!D138=1, 'Staging Table'!BJ138*-1,SUM(O136:S136)*'Staging Table'!BJ138*-1)</f>
        <v>0</v>
      </c>
      <c r="U136" s="407">
        <f>'Staging Table'!BM138*Rates_current!$H$32*-1</f>
        <v>0</v>
      </c>
      <c r="V136" s="407">
        <f>IF(Init!$R$12="No",0,'Staging Table'!$CY138*-1)</f>
        <v>0</v>
      </c>
      <c r="W136" s="407">
        <f>IF('Staging Table'!C138=1,"",SUM(O136:V136))</f>
        <v>2037695.5854438387</v>
      </c>
      <c r="X136" s="407">
        <f>IF('Staging Table'!C138=1,"",(RT1SC!$C$4*'Staging Table'!BG138*'Staging Table'!$BH$2)+SUM('Staging Table'!BN138:CK138)-IF(Init!$R$15="No",'Staging Table'!CX138, 0))</f>
        <v>54548.520000000004</v>
      </c>
      <c r="Y136" s="169">
        <f>IF('Staging Table'!C138=1,"",IF(X136=0, 0, W136/X136))</f>
        <v>37.355653012104426</v>
      </c>
      <c r="Z136" s="160">
        <f>IF('Staging Table'!C138=1,"",Y136/N136-1)</f>
        <v>4.9466121064649871E-2</v>
      </c>
      <c r="AA136" s="97">
        <f>IF(Z136="","",RANK(Z136,$Z$4:$Z$138))</f>
        <v>53</v>
      </c>
      <c r="AD136" s="412"/>
      <c r="AE136" s="412"/>
      <c r="AF136" s="432"/>
      <c r="AG136" s="412"/>
      <c r="AH136" s="412"/>
    </row>
    <row r="137" spans="1:34">
      <c r="B137" s="3">
        <v>12026</v>
      </c>
      <c r="C137" s="4" t="s">
        <v>139</v>
      </c>
      <c r="D137" s="407">
        <f>IF(Init!$R$9="Yes",'Staging Table'!E139,'Staging Table'!BG139)*Rates_previous!$E$75*100*12</f>
        <v>14960836.497599998</v>
      </c>
      <c r="E137" s="407">
        <f>IF(Init!$R$9="Yes",'Staging Table'!F139,'Staging Table'!BH139)*Rates_previous!$E$76*100*12</f>
        <v>-2224085.6255999999</v>
      </c>
      <c r="F137" s="408">
        <f>IF(Init!$R$9="Yes",SUMPRODUCT('Staging Table'!L139:AI139,LS_Demand_Rates_Restatement!$C$4:$Z$4)-IF(Init!$R$15="No",('Staging Table'!AV139*Rates_previous!$H$35), 0),SUMPRODUCT('Staging Table'!BN139:CK139,LS_Demand_Rates_Restatement!$C$4:$Z$4)-IF(Init!$R$15="No", 'Staging Table'!CX139*Rates_previous!$H$35, 0))</f>
        <v>288682.74271580402</v>
      </c>
      <c r="G137" s="408">
        <f>IF(Init!$R$9="Yes",SUMPRODUCT('Staging Table'!AJ139:AU139,LS_Demand_Rates_Restatement!$C$10:$N$10),SUMPRODUCT(LS_Demand_Rates_Restatement!$C$10:$N$10,'Staging Table'!CL139:CW139))*1000</f>
        <v>1062383.8291164527</v>
      </c>
      <c r="H137" s="409">
        <f>IF(Init!$R$9="Yes",'Staging Table'!BF139,'Staging Table'!DH139)*Rates_previous!$H$33</f>
        <v>67926.554322885539</v>
      </c>
      <c r="I137" s="409">
        <f>IF(Init!$R$9="Yes",IF('Staging Table'!D139=1,'Staging Table'!H139*-1,'Staging Table'!H139*SUM(D137:H137)*(-1)),IF('Staging Table'!D139=1,'Staging Table'!BJ139*-1,'Staging Table'!BJ139*SUM(D137:H137)*(-1)))</f>
        <v>0</v>
      </c>
      <c r="J137" s="407">
        <f>IF(Init!$R$9="Yes",'Staging Table'!K139,'Staging Table'!BM139)*(-1)*Rates_previous!$H$32</f>
        <v>0</v>
      </c>
      <c r="K137" s="407">
        <f>IF(Init!$R$12="No",0,'Staging Table'!$AW139*-1)</f>
        <v>0</v>
      </c>
      <c r="L137" s="407">
        <f>IF('Staging Table'!C139=1,"",SUM(D137:K137))</f>
        <v>14155743.998155139</v>
      </c>
      <c r="M137" s="407">
        <f>IF('Staging Table'!C139=1,"",IF(Init!$R$9="Yes",(RT1SC!$C$3*'Staging Table'!E139*'Staging Table'!$F$2)+SUM('Staging Table'!L139:AI139)-IF(Init!$R$15="No",'Staging Table'!AV139, 0),X137))</f>
        <v>378412.82087264245</v>
      </c>
      <c r="N137" s="169">
        <f>IF('Staging Table'!C139=1,"",IF(M137=0, 0, L137/M137))</f>
        <v>37.408203996659395</v>
      </c>
      <c r="O137" s="407">
        <f>'Staging Table'!BG139*Rates_current!$E$75*100*12</f>
        <v>16075439.743679998</v>
      </c>
      <c r="P137" s="407">
        <f>'Staging Table'!BH139*Rates_current!$E$76*100*12</f>
        <v>-2261149.1397599997</v>
      </c>
      <c r="Q137" s="408">
        <f>SUMPRODUCT('Staging Table'!BN139:CK139, LS_Demand_Rates_Restatement!$C$5:$Z$5)-IF(Init!$R$15="No",('Staging Table'!CX139*Rates_current!$H$35), 0)</f>
        <v>101716.93101832557</v>
      </c>
      <c r="R137" s="408">
        <f>SUMPRODUCT('Staging Table'!CL139:CW139, LS_Demand_Rates_Restatement!$C$11:$N$11)*1000</f>
        <v>1038558.5748972844</v>
      </c>
      <c r="S137" s="409">
        <f>'Staging Table'!DH139*Rates_current!$H$33</f>
        <v>-69492.273597215841</v>
      </c>
      <c r="T137" s="409">
        <f>IF('Staging Table'!D139=1, 'Staging Table'!BJ139*-1,SUM(O137:S137)*'Staging Table'!BJ139*-1)</f>
        <v>0</v>
      </c>
      <c r="U137" s="407">
        <f>'Staging Table'!BM139*Rates_current!$H$32*-1</f>
        <v>0</v>
      </c>
      <c r="V137" s="407">
        <f>IF(Init!$R$12="No",0,'Staging Table'!$CY139*-1)</f>
        <v>0</v>
      </c>
      <c r="W137" s="407">
        <f>IF('Staging Table'!C139=1,"",SUM(O137:V137))</f>
        <v>14885073.836238392</v>
      </c>
      <c r="X137" s="407">
        <f>IF('Staging Table'!C139=1,"",(RT1SC!$C$4*'Staging Table'!BG139*'Staging Table'!$BH$2)+SUM('Staging Table'!BN139:CK139)-IF(Init!$R$15="No",'Staging Table'!CX139, 0))</f>
        <v>378412.82560021838</v>
      </c>
      <c r="Y137" s="169">
        <f>IF('Staging Table'!C139=1,"",IF(X137=0, 0, W137/X137))</f>
        <v>39.335542638198049</v>
      </c>
      <c r="Z137" s="160">
        <f>IF('Staging Table'!C139=1,"",Y137/N137-1)</f>
        <v>5.1521817024703154E-2</v>
      </c>
      <c r="AA137" s="97">
        <f>IF(Z137="","",RANK(Z137,$Z$4:$Z$138))</f>
        <v>38</v>
      </c>
      <c r="AD137" s="412"/>
      <c r="AE137" s="412"/>
      <c r="AF137" s="432"/>
      <c r="AG137" s="412"/>
      <c r="AH137" s="412"/>
    </row>
    <row r="138" spans="1:34">
      <c r="B138" s="3">
        <v>10298</v>
      </c>
      <c r="C138" s="4" t="s">
        <v>140</v>
      </c>
      <c r="D138" s="407">
        <f>IF(Init!$R$9="Yes",'Staging Table'!E140,'Staging Table'!BG140)*Rates_previous!$E$75*100*12</f>
        <v>184446519.34968001</v>
      </c>
      <c r="E138" s="407">
        <f>IF(Init!$R$9="Yes",'Staging Table'!F140,'Staging Table'!BH140)*Rates_previous!$E$76*100*12</f>
        <v>-27419914.150080003</v>
      </c>
      <c r="F138" s="408">
        <f>IF(Init!$R$9="Yes",SUMPRODUCT('Staging Table'!L140:AI140,LS_Demand_Rates_Restatement!$C$4:$Z$4)-IF(Init!$R$15="No",('Staging Table'!AV140*Rates_previous!$H$35), 0),SUMPRODUCT('Staging Table'!BN140:CK140,LS_Demand_Rates_Restatement!$C$4:$Z$4)-IF(Init!$R$15="No", 'Staging Table'!CX140*Rates_previous!$H$35, 0))</f>
        <v>1711868.934204651</v>
      </c>
      <c r="G138" s="408">
        <f>IF(Init!$R$9="Yes",SUMPRODUCT('Staging Table'!AJ140:AU140,LS_Demand_Rates_Restatement!$C$10:$N$10),SUMPRODUCT(LS_Demand_Rates_Restatement!$C$10:$N$10,'Staging Table'!CL140:CW140))*1000</f>
        <v>2291540.3413564814</v>
      </c>
      <c r="H138" s="409">
        <f>IF(Init!$R$9="Yes",'Staging Table'!BF140,'Staging Table'!DH140)*Rates_previous!$H$33</f>
        <v>0</v>
      </c>
      <c r="I138" s="409">
        <f>IF(Init!$R$9="Yes",IF('Staging Table'!D140=1,'Staging Table'!H140*-1,'Staging Table'!H140*SUM(D138:H138)*(-1)),IF('Staging Table'!D140=1,'Staging Table'!BJ140*-1,'Staging Table'!BJ140*SUM(D138:H138)*(-1)))</f>
        <v>-11029317.878627338</v>
      </c>
      <c r="J138" s="407">
        <f>IF(Init!$R$9="Yes",'Staging Table'!K140,'Staging Table'!BM140)*(-1)*Rates_previous!$H$32</f>
        <v>-5264188.2662599999</v>
      </c>
      <c r="K138" s="407">
        <f>IF(Init!$R$12="No",0,'Staging Table'!$AW140*-1)</f>
        <v>0</v>
      </c>
      <c r="L138" s="407">
        <f>IF('Staging Table'!C140=1,"",SUM(D138:K138))</f>
        <v>144736508.33027381</v>
      </c>
      <c r="M138" s="407">
        <f>IF('Staging Table'!C140=1,"",IF(Init!$R$9="Yes",(RT1SC!$C$3*'Staging Table'!E140*'Staging Table'!$F$2)+SUM('Staging Table'!L140:AI140)-IF(Init!$R$15="No",'Staging Table'!AV140, 0),X138))</f>
        <v>4611512.1599999992</v>
      </c>
      <c r="N138" s="169">
        <f>IF('Staging Table'!C140=1,"",IF(M138=0, 0, L138/M138))</f>
        <v>31.385910588225322</v>
      </c>
      <c r="O138" s="407">
        <f>'Staging Table'!BG140*Rates_current!$E$75*100*12</f>
        <v>189467618.89824003</v>
      </c>
      <c r="P138" s="407">
        <f>'Staging Table'!BH140*Rates_current!$E$76*100*12</f>
        <v>-26650253.449680001</v>
      </c>
      <c r="Q138" s="408">
        <f>SUMPRODUCT('Staging Table'!BN140:CK140, LS_Demand_Rates_Restatement!$C$5:$Z$5)-IF(Init!$R$15="No",('Staging Table'!CX140*Rates_current!$H$35), 0)</f>
        <v>2124984.513056681</v>
      </c>
      <c r="R138" s="408">
        <f>SUMPRODUCT('Staging Table'!CL140:CW140, LS_Demand_Rates_Restatement!$C$11:$N$11)*1000</f>
        <v>1955430.1418094574</v>
      </c>
      <c r="S138" s="409">
        <f>'Staging Table'!DH140*Rates_current!$H$33</f>
        <v>0</v>
      </c>
      <c r="T138" s="409">
        <f>IF('Staging Table'!D140=1, 'Staging Table'!BJ140*-1,SUM(O138:S138)*'Staging Table'!BJ140*-1)</f>
        <v>-12130361.663685353</v>
      </c>
      <c r="U138" s="407">
        <f>'Staging Table'!BM140*Rates_current!$H$32*-1</f>
        <v>-5259715.7188799996</v>
      </c>
      <c r="V138" s="407">
        <f>IF(Init!$R$12="No",0,'Staging Table'!$CY140*-1)</f>
        <v>0</v>
      </c>
      <c r="W138" s="407">
        <f>IF('Staging Table'!C140=1,"",SUM(O138:V138))</f>
        <v>149507702.72086084</v>
      </c>
      <c r="X138" s="407">
        <f>IF('Staging Table'!C140=1,"",(RT1SC!$C$4*'Staging Table'!BG140*'Staging Table'!$BH$2)+SUM('Staging Table'!BN140:CK140)-IF(Init!$R$15="No",'Staging Table'!CX140, 0))</f>
        <v>4569680.28</v>
      </c>
      <c r="Y138" s="169">
        <f>IF('Staging Table'!C140=1,"",IF(X138=0, 0, W138/X138))</f>
        <v>32.717322342048149</v>
      </c>
      <c r="Z138" s="160">
        <f>IF('Staging Table'!C140=1,"",Y138/N138-1)</f>
        <v>4.2420682684360944E-2</v>
      </c>
      <c r="AA138" s="97">
        <f>IF(Z138="","",RANK(Z138,$Z$4:$Z$138))</f>
        <v>98</v>
      </c>
      <c r="AD138" s="412"/>
      <c r="AE138" s="412"/>
      <c r="AF138" s="432"/>
      <c r="AG138" s="412"/>
      <c r="AH138" s="412"/>
    </row>
    <row r="139" spans="1:34">
      <c r="B139" s="2"/>
      <c r="C139" s="2"/>
      <c r="D139" s="2"/>
      <c r="E139" s="2"/>
      <c r="F139" s="2"/>
      <c r="G139" s="2"/>
      <c r="H139" s="2"/>
      <c r="I139" s="394"/>
      <c r="J139" s="2"/>
      <c r="K139" s="407"/>
      <c r="L139" s="2"/>
      <c r="O139" s="2"/>
      <c r="P139" s="2"/>
      <c r="Q139" s="140"/>
      <c r="R139" s="2"/>
      <c r="S139" s="2"/>
      <c r="T139" s="2"/>
      <c r="U139" s="2"/>
      <c r="V139" s="407"/>
      <c r="W139" s="2"/>
      <c r="AD139" s="412"/>
      <c r="AE139" s="412"/>
      <c r="AF139" s="432"/>
      <c r="AG139" s="412"/>
      <c r="AH139" s="412"/>
    </row>
    <row r="140" spans="1:34">
      <c r="A140" s="20"/>
      <c r="B140" s="2"/>
      <c r="C140" s="2"/>
      <c r="D140" s="2"/>
      <c r="E140" s="2"/>
      <c r="F140" s="2"/>
      <c r="G140" s="2"/>
      <c r="H140" s="2"/>
      <c r="I140" s="394"/>
      <c r="J140" s="2"/>
      <c r="K140" s="394"/>
      <c r="L140" s="2"/>
      <c r="O140" s="2"/>
      <c r="P140" s="2"/>
      <c r="Q140" s="140"/>
      <c r="R140" s="2"/>
      <c r="S140" s="2"/>
      <c r="T140" s="2"/>
      <c r="U140" s="2"/>
      <c r="V140" s="394"/>
      <c r="W140" s="2"/>
      <c r="AD140" s="412"/>
      <c r="AE140" s="412"/>
      <c r="AF140" s="432"/>
      <c r="AG140" s="412"/>
      <c r="AH140" s="412"/>
    </row>
    <row r="141" spans="1:34">
      <c r="A141" s="20"/>
      <c r="D141" s="2"/>
      <c r="E141" s="2"/>
      <c r="F141" s="2"/>
      <c r="G141" s="2"/>
      <c r="H141" s="2"/>
      <c r="I141" s="394"/>
      <c r="J141" s="2"/>
      <c r="K141" s="394"/>
      <c r="L141" s="2"/>
      <c r="O141" s="2"/>
      <c r="P141" s="2"/>
      <c r="Q141" s="140"/>
      <c r="R141" s="2"/>
      <c r="S141" s="2"/>
      <c r="T141" s="2"/>
      <c r="U141" s="2"/>
      <c r="V141" s="394"/>
      <c r="W141" s="2"/>
      <c r="AD141" s="412"/>
      <c r="AE141" s="412"/>
      <c r="AF141" s="432"/>
      <c r="AG141" s="412"/>
      <c r="AH141" s="412"/>
    </row>
    <row r="142" spans="1:34">
      <c r="A142" s="20"/>
      <c r="B142" s="2"/>
      <c r="C142" s="2"/>
      <c r="D142" s="2"/>
      <c r="E142" s="2"/>
      <c r="F142" s="2"/>
      <c r="G142" s="2"/>
      <c r="H142" s="2"/>
      <c r="I142" s="394"/>
      <c r="J142" s="2"/>
      <c r="K142" s="394"/>
      <c r="L142" s="2"/>
      <c r="O142" s="2"/>
      <c r="P142" s="2"/>
      <c r="Q142" s="140"/>
      <c r="R142" s="2"/>
      <c r="S142" s="2"/>
      <c r="T142" s="2"/>
      <c r="U142" s="2"/>
      <c r="V142" s="394"/>
      <c r="W142" s="2"/>
    </row>
    <row r="143" spans="1:34">
      <c r="B143" s="2"/>
      <c r="C143" s="2"/>
      <c r="D143" s="2"/>
      <c r="E143" s="2"/>
      <c r="F143" s="2"/>
      <c r="G143" s="2"/>
      <c r="H143" s="2"/>
      <c r="I143" s="394"/>
      <c r="J143" s="2"/>
      <c r="K143" s="394"/>
      <c r="L143" s="2"/>
      <c r="O143" s="2"/>
      <c r="P143" s="2"/>
      <c r="Q143" s="140"/>
      <c r="R143" s="2"/>
      <c r="S143" s="170"/>
      <c r="T143" s="2"/>
      <c r="U143" s="2"/>
      <c r="V143" s="394"/>
      <c r="W143" s="2"/>
    </row>
    <row r="144" spans="1:34">
      <c r="B144" s="3"/>
      <c r="C144" s="4"/>
      <c r="G144" s="71"/>
    </row>
    <row r="145" spans="2:3">
      <c r="B145" s="3"/>
      <c r="C145" s="4"/>
    </row>
    <row r="146" spans="2:3">
      <c r="B146" s="3"/>
      <c r="C146" s="4"/>
    </row>
    <row r="147" spans="2:3">
      <c r="B147" s="3"/>
      <c r="C147" s="4"/>
    </row>
    <row r="148" spans="2:3">
      <c r="B148" s="3"/>
      <c r="C148" s="4"/>
    </row>
    <row r="149" spans="2:3">
      <c r="B149" s="3"/>
      <c r="C149" s="4"/>
    </row>
    <row r="150" spans="2:3">
      <c r="B150" s="3"/>
      <c r="C150" s="4"/>
    </row>
    <row r="151" spans="2:3">
      <c r="B151" s="3"/>
      <c r="C151" s="4"/>
    </row>
    <row r="152" spans="2:3">
      <c r="B152" s="3"/>
      <c r="C152" s="4"/>
    </row>
    <row r="153" spans="2:3">
      <c r="B153" s="3"/>
      <c r="C153" s="4"/>
    </row>
    <row r="154" spans="2:3">
      <c r="B154" s="3"/>
      <c r="C154" s="4"/>
    </row>
    <row r="155" spans="2:3">
      <c r="B155" s="3"/>
      <c r="C155" s="4"/>
    </row>
    <row r="156" spans="2:3">
      <c r="B156" s="3"/>
      <c r="C156" s="4"/>
    </row>
    <row r="157" spans="2:3">
      <c r="B157" s="3"/>
      <c r="C157" s="4"/>
    </row>
    <row r="158" spans="2:3">
      <c r="B158" s="3"/>
      <c r="C158" s="4"/>
    </row>
    <row r="159" spans="2:3">
      <c r="B159" s="3"/>
      <c r="C159" s="4"/>
    </row>
    <row r="160" spans="2:3">
      <c r="B160" s="3"/>
      <c r="C160" s="4"/>
    </row>
    <row r="161" spans="2:3">
      <c r="B161" s="3"/>
      <c r="C161" s="4"/>
    </row>
    <row r="162" spans="2:3">
      <c r="B162" s="3"/>
      <c r="C162" s="4"/>
    </row>
    <row r="163" spans="2:3">
      <c r="B163" s="3"/>
      <c r="C163" s="4"/>
    </row>
    <row r="164" spans="2:3">
      <c r="B164" s="3"/>
      <c r="C164" s="4"/>
    </row>
    <row r="165" spans="2:3">
      <c r="B165" s="3"/>
      <c r="C165" s="4"/>
    </row>
    <row r="166" spans="2:3">
      <c r="B166" s="3"/>
      <c r="C166" s="4"/>
    </row>
    <row r="167" spans="2:3">
      <c r="B167" s="3"/>
      <c r="C167" s="4"/>
    </row>
    <row r="168" spans="2:3">
      <c r="B168" s="23"/>
      <c r="C168" s="23"/>
    </row>
    <row r="169" spans="2:3">
      <c r="B169" s="23"/>
      <c r="C169" s="23"/>
    </row>
    <row r="170" spans="2:3">
      <c r="B170" s="23"/>
      <c r="C170" s="23"/>
    </row>
  </sheetData>
  <conditionalFormatting sqref="B2">
    <cfRule type="expression" dxfId="2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</sheetPr>
  <dimension ref="A1:AD170"/>
  <sheetViews>
    <sheetView topLeftCell="B1" zoomScale="85" zoomScaleNormal="85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F133" sqref="F133"/>
    </sheetView>
  </sheetViews>
  <sheetFormatPr defaultRowHeight="15"/>
  <cols>
    <col min="1" max="1" width="9.5703125" style="2" customWidth="1"/>
    <col min="2" max="2" width="9.140625" style="24"/>
    <col min="3" max="3" width="28.140625" style="24" customWidth="1"/>
    <col min="4" max="4" width="15.28515625" bestFit="1" customWidth="1"/>
    <col min="5" max="5" width="15" bestFit="1" customWidth="1"/>
    <col min="6" max="6" width="14.28515625" bestFit="1" customWidth="1"/>
    <col min="7" max="7" width="13.42578125" bestFit="1" customWidth="1"/>
    <col min="8" max="8" width="14" bestFit="1" customWidth="1"/>
    <col min="9" max="9" width="14" customWidth="1"/>
    <col min="10" max="11" width="14" style="97" customWidth="1"/>
    <col min="12" max="12" width="15.28515625" bestFit="1" customWidth="1"/>
    <col min="13" max="13" width="13.28515625" bestFit="1" customWidth="1"/>
    <col min="14" max="14" width="13.42578125" bestFit="1" customWidth="1"/>
    <col min="15" max="15" width="15.28515625" bestFit="1" customWidth="1"/>
    <col min="16" max="16" width="15" bestFit="1" customWidth="1"/>
    <col min="17" max="17" width="15" style="138" customWidth="1"/>
    <col min="18" max="18" width="14.28515625" bestFit="1" customWidth="1"/>
    <col min="19" max="19" width="13.42578125" bestFit="1" customWidth="1"/>
    <col min="20" max="20" width="14" bestFit="1" customWidth="1"/>
    <col min="21" max="21" width="14" customWidth="1"/>
    <col min="22" max="23" width="14" style="97" customWidth="1"/>
    <col min="24" max="24" width="15.28515625" bestFit="1" customWidth="1"/>
    <col min="25" max="25" width="13.28515625" bestFit="1" customWidth="1"/>
    <col min="26" max="26" width="13.42578125" bestFit="1" customWidth="1"/>
    <col min="28" max="28" width="13.5703125" style="97" bestFit="1" customWidth="1"/>
    <col min="29" max="29" width="10.85546875" bestFit="1" customWidth="1"/>
  </cols>
  <sheetData>
    <row r="1" spans="1:30" ht="15.75">
      <c r="B1" s="85" t="s">
        <v>219</v>
      </c>
      <c r="C1" s="86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97"/>
      <c r="AB1" s="397"/>
      <c r="AC1" s="397"/>
      <c r="AD1" s="397"/>
    </row>
    <row r="2" spans="1:30">
      <c r="A2" s="87" t="s">
        <v>0</v>
      </c>
      <c r="B2" s="88"/>
      <c r="C2" s="86"/>
      <c r="D2" s="318" t="s">
        <v>149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18" t="s">
        <v>150</v>
      </c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97"/>
      <c r="AB2" s="397"/>
      <c r="AC2" s="397"/>
      <c r="AD2" s="397"/>
    </row>
    <row r="3" spans="1:30" s="104" customFormat="1">
      <c r="A3" s="102" t="s">
        <v>1</v>
      </c>
      <c r="B3" s="103" t="s">
        <v>2</v>
      </c>
      <c r="C3" s="89" t="s">
        <v>3</v>
      </c>
      <c r="D3" s="405" t="s">
        <v>163</v>
      </c>
      <c r="E3" s="405" t="s">
        <v>402</v>
      </c>
      <c r="F3" s="405" t="s">
        <v>213</v>
      </c>
      <c r="G3" s="405" t="s">
        <v>208</v>
      </c>
      <c r="H3" s="406" t="s">
        <v>372</v>
      </c>
      <c r="I3" s="406" t="s">
        <v>403</v>
      </c>
      <c r="J3" s="405" t="s">
        <v>220</v>
      </c>
      <c r="K3" s="405" t="s">
        <v>414</v>
      </c>
      <c r="L3" s="405" t="s">
        <v>183</v>
      </c>
      <c r="M3" s="405" t="s">
        <v>222</v>
      </c>
      <c r="N3" s="405" t="s">
        <v>228</v>
      </c>
      <c r="O3" s="410" t="s">
        <v>163</v>
      </c>
      <c r="P3" s="410" t="s">
        <v>402</v>
      </c>
      <c r="Q3" s="411" t="s">
        <v>213</v>
      </c>
      <c r="R3" s="411" t="s">
        <v>208</v>
      </c>
      <c r="S3" s="410" t="s">
        <v>372</v>
      </c>
      <c r="T3" s="410" t="s">
        <v>403</v>
      </c>
      <c r="U3" s="411" t="s">
        <v>220</v>
      </c>
      <c r="V3" s="411" t="s">
        <v>414</v>
      </c>
      <c r="W3" s="410" t="s">
        <v>183</v>
      </c>
      <c r="X3" s="411" t="s">
        <v>222</v>
      </c>
      <c r="Y3" s="411" t="s">
        <v>228</v>
      </c>
      <c r="Z3" s="419" t="s">
        <v>229</v>
      </c>
      <c r="AA3" s="420" t="s">
        <v>231</v>
      </c>
    </row>
    <row r="4" spans="1:30">
      <c r="B4" s="274">
        <v>10005</v>
      </c>
      <c r="C4" s="275" t="s">
        <v>7</v>
      </c>
      <c r="D4" s="407">
        <f>IF(Init!$R$9="Yes",'Staging Table'!F6,'Staging Table'!BH6)*Rates_previous!$E$75*100*12</f>
        <v>190599.67079999999</v>
      </c>
      <c r="E4" s="407">
        <f>IF(Init!$R$9="Yes",'Staging Table'!F6,'Staging Table'!BH6)*Rates_previous!$E$76*100*12</f>
        <v>-28334.644800000002</v>
      </c>
      <c r="F4" s="408">
        <f>IF(Init!$R$9="Yes",SUMPRODUCT('Staging Table'!L6:AI6,LS_Demand_Rates_Restatement!$C$4:$Z$4)-IF(Init!$R$15="No",('Staging Table'!AV6*Rates_previous!$H$35), 0),SUMPRODUCT('Staging Table'!BN6:CK6,LS_Demand_Rates_Restatement!$C$4:$Z$4)-IF(Init!$R$15="No", 'Staging Table'!CX6*Rates_previous!$H$35, 0))</f>
        <v>1250.5774336361526</v>
      </c>
      <c r="G4" s="408">
        <f>IF(Init!$R$9="Yes",SUMPRODUCT('Staging Table'!AJ6:AU6,LS_Demand_Rates_Restatement!$C$10:$N$10),SUMPRODUCT(LS_Demand_Rates_Restatement!$C$10:$N$10,'Staging Table'!CL6:CW6))*1000</f>
        <v>10811.057676486822</v>
      </c>
      <c r="H4" s="409">
        <f>IF(Init!$R$9="Yes",'Staging Table'!BF6,'Staging Table'!DH6)*Rates_previous!$H$33</f>
        <v>67.86189838885366</v>
      </c>
      <c r="I4" s="409">
        <f>IF(Init!$R$9="Yes",IF('Staging Table'!D6=1,'Staging Table'!H6*-1*('Staging Table'!F6/'Staging Table'!E6),'Staging Table'!H6*SUM(D4:H4)*(-1)),IF('Staging Table'!D6=1,'Staging Table'!BJ6*-1*('Staging Table'!BH6/'Staging Table'!BG6),'Staging Table'!BJ6*SUM(D4:H4)*(-1)))</f>
        <v>-10463.671380510708</v>
      </c>
      <c r="J4" s="407">
        <f>IF(Init!$R$9="Yes",'Staging Table'!K6,'Staging Table'!BM6)*(-1)*Rates_previous!$H$32</f>
        <v>0</v>
      </c>
      <c r="K4" s="407">
        <f>IF(Init!$R$12="No",0,'Staging Table'!$AW6*-1)</f>
        <v>0</v>
      </c>
      <c r="L4" s="407">
        <f>IF('Staging Table'!C6=1,"",SUM(D4:K4))</f>
        <v>163930.85162800111</v>
      </c>
      <c r="M4" s="407">
        <f>IF('Staging Table'!C6=1,"",IF(Init!$R$9="Yes",(RT1SC!$C$3*'Staging Table'!F6*'Staging Table'!$F$2)+SUM('Staging Table'!L6:AI6)-IF(Init!$R$15="No",'Staging Table'!AV6, 0),X4))</f>
        <v>4733.460011117385</v>
      </c>
      <c r="N4" s="169">
        <f>IF('Staging Table'!C6=1,"",IF(M4=0, 0, L4/M4))</f>
        <v>34.632351650374126</v>
      </c>
      <c r="O4" s="407">
        <f>'Staging Table'!BH6*Rates_current!$E$75*100*12</f>
        <v>194901.68160000001</v>
      </c>
      <c r="P4" s="407">
        <f>'Staging Table'!BH6*Rates_current!$E$76*100*12</f>
        <v>-27414.601200000005</v>
      </c>
      <c r="Q4" s="408">
        <f>SUMPRODUCT('Staging Table'!BN6:CK6, LS_Demand_Rates_Restatement!$C$5:$Z$5)-IF(Init!$R$15="No",('Staging Table'!CX6*Rates_current!$H$35), 0)</f>
        <v>4483.8441654460712</v>
      </c>
      <c r="R4" s="408">
        <f>SUMPRODUCT('Staging Table'!CL6:CW6, LS_Demand_Rates_Restatement!$C$11:$N$11)*1000</f>
        <v>10648.681530511036</v>
      </c>
      <c r="S4" s="409">
        <f>'Staging Table'!DH6*Rates_current!$H$33</f>
        <v>893.51999999999907</v>
      </c>
      <c r="T4" s="409">
        <f>IF('Staging Table'!D6=1, 'Staging Table'!BJ6*-1*('Staging Table'!BH6/'Staging Table'!BG6),SUM(O4:S4)*'Staging Table'!BJ6*-1)</f>
        <v>-8258.0906743180694</v>
      </c>
      <c r="U4" s="407">
        <f>'Staging Table'!BM6*Rates_current!$H$32*-1</f>
        <v>0</v>
      </c>
      <c r="V4" s="407">
        <f>IF(Init!$R$12="No",0,'Staging Table'!$CY6*-1)</f>
        <v>0</v>
      </c>
      <c r="W4" s="407">
        <f>IF('Staging Table'!C6=1,"",SUM(O4:V4))</f>
        <v>175255.03542163901</v>
      </c>
      <c r="X4" s="407">
        <f>IF('Staging Table'!C6=1,"",(RT1SC!$C$4*'Staging Table'!BH6*'Staging Table'!$BH$2)+SUM('Staging Table'!BN6:CK6)-IF(Init!$R$15="No",'Staging Table'!CX6, 0))</f>
        <v>4721.6400000000003</v>
      </c>
      <c r="Y4" s="169">
        <f>IF('Staging Table'!C6=1,"",IF(X4=0, 0, W4/X4))</f>
        <v>37.117407388458034</v>
      </c>
      <c r="Z4" s="160">
        <f>IF('Staging Table'!C6=1,"",Y4/N4-1)</f>
        <v>7.175532759575276E-2</v>
      </c>
      <c r="AA4" s="97">
        <f t="shared" ref="AA4:AA67" si="0">IF(Z4="","",RANK(Z4,$Z$4:$Z$138))</f>
        <v>4</v>
      </c>
      <c r="AB4" s="397"/>
      <c r="AC4" s="397"/>
      <c r="AD4" s="397"/>
    </row>
    <row r="5" spans="1:30">
      <c r="B5" s="274">
        <v>10015</v>
      </c>
      <c r="C5" s="275" t="s">
        <v>8</v>
      </c>
      <c r="D5" s="407">
        <f>IF(Init!$R$9="Yes",'Staging Table'!F7,'Staging Table'!BH7)*Rates_previous!$E$75*100*12</f>
        <v>201243.54851999998</v>
      </c>
      <c r="E5" s="407">
        <f>IF(Init!$R$9="Yes",'Staging Table'!F7,'Staging Table'!BH7)*Rates_previous!$E$76*100*12</f>
        <v>-29916.969119999998</v>
      </c>
      <c r="F5" s="408">
        <f>IF(Init!$R$9="Yes",SUMPRODUCT('Staging Table'!L7:AI7,LS_Demand_Rates_Restatement!$C$4:$Z$4)-IF(Init!$R$15="No",('Staging Table'!AV7*Rates_previous!$H$35), 0),SUMPRODUCT('Staging Table'!BN7:CK7,LS_Demand_Rates_Restatement!$C$4:$Z$4)-IF(Init!$R$15="No", 'Staging Table'!CX7*Rates_previous!$H$35, 0))</f>
        <v>-3897.6321911928262</v>
      </c>
      <c r="G5" s="408">
        <f>IF(Init!$R$9="Yes",SUMPRODUCT('Staging Table'!AJ7:AU7,LS_Demand_Rates_Restatement!$C$10:$N$10),SUMPRODUCT(LS_Demand_Rates_Restatement!$C$10:$N$10,'Staging Table'!CL7:CW7))*1000</f>
        <v>44373.415375783479</v>
      </c>
      <c r="H5" s="409">
        <f>IF(Init!$R$9="Yes",'Staging Table'!BF7,'Staging Table'!DH7)*Rates_previous!$H$33</f>
        <v>0</v>
      </c>
      <c r="I5" s="409">
        <f>IF(Init!$R$9="Yes",IF('Staging Table'!D7=1,'Staging Table'!H7*-1*('Staging Table'!F7/'Staging Table'!E7),'Staging Table'!H7*SUM(D5:H5)*(-1)),IF('Staging Table'!D7=1,'Staging Table'!BJ7*-1*('Staging Table'!BH7/'Staging Table'!BG7),'Staging Table'!BJ7*SUM(D5:H5)*(-1)))</f>
        <v>0</v>
      </c>
      <c r="J5" s="407">
        <f>IF(Init!$R$9="Yes",'Staging Table'!K7,'Staging Table'!BM7)*(-1)*Rates_previous!$H$32</f>
        <v>0</v>
      </c>
      <c r="K5" s="407">
        <f>IF(Init!$R$12="No",0,'Staging Table'!$AW7*-1)</f>
        <v>0</v>
      </c>
      <c r="L5" s="407">
        <f>IF('Staging Table'!C7=1,"",SUM(D5:K5))</f>
        <v>211802.36258459065</v>
      </c>
      <c r="M5" s="407">
        <f>IF('Staging Table'!C7=1,"",IF(Init!$R$9="Yes",(RT1SC!$C$3*'Staging Table'!F7*'Staging Table'!$F$2)+SUM('Staging Table'!L7:AI7)-IF(Init!$R$15="No",'Staging Table'!AV7, 0),X5))</f>
        <v>4989.3119999999999</v>
      </c>
      <c r="N5" s="169">
        <f>IF('Staging Table'!C7=1,"",IF(M5=0, 0, L5/M5))</f>
        <v>42.4512162367458</v>
      </c>
      <c r="O5" s="407">
        <f>'Staging Table'!BH7*Rates_current!$E$75*100*12</f>
        <v>206876.03328000003</v>
      </c>
      <c r="P5" s="407">
        <f>'Staging Table'!BH7*Rates_current!$E$76*100*12</f>
        <v>-29098.896959999998</v>
      </c>
      <c r="Q5" s="408">
        <f>SUMPRODUCT('Staging Table'!BN7:CK7, LS_Demand_Rates_Restatement!$C$5:$Z$5)-IF(Init!$R$15="No",('Staging Table'!CX7*Rates_current!$H$35), 0)</f>
        <v>-8796.3684798663926</v>
      </c>
      <c r="R5" s="408">
        <f>SUMPRODUCT('Staging Table'!CL7:CW7, LS_Demand_Rates_Restatement!$C$11:$N$11)*1000</f>
        <v>41595.271653463329</v>
      </c>
      <c r="S5" s="409">
        <f>'Staging Table'!DH7*Rates_current!$H$33</f>
        <v>0</v>
      </c>
      <c r="T5" s="409">
        <f>IF('Staging Table'!D7=1, 'Staging Table'!BJ7*-1*('Staging Table'!BH7/'Staging Table'!BG7),SUM(O5:S5)*'Staging Table'!BJ7*-1)</f>
        <v>0</v>
      </c>
      <c r="U5" s="407">
        <f>'Staging Table'!BM7*Rates_current!$H$32*-1</f>
        <v>0</v>
      </c>
      <c r="V5" s="407">
        <f>IF(Init!$R$12="No",0,'Staging Table'!$CY7*-1)</f>
        <v>0</v>
      </c>
      <c r="W5" s="407">
        <f>IF('Staging Table'!C7=1,"",SUM(O5:V5))</f>
        <v>210576.039493597</v>
      </c>
      <c r="X5" s="407">
        <f>IF('Staging Table'!C7=1,"",(RT1SC!$C$4*'Staging Table'!BH7*'Staging Table'!$BH$2)+SUM('Staging Table'!BN7:CK7)-IF(Init!$R$15="No",'Staging Table'!CX7, 0))</f>
        <v>4940.6399999999994</v>
      </c>
      <c r="Y5" s="169">
        <f>IF('Staging Table'!C7=1,"",IF(X5=0, 0, W5/X5))</f>
        <v>42.621206866640158</v>
      </c>
      <c r="Z5" s="160">
        <f>IF('Staging Table'!C7=1,"",Y5/N5-1)</f>
        <v>4.0043759629013742E-3</v>
      </c>
      <c r="AA5" s="97">
        <f t="shared" si="0"/>
        <v>117</v>
      </c>
      <c r="AB5" s="397"/>
      <c r="AC5" s="397"/>
      <c r="AD5" s="397"/>
    </row>
    <row r="6" spans="1:30">
      <c r="B6" s="274">
        <v>10024</v>
      </c>
      <c r="C6" s="275" t="s">
        <v>9</v>
      </c>
      <c r="D6" s="407">
        <f>IF(Init!$R$9="Yes",'Staging Table'!F8,'Staging Table'!BH8)*Rates_previous!$E$75*100*12</f>
        <v>36851827.519080006</v>
      </c>
      <c r="E6" s="407">
        <f>IF(Init!$R$9="Yes",'Staging Table'!F8,'Staging Table'!BH8)*Rates_previous!$E$76*100*12</f>
        <v>-5478411.5764800012</v>
      </c>
      <c r="F6" s="408">
        <f>IF(Init!$R$9="Yes",SUMPRODUCT('Staging Table'!L8:AI8,LS_Demand_Rates_Restatement!$C$4:$Z$4)-IF(Init!$R$15="No",('Staging Table'!AV8*Rates_previous!$H$35), 0),SUMPRODUCT('Staging Table'!BN8:CK8,LS_Demand_Rates_Restatement!$C$4:$Z$4)-IF(Init!$R$15="No", 'Staging Table'!CX8*Rates_previous!$H$35, 0))</f>
        <v>-273731.63047619944</v>
      </c>
      <c r="G6" s="408">
        <f>IF(Init!$R$9="Yes",SUMPRODUCT('Staging Table'!AJ8:AU8,LS_Demand_Rates_Restatement!$C$10:$N$10),SUMPRODUCT(LS_Demand_Rates_Restatement!$C$10:$N$10,'Staging Table'!CL8:CW8))*1000</f>
        <v>0</v>
      </c>
      <c r="H6" s="409">
        <f>IF(Init!$R$9="Yes",'Staging Table'!BF8,'Staging Table'!DH8)*Rates_previous!$H$33</f>
        <v>0</v>
      </c>
      <c r="I6" s="409">
        <f>IF(Init!$R$9="Yes",IF('Staging Table'!D8=1,'Staging Table'!H8*-1*('Staging Table'!F8/'Staging Table'!E8),'Staging Table'!H8*SUM(D6:H6)*(-1)),IF('Staging Table'!D8=1,'Staging Table'!BJ8*-1*('Staging Table'!BH8/'Staging Table'!BG8),'Staging Table'!BJ8*SUM(D6:H6)*(-1)))</f>
        <v>0</v>
      </c>
      <c r="J6" s="407">
        <f>IF(Init!$R$9="Yes",'Staging Table'!K8,'Staging Table'!BM8)*(-1)*Rates_previous!$H$32</f>
        <v>-3675055.3840000001</v>
      </c>
      <c r="K6" s="407">
        <f>IF(Init!$R$12="No",0,'Staging Table'!$AW8*-1)</f>
        <v>0</v>
      </c>
      <c r="L6" s="407">
        <f>IF('Staging Table'!C8=1,"",SUM(D6:K6))</f>
        <v>27424628.928123806</v>
      </c>
      <c r="M6" s="407">
        <f>IF('Staging Table'!C8=1,"",IF(Init!$R$9="Yes",(RT1SC!$C$3*'Staging Table'!F8*'Staging Table'!$F$2)+SUM('Staging Table'!L8:AI8)-IF(Init!$R$15="No",'Staging Table'!AV8, 0),X6))</f>
        <v>913202.24250899581</v>
      </c>
      <c r="N6" s="169">
        <f>IF('Staging Table'!C8=1,"",IF(M6=0, 0, L6/M6))</f>
        <v>30.031276371787545</v>
      </c>
      <c r="O6" s="407">
        <f>'Staging Table'!BH8*Rates_current!$E$75*100*12</f>
        <v>37785194.112959996</v>
      </c>
      <c r="P6" s="407">
        <f>'Staging Table'!BH8*Rates_current!$E$76*100*12</f>
        <v>-5314813.1887199981</v>
      </c>
      <c r="Q6" s="408">
        <f>SUMPRODUCT('Staging Table'!BN8:CK8, LS_Demand_Rates_Restatement!$C$5:$Z$5)-IF(Init!$R$15="No",('Staging Table'!CX8*Rates_current!$H$35), 0)</f>
        <v>-605673.97535884671</v>
      </c>
      <c r="R6" s="408">
        <f>SUMPRODUCT('Staging Table'!CL8:CW8, LS_Demand_Rates_Restatement!$C$11:$N$11)*1000</f>
        <v>0</v>
      </c>
      <c r="S6" s="409">
        <f>'Staging Table'!DH8*Rates_current!$H$33</f>
        <v>0</v>
      </c>
      <c r="T6" s="409">
        <f>IF('Staging Table'!D8=1, 'Staging Table'!BJ8*-1*('Staging Table'!BH8/'Staging Table'!BG8),SUM(O6:S6)*'Staging Table'!BJ8*-1)</f>
        <v>0</v>
      </c>
      <c r="U6" s="407">
        <f>'Staging Table'!BM8*Rates_current!$H$32*-1</f>
        <v>-3671932.9920000001</v>
      </c>
      <c r="V6" s="407">
        <f>IF(Init!$R$12="No",0,'Staging Table'!$CY8*-1)</f>
        <v>0</v>
      </c>
      <c r="W6" s="407">
        <f>IF('Staging Table'!C8=1,"",SUM(O6:V6))</f>
        <v>28192773.956881151</v>
      </c>
      <c r="X6" s="407">
        <f>IF('Staging Table'!C8=1,"",(RT1SC!$C$4*'Staging Table'!BH8*'Staging Table'!$BH$2)+SUM('Staging Table'!BN8:CK8)-IF(Init!$R$15="No",'Staging Table'!CX8, 0))</f>
        <v>893503.01316326903</v>
      </c>
      <c r="Y6" s="169">
        <f>IF('Staging Table'!C8=1,"",IF(X6=0, 0, W6/X6))</f>
        <v>31.553082129035317</v>
      </c>
      <c r="Z6" s="160">
        <f>IF('Staging Table'!C8=1,"",Y6/N6-1)</f>
        <v>5.0674028582994524E-2</v>
      </c>
      <c r="AA6" s="97">
        <f t="shared" si="0"/>
        <v>53</v>
      </c>
      <c r="AB6" s="397"/>
      <c r="AC6" s="397"/>
      <c r="AD6" s="397"/>
    </row>
    <row r="7" spans="1:30">
      <c r="B7" s="274">
        <v>10025</v>
      </c>
      <c r="C7" s="275" t="s">
        <v>10</v>
      </c>
      <c r="D7" s="407">
        <f>IF(Init!$R$9="Yes",'Staging Table'!F9,'Staging Table'!BH9)*Rates_previous!$E$75*100*12</f>
        <v>23423956.945199996</v>
      </c>
      <c r="E7" s="407">
        <f>IF(Init!$R$9="Yes",'Staging Table'!F9,'Staging Table'!BH9)*Rates_previous!$E$76*100*12</f>
        <v>-3482217.4512</v>
      </c>
      <c r="F7" s="408">
        <f>IF(Init!$R$9="Yes",SUMPRODUCT('Staging Table'!L9:AI9,LS_Demand_Rates_Restatement!$C$4:$Z$4)-IF(Init!$R$15="No",('Staging Table'!AV9*Rates_previous!$H$35), 0),SUMPRODUCT('Staging Table'!BN9:CK9,LS_Demand_Rates_Restatement!$C$4:$Z$4)-IF(Init!$R$15="No", 'Staging Table'!CX9*Rates_previous!$H$35, 0))</f>
        <v>-1007732.2378068962</v>
      </c>
      <c r="G7" s="408">
        <f>IF(Init!$R$9="Yes",SUMPRODUCT('Staging Table'!AJ9:AU9,LS_Demand_Rates_Restatement!$C$10:$N$10),SUMPRODUCT(LS_Demand_Rates_Restatement!$C$10:$N$10,'Staging Table'!CL9:CW9))*1000</f>
        <v>717507.05443244323</v>
      </c>
      <c r="H7" s="409">
        <f>IF(Init!$R$9="Yes",'Staging Table'!BF9,'Staging Table'!DH9)*Rates_previous!$H$33</f>
        <v>-67611.067408393123</v>
      </c>
      <c r="I7" s="409">
        <f>IF(Init!$R$9="Yes",IF('Staging Table'!D9=1,'Staging Table'!H9*-1*('Staging Table'!F9/'Staging Table'!E9),'Staging Table'!H9*SUM(D7:H7)*(-1)),IF('Staging Table'!D9=1,'Staging Table'!BJ9*-1*('Staging Table'!BH9/'Staging Table'!BG9),'Staging Table'!BJ9*SUM(D7:H7)*(-1)))</f>
        <v>-1236331.8117442986</v>
      </c>
      <c r="J7" s="407">
        <f>IF(Init!$R$9="Yes",'Staging Table'!K9,'Staging Table'!BM9)*(-1)*Rates_previous!$H$32</f>
        <v>-975743.08689000004</v>
      </c>
      <c r="K7" s="407">
        <f>IF(Init!$R$12="No",0,'Staging Table'!$AW9*-1)</f>
        <v>0</v>
      </c>
      <c r="L7" s="407">
        <f>IF('Staging Table'!C9=1,"",SUM(D7:K7))</f>
        <v>17371828.344582848</v>
      </c>
      <c r="M7" s="407">
        <f>IF('Staging Table'!C9=1,"",IF(Init!$R$9="Yes",(RT1SC!$C$3*'Staging Table'!F9*'Staging Table'!$F$2)+SUM('Staging Table'!L9:AI9)-IF(Init!$R$15="No",'Staging Table'!AV9, 0),X7))</f>
        <v>542537.38736628334</v>
      </c>
      <c r="N7" s="169">
        <f>IF('Staging Table'!C9=1,"",IF(M7=0, 0, L7/M7))</f>
        <v>32.019596711875273</v>
      </c>
      <c r="O7" s="407">
        <f>'Staging Table'!BH9*Rates_current!$E$75*100*12</f>
        <v>21534979.789439999</v>
      </c>
      <c r="P7" s="407">
        <f>'Staging Table'!BH9*Rates_current!$E$76*100*12</f>
        <v>-3029080.4980800003</v>
      </c>
      <c r="Q7" s="408">
        <f>SUMPRODUCT('Staging Table'!BN9:CK9, LS_Demand_Rates_Restatement!$C$5:$Z$5)-IF(Init!$R$15="No",('Staging Table'!CX9*Rates_current!$H$35), 0)</f>
        <v>-248735.15057369834</v>
      </c>
      <c r="R7" s="408">
        <f>SUMPRODUCT('Staging Table'!CL9:CW9, LS_Demand_Rates_Restatement!$C$11:$N$11)*1000</f>
        <v>832948.73732605099</v>
      </c>
      <c r="S7" s="409">
        <f>'Staging Table'!DH9*Rates_current!$H$33</f>
        <v>0</v>
      </c>
      <c r="T7" s="409">
        <f>IF('Staging Table'!D9=1, 'Staging Table'!BJ9*-1*('Staging Table'!BH9/'Staging Table'!BG9),SUM(O7:S7)*'Staging Table'!BJ9*-1)</f>
        <v>-1262655.7471181853</v>
      </c>
      <c r="U7" s="407">
        <f>'Staging Table'!BM9*Rates_current!$H$32*-1</f>
        <v>-974914.07831999997</v>
      </c>
      <c r="V7" s="407">
        <f>IF(Init!$R$12="No",0,'Staging Table'!$CY9*-1)</f>
        <v>0</v>
      </c>
      <c r="W7" s="407">
        <f>IF('Staging Table'!C9=1,"",SUM(O7:V7))</f>
        <v>16852543.052674167</v>
      </c>
      <c r="X7" s="407">
        <f>IF('Staging Table'!C9=1,"",(RT1SC!$C$4*'Staging Table'!BH9*'Staging Table'!$BH$2)+SUM('Staging Table'!BN9:CK9)-IF(Init!$R$15="No",'Staging Table'!CX9, 0))</f>
        <v>506423.80150216422</v>
      </c>
      <c r="Y7" s="169">
        <f>IF('Staging Table'!C9=1,"",IF(X7=0, 0, W7/X7))</f>
        <v>33.277549362186022</v>
      </c>
      <c r="Z7" s="160">
        <f>IF('Staging Table'!C9=1,"",Y7/N7-1)</f>
        <v>3.9286961095428286E-2</v>
      </c>
      <c r="AA7" s="97">
        <f t="shared" si="0"/>
        <v>100</v>
      </c>
      <c r="AB7" s="397"/>
      <c r="AC7" s="397"/>
      <c r="AD7" s="397"/>
    </row>
    <row r="8" spans="1:30">
      <c r="B8" s="274">
        <v>10027</v>
      </c>
      <c r="C8" s="275" t="s">
        <v>11</v>
      </c>
      <c r="D8" s="407">
        <f>IF(Init!$R$9="Yes",'Staging Table'!F10,'Staging Table'!BH10)*Rates_previous!$E$75*100*12</f>
        <v>21480087.835079998</v>
      </c>
      <c r="E8" s="407">
        <f>IF(Init!$R$9="Yes",'Staging Table'!F10,'Staging Table'!BH10)*Rates_previous!$E$76*100*12</f>
        <v>-3193240.8724799994</v>
      </c>
      <c r="F8" s="408">
        <f>IF(Init!$R$9="Yes",SUMPRODUCT('Staging Table'!L10:AI10,LS_Demand_Rates_Restatement!$C$4:$Z$4)-IF(Init!$R$15="No",('Staging Table'!AV10*Rates_previous!$H$35), 0),SUMPRODUCT('Staging Table'!BN10:CK10,LS_Demand_Rates_Restatement!$C$4:$Z$4)-IF(Init!$R$15="No", 'Staging Table'!CX10*Rates_previous!$H$35, 0))</f>
        <v>-278545.3997516114</v>
      </c>
      <c r="G8" s="408">
        <f>IF(Init!$R$9="Yes",SUMPRODUCT('Staging Table'!AJ10:AU10,LS_Demand_Rates_Restatement!$C$10:$N$10),SUMPRODUCT(LS_Demand_Rates_Restatement!$C$10:$N$10,'Staging Table'!CL10:CW10))*1000</f>
        <v>946038.85478826577</v>
      </c>
      <c r="H8" s="409">
        <f>IF(Init!$R$9="Yes",'Staging Table'!BF10,'Staging Table'!DH10)*Rates_previous!$H$33</f>
        <v>0</v>
      </c>
      <c r="I8" s="409">
        <f>IF(Init!$R$9="Yes",IF('Staging Table'!D10=1,'Staging Table'!H10*-1*('Staging Table'!F10/'Staging Table'!E10),'Staging Table'!H10*SUM(D8:H8)*(-1)),IF('Staging Table'!D10=1,'Staging Table'!BJ10*-1*('Staging Table'!BH10/'Staging Table'!BG10),'Staging Table'!BJ10*SUM(D8:H8)*(-1)))</f>
        <v>-1329078.3500846822</v>
      </c>
      <c r="J8" s="407">
        <f>IF(Init!$R$9="Yes",'Staging Table'!K10,'Staging Table'!BM10)*(-1)*Rates_previous!$H$32</f>
        <v>-2467810.4857999999</v>
      </c>
      <c r="K8" s="407">
        <f>IF(Init!$R$12="No",0,'Staging Table'!$AW10*-1)</f>
        <v>0</v>
      </c>
      <c r="L8" s="407">
        <f>IF('Staging Table'!C10=1,"",SUM(D8:K8))</f>
        <v>15157451.581751974</v>
      </c>
      <c r="M8" s="407">
        <f>IF('Staging Table'!C10=1,"",IF(Init!$R$9="Yes",(RT1SC!$C$3*'Staging Table'!F10*'Staging Table'!$F$2)+SUM('Staging Table'!L10:AI10)-IF(Init!$R$15="No",'Staging Table'!AV10, 0),X8))</f>
        <v>532284.04800000007</v>
      </c>
      <c r="N8" s="169">
        <f>IF('Staging Table'!C10=1,"",IF(M8=0, 0, L8/M8))</f>
        <v>28.476246167256871</v>
      </c>
      <c r="O8" s="407">
        <f>'Staging Table'!BH10*Rates_current!$E$75*100*12</f>
        <v>22088857.248</v>
      </c>
      <c r="P8" s="407">
        <f>'Staging Table'!BH10*Rates_current!$E$76*100*12</f>
        <v>-3106988.1359999999</v>
      </c>
      <c r="Q8" s="408">
        <f>SUMPRODUCT('Staging Table'!BN10:CK10, LS_Demand_Rates_Restatement!$C$5:$Z$5)-IF(Init!$R$15="No",('Staging Table'!CX10*Rates_current!$H$35), 0)</f>
        <v>-630263.8006527801</v>
      </c>
      <c r="R8" s="408">
        <f>SUMPRODUCT('Staging Table'!CL10:CW10, LS_Demand_Rates_Restatement!$C$11:$N$11)*1000</f>
        <v>855574.82225295587</v>
      </c>
      <c r="S8" s="409">
        <f>'Staging Table'!DH10*Rates_current!$H$33</f>
        <v>0</v>
      </c>
      <c r="T8" s="409">
        <f>IF('Staging Table'!D10=1, 'Staging Table'!BJ10*-1*('Staging Table'!BH10/'Staging Table'!BG10),SUM(O8:S8)*'Staging Table'!BJ10*-1)</f>
        <v>-1423303.3419037173</v>
      </c>
      <c r="U8" s="407">
        <f>'Staging Table'!BM10*Rates_current!$H$32*-1</f>
        <v>-2465713.7903999998</v>
      </c>
      <c r="V8" s="407">
        <f>IF(Init!$R$12="No",0,'Staging Table'!$CY10*-1)</f>
        <v>0</v>
      </c>
      <c r="W8" s="407">
        <f>IF('Staging Table'!C10=1,"",SUM(O8:V8))</f>
        <v>15318163.001296459</v>
      </c>
      <c r="X8" s="407">
        <f>IF('Staging Table'!C10=1,"",(RT1SC!$C$4*'Staging Table'!BH10*'Staging Table'!$BH$2)+SUM('Staging Table'!BN10:CK10)-IF(Init!$R$15="No",'Staging Table'!CX10, 0))</f>
        <v>527457.12</v>
      </c>
      <c r="Y8" s="169">
        <f>IF('Staging Table'!C10=1,"",IF(X8=0, 0, W8/X8))</f>
        <v>29.041532326450458</v>
      </c>
      <c r="Z8" s="160">
        <f>IF('Staging Table'!C10=1,"",Y8/N8-1)</f>
        <v>1.9851147369402078E-2</v>
      </c>
      <c r="AA8" s="97">
        <f t="shared" si="0"/>
        <v>112</v>
      </c>
      <c r="AB8" s="397"/>
      <c r="AC8" s="397"/>
      <c r="AD8" s="397"/>
    </row>
    <row r="9" spans="1:30">
      <c r="B9" s="274">
        <v>10029</v>
      </c>
      <c r="C9" s="275" t="s">
        <v>12</v>
      </c>
      <c r="D9" s="407">
        <f>IF(Init!$R$9="Yes",'Staging Table'!F11,'Staging Table'!BH11)*Rates_previous!$E$75*100*12</f>
        <v>6183350.3591999998</v>
      </c>
      <c r="E9" s="407">
        <f>IF(Init!$R$9="Yes",'Staging Table'!F11,'Staging Table'!BH11)*Rates_previous!$E$76*100*12</f>
        <v>-919220.03519999993</v>
      </c>
      <c r="F9" s="408">
        <f>IF(Init!$R$9="Yes",SUMPRODUCT('Staging Table'!L11:AI11,LS_Demand_Rates_Restatement!$C$4:$Z$4)-IF(Init!$R$15="No",('Staging Table'!AV11*Rates_previous!$H$35), 0),SUMPRODUCT('Staging Table'!BN11:CK11,LS_Demand_Rates_Restatement!$C$4:$Z$4)-IF(Init!$R$15="No", 'Staging Table'!CX11*Rates_previous!$H$35, 0))</f>
        <v>0</v>
      </c>
      <c r="G9" s="408">
        <f>IF(Init!$R$9="Yes",SUMPRODUCT('Staging Table'!AJ11:AU11,LS_Demand_Rates_Restatement!$C$10:$N$10),SUMPRODUCT(LS_Demand_Rates_Restatement!$C$10:$N$10,'Staging Table'!CL11:CW11))*1000</f>
        <v>0</v>
      </c>
      <c r="H9" s="409">
        <f>IF(Init!$R$9="Yes",'Staging Table'!BF11,'Staging Table'!DH11)*Rates_previous!$H$33</f>
        <v>0</v>
      </c>
      <c r="I9" s="409">
        <f>IF(Init!$R$9="Yes",IF('Staging Table'!D11=1,'Staging Table'!H11*-1*('Staging Table'!F11/'Staging Table'!E11),'Staging Table'!H11*SUM(D9:H9)*(-1)),IF('Staging Table'!D11=1,'Staging Table'!BJ11*-1*('Staging Table'!BH11/'Staging Table'!BG11),'Staging Table'!BJ11*SUM(D9:H9)*(-1)))</f>
        <v>-326428.72139124002</v>
      </c>
      <c r="J9" s="407">
        <f>IF(Init!$R$9="Yes",'Staging Table'!K11,'Staging Table'!BM11)*(-1)*Rates_previous!$H$32</f>
        <v>0</v>
      </c>
      <c r="K9" s="407">
        <f>IF(Init!$R$12="No",0,'Staging Table'!$AW11*-1)</f>
        <v>0</v>
      </c>
      <c r="L9" s="407" t="str">
        <f>IF('Staging Table'!C11=1,"",SUM(D9:K9))</f>
        <v/>
      </c>
      <c r="M9" s="407" t="str">
        <f>IF('Staging Table'!C11=1,"",IF(Init!$R$9="Yes",(RT1SC!$C$3*'Staging Table'!F11*'Staging Table'!$F$2)+SUM('Staging Table'!L11:AI11)-IF(Init!$R$15="No",'Staging Table'!AV11, 0),X9))</f>
        <v/>
      </c>
      <c r="N9" s="169" t="str">
        <f>IF('Staging Table'!C11=1,"",IF(M9=0, 0, L9/M9))</f>
        <v/>
      </c>
      <c r="O9" s="407">
        <f>'Staging Table'!BH11*Rates_current!$E$75*100*12</f>
        <v>6358635.5155199999</v>
      </c>
      <c r="P9" s="407">
        <f>'Staging Table'!BH11*Rates_current!$E$76*100*12</f>
        <v>-894396.88463999983</v>
      </c>
      <c r="Q9" s="408">
        <f>SUMPRODUCT('Staging Table'!BN11:CK11, LS_Demand_Rates_Restatement!$C$5:$Z$5)-IF(Init!$R$15="No",('Staging Table'!CX11*Rates_current!$H$35), 0)</f>
        <v>0</v>
      </c>
      <c r="R9" s="408">
        <f>SUMPRODUCT('Staging Table'!CL11:CW11, LS_Demand_Rates_Restatement!$C$11:$N$11)*1000</f>
        <v>0</v>
      </c>
      <c r="S9" s="409">
        <f>'Staging Table'!DH11*Rates_current!$H$33</f>
        <v>0</v>
      </c>
      <c r="T9" s="409">
        <f>IF('Staging Table'!D11=1, 'Staging Table'!BJ11*-1*('Staging Table'!BH11/'Staging Table'!BG11),SUM(O9:S9)*'Staging Table'!BJ11*-1)</f>
        <v>-347191.78958984371</v>
      </c>
      <c r="U9" s="407">
        <f>'Staging Table'!BM11*Rates_current!$H$32*-1</f>
        <v>0</v>
      </c>
      <c r="V9" s="407">
        <f>IF(Init!$R$12="No",0,'Staging Table'!$CY11*-1)</f>
        <v>0</v>
      </c>
      <c r="W9" s="407" t="str">
        <f>IF('Staging Table'!C11=1,"",SUM(O9:V9))</f>
        <v/>
      </c>
      <c r="X9" s="407" t="str">
        <f>IF('Staging Table'!C11=1,"",(RT1SC!$C$4*'Staging Table'!BH11*'Staging Table'!$BH$2)+SUM('Staging Table'!BN11:CK11)-IF(Init!$R$15="No",'Staging Table'!CX11, 0))</f>
        <v/>
      </c>
      <c r="Y9" s="169" t="str">
        <f>IF('Staging Table'!C11=1,"",IF(X9=0, 0, W9/X9))</f>
        <v/>
      </c>
      <c r="Z9" s="160" t="str">
        <f>IF('Staging Table'!C11=1,"",Y9/N9-1)</f>
        <v/>
      </c>
      <c r="AA9" s="97" t="str">
        <f t="shared" si="0"/>
        <v/>
      </c>
      <c r="AB9" s="397"/>
      <c r="AC9" s="397"/>
      <c r="AD9" s="397"/>
    </row>
    <row r="10" spans="1:30">
      <c r="B10" s="274">
        <v>10044</v>
      </c>
      <c r="C10" s="275" t="s">
        <v>13</v>
      </c>
      <c r="D10" s="407">
        <f>IF(Init!$R$9="Yes",'Staging Table'!F12,'Staging Table'!BH12)*Rates_previous!$E$75*100*12</f>
        <v>7128922.7520000003</v>
      </c>
      <c r="E10" s="407">
        <f>IF(Init!$R$9="Yes",'Staging Table'!F12,'Staging Table'!BH12)*Rates_previous!$E$76*100*12</f>
        <v>-1059789.3120000002</v>
      </c>
      <c r="F10" s="408">
        <f>IF(Init!$R$9="Yes",SUMPRODUCT('Staging Table'!L12:AI12,LS_Demand_Rates_Restatement!$C$4:$Z$4)-IF(Init!$R$15="No",('Staging Table'!AV12*Rates_previous!$H$35), 0),SUMPRODUCT('Staging Table'!BN12:CK12,LS_Demand_Rates_Restatement!$C$4:$Z$4)-IF(Init!$R$15="No", 'Staging Table'!CX12*Rates_previous!$H$35, 0))</f>
        <v>-223811.15023815469</v>
      </c>
      <c r="G10" s="408">
        <f>IF(Init!$R$9="Yes",SUMPRODUCT('Staging Table'!AJ12:AU12,LS_Demand_Rates_Restatement!$C$10:$N$10),SUMPRODUCT(LS_Demand_Rates_Restatement!$C$10:$N$10,'Staging Table'!CL12:CW12))*1000</f>
        <v>276884.06033333333</v>
      </c>
      <c r="H10" s="409">
        <f>IF(Init!$R$9="Yes",'Staging Table'!BF12,'Staging Table'!DH12)*Rates_previous!$H$33</f>
        <v>0</v>
      </c>
      <c r="I10" s="409">
        <f>IF(Init!$R$9="Yes",IF('Staging Table'!D12=1,'Staging Table'!H12*-1*('Staging Table'!F12/'Staging Table'!E12),'Staging Table'!H12*SUM(D10:H10)*(-1)),IF('Staging Table'!D12=1,'Staging Table'!BJ12*-1*('Staging Table'!BH12/'Staging Table'!BG12),'Staging Table'!BJ12*SUM(D10:H10)*(-1)))</f>
        <v>0</v>
      </c>
      <c r="J10" s="407">
        <f>IF(Init!$R$9="Yes",'Staging Table'!K12,'Staging Table'!BM12)*(-1)*Rates_previous!$H$32</f>
        <v>0</v>
      </c>
      <c r="K10" s="407">
        <f>IF(Init!$R$12="No",0,'Staging Table'!$AW12*-1)</f>
        <v>0</v>
      </c>
      <c r="L10" s="407">
        <f>IF('Staging Table'!C12=1,"",SUM(D10:K10))</f>
        <v>6122206.3500951789</v>
      </c>
      <c r="M10" s="407">
        <f>IF('Staging Table'!C12=1,"",IF(Init!$R$9="Yes",(RT1SC!$C$3*'Staging Table'!F12*'Staging Table'!$F$2)+SUM('Staging Table'!L12:AI12)-IF(Init!$R$15="No",'Staging Table'!AV12, 0),X10))</f>
        <v>165323.53741581904</v>
      </c>
      <c r="N10" s="169">
        <f>IF('Staging Table'!C12=1,"",IF(M10=0, 0, L10/M10))</f>
        <v>37.03166799955838</v>
      </c>
      <c r="O10" s="407">
        <f>'Staging Table'!BH12*Rates_current!$E$75*100*12</f>
        <v>7330850.9625599999</v>
      </c>
      <c r="P10" s="407">
        <f>'Staging Table'!BH12*Rates_current!$E$76*100*12</f>
        <v>-1031147.36592</v>
      </c>
      <c r="Q10" s="408">
        <f>SUMPRODUCT('Staging Table'!BN12:CK12, LS_Demand_Rates_Restatement!$C$5:$Z$5)-IF(Init!$R$15="No",('Staging Table'!CX12*Rates_current!$H$35), 0)</f>
        <v>100257.09772296103</v>
      </c>
      <c r="R10" s="408">
        <f>SUMPRODUCT('Staging Table'!CL12:CW12, LS_Demand_Rates_Restatement!$C$11:$N$11)*1000</f>
        <v>253628.26207773326</v>
      </c>
      <c r="S10" s="409">
        <f>'Staging Table'!DH12*Rates_current!$H$33</f>
        <v>0</v>
      </c>
      <c r="T10" s="409">
        <f>IF('Staging Table'!D12=1, 'Staging Table'!BJ12*-1*('Staging Table'!BH12/'Staging Table'!BG12),SUM(O10:S10)*'Staging Table'!BJ12*-1)</f>
        <v>0</v>
      </c>
      <c r="U10" s="407">
        <f>'Staging Table'!BM12*Rates_current!$H$32*-1</f>
        <v>0</v>
      </c>
      <c r="V10" s="407">
        <f>IF(Init!$R$12="No",0,'Staging Table'!$CY12*-1)</f>
        <v>0</v>
      </c>
      <c r="W10" s="407">
        <f>IF('Staging Table'!C12=1,"",SUM(O10:V10))</f>
        <v>6653588.9564406937</v>
      </c>
      <c r="X10" s="407">
        <f>IF('Staging Table'!C12=1,"",(RT1SC!$C$4*'Staging Table'!BH12*'Staging Table'!$BH$2)+SUM('Staging Table'!BN12:CK12)-IF(Init!$R$15="No",'Staging Table'!CX12, 0))</f>
        <v>175051.08000000002</v>
      </c>
      <c r="Y10" s="169">
        <f>IF('Staging Table'!C12=1,"",IF(X10=0, 0, W10/X10))</f>
        <v>38.009413917587331</v>
      </c>
      <c r="Z10" s="160">
        <f>IF('Staging Table'!C12=1,"",Y10/N10-1)</f>
        <v>2.6402967266843325E-2</v>
      </c>
      <c r="AA10" s="97">
        <f t="shared" si="0"/>
        <v>109</v>
      </c>
      <c r="AB10" s="397"/>
      <c r="AC10" s="397"/>
      <c r="AD10" s="397"/>
    </row>
    <row r="11" spans="1:30">
      <c r="B11" s="274">
        <v>10046</v>
      </c>
      <c r="C11" s="275" t="s">
        <v>14</v>
      </c>
      <c r="D11" s="407">
        <f>IF(Init!$R$9="Yes",'Staging Table'!F13,'Staging Table'!BH13)*Rates_previous!$E$75*100*12</f>
        <v>28730796.350759998</v>
      </c>
      <c r="E11" s="407">
        <f>IF(Init!$R$9="Yes",'Staging Table'!F13,'Staging Table'!BH13)*Rates_previous!$E$76*100*12</f>
        <v>-4271134.9185600001</v>
      </c>
      <c r="F11" s="408">
        <f>IF(Init!$R$9="Yes",SUMPRODUCT('Staging Table'!L13:AI13,LS_Demand_Rates_Restatement!$C$4:$Z$4)-IF(Init!$R$15="No",('Staging Table'!AV13*Rates_previous!$H$35), 0),SUMPRODUCT('Staging Table'!BN13:CK13,LS_Demand_Rates_Restatement!$C$4:$Z$4)-IF(Init!$R$15="No", 'Staging Table'!CX13*Rates_previous!$H$35, 0))</f>
        <v>0</v>
      </c>
      <c r="G11" s="408">
        <f>IF(Init!$R$9="Yes",SUMPRODUCT('Staging Table'!AJ13:AU13,LS_Demand_Rates_Restatement!$C$10:$N$10),SUMPRODUCT(LS_Demand_Rates_Restatement!$C$10:$N$10,'Staging Table'!CL13:CW13))*1000</f>
        <v>0</v>
      </c>
      <c r="H11" s="409">
        <f>IF(Init!$R$9="Yes",'Staging Table'!BF13,'Staging Table'!DH13)*Rates_previous!$H$33</f>
        <v>0</v>
      </c>
      <c r="I11" s="409">
        <f>IF(Init!$R$9="Yes",IF('Staging Table'!D13=1,'Staging Table'!H13*-1*('Staging Table'!F13/'Staging Table'!E13),'Staging Table'!H13*SUM(D11:H11)*(-1)),IF('Staging Table'!D13=1,'Staging Table'!BJ13*-1*('Staging Table'!BH13/'Staging Table'!BG13),'Staging Table'!BJ13*SUM(D11:H11)*(-1)))</f>
        <v>-1738592.7346007761</v>
      </c>
      <c r="J11" s="407">
        <f>IF(Init!$R$9="Yes",'Staging Table'!K13,'Staging Table'!BM13)*(-1)*Rates_previous!$H$32</f>
        <v>-483575.82889</v>
      </c>
      <c r="K11" s="407">
        <f>IF(Init!$R$12="No",0,'Staging Table'!$AW13*-1)</f>
        <v>0</v>
      </c>
      <c r="L11" s="407" t="str">
        <f>IF('Staging Table'!C13=1,"",SUM(D11:K11))</f>
        <v/>
      </c>
      <c r="M11" s="407" t="str">
        <f>IF('Staging Table'!C13=1,"",IF(Init!$R$9="Yes",(RT1SC!$C$3*'Staging Table'!F13*'Staging Table'!$F$2)+SUM('Staging Table'!L13:AI13)-IF(Init!$R$15="No",'Staging Table'!AV13, 0),X11))</f>
        <v/>
      </c>
      <c r="N11" s="169" t="str">
        <f>IF('Staging Table'!C13=1,"",IF(M11=0, 0, L11/M11))</f>
        <v/>
      </c>
      <c r="O11" s="407">
        <f>'Staging Table'!BH13*Rates_current!$E$75*100*12</f>
        <v>29545311.516479999</v>
      </c>
      <c r="P11" s="407">
        <f>'Staging Table'!BH13*Rates_current!$E$76*100*12</f>
        <v>-4155802.6893600002</v>
      </c>
      <c r="Q11" s="408">
        <f>SUMPRODUCT('Staging Table'!BN13:CK13, LS_Demand_Rates_Restatement!$C$5:$Z$5)-IF(Init!$R$15="No",('Staging Table'!CX13*Rates_current!$H$35), 0)</f>
        <v>0</v>
      </c>
      <c r="R11" s="408">
        <f>SUMPRODUCT('Staging Table'!CL13:CW13, LS_Demand_Rates_Restatement!$C$11:$N$11)*1000</f>
        <v>0</v>
      </c>
      <c r="S11" s="409">
        <f>'Staging Table'!DH13*Rates_current!$H$33</f>
        <v>0</v>
      </c>
      <c r="T11" s="409">
        <f>IF('Staging Table'!D13=1, 'Staging Table'!BJ13*-1*('Staging Table'!BH13/'Staging Table'!BG13),SUM(O11:S11)*'Staging Table'!BJ13*-1)</f>
        <v>-1822945.7379556368</v>
      </c>
      <c r="U11" s="407">
        <f>'Staging Table'!BM13*Rates_current!$H$32*-1</f>
        <v>-483164.97432000004</v>
      </c>
      <c r="V11" s="407">
        <f>IF(Init!$R$12="No",0,'Staging Table'!$CY13*-1)</f>
        <v>0</v>
      </c>
      <c r="W11" s="407" t="str">
        <f>IF('Staging Table'!C13=1,"",SUM(O11:V11))</f>
        <v/>
      </c>
      <c r="X11" s="407" t="str">
        <f>IF('Staging Table'!C13=1,"",(RT1SC!$C$4*'Staging Table'!BH13*'Staging Table'!$BH$2)+SUM('Staging Table'!BN13:CK13)-IF(Init!$R$15="No",'Staging Table'!CX13, 0))</f>
        <v/>
      </c>
      <c r="Y11" s="169" t="str">
        <f>IF('Staging Table'!C13=1,"",IF(X11=0, 0, W11/X11))</f>
        <v/>
      </c>
      <c r="Z11" s="160" t="str">
        <f>IF('Staging Table'!C13=1,"",Y11/N11-1)</f>
        <v/>
      </c>
      <c r="AA11" s="97" t="str">
        <f t="shared" si="0"/>
        <v/>
      </c>
      <c r="AB11" s="397"/>
      <c r="AC11" s="397"/>
      <c r="AD11" s="397"/>
    </row>
    <row r="12" spans="1:30">
      <c r="B12" s="274">
        <v>10047</v>
      </c>
      <c r="C12" s="275" t="s">
        <v>15</v>
      </c>
      <c r="D12" s="407">
        <f>IF(Init!$R$9="Yes",'Staging Table'!F14,'Staging Table'!BH14)*Rates_previous!$E$75*100*12</f>
        <v>54271399.769999996</v>
      </c>
      <c r="E12" s="407">
        <f>IF(Init!$R$9="Yes",'Staging Table'!F14,'Staging Table'!BH14)*Rates_previous!$E$76*100*12</f>
        <v>-8068014.1200000001</v>
      </c>
      <c r="F12" s="408">
        <f>IF(Init!$R$9="Yes",SUMPRODUCT('Staging Table'!L14:AI14,LS_Demand_Rates_Restatement!$C$4:$Z$4)-IF(Init!$R$15="No",('Staging Table'!AV14*Rates_previous!$H$35), 0),SUMPRODUCT('Staging Table'!BN14:CK14,LS_Demand_Rates_Restatement!$C$4:$Z$4)-IF(Init!$R$15="No", 'Staging Table'!CX14*Rates_previous!$H$35, 0))</f>
        <v>103253.447050944</v>
      </c>
      <c r="G12" s="408">
        <f>IF(Init!$R$9="Yes",SUMPRODUCT('Staging Table'!AJ14:AU14,LS_Demand_Rates_Restatement!$C$10:$N$10),SUMPRODUCT(LS_Demand_Rates_Restatement!$C$10:$N$10,'Staging Table'!CL14:CW14))*1000</f>
        <v>1787498.3079689103</v>
      </c>
      <c r="H12" s="409">
        <f>IF(Init!$R$9="Yes",'Staging Table'!BF14,'Staging Table'!DH14)*Rates_previous!$H$33</f>
        <v>-8542.8592847352029</v>
      </c>
      <c r="I12" s="409">
        <f>IF(Init!$R$9="Yes",IF('Staging Table'!D14=1,'Staging Table'!H14*-1*('Staging Table'!F14/'Staging Table'!E14),'Staging Table'!H14*SUM(D12:H12)*(-1)),IF('Staging Table'!D14=1,'Staging Table'!BJ14*-1*('Staging Table'!BH14/'Staging Table'!BG14),'Staging Table'!BJ14*SUM(D12:H12)*(-1)))</f>
        <v>0</v>
      </c>
      <c r="J12" s="407">
        <f>IF(Init!$R$9="Yes",'Staging Table'!K14,'Staging Table'!BM14)*(-1)*Rates_previous!$H$32</f>
        <v>0</v>
      </c>
      <c r="K12" s="407">
        <f>IF(Init!$R$12="No",0,'Staging Table'!$AW14*-1)</f>
        <v>0</v>
      </c>
      <c r="L12" s="407">
        <f>IF('Staging Table'!C14=1,"",SUM(D12:K12))</f>
        <v>48085594.545735113</v>
      </c>
      <c r="M12" s="407">
        <f>IF('Staging Table'!C14=1,"",IF(Init!$R$9="Yes",(RT1SC!$C$3*'Staging Table'!F14*'Staging Table'!$F$2)+SUM('Staging Table'!L14:AI14)-IF(Init!$R$15="No",'Staging Table'!AV14, 0),X12))</f>
        <v>1343900.2411655667</v>
      </c>
      <c r="N12" s="169">
        <f>IF('Staging Table'!C14=1,"",IF(M12=0, 0, L12/M12))</f>
        <v>35.780627960919482</v>
      </c>
      <c r="O12" s="407">
        <f>'Staging Table'!BH14*Rates_current!$E$75*100*12</f>
        <v>56078436.651839986</v>
      </c>
      <c r="P12" s="407">
        <f>'Staging Table'!BH14*Rates_current!$E$76*100*12</f>
        <v>-7887915.4048800003</v>
      </c>
      <c r="Q12" s="408">
        <f>SUMPRODUCT('Staging Table'!BN14:CK14, LS_Demand_Rates_Restatement!$C$5:$Z$5)-IF(Init!$R$15="No",('Staging Table'!CX14*Rates_current!$H$35), 0)</f>
        <v>514338.88341563038</v>
      </c>
      <c r="R12" s="408">
        <f>SUMPRODUCT('Staging Table'!CL14:CW14, LS_Demand_Rates_Restatement!$C$11:$N$11)*1000</f>
        <v>1701446.8931888714</v>
      </c>
      <c r="S12" s="409">
        <f>'Staging Table'!DH14*Rates_current!$H$33</f>
        <v>61348.123585347435</v>
      </c>
      <c r="T12" s="409">
        <f>IF('Staging Table'!D14=1, 'Staging Table'!BJ14*-1*('Staging Table'!BH14/'Staging Table'!BG14),SUM(O12:S12)*'Staging Table'!BJ14*-1)</f>
        <v>0</v>
      </c>
      <c r="U12" s="407">
        <f>'Staging Table'!BM14*Rates_current!$H$32*-1</f>
        <v>0</v>
      </c>
      <c r="V12" s="407">
        <f>IF(Init!$R$12="No",0,'Staging Table'!$CY14*-1)</f>
        <v>0</v>
      </c>
      <c r="W12" s="407">
        <f>IF('Staging Table'!C14=1,"",SUM(O12:V12))</f>
        <v>50467655.147149839</v>
      </c>
      <c r="X12" s="407">
        <f>IF('Staging Table'!C14=1,"",(RT1SC!$C$4*'Staging Table'!BH14*'Staging Table'!$BH$2)+SUM('Staging Table'!BN14:CK14)-IF(Init!$R$15="No",'Staging Table'!CX14, 0))</f>
        <v>1343900.2575361058</v>
      </c>
      <c r="Y12" s="169">
        <f>IF('Staging Table'!C14=1,"",IF(X12=0, 0, W12/X12))</f>
        <v>37.553125586624091</v>
      </c>
      <c r="Z12" s="160">
        <f>IF('Staging Table'!C14=1,"",Y12/N12-1)</f>
        <v>4.9537912739837209E-2</v>
      </c>
      <c r="AA12" s="97">
        <f t="shared" si="0"/>
        <v>62</v>
      </c>
      <c r="AB12" s="397"/>
      <c r="AC12" s="397"/>
      <c r="AD12" s="397"/>
    </row>
    <row r="13" spans="1:30">
      <c r="B13" s="274">
        <v>10055</v>
      </c>
      <c r="C13" s="275" t="s">
        <v>16</v>
      </c>
      <c r="D13" s="407">
        <f>IF(Init!$R$9="Yes",'Staging Table'!F15,'Staging Table'!BH15)*Rates_previous!$E$75*100*12</f>
        <v>139608.07056000002</v>
      </c>
      <c r="E13" s="407">
        <f>IF(Init!$R$9="Yes",'Staging Table'!F15,'Staging Table'!BH15)*Rates_previous!$E$76*100*12</f>
        <v>-20754.20736</v>
      </c>
      <c r="F13" s="408">
        <f>IF(Init!$R$9="Yes",SUMPRODUCT('Staging Table'!L15:AI15,LS_Demand_Rates_Restatement!$C$4:$Z$4)-IF(Init!$R$15="No",('Staging Table'!AV15*Rates_previous!$H$35), 0),SUMPRODUCT('Staging Table'!BN15:CK15,LS_Demand_Rates_Restatement!$C$4:$Z$4)-IF(Init!$R$15="No", 'Staging Table'!CX15*Rates_previous!$H$35, 0))</f>
        <v>-4126.5770832846902</v>
      </c>
      <c r="G13" s="408">
        <f>IF(Init!$R$9="Yes",SUMPRODUCT('Staging Table'!AJ15:AU15,LS_Demand_Rates_Restatement!$C$10:$N$10),SUMPRODUCT(LS_Demand_Rates_Restatement!$C$10:$N$10,'Staging Table'!CL15:CW15))*1000</f>
        <v>13552.647198210467</v>
      </c>
      <c r="H13" s="409">
        <f>IF(Init!$R$9="Yes",'Staging Table'!BF15,'Staging Table'!DH15)*Rates_previous!$H$33</f>
        <v>-1789.938977933358</v>
      </c>
      <c r="I13" s="409">
        <f>IF(Init!$R$9="Yes",IF('Staging Table'!D15=1,'Staging Table'!H15*-1*('Staging Table'!F15/'Staging Table'!E15),'Staging Table'!H15*SUM(D13:H13)*(-1)),IF('Staging Table'!D15=1,'Staging Table'!BJ15*-1*('Staging Table'!BH15/'Staging Table'!BG15),'Staging Table'!BJ15*SUM(D13:H13)*(-1)))</f>
        <v>0</v>
      </c>
      <c r="J13" s="407">
        <f>IF(Init!$R$9="Yes",'Staging Table'!K15,'Staging Table'!BM15)*(-1)*Rates_previous!$H$32</f>
        <v>0</v>
      </c>
      <c r="K13" s="407">
        <f>IF(Init!$R$12="No",0,'Staging Table'!$AW15*-1)</f>
        <v>0</v>
      </c>
      <c r="L13" s="407">
        <f>IF('Staging Table'!C15=1,"",SUM(D13:K13))</f>
        <v>126489.99433699244</v>
      </c>
      <c r="M13" s="407">
        <f>IF('Staging Table'!C15=1,"",IF(Init!$R$9="Yes",(RT1SC!$C$3*'Staging Table'!F15*'Staging Table'!$F$2)+SUM('Staging Table'!L15:AI15)-IF(Init!$R$15="No",'Staging Table'!AV15, 0),X13))</f>
        <v>3258.6430081431236</v>
      </c>
      <c r="N13" s="169">
        <f>IF('Staging Table'!C15=1,"",IF(M13=0, 0, L13/M13))</f>
        <v>38.816769440807938</v>
      </c>
      <c r="O13" s="407">
        <f>'Staging Table'!BH15*Rates_current!$E$75*100*12</f>
        <v>143437.44672000001</v>
      </c>
      <c r="P13" s="407">
        <f>'Staging Table'!BH15*Rates_current!$E$76*100*12</f>
        <v>-20175.713039999999</v>
      </c>
      <c r="Q13" s="408">
        <f>SUMPRODUCT('Staging Table'!BN15:CK15, LS_Demand_Rates_Restatement!$C$5:$Z$5)-IF(Init!$R$15="No",('Staging Table'!CX15*Rates_current!$H$35), 0)</f>
        <v>-1154.5851408702922</v>
      </c>
      <c r="R13" s="408">
        <f>SUMPRODUCT('Staging Table'!CL15:CW15, LS_Demand_Rates_Restatement!$C$11:$N$11)*1000</f>
        <v>13953.626133404556</v>
      </c>
      <c r="S13" s="409">
        <f>'Staging Table'!DH15*Rates_current!$H$33</f>
        <v>-2123.0911128894036</v>
      </c>
      <c r="T13" s="409">
        <f>IF('Staging Table'!D15=1, 'Staging Table'!BJ15*-1*('Staging Table'!BH15/'Staging Table'!BG15),SUM(O13:S13)*'Staging Table'!BJ15*-1)</f>
        <v>0</v>
      </c>
      <c r="U13" s="407">
        <f>'Staging Table'!BM15*Rates_current!$H$32*-1</f>
        <v>0</v>
      </c>
      <c r="V13" s="407">
        <f>IF(Init!$R$12="No",0,'Staging Table'!$CY15*-1)</f>
        <v>0</v>
      </c>
      <c r="W13" s="407">
        <f>IF('Staging Table'!C15=1,"",SUM(O13:V13))</f>
        <v>133937.68355964485</v>
      </c>
      <c r="X13" s="407">
        <f>IF('Staging Table'!C15=1,"",(RT1SC!$C$4*'Staging Table'!BH15*'Staging Table'!$BH$2)+SUM('Staging Table'!BN15:CK15)-IF(Init!$R$15="No",'Staging Table'!CX15, 0))</f>
        <v>3258.6430499694588</v>
      </c>
      <c r="Y13" s="169">
        <f>IF('Staging Table'!C15=1,"",IF(X13=0, 0, W13/X13))</f>
        <v>41.102287518389033</v>
      </c>
      <c r="Z13" s="160">
        <f>IF('Staging Table'!C15=1,"",Y13/N13-1)</f>
        <v>5.8879657181834855E-2</v>
      </c>
      <c r="AA13" s="97">
        <f t="shared" si="0"/>
        <v>25</v>
      </c>
      <c r="AB13" s="397"/>
      <c r="AC13" s="397"/>
      <c r="AD13" s="397"/>
    </row>
    <row r="14" spans="1:30">
      <c r="B14" s="274">
        <v>10057</v>
      </c>
      <c r="C14" s="275" t="s">
        <v>17</v>
      </c>
      <c r="D14" s="407">
        <f>IF(Init!$R$9="Yes",'Staging Table'!F16,'Staging Table'!BH16)*Rates_previous!$E$75*100*12</f>
        <v>7395267.2270399993</v>
      </c>
      <c r="E14" s="407">
        <f>IF(Init!$R$9="Yes",'Staging Table'!F16,'Staging Table'!BH16)*Rates_previous!$E$76*100*12</f>
        <v>-1099384.2182399998</v>
      </c>
      <c r="F14" s="408">
        <f>IF(Init!$R$9="Yes",SUMPRODUCT('Staging Table'!L16:AI16,LS_Demand_Rates_Restatement!$C$4:$Z$4)-IF(Init!$R$15="No",('Staging Table'!AV16*Rates_previous!$H$35), 0),SUMPRODUCT('Staging Table'!BN16:CK16,LS_Demand_Rates_Restatement!$C$4:$Z$4)-IF(Init!$R$15="No", 'Staging Table'!CX16*Rates_previous!$H$35, 0))</f>
        <v>-147332.65042491726</v>
      </c>
      <c r="G14" s="408">
        <f>IF(Init!$R$9="Yes",SUMPRODUCT('Staging Table'!AJ16:AU16,LS_Demand_Rates_Restatement!$C$10:$N$10),SUMPRODUCT(LS_Demand_Rates_Restatement!$C$10:$N$10,'Staging Table'!CL16:CW16))*1000</f>
        <v>388885.0192866096</v>
      </c>
      <c r="H14" s="409">
        <f>IF(Init!$R$9="Yes",'Staging Table'!BF16,'Staging Table'!DH16)*Rates_previous!$H$33</f>
        <v>-72583.395082512579</v>
      </c>
      <c r="I14" s="409">
        <f>IF(Init!$R$9="Yes",IF('Staging Table'!D16=1,'Staging Table'!H16*-1*('Staging Table'!F16/'Staging Table'!E16),'Staging Table'!H16*SUM(D14:H14)*(-1)),IF('Staging Table'!D16=1,'Staging Table'!BJ16*-1*('Staging Table'!BH16/'Staging Table'!BG16),'Staging Table'!BJ16*SUM(D14:H14)*(-1)))</f>
        <v>0</v>
      </c>
      <c r="J14" s="407">
        <f>IF(Init!$R$9="Yes",'Staging Table'!K16,'Staging Table'!BM16)*(-1)*Rates_previous!$H$32</f>
        <v>0</v>
      </c>
      <c r="K14" s="407">
        <f>IF(Init!$R$12="No",0,'Staging Table'!$AW16*-1)</f>
        <v>0</v>
      </c>
      <c r="L14" s="407">
        <f>IF('Staging Table'!C16=1,"",SUM(D14:K14))</f>
        <v>6464851.9825791791</v>
      </c>
      <c r="M14" s="407">
        <f>IF('Staging Table'!C16=1,"",IF(Init!$R$9="Yes",(RT1SC!$C$3*'Staging Table'!F16*'Staging Table'!$F$2)+SUM('Staging Table'!L16:AI16)-IF(Init!$R$15="No",'Staging Table'!AV16, 0),X14))</f>
        <v>175059.07843135452</v>
      </c>
      <c r="N14" s="169">
        <f>IF('Staging Table'!C16=1,"",IF(M14=0, 0, L14/M14))</f>
        <v>36.929544245911394</v>
      </c>
      <c r="O14" s="407">
        <f>'Staging Table'!BH16*Rates_current!$E$75*100*12</f>
        <v>7605241.95744</v>
      </c>
      <c r="P14" s="407">
        <f>'Staging Table'!BH16*Rates_current!$E$76*100*12</f>
        <v>-1069742.8240799999</v>
      </c>
      <c r="Q14" s="408">
        <f>SUMPRODUCT('Staging Table'!BN16:CK16, LS_Demand_Rates_Restatement!$C$5:$Z$5)-IF(Init!$R$15="No",('Staging Table'!CX16*Rates_current!$H$35), 0)</f>
        <v>-46512.770806623899</v>
      </c>
      <c r="R14" s="408">
        <f>SUMPRODUCT('Staging Table'!CL16:CW16, LS_Demand_Rates_Restatement!$C$11:$N$11)*1000</f>
        <v>366095.36841774383</v>
      </c>
      <c r="S14" s="409">
        <f>'Staging Table'!DH16*Rates_current!$H$33</f>
        <v>-83442.111719558685</v>
      </c>
      <c r="T14" s="409">
        <f>IF('Staging Table'!D16=1, 'Staging Table'!BJ16*-1*('Staging Table'!BH16/'Staging Table'!BG16),SUM(O14:S14)*'Staging Table'!BJ16*-1)</f>
        <v>0</v>
      </c>
      <c r="U14" s="407">
        <f>'Staging Table'!BM16*Rates_current!$H$32*-1</f>
        <v>0</v>
      </c>
      <c r="V14" s="407">
        <f>IF(Init!$R$12="No",0,'Staging Table'!$CY16*-1)</f>
        <v>0</v>
      </c>
      <c r="W14" s="407">
        <f>IF('Staging Table'!C16=1,"",SUM(O14:V14))</f>
        <v>6771639.6192515614</v>
      </c>
      <c r="X14" s="407">
        <f>IF('Staging Table'!C16=1,"",(RT1SC!$C$4*'Staging Table'!BH16*'Staging Table'!$BH$2)+SUM('Staging Table'!BN16:CK16)-IF(Init!$R$15="No",'Staging Table'!CX16, 0))</f>
        <v>175059.08064944641</v>
      </c>
      <c r="Y14" s="169">
        <f>IF('Staging Table'!C16=1,"",IF(X14=0, 0, W14/X14))</f>
        <v>38.682024343608227</v>
      </c>
      <c r="Z14" s="160">
        <f>IF('Staging Table'!C16=1,"",Y14/N14-1)</f>
        <v>4.7454690640837072E-2</v>
      </c>
      <c r="AA14" s="97">
        <f t="shared" si="0"/>
        <v>80</v>
      </c>
      <c r="AB14" s="397"/>
      <c r="AC14" s="397"/>
      <c r="AD14" s="397"/>
    </row>
    <row r="15" spans="1:30">
      <c r="B15" s="274">
        <v>10059</v>
      </c>
      <c r="C15" s="275" t="s">
        <v>18</v>
      </c>
      <c r="D15" s="407">
        <f>IF(Init!$R$9="Yes",'Staging Table'!F17,'Staging Table'!BH17)*Rates_previous!$E$75*100*12</f>
        <v>2678049.1407599999</v>
      </c>
      <c r="E15" s="407">
        <f>IF(Init!$R$9="Yes",'Staging Table'!F17,'Staging Table'!BH17)*Rates_previous!$E$76*100*12</f>
        <v>-398120.15856000001</v>
      </c>
      <c r="F15" s="408">
        <f>IF(Init!$R$9="Yes",SUMPRODUCT('Staging Table'!L17:AI17,LS_Demand_Rates_Restatement!$C$4:$Z$4)-IF(Init!$R$15="No",('Staging Table'!AV17*Rates_previous!$H$35), 0),SUMPRODUCT('Staging Table'!BN17:CK17,LS_Demand_Rates_Restatement!$C$4:$Z$4)-IF(Init!$R$15="No", 'Staging Table'!CX17*Rates_previous!$H$35, 0))</f>
        <v>-15779.176093948663</v>
      </c>
      <c r="G15" s="408">
        <f>IF(Init!$R$9="Yes",SUMPRODUCT('Staging Table'!AJ17:AU17,LS_Demand_Rates_Restatement!$C$10:$N$10),SUMPRODUCT(LS_Demand_Rates_Restatement!$C$10:$N$10,'Staging Table'!CL17:CW17))*1000</f>
        <v>136654.64149833508</v>
      </c>
      <c r="H15" s="409">
        <f>IF(Init!$R$9="Yes",'Staging Table'!BF17,'Staging Table'!DH17)*Rates_previous!$H$33</f>
        <v>-11810.907717572651</v>
      </c>
      <c r="I15" s="409">
        <f>IF(Init!$R$9="Yes",IF('Staging Table'!D17=1,'Staging Table'!H17*-1*('Staging Table'!F17/'Staging Table'!E17),'Staging Table'!H17*SUM(D15:H15)*(-1)),IF('Staging Table'!D17=1,'Staging Table'!BJ17*-1*('Staging Table'!BH17/'Staging Table'!BG17),'Staging Table'!BJ17*SUM(D15:H15)*(-1)))</f>
        <v>0</v>
      </c>
      <c r="J15" s="407">
        <f>IF(Init!$R$9="Yes",'Staging Table'!K17,'Staging Table'!BM17)*(-1)*Rates_previous!$H$32</f>
        <v>0</v>
      </c>
      <c r="K15" s="407">
        <f>IF(Init!$R$12="No",0,'Staging Table'!$AW17*-1)</f>
        <v>0</v>
      </c>
      <c r="L15" s="407">
        <f>IF('Staging Table'!C17=1,"",SUM(D15:K15))</f>
        <v>2388993.5398868141</v>
      </c>
      <c r="M15" s="407">
        <f>IF('Staging Table'!C17=1,"",IF(Init!$R$9="Yes",(RT1SC!$C$3*'Staging Table'!F17*'Staging Table'!$F$2)+SUM('Staging Table'!L17:AI17)-IF(Init!$R$15="No",'Staging Table'!AV17, 0),X15))</f>
        <v>65028.554156206475</v>
      </c>
      <c r="N15" s="169">
        <f>IF('Staging Table'!C17=1,"",IF(M15=0, 0, L15/M15))</f>
        <v>36.737608130547727</v>
      </c>
      <c r="O15" s="407">
        <f>'Staging Table'!BH17*Rates_current!$E$75*100*12</f>
        <v>2738814.48</v>
      </c>
      <c r="P15" s="407">
        <f>'Staging Table'!BH17*Rates_current!$E$76*100*12</f>
        <v>-385237.86</v>
      </c>
      <c r="Q15" s="408">
        <f>SUMPRODUCT('Staging Table'!BN17:CK17, LS_Demand_Rates_Restatement!$C$5:$Z$5)-IF(Init!$R$15="No",('Staging Table'!CX17*Rates_current!$H$35), 0)</f>
        <v>27724.503898764346</v>
      </c>
      <c r="R15" s="408">
        <f>SUMPRODUCT('Staging Table'!CL17:CW17, LS_Demand_Rates_Restatement!$C$11:$N$11)*1000</f>
        <v>134987.69292956727</v>
      </c>
      <c r="S15" s="409">
        <f>'Staging Table'!DH17*Rates_current!$H$33</f>
        <v>-4763.4643349219696</v>
      </c>
      <c r="T15" s="409">
        <f>IF('Staging Table'!D17=1, 'Staging Table'!BJ17*-1*('Staging Table'!BH17/'Staging Table'!BG17),SUM(O15:S15)*'Staging Table'!BJ17*-1)</f>
        <v>0</v>
      </c>
      <c r="U15" s="407">
        <f>'Staging Table'!BM17*Rates_current!$H$32*-1</f>
        <v>0</v>
      </c>
      <c r="V15" s="407">
        <f>IF(Init!$R$12="No",0,'Staging Table'!$CY17*-1)</f>
        <v>0</v>
      </c>
      <c r="W15" s="407">
        <f>IF('Staging Table'!C17=1,"",SUM(O15:V15))</f>
        <v>2511525.35249341</v>
      </c>
      <c r="X15" s="407">
        <f>IF('Staging Table'!C17=1,"",(RT1SC!$C$4*'Staging Table'!BH17*'Staging Table'!$BH$2)+SUM('Staging Table'!BN17:CK17)-IF(Init!$R$15="No",'Staging Table'!CX17, 0))</f>
        <v>65028.554954123771</v>
      </c>
      <c r="Y15" s="169">
        <f>IF('Staging Table'!C17=1,"",IF(X15=0, 0, W15/X15))</f>
        <v>38.621884713034703</v>
      </c>
      <c r="Z15" s="160">
        <f>IF('Staging Table'!C17=1,"",Y15/N15-1)</f>
        <v>5.1290126885538356E-2</v>
      </c>
      <c r="AA15" s="97">
        <f t="shared" si="0"/>
        <v>50</v>
      </c>
      <c r="AB15" s="397"/>
      <c r="AC15" s="397"/>
      <c r="AD15" s="397"/>
    </row>
    <row r="16" spans="1:30">
      <c r="B16" s="274">
        <v>10061</v>
      </c>
      <c r="C16" s="275" t="s">
        <v>19</v>
      </c>
      <c r="D16" s="407">
        <f>IF(Init!$R$9="Yes",'Staging Table'!F18,'Staging Table'!BH18)*Rates_previous!$E$75*100*12</f>
        <v>3070139.89212</v>
      </c>
      <c r="E16" s="407">
        <f>IF(Init!$R$9="Yes",'Staging Table'!F18,'Staging Table'!BH18)*Rates_previous!$E$76*100*12</f>
        <v>-456408.57071999996</v>
      </c>
      <c r="F16" s="408">
        <f>IF(Init!$R$9="Yes",SUMPRODUCT('Staging Table'!L18:AI18,LS_Demand_Rates_Restatement!$C$4:$Z$4)-IF(Init!$R$15="No",('Staging Table'!AV18*Rates_previous!$H$35), 0),SUMPRODUCT('Staging Table'!BN18:CK18,LS_Demand_Rates_Restatement!$C$4:$Z$4)-IF(Init!$R$15="No", 'Staging Table'!CX18*Rates_previous!$H$35, 0))</f>
        <v>14232.963956722575</v>
      </c>
      <c r="G16" s="408">
        <f>IF(Init!$R$9="Yes",SUMPRODUCT('Staging Table'!AJ18:AU18,LS_Demand_Rates_Restatement!$C$10:$N$10),SUMPRODUCT(LS_Demand_Rates_Restatement!$C$10:$N$10,'Staging Table'!CL18:CW18))*1000</f>
        <v>128169.57441235751</v>
      </c>
      <c r="H16" s="409">
        <f>IF(Init!$R$9="Yes",'Staging Table'!BF18,'Staging Table'!DH18)*Rates_previous!$H$33</f>
        <v>0</v>
      </c>
      <c r="I16" s="409">
        <f>IF(Init!$R$9="Yes",IF('Staging Table'!D18=1,'Staging Table'!H18*-1*('Staging Table'!F18/'Staging Table'!E18),'Staging Table'!H18*SUM(D16:H16)*(-1)),IF('Staging Table'!D18=1,'Staging Table'!BJ18*-1*('Staging Table'!BH18/'Staging Table'!BG18),'Staging Table'!BJ18*SUM(D16:H16)*(-1)))</f>
        <v>0</v>
      </c>
      <c r="J16" s="407">
        <f>IF(Init!$R$9="Yes",'Staging Table'!K18,'Staging Table'!BM18)*(-1)*Rates_previous!$H$32</f>
        <v>0</v>
      </c>
      <c r="K16" s="407">
        <f>IF(Init!$R$12="No",0,'Staging Table'!$AW18*-1)</f>
        <v>0</v>
      </c>
      <c r="L16" s="407">
        <f>IF('Staging Table'!C18=1,"",SUM(D16:K16))</f>
        <v>2756133.8597690798</v>
      </c>
      <c r="M16" s="407">
        <f>IF('Staging Table'!C18=1,"",IF(Init!$R$9="Yes",(RT1SC!$C$3*'Staging Table'!F18*'Staging Table'!$F$2)+SUM('Staging Table'!L18:AI18)-IF(Init!$R$15="No",'Staging Table'!AV18, 0),X16))</f>
        <v>76078.224000000002</v>
      </c>
      <c r="N16" s="169">
        <f>IF('Staging Table'!C18=1,"",IF(M16=0, 0, L16/M16))</f>
        <v>36.227631441147729</v>
      </c>
      <c r="O16" s="407">
        <f>'Staging Table'!BH18*Rates_current!$E$75*100*12</f>
        <v>3157152.4684800003</v>
      </c>
      <c r="P16" s="407">
        <f>'Staging Table'!BH18*Rates_current!$E$76*100*12</f>
        <v>-444080.70335999998</v>
      </c>
      <c r="Q16" s="408">
        <f>SUMPRODUCT('Staging Table'!BN18:CK18, LS_Demand_Rates_Restatement!$C$5:$Z$5)-IF(Init!$R$15="No",('Staging Table'!CX18*Rates_current!$H$35), 0)</f>
        <v>32115.966990807385</v>
      </c>
      <c r="R16" s="408">
        <f>SUMPRODUCT('Staging Table'!CL18:CW18, LS_Demand_Rates_Restatement!$C$11:$N$11)*1000</f>
        <v>121056.89934783652</v>
      </c>
      <c r="S16" s="409">
        <f>'Staging Table'!DH18*Rates_current!$H$33</f>
        <v>0</v>
      </c>
      <c r="T16" s="409">
        <f>IF('Staging Table'!D18=1, 'Staging Table'!BJ18*-1*('Staging Table'!BH18/'Staging Table'!BG18),SUM(O16:S16)*'Staging Table'!BJ18*-1)</f>
        <v>0</v>
      </c>
      <c r="U16" s="407">
        <f>'Staging Table'!BM18*Rates_current!$H$32*-1</f>
        <v>0</v>
      </c>
      <c r="V16" s="407">
        <f>IF(Init!$R$12="No",0,'Staging Table'!$CY18*-1)</f>
        <v>0</v>
      </c>
      <c r="W16" s="407">
        <f>IF('Staging Table'!C18=1,"",SUM(O16:V16))</f>
        <v>2866244.6314586443</v>
      </c>
      <c r="X16" s="407">
        <f>IF('Staging Table'!C18=1,"",(RT1SC!$C$4*'Staging Table'!BH18*'Staging Table'!$BH$2)+SUM('Staging Table'!BN18:CK18)-IF(Init!$R$15="No",'Staging Table'!CX18, 0))</f>
        <v>75388.56</v>
      </c>
      <c r="Y16" s="169">
        <f>IF('Staging Table'!C18=1,"",IF(X16=0, 0, W16/X16))</f>
        <v>38.019623023156889</v>
      </c>
      <c r="Z16" s="160">
        <f>IF('Staging Table'!C18=1,"",Y16/N16-1)</f>
        <v>4.9464773453938626E-2</v>
      </c>
      <c r="AA16" s="97">
        <f t="shared" si="0"/>
        <v>66</v>
      </c>
      <c r="AB16" s="397"/>
      <c r="AC16" s="397"/>
      <c r="AD16" s="397"/>
    </row>
    <row r="17" spans="2:30">
      <c r="B17" s="274">
        <v>10062</v>
      </c>
      <c r="C17" s="275" t="s">
        <v>20</v>
      </c>
      <c r="D17" s="407">
        <f>IF(Init!$R$9="Yes",'Staging Table'!F19,'Staging Table'!BH19)*Rates_previous!$E$75*100*12</f>
        <v>1867381.70976</v>
      </c>
      <c r="E17" s="407">
        <f>IF(Init!$R$9="Yes",'Staging Table'!F19,'Staging Table'!BH19)*Rates_previous!$E$76*100*12</f>
        <v>-277605.92255999998</v>
      </c>
      <c r="F17" s="408">
        <f>IF(Init!$R$9="Yes",SUMPRODUCT('Staging Table'!L19:AI19,LS_Demand_Rates_Restatement!$C$4:$Z$4)-IF(Init!$R$15="No",('Staging Table'!AV19*Rates_previous!$H$35), 0),SUMPRODUCT('Staging Table'!BN19:CK19,LS_Demand_Rates_Restatement!$C$4:$Z$4)-IF(Init!$R$15="No", 'Staging Table'!CX19*Rates_previous!$H$35, 0))</f>
        <v>64363.688863531628</v>
      </c>
      <c r="G17" s="408">
        <f>IF(Init!$R$9="Yes",SUMPRODUCT('Staging Table'!AJ19:AU19,LS_Demand_Rates_Restatement!$C$10:$N$10),SUMPRODUCT(LS_Demand_Rates_Restatement!$C$10:$N$10,'Staging Table'!CL19:CW19))*1000</f>
        <v>138549.79958681445</v>
      </c>
      <c r="H17" s="409">
        <f>IF(Init!$R$9="Yes",'Staging Table'!BF19,'Staging Table'!DH19)*Rates_previous!$H$33</f>
        <v>0</v>
      </c>
      <c r="I17" s="409">
        <f>IF(Init!$R$9="Yes",IF('Staging Table'!D19=1,'Staging Table'!H19*-1*('Staging Table'!F19/'Staging Table'!E19),'Staging Table'!H19*SUM(D17:H17)*(-1)),IF('Staging Table'!D19=1,'Staging Table'!BJ19*-1*('Staging Table'!BH19/'Staging Table'!BG19),'Staging Table'!BJ19*SUM(D17:H17)*(-1)))</f>
        <v>0</v>
      </c>
      <c r="J17" s="407">
        <f>IF(Init!$R$9="Yes",'Staging Table'!K19,'Staging Table'!BM19)*(-1)*Rates_previous!$H$32</f>
        <v>0</v>
      </c>
      <c r="K17" s="407">
        <f>IF(Init!$R$12="No",0,'Staging Table'!$AW19*-1)</f>
        <v>0</v>
      </c>
      <c r="L17" s="407">
        <f>IF('Staging Table'!C19=1,"",SUM(D17:K17))</f>
        <v>1792689.2756503462</v>
      </c>
      <c r="M17" s="407">
        <f>IF('Staging Table'!C19=1,"",IF(Init!$R$9="Yes",(RT1SC!$C$3*'Staging Table'!F19*'Staging Table'!$F$2)+SUM('Staging Table'!L19:AI19)-IF(Init!$R$15="No",'Staging Table'!AV19, 0),X17))</f>
        <v>46274.112000000001</v>
      </c>
      <c r="N17" s="169">
        <f>IF('Staging Table'!C19=1,"",IF(M17=0, 0, L17/M17))</f>
        <v>38.740652130728002</v>
      </c>
      <c r="O17" s="407">
        <f>'Staging Table'!BH19*Rates_current!$E$75*100*12</f>
        <v>1920227.4172800002</v>
      </c>
      <c r="P17" s="407">
        <f>'Staging Table'!BH19*Rates_current!$E$76*100*12</f>
        <v>-270096.53496000002</v>
      </c>
      <c r="Q17" s="408">
        <f>SUMPRODUCT('Staging Table'!BN19:CK19, LS_Demand_Rates_Restatement!$C$5:$Z$5)-IF(Init!$R$15="No",('Staging Table'!CX19*Rates_current!$H$35), 0)</f>
        <v>105984.03803212658</v>
      </c>
      <c r="R17" s="408">
        <f>SUMPRODUCT('Staging Table'!CL19:CW19, LS_Demand_Rates_Restatement!$C$11:$N$11)*1000</f>
        <v>131803.750495958</v>
      </c>
      <c r="S17" s="409">
        <f>'Staging Table'!DH19*Rates_current!$H$33</f>
        <v>0</v>
      </c>
      <c r="T17" s="409">
        <f>IF('Staging Table'!D19=1, 'Staging Table'!BJ19*-1*('Staging Table'!BH19/'Staging Table'!BG19),SUM(O17:S17)*'Staging Table'!BJ19*-1)</f>
        <v>0</v>
      </c>
      <c r="U17" s="407">
        <f>'Staging Table'!BM19*Rates_current!$H$32*-1</f>
        <v>0</v>
      </c>
      <c r="V17" s="407">
        <f>IF(Init!$R$12="No",0,'Staging Table'!$CY19*-1)</f>
        <v>0</v>
      </c>
      <c r="W17" s="407">
        <f>IF('Staging Table'!C19=1,"",SUM(O17:V17))</f>
        <v>1887918.6708480846</v>
      </c>
      <c r="X17" s="407">
        <f>IF('Staging Table'!C19=1,"",(RT1SC!$C$4*'Staging Table'!BH19*'Staging Table'!$BH$2)+SUM('Staging Table'!BN19:CK19)-IF(Init!$R$15="No",'Staging Table'!CX19, 0))</f>
        <v>45849.84</v>
      </c>
      <c r="Y17" s="169">
        <f>IF('Staging Table'!C19=1,"",IF(X17=0, 0, W17/X17))</f>
        <v>41.176123424816417</v>
      </c>
      <c r="Z17" s="160">
        <f>IF('Staging Table'!C19=1,"",Y17/N17-1)</f>
        <v>6.2866037615217918E-2</v>
      </c>
      <c r="AA17" s="97">
        <f t="shared" si="0"/>
        <v>12</v>
      </c>
      <c r="AB17" s="397"/>
      <c r="AC17" s="397"/>
      <c r="AD17" s="397"/>
    </row>
    <row r="18" spans="2:30">
      <c r="B18" s="274">
        <v>10064</v>
      </c>
      <c r="C18" s="275" t="s">
        <v>21</v>
      </c>
      <c r="D18" s="407">
        <f>IF(Init!$R$9="Yes",'Staging Table'!F20,'Staging Table'!BH20)*Rates_previous!$E$75*100*12</f>
        <v>4874648.4637199994</v>
      </c>
      <c r="E18" s="407">
        <f>IF(Init!$R$9="Yes",'Staging Table'!F20,'Staging Table'!BH20)*Rates_previous!$E$76*100*12</f>
        <v>-724667.74031999998</v>
      </c>
      <c r="F18" s="408">
        <f>IF(Init!$R$9="Yes",SUMPRODUCT('Staging Table'!L20:AI20,LS_Demand_Rates_Restatement!$C$4:$Z$4)-IF(Init!$R$15="No",('Staging Table'!AV20*Rates_previous!$H$35), 0),SUMPRODUCT('Staging Table'!BN20:CK20,LS_Demand_Rates_Restatement!$C$4:$Z$4)-IF(Init!$R$15="No", 'Staging Table'!CX20*Rates_previous!$H$35, 0))</f>
        <v>24329.467814476582</v>
      </c>
      <c r="G18" s="408">
        <f>IF(Init!$R$9="Yes",SUMPRODUCT('Staging Table'!AJ20:AU20,LS_Demand_Rates_Restatement!$C$10:$N$10),SUMPRODUCT(LS_Demand_Rates_Restatement!$C$10:$N$10,'Staging Table'!CL20:CW20))*1000</f>
        <v>197834.14621120013</v>
      </c>
      <c r="H18" s="409">
        <f>IF(Init!$R$9="Yes",'Staging Table'!BF20,'Staging Table'!DH20)*Rates_previous!$H$33</f>
        <v>-4473.159183673255</v>
      </c>
      <c r="I18" s="409">
        <f>IF(Init!$R$9="Yes",IF('Staging Table'!D20=1,'Staging Table'!H20*-1*('Staging Table'!F20/'Staging Table'!E20),'Staging Table'!H20*SUM(D18:H18)*(-1)),IF('Staging Table'!D20=1,'Staging Table'!BJ20*-1*('Staging Table'!BH20/'Staging Table'!BG20),'Staging Table'!BJ20*SUM(D18:H18)*(-1)))</f>
        <v>0</v>
      </c>
      <c r="J18" s="407">
        <f>IF(Init!$R$9="Yes",'Staging Table'!K20,'Staging Table'!BM20)*(-1)*Rates_previous!$H$32</f>
        <v>0</v>
      </c>
      <c r="K18" s="407">
        <f>IF(Init!$R$12="No",0,'Staging Table'!$AW20*-1)</f>
        <v>0</v>
      </c>
      <c r="L18" s="407">
        <f>IF('Staging Table'!C20=1,"",SUM(D18:K18))</f>
        <v>4367671.1782420026</v>
      </c>
      <c r="M18" s="407">
        <f>IF('Staging Table'!C20=1,"",IF(Init!$R$9="Yes",(RT1SC!$C$3*'Staging Table'!F20*'Staging Table'!$F$2)+SUM('Staging Table'!L20:AI20)-IF(Init!$R$15="No",'Staging Table'!AV20, 0),X18))</f>
        <v>120292.1262843307</v>
      </c>
      <c r="N18" s="169">
        <f>IF('Staging Table'!C20=1,"",IF(M18=0, 0, L18/M18))</f>
        <v>36.308870024612219</v>
      </c>
      <c r="O18" s="407">
        <f>'Staging Table'!BH20*Rates_current!$E$75*100*12</f>
        <v>5076615.565440001</v>
      </c>
      <c r="P18" s="407">
        <f>'Staging Table'!BH20*Rates_current!$E$76*100*12</f>
        <v>-714069.73008000012</v>
      </c>
      <c r="Q18" s="408">
        <f>SUMPRODUCT('Staging Table'!BN20:CK20, LS_Demand_Rates_Restatement!$C$5:$Z$5)-IF(Init!$R$15="No",('Staging Table'!CX20*Rates_current!$H$35), 0)</f>
        <v>42340.738097865709</v>
      </c>
      <c r="R18" s="408">
        <f>SUMPRODUCT('Staging Table'!CL20:CW20, LS_Demand_Rates_Restatement!$C$11:$N$11)*1000</f>
        <v>183844.84561081737</v>
      </c>
      <c r="S18" s="409">
        <f>'Staging Table'!DH20*Rates_current!$H$33</f>
        <v>-11841.590951037313</v>
      </c>
      <c r="T18" s="409">
        <f>IF('Staging Table'!D20=1, 'Staging Table'!BJ20*-1*('Staging Table'!BH20/'Staging Table'!BG20),SUM(O18:S18)*'Staging Table'!BJ20*-1)</f>
        <v>0</v>
      </c>
      <c r="U18" s="407">
        <f>'Staging Table'!BM20*Rates_current!$H$32*-1</f>
        <v>0</v>
      </c>
      <c r="V18" s="407">
        <f>IF(Init!$R$12="No",0,'Staging Table'!$CY20*-1)</f>
        <v>0</v>
      </c>
      <c r="W18" s="407">
        <f>IF('Staging Table'!C20=1,"",SUM(O18:V18))</f>
        <v>4576889.8281176463</v>
      </c>
      <c r="X18" s="407">
        <f>IF('Staging Table'!C20=1,"",(RT1SC!$C$4*'Staging Table'!BH20*'Staging Table'!$BH$2)+SUM('Staging Table'!BN20:CK20)-IF(Init!$R$15="No",'Staging Table'!CX20, 0))</f>
        <v>120239.56776854608</v>
      </c>
      <c r="Y18" s="169">
        <f>IF('Staging Table'!C20=1,"",IF(X18=0, 0, W18/X18))</f>
        <v>38.064756161864146</v>
      </c>
      <c r="Z18" s="160">
        <f>IF('Staging Table'!C20=1,"",Y18/N18-1)</f>
        <v>4.8359702080006617E-2</v>
      </c>
      <c r="AA18" s="97">
        <f t="shared" si="0"/>
        <v>74</v>
      </c>
      <c r="AB18" s="397"/>
      <c r="AC18" s="397"/>
      <c r="AD18" s="397"/>
    </row>
    <row r="19" spans="2:30">
      <c r="B19" s="274">
        <v>10065</v>
      </c>
      <c r="C19" s="275" t="s">
        <v>22</v>
      </c>
      <c r="D19" s="407">
        <f>IF(Init!$R$9="Yes",'Staging Table'!F21,'Staging Table'!BH21)*Rates_previous!$E$75*100*12</f>
        <v>775517.88132000004</v>
      </c>
      <c r="E19" s="407">
        <f>IF(Init!$R$9="Yes",'Staging Table'!F21,'Staging Table'!BH21)*Rates_previous!$E$76*100*12</f>
        <v>-115288.88592</v>
      </c>
      <c r="F19" s="408">
        <f>IF(Init!$R$9="Yes",SUMPRODUCT('Staging Table'!L21:AI21,LS_Demand_Rates_Restatement!$C$4:$Z$4)-IF(Init!$R$15="No",('Staging Table'!AV21*Rates_previous!$H$35), 0),SUMPRODUCT('Staging Table'!BN21:CK21,LS_Demand_Rates_Restatement!$C$4:$Z$4)-IF(Init!$R$15="No", 'Staging Table'!CX21*Rates_previous!$H$35, 0))</f>
        <v>43608.333139511466</v>
      </c>
      <c r="G19" s="408">
        <f>IF(Init!$R$9="Yes",SUMPRODUCT('Staging Table'!AJ21:AU21,LS_Demand_Rates_Restatement!$C$10:$N$10),SUMPRODUCT(LS_Demand_Rates_Restatement!$C$10:$N$10,'Staging Table'!CL21:CW21))*1000</f>
        <v>59361.636120771007</v>
      </c>
      <c r="H19" s="409">
        <f>IF(Init!$R$9="Yes",'Staging Table'!BF21,'Staging Table'!DH21)*Rates_previous!$H$33</f>
        <v>12904.574400000001</v>
      </c>
      <c r="I19" s="409">
        <f>IF(Init!$R$9="Yes",IF('Staging Table'!D21=1,'Staging Table'!H21*-1*('Staging Table'!F21/'Staging Table'!E21),'Staging Table'!H21*SUM(D19:H19)*(-1)),IF('Staging Table'!D21=1,'Staging Table'!BJ21*-1*('Staging Table'!BH21/'Staging Table'!BG21),'Staging Table'!BJ21*SUM(D19:H19)*(-1)))</f>
        <v>-42685.694648315541</v>
      </c>
      <c r="J19" s="407">
        <f>IF(Init!$R$9="Yes",'Staging Table'!K21,'Staging Table'!BM21)*(-1)*Rates_previous!$H$32</f>
        <v>0</v>
      </c>
      <c r="K19" s="407">
        <f>IF(Init!$R$12="No",0,'Staging Table'!$AW21*-1)</f>
        <v>0</v>
      </c>
      <c r="L19" s="407">
        <f>IF('Staging Table'!C21=1,"",SUM(D19:K19))</f>
        <v>733417.84441196697</v>
      </c>
      <c r="M19" s="407">
        <f>IF('Staging Table'!C21=1,"",IF(Init!$R$9="Yes",(RT1SC!$C$3*'Staging Table'!F21*'Staging Table'!$F$2)+SUM('Staging Table'!L21:AI21)-IF(Init!$R$15="No",'Staging Table'!AV21, 0),X19))</f>
        <v>20677.536</v>
      </c>
      <c r="N19" s="169">
        <f>IF('Staging Table'!C21=1,"",IF(M19=0, 0, L19/M19))</f>
        <v>35.46930564705422</v>
      </c>
      <c r="O19" s="407">
        <f>'Staging Table'!BH21*Rates_current!$E$75*100*12</f>
        <v>858076.94592000009</v>
      </c>
      <c r="P19" s="407">
        <f>'Staging Table'!BH21*Rates_current!$E$76*100*12</f>
        <v>-120695.91744000002</v>
      </c>
      <c r="Q19" s="408">
        <f>SUMPRODUCT('Staging Table'!BN21:CK21, LS_Demand_Rates_Restatement!$C$5:$Z$5)-IF(Init!$R$15="No",('Staging Table'!CX21*Rates_current!$H$35), 0)</f>
        <v>13544.582410800431</v>
      </c>
      <c r="R19" s="408">
        <f>SUMPRODUCT('Staging Table'!CL21:CW21, LS_Demand_Rates_Restatement!$C$11:$N$11)*1000</f>
        <v>57811.119748513171</v>
      </c>
      <c r="S19" s="409">
        <f>'Staging Table'!DH21*Rates_current!$H$33</f>
        <v>0</v>
      </c>
      <c r="T19" s="409">
        <f>IF('Staging Table'!D21=1, 'Staging Table'!BJ21*-1*('Staging Table'!BH21/'Staging Table'!BG21),SUM(O19:S19)*'Staging Table'!BJ21*-1)</f>
        <v>-48949.490789485943</v>
      </c>
      <c r="U19" s="407">
        <f>'Staging Table'!BM21*Rates_current!$H$32*-1</f>
        <v>0</v>
      </c>
      <c r="V19" s="407">
        <f>IF(Init!$R$12="No",0,'Staging Table'!$CY21*-1)</f>
        <v>0</v>
      </c>
      <c r="W19" s="407">
        <f>IF('Staging Table'!C21=1,"",SUM(O19:V19))</f>
        <v>759787.23984982772</v>
      </c>
      <c r="X19" s="407">
        <f>IF('Staging Table'!C21=1,"",(RT1SC!$C$4*'Staging Table'!BH21*'Staging Table'!$BH$2)+SUM('Staging Table'!BN21:CK21)-IF(Init!$R$15="No",'Staging Table'!CX21, 0))</f>
        <v>20489.64</v>
      </c>
      <c r="Y19" s="169">
        <f>IF('Staging Table'!C21=1,"",IF(X19=0, 0, W19/X19))</f>
        <v>37.081531927834149</v>
      </c>
      <c r="Z19" s="160">
        <f>IF('Staging Table'!C21=1,"",Y19/N19-1)</f>
        <v>4.5454125796055012E-2</v>
      </c>
      <c r="AA19" s="97">
        <f t="shared" si="0"/>
        <v>91</v>
      </c>
      <c r="AB19" s="397"/>
      <c r="AC19" s="397"/>
      <c r="AD19" s="397"/>
    </row>
    <row r="20" spans="2:30">
      <c r="B20" s="274">
        <v>10066</v>
      </c>
      <c r="C20" s="275" t="s">
        <v>23</v>
      </c>
      <c r="D20" s="407">
        <f>IF(Init!$R$9="Yes",'Staging Table'!F22,'Staging Table'!BH22)*Rates_previous!$E$75*100*12</f>
        <v>8554954.8344400004</v>
      </c>
      <c r="E20" s="407">
        <f>IF(Init!$R$9="Yes",'Staging Table'!F22,'Staging Table'!BH22)*Rates_previous!$E$76*100*12</f>
        <v>-1271783.9726400001</v>
      </c>
      <c r="F20" s="408">
        <f>IF(Init!$R$9="Yes",SUMPRODUCT('Staging Table'!L22:AI22,LS_Demand_Rates_Restatement!$C$4:$Z$4)-IF(Init!$R$15="No",('Staging Table'!AV22*Rates_previous!$H$35), 0),SUMPRODUCT('Staging Table'!BN22:CK22,LS_Demand_Rates_Restatement!$C$4:$Z$4)-IF(Init!$R$15="No", 'Staging Table'!CX22*Rates_previous!$H$35, 0))</f>
        <v>-175604.15427785862</v>
      </c>
      <c r="G20" s="408">
        <f>IF(Init!$R$9="Yes",SUMPRODUCT('Staging Table'!AJ22:AU22,LS_Demand_Rates_Restatement!$C$10:$N$10),SUMPRODUCT(LS_Demand_Rates_Restatement!$C$10:$N$10,'Staging Table'!CL22:CW22))*1000</f>
        <v>367692.28990768339</v>
      </c>
      <c r="H20" s="409">
        <f>IF(Init!$R$9="Yes",'Staging Table'!BF22,'Staging Table'!DH22)*Rates_previous!$H$33</f>
        <v>-96192.893483873937</v>
      </c>
      <c r="I20" s="409">
        <f>IF(Init!$R$9="Yes",IF('Staging Table'!D22=1,'Staging Table'!H22*-1*('Staging Table'!F22/'Staging Table'!E22),'Staging Table'!H22*SUM(D20:H20)*(-1)),IF('Staging Table'!D22=1,'Staging Table'!BJ22*-1*('Staging Table'!BH22/'Staging Table'!BG22),'Staging Table'!BJ22*SUM(D20:H20)*(-1)))</f>
        <v>0</v>
      </c>
      <c r="J20" s="407">
        <f>IF(Init!$R$9="Yes",'Staging Table'!K22,'Staging Table'!BM22)*(-1)*Rates_previous!$H$32</f>
        <v>0</v>
      </c>
      <c r="K20" s="407">
        <f>IF(Init!$R$12="No",0,'Staging Table'!$AW22*-1)</f>
        <v>0</v>
      </c>
      <c r="L20" s="407">
        <f>IF('Staging Table'!C22=1,"",SUM(D20:K20))</f>
        <v>7379066.103945951</v>
      </c>
      <c r="M20" s="407">
        <f>IF('Staging Table'!C22=1,"",IF(Init!$R$9="Yes",(RT1SC!$C$3*'Staging Table'!F22*'Staging Table'!$F$2)+SUM('Staging Table'!L22:AI22)-IF(Init!$R$15="No",'Staging Table'!AV22, 0),X20))</f>
        <v>201123.80249899731</v>
      </c>
      <c r="N20" s="169">
        <f>IF('Staging Table'!C22=1,"",IF(M20=0, 0, L20/M20))</f>
        <v>36.689173594869452</v>
      </c>
      <c r="O20" s="407">
        <f>'Staging Table'!BH22*Rates_current!$E$75*100*12</f>
        <v>8797072.1097600013</v>
      </c>
      <c r="P20" s="407">
        <f>'Staging Table'!BH22*Rates_current!$E$76*100*12</f>
        <v>-1237384.0063200002</v>
      </c>
      <c r="Q20" s="408">
        <f>SUMPRODUCT('Staging Table'!BN22:CK22, LS_Demand_Rates_Restatement!$C$5:$Z$5)-IF(Init!$R$15="No",('Staging Table'!CX22*Rates_current!$H$35), 0)</f>
        <v>-303773.89959580894</v>
      </c>
      <c r="R20" s="408">
        <f>SUMPRODUCT('Staging Table'!CL22:CW22, LS_Demand_Rates_Restatement!$C$11:$N$11)*1000</f>
        <v>354685.52222031693</v>
      </c>
      <c r="S20" s="409">
        <f>'Staging Table'!DH22*Rates_current!$H$33</f>
        <v>-113997.68542576917</v>
      </c>
      <c r="T20" s="409">
        <f>IF('Staging Table'!D22=1, 'Staging Table'!BJ22*-1*('Staging Table'!BH22/'Staging Table'!BG22),SUM(O20:S20)*'Staging Table'!BJ22*-1)</f>
        <v>0</v>
      </c>
      <c r="U20" s="407">
        <f>'Staging Table'!BM22*Rates_current!$H$32*-1</f>
        <v>0</v>
      </c>
      <c r="V20" s="407">
        <f>IF(Init!$R$12="No",0,'Staging Table'!$CY22*-1)</f>
        <v>0</v>
      </c>
      <c r="W20" s="407">
        <f>IF('Staging Table'!C22=1,"",SUM(O20:V20))</f>
        <v>7496602.0406387402</v>
      </c>
      <c r="X20" s="407">
        <f>IF('Staging Table'!C22=1,"",(RT1SC!$C$4*'Staging Table'!BH22*'Staging Table'!$BH$2)+SUM('Staging Table'!BN22:CK22)-IF(Init!$R$15="No",'Staging Table'!CX22, 0))</f>
        <v>188509.40506464557</v>
      </c>
      <c r="Y20" s="169">
        <f>IF('Staging Table'!C22=1,"",IF(X20=0, 0, W20/X20))</f>
        <v>39.767787915239182</v>
      </c>
      <c r="Z20" s="160">
        <f>IF('Staging Table'!C22=1,"",Y20/N20-1)</f>
        <v>8.3910702224163414E-2</v>
      </c>
      <c r="AA20" s="97">
        <f t="shared" si="0"/>
        <v>1</v>
      </c>
      <c r="AB20" s="397"/>
      <c r="AC20" s="397"/>
      <c r="AD20" s="397"/>
    </row>
    <row r="21" spans="2:30">
      <c r="B21" s="274">
        <v>10067</v>
      </c>
      <c r="C21" s="275" t="s">
        <v>24</v>
      </c>
      <c r="D21" s="407">
        <f>IF(Init!$R$9="Yes",'Staging Table'!F23,'Staging Table'!BH23)*Rates_previous!$E$75*100*12</f>
        <v>5552143.6572000012</v>
      </c>
      <c r="E21" s="407">
        <f>IF(Init!$R$9="Yes",'Staging Table'!F23,'Staging Table'!BH23)*Rates_previous!$E$76*100*12</f>
        <v>-825384.52320000005</v>
      </c>
      <c r="F21" s="408">
        <f>IF(Init!$R$9="Yes",SUMPRODUCT('Staging Table'!L23:AI23,LS_Demand_Rates_Restatement!$C$4:$Z$4)-IF(Init!$R$15="No",('Staging Table'!AV23*Rates_previous!$H$35), 0),SUMPRODUCT('Staging Table'!BN23:CK23,LS_Demand_Rates_Restatement!$C$4:$Z$4)-IF(Init!$R$15="No", 'Staging Table'!CX23*Rates_previous!$H$35, 0))</f>
        <v>34674.387595344073</v>
      </c>
      <c r="G21" s="408">
        <f>IF(Init!$R$9="Yes",SUMPRODUCT('Staging Table'!AJ23:AU23,LS_Demand_Rates_Restatement!$C$10:$N$10),SUMPRODUCT(LS_Demand_Rates_Restatement!$C$10:$N$10,'Staging Table'!CL23:CW23))*1000</f>
        <v>410397.42966660438</v>
      </c>
      <c r="H21" s="409">
        <f>IF(Init!$R$9="Yes",'Staging Table'!BF23,'Staging Table'!DH23)*Rates_previous!$H$33</f>
        <v>0</v>
      </c>
      <c r="I21" s="409">
        <f>IF(Init!$R$9="Yes",IF('Staging Table'!D23=1,'Staging Table'!H23*-1*('Staging Table'!F23/'Staging Table'!E23),'Staging Table'!H23*SUM(D21:H21)*(-1)),IF('Staging Table'!D23=1,'Staging Table'!BJ23*-1*('Staging Table'!BH23/'Staging Table'!BG23),'Staging Table'!BJ23*SUM(D21:H21)*(-1)))</f>
        <v>0</v>
      </c>
      <c r="J21" s="407">
        <f>IF(Init!$R$9="Yes",'Staging Table'!K23,'Staging Table'!BM23)*(-1)*Rates_previous!$H$32</f>
        <v>0</v>
      </c>
      <c r="K21" s="407">
        <f>IF(Init!$R$12="No",0,'Staging Table'!$AW23*-1)</f>
        <v>0</v>
      </c>
      <c r="L21" s="407">
        <f>IF('Staging Table'!C23=1,"",SUM(D21:K21))</f>
        <v>5171830.9512619507</v>
      </c>
      <c r="M21" s="407">
        <f>IF('Staging Table'!C23=1,"",IF(Init!$R$9="Yes",(RT1SC!$C$3*'Staging Table'!F23*'Staging Table'!$F$2)+SUM('Staging Table'!L23:AI23)-IF(Init!$R$15="No",'Staging Table'!AV23, 0),X21))</f>
        <v>137583.79200000002</v>
      </c>
      <c r="N21" s="169">
        <f>IF('Staging Table'!C23=1,"",IF(M21=0, 0, L21/M21))</f>
        <v>37.590408550899298</v>
      </c>
      <c r="O21" s="407">
        <f>'Staging Table'!BH23*Rates_current!$E$75*100*12</f>
        <v>5709218.0169600006</v>
      </c>
      <c r="P21" s="407">
        <f>'Staging Table'!BH23*Rates_current!$E$76*100*12</f>
        <v>-803050.71672000003</v>
      </c>
      <c r="Q21" s="408">
        <f>SUMPRODUCT('Staging Table'!BN23:CK23, LS_Demand_Rates_Restatement!$C$5:$Z$5)-IF(Init!$R$15="No",('Staging Table'!CX23*Rates_current!$H$35), 0)</f>
        <v>-69799.933372704283</v>
      </c>
      <c r="R21" s="408">
        <f>SUMPRODUCT('Staging Table'!CL23:CW23, LS_Demand_Rates_Restatement!$C$11:$N$11)*1000</f>
        <v>391210.62890056096</v>
      </c>
      <c r="S21" s="409">
        <f>'Staging Table'!DH23*Rates_current!$H$33</f>
        <v>0</v>
      </c>
      <c r="T21" s="409">
        <f>IF('Staging Table'!D23=1, 'Staging Table'!BJ23*-1*('Staging Table'!BH23/'Staging Table'!BG23),SUM(O21:S21)*'Staging Table'!BJ23*-1)</f>
        <v>0</v>
      </c>
      <c r="U21" s="407">
        <f>'Staging Table'!BM23*Rates_current!$H$32*-1</f>
        <v>0</v>
      </c>
      <c r="V21" s="407">
        <f>IF(Init!$R$12="No",0,'Staging Table'!$CY23*-1)</f>
        <v>0</v>
      </c>
      <c r="W21" s="407">
        <f>IF('Staging Table'!C23=1,"",SUM(O21:V21))</f>
        <v>5227577.9957678569</v>
      </c>
      <c r="X21" s="407">
        <f>IF('Staging Table'!C23=1,"",(RT1SC!$C$4*'Staging Table'!BH23*'Staging Table'!$BH$2)+SUM('Staging Table'!BN23:CK23)-IF(Init!$R$15="No",'Staging Table'!CX23, 0))</f>
        <v>130374.99998892646</v>
      </c>
      <c r="Y21" s="169">
        <f>IF('Staging Table'!C23=1,"",IF(X21=0, 0, W21/X21))</f>
        <v>40.09647552223867</v>
      </c>
      <c r="Z21" s="160">
        <f>IF('Staging Table'!C23=1,"",Y21/N21-1)</f>
        <v>6.6667723707924953E-2</v>
      </c>
      <c r="AA21" s="97">
        <f t="shared" si="0"/>
        <v>7</v>
      </c>
      <c r="AB21" s="397"/>
      <c r="AC21" s="397"/>
      <c r="AD21" s="397"/>
    </row>
    <row r="22" spans="2:30">
      <c r="B22" s="274">
        <v>10068</v>
      </c>
      <c r="C22" s="275" t="s">
        <v>25</v>
      </c>
      <c r="D22" s="407">
        <f>IF(Init!$R$9="Yes",'Staging Table'!F24,'Staging Table'!BH24)*Rates_previous!$E$75*100*12</f>
        <v>923789.5732799999</v>
      </c>
      <c r="E22" s="407">
        <f>IF(Init!$R$9="Yes",'Staging Table'!F24,'Staging Table'!BH24)*Rates_previous!$E$76*100*12</f>
        <v>-137331.03168000001</v>
      </c>
      <c r="F22" s="408">
        <f>IF(Init!$R$9="Yes",SUMPRODUCT('Staging Table'!L24:AI24,LS_Demand_Rates_Restatement!$C$4:$Z$4)-IF(Init!$R$15="No",('Staging Table'!AV24*Rates_previous!$H$35), 0),SUMPRODUCT('Staging Table'!BN24:CK24,LS_Demand_Rates_Restatement!$C$4:$Z$4)-IF(Init!$R$15="No", 'Staging Table'!CX24*Rates_previous!$H$35, 0))</f>
        <v>-6768.0567191816726</v>
      </c>
      <c r="G22" s="408">
        <f>IF(Init!$R$9="Yes",SUMPRODUCT('Staging Table'!AJ24:AU24,LS_Demand_Rates_Restatement!$C$10:$N$10),SUMPRODUCT(LS_Demand_Rates_Restatement!$C$10:$N$10,'Staging Table'!CL24:CW24))*1000</f>
        <v>38277.985563479357</v>
      </c>
      <c r="H22" s="409">
        <f>IF(Init!$R$9="Yes",'Staging Table'!BF24,'Staging Table'!DH24)*Rates_previous!$H$33</f>
        <v>-4812.0277231335258</v>
      </c>
      <c r="I22" s="409">
        <f>IF(Init!$R$9="Yes",IF('Staging Table'!D24=1,'Staging Table'!H24*-1*('Staging Table'!F24/'Staging Table'!E24),'Staging Table'!H24*SUM(D22:H22)*(-1)),IF('Staging Table'!D24=1,'Staging Table'!BJ24*-1*('Staging Table'!BH24/'Staging Table'!BG24),'Staging Table'!BJ24*SUM(D22:H22)*(-1)))</f>
        <v>0</v>
      </c>
      <c r="J22" s="407">
        <f>IF(Init!$R$9="Yes",'Staging Table'!K24,'Staging Table'!BM24)*(-1)*Rates_previous!$H$32</f>
        <v>0</v>
      </c>
      <c r="K22" s="407">
        <f>IF(Init!$R$12="No",0,'Staging Table'!$AW24*-1)</f>
        <v>0</v>
      </c>
      <c r="L22" s="407">
        <f>IF('Staging Table'!C24=1,"",SUM(D22:K22))</f>
        <v>813156.44272116397</v>
      </c>
      <c r="M22" s="407">
        <f>IF('Staging Table'!C24=1,"",IF(Init!$R$9="Yes",(RT1SC!$C$3*'Staging Table'!F24*'Staging Table'!$F$2)+SUM('Staging Table'!L24:AI24)-IF(Init!$R$15="No",'Staging Table'!AV24, 0),X22))</f>
        <v>22347.372053883217</v>
      </c>
      <c r="N22" s="169">
        <f>IF('Staging Table'!C24=1,"",IF(M22=0, 0, L22/M22))</f>
        <v>36.387117051638512</v>
      </c>
      <c r="O22" s="407">
        <f>'Staging Table'!BH24*Rates_current!$E$75*100*12</f>
        <v>966610.43136000016</v>
      </c>
      <c r="P22" s="407">
        <f>'Staging Table'!BH24*Rates_current!$E$76*100*12</f>
        <v>-135962.08752</v>
      </c>
      <c r="Q22" s="408">
        <f>SUMPRODUCT('Staging Table'!BN24:CK24, LS_Demand_Rates_Restatement!$C$5:$Z$5)-IF(Init!$R$15="No",('Staging Table'!CX24*Rates_current!$H$35), 0)</f>
        <v>-2031.0640424900193</v>
      </c>
      <c r="R22" s="408">
        <f>SUMPRODUCT('Staging Table'!CL24:CW24, LS_Demand_Rates_Restatement!$C$11:$N$11)*1000</f>
        <v>37411.406326700489</v>
      </c>
      <c r="S22" s="409">
        <f>'Staging Table'!DH24*Rates_current!$H$33</f>
        <v>-9374.1527065761857</v>
      </c>
      <c r="T22" s="409">
        <f>IF('Staging Table'!D24=1, 'Staging Table'!BJ24*-1*('Staging Table'!BH24/'Staging Table'!BG24),SUM(O22:S22)*'Staging Table'!BJ24*-1)</f>
        <v>0</v>
      </c>
      <c r="U22" s="407">
        <f>'Staging Table'!BM24*Rates_current!$H$32*-1</f>
        <v>0</v>
      </c>
      <c r="V22" s="407">
        <f>IF(Init!$R$12="No",0,'Staging Table'!$CY24*-1)</f>
        <v>0</v>
      </c>
      <c r="W22" s="407">
        <f>IF('Staging Table'!C24=1,"",SUM(O22:V22))</f>
        <v>856654.53341763455</v>
      </c>
      <c r="X22" s="407">
        <f>IF('Staging Table'!C24=1,"",(RT1SC!$C$4*'Staging Table'!BH24*'Staging Table'!$BH$2)+SUM('Staging Table'!BN24:CK24)-IF(Init!$R$15="No",'Staging Table'!CX24, 0))</f>
        <v>22347.372336739121</v>
      </c>
      <c r="Y22" s="169">
        <f>IF('Staging Table'!C24=1,"",IF(X22=0, 0, W22/X22))</f>
        <v>38.3335687305524</v>
      </c>
      <c r="Z22" s="160">
        <f>IF('Staging Table'!C24=1,"",Y22/N22-1)</f>
        <v>5.3492879805552951E-2</v>
      </c>
      <c r="AA22" s="97">
        <f t="shared" si="0"/>
        <v>41</v>
      </c>
      <c r="AB22" s="397"/>
      <c r="AC22" s="397"/>
      <c r="AD22" s="397"/>
    </row>
    <row r="23" spans="2:30">
      <c r="B23" s="274">
        <v>10070</v>
      </c>
      <c r="C23" s="275" t="s">
        <v>26</v>
      </c>
      <c r="D23" s="407">
        <f>IF(Init!$R$9="Yes",'Staging Table'!F25,'Staging Table'!BH25)*Rates_previous!$E$75*100*12</f>
        <v>125746.27632</v>
      </c>
      <c r="E23" s="407">
        <f>IF(Init!$R$9="Yes",'Staging Table'!F25,'Staging Table'!BH25)*Rates_previous!$E$76*100*12</f>
        <v>-18693.50592</v>
      </c>
      <c r="F23" s="408">
        <f>IF(Init!$R$9="Yes",SUMPRODUCT('Staging Table'!L25:AI25,LS_Demand_Rates_Restatement!$C$4:$Z$4)-IF(Init!$R$15="No",('Staging Table'!AV25*Rates_previous!$H$35), 0),SUMPRODUCT('Staging Table'!BN25:CK25,LS_Demand_Rates_Restatement!$C$4:$Z$4)-IF(Init!$R$15="No", 'Staging Table'!CX25*Rates_previous!$H$35, 0))</f>
        <v>790.22117280938073</v>
      </c>
      <c r="G23" s="408">
        <f>IF(Init!$R$9="Yes",SUMPRODUCT('Staging Table'!AJ25:AU25,LS_Demand_Rates_Restatement!$C$10:$N$10),SUMPRODUCT(LS_Demand_Rates_Restatement!$C$10:$N$10,'Staging Table'!CL25:CW25))*1000</f>
        <v>7265.3339423254965</v>
      </c>
      <c r="H23" s="409">
        <f>IF(Init!$R$9="Yes",'Staging Table'!BF25,'Staging Table'!DH25)*Rates_previous!$H$33</f>
        <v>0</v>
      </c>
      <c r="I23" s="409">
        <f>IF(Init!$R$9="Yes",IF('Staging Table'!D25=1,'Staging Table'!H25*-1*('Staging Table'!F25/'Staging Table'!E25),'Staging Table'!H25*SUM(D23:H23)*(-1)),IF('Staging Table'!D25=1,'Staging Table'!BJ25*-1*('Staging Table'!BH25/'Staging Table'!BG25),'Staging Table'!BJ25*SUM(D23:H23)*(-1)))</f>
        <v>0</v>
      </c>
      <c r="J23" s="407">
        <f>IF(Init!$R$9="Yes",'Staging Table'!K25,'Staging Table'!BM25)*(-1)*Rates_previous!$H$32</f>
        <v>0</v>
      </c>
      <c r="K23" s="407">
        <f>IF(Init!$R$12="No",0,'Staging Table'!$AW25*-1)</f>
        <v>0</v>
      </c>
      <c r="L23" s="407">
        <f>IF('Staging Table'!C25=1,"",SUM(D23:K23))</f>
        <v>115108.32551513489</v>
      </c>
      <c r="M23" s="407">
        <f>IF('Staging Table'!C25=1,"",IF(Init!$R$9="Yes",(RT1SC!$C$3*'Staging Table'!F25*'Staging Table'!$F$2)+SUM('Staging Table'!L25:AI25)-IF(Init!$R$15="No",'Staging Table'!AV25, 0),X23))</f>
        <v>3118.3199999999997</v>
      </c>
      <c r="N23" s="169">
        <f>IF('Staging Table'!C25=1,"",IF(M23=0, 0, L23/M23))</f>
        <v>36.913570613386341</v>
      </c>
      <c r="O23" s="407">
        <f>'Staging Table'!BH25*Rates_current!$E$75*100*12</f>
        <v>129424.90752000001</v>
      </c>
      <c r="P23" s="407">
        <f>'Staging Table'!BH25*Rates_current!$E$76*100*12</f>
        <v>-18204.728640000001</v>
      </c>
      <c r="Q23" s="408">
        <f>SUMPRODUCT('Staging Table'!BN25:CK25, LS_Demand_Rates_Restatement!$C$5:$Z$5)-IF(Init!$R$15="No",('Staging Table'!CX25*Rates_current!$H$35), 0)</f>
        <v>1680.1974027929327</v>
      </c>
      <c r="R23" s="408">
        <f>SUMPRODUCT('Staging Table'!CL25:CW25, LS_Demand_Rates_Restatement!$C$11:$N$11)*1000</f>
        <v>7098.1157498575467</v>
      </c>
      <c r="S23" s="409">
        <f>'Staging Table'!DH25*Rates_current!$H$33</f>
        <v>0</v>
      </c>
      <c r="T23" s="409">
        <f>IF('Staging Table'!D25=1, 'Staging Table'!BJ25*-1*('Staging Table'!BH25/'Staging Table'!BG25),SUM(O23:S23)*'Staging Table'!BJ25*-1)</f>
        <v>0</v>
      </c>
      <c r="U23" s="407">
        <f>'Staging Table'!BM25*Rates_current!$H$32*-1</f>
        <v>0</v>
      </c>
      <c r="V23" s="407">
        <f>IF(Init!$R$12="No",0,'Staging Table'!$CY25*-1)</f>
        <v>0</v>
      </c>
      <c r="W23" s="407">
        <f>IF('Staging Table'!C25=1,"",SUM(O23:V23))</f>
        <v>119998.49203265049</v>
      </c>
      <c r="X23" s="407">
        <f>IF('Staging Table'!C25=1,"",(RT1SC!$C$4*'Staging Table'!BH25*'Staging Table'!$BH$2)+SUM('Staging Table'!BN25:CK25)-IF(Init!$R$15="No",'Staging Table'!CX25, 0))</f>
        <v>3092.2799999999997</v>
      </c>
      <c r="Y23" s="169">
        <f>IF('Staging Table'!C25=1,"",IF(X23=0, 0, W23/X23))</f>
        <v>38.805830013016447</v>
      </c>
      <c r="Z23" s="160">
        <f>IF('Staging Table'!C25=1,"",Y23/N23-1)</f>
        <v>5.126189009046711E-2</v>
      </c>
      <c r="AA23" s="97">
        <f t="shared" si="0"/>
        <v>51</v>
      </c>
      <c r="AB23" s="397"/>
      <c r="AC23" s="397"/>
      <c r="AD23" s="397"/>
    </row>
    <row r="24" spans="2:30">
      <c r="B24" s="274">
        <v>10071</v>
      </c>
      <c r="C24" s="275" t="s">
        <v>27</v>
      </c>
      <c r="D24" s="407">
        <f>IF(Init!$R$9="Yes",'Staging Table'!F26,'Staging Table'!BH26)*Rates_previous!$E$75*100*12</f>
        <v>672049.48860000004</v>
      </c>
      <c r="E24" s="407">
        <f>IF(Init!$R$9="Yes",'Staging Table'!F26,'Staging Table'!BH26)*Rates_previous!$E$76*100*12</f>
        <v>-99907.221600000004</v>
      </c>
      <c r="F24" s="408">
        <f>IF(Init!$R$9="Yes",SUMPRODUCT('Staging Table'!L26:AI26,LS_Demand_Rates_Restatement!$C$4:$Z$4)-IF(Init!$R$15="No",('Staging Table'!AV26*Rates_previous!$H$35), 0),SUMPRODUCT('Staging Table'!BN26:CK26,LS_Demand_Rates_Restatement!$C$4:$Z$4)-IF(Init!$R$15="No", 'Staging Table'!CX26*Rates_previous!$H$35, 0))</f>
        <v>1388.4713912625475</v>
      </c>
      <c r="G24" s="408">
        <f>IF(Init!$R$9="Yes",SUMPRODUCT('Staging Table'!AJ26:AU26,LS_Demand_Rates_Restatement!$C$10:$N$10),SUMPRODUCT(LS_Demand_Rates_Restatement!$C$10:$N$10,'Staging Table'!CL26:CW26))*1000</f>
        <v>26459.907901210827</v>
      </c>
      <c r="H24" s="409">
        <f>IF(Init!$R$9="Yes",'Staging Table'!BF26,'Staging Table'!DH26)*Rates_previous!$H$33</f>
        <v>-1302.7816030834947</v>
      </c>
      <c r="I24" s="409">
        <f>IF(Init!$R$9="Yes",IF('Staging Table'!D26=1,'Staging Table'!H26*-1*('Staging Table'!F26/'Staging Table'!E26),'Staging Table'!H26*SUM(D24:H24)*(-1)),IF('Staging Table'!D26=1,'Staging Table'!BJ26*-1*('Staging Table'!BH26/'Staging Table'!BG26),'Staging Table'!BJ26*SUM(D24:H24)*(-1)))</f>
        <v>0</v>
      </c>
      <c r="J24" s="407">
        <f>IF(Init!$R$9="Yes",'Staging Table'!K26,'Staging Table'!BM26)*(-1)*Rates_previous!$H$32</f>
        <v>0</v>
      </c>
      <c r="K24" s="407">
        <f>IF(Init!$R$12="No",0,'Staging Table'!$AW26*-1)</f>
        <v>0</v>
      </c>
      <c r="L24" s="407">
        <f>IF('Staging Table'!C26=1,"",SUM(D24:K24))</f>
        <v>598687.86468938994</v>
      </c>
      <c r="M24" s="407">
        <f>IF('Staging Table'!C26=1,"",IF(Init!$R$9="Yes",(RT1SC!$C$3*'Staging Table'!F26*'Staging Table'!$F$2)+SUM('Staging Table'!L26:AI26)-IF(Init!$R$15="No",'Staging Table'!AV26, 0),X24))</f>
        <v>16507.257039199605</v>
      </c>
      <c r="N24" s="169">
        <f>IF('Staging Table'!C26=1,"",IF(M24=0, 0, L24/M24))</f>
        <v>36.268161528453355</v>
      </c>
      <c r="O24" s="407">
        <f>'Staging Table'!BH26*Rates_current!$E$75*100*12</f>
        <v>684831.00671999983</v>
      </c>
      <c r="P24" s="407">
        <f>'Staging Table'!BH26*Rates_current!$E$76*100*12</f>
        <v>-96327.383039999986</v>
      </c>
      <c r="Q24" s="408">
        <f>SUMPRODUCT('Staging Table'!BN26:CK26, LS_Demand_Rates_Restatement!$C$5:$Z$5)-IF(Init!$R$15="No",('Staging Table'!CX26*Rates_current!$H$35), 0)</f>
        <v>13962.302055959532</v>
      </c>
      <c r="R24" s="408">
        <f>SUMPRODUCT('Staging Table'!CL26:CW26, LS_Demand_Rates_Restatement!$C$11:$N$11)*1000</f>
        <v>23833.213248949429</v>
      </c>
      <c r="S24" s="409">
        <f>'Staging Table'!DH26*Rates_current!$H$33</f>
        <v>1898.7300000000009</v>
      </c>
      <c r="T24" s="409">
        <f>IF('Staging Table'!D26=1, 'Staging Table'!BJ26*-1*('Staging Table'!BH26/'Staging Table'!BG26),SUM(O24:S24)*'Staging Table'!BJ26*-1)</f>
        <v>0</v>
      </c>
      <c r="U24" s="407">
        <f>'Staging Table'!BM26*Rates_current!$H$32*-1</f>
        <v>0</v>
      </c>
      <c r="V24" s="407">
        <f>IF(Init!$R$12="No",0,'Staging Table'!$CY26*-1)</f>
        <v>0</v>
      </c>
      <c r="W24" s="407">
        <f>IF('Staging Table'!C26=1,"",SUM(O24:V24))</f>
        <v>628197.86898490868</v>
      </c>
      <c r="X24" s="407">
        <f>IF('Staging Table'!C26=1,"",(RT1SC!$C$4*'Staging Table'!BH26*'Staging Table'!$BH$2)+SUM('Staging Table'!BN26:CK26)-IF(Init!$R$15="No",'Staging Table'!CX26, 0))</f>
        <v>16503.84</v>
      </c>
      <c r="Y24" s="169">
        <f>IF('Staging Table'!C26=1,"",IF(X24=0, 0, W24/X24))</f>
        <v>38.063739649978956</v>
      </c>
      <c r="Z24" s="160">
        <f>IF('Staging Table'!C26=1,"",Y24/N24-1)</f>
        <v>4.9508385477905259E-2</v>
      </c>
      <c r="AA24" s="97">
        <f t="shared" si="0"/>
        <v>63</v>
      </c>
      <c r="AB24" s="397"/>
      <c r="AC24" s="397"/>
      <c r="AD24" s="397"/>
    </row>
    <row r="25" spans="2:30">
      <c r="B25" s="274">
        <v>10072</v>
      </c>
      <c r="C25" s="275" t="s">
        <v>28</v>
      </c>
      <c r="D25" s="407">
        <f>IF(Init!$R$9="Yes",'Staging Table'!F27,'Staging Table'!BH27)*Rates_previous!$E$75*100*12</f>
        <v>8418069.616320001</v>
      </c>
      <c r="E25" s="407">
        <f>IF(Init!$R$9="Yes",'Staging Table'!F27,'Staging Table'!BH27)*Rates_previous!$E$76*100*12</f>
        <v>-1251434.5459199999</v>
      </c>
      <c r="F25" s="408">
        <f>IF(Init!$R$9="Yes",SUMPRODUCT('Staging Table'!L27:AI27,LS_Demand_Rates_Restatement!$C$4:$Z$4)-IF(Init!$R$15="No",('Staging Table'!AV27*Rates_previous!$H$35), 0),SUMPRODUCT('Staging Table'!BN27:CK27,LS_Demand_Rates_Restatement!$C$4:$Z$4)-IF(Init!$R$15="No", 'Staging Table'!CX27*Rates_previous!$H$35, 0))</f>
        <v>-3411.3967833785264</v>
      </c>
      <c r="G25" s="408">
        <f>IF(Init!$R$9="Yes",SUMPRODUCT('Staging Table'!AJ27:AU27,LS_Demand_Rates_Restatement!$C$10:$N$10),SUMPRODUCT(LS_Demand_Rates_Restatement!$C$10:$N$10,'Staging Table'!CL27:CW27))*1000</f>
        <v>383339.68617718125</v>
      </c>
      <c r="H25" s="409">
        <f>IF(Init!$R$9="Yes",'Staging Table'!BF27,'Staging Table'!DH27)*Rates_previous!$H$33</f>
        <v>0</v>
      </c>
      <c r="I25" s="409">
        <f>IF(Init!$R$9="Yes",IF('Staging Table'!D27=1,'Staging Table'!H27*-1*('Staging Table'!F27/'Staging Table'!E27),'Staging Table'!H27*SUM(D25:H25)*(-1)),IF('Staging Table'!D27=1,'Staging Table'!BJ27*-1*('Staging Table'!BH27/'Staging Table'!BG27),'Staging Table'!BJ27*SUM(D25:H25)*(-1)))</f>
        <v>0</v>
      </c>
      <c r="J25" s="407">
        <f>IF(Init!$R$9="Yes",'Staging Table'!K27,'Staging Table'!BM27)*(-1)*Rates_previous!$H$32</f>
        <v>0</v>
      </c>
      <c r="K25" s="407">
        <f>IF(Init!$R$12="No",0,'Staging Table'!$AW27*-1)</f>
        <v>0</v>
      </c>
      <c r="L25" s="407">
        <f>IF('Staging Table'!C27=1,"",SUM(D25:K25))</f>
        <v>7546563.3597938037</v>
      </c>
      <c r="M25" s="407">
        <f>IF('Staging Table'!C27=1,"",IF(Init!$R$9="Yes",(RT1SC!$C$3*'Staging Table'!F27*'Staging Table'!$F$2)+SUM('Staging Table'!L27:AI27)-IF(Init!$R$15="No",'Staging Table'!AV27, 0),X25))</f>
        <v>206105.52249101299</v>
      </c>
      <c r="N25" s="169">
        <f>IF('Staging Table'!C27=1,"",IF(M25=0, 0, L25/M25))</f>
        <v>36.61504683904267</v>
      </c>
      <c r="O25" s="407">
        <f>'Staging Table'!BH27*Rates_current!$E$75*100*12</f>
        <v>8656691.9443199988</v>
      </c>
      <c r="P25" s="407">
        <f>'Staging Table'!BH27*Rates_current!$E$76*100*12</f>
        <v>-1217638.3262400001</v>
      </c>
      <c r="Q25" s="408">
        <f>SUMPRODUCT('Staging Table'!BN27:CK27, LS_Demand_Rates_Restatement!$C$5:$Z$5)-IF(Init!$R$15="No",('Staging Table'!CX27*Rates_current!$H$35), 0)</f>
        <v>96124.650754563365</v>
      </c>
      <c r="R25" s="408">
        <f>SUMPRODUCT('Staging Table'!CL27:CW27, LS_Demand_Rates_Restatement!$C$11:$N$11)*1000</f>
        <v>359544.2522933138</v>
      </c>
      <c r="S25" s="409">
        <f>'Staging Table'!DH27*Rates_current!$H$33</f>
        <v>0</v>
      </c>
      <c r="T25" s="409">
        <f>IF('Staging Table'!D27=1, 'Staging Table'!BJ27*-1*('Staging Table'!BH27/'Staging Table'!BG27),SUM(O25:S25)*'Staging Table'!BJ27*-1)</f>
        <v>0</v>
      </c>
      <c r="U25" s="407">
        <f>'Staging Table'!BM27*Rates_current!$H$32*-1</f>
        <v>0</v>
      </c>
      <c r="V25" s="407">
        <f>IF(Init!$R$12="No",0,'Staging Table'!$CY27*-1)</f>
        <v>0</v>
      </c>
      <c r="W25" s="407">
        <f>IF('Staging Table'!C27=1,"",SUM(O25:V25))</f>
        <v>7894722.5211278759</v>
      </c>
      <c r="X25" s="407">
        <f>IF('Staging Table'!C27=1,"",(RT1SC!$C$4*'Staging Table'!BH27*'Staging Table'!$BH$2)+SUM('Staging Table'!BN27:CK27)-IF(Init!$R$15="No",'Staging Table'!CX27, 0))</f>
        <v>205957.44501574116</v>
      </c>
      <c r="Y25" s="169">
        <f>IF('Staging Table'!C27=1,"",IF(X25=0, 0, W25/X25))</f>
        <v>38.331814227567683</v>
      </c>
      <c r="Z25" s="160">
        <f>IF('Staging Table'!C27=1,"",Y25/N25-1)</f>
        <v>4.6886936839704463E-2</v>
      </c>
      <c r="AA25" s="97">
        <f t="shared" si="0"/>
        <v>83</v>
      </c>
      <c r="AB25" s="397"/>
      <c r="AC25" s="397"/>
      <c r="AD25" s="397"/>
    </row>
    <row r="26" spans="2:30">
      <c r="B26" s="274">
        <v>10074</v>
      </c>
      <c r="C26" s="275" t="s">
        <v>29</v>
      </c>
      <c r="D26" s="407">
        <f>IF(Init!$R$9="Yes",'Staging Table'!F28,'Staging Table'!BH28)*Rates_previous!$E$75*100*12</f>
        <v>9365869.7974800002</v>
      </c>
      <c r="E26" s="407">
        <f>IF(Init!$R$9="Yes",'Staging Table'!F28,'Staging Table'!BH28)*Rates_previous!$E$76*100*12</f>
        <v>-1392335.0068800002</v>
      </c>
      <c r="F26" s="408">
        <f>IF(Init!$R$9="Yes",SUMPRODUCT('Staging Table'!L28:AI28,LS_Demand_Rates_Restatement!$C$4:$Z$4)-IF(Init!$R$15="No",('Staging Table'!AV28*Rates_previous!$H$35), 0),SUMPRODUCT('Staging Table'!BN28:CK28,LS_Demand_Rates_Restatement!$C$4:$Z$4)-IF(Init!$R$15="No", 'Staging Table'!CX28*Rates_previous!$H$35, 0))</f>
        <v>86091.439700254123</v>
      </c>
      <c r="G26" s="408">
        <f>IF(Init!$R$9="Yes",SUMPRODUCT('Staging Table'!AJ28:AU28,LS_Demand_Rates_Restatement!$C$10:$N$10),SUMPRODUCT(LS_Demand_Rates_Restatement!$C$10:$N$10,'Staging Table'!CL28:CW28))*1000</f>
        <v>680909.1563787394</v>
      </c>
      <c r="H26" s="409">
        <f>IF(Init!$R$9="Yes",'Staging Table'!BF28,'Staging Table'!DH28)*Rates_previous!$H$33</f>
        <v>0</v>
      </c>
      <c r="I26" s="409">
        <f>IF(Init!$R$9="Yes",IF('Staging Table'!D28=1,'Staging Table'!H28*-1*('Staging Table'!F28/'Staging Table'!E28),'Staging Table'!H28*SUM(D26:H26)*(-1)),IF('Staging Table'!D28=1,'Staging Table'!BJ28*-1*('Staging Table'!BH28/'Staging Table'!BG28),'Staging Table'!BJ28*SUM(D26:H26)*(-1)))</f>
        <v>0</v>
      </c>
      <c r="J26" s="407">
        <f>IF(Init!$R$9="Yes",'Staging Table'!K28,'Staging Table'!BM28)*(-1)*Rates_previous!$H$32</f>
        <v>0</v>
      </c>
      <c r="K26" s="407">
        <f>IF(Init!$R$12="No",0,'Staging Table'!$AW28*-1)</f>
        <v>0</v>
      </c>
      <c r="L26" s="407">
        <f>IF('Staging Table'!C28=1,"",SUM(D26:K26))</f>
        <v>8740535.3866789937</v>
      </c>
      <c r="M26" s="407">
        <f>IF('Staging Table'!C28=1,"",IF(Init!$R$9="Yes",(RT1SC!$C$3*'Staging Table'!F28*'Staging Table'!$F$2)+SUM('Staging Table'!L28:AI28)-IF(Init!$R$15="No",'Staging Table'!AV28, 0),X26))</f>
        <v>232090.848</v>
      </c>
      <c r="N26" s="169">
        <f>IF('Staging Table'!C28=1,"",IF(M26=0, 0, L26/M26))</f>
        <v>37.659974367791506</v>
      </c>
      <c r="O26" s="407">
        <f>'Staging Table'!BH28*Rates_current!$E$75*100*12</f>
        <v>9631455.1257600002</v>
      </c>
      <c r="P26" s="407">
        <f>'Staging Table'!BH28*Rates_current!$E$76*100*12</f>
        <v>-1354747.1683200002</v>
      </c>
      <c r="Q26" s="408">
        <f>SUMPRODUCT('Staging Table'!BN28:CK28, LS_Demand_Rates_Restatement!$C$5:$Z$5)-IF(Init!$R$15="No",('Staging Table'!CX28*Rates_current!$H$35), 0)</f>
        <v>142097.00414548063</v>
      </c>
      <c r="R26" s="408">
        <f>SUMPRODUCT('Staging Table'!CL28:CW28, LS_Demand_Rates_Restatement!$C$11:$N$11)*1000</f>
        <v>656615.57947039721</v>
      </c>
      <c r="S26" s="409">
        <f>'Staging Table'!DH28*Rates_current!$H$33</f>
        <v>0</v>
      </c>
      <c r="T26" s="409">
        <f>IF('Staging Table'!D28=1, 'Staging Table'!BJ28*-1*('Staging Table'!BH28/'Staging Table'!BG28),SUM(O26:S26)*'Staging Table'!BJ28*-1)</f>
        <v>0</v>
      </c>
      <c r="U26" s="407">
        <f>'Staging Table'!BM28*Rates_current!$H$32*-1</f>
        <v>0</v>
      </c>
      <c r="V26" s="407">
        <f>IF(Init!$R$12="No",0,'Staging Table'!$CY28*-1)</f>
        <v>0</v>
      </c>
      <c r="W26" s="407">
        <f>IF('Staging Table'!C28=1,"",SUM(O26:V26))</f>
        <v>9075420.5410558786</v>
      </c>
      <c r="X26" s="407">
        <f>IF('Staging Table'!C28=1,"",(RT1SC!$C$4*'Staging Table'!BH28*'Staging Table'!$BH$2)+SUM('Staging Table'!BN28:CK28)-IF(Init!$R$15="No",'Staging Table'!CX28, 0))</f>
        <v>229985.04</v>
      </c>
      <c r="Y26" s="169">
        <f>IF('Staging Table'!C28=1,"",IF(X26=0, 0, W26/X26))</f>
        <v>39.460916853791353</v>
      </c>
      <c r="Z26" s="160">
        <f>IF('Staging Table'!C28=1,"",Y26/N26-1)</f>
        <v>4.7821128830615844E-2</v>
      </c>
      <c r="AA26" s="97">
        <f t="shared" si="0"/>
        <v>78</v>
      </c>
      <c r="AB26" s="397"/>
      <c r="AC26" s="397"/>
      <c r="AD26" s="397"/>
    </row>
    <row r="27" spans="2:30">
      <c r="B27" s="274">
        <v>10076</v>
      </c>
      <c r="C27" s="275" t="s">
        <v>30</v>
      </c>
      <c r="D27" s="407">
        <f>IF(Init!$R$9="Yes",'Staging Table'!F29,'Staging Table'!BH29)*Rates_previous!$E$75*100*12</f>
        <v>1690891.36524</v>
      </c>
      <c r="E27" s="407">
        <f>IF(Init!$R$9="Yes",'Staging Table'!F29,'Staging Table'!BH29)*Rates_previous!$E$76*100*12</f>
        <v>-251368.77743999998</v>
      </c>
      <c r="F27" s="408">
        <f>IF(Init!$R$9="Yes",SUMPRODUCT('Staging Table'!L29:AI29,LS_Demand_Rates_Restatement!$C$4:$Z$4)-IF(Init!$R$15="No",('Staging Table'!AV29*Rates_previous!$H$35), 0),SUMPRODUCT('Staging Table'!BN29:CK29,LS_Demand_Rates_Restatement!$C$4:$Z$4)-IF(Init!$R$15="No", 'Staging Table'!CX29*Rates_previous!$H$35, 0))</f>
        <v>-94696.957288027741</v>
      </c>
      <c r="G27" s="408">
        <f>IF(Init!$R$9="Yes",SUMPRODUCT('Staging Table'!AJ29:AU29,LS_Demand_Rates_Restatement!$C$10:$N$10),SUMPRODUCT(LS_Demand_Rates_Restatement!$C$10:$N$10,'Staging Table'!CL29:CW29))*1000</f>
        <v>50462.916083867531</v>
      </c>
      <c r="H27" s="409">
        <f>IF(Init!$R$9="Yes",'Staging Table'!BF29,'Staging Table'!DH29)*Rates_previous!$H$33</f>
        <v>0</v>
      </c>
      <c r="I27" s="409">
        <f>IF(Init!$R$9="Yes",IF('Staging Table'!D29=1,'Staging Table'!H29*-1*('Staging Table'!F29/'Staging Table'!E29),'Staging Table'!H29*SUM(D27:H27)*(-1)),IF('Staging Table'!D29=1,'Staging Table'!BJ29*-1*('Staging Table'!BH29/'Staging Table'!BG29),'Staging Table'!BJ29*SUM(D27:H27)*(-1)))</f>
        <v>0</v>
      </c>
      <c r="J27" s="407">
        <f>IF(Init!$R$9="Yes",'Staging Table'!K29,'Staging Table'!BM29)*(-1)*Rates_previous!$H$32</f>
        <v>0</v>
      </c>
      <c r="K27" s="407">
        <f>IF(Init!$R$12="No",0,'Staging Table'!$AW29*-1)</f>
        <v>0</v>
      </c>
      <c r="L27" s="407">
        <f>IF('Staging Table'!C29=1,"",SUM(D27:K27))</f>
        <v>1395288.5465958396</v>
      </c>
      <c r="M27" s="407">
        <f>IF('Staging Table'!C29=1,"",IF(Init!$R$9="Yes",(RT1SC!$C$3*'Staging Table'!F29*'Staging Table'!$F$2)+SUM('Staging Table'!L29:AI29)-IF(Init!$R$15="No",'Staging Table'!AV29, 0),X27))</f>
        <v>37788.541098627087</v>
      </c>
      <c r="N27" s="169">
        <f>IF('Staging Table'!C29=1,"",IF(M27=0, 0, L27/M27))</f>
        <v>36.923588633765284</v>
      </c>
      <c r="O27" s="407">
        <f>'Staging Table'!BH29*Rates_current!$E$75*100*12</f>
        <v>1738828.7279999997</v>
      </c>
      <c r="P27" s="407">
        <f>'Staging Table'!BH29*Rates_current!$E$76*100*12</f>
        <v>-244581.24599999998</v>
      </c>
      <c r="Q27" s="408">
        <f>SUMPRODUCT('Staging Table'!BN29:CK29, LS_Demand_Rates_Restatement!$C$5:$Z$5)-IF(Init!$R$15="No",('Staging Table'!CX29*Rates_current!$H$35), 0)</f>
        <v>21203.817413881479</v>
      </c>
      <c r="R27" s="408">
        <f>SUMPRODUCT('Staging Table'!CL29:CW29, LS_Demand_Rates_Restatement!$C$11:$N$11)*1000</f>
        <v>44539.320075400639</v>
      </c>
      <c r="S27" s="409">
        <f>'Staging Table'!DH29*Rates_current!$H$33</f>
        <v>0</v>
      </c>
      <c r="T27" s="409">
        <f>IF('Staging Table'!D29=1, 'Staging Table'!BJ29*-1*('Staging Table'!BH29/'Staging Table'!BG29),SUM(O27:S27)*'Staging Table'!BJ29*-1)</f>
        <v>0</v>
      </c>
      <c r="U27" s="407">
        <f>'Staging Table'!BM29*Rates_current!$H$32*-1</f>
        <v>0</v>
      </c>
      <c r="V27" s="407">
        <f>IF(Init!$R$12="No",0,'Staging Table'!$CY29*-1)</f>
        <v>0</v>
      </c>
      <c r="W27" s="407">
        <f>IF('Staging Table'!C29=1,"",SUM(O27:V27))</f>
        <v>1559990.6194892817</v>
      </c>
      <c r="X27" s="407">
        <f>IF('Staging Table'!C29=1,"",(RT1SC!$C$4*'Staging Table'!BH29*'Staging Table'!$BH$2)+SUM('Staging Table'!BN29:CK29)-IF(Init!$R$15="No",'Staging Table'!CX29, 0))</f>
        <v>41522.400000000001</v>
      </c>
      <c r="Y27" s="169">
        <f>IF('Staging Table'!C29=1,"",IF(X27=0, 0, W27/X27))</f>
        <v>37.569856739718361</v>
      </c>
      <c r="Z27" s="160">
        <f>IF('Staging Table'!C29=1,"",Y27/N27-1)</f>
        <v>1.7502851967159172E-2</v>
      </c>
      <c r="AA27" s="97">
        <f t="shared" si="0"/>
        <v>114</v>
      </c>
      <c r="AB27" s="397"/>
      <c r="AC27" s="397"/>
      <c r="AD27" s="397"/>
    </row>
    <row r="28" spans="2:30">
      <c r="B28" s="274">
        <v>10078</v>
      </c>
      <c r="C28" s="275" t="s">
        <v>31</v>
      </c>
      <c r="D28" s="407">
        <f>IF(Init!$R$9="Yes",'Staging Table'!F30,'Staging Table'!BH30)*Rates_previous!$E$75*100*12</f>
        <v>1249541.7379200002</v>
      </c>
      <c r="E28" s="407">
        <f>IF(Init!$R$9="Yes",'Staging Table'!F30,'Staging Table'!BH30)*Rates_previous!$E$76*100*12</f>
        <v>-185757.51552000002</v>
      </c>
      <c r="F28" s="408">
        <f>IF(Init!$R$9="Yes",SUMPRODUCT('Staging Table'!L30:AI30,LS_Demand_Rates_Restatement!$C$4:$Z$4)-IF(Init!$R$15="No",('Staging Table'!AV30*Rates_previous!$H$35), 0),SUMPRODUCT('Staging Table'!BN30:CK30,LS_Demand_Rates_Restatement!$C$4:$Z$4)-IF(Init!$R$15="No", 'Staging Table'!CX30*Rates_previous!$H$35, 0))</f>
        <v>18716.570296487353</v>
      </c>
      <c r="G28" s="408">
        <f>IF(Init!$R$9="Yes",SUMPRODUCT('Staging Table'!AJ30:AU30,LS_Demand_Rates_Restatement!$C$10:$N$10),SUMPRODUCT(LS_Demand_Rates_Restatement!$C$10:$N$10,'Staging Table'!CL30:CW30))*1000</f>
        <v>95481.567114120349</v>
      </c>
      <c r="H28" s="409">
        <f>IF(Init!$R$9="Yes",'Staging Table'!BF30,'Staging Table'!DH30)*Rates_previous!$H$33</f>
        <v>931.42774502199643</v>
      </c>
      <c r="I28" s="409">
        <f>IF(Init!$R$9="Yes",IF('Staging Table'!D30=1,'Staging Table'!H30*-1*('Staging Table'!F30/'Staging Table'!E30),'Staging Table'!H30*SUM(D28:H28)*(-1)),IF('Staging Table'!D30=1,'Staging Table'!BJ30*-1*('Staging Table'!BH30/'Staging Table'!BG30),'Staging Table'!BJ30*SUM(D28:H28)*(-1)))</f>
        <v>0</v>
      </c>
      <c r="J28" s="407">
        <f>IF(Init!$R$9="Yes",'Staging Table'!K30,'Staging Table'!BM30)*(-1)*Rates_previous!$H$32</f>
        <v>0</v>
      </c>
      <c r="K28" s="407">
        <f>IF(Init!$R$12="No",0,'Staging Table'!$AW30*-1)</f>
        <v>0</v>
      </c>
      <c r="L28" s="407">
        <f>IF('Staging Table'!C30=1,"",SUM(D28:K28))</f>
        <v>1178913.7875556301</v>
      </c>
      <c r="M28" s="407">
        <f>IF('Staging Table'!C30=1,"",IF(Init!$R$9="Yes",(RT1SC!$C$3*'Staging Table'!F30*'Staging Table'!$F$2)+SUM('Staging Table'!L30:AI30)-IF(Init!$R$15="No",'Staging Table'!AV30, 0),X28))</f>
        <v>31068.84607288384</v>
      </c>
      <c r="N28" s="169">
        <f>IF('Staging Table'!C30=1,"",IF(M28=0, 0, L28/M28))</f>
        <v>37.945206744725496</v>
      </c>
      <c r="O28" s="407">
        <f>'Staging Table'!BH30*Rates_current!$E$75*100*12</f>
        <v>1341891.7084799998</v>
      </c>
      <c r="P28" s="407">
        <f>'Staging Table'!BH30*Rates_current!$E$76*100*12</f>
        <v>-188748.63335999998</v>
      </c>
      <c r="Q28" s="408">
        <f>SUMPRODUCT('Staging Table'!BN30:CK30, LS_Demand_Rates_Restatement!$C$5:$Z$5)-IF(Init!$R$15="No",('Staging Table'!CX30*Rates_current!$H$35), 0)</f>
        <v>3882.7232738653483</v>
      </c>
      <c r="R28" s="408">
        <f>SUMPRODUCT('Staging Table'!CL30:CW30, LS_Demand_Rates_Restatement!$C$11:$N$11)*1000</f>
        <v>95973.557971527785</v>
      </c>
      <c r="S28" s="409">
        <f>'Staging Table'!DH30*Rates_current!$H$33</f>
        <v>-12434.227539677546</v>
      </c>
      <c r="T28" s="409">
        <f>IF('Staging Table'!D30=1, 'Staging Table'!BJ30*-1*('Staging Table'!BH30/'Staging Table'!BG30),SUM(O28:S28)*'Staging Table'!BJ30*-1)</f>
        <v>0</v>
      </c>
      <c r="U28" s="407">
        <f>'Staging Table'!BM30*Rates_current!$H$32*-1</f>
        <v>0</v>
      </c>
      <c r="V28" s="407">
        <f>IF(Init!$R$12="No",0,'Staging Table'!$CY30*-1)</f>
        <v>0</v>
      </c>
      <c r="W28" s="407">
        <f>IF('Staging Table'!C30=1,"",SUM(O28:V28))</f>
        <v>1240565.1288257153</v>
      </c>
      <c r="X28" s="407">
        <f>IF('Staging Table'!C30=1,"",(RT1SC!$C$4*'Staging Table'!BH30*'Staging Table'!$BH$2)+SUM('Staging Table'!BN30:CK30)-IF(Init!$R$15="No",'Staging Table'!CX30, 0))</f>
        <v>31068.846467476269</v>
      </c>
      <c r="Y28" s="169">
        <f>IF('Staging Table'!C30=1,"",IF(X28=0, 0, W28/X28))</f>
        <v>39.929552264657566</v>
      </c>
      <c r="Z28" s="160">
        <f>IF('Staging Table'!C30=1,"",Y28/N28-1)</f>
        <v>5.2295024593795425E-2</v>
      </c>
      <c r="AA28" s="97">
        <f t="shared" si="0"/>
        <v>47</v>
      </c>
      <c r="AB28" s="397"/>
      <c r="AC28" s="397"/>
      <c r="AD28" s="397"/>
    </row>
    <row r="29" spans="2:30">
      <c r="B29" s="274">
        <v>10079</v>
      </c>
      <c r="C29" s="275" t="s">
        <v>32</v>
      </c>
      <c r="D29" s="407">
        <f>IF(Init!$R$9="Yes",'Staging Table'!F31,'Staging Table'!BH31)*Rates_previous!$E$75*100*12</f>
        <v>30951901.345679998</v>
      </c>
      <c r="E29" s="407">
        <f>IF(Init!$R$9="Yes",'Staging Table'!F31,'Staging Table'!BH31)*Rates_previous!$E$76*100*12</f>
        <v>-4601325.5260800002</v>
      </c>
      <c r="F29" s="408">
        <f>IF(Init!$R$9="Yes",SUMPRODUCT('Staging Table'!L31:AI31,LS_Demand_Rates_Restatement!$C$4:$Z$4)-IF(Init!$R$15="No",('Staging Table'!AV31*Rates_previous!$H$35), 0),SUMPRODUCT('Staging Table'!BN31:CK31,LS_Demand_Rates_Restatement!$C$4:$Z$4)-IF(Init!$R$15="No", 'Staging Table'!CX31*Rates_previous!$H$35, 0))</f>
        <v>-1138773.5558190506</v>
      </c>
      <c r="G29" s="408">
        <f>IF(Init!$R$9="Yes",SUMPRODUCT('Staging Table'!AJ31:AU31,LS_Demand_Rates_Restatement!$C$10:$N$10),SUMPRODUCT(LS_Demand_Rates_Restatement!$C$10:$N$10,'Staging Table'!CL31:CW31))*1000</f>
        <v>1661839.2056651979</v>
      </c>
      <c r="H29" s="409">
        <f>IF(Init!$R$9="Yes",'Staging Table'!BF31,'Staging Table'!DH31)*Rates_previous!$H$33</f>
        <v>-27965.904372417976</v>
      </c>
      <c r="I29" s="409">
        <f>IF(Init!$R$9="Yes",IF('Staging Table'!D31=1,'Staging Table'!H31*-1*('Staging Table'!F31/'Staging Table'!E31),'Staging Table'!H31*SUM(D29:H29)*(-1)),IF('Staging Table'!D31=1,'Staging Table'!BJ31*-1*('Staging Table'!BH31/'Staging Table'!BG31),'Staging Table'!BJ31*SUM(D29:H29)*(-1)))</f>
        <v>0</v>
      </c>
      <c r="J29" s="407">
        <f>IF(Init!$R$9="Yes",'Staging Table'!K31,'Staging Table'!BM31)*(-1)*Rates_previous!$H$32</f>
        <v>0</v>
      </c>
      <c r="K29" s="407">
        <f>IF(Init!$R$12="No",0,'Staging Table'!$AW31*-1)</f>
        <v>0</v>
      </c>
      <c r="L29" s="407">
        <f>IF('Staging Table'!C31=1,"",SUM(D29:K29))</f>
        <v>26845675.565073729</v>
      </c>
      <c r="M29" s="407">
        <f>IF('Staging Table'!C31=1,"",IF(Init!$R$9="Yes",(RT1SC!$C$3*'Staging Table'!F31*'Staging Table'!$F$2)+SUM('Staging Table'!L31:AI31)-IF(Init!$R$15="No",'Staging Table'!AV31, 0),X29))</f>
        <v>714817.81880537653</v>
      </c>
      <c r="N29" s="169">
        <f>IF('Staging Table'!C31=1,"",IF(M29=0, 0, L29/M29))</f>
        <v>37.555968610210321</v>
      </c>
      <c r="O29" s="407">
        <f>'Staging Table'!BH31*Rates_current!$E$75*100*12</f>
        <v>31829355.406079996</v>
      </c>
      <c r="P29" s="407">
        <f>'Staging Table'!BH31*Rates_current!$E$76*100*12</f>
        <v>-4477073.1465599993</v>
      </c>
      <c r="Q29" s="408">
        <f>SUMPRODUCT('Staging Table'!BN31:CK31, LS_Demand_Rates_Restatement!$C$5:$Z$5)-IF(Init!$R$15="No",('Staging Table'!CX31*Rates_current!$H$35), 0)</f>
        <v>210330.97859403648</v>
      </c>
      <c r="R29" s="408">
        <f>SUMPRODUCT('Staging Table'!CL31:CW31, LS_Demand_Rates_Restatement!$C$11:$N$11)*1000</f>
        <v>1578013.9550939547</v>
      </c>
      <c r="S29" s="409">
        <f>'Staging Table'!DH31*Rates_current!$H$33</f>
        <v>0</v>
      </c>
      <c r="T29" s="409">
        <f>IF('Staging Table'!D31=1, 'Staging Table'!BJ31*-1*('Staging Table'!BH31/'Staging Table'!BG31),SUM(O29:S29)*'Staging Table'!BJ31*-1)</f>
        <v>0</v>
      </c>
      <c r="U29" s="407">
        <f>'Staging Table'!BM31*Rates_current!$H$32*-1</f>
        <v>0</v>
      </c>
      <c r="V29" s="407">
        <f>IF(Init!$R$12="No",0,'Staging Table'!$CY31*-1)</f>
        <v>0</v>
      </c>
      <c r="W29" s="407">
        <f>IF('Staging Table'!C31=1,"",SUM(O29:V29))</f>
        <v>29140627.193207987</v>
      </c>
      <c r="X29" s="407">
        <f>IF('Staging Table'!C31=1,"",(RT1SC!$C$4*'Staging Table'!BH31*'Staging Table'!$BH$2)+SUM('Staging Table'!BN31:CK31)-IF(Init!$R$15="No",'Staging Table'!CX31, 0))</f>
        <v>758340.05208842712</v>
      </c>
      <c r="Y29" s="169">
        <f>IF('Staging Table'!C31=1,"",IF(X29=0, 0, W29/X29))</f>
        <v>38.426860236323122</v>
      </c>
      <c r="Z29" s="160">
        <f>IF('Staging Table'!C31=1,"",Y29/N29-1)</f>
        <v>2.318916695110973E-2</v>
      </c>
      <c r="AA29" s="97">
        <f t="shared" si="0"/>
        <v>111</v>
      </c>
      <c r="AB29" s="397"/>
      <c r="AC29" s="397"/>
      <c r="AD29" s="397"/>
    </row>
    <row r="30" spans="2:30">
      <c r="B30" s="274">
        <v>10080</v>
      </c>
      <c r="C30" s="275" t="s">
        <v>33</v>
      </c>
      <c r="D30" s="407">
        <f>IF(Init!$R$9="Yes",'Staging Table'!F32,'Staging Table'!BH32)*Rates_previous!$E$75*100*12</f>
        <v>2610225.3618000001</v>
      </c>
      <c r="E30" s="407">
        <f>IF(Init!$R$9="Yes",'Staging Table'!F32,'Staging Table'!BH32)*Rates_previous!$E$76*100*12</f>
        <v>-388037.4408000001</v>
      </c>
      <c r="F30" s="408">
        <f>IF(Init!$R$9="Yes",SUMPRODUCT('Staging Table'!L32:AI32,LS_Demand_Rates_Restatement!$C$4:$Z$4)-IF(Init!$R$15="No",('Staging Table'!AV32*Rates_previous!$H$35), 0),SUMPRODUCT('Staging Table'!BN32:CK32,LS_Demand_Rates_Restatement!$C$4:$Z$4)-IF(Init!$R$15="No", 'Staging Table'!CX32*Rates_previous!$H$35, 0))</f>
        <v>-132828.26732189208</v>
      </c>
      <c r="G30" s="408">
        <f>IF(Init!$R$9="Yes",SUMPRODUCT('Staging Table'!AJ32:AU32,LS_Demand_Rates_Restatement!$C$10:$N$10),SUMPRODUCT(LS_Demand_Rates_Restatement!$C$10:$N$10,'Staging Table'!CL32:CW32))*1000</f>
        <v>109871.9963934829</v>
      </c>
      <c r="H30" s="409">
        <f>IF(Init!$R$9="Yes",'Staging Table'!BF32,'Staging Table'!DH32)*Rates_previous!$H$33</f>
        <v>-51117.200402583825</v>
      </c>
      <c r="I30" s="409">
        <f>IF(Init!$R$9="Yes",IF('Staging Table'!D32=1,'Staging Table'!H32*-1*('Staging Table'!F32/'Staging Table'!E32),'Staging Table'!H32*SUM(D30:H30)*(-1)),IF('Staging Table'!D32=1,'Staging Table'!BJ32*-1*('Staging Table'!BH32/'Staging Table'!BG32),'Staging Table'!BJ32*SUM(D30:H30)*(-1)))</f>
        <v>0</v>
      </c>
      <c r="J30" s="407">
        <f>IF(Init!$R$9="Yes",'Staging Table'!K32,'Staging Table'!BM32)*(-1)*Rates_previous!$H$32</f>
        <v>0</v>
      </c>
      <c r="K30" s="407">
        <f>IF(Init!$R$12="No",0,'Staging Table'!$AW32*-1)</f>
        <v>0</v>
      </c>
      <c r="L30" s="407">
        <f>IF('Staging Table'!C32=1,"",SUM(D30:K30))</f>
        <v>2148114.4496690072</v>
      </c>
      <c r="M30" s="407">
        <f>IF('Staging Table'!C32=1,"",IF(Init!$R$9="Yes",(RT1SC!$C$3*'Staging Table'!F32*'Staging Table'!$F$2)+SUM('Staging Table'!L32:AI32)-IF(Init!$R$15="No",'Staging Table'!AV32, 0),X30))</f>
        <v>58909.421152250412</v>
      </c>
      <c r="N30" s="169">
        <f>IF('Staging Table'!C32=1,"",IF(M30=0, 0, L30/M30))</f>
        <v>36.464701361047858</v>
      </c>
      <c r="O30" s="407">
        <f>'Staging Table'!BH32*Rates_current!$E$75*100*12</f>
        <v>2684547.73728</v>
      </c>
      <c r="P30" s="407">
        <f>'Staging Table'!BH32*Rates_current!$E$76*100*12</f>
        <v>-377604.77496000007</v>
      </c>
      <c r="Q30" s="408">
        <f>SUMPRODUCT('Staging Table'!BN32:CK32, LS_Demand_Rates_Restatement!$C$5:$Z$5)-IF(Init!$R$15="No",('Staging Table'!CX32*Rates_current!$H$35), 0)</f>
        <v>-88281.006409894064</v>
      </c>
      <c r="R30" s="408">
        <f>SUMPRODUCT('Staging Table'!CL32:CW32, LS_Demand_Rates_Restatement!$C$11:$N$11)*1000</f>
        <v>102342.1385473736</v>
      </c>
      <c r="S30" s="409">
        <f>'Staging Table'!DH32*Rates_current!$H$33</f>
        <v>-66252.290325960101</v>
      </c>
      <c r="T30" s="409">
        <f>IF('Staging Table'!D32=1, 'Staging Table'!BJ32*-1*('Staging Table'!BH32/'Staging Table'!BG32),SUM(O30:S30)*'Staging Table'!BJ32*-1)</f>
        <v>0</v>
      </c>
      <c r="U30" s="407">
        <f>'Staging Table'!BM32*Rates_current!$H$32*-1</f>
        <v>0</v>
      </c>
      <c r="V30" s="407">
        <f>IF(Init!$R$12="No",0,'Staging Table'!$CY32*-1)</f>
        <v>0</v>
      </c>
      <c r="W30" s="407">
        <f>IF('Staging Table'!C32=1,"",SUM(O30:V30))</f>
        <v>2254751.804131519</v>
      </c>
      <c r="X30" s="407">
        <f>IF('Staging Table'!C32=1,"",(RT1SC!$C$4*'Staging Table'!BH32*'Staging Table'!$BH$2)+SUM('Staging Table'!BN32:CK32)-IF(Init!$R$15="No",'Staging Table'!CX32, 0))</f>
        <v>58909.421935218808</v>
      </c>
      <c r="Y30" s="169">
        <f>IF('Staging Table'!C32=1,"",IF(X30=0, 0, W30/X30))</f>
        <v>38.274892709200444</v>
      </c>
      <c r="Z30" s="160">
        <f>IF('Staging Table'!C32=1,"",Y30/N30-1)</f>
        <v>4.9642291876446309E-2</v>
      </c>
      <c r="AA30" s="97">
        <f t="shared" si="0"/>
        <v>61</v>
      </c>
      <c r="AB30" s="397"/>
      <c r="AC30" s="397"/>
      <c r="AD30" s="397"/>
    </row>
    <row r="31" spans="2:30">
      <c r="B31" s="274">
        <v>10081</v>
      </c>
      <c r="C31" s="275" t="s">
        <v>34</v>
      </c>
      <c r="D31" s="407">
        <f>IF(Init!$R$9="Yes",'Staging Table'!F33,'Staging Table'!BH33)*Rates_previous!$E$75*100*12</f>
        <v>3523371.05736</v>
      </c>
      <c r="E31" s="407">
        <f>IF(Init!$R$9="Yes",'Staging Table'!F33,'Staging Table'!BH33)*Rates_previous!$E$76*100*12</f>
        <v>-523786.14815999998</v>
      </c>
      <c r="F31" s="408">
        <f>IF(Init!$R$9="Yes",SUMPRODUCT('Staging Table'!L33:AI33,LS_Demand_Rates_Restatement!$C$4:$Z$4)-IF(Init!$R$15="No",('Staging Table'!AV33*Rates_previous!$H$35), 0),SUMPRODUCT('Staging Table'!BN33:CK33,LS_Demand_Rates_Restatement!$C$4:$Z$4)-IF(Init!$R$15="No", 'Staging Table'!CX33*Rates_previous!$H$35, 0))</f>
        <v>-107216.78232392599</v>
      </c>
      <c r="G31" s="408">
        <f>IF(Init!$R$9="Yes",SUMPRODUCT('Staging Table'!AJ33:AU33,LS_Demand_Rates_Restatement!$C$10:$N$10),SUMPRODUCT(LS_Demand_Rates_Restatement!$C$10:$N$10,'Staging Table'!CL33:CW33))*1000</f>
        <v>197381.99451573179</v>
      </c>
      <c r="H31" s="409">
        <f>IF(Init!$R$9="Yes",'Staging Table'!BF33,'Staging Table'!DH33)*Rates_previous!$H$33</f>
        <v>-53528.92228121173</v>
      </c>
      <c r="I31" s="409">
        <f>IF(Init!$R$9="Yes",IF('Staging Table'!D33=1,'Staging Table'!H33*-1*('Staging Table'!F33/'Staging Table'!E33),'Staging Table'!H33*SUM(D31:H31)*(-1)),IF('Staging Table'!D33=1,'Staging Table'!BJ33*-1*('Staging Table'!BH33/'Staging Table'!BG33),'Staging Table'!BJ33*SUM(D31:H31)*(-1)))</f>
        <v>0</v>
      </c>
      <c r="J31" s="407">
        <f>IF(Init!$R$9="Yes",'Staging Table'!K33,'Staging Table'!BM33)*(-1)*Rates_previous!$H$32</f>
        <v>0</v>
      </c>
      <c r="K31" s="407">
        <f>IF(Init!$R$12="No",0,'Staging Table'!$AW33*-1)</f>
        <v>0</v>
      </c>
      <c r="L31" s="407">
        <f>IF('Staging Table'!C33=1,"",SUM(D31:K31))</f>
        <v>3036221.1991105941</v>
      </c>
      <c r="M31" s="407">
        <f>IF('Staging Table'!C33=1,"",IF(Init!$R$9="Yes",(RT1SC!$C$3*'Staging Table'!F33*'Staging Table'!$F$2)+SUM('Staging Table'!L33:AI33)-IF(Init!$R$15="No",'Staging Table'!AV33, 0),X31))</f>
        <v>81264.49420551279</v>
      </c>
      <c r="N31" s="169">
        <f>IF('Staging Table'!C33=1,"",IF(M31=0, 0, L31/M31))</f>
        <v>37.362211243598978</v>
      </c>
      <c r="O31" s="407">
        <f>'Staging Table'!BH33*Rates_current!$E$75*100*12</f>
        <v>3556637.2224000003</v>
      </c>
      <c r="P31" s="407">
        <f>'Staging Table'!BH33*Rates_current!$E$76*100*12</f>
        <v>-500271.67680000002</v>
      </c>
      <c r="Q31" s="408">
        <f>SUMPRODUCT('Staging Table'!BN33:CK33, LS_Demand_Rates_Restatement!$C$5:$Z$5)-IF(Init!$R$15="No",('Staging Table'!CX33*Rates_current!$H$35), 0)</f>
        <v>-545.00288948382877</v>
      </c>
      <c r="R31" s="408">
        <f>SUMPRODUCT('Staging Table'!CL33:CW33, LS_Demand_Rates_Restatement!$C$11:$N$11)*1000</f>
        <v>190549.65987535607</v>
      </c>
      <c r="S31" s="409">
        <f>'Staging Table'!DH33*Rates_current!$H$33</f>
        <v>-46712.235702373</v>
      </c>
      <c r="T31" s="409">
        <f>IF('Staging Table'!D33=1, 'Staging Table'!BJ33*-1*('Staging Table'!BH33/'Staging Table'!BG33),SUM(O31:S31)*'Staging Table'!BJ33*-1)</f>
        <v>0</v>
      </c>
      <c r="U31" s="407">
        <f>'Staging Table'!BM33*Rates_current!$H$32*-1</f>
        <v>0</v>
      </c>
      <c r="V31" s="407">
        <f>IF(Init!$R$12="No",0,'Staging Table'!$CY33*-1)</f>
        <v>0</v>
      </c>
      <c r="W31" s="407">
        <f>IF('Staging Table'!C33=1,"",SUM(O31:V31))</f>
        <v>3199657.9668834996</v>
      </c>
      <c r="X31" s="407">
        <f>IF('Staging Table'!C33=1,"",(RT1SC!$C$4*'Staging Table'!BH33*'Staging Table'!$BH$2)+SUM('Staging Table'!BN33:CK33)-IF(Init!$R$15="No",'Staging Table'!CX33, 0))</f>
        <v>81264.495239029566</v>
      </c>
      <c r="Y31" s="169">
        <f>IF('Staging Table'!C33=1,"",IF(X31=0, 0, W31/X31))</f>
        <v>39.373381419180632</v>
      </c>
      <c r="Z31" s="160">
        <f>IF('Staging Table'!C33=1,"",Y31/N31-1)</f>
        <v>5.3828992145806609E-2</v>
      </c>
      <c r="AA31" s="97">
        <f t="shared" si="0"/>
        <v>39</v>
      </c>
      <c r="AB31" s="397"/>
      <c r="AC31" s="397"/>
      <c r="AD31" s="397"/>
    </row>
    <row r="32" spans="2:30">
      <c r="B32" s="274">
        <v>10082</v>
      </c>
      <c r="C32" s="275" t="s">
        <v>35</v>
      </c>
      <c r="D32" s="407">
        <f>IF(Init!$R$9="Yes",'Staging Table'!F34,'Staging Table'!BH34)*Rates_previous!$E$75*100*12</f>
        <v>40347.722519999996</v>
      </c>
      <c r="E32" s="407">
        <f>IF(Init!$R$9="Yes",'Staging Table'!F34,'Staging Table'!BH34)*Rates_previous!$E$76*100*12</f>
        <v>-5998.1131200000009</v>
      </c>
      <c r="F32" s="408">
        <f>IF(Init!$R$9="Yes",SUMPRODUCT('Staging Table'!L34:AI34,LS_Demand_Rates_Restatement!$C$4:$Z$4)-IF(Init!$R$15="No",('Staging Table'!AV34*Rates_previous!$H$35), 0),SUMPRODUCT('Staging Table'!BN34:CK34,LS_Demand_Rates_Restatement!$C$4:$Z$4)-IF(Init!$R$15="No", 'Staging Table'!CX34*Rates_previous!$H$35, 0))</f>
        <v>-4603.7595659315675</v>
      </c>
      <c r="G32" s="408">
        <f>IF(Init!$R$9="Yes",SUMPRODUCT('Staging Table'!AJ34:AU34,LS_Demand_Rates_Restatement!$C$10:$N$10),SUMPRODUCT(LS_Demand_Rates_Restatement!$C$10:$N$10,'Staging Table'!CL34:CW34))*1000</f>
        <v>3533.3347552439454</v>
      </c>
      <c r="H32" s="409">
        <f>IF(Init!$R$9="Yes",'Staging Table'!BF34,'Staging Table'!DH34)*Rates_previous!$H$33</f>
        <v>-1679.7122791722302</v>
      </c>
      <c r="I32" s="409">
        <f>IF(Init!$R$9="Yes",IF('Staging Table'!D34=1,'Staging Table'!H34*-1*('Staging Table'!F34/'Staging Table'!E34),'Staging Table'!H34*SUM(D32:H32)*(-1)),IF('Staging Table'!D34=1,'Staging Table'!BJ34*-1*('Staging Table'!BH34/'Staging Table'!BG34),'Staging Table'!BJ34*SUM(D32:H32)*(-1)))</f>
        <v>0</v>
      </c>
      <c r="J32" s="407">
        <f>IF(Init!$R$9="Yes",'Staging Table'!K34,'Staging Table'!BM34)*(-1)*Rates_previous!$H$32</f>
        <v>0</v>
      </c>
      <c r="K32" s="407">
        <f>IF(Init!$R$12="No",0,'Staging Table'!$AW34*-1)</f>
        <v>0</v>
      </c>
      <c r="L32" s="407">
        <f>IF('Staging Table'!C34=1,"",SUM(D32:K32))</f>
        <v>31599.472310140147</v>
      </c>
      <c r="M32" s="407">
        <f>IF('Staging Table'!C34=1,"",IF(Init!$R$9="Yes",(RT1SC!$C$3*'Staging Table'!F34*'Staging Table'!$F$2)+SUM('Staging Table'!L34:AI34)-IF(Init!$R$15="No",'Staging Table'!AV34, 0),X32))</f>
        <v>811.5780023534204</v>
      </c>
      <c r="N32" s="169">
        <f>IF('Staging Table'!C34=1,"",IF(M32=0, 0, L32/M32))</f>
        <v>38.935841309778901</v>
      </c>
      <c r="O32" s="407">
        <f>'Staging Table'!BH34*Rates_current!$E$75*100*12</f>
        <v>36942.148800000003</v>
      </c>
      <c r="P32" s="407">
        <f>'Staging Table'!BH34*Rates_current!$E$76*100*12</f>
        <v>-5196.231600000001</v>
      </c>
      <c r="Q32" s="408">
        <f>SUMPRODUCT('Staging Table'!BN34:CK34, LS_Demand_Rates_Restatement!$C$5:$Z$5)-IF(Init!$R$15="No",('Staging Table'!CX34*Rates_current!$H$35), 0)</f>
        <v>-946.39053851899178</v>
      </c>
      <c r="R32" s="408">
        <f>SUMPRODUCT('Staging Table'!CL34:CW34, LS_Demand_Rates_Restatement!$C$11:$N$11)*1000</f>
        <v>3527.3625460024932</v>
      </c>
      <c r="S32" s="409">
        <f>'Staging Table'!DH34*Rates_current!$H$33</f>
        <v>-933.07033591289996</v>
      </c>
      <c r="T32" s="409">
        <f>IF('Staging Table'!D34=1, 'Staging Table'!BJ34*-1*('Staging Table'!BH34/'Staging Table'!BG34),SUM(O32:S32)*'Staging Table'!BJ34*-1)</f>
        <v>0</v>
      </c>
      <c r="U32" s="407">
        <f>'Staging Table'!BM34*Rates_current!$H$32*-1</f>
        <v>0</v>
      </c>
      <c r="V32" s="407">
        <f>IF(Init!$R$12="No",0,'Staging Table'!$CY34*-1)</f>
        <v>0</v>
      </c>
      <c r="W32" s="407">
        <f>IF('Staging Table'!C34=1,"",SUM(O32:V32))</f>
        <v>33393.818871570613</v>
      </c>
      <c r="X32" s="407">
        <f>IF('Staging Table'!C34=1,"",(RT1SC!$C$4*'Staging Table'!BH34*'Staging Table'!$BH$2)+SUM('Staging Table'!BN34:CK34)-IF(Init!$R$15="No",'Staging Table'!CX34, 0))</f>
        <v>811.57801286957658</v>
      </c>
      <c r="Y32" s="169">
        <f>IF('Staging Table'!C34=1,"",IF(X32=0, 0, W32/X32))</f>
        <v>41.146776208853645</v>
      </c>
      <c r="Z32" s="160">
        <f>IF('Staging Table'!C34=1,"",Y32/N32-1)</f>
        <v>5.6784053578918137E-2</v>
      </c>
      <c r="AA32" s="97">
        <f t="shared" si="0"/>
        <v>33</v>
      </c>
      <c r="AB32" s="397"/>
      <c r="AC32" s="397"/>
      <c r="AD32" s="397"/>
    </row>
    <row r="33" spans="2:30">
      <c r="B33" s="274">
        <v>10083</v>
      </c>
      <c r="C33" s="275" t="s">
        <v>36</v>
      </c>
      <c r="D33" s="407">
        <f>IF(Init!$R$9="Yes",'Staging Table'!F35,'Staging Table'!BH35)*Rates_previous!$E$75*100*12</f>
        <v>2935729.9944000002</v>
      </c>
      <c r="E33" s="407">
        <f>IF(Init!$R$9="Yes",'Staging Table'!F35,'Staging Table'!BH35)*Rates_previous!$E$76*100*12</f>
        <v>-436427.12639999995</v>
      </c>
      <c r="F33" s="408">
        <f>IF(Init!$R$9="Yes",SUMPRODUCT('Staging Table'!L35:AI35,LS_Demand_Rates_Restatement!$C$4:$Z$4)-IF(Init!$R$15="No",('Staging Table'!AV35*Rates_previous!$H$35), 0),SUMPRODUCT('Staging Table'!BN35:CK35,LS_Demand_Rates_Restatement!$C$4:$Z$4)-IF(Init!$R$15="No", 'Staging Table'!CX35*Rates_previous!$H$35, 0))</f>
        <v>23177.11896929039</v>
      </c>
      <c r="G33" s="408">
        <f>IF(Init!$R$9="Yes",SUMPRODUCT('Staging Table'!AJ35:AU35,LS_Demand_Rates_Restatement!$C$10:$N$10),SUMPRODUCT(LS_Demand_Rates_Restatement!$C$10:$N$10,'Staging Table'!CL35:CW35))*1000</f>
        <v>136395.97254754274</v>
      </c>
      <c r="H33" s="409">
        <f>IF(Init!$R$9="Yes",'Staging Table'!BF35,'Staging Table'!DH35)*Rates_previous!$H$33</f>
        <v>0</v>
      </c>
      <c r="I33" s="409">
        <f>IF(Init!$R$9="Yes",IF('Staging Table'!D35=1,'Staging Table'!H35*-1*('Staging Table'!F35/'Staging Table'!E35),'Staging Table'!H35*SUM(D33:H33)*(-1)),IF('Staging Table'!D35=1,'Staging Table'!BJ35*-1*('Staging Table'!BH35/'Staging Table'!BG35),'Staging Table'!BJ35*SUM(D33:H33)*(-1)))</f>
        <v>0</v>
      </c>
      <c r="J33" s="407">
        <f>IF(Init!$R$9="Yes",'Staging Table'!K35,'Staging Table'!BM35)*(-1)*Rates_previous!$H$32</f>
        <v>0</v>
      </c>
      <c r="K33" s="407">
        <f>IF(Init!$R$12="No",0,'Staging Table'!$AW35*-1)</f>
        <v>0</v>
      </c>
      <c r="L33" s="407">
        <f>IF('Staging Table'!C35=1,"",SUM(D33:K33))</f>
        <v>2658875.9595168335</v>
      </c>
      <c r="M33" s="407">
        <f>IF('Staging Table'!C35=1,"",IF(Init!$R$9="Yes",(RT1SC!$C$3*'Staging Table'!F35*'Staging Table'!$F$2)+SUM('Staging Table'!L35:AI35)-IF(Init!$R$15="No",'Staging Table'!AV35, 0),X33))</f>
        <v>72749.088000000003</v>
      </c>
      <c r="N33" s="169">
        <f>IF('Staging Table'!C35=1,"",IF(M33=0, 0, L33/M33))</f>
        <v>36.54858133090044</v>
      </c>
      <c r="O33" s="407">
        <f>'Staging Table'!BH35*Rates_current!$E$75*100*12</f>
        <v>3018810.4905600003</v>
      </c>
      <c r="P33" s="407">
        <f>'Staging Table'!BH35*Rates_current!$E$76*100*12</f>
        <v>-424621.71192000003</v>
      </c>
      <c r="Q33" s="408">
        <f>SUMPRODUCT('Staging Table'!BN35:CK35, LS_Demand_Rates_Restatement!$C$5:$Z$5)-IF(Init!$R$15="No",('Staging Table'!CX35*Rates_current!$H$35), 0)</f>
        <v>46702.479138353112</v>
      </c>
      <c r="R33" s="408">
        <f>SUMPRODUCT('Staging Table'!CL35:CW35, LS_Demand_Rates_Restatement!$C$11:$N$11)*1000</f>
        <v>128593.16362791134</v>
      </c>
      <c r="S33" s="409">
        <f>'Staging Table'!DH35*Rates_current!$H$33</f>
        <v>0</v>
      </c>
      <c r="T33" s="409">
        <f>IF('Staging Table'!D35=1, 'Staging Table'!BJ35*-1*('Staging Table'!BH35/'Staging Table'!BG35),SUM(O33:S33)*'Staging Table'!BJ35*-1)</f>
        <v>0</v>
      </c>
      <c r="U33" s="407">
        <f>'Staging Table'!BM35*Rates_current!$H$32*-1</f>
        <v>0</v>
      </c>
      <c r="V33" s="407">
        <f>IF(Init!$R$12="No",0,'Staging Table'!$CY35*-1)</f>
        <v>0</v>
      </c>
      <c r="W33" s="407">
        <f>IF('Staging Table'!C35=1,"",SUM(O33:V33))</f>
        <v>2769484.4214062644</v>
      </c>
      <c r="X33" s="407">
        <f>IF('Staging Table'!C35=1,"",(RT1SC!$C$4*'Staging Table'!BH35*'Staging Table'!$BH$2)+SUM('Staging Table'!BN35:CK35)-IF(Init!$R$15="No",'Staging Table'!CX35, 0))</f>
        <v>72086.039999999994</v>
      </c>
      <c r="Y33" s="169">
        <f>IF('Staging Table'!C35=1,"",IF(X33=0, 0, W33/X33))</f>
        <v>38.419150523544708</v>
      </c>
      <c r="Z33" s="160">
        <f>IF('Staging Table'!C35=1,"",Y33/N33-1)</f>
        <v>5.1180350222315596E-2</v>
      </c>
      <c r="AA33" s="97">
        <f t="shared" si="0"/>
        <v>52</v>
      </c>
      <c r="AB33" s="397"/>
      <c r="AC33" s="397"/>
      <c r="AD33" s="397"/>
    </row>
    <row r="34" spans="2:30">
      <c r="B34" s="274">
        <v>10086</v>
      </c>
      <c r="C34" s="275" t="s">
        <v>37</v>
      </c>
      <c r="D34" s="407">
        <f>IF(Init!$R$9="Yes",'Staging Table'!F36,'Staging Table'!BH36)*Rates_previous!$E$75*100*12</f>
        <v>1384941.7637999998</v>
      </c>
      <c r="E34" s="407">
        <f>IF(Init!$R$9="Yes",'Staging Table'!F36,'Staging Table'!BH36)*Rates_previous!$E$76*100*12</f>
        <v>-205886.15280000001</v>
      </c>
      <c r="F34" s="408">
        <f>IF(Init!$R$9="Yes",SUMPRODUCT('Staging Table'!L36:AI36,LS_Demand_Rates_Restatement!$C$4:$Z$4)-IF(Init!$R$15="No",('Staging Table'!AV36*Rates_previous!$H$35), 0),SUMPRODUCT('Staging Table'!BN36:CK36,LS_Demand_Rates_Restatement!$C$4:$Z$4)-IF(Init!$R$15="No", 'Staging Table'!CX36*Rates_previous!$H$35, 0))</f>
        <v>-12126.368639552888</v>
      </c>
      <c r="G34" s="408">
        <f>IF(Init!$R$9="Yes",SUMPRODUCT('Staging Table'!AJ36:AU36,LS_Demand_Rates_Restatement!$C$10:$N$10),SUMPRODUCT(LS_Demand_Rates_Restatement!$C$10:$N$10,'Staging Table'!CL36:CW36))*1000</f>
        <v>71125.620328828358</v>
      </c>
      <c r="H34" s="409">
        <f>IF(Init!$R$9="Yes",'Staging Table'!BF36,'Staging Table'!DH36)*Rates_previous!$H$33</f>
        <v>-6901.008035083597</v>
      </c>
      <c r="I34" s="409">
        <f>IF(Init!$R$9="Yes",IF('Staging Table'!D36=1,'Staging Table'!H36*-1*('Staging Table'!F36/'Staging Table'!E36),'Staging Table'!H36*SUM(D34:H34)*(-1)),IF('Staging Table'!D36=1,'Staging Table'!BJ36*-1*('Staging Table'!BH36/'Staging Table'!BG36),'Staging Table'!BJ36*SUM(D34:H34)*(-1)))</f>
        <v>0</v>
      </c>
      <c r="J34" s="407">
        <f>IF(Init!$R$9="Yes",'Staging Table'!K36,'Staging Table'!BM36)*(-1)*Rates_previous!$H$32</f>
        <v>0</v>
      </c>
      <c r="K34" s="407">
        <f>IF(Init!$R$12="No",0,'Staging Table'!$AW36*-1)</f>
        <v>0</v>
      </c>
      <c r="L34" s="407">
        <f>IF('Staging Table'!C36=1,"",SUM(D34:K34))</f>
        <v>1231153.8546541918</v>
      </c>
      <c r="M34" s="407">
        <f>IF('Staging Table'!C36=1,"",IF(Init!$R$9="Yes",(RT1SC!$C$3*'Staging Table'!F36*'Staging Table'!$F$2)+SUM('Staging Table'!L36:AI36)-IF(Init!$R$15="No",'Staging Table'!AV36, 0),X34))</f>
        <v>33539.313080781518</v>
      </c>
      <c r="N34" s="169">
        <f>IF('Staging Table'!C36=1,"",IF(M34=0, 0, L34/M34))</f>
        <v>36.707783838293921</v>
      </c>
      <c r="O34" s="407">
        <f>'Staging Table'!BH36*Rates_current!$E$75*100*12</f>
        <v>1424183.5296</v>
      </c>
      <c r="P34" s="407">
        <f>'Staging Table'!BH36*Rates_current!$E$76*100*12</f>
        <v>-200323.68719999999</v>
      </c>
      <c r="Q34" s="408">
        <f>SUMPRODUCT('Staging Table'!BN36:CK36, LS_Demand_Rates_Restatement!$C$5:$Z$5)-IF(Init!$R$15="No",('Staging Table'!CX36*Rates_current!$H$35), 0)</f>
        <v>7217.3688229574118</v>
      </c>
      <c r="R34" s="408">
        <f>SUMPRODUCT('Staging Table'!CL36:CW36, LS_Demand_Rates_Restatement!$C$11:$N$11)*1000</f>
        <v>68287.601050525307</v>
      </c>
      <c r="S34" s="409">
        <f>'Staging Table'!DH36*Rates_current!$H$33</f>
        <v>-5954.3329241594383</v>
      </c>
      <c r="T34" s="409">
        <f>IF('Staging Table'!D36=1, 'Staging Table'!BJ36*-1*('Staging Table'!BH36/'Staging Table'!BG36),SUM(O34:S34)*'Staging Table'!BJ36*-1)</f>
        <v>0</v>
      </c>
      <c r="U34" s="407">
        <f>'Staging Table'!BM36*Rates_current!$H$32*-1</f>
        <v>0</v>
      </c>
      <c r="V34" s="407">
        <f>IF(Init!$R$12="No",0,'Staging Table'!$CY36*-1)</f>
        <v>0</v>
      </c>
      <c r="W34" s="407">
        <f>IF('Staging Table'!C36=1,"",SUM(O34:V34))</f>
        <v>1293410.4793493231</v>
      </c>
      <c r="X34" s="407">
        <f>IF('Staging Table'!C36=1,"",(RT1SC!$C$4*'Staging Table'!BH36*'Staging Table'!$BH$2)+SUM('Staging Table'!BN36:CK36)-IF(Init!$R$15="No",'Staging Table'!CX36, 0))</f>
        <v>33539.313496144357</v>
      </c>
      <c r="Y34" s="169">
        <f>IF('Staging Table'!C36=1,"",IF(X34=0, 0, W34/X34))</f>
        <v>38.56401173798659</v>
      </c>
      <c r="Z34" s="160">
        <f>IF('Staging Table'!C36=1,"",Y34/N34-1)</f>
        <v>5.0567691797188674E-2</v>
      </c>
      <c r="AA34" s="97">
        <f t="shared" si="0"/>
        <v>55</v>
      </c>
      <c r="AB34" s="397"/>
      <c r="AC34" s="397"/>
      <c r="AD34" s="397"/>
    </row>
    <row r="35" spans="2:30">
      <c r="B35" s="274">
        <v>10087</v>
      </c>
      <c r="C35" s="275" t="s">
        <v>38</v>
      </c>
      <c r="D35" s="407">
        <f>IF(Init!$R$9="Yes",'Staging Table'!F37,'Staging Table'!BH37)*Rates_previous!$E$75*100*12</f>
        <v>29573642.946960002</v>
      </c>
      <c r="E35" s="407">
        <f>IF(Init!$R$9="Yes",'Staging Table'!F37,'Staging Table'!BH37)*Rates_previous!$E$76*100*12</f>
        <v>-4396432.92576</v>
      </c>
      <c r="F35" s="408">
        <f>IF(Init!$R$9="Yes",SUMPRODUCT('Staging Table'!L37:AI37,LS_Demand_Rates_Restatement!$C$4:$Z$4)-IF(Init!$R$15="No",('Staging Table'!AV37*Rates_previous!$H$35), 0),SUMPRODUCT('Staging Table'!BN37:CK37,LS_Demand_Rates_Restatement!$C$4:$Z$4)-IF(Init!$R$15="No", 'Staging Table'!CX37*Rates_previous!$H$35, 0))</f>
        <v>-11812068.762857474</v>
      </c>
      <c r="G35" s="408">
        <f>IF(Init!$R$9="Yes",SUMPRODUCT('Staging Table'!AJ37:AU37,LS_Demand_Rates_Restatement!$C$10:$N$10),SUMPRODUCT(LS_Demand_Rates_Restatement!$C$10:$N$10,'Staging Table'!CL37:CW37))*1000</f>
        <v>121940.68507115396</v>
      </c>
      <c r="H35" s="409">
        <f>IF(Init!$R$9="Yes",'Staging Table'!BF37,'Staging Table'!DH37)*Rates_previous!$H$33</f>
        <v>-4096408.5205838839</v>
      </c>
      <c r="I35" s="409">
        <f>IF(Init!$R$9="Yes",IF('Staging Table'!D37=1,'Staging Table'!H37*-1*('Staging Table'!F37/'Staging Table'!E37),'Staging Table'!H37*SUM(D35:H35)*(-1)),IF('Staging Table'!D37=1,'Staging Table'!BJ37*-1*('Staging Table'!BH37/'Staging Table'!BG37),'Staging Table'!BJ37*SUM(D35:H35)*(-1)))</f>
        <v>0</v>
      </c>
      <c r="J35" s="407">
        <f>IF(Init!$R$9="Yes",'Staging Table'!K37,'Staging Table'!BM37)*(-1)*Rates_previous!$H$32</f>
        <v>0</v>
      </c>
      <c r="K35" s="407">
        <f>IF(Init!$R$12="No",0,'Staging Table'!$AW37*-1)</f>
        <v>0</v>
      </c>
      <c r="L35" s="407">
        <f>IF('Staging Table'!C37=1,"",SUM(D35:K35))</f>
        <v>9390673.4228297956</v>
      </c>
      <c r="M35" s="407">
        <f>IF('Staging Table'!C37=1,"",IF(Init!$R$9="Yes",(RT1SC!$C$3*'Staging Table'!F37*'Staging Table'!$F$2)+SUM('Staging Table'!L37:AI37)-IF(Init!$R$15="No",'Staging Table'!AV37, 0),X35))</f>
        <v>269978.10072498495</v>
      </c>
      <c r="N35" s="169">
        <f>IF('Staging Table'!C37=1,"",IF(M35=0, 0, L35/M35))</f>
        <v>34.783093138341876</v>
      </c>
      <c r="O35" s="407">
        <f>'Staging Table'!BH37*Rates_current!$E$75*100*12</f>
        <v>11306080.946880002</v>
      </c>
      <c r="P35" s="407">
        <f>'Staging Table'!BH37*Rates_current!$E$76*100*12</f>
        <v>-1590297.7221599999</v>
      </c>
      <c r="Q35" s="408">
        <f>SUMPRODUCT('Staging Table'!BN37:CK37, LS_Demand_Rates_Restatement!$C$5:$Z$5)-IF(Init!$R$15="No",('Staging Table'!CX37*Rates_current!$H$35), 0)</f>
        <v>123722.95004539769</v>
      </c>
      <c r="R35" s="408">
        <f>SUMPRODUCT('Staging Table'!CL37:CW37, LS_Demand_Rates_Restatement!$C$11:$N$11)*1000</f>
        <v>95551.31824511227</v>
      </c>
      <c r="S35" s="409">
        <f>'Staging Table'!DH37*Rates_current!$H$33</f>
        <v>46.702468574163504</v>
      </c>
      <c r="T35" s="409">
        <f>IF('Staging Table'!D37=1, 'Staging Table'!BJ37*-1*('Staging Table'!BH37/'Staging Table'!BG37),SUM(O35:S35)*'Staging Table'!BJ37*-1)</f>
        <v>0</v>
      </c>
      <c r="U35" s="407">
        <f>'Staging Table'!BM37*Rates_current!$H$32*-1</f>
        <v>0</v>
      </c>
      <c r="V35" s="407">
        <f>IF(Init!$R$12="No",0,'Staging Table'!$CY37*-1)</f>
        <v>0</v>
      </c>
      <c r="W35" s="407">
        <f>IF('Staging Table'!C37=1,"",SUM(O35:V35))</f>
        <v>9935104.1954790857</v>
      </c>
      <c r="X35" s="407">
        <f>IF('Staging Table'!C37=1,"",(RT1SC!$C$4*'Staging Table'!BH37*'Staging Table'!$BH$2)+SUM('Staging Table'!BN37:CK37)-IF(Init!$R$15="No",'Staging Table'!CX37, 0))</f>
        <v>269978.1029387117</v>
      </c>
      <c r="Y35" s="169">
        <f>IF('Staging Table'!C37=1,"",IF(X35=0, 0, W35/X35))</f>
        <v>36.799666666798068</v>
      </c>
      <c r="Z35" s="160">
        <f>IF('Staging Table'!C37=1,"",Y35/N35-1)</f>
        <v>5.7975681473632301E-2</v>
      </c>
      <c r="AA35" s="97">
        <f t="shared" si="0"/>
        <v>27</v>
      </c>
      <c r="AB35" s="397"/>
      <c r="AC35" s="397"/>
      <c r="AD35" s="397"/>
    </row>
    <row r="36" spans="2:30">
      <c r="B36" s="274">
        <v>10089</v>
      </c>
      <c r="C36" s="275" t="s">
        <v>39</v>
      </c>
      <c r="D36" s="407">
        <f>IF(Init!$R$9="Yes",'Staging Table'!F38,'Staging Table'!BH38)*Rates_previous!$E$75*100*12</f>
        <v>36348347.349720001</v>
      </c>
      <c r="E36" s="407">
        <f>IF(Init!$R$9="Yes",'Staging Table'!F38,'Staging Table'!BH38)*Rates_previous!$E$76*100*12</f>
        <v>-5403563.9563200008</v>
      </c>
      <c r="F36" s="408">
        <f>IF(Init!$R$9="Yes",SUMPRODUCT('Staging Table'!L38:AI38,LS_Demand_Rates_Restatement!$C$4:$Z$4)-IF(Init!$R$15="No",('Staging Table'!AV38*Rates_previous!$H$35), 0),SUMPRODUCT('Staging Table'!BN38:CK38,LS_Demand_Rates_Restatement!$C$4:$Z$4)-IF(Init!$R$15="No", 'Staging Table'!CX38*Rates_previous!$H$35, 0))</f>
        <v>223783.92588029476</v>
      </c>
      <c r="G36" s="408">
        <f>IF(Init!$R$9="Yes",SUMPRODUCT('Staging Table'!AJ38:AU38,LS_Demand_Rates_Restatement!$C$10:$N$10),SUMPRODUCT(LS_Demand_Rates_Restatement!$C$10:$N$10,'Staging Table'!CL38:CW38))*1000</f>
        <v>1779263.0941462254</v>
      </c>
      <c r="H36" s="409">
        <f>IF(Init!$R$9="Yes",'Staging Table'!BF38,'Staging Table'!DH38)*Rates_previous!$H$33</f>
        <v>0</v>
      </c>
      <c r="I36" s="409">
        <f>IF(Init!$R$9="Yes",IF('Staging Table'!D38=1,'Staging Table'!H38*-1*('Staging Table'!F38/'Staging Table'!E38),'Staging Table'!H38*SUM(D36:H36)*(-1)),IF('Staging Table'!D38=1,'Staging Table'!BJ38*-1*('Staging Table'!BH38/'Staging Table'!BG38),'Staging Table'!BJ38*SUM(D36:H36)*(-1)))</f>
        <v>0</v>
      </c>
      <c r="J36" s="407">
        <f>IF(Init!$R$9="Yes",'Staging Table'!K38,'Staging Table'!BM38)*(-1)*Rates_previous!$H$32</f>
        <v>0</v>
      </c>
      <c r="K36" s="407">
        <f>IF(Init!$R$12="No",0,'Staging Table'!$AW38*-1)</f>
        <v>0</v>
      </c>
      <c r="L36" s="407">
        <f>IF('Staging Table'!C38=1,"",SUM(D36:K36))</f>
        <v>32947830.413426518</v>
      </c>
      <c r="M36" s="407">
        <f>IF('Staging Table'!C38=1,"",IF(Init!$R$9="Yes",(RT1SC!$C$3*'Staging Table'!F38*'Staging Table'!$F$2)+SUM('Staging Table'!L38:AI38)-IF(Init!$R$15="No",'Staging Table'!AV38, 0),X36))</f>
        <v>900728.92799999996</v>
      </c>
      <c r="N36" s="169">
        <f>IF('Staging Table'!C38=1,"",IF(M36=0, 0, L36/M36))</f>
        <v>36.57907433547701</v>
      </c>
      <c r="O36" s="407">
        <f>'Staging Table'!BH38*Rates_current!$E$75*100*12</f>
        <v>37488637.8288</v>
      </c>
      <c r="P36" s="407">
        <f>'Staging Table'!BH38*Rates_current!$E$76*100*12</f>
        <v>-5273099.9916000003</v>
      </c>
      <c r="Q36" s="408">
        <f>SUMPRODUCT('Staging Table'!BN38:CK38, LS_Demand_Rates_Restatement!$C$5:$Z$5)-IF(Init!$R$15="No",('Staging Table'!CX38*Rates_current!$H$35), 0)</f>
        <v>330365.68872946792</v>
      </c>
      <c r="R36" s="408">
        <f>SUMPRODUCT('Staging Table'!CL38:CW38, LS_Demand_Rates_Restatement!$C$11:$N$11)*1000</f>
        <v>1670417.4363388983</v>
      </c>
      <c r="S36" s="409">
        <f>'Staging Table'!DH38*Rates_current!$H$33</f>
        <v>0</v>
      </c>
      <c r="T36" s="409">
        <f>IF('Staging Table'!D38=1, 'Staging Table'!BJ38*-1*('Staging Table'!BH38/'Staging Table'!BG38),SUM(O36:S36)*'Staging Table'!BJ38*-1)</f>
        <v>0</v>
      </c>
      <c r="U36" s="407">
        <f>'Staging Table'!BM38*Rates_current!$H$32*-1</f>
        <v>0</v>
      </c>
      <c r="V36" s="407">
        <f>IF(Init!$R$12="No",0,'Staging Table'!$CY38*-1)</f>
        <v>0</v>
      </c>
      <c r="W36" s="407">
        <f>IF('Staging Table'!C38=1,"",SUM(O36:V36))</f>
        <v>34216320.962268367</v>
      </c>
      <c r="X36" s="407">
        <f>IF('Staging Table'!C38=1,"",(RT1SC!$C$4*'Staging Table'!BH38*'Staging Table'!$BH$2)+SUM('Staging Table'!BN38:CK38)-IF(Init!$R$15="No",'Staging Table'!CX38, 0))</f>
        <v>892553.06805995747</v>
      </c>
      <c r="Y36" s="169">
        <f>IF('Staging Table'!C38=1,"",IF(X36=0, 0, W36/X36))</f>
        <v>38.335335104096998</v>
      </c>
      <c r="Z36" s="160">
        <f>IF('Staging Table'!C38=1,"",Y36/N36-1)</f>
        <v>4.8012717667834437E-2</v>
      </c>
      <c r="AA36" s="97">
        <f t="shared" si="0"/>
        <v>77</v>
      </c>
      <c r="AB36" s="397"/>
      <c r="AC36" s="397"/>
      <c r="AD36" s="397"/>
    </row>
    <row r="37" spans="2:30">
      <c r="B37" s="274">
        <v>10091</v>
      </c>
      <c r="C37" s="275" t="s">
        <v>40</v>
      </c>
      <c r="D37" s="407">
        <f>IF(Init!$R$9="Yes",'Staging Table'!F39,'Staging Table'!BH39)*Rates_previous!$E$75*100*12</f>
        <v>3307275.5864399998</v>
      </c>
      <c r="E37" s="407">
        <f>IF(Init!$R$9="Yes",'Staging Table'!F39,'Staging Table'!BH39)*Rates_previous!$E$76*100*12</f>
        <v>-491661.28463999997</v>
      </c>
      <c r="F37" s="408">
        <f>IF(Init!$R$9="Yes",SUMPRODUCT('Staging Table'!L39:AI39,LS_Demand_Rates_Restatement!$C$4:$Z$4)-IF(Init!$R$15="No",('Staging Table'!AV39*Rates_previous!$H$35), 0),SUMPRODUCT('Staging Table'!BN39:CK39,LS_Demand_Rates_Restatement!$C$4:$Z$4)-IF(Init!$R$15="No", 'Staging Table'!CX39*Rates_previous!$H$35, 0))</f>
        <v>21086.17700182374</v>
      </c>
      <c r="G37" s="408">
        <f>IF(Init!$R$9="Yes",SUMPRODUCT('Staging Table'!AJ39:AU39,LS_Demand_Rates_Restatement!$C$10:$N$10),SUMPRODUCT(LS_Demand_Rates_Restatement!$C$10:$N$10,'Staging Table'!CL39:CW39))*1000</f>
        <v>202798.61035109509</v>
      </c>
      <c r="H37" s="409">
        <f>IF(Init!$R$9="Yes",'Staging Table'!BF39,'Staging Table'!DH39)*Rates_previous!$H$33</f>
        <v>0</v>
      </c>
      <c r="I37" s="409">
        <f>IF(Init!$R$9="Yes",IF('Staging Table'!D39=1,'Staging Table'!H39*-1*('Staging Table'!F39/'Staging Table'!E39),'Staging Table'!H39*SUM(D37:H37)*(-1)),IF('Staging Table'!D39=1,'Staging Table'!BJ39*-1*('Staging Table'!BH39/'Staging Table'!BG39),'Staging Table'!BJ39*SUM(D37:H37)*(-1)))</f>
        <v>0</v>
      </c>
      <c r="J37" s="407">
        <f>IF(Init!$R$9="Yes",'Staging Table'!K39,'Staging Table'!BM39)*(-1)*Rates_previous!$H$32</f>
        <v>0</v>
      </c>
      <c r="K37" s="407">
        <f>IF(Init!$R$12="No",0,'Staging Table'!$AW39*-1)</f>
        <v>0</v>
      </c>
      <c r="L37" s="407">
        <f>IF('Staging Table'!C39=1,"",SUM(D37:K37))</f>
        <v>3039499.0891529182</v>
      </c>
      <c r="M37" s="407">
        <f>IF('Staging Table'!C39=1,"",IF(Init!$R$9="Yes",(RT1SC!$C$3*'Staging Table'!F39*'Staging Table'!$F$2)+SUM('Staging Table'!L39:AI39)-IF(Init!$R$15="No",'Staging Table'!AV39, 0),X37))</f>
        <v>81954.720000000001</v>
      </c>
      <c r="N37" s="169">
        <f>IF('Staging Table'!C39=1,"",IF(M37=0, 0, L37/M37))</f>
        <v>37.087541622409525</v>
      </c>
      <c r="O37" s="407">
        <f>'Staging Table'!BH39*Rates_current!$E$75*100*12</f>
        <v>3400970.65056</v>
      </c>
      <c r="P37" s="407">
        <f>'Staging Table'!BH39*Rates_current!$E$76*100*12</f>
        <v>-478375.83192000003</v>
      </c>
      <c r="Q37" s="408">
        <f>SUMPRODUCT('Staging Table'!BN39:CK39, LS_Demand_Rates_Restatement!$C$5:$Z$5)-IF(Init!$R$15="No",('Staging Table'!CX39*Rates_current!$H$35), 0)</f>
        <v>46465.437096678841</v>
      </c>
      <c r="R37" s="408">
        <f>SUMPRODUCT('Staging Table'!CL39:CW39, LS_Demand_Rates_Restatement!$C$11:$N$11)*1000</f>
        <v>192062.59850649041</v>
      </c>
      <c r="S37" s="409">
        <f>'Staging Table'!DH39*Rates_current!$H$33</f>
        <v>0</v>
      </c>
      <c r="T37" s="409">
        <f>IF('Staging Table'!D39=1, 'Staging Table'!BJ39*-1*('Staging Table'!BH39/'Staging Table'!BG39),SUM(O37:S37)*'Staging Table'!BJ39*-1)</f>
        <v>0</v>
      </c>
      <c r="U37" s="407">
        <f>'Staging Table'!BM39*Rates_current!$H$32*-1</f>
        <v>0</v>
      </c>
      <c r="V37" s="407">
        <f>IF(Init!$R$12="No",0,'Staging Table'!$CY39*-1)</f>
        <v>0</v>
      </c>
      <c r="W37" s="407">
        <f>IF('Staging Table'!C39=1,"",SUM(O37:V37))</f>
        <v>3161122.8542431691</v>
      </c>
      <c r="X37" s="407">
        <f>IF('Staging Table'!C39=1,"",(RT1SC!$C$4*'Staging Table'!BH39*'Staging Table'!$BH$2)+SUM('Staging Table'!BN39:CK39)-IF(Init!$R$15="No",'Staging Table'!CX39, 0))</f>
        <v>81213.960000000006</v>
      </c>
      <c r="Y37" s="169">
        <f>IF('Staging Table'!C39=1,"",IF(X37=0, 0, W37/X37))</f>
        <v>38.923392656178429</v>
      </c>
      <c r="Z37" s="160">
        <f>IF('Staging Table'!C39=1,"",Y37/N37-1)</f>
        <v>4.9500477881759153E-2</v>
      </c>
      <c r="AA37" s="97">
        <f t="shared" si="0"/>
        <v>64</v>
      </c>
      <c r="AB37" s="397"/>
      <c r="AC37" s="397"/>
      <c r="AD37" s="397"/>
    </row>
    <row r="38" spans="2:30">
      <c r="B38" s="274">
        <v>10094</v>
      </c>
      <c r="C38" s="275" t="s">
        <v>41</v>
      </c>
      <c r="D38" s="407">
        <f>IF(Init!$R$9="Yes",'Staging Table'!F40,'Staging Table'!BH40)*Rates_previous!$E$75*100*12</f>
        <v>1042604.95248</v>
      </c>
      <c r="E38" s="407">
        <f>IF(Init!$R$9="Yes",'Staging Table'!F40,'Staging Table'!BH40)*Rates_previous!$E$76*100*12</f>
        <v>-154994.18687999999</v>
      </c>
      <c r="F38" s="408">
        <f>IF(Init!$R$9="Yes",SUMPRODUCT('Staging Table'!L40:AI40,LS_Demand_Rates_Restatement!$C$4:$Z$4)-IF(Init!$R$15="No",('Staging Table'!AV40*Rates_previous!$H$35), 0),SUMPRODUCT('Staging Table'!BN40:CK40,LS_Demand_Rates_Restatement!$C$4:$Z$4)-IF(Init!$R$15="No", 'Staging Table'!CX40*Rates_previous!$H$35, 0))</f>
        <v>22139.938943451147</v>
      </c>
      <c r="G38" s="408">
        <f>IF(Init!$R$9="Yes",SUMPRODUCT('Staging Table'!AJ40:AU40,LS_Demand_Rates_Restatement!$C$10:$N$10),SUMPRODUCT(LS_Demand_Rates_Restatement!$C$10:$N$10,'Staging Table'!CL40:CW40))*1000</f>
        <v>57009.878895254646</v>
      </c>
      <c r="H38" s="409">
        <f>IF(Init!$R$9="Yes",'Staging Table'!BF40,'Staging Table'!DH40)*Rates_previous!$H$33</f>
        <v>5130.7344000000212</v>
      </c>
      <c r="I38" s="409">
        <f>IF(Init!$R$9="Yes",IF('Staging Table'!D40=1,'Staging Table'!H40*-1*('Staging Table'!F40/'Staging Table'!E40),'Staging Table'!H40*SUM(D38:H38)*(-1)),IF('Staging Table'!D40=1,'Staging Table'!BJ40*-1*('Staging Table'!BH40/'Staging Table'!BG40),'Staging Table'!BJ40*SUM(D38:H38)*(-1)))</f>
        <v>0</v>
      </c>
      <c r="J38" s="407">
        <f>IF(Init!$R$9="Yes",'Staging Table'!K40,'Staging Table'!BM40)*(-1)*Rates_previous!$H$32</f>
        <v>0</v>
      </c>
      <c r="K38" s="407">
        <f>IF(Init!$R$12="No",0,'Staging Table'!$AW40*-1)</f>
        <v>0</v>
      </c>
      <c r="L38" s="407">
        <f>IF('Staging Table'!C40=1,"",SUM(D38:K38))</f>
        <v>971891.31783870596</v>
      </c>
      <c r="M38" s="407">
        <f>IF('Staging Table'!C40=1,"",IF(Init!$R$9="Yes",(RT1SC!$C$3*'Staging Table'!F40*'Staging Table'!$F$2)+SUM('Staging Table'!L40:AI40)-IF(Init!$R$15="No",'Staging Table'!AV40, 0),X38))</f>
        <v>26413.488000000001</v>
      </c>
      <c r="N38" s="169">
        <f>IF('Staging Table'!C40=1,"",IF(M38=0, 0, L38/M38))</f>
        <v>36.7952660337289</v>
      </c>
      <c r="O38" s="407">
        <f>'Staging Table'!BH40*Rates_current!$E$75*100*12</f>
        <v>1096035.3388799999</v>
      </c>
      <c r="P38" s="407">
        <f>'Staging Table'!BH40*Rates_current!$E$76*100*12</f>
        <v>-154166.81615999999</v>
      </c>
      <c r="Q38" s="408">
        <f>SUMPRODUCT('Staging Table'!BN40:CK40, LS_Demand_Rates_Restatement!$C$5:$Z$5)-IF(Init!$R$15="No",('Staging Table'!CX40*Rates_current!$H$35), 0)</f>
        <v>13767.370062037822</v>
      </c>
      <c r="R38" s="408">
        <f>SUMPRODUCT('Staging Table'!CL40:CW40, LS_Demand_Rates_Restatement!$C$11:$N$11)*1000</f>
        <v>53354.945680929515</v>
      </c>
      <c r="S38" s="409">
        <f>'Staging Table'!DH40*Rates_current!$H$33</f>
        <v>0</v>
      </c>
      <c r="T38" s="409">
        <f>IF('Staging Table'!D40=1, 'Staging Table'!BJ40*-1*('Staging Table'!BH40/'Staging Table'!BG40),SUM(O38:S38)*'Staging Table'!BJ40*-1)</f>
        <v>0</v>
      </c>
      <c r="U38" s="407">
        <f>'Staging Table'!BM40*Rates_current!$H$32*-1</f>
        <v>0</v>
      </c>
      <c r="V38" s="407">
        <f>IF(Init!$R$12="No",0,'Staging Table'!$CY40*-1)</f>
        <v>0</v>
      </c>
      <c r="W38" s="407">
        <f>IF('Staging Table'!C40=1,"",SUM(O38:V38))</f>
        <v>1008990.8384629673</v>
      </c>
      <c r="X38" s="407">
        <f>IF('Staging Table'!C40=1,"",(RT1SC!$C$4*'Staging Table'!BH40*'Staging Table'!$BH$2)+SUM('Staging Table'!BN40:CK40)-IF(Init!$R$15="No",'Staging Table'!CX40, 0))</f>
        <v>26174.880000000001</v>
      </c>
      <c r="Y38" s="169">
        <f>IF('Staging Table'!C40=1,"",IF(X38=0, 0, W38/X38))</f>
        <v>38.548059760463744</v>
      </c>
      <c r="Z38" s="160">
        <f>IF('Staging Table'!C40=1,"",Y38/N38-1)</f>
        <v>4.7636392277422779E-2</v>
      </c>
      <c r="AA38" s="97">
        <f t="shared" si="0"/>
        <v>79</v>
      </c>
      <c r="AB38" s="397"/>
      <c r="AC38" s="397"/>
      <c r="AD38" s="397"/>
    </row>
    <row r="39" spans="2:30">
      <c r="B39" s="274">
        <v>10095</v>
      </c>
      <c r="C39" s="275" t="s">
        <v>42</v>
      </c>
      <c r="D39" s="407">
        <f>IF(Init!$R$9="Yes",'Staging Table'!F41,'Staging Table'!BH41)*Rates_previous!$E$75*100*12</f>
        <v>1278502.9865999999</v>
      </c>
      <c r="E39" s="407">
        <f>IF(Init!$R$9="Yes",'Staging Table'!F41,'Staging Table'!BH41)*Rates_previous!$E$76*100*12</f>
        <v>-190062.90960000001</v>
      </c>
      <c r="F39" s="408">
        <f>IF(Init!$R$9="Yes",SUMPRODUCT('Staging Table'!L41:AI41,LS_Demand_Rates_Restatement!$C$4:$Z$4)-IF(Init!$R$15="No",('Staging Table'!AV41*Rates_previous!$H$35), 0),SUMPRODUCT('Staging Table'!BN41:CK41,LS_Demand_Rates_Restatement!$C$4:$Z$4)-IF(Init!$R$15="No", 'Staging Table'!CX41*Rates_previous!$H$35, 0))</f>
        <v>6909.5605807490065</v>
      </c>
      <c r="G39" s="408">
        <f>IF(Init!$R$9="Yes",SUMPRODUCT('Staging Table'!AJ41:AU41,LS_Demand_Rates_Restatement!$C$10:$N$10),SUMPRODUCT(LS_Demand_Rates_Restatement!$C$10:$N$10,'Staging Table'!CL41:CW41))*1000</f>
        <v>62133.003839618927</v>
      </c>
      <c r="H39" s="409">
        <f>IF(Init!$R$9="Yes",'Staging Table'!BF41,'Staging Table'!DH41)*Rates_previous!$H$33</f>
        <v>0</v>
      </c>
      <c r="I39" s="409">
        <f>IF(Init!$R$9="Yes",IF('Staging Table'!D41=1,'Staging Table'!H41*-1*('Staging Table'!F41/'Staging Table'!E41),'Staging Table'!H41*SUM(D39:H39)*(-1)),IF('Staging Table'!D41=1,'Staging Table'!BJ41*-1*('Staging Table'!BH41/'Staging Table'!BG41),'Staging Table'!BJ41*SUM(D39:H39)*(-1)))</f>
        <v>0</v>
      </c>
      <c r="J39" s="407">
        <f>IF(Init!$R$9="Yes",'Staging Table'!K41,'Staging Table'!BM41)*(-1)*Rates_previous!$H$32</f>
        <v>0</v>
      </c>
      <c r="K39" s="407">
        <f>IF(Init!$R$12="No",0,'Staging Table'!$AW41*-1)</f>
        <v>0</v>
      </c>
      <c r="L39" s="407">
        <f>IF('Staging Table'!C41=1,"",SUM(D39:K39))</f>
        <v>1157482.6414203681</v>
      </c>
      <c r="M39" s="407">
        <f>IF('Staging Table'!C41=1,"",IF(Init!$R$9="Yes",(RT1SC!$C$3*'Staging Table'!F41*'Staging Table'!$F$2)+SUM('Staging Table'!L41:AI41)-IF(Init!$R$15="No",'Staging Table'!AV41, 0),X39))</f>
        <v>31683.888000000003</v>
      </c>
      <c r="N39" s="169">
        <f>IF('Staging Table'!C41=1,"",IF(M39=0, 0, L39/M39))</f>
        <v>36.532216040543005</v>
      </c>
      <c r="O39" s="407">
        <f>'Staging Table'!BH41*Rates_current!$E$75*100*12</f>
        <v>1314885.7238400001</v>
      </c>
      <c r="P39" s="407">
        <f>'Staging Table'!BH41*Rates_current!$E$76*100*12</f>
        <v>-184950.00888000001</v>
      </c>
      <c r="Q39" s="408">
        <f>SUMPRODUCT('Staging Table'!BN41:CK41, LS_Demand_Rates_Restatement!$C$5:$Z$5)-IF(Init!$R$15="No",('Staging Table'!CX41*Rates_current!$H$35), 0)</f>
        <v>9387.5113168589487</v>
      </c>
      <c r="R39" s="408">
        <f>SUMPRODUCT('Staging Table'!CL41:CW41, LS_Demand_Rates_Restatement!$C$11:$N$11)*1000</f>
        <v>58676.212653231829</v>
      </c>
      <c r="S39" s="409">
        <f>'Staging Table'!DH41*Rates_current!$H$33</f>
        <v>0</v>
      </c>
      <c r="T39" s="409">
        <f>IF('Staging Table'!D41=1, 'Staging Table'!BJ41*-1*('Staging Table'!BH41/'Staging Table'!BG41),SUM(O39:S39)*'Staging Table'!BJ41*-1)</f>
        <v>0</v>
      </c>
      <c r="U39" s="407">
        <f>'Staging Table'!BM41*Rates_current!$H$32*-1</f>
        <v>0</v>
      </c>
      <c r="V39" s="407">
        <f>IF(Init!$R$12="No",0,'Staging Table'!$CY41*-1)</f>
        <v>0</v>
      </c>
      <c r="W39" s="407">
        <f>IF('Staging Table'!C41=1,"",SUM(O39:V39))</f>
        <v>1197999.4389300907</v>
      </c>
      <c r="X39" s="407">
        <f>IF('Staging Table'!C41=1,"",(RT1SC!$C$4*'Staging Table'!BH41*'Staging Table'!$BH$2)+SUM('Staging Table'!BN41:CK41)-IF(Init!$R$15="No",'Staging Table'!CX41, 0))</f>
        <v>31395.84</v>
      </c>
      <c r="Y39" s="169">
        <f>IF('Staging Table'!C41=1,"",IF(X39=0, 0, W39/X39))</f>
        <v>38.157903688198523</v>
      </c>
      <c r="Z39" s="160">
        <f>IF('Staging Table'!C41=1,"",Y39/N39-1)</f>
        <v>4.4500110419016137E-2</v>
      </c>
      <c r="AA39" s="97">
        <f t="shared" si="0"/>
        <v>94</v>
      </c>
      <c r="AB39" s="397"/>
      <c r="AC39" s="397"/>
      <c r="AD39" s="397"/>
    </row>
    <row r="40" spans="2:30">
      <c r="B40" s="274">
        <v>10097</v>
      </c>
      <c r="C40" s="275" t="s">
        <v>43</v>
      </c>
      <c r="D40" s="407">
        <f>IF(Init!$R$9="Yes",'Staging Table'!F42,'Staging Table'!BH42)*Rates_previous!$E$75*100*12</f>
        <v>715367.59559999988</v>
      </c>
      <c r="E40" s="407">
        <f>IF(Init!$R$9="Yes",'Staging Table'!F42,'Staging Table'!BH42)*Rates_previous!$E$76*100*12</f>
        <v>-106346.9136</v>
      </c>
      <c r="F40" s="408">
        <f>IF(Init!$R$9="Yes",SUMPRODUCT('Staging Table'!L42:AI42,LS_Demand_Rates_Restatement!$C$4:$Z$4)-IF(Init!$R$15="No",('Staging Table'!AV42*Rates_previous!$H$35), 0),SUMPRODUCT('Staging Table'!BN42:CK42,LS_Demand_Rates_Restatement!$C$4:$Z$4)-IF(Init!$R$15="No", 'Staging Table'!CX42*Rates_previous!$H$35, 0))</f>
        <v>1308.6606384526108</v>
      </c>
      <c r="G40" s="408">
        <f>IF(Init!$R$9="Yes",SUMPRODUCT('Staging Table'!AJ42:AU42,LS_Demand_Rates_Restatement!$C$10:$N$10),SUMPRODUCT(LS_Demand_Rates_Restatement!$C$10:$N$10,'Staging Table'!CL42:CW42))*1000</f>
        <v>37981.071805822641</v>
      </c>
      <c r="H40" s="409">
        <f>IF(Init!$R$9="Yes",'Staging Table'!BF42,'Staging Table'!DH42)*Rates_previous!$H$33</f>
        <v>-1354.5098307223068</v>
      </c>
      <c r="I40" s="409">
        <f>IF(Init!$R$9="Yes",IF('Staging Table'!D42=1,'Staging Table'!H42*-1*('Staging Table'!F42/'Staging Table'!E42),'Staging Table'!H42*SUM(D40:H40)*(-1)),IF('Staging Table'!D42=1,'Staging Table'!BJ42*-1*('Staging Table'!BH42/'Staging Table'!BG42),'Staging Table'!BJ42*SUM(D40:H40)*(-1)))</f>
        <v>0</v>
      </c>
      <c r="J40" s="407">
        <f>IF(Init!$R$9="Yes",'Staging Table'!K42,'Staging Table'!BM42)*(-1)*Rates_previous!$H$32</f>
        <v>0</v>
      </c>
      <c r="K40" s="407">
        <f>IF(Init!$R$12="No",0,'Staging Table'!$AW42*-1)</f>
        <v>0</v>
      </c>
      <c r="L40" s="407">
        <f>IF('Staging Table'!C42=1,"",SUM(D40:K40))</f>
        <v>646955.90461355285</v>
      </c>
      <c r="M40" s="407">
        <f>IF('Staging Table'!C42=1,"",IF(Init!$R$9="Yes",(RT1SC!$C$3*'Staging Table'!F42*'Staging Table'!$F$2)+SUM('Staging Table'!L42:AI42)-IF(Init!$R$15="No",'Staging Table'!AV42, 0),X40))</f>
        <v>17573.06004172629</v>
      </c>
      <c r="N40" s="169">
        <f>IF('Staging Table'!C42=1,"",IF(M40=0, 0, L40/M40))</f>
        <v>36.815210502746289</v>
      </c>
      <c r="O40" s="407">
        <f>'Staging Table'!BH42*Rates_current!$E$75*100*12</f>
        <v>735530.92128000013</v>
      </c>
      <c r="P40" s="407">
        <f>'Staging Table'!BH42*Rates_current!$E$76*100*12</f>
        <v>-103458.76295999999</v>
      </c>
      <c r="Q40" s="408">
        <f>SUMPRODUCT('Staging Table'!BN42:CK42, LS_Demand_Rates_Restatement!$C$5:$Z$5)-IF(Init!$R$15="No",('Staging Table'!CX42*Rates_current!$H$35), 0)</f>
        <v>13371.759884317247</v>
      </c>
      <c r="R40" s="408">
        <f>SUMPRODUCT('Staging Table'!CL42:CW42, LS_Demand_Rates_Restatement!$C$11:$N$11)*1000</f>
        <v>36169.394992441237</v>
      </c>
      <c r="S40" s="409">
        <f>'Staging Table'!DH42*Rates_current!$H$33</f>
        <v>0</v>
      </c>
      <c r="T40" s="409">
        <f>IF('Staging Table'!D42=1, 'Staging Table'!BJ42*-1*('Staging Table'!BH42/'Staging Table'!BG42),SUM(O40:S40)*'Staging Table'!BJ42*-1)</f>
        <v>0</v>
      </c>
      <c r="U40" s="407">
        <f>'Staging Table'!BM42*Rates_current!$H$32*-1</f>
        <v>0</v>
      </c>
      <c r="V40" s="407">
        <f>IF(Init!$R$12="No",0,'Staging Table'!$CY42*-1)</f>
        <v>0</v>
      </c>
      <c r="W40" s="407">
        <f>IF('Staging Table'!C42=1,"",SUM(O40:V40))</f>
        <v>681613.31319675874</v>
      </c>
      <c r="X40" s="407">
        <f>IF('Staging Table'!C42=1,"",(RT1SC!$C$4*'Staging Table'!BH42*'Staging Table'!$BH$2)+SUM('Staging Table'!BN42:CK42)-IF(Init!$R$15="No",'Staging Table'!CX42, 0))</f>
        <v>17563.8</v>
      </c>
      <c r="Y40" s="169">
        <f>IF('Staging Table'!C42=1,"",IF(X40=0, 0, W40/X40))</f>
        <v>38.807849850075655</v>
      </c>
      <c r="Z40" s="160">
        <f>IF('Staging Table'!C42=1,"",Y40/N40-1)</f>
        <v>5.4125436745247502E-2</v>
      </c>
      <c r="AA40" s="97">
        <f t="shared" si="0"/>
        <v>38</v>
      </c>
      <c r="AB40" s="397"/>
      <c r="AC40" s="397"/>
      <c r="AD40" s="397"/>
    </row>
    <row r="41" spans="2:30">
      <c r="B41" s="274">
        <v>10101</v>
      </c>
      <c r="C41" s="275" t="s">
        <v>44</v>
      </c>
      <c r="D41" s="407">
        <f>IF(Init!$R$9="Yes",'Staging Table'!F43,'Staging Table'!BH43)*Rates_previous!$E$75*100*12</f>
        <v>26686924.29648</v>
      </c>
      <c r="E41" s="407">
        <f>IF(Init!$R$9="Yes",'Staging Table'!F43,'Staging Table'!BH43)*Rates_previous!$E$76*100*12</f>
        <v>-3967291.8508799993</v>
      </c>
      <c r="F41" s="408">
        <f>IF(Init!$R$9="Yes",SUMPRODUCT('Staging Table'!L43:AI43,LS_Demand_Rates_Restatement!$C$4:$Z$4)-IF(Init!$R$15="No",('Staging Table'!AV43*Rates_previous!$H$35), 0),SUMPRODUCT('Staging Table'!BN43:CK43,LS_Demand_Rates_Restatement!$C$4:$Z$4)-IF(Init!$R$15="No", 'Staging Table'!CX43*Rates_previous!$H$35, 0))</f>
        <v>-450334.73597781523</v>
      </c>
      <c r="G41" s="408">
        <f>IF(Init!$R$9="Yes",SUMPRODUCT('Staging Table'!AJ43:AU43,LS_Demand_Rates_Restatement!$C$10:$N$10),SUMPRODUCT(LS_Demand_Rates_Restatement!$C$10:$N$10,'Staging Table'!CL43:CW43))*1000</f>
        <v>2252444.6663425216</v>
      </c>
      <c r="H41" s="409">
        <f>IF(Init!$R$9="Yes",'Staging Table'!BF43,'Staging Table'!DH43)*Rates_previous!$H$33</f>
        <v>-2385.132024026876</v>
      </c>
      <c r="I41" s="409">
        <f>IF(Init!$R$9="Yes",IF('Staging Table'!D43=1,'Staging Table'!H43*-1*('Staging Table'!F43/'Staging Table'!E43),'Staging Table'!H43*SUM(D41:H41)*(-1)),IF('Staging Table'!D43=1,'Staging Table'!BJ43*-1*('Staging Table'!BH43/'Staging Table'!BG43),'Staging Table'!BJ43*SUM(D41:H41)*(-1)))</f>
        <v>-1402752.4279258463</v>
      </c>
      <c r="J41" s="407">
        <f>IF(Init!$R$9="Yes",'Staging Table'!K43,'Staging Table'!BM43)*(-1)*Rates_previous!$H$32</f>
        <v>0</v>
      </c>
      <c r="K41" s="407">
        <f>IF(Init!$R$12="No",0,'Staging Table'!$AW43*-1)</f>
        <v>0</v>
      </c>
      <c r="L41" s="407">
        <f>IF('Staging Table'!C43=1,"",SUM(D41:K41))</f>
        <v>23116604.816014834</v>
      </c>
      <c r="M41" s="407">
        <f>IF('Staging Table'!C43=1,"",IF(Init!$R$9="Yes",(RT1SC!$C$3*'Staging Table'!F43*'Staging Table'!$F$2)+SUM('Staging Table'!L43:AI43)-IF(Init!$R$15="No",'Staging Table'!AV43, 0),X41))</f>
        <v>634435.98155660718</v>
      </c>
      <c r="N41" s="169">
        <f>IF('Staging Table'!C43=1,"",IF(M41=0, 0, L41/M41))</f>
        <v>36.436465597833163</v>
      </c>
      <c r="O41" s="407">
        <f>'Staging Table'!BH43*Rates_current!$E$75*100*12</f>
        <v>27443430.636480004</v>
      </c>
      <c r="P41" s="407">
        <f>'Staging Table'!BH43*Rates_current!$E$76*100*12</f>
        <v>-3860155.02936</v>
      </c>
      <c r="Q41" s="408">
        <f>SUMPRODUCT('Staging Table'!BN43:CK43, LS_Demand_Rates_Restatement!$C$5:$Z$5)-IF(Init!$R$15="No",('Staging Table'!CX43*Rates_current!$H$35), 0)</f>
        <v>248998.53802613533</v>
      </c>
      <c r="R41" s="408">
        <f>SUMPRODUCT('Staging Table'!CL43:CW43, LS_Demand_Rates_Restatement!$C$11:$N$11)*1000</f>
        <v>2218839.7319674054</v>
      </c>
      <c r="S41" s="409">
        <f>'Staging Table'!DH43*Rates_current!$H$33</f>
        <v>0</v>
      </c>
      <c r="T41" s="409">
        <f>IF('Staging Table'!D43=1, 'Staging Table'!BJ43*-1*('Staging Table'!BH43/'Staging Table'!BG43),SUM(O41:S41)*'Staging Table'!BJ43*-1)</f>
        <v>-1468187.1909923756</v>
      </c>
      <c r="U41" s="407">
        <f>'Staging Table'!BM43*Rates_current!$H$32*-1</f>
        <v>0</v>
      </c>
      <c r="V41" s="407">
        <f>IF(Init!$R$12="No",0,'Staging Table'!$CY43*-1)</f>
        <v>0</v>
      </c>
      <c r="W41" s="407">
        <f>IF('Staging Table'!C43=1,"",SUM(O41:V41))</f>
        <v>24582926.686121169</v>
      </c>
      <c r="X41" s="407">
        <f>IF('Staging Table'!C43=1,"",(RT1SC!$C$4*'Staging Table'!BH43*'Staging Table'!$BH$2)+SUM('Staging Table'!BN43:CK43)-IF(Init!$R$15="No",'Staging Table'!CX43, 0))</f>
        <v>644863.00556049775</v>
      </c>
      <c r="Y41" s="169">
        <f>IF('Staging Table'!C43=1,"",IF(X41=0, 0, W41/X41))</f>
        <v>38.121161353882201</v>
      </c>
      <c r="Z41" s="160">
        <f>IF('Staging Table'!C43=1,"",Y41/N41-1)</f>
        <v>4.6236530585700431E-2</v>
      </c>
      <c r="AA41" s="97">
        <f t="shared" si="0"/>
        <v>85</v>
      </c>
      <c r="AB41" s="397"/>
      <c r="AC41" s="397"/>
      <c r="AD41" s="397"/>
    </row>
    <row r="42" spans="2:30">
      <c r="B42" s="274">
        <v>10103</v>
      </c>
      <c r="C42" s="275" t="s">
        <v>45</v>
      </c>
      <c r="D42" s="407">
        <f>IF(Init!$R$9="Yes",'Staging Table'!F44,'Staging Table'!BH44)*Rates_previous!$E$75*100*12</f>
        <v>51255469.394639991</v>
      </c>
      <c r="E42" s="407">
        <f>IF(Init!$R$9="Yes",'Staging Table'!F44,'Staging Table'!BH44)*Rates_previous!$E$76*100*12</f>
        <v>-7619664.3638400007</v>
      </c>
      <c r="F42" s="408">
        <f>IF(Init!$R$9="Yes",SUMPRODUCT('Staging Table'!L44:AI44,LS_Demand_Rates_Restatement!$C$4:$Z$4)-IF(Init!$R$15="No",('Staging Table'!AV44*Rates_previous!$H$35), 0),SUMPRODUCT('Staging Table'!BN44:CK44,LS_Demand_Rates_Restatement!$C$4:$Z$4)-IF(Init!$R$15="No", 'Staging Table'!CX44*Rates_previous!$H$35, 0))</f>
        <v>-48178.429441619752</v>
      </c>
      <c r="G42" s="408">
        <f>IF(Init!$R$9="Yes",SUMPRODUCT('Staging Table'!AJ44:AU44,LS_Demand_Rates_Restatement!$C$10:$N$10),SUMPRODUCT(LS_Demand_Rates_Restatement!$C$10:$N$10,'Staging Table'!CL44:CW44))*1000</f>
        <v>0</v>
      </c>
      <c r="H42" s="409">
        <f>IF(Init!$R$9="Yes",'Staging Table'!BF44,'Staging Table'!DH44)*Rates_previous!$H$33</f>
        <v>0</v>
      </c>
      <c r="I42" s="409">
        <f>IF(Init!$R$9="Yes",IF('Staging Table'!D44=1,'Staging Table'!H44*-1*('Staging Table'!F44/'Staging Table'!E44),'Staging Table'!H44*SUM(D42:H42)*(-1)),IF('Staging Table'!D44=1,'Staging Table'!BJ44*-1*('Staging Table'!BH44/'Staging Table'!BG44),'Staging Table'!BJ44*SUM(D42:H42)*(-1)))</f>
        <v>0</v>
      </c>
      <c r="J42" s="407">
        <f>IF(Init!$R$9="Yes",'Staging Table'!K44,'Staging Table'!BM44)*(-1)*Rates_previous!$H$32</f>
        <v>0</v>
      </c>
      <c r="K42" s="407">
        <f>IF(Init!$R$12="No",0,'Staging Table'!$AW44*-1)</f>
        <v>0</v>
      </c>
      <c r="L42" s="407">
        <f>IF('Staging Table'!C44=1,"",SUM(D42:K42))</f>
        <v>43587626.601358369</v>
      </c>
      <c r="M42" s="407">
        <f>IF('Staging Table'!C44=1,"",IF(Init!$R$9="Yes",(RT1SC!$C$3*'Staging Table'!F44*'Staging Table'!$F$2)+SUM('Staging Table'!L44:AI44)-IF(Init!$R$15="No",'Staging Table'!AV44, 0),X42))</f>
        <v>1270130.7785837036</v>
      </c>
      <c r="N42" s="169">
        <f>IF('Staging Table'!C44=1,"",IF(M42=0, 0, L42/M42))</f>
        <v>34.317431981265763</v>
      </c>
      <c r="O42" s="407">
        <f>'Staging Table'!BH44*Rates_current!$E$75*100*12</f>
        <v>53939613.623040006</v>
      </c>
      <c r="P42" s="407">
        <f>'Staging Table'!BH44*Rates_current!$E$76*100*12</f>
        <v>-7587071.5132800005</v>
      </c>
      <c r="Q42" s="408">
        <f>SUMPRODUCT('Staging Table'!BN44:CK44, LS_Demand_Rates_Restatement!$C$5:$Z$5)-IF(Init!$R$15="No",('Staging Table'!CX44*Rates_current!$H$35), 0)</f>
        <v>-35203.921398396051</v>
      </c>
      <c r="R42" s="408">
        <f>SUMPRODUCT('Staging Table'!CL44:CW44, LS_Demand_Rates_Restatement!$C$11:$N$11)*1000</f>
        <v>0</v>
      </c>
      <c r="S42" s="409">
        <f>'Staging Table'!DH44*Rates_current!$H$33</f>
        <v>0</v>
      </c>
      <c r="T42" s="409">
        <f>IF('Staging Table'!D44=1, 'Staging Table'!BJ44*-1*('Staging Table'!BH44/'Staging Table'!BG44),SUM(O42:S42)*'Staging Table'!BJ44*-1)</f>
        <v>0</v>
      </c>
      <c r="U42" s="407">
        <f>'Staging Table'!BM44*Rates_current!$H$32*-1</f>
        <v>0</v>
      </c>
      <c r="V42" s="407">
        <f>IF(Init!$R$12="No",0,'Staging Table'!$CY44*-1)</f>
        <v>0</v>
      </c>
      <c r="W42" s="407">
        <f>IF('Staging Table'!C44=1,"",SUM(O42:V42))</f>
        <v>46317338.188361607</v>
      </c>
      <c r="X42" s="407">
        <f>IF('Staging Table'!C44=1,"",(RT1SC!$C$4*'Staging Table'!BH44*'Staging Table'!$BH$2)+SUM('Staging Table'!BN44:CK44)-IF(Init!$R$15="No",'Staging Table'!CX44, 0))</f>
        <v>1272077.0187910018</v>
      </c>
      <c r="Y42" s="169">
        <f>IF('Staging Table'!C44=1,"",IF(X42=0, 0, W42/X42))</f>
        <v>36.410797069804936</v>
      </c>
      <c r="Z42" s="160">
        <f>IF('Staging Table'!C44=1,"",Y42/N42-1)</f>
        <v>6.1000050635547698E-2</v>
      </c>
      <c r="AA42" s="97">
        <f t="shared" si="0"/>
        <v>14</v>
      </c>
      <c r="AB42" s="397"/>
      <c r="AC42" s="397"/>
      <c r="AD42" s="397"/>
    </row>
    <row r="43" spans="2:30">
      <c r="B43" s="274">
        <v>10105</v>
      </c>
      <c r="C43" s="275" t="s">
        <v>46</v>
      </c>
      <c r="D43" s="407">
        <f>IF(Init!$R$9="Yes",'Staging Table'!F45,'Staging Table'!BH45)*Rates_previous!$E$75*100*12</f>
        <v>11899112.694840003</v>
      </c>
      <c r="E43" s="407">
        <f>IF(Init!$R$9="Yes",'Staging Table'!F45,'Staging Table'!BH45)*Rates_previous!$E$76*100*12</f>
        <v>-1768928.1950400001</v>
      </c>
      <c r="F43" s="408">
        <f>IF(Init!$R$9="Yes",SUMPRODUCT('Staging Table'!L45:AI45,LS_Demand_Rates_Restatement!$C$4:$Z$4)-IF(Init!$R$15="No",('Staging Table'!AV45*Rates_previous!$H$35), 0),SUMPRODUCT('Staging Table'!BN45:CK45,LS_Demand_Rates_Restatement!$C$4:$Z$4)-IF(Init!$R$15="No", 'Staging Table'!CX45*Rates_previous!$H$35, 0))</f>
        <v>-25087.331092982393</v>
      </c>
      <c r="G43" s="408">
        <f>IF(Init!$R$9="Yes",SUMPRODUCT('Staging Table'!AJ45:AU45,LS_Demand_Rates_Restatement!$C$10:$N$10),SUMPRODUCT(LS_Demand_Rates_Restatement!$C$10:$N$10,'Staging Table'!CL45:CW45))*1000</f>
        <v>0</v>
      </c>
      <c r="H43" s="409">
        <f>IF(Init!$R$9="Yes",'Staging Table'!BF45,'Staging Table'!DH45)*Rates_previous!$H$33</f>
        <v>0</v>
      </c>
      <c r="I43" s="409">
        <f>IF(Init!$R$9="Yes",IF('Staging Table'!D45=1,'Staging Table'!H45*-1*('Staging Table'!F45/'Staging Table'!E45),'Staging Table'!H45*SUM(D43:H43)*(-1)),IF('Staging Table'!D45=1,'Staging Table'!BJ45*-1*('Staging Table'!BH45/'Staging Table'!BG45),'Staging Table'!BJ45*SUM(D43:H43)*(-1)))</f>
        <v>0</v>
      </c>
      <c r="J43" s="407">
        <f>IF(Init!$R$9="Yes",'Staging Table'!K45,'Staging Table'!BM45)*(-1)*Rates_previous!$H$32</f>
        <v>0</v>
      </c>
      <c r="K43" s="407">
        <f>IF(Init!$R$12="No",0,'Staging Table'!$AW45*-1)</f>
        <v>0</v>
      </c>
      <c r="L43" s="407">
        <f>IF('Staging Table'!C45=1,"",SUM(D43:K43))</f>
        <v>10105097.168707021</v>
      </c>
      <c r="M43" s="407">
        <f>IF('Staging Table'!C45=1,"",IF(Init!$R$9="Yes",(RT1SC!$C$3*'Staging Table'!F45*'Staging Table'!$F$2)+SUM('Staging Table'!L45:AI45)-IF(Init!$R$15="No",'Staging Table'!AV45, 0),X43))</f>
        <v>294863.34358111379</v>
      </c>
      <c r="N43" s="169">
        <f>IF('Staging Table'!C45=1,"",IF(M43=0, 0, L43/M43))</f>
        <v>34.270442185117581</v>
      </c>
      <c r="O43" s="407">
        <f>'Staging Table'!BH45*Rates_current!$E$75*100*12</f>
        <v>12517019.1072</v>
      </c>
      <c r="P43" s="407">
        <f>'Staging Table'!BH45*Rates_current!$E$76*100*12</f>
        <v>-1760626.6104000001</v>
      </c>
      <c r="Q43" s="408">
        <f>SUMPRODUCT('Staging Table'!BN45:CK45, LS_Demand_Rates_Restatement!$C$5:$Z$5)-IF(Init!$R$15="No",('Staging Table'!CX45*Rates_current!$H$35), 0)</f>
        <v>-103752.73996440059</v>
      </c>
      <c r="R43" s="408">
        <f>SUMPRODUCT('Staging Table'!CL45:CW45, LS_Demand_Rates_Restatement!$C$11:$N$11)*1000</f>
        <v>0</v>
      </c>
      <c r="S43" s="409">
        <f>'Staging Table'!DH45*Rates_current!$H$33</f>
        <v>0</v>
      </c>
      <c r="T43" s="409">
        <f>IF('Staging Table'!D45=1, 'Staging Table'!BJ45*-1*('Staging Table'!BH45/'Staging Table'!BG45),SUM(O43:S43)*'Staging Table'!BJ45*-1)</f>
        <v>0</v>
      </c>
      <c r="U43" s="407">
        <f>'Staging Table'!BM45*Rates_current!$H$32*-1</f>
        <v>0</v>
      </c>
      <c r="V43" s="407">
        <f>IF(Init!$R$12="No",0,'Staging Table'!$CY45*-1)</f>
        <v>0</v>
      </c>
      <c r="W43" s="407">
        <f>IF('Staging Table'!C45=1,"",SUM(O43:V43))</f>
        <v>10652639.756835598</v>
      </c>
      <c r="X43" s="407">
        <f>IF('Staging Table'!C45=1,"",(RT1SC!$C$4*'Staging Table'!BH45*'Staging Table'!$BH$2)+SUM('Staging Table'!BN45:CK45)-IF(Init!$R$15="No",'Staging Table'!CX45, 0))</f>
        <v>293974.00436056749</v>
      </c>
      <c r="Y43" s="169">
        <f>IF('Staging Table'!C45=1,"",IF(X43=0, 0, W43/X43))</f>
        <v>36.236672626909666</v>
      </c>
      <c r="Z43" s="160">
        <f>IF('Staging Table'!C45=1,"",Y43/N43-1)</f>
        <v>5.7373944321207127E-2</v>
      </c>
      <c r="AA43" s="97">
        <f t="shared" si="0"/>
        <v>29</v>
      </c>
      <c r="AB43" s="397"/>
      <c r="AC43" s="397"/>
      <c r="AD43" s="397"/>
    </row>
    <row r="44" spans="2:30">
      <c r="B44" s="274">
        <v>10106</v>
      </c>
      <c r="C44" s="275" t="s">
        <v>47</v>
      </c>
      <c r="D44" s="407">
        <f>IF(Init!$R$9="Yes",'Staging Table'!F46,'Staging Table'!BH46)*Rates_previous!$E$75*100*12</f>
        <v>8202964.2735599997</v>
      </c>
      <c r="E44" s="407">
        <f>IF(Init!$R$9="Yes",'Staging Table'!F46,'Staging Table'!BH46)*Rates_previous!$E$76*100*12</f>
        <v>-1219456.8753599999</v>
      </c>
      <c r="F44" s="408">
        <f>IF(Init!$R$9="Yes",SUMPRODUCT('Staging Table'!L46:AI46,LS_Demand_Rates_Restatement!$C$4:$Z$4)-IF(Init!$R$15="No",('Staging Table'!AV46*Rates_previous!$H$35), 0),SUMPRODUCT('Staging Table'!BN46:CK46,LS_Demand_Rates_Restatement!$C$4:$Z$4)-IF(Init!$R$15="No", 'Staging Table'!CX46*Rates_previous!$H$35, 0))</f>
        <v>0</v>
      </c>
      <c r="G44" s="408">
        <f>IF(Init!$R$9="Yes",SUMPRODUCT('Staging Table'!AJ46:AU46,LS_Demand_Rates_Restatement!$C$10:$N$10),SUMPRODUCT(LS_Demand_Rates_Restatement!$C$10:$N$10,'Staging Table'!CL46:CW46))*1000</f>
        <v>0</v>
      </c>
      <c r="H44" s="409">
        <f>IF(Init!$R$9="Yes",'Staging Table'!BF46,'Staging Table'!DH46)*Rates_previous!$H$33</f>
        <v>19.075565199648555</v>
      </c>
      <c r="I44" s="409">
        <f>IF(Init!$R$9="Yes",IF('Staging Table'!D46=1,'Staging Table'!H46*-1*('Staging Table'!F46/'Staging Table'!E46),'Staging Table'!H46*SUM(D44:H44)*(-1)),IF('Staging Table'!D46=1,'Staging Table'!BJ46*-1*('Staging Table'!BH46/'Staging Table'!BG46),'Staging Table'!BJ46*SUM(D44:H44)*(-1)))</f>
        <v>-488846.853163564</v>
      </c>
      <c r="J44" s="407">
        <f>IF(Init!$R$9="Yes",'Staging Table'!K46,'Staging Table'!BM46)*(-1)*Rates_previous!$H$32</f>
        <v>0</v>
      </c>
      <c r="K44" s="407">
        <f>IF(Init!$R$12="No",0,'Staging Table'!$AW46*-1)</f>
        <v>0</v>
      </c>
      <c r="L44" s="407" t="str">
        <f>IF('Staging Table'!C46=1,"",SUM(D44:K44))</f>
        <v/>
      </c>
      <c r="M44" s="407" t="str">
        <f>IF('Staging Table'!C46=1,"",IF(Init!$R$9="Yes",(RT1SC!$C$3*'Staging Table'!F46*'Staging Table'!$F$2)+SUM('Staging Table'!L46:AI46)-IF(Init!$R$15="No",'Staging Table'!AV46, 0),X44))</f>
        <v/>
      </c>
      <c r="N44" s="169" t="str">
        <f>IF('Staging Table'!C46=1,"",IF(M44=0, 0, L44/M44))</f>
        <v/>
      </c>
      <c r="O44" s="407">
        <f>'Staging Table'!BH46*Rates_current!$E$75*100*12</f>
        <v>8619495.0220799986</v>
      </c>
      <c r="P44" s="407">
        <f>'Staging Table'!BH46*Rates_current!$E$76*100*12</f>
        <v>-1212406.2585599998</v>
      </c>
      <c r="Q44" s="408">
        <f>SUMPRODUCT('Staging Table'!BN46:CK46, LS_Demand_Rates_Restatement!$C$5:$Z$5)-IF(Init!$R$15="No",('Staging Table'!CX46*Rates_current!$H$35), 0)</f>
        <v>0</v>
      </c>
      <c r="R44" s="408">
        <f>SUMPRODUCT('Staging Table'!CL46:CW46, LS_Demand_Rates_Restatement!$C$11:$N$11)*1000</f>
        <v>0</v>
      </c>
      <c r="S44" s="409">
        <f>'Staging Table'!DH46*Rates_current!$H$33</f>
        <v>0</v>
      </c>
      <c r="T44" s="409">
        <f>IF('Staging Table'!D46=1, 'Staging Table'!BJ46*-1*('Staging Table'!BH46/'Staging Table'!BG46),SUM(O44:S44)*'Staging Table'!BJ46*-1)</f>
        <v>-520107.13545787369</v>
      </c>
      <c r="U44" s="407">
        <f>'Staging Table'!BM46*Rates_current!$H$32*-1</f>
        <v>0</v>
      </c>
      <c r="V44" s="407">
        <f>IF(Init!$R$12="No",0,'Staging Table'!$CY46*-1)</f>
        <v>0</v>
      </c>
      <c r="W44" s="407" t="str">
        <f>IF('Staging Table'!C46=1,"",SUM(O44:V44))</f>
        <v/>
      </c>
      <c r="X44" s="407" t="str">
        <f>IF('Staging Table'!C46=1,"",(RT1SC!$C$4*'Staging Table'!BH46*'Staging Table'!$BH$2)+SUM('Staging Table'!BN46:CK46)-IF(Init!$R$15="No",'Staging Table'!CX46, 0))</f>
        <v/>
      </c>
      <c r="Y44" s="169" t="str">
        <f>IF('Staging Table'!C46=1,"",IF(X44=0, 0, W44/X44))</f>
        <v/>
      </c>
      <c r="Z44" s="160" t="str">
        <f>IF('Staging Table'!C46=1,"",Y44/N44-1)</f>
        <v/>
      </c>
      <c r="AA44" s="97" t="str">
        <f t="shared" si="0"/>
        <v/>
      </c>
      <c r="AB44" s="397"/>
      <c r="AC44" s="397"/>
      <c r="AD44" s="397"/>
    </row>
    <row r="45" spans="2:30">
      <c r="B45" s="274">
        <v>10109</v>
      </c>
      <c r="C45" s="275" t="s">
        <v>48</v>
      </c>
      <c r="D45" s="407">
        <f>IF(Init!$R$9="Yes",'Staging Table'!F47,'Staging Table'!BH47)*Rates_previous!$E$75*100*12</f>
        <v>4253590.5753600001</v>
      </c>
      <c r="E45" s="407">
        <f>IF(Init!$R$9="Yes",'Staging Table'!F47,'Staging Table'!BH47)*Rates_previous!$E$76*100*12</f>
        <v>-632340.95615999994</v>
      </c>
      <c r="F45" s="408">
        <f>IF(Init!$R$9="Yes",SUMPRODUCT('Staging Table'!L47:AI47,LS_Demand_Rates_Restatement!$C$4:$Z$4)-IF(Init!$R$15="No",('Staging Table'!AV47*Rates_previous!$H$35), 0),SUMPRODUCT('Staging Table'!BN47:CK47,LS_Demand_Rates_Restatement!$C$4:$Z$4)-IF(Init!$R$15="No", 'Staging Table'!CX47*Rates_previous!$H$35, 0))</f>
        <v>-27015.604601817788</v>
      </c>
      <c r="G45" s="408">
        <f>IF(Init!$R$9="Yes",SUMPRODUCT('Staging Table'!AJ47:AU47,LS_Demand_Rates_Restatement!$C$10:$N$10),SUMPRODUCT(LS_Demand_Rates_Restatement!$C$10:$N$10,'Staging Table'!CL47:CW47))*1000</f>
        <v>341558.98097298783</v>
      </c>
      <c r="H45" s="409">
        <f>IF(Init!$R$9="Yes",'Staging Table'!BF47,'Staging Table'!DH47)*Rates_previous!$H$33</f>
        <v>0</v>
      </c>
      <c r="I45" s="409">
        <f>IF(Init!$R$9="Yes",IF('Staging Table'!D47=1,'Staging Table'!H47*-1*('Staging Table'!F47/'Staging Table'!E47),'Staging Table'!H47*SUM(D45:H45)*(-1)),IF('Staging Table'!D47=1,'Staging Table'!BJ47*-1*('Staging Table'!BH47/'Staging Table'!BG47),'Staging Table'!BJ47*SUM(D45:H45)*(-1)))</f>
        <v>-289595.64861412672</v>
      </c>
      <c r="J45" s="407">
        <f>IF(Init!$R$9="Yes",'Staging Table'!K47,'Staging Table'!BM47)*(-1)*Rates_previous!$H$32</f>
        <v>-248350.94295000003</v>
      </c>
      <c r="K45" s="407">
        <f>IF(Init!$R$12="No",0,'Staging Table'!$AW47*-1)</f>
        <v>0</v>
      </c>
      <c r="L45" s="407">
        <f>IF('Staging Table'!C47=1,"",SUM(D45:K45))</f>
        <v>3397846.4040070432</v>
      </c>
      <c r="M45" s="407">
        <f>IF('Staging Table'!C47=1,"",IF(Init!$R$9="Yes",(RT1SC!$C$3*'Staging Table'!F47*'Staging Table'!$F$2)+SUM('Staging Table'!L47:AI47)-IF(Init!$R$15="No",'Staging Table'!AV47, 0),X45))</f>
        <v>105408</v>
      </c>
      <c r="N45" s="169">
        <f>IF('Staging Table'!C47=1,"",IF(M45=0, 0, L45/M45))</f>
        <v>32.235185223199785</v>
      </c>
      <c r="O45" s="407">
        <f>'Staging Table'!BH47*Rates_current!$E$75*100*12</f>
        <v>4374459.9648000002</v>
      </c>
      <c r="P45" s="407">
        <f>'Staging Table'!BH47*Rates_current!$E$76*100*12</f>
        <v>-615305.49360000005</v>
      </c>
      <c r="Q45" s="408">
        <f>SUMPRODUCT('Staging Table'!BN47:CK47, LS_Demand_Rates_Restatement!$C$5:$Z$5)-IF(Init!$R$15="No",('Staging Table'!CX47*Rates_current!$H$35), 0)</f>
        <v>-301908.0352277318</v>
      </c>
      <c r="R45" s="408">
        <f>SUMPRODUCT('Staging Table'!CL47:CW47, LS_Demand_Rates_Restatement!$C$11:$N$11)*1000</f>
        <v>330834.95169613604</v>
      </c>
      <c r="S45" s="409">
        <f>'Staging Table'!DH47*Rates_current!$H$33</f>
        <v>0</v>
      </c>
      <c r="T45" s="409">
        <f>IF('Staging Table'!D47=1, 'Staging Table'!BJ47*-1*('Staging Table'!BH47/'Staging Table'!BG47),SUM(O45:S45)*'Staging Table'!BJ47*-1)</f>
        <v>-314889.82484543131</v>
      </c>
      <c r="U45" s="407">
        <f>'Staging Table'!BM47*Rates_current!$H$32*-1</f>
        <v>-248139.93960000004</v>
      </c>
      <c r="V45" s="407">
        <f>IF(Init!$R$12="No",0,'Staging Table'!$CY47*-1)</f>
        <v>0</v>
      </c>
      <c r="W45" s="407">
        <f>IF('Staging Table'!C47=1,"",SUM(O45:V45))</f>
        <v>3225051.6232229727</v>
      </c>
      <c r="X45" s="407">
        <f>IF('Staging Table'!C47=1,"",(RT1SC!$C$4*'Staging Table'!BH47*'Staging Table'!$BH$2)+SUM('Staging Table'!BN47:CK47)-IF(Init!$R$15="No",'Staging Table'!CX47, 0))</f>
        <v>93646.523523935364</v>
      </c>
      <c r="Y45" s="169">
        <f>IF('Staging Table'!C47=1,"",IF(X45=0, 0, W45/X45))</f>
        <v>34.438562178965171</v>
      </c>
      <c r="Z45" s="160">
        <f>IF('Staging Table'!C47=1,"",Y45/N45-1)</f>
        <v>6.8353165663822768E-2</v>
      </c>
      <c r="AA45" s="97">
        <f t="shared" si="0"/>
        <v>5</v>
      </c>
      <c r="AB45" s="397"/>
      <c r="AC45" s="397"/>
      <c r="AD45" s="397"/>
    </row>
    <row r="46" spans="2:30">
      <c r="B46" s="274">
        <v>10111</v>
      </c>
      <c r="C46" s="275" t="s">
        <v>49</v>
      </c>
      <c r="D46" s="407">
        <f>IF(Init!$R$9="Yes",'Staging Table'!F48,'Staging Table'!BH48)*Rates_previous!$E$75*100*12</f>
        <v>1029733.2864</v>
      </c>
      <c r="E46" s="407">
        <f>IF(Init!$R$9="Yes",'Staging Table'!F48,'Staging Table'!BH48)*Rates_previous!$E$76*100*12</f>
        <v>-153080.67839999998</v>
      </c>
      <c r="F46" s="408">
        <f>IF(Init!$R$9="Yes",SUMPRODUCT('Staging Table'!L48:AI48,LS_Demand_Rates_Restatement!$C$4:$Z$4)-IF(Init!$R$15="No",('Staging Table'!AV48*Rates_previous!$H$35), 0),SUMPRODUCT('Staging Table'!BN48:CK48,LS_Demand_Rates_Restatement!$C$4:$Z$4)-IF(Init!$R$15="No", 'Staging Table'!CX48*Rates_previous!$H$35, 0))</f>
        <v>30326.280375488859</v>
      </c>
      <c r="G46" s="408">
        <f>IF(Init!$R$9="Yes",SUMPRODUCT('Staging Table'!AJ48:AU48,LS_Demand_Rates_Restatement!$C$10:$N$10),SUMPRODUCT(LS_Demand_Rates_Restatement!$C$10:$N$10,'Staging Table'!CL48:CW48))*1000</f>
        <v>81078.530136111105</v>
      </c>
      <c r="H46" s="409">
        <f>IF(Init!$R$9="Yes",'Staging Table'!BF48,'Staging Table'!DH48)*Rates_previous!$H$33</f>
        <v>9707.3619815554048</v>
      </c>
      <c r="I46" s="409">
        <f>IF(Init!$R$9="Yes",IF('Staging Table'!D48=1,'Staging Table'!H48*-1*('Staging Table'!F48/'Staging Table'!E48),'Staging Table'!H48*SUM(D46:H46)*(-1)),IF('Staging Table'!D48=1,'Staging Table'!BJ48*-1*('Staging Table'!BH48/'Staging Table'!BG48),'Staging Table'!BJ48*SUM(D46:H46)*(-1)))</f>
        <v>-69843.534634520867</v>
      </c>
      <c r="J46" s="407">
        <f>IF(Init!$R$9="Yes",'Staging Table'!K48,'Staging Table'!BM48)*(-1)*Rates_previous!$H$32</f>
        <v>-61529.428729999992</v>
      </c>
      <c r="K46" s="407">
        <f>IF(Init!$R$12="No",0,'Staging Table'!$AW48*-1)</f>
        <v>0</v>
      </c>
      <c r="L46" s="407">
        <f>IF('Staging Table'!C48=1,"",SUM(D46:K46))</f>
        <v>866391.81712863431</v>
      </c>
      <c r="M46" s="407">
        <f>IF('Staging Table'!C48=1,"",IF(Init!$R$9="Yes",(RT1SC!$C$3*'Staging Table'!F48*'Staging Table'!$F$2)+SUM('Staging Table'!L48:AI48)-IF(Init!$R$15="No",'Staging Table'!AV48, 0),X46))</f>
        <v>26614.397060062754</v>
      </c>
      <c r="N46" s="169">
        <f>IF('Staging Table'!C48=1,"",IF(M46=0, 0, L46/M46))</f>
        <v>32.553501594395748</v>
      </c>
      <c r="O46" s="407">
        <f>'Staging Table'!BH48*Rates_current!$E$75*100*12</f>
        <v>1082277.5731200003</v>
      </c>
      <c r="P46" s="407">
        <f>'Staging Table'!BH48*Rates_current!$E$76*100*12</f>
        <v>-152231.66784000001</v>
      </c>
      <c r="Q46" s="408">
        <f>SUMPRODUCT('Staging Table'!BN48:CK48, LS_Demand_Rates_Restatement!$C$5:$Z$5)-IF(Init!$R$15="No",('Staging Table'!CX48*Rates_current!$H$35), 0)</f>
        <v>22731.756023664249</v>
      </c>
      <c r="R46" s="408">
        <f>SUMPRODUCT('Staging Table'!CL48:CW48, LS_Demand_Rates_Restatement!$C$11:$N$11)*1000</f>
        <v>79976.186937455495</v>
      </c>
      <c r="S46" s="409">
        <f>'Staging Table'!DH48*Rates_current!$H$33</f>
        <v>9848.0665571862119</v>
      </c>
      <c r="T46" s="409">
        <f>IF('Staging Table'!D48=1, 'Staging Table'!BJ48*-1*('Staging Table'!BH48/'Staging Table'!BG48),SUM(O46:S46)*'Staging Table'!BJ48*-1)</f>
        <v>-72982.134035881449</v>
      </c>
      <c r="U46" s="407">
        <f>'Staging Table'!BM48*Rates_current!$H$32*-1</f>
        <v>-61477.152239999996</v>
      </c>
      <c r="V46" s="407">
        <f>IF(Init!$R$12="No",0,'Staging Table'!$CY48*-1)</f>
        <v>0</v>
      </c>
      <c r="W46" s="407">
        <f>IF('Staging Table'!C48=1,"",SUM(O46:V46))</f>
        <v>908142.62852242484</v>
      </c>
      <c r="X46" s="407">
        <f>IF('Staging Table'!C48=1,"",(RT1SC!$C$4*'Staging Table'!BH48*'Staging Table'!$BH$2)+SUM('Staging Table'!BN48:CK48)-IF(Init!$R$15="No",'Staging Table'!CX48, 0))</f>
        <v>26614.397377034213</v>
      </c>
      <c r="Y46" s="169">
        <f>IF('Staging Table'!C48=1,"",IF(X46=0, 0, W46/X46))</f>
        <v>34.122231499634431</v>
      </c>
      <c r="Z46" s="160">
        <f>IF('Staging Table'!C48=1,"",Y46/N46-1)</f>
        <v>4.8189283131027327E-2</v>
      </c>
      <c r="AA46" s="97">
        <f t="shared" si="0"/>
        <v>75</v>
      </c>
      <c r="AB46" s="397"/>
      <c r="AC46" s="397"/>
      <c r="AD46" s="397"/>
    </row>
    <row r="47" spans="2:30">
      <c r="B47" s="274">
        <v>10112</v>
      </c>
      <c r="C47" s="275" t="s">
        <v>50</v>
      </c>
      <c r="D47" s="407">
        <f>IF(Init!$R$9="Yes",'Staging Table'!F49,'Staging Table'!BH49)*Rates_previous!$E$75*100*12</f>
        <v>19834494.833159998</v>
      </c>
      <c r="E47" s="407">
        <f>IF(Init!$R$9="Yes",'Staging Table'!F49,'Staging Table'!BH49)*Rates_previous!$E$76*100*12</f>
        <v>-2948606.1729600001</v>
      </c>
      <c r="F47" s="408">
        <f>IF(Init!$R$9="Yes",SUMPRODUCT('Staging Table'!L49:AI49,LS_Demand_Rates_Restatement!$C$4:$Z$4)-IF(Init!$R$15="No",('Staging Table'!AV49*Rates_previous!$H$35), 0),SUMPRODUCT('Staging Table'!BN49:CK49,LS_Demand_Rates_Restatement!$C$4:$Z$4)-IF(Init!$R$15="No", 'Staging Table'!CX49*Rates_previous!$H$35, 0))</f>
        <v>84748.10139257308</v>
      </c>
      <c r="G47" s="408">
        <f>IF(Init!$R$9="Yes",SUMPRODUCT('Staging Table'!AJ49:AU49,LS_Demand_Rates_Restatement!$C$10:$N$10),SUMPRODUCT(LS_Demand_Rates_Restatement!$C$10:$N$10,'Staging Table'!CL49:CW49))*1000</f>
        <v>1260165.8245147793</v>
      </c>
      <c r="H47" s="409">
        <f>IF(Init!$R$9="Yes",'Staging Table'!BF49,'Staging Table'!DH49)*Rates_previous!$H$33</f>
        <v>-5873.5400612974099</v>
      </c>
      <c r="I47" s="409">
        <f>IF(Init!$R$9="Yes",IF('Staging Table'!D49=1,'Staging Table'!H49*-1*('Staging Table'!F49/'Staging Table'!E49),'Staging Table'!H49*SUM(D47:H47)*(-1)),IF('Staging Table'!D49=1,'Staging Table'!BJ49*-1*('Staging Table'!BH49/'Staging Table'!BG49),'Staging Table'!BJ49*SUM(D47:H47)*(-1)))</f>
        <v>0</v>
      </c>
      <c r="J47" s="407">
        <f>IF(Init!$R$9="Yes",'Staging Table'!K49,'Staging Table'!BM49)*(-1)*Rates_previous!$H$32</f>
        <v>0</v>
      </c>
      <c r="K47" s="407">
        <f>IF(Init!$R$12="No",0,'Staging Table'!$AW49*-1)</f>
        <v>0</v>
      </c>
      <c r="L47" s="407">
        <f>IF('Staging Table'!C49=1,"",SUM(D47:K47))</f>
        <v>18224929.046046056</v>
      </c>
      <c r="M47" s="407">
        <f>IF('Staging Table'!C49=1,"",IF(Init!$R$9="Yes",(RT1SC!$C$3*'Staging Table'!F49*'Staging Table'!$F$2)+SUM('Staging Table'!L49:AI49)-IF(Init!$R$15="No",'Staging Table'!AV49, 0),X47))</f>
        <v>490845.04315691552</v>
      </c>
      <c r="N47" s="169">
        <f>IF('Staging Table'!C49=1,"",IF(M47=0, 0, L47/M47))</f>
        <v>37.12969968858345</v>
      </c>
      <c r="O47" s="407">
        <f>'Staging Table'!BH49*Rates_current!$E$75*100*12</f>
        <v>20555885.459520001</v>
      </c>
      <c r="P47" s="407">
        <f>'Staging Table'!BH49*Rates_current!$E$76*100*12</f>
        <v>-2891362.4426400005</v>
      </c>
      <c r="Q47" s="408">
        <f>SUMPRODUCT('Staging Table'!BN49:CK49, LS_Demand_Rates_Restatement!$C$5:$Z$5)-IF(Init!$R$15="No",('Staging Table'!CX49*Rates_current!$H$35), 0)</f>
        <v>197721.68478332463</v>
      </c>
      <c r="R47" s="408">
        <f>SUMPRODUCT('Staging Table'!CL49:CW49, LS_Demand_Rates_Restatement!$C$11:$N$11)*1000</f>
        <v>1201987.4765862892</v>
      </c>
      <c r="S47" s="409">
        <f>'Staging Table'!DH49*Rates_current!$H$33</f>
        <v>-51.393196279444965</v>
      </c>
      <c r="T47" s="409">
        <f>IF('Staging Table'!D49=1, 'Staging Table'!BJ49*-1*('Staging Table'!BH49/'Staging Table'!BG49),SUM(O47:S47)*'Staging Table'!BJ49*-1)</f>
        <v>0</v>
      </c>
      <c r="U47" s="407">
        <f>'Staging Table'!BM49*Rates_current!$H$32*-1</f>
        <v>0</v>
      </c>
      <c r="V47" s="407">
        <f>IF(Init!$R$12="No",0,'Staging Table'!$CY49*-1)</f>
        <v>0</v>
      </c>
      <c r="W47" s="407">
        <f>IF('Staging Table'!C49=1,"",SUM(O47:V47))</f>
        <v>19064180.785053335</v>
      </c>
      <c r="X47" s="407">
        <f>IF('Staging Table'!C49=1,"",(RT1SC!$C$4*'Staging Table'!BH49*'Staging Table'!$BH$2)+SUM('Staging Table'!BN49:CK49)-IF(Init!$R$15="No",'Staging Table'!CX49, 0))</f>
        <v>490845.04916107614</v>
      </c>
      <c r="Y47" s="169">
        <f>IF('Staging Table'!C49=1,"",IF(X47=0, 0, W47/X47))</f>
        <v>38.83950916411753</v>
      </c>
      <c r="Z47" s="160">
        <f>IF('Staging Table'!C49=1,"",Y47/N47-1)</f>
        <v>4.6049644620740349E-2</v>
      </c>
      <c r="AA47" s="97">
        <f t="shared" si="0"/>
        <v>88</v>
      </c>
      <c r="AB47" s="397"/>
      <c r="AC47" s="397"/>
      <c r="AD47" s="397"/>
    </row>
    <row r="48" spans="2:30">
      <c r="B48" s="274">
        <v>10113</v>
      </c>
      <c r="C48" s="275" t="s">
        <v>51</v>
      </c>
      <c r="D48" s="407">
        <f>IF(Init!$R$9="Yes",'Staging Table'!F50,'Staging Table'!BH50)*Rates_previous!$E$75*100*12</f>
        <v>13230835.070040001</v>
      </c>
      <c r="E48" s="407">
        <f>IF(Init!$R$9="Yes",'Staging Table'!F50,'Staging Table'!BH50)*Rates_previous!$E$76*100*12</f>
        <v>-1966902.7262400002</v>
      </c>
      <c r="F48" s="408">
        <f>IF(Init!$R$9="Yes",SUMPRODUCT('Staging Table'!L50:AI50,LS_Demand_Rates_Restatement!$C$4:$Z$4)-IF(Init!$R$15="No",('Staging Table'!AV50*Rates_previous!$H$35), 0),SUMPRODUCT('Staging Table'!BN50:CK50,LS_Demand_Rates_Restatement!$C$4:$Z$4)-IF(Init!$R$15="No", 'Staging Table'!CX50*Rates_previous!$H$35, 0))</f>
        <v>-148358.67806178069</v>
      </c>
      <c r="G48" s="408">
        <f>IF(Init!$R$9="Yes",SUMPRODUCT('Staging Table'!AJ50:AU50,LS_Demand_Rates_Restatement!$C$10:$N$10),SUMPRODUCT(LS_Demand_Rates_Restatement!$C$10:$N$10,'Staging Table'!CL50:CW50))*1000</f>
        <v>837243.15781430714</v>
      </c>
      <c r="H48" s="409">
        <f>IF(Init!$R$9="Yes",'Staging Table'!BF50,'Staging Table'!DH50)*Rates_previous!$H$33</f>
        <v>0</v>
      </c>
      <c r="I48" s="409">
        <f>IF(Init!$R$9="Yes",IF('Staging Table'!D50=1,'Staging Table'!H50*-1*('Staging Table'!F50/'Staging Table'!E50),'Staging Table'!H50*SUM(D48:H48)*(-1)),IF('Staging Table'!D50=1,'Staging Table'!BJ50*-1*('Staging Table'!BH50/'Staging Table'!BG50),'Staging Table'!BJ50*SUM(D48:H48)*(-1)))</f>
        <v>-884627.97311112261</v>
      </c>
      <c r="J48" s="407">
        <f>IF(Init!$R$9="Yes",'Staging Table'!K50,'Staging Table'!BM50)*(-1)*Rates_previous!$H$32</f>
        <v>-1584900.6727399998</v>
      </c>
      <c r="K48" s="407">
        <f>IF(Init!$R$12="No",0,'Staging Table'!$AW50*-1)</f>
        <v>0</v>
      </c>
      <c r="L48" s="407">
        <f>IF('Staging Table'!C50=1,"",SUM(D48:K48))</f>
        <v>9483288.1777014043</v>
      </c>
      <c r="M48" s="407">
        <f>IF('Staging Table'!C50=1,"",IF(Init!$R$9="Yes",(RT1SC!$C$3*'Staging Table'!F50*'Staging Table'!$F$2)+SUM('Staging Table'!L50:AI50)-IF(Init!$R$15="No",'Staging Table'!AV50, 0),X48))</f>
        <v>327862.80000000005</v>
      </c>
      <c r="N48" s="169">
        <f>IF('Staging Table'!C50=1,"",IF(M48=0, 0, L48/M48))</f>
        <v>28.924562889420219</v>
      </c>
      <c r="O48" s="407">
        <f>'Staging Table'!BH50*Rates_current!$E$75*100*12</f>
        <v>13605920.789760001</v>
      </c>
      <c r="P48" s="407">
        <f>'Staging Table'!BH50*Rates_current!$E$76*100*12</f>
        <v>-1913790.0163200004</v>
      </c>
      <c r="Q48" s="408">
        <f>SUMPRODUCT('Staging Table'!BN50:CK50, LS_Demand_Rates_Restatement!$C$5:$Z$5)-IF(Init!$R$15="No",('Staging Table'!CX50*Rates_current!$H$35), 0)</f>
        <v>-355540.39865993377</v>
      </c>
      <c r="R48" s="408">
        <f>SUMPRODUCT('Staging Table'!CL50:CW50, LS_Demand_Rates_Restatement!$C$11:$N$11)*1000</f>
        <v>783073.86395730032</v>
      </c>
      <c r="S48" s="409">
        <f>'Staging Table'!DH50*Rates_current!$H$33</f>
        <v>0</v>
      </c>
      <c r="T48" s="409">
        <f>IF('Staging Table'!D50=1, 'Staging Table'!BJ50*-1*('Staging Table'!BH50/'Staging Table'!BG50),SUM(O48:S48)*'Staging Table'!BJ50*-1)</f>
        <v>-969497.97940380755</v>
      </c>
      <c r="U48" s="407">
        <f>'Staging Table'!BM50*Rates_current!$H$32*-1</f>
        <v>-1583554.1131199999</v>
      </c>
      <c r="V48" s="407">
        <f>IF(Init!$R$12="No",0,'Staging Table'!$CY50*-1)</f>
        <v>0</v>
      </c>
      <c r="W48" s="407">
        <f>IF('Staging Table'!C50=1,"",SUM(O48:V48))</f>
        <v>9566612.1462135613</v>
      </c>
      <c r="X48" s="407">
        <f>IF('Staging Table'!C50=1,"",(RT1SC!$C$4*'Staging Table'!BH50*'Staging Table'!$BH$2)+SUM('Staging Table'!BN50:CK50)-IF(Init!$R$15="No",'Staging Table'!CX50, 0))</f>
        <v>324890.88</v>
      </c>
      <c r="Y48" s="169">
        <f>IF('Staging Table'!C50=1,"",IF(X48=0, 0, W48/X48))</f>
        <v>29.445616159535046</v>
      </c>
      <c r="Z48" s="160">
        <f>IF('Staging Table'!C50=1,"",Y48/N48-1)</f>
        <v>1.8014214151025776E-2</v>
      </c>
      <c r="AA48" s="97">
        <f t="shared" si="0"/>
        <v>113</v>
      </c>
      <c r="AB48" s="397"/>
      <c r="AC48" s="397"/>
      <c r="AD48" s="397"/>
    </row>
    <row r="49" spans="2:30">
      <c r="B49" s="274">
        <v>10116</v>
      </c>
      <c r="C49" s="275" t="s">
        <v>52</v>
      </c>
      <c r="D49" s="407">
        <f>IF(Init!$R$9="Yes",'Staging Table'!F51,'Staging Table'!BH51)*Rates_previous!$E$75*100*12</f>
        <v>70299.099359999993</v>
      </c>
      <c r="E49" s="407">
        <f>IF(Init!$R$9="Yes",'Staging Table'!F51,'Staging Table'!BH51)*Rates_previous!$E$76*100*12</f>
        <v>-10450.70016</v>
      </c>
      <c r="F49" s="408">
        <f>IF(Init!$R$9="Yes",SUMPRODUCT('Staging Table'!L51:AI51,LS_Demand_Rates_Restatement!$C$4:$Z$4)-IF(Init!$R$15="No",('Staging Table'!AV51*Rates_previous!$H$35), 0),SUMPRODUCT('Staging Table'!BN51:CK51,LS_Demand_Rates_Restatement!$C$4:$Z$4)-IF(Init!$R$15="No", 'Staging Table'!CX51*Rates_previous!$H$35, 0))</f>
        <v>5833.784763224151</v>
      </c>
      <c r="G49" s="408">
        <f>IF(Init!$R$9="Yes",SUMPRODUCT('Staging Table'!AJ51:AU51,LS_Demand_Rates_Restatement!$C$10:$N$10),SUMPRODUCT(LS_Demand_Rates_Restatement!$C$10:$N$10,'Staging Table'!CL51:CW51))*1000</f>
        <v>31957.014443340457</v>
      </c>
      <c r="H49" s="409">
        <f>IF(Init!$R$9="Yes",'Staging Table'!BF51,'Staging Table'!DH51)*Rates_previous!$H$33</f>
        <v>2098.9368000000009</v>
      </c>
      <c r="I49" s="409">
        <f>IF(Init!$R$9="Yes",IF('Staging Table'!D51=1,'Staging Table'!H51*-1*('Staging Table'!F51/'Staging Table'!E51),'Staging Table'!H51*SUM(D49:H49)*(-1)),IF('Staging Table'!D51=1,'Staging Table'!BJ51*-1*('Staging Table'!BH51/'Staging Table'!BG51),'Staging Table'!BJ51*SUM(D49:H49)*(-1)))</f>
        <v>0</v>
      </c>
      <c r="J49" s="407">
        <f>IF(Init!$R$9="Yes",'Staging Table'!K51,'Staging Table'!BM51)*(-1)*Rates_previous!$H$32</f>
        <v>0</v>
      </c>
      <c r="K49" s="407">
        <f>IF(Init!$R$12="No",0,'Staging Table'!$AW51*-1)</f>
        <v>0</v>
      </c>
      <c r="L49" s="407">
        <f>IF('Staging Table'!C51=1,"",SUM(D49:K49))</f>
        <v>99738.135206564591</v>
      </c>
      <c r="M49" s="407">
        <f>IF('Staging Table'!C51=1,"",IF(Init!$R$9="Yes",(RT1SC!$C$3*'Staging Table'!F51*'Staging Table'!$F$2)+SUM('Staging Table'!L51:AI51)-IF(Init!$R$15="No",'Staging Table'!AV51, 0),X49))</f>
        <v>1976.4</v>
      </c>
      <c r="N49" s="169">
        <f>IF('Staging Table'!C51=1,"",IF(M49=0, 0, L49/M49))</f>
        <v>50.464549284843443</v>
      </c>
      <c r="O49" s="407">
        <f>'Staging Table'!BH51*Rates_current!$E$75*100*12</f>
        <v>82291.821120000008</v>
      </c>
      <c r="P49" s="407">
        <f>'Staging Table'!BH51*Rates_current!$E$76*100*12</f>
        <v>-11575.05384</v>
      </c>
      <c r="Q49" s="408">
        <f>SUMPRODUCT('Staging Table'!BN51:CK51, LS_Demand_Rates_Restatement!$C$5:$Z$5)-IF(Init!$R$15="No",('Staging Table'!CX51*Rates_current!$H$35), 0)</f>
        <v>135.30833029944756</v>
      </c>
      <c r="R49" s="408">
        <f>SUMPRODUCT('Staging Table'!CL51:CW51, LS_Demand_Rates_Restatement!$C$11:$N$11)*1000</f>
        <v>29500.881507647791</v>
      </c>
      <c r="S49" s="409">
        <f>'Staging Table'!DH51*Rates_current!$H$33</f>
        <v>0</v>
      </c>
      <c r="T49" s="409">
        <f>IF('Staging Table'!D51=1, 'Staging Table'!BJ51*-1*('Staging Table'!BH51/'Staging Table'!BG51),SUM(O49:S49)*'Staging Table'!BJ51*-1)</f>
        <v>0</v>
      </c>
      <c r="U49" s="407">
        <f>'Staging Table'!BM51*Rates_current!$H$32*-1</f>
        <v>0</v>
      </c>
      <c r="V49" s="407">
        <f>IF(Init!$R$12="No",0,'Staging Table'!$CY51*-1)</f>
        <v>0</v>
      </c>
      <c r="W49" s="407">
        <f>IF('Staging Table'!C51=1,"",SUM(O49:V49))</f>
        <v>100352.95711794724</v>
      </c>
      <c r="X49" s="407">
        <f>IF('Staging Table'!C51=1,"",(RT1SC!$C$4*'Staging Table'!BH51*'Staging Table'!$BH$2)+SUM('Staging Table'!BN51:CK51)-IF(Init!$R$15="No",'Staging Table'!CX51, 0))</f>
        <v>1962.24</v>
      </c>
      <c r="Y49" s="169">
        <f>IF('Staging Table'!C51=1,"",IF(X49=0, 0, W49/X49))</f>
        <v>51.142040279449631</v>
      </c>
      <c r="Z49" s="160">
        <f>IF('Staging Table'!C51=1,"",Y49/N49-1)</f>
        <v>1.3425087595296592E-2</v>
      </c>
      <c r="AA49" s="97">
        <f t="shared" si="0"/>
        <v>115</v>
      </c>
      <c r="AB49" s="397"/>
      <c r="AC49" s="397"/>
      <c r="AD49" s="397"/>
    </row>
    <row r="50" spans="2:30">
      <c r="B50" s="274">
        <v>10118</v>
      </c>
      <c r="C50" s="275" t="s">
        <v>53</v>
      </c>
      <c r="D50" s="407">
        <f>IF(Init!$R$9="Yes",'Staging Table'!F52,'Staging Table'!BH52)*Rates_previous!$E$75*100*12</f>
        <v>16032155.166719999</v>
      </c>
      <c r="E50" s="407">
        <f>IF(Init!$R$9="Yes",'Staging Table'!F52,'Staging Table'!BH52)*Rates_previous!$E$76*100*12</f>
        <v>-2383348.4083199995</v>
      </c>
      <c r="F50" s="408">
        <f>IF(Init!$R$9="Yes",SUMPRODUCT('Staging Table'!L52:AI52,LS_Demand_Rates_Restatement!$C$4:$Z$4)-IF(Init!$R$15="No",('Staging Table'!AV52*Rates_previous!$H$35), 0),SUMPRODUCT('Staging Table'!BN52:CK52,LS_Demand_Rates_Restatement!$C$4:$Z$4)-IF(Init!$R$15="No", 'Staging Table'!CX52*Rates_previous!$H$35, 0))</f>
        <v>0</v>
      </c>
      <c r="G50" s="408">
        <f>IF(Init!$R$9="Yes",SUMPRODUCT('Staging Table'!AJ52:AU52,LS_Demand_Rates_Restatement!$C$10:$N$10),SUMPRODUCT(LS_Demand_Rates_Restatement!$C$10:$N$10,'Staging Table'!CL52:CW52))*1000</f>
        <v>0</v>
      </c>
      <c r="H50" s="409">
        <f>IF(Init!$R$9="Yes",'Staging Table'!BF52,'Staging Table'!DH52)*Rates_previous!$H$33</f>
        <v>0</v>
      </c>
      <c r="I50" s="409">
        <f>IF(Init!$R$9="Yes",IF('Staging Table'!D52=1,'Staging Table'!H52*-1*('Staging Table'!F52/'Staging Table'!E52),'Staging Table'!H52*SUM(D50:H50)*(-1)),IF('Staging Table'!D52=1,'Staging Table'!BJ52*-1*('Staging Table'!BH52/'Staging Table'!BG52),'Staging Table'!BJ52*SUM(D50:H50)*(-1)))</f>
        <v>-896453.62789171212</v>
      </c>
      <c r="J50" s="407">
        <f>IF(Init!$R$9="Yes",'Staging Table'!K52,'Staging Table'!BM52)*(-1)*Rates_previous!$H$32</f>
        <v>0</v>
      </c>
      <c r="K50" s="407">
        <f>IF(Init!$R$12="No",0,'Staging Table'!$AW52*-1)</f>
        <v>0</v>
      </c>
      <c r="L50" s="407" t="str">
        <f>IF('Staging Table'!C52=1,"",SUM(D50:K50))</f>
        <v/>
      </c>
      <c r="M50" s="407" t="str">
        <f>IF('Staging Table'!C52=1,"",IF(Init!$R$9="Yes",(RT1SC!$C$3*'Staging Table'!F52*'Staging Table'!$F$2)+SUM('Staging Table'!L52:AI52)-IF(Init!$R$15="No",'Staging Table'!AV52, 0),X50))</f>
        <v/>
      </c>
      <c r="N50" s="169" t="str">
        <f>IF('Staging Table'!C52=1,"",IF(M50=0, 0, L50/M50))</f>
        <v/>
      </c>
      <c r="O50" s="407">
        <f>'Staging Table'!BH52*Rates_current!$E$75*100*12</f>
        <v>16486644.07584</v>
      </c>
      <c r="P50" s="407">
        <f>'Staging Table'!BH52*Rates_current!$E$76*100*12</f>
        <v>-2318988.5728799999</v>
      </c>
      <c r="Q50" s="408">
        <f>SUMPRODUCT('Staging Table'!BN52:CK52, LS_Demand_Rates_Restatement!$C$5:$Z$5)-IF(Init!$R$15="No",('Staging Table'!CX52*Rates_current!$H$35), 0)</f>
        <v>0</v>
      </c>
      <c r="R50" s="408">
        <f>SUMPRODUCT('Staging Table'!CL52:CW52, LS_Demand_Rates_Restatement!$C$11:$N$11)*1000</f>
        <v>0</v>
      </c>
      <c r="S50" s="409">
        <f>'Staging Table'!DH52*Rates_current!$H$33</f>
        <v>0</v>
      </c>
      <c r="T50" s="409">
        <f>IF('Staging Table'!D52=1, 'Staging Table'!BJ52*-1*('Staging Table'!BH52/'Staging Table'!BG52),SUM(O50:S50)*'Staging Table'!BJ52*-1)</f>
        <v>-948314.91035794897</v>
      </c>
      <c r="U50" s="407">
        <f>'Staging Table'!BM52*Rates_current!$H$32*-1</f>
        <v>0</v>
      </c>
      <c r="V50" s="407">
        <f>IF(Init!$R$12="No",0,'Staging Table'!$CY52*-1)</f>
        <v>0</v>
      </c>
      <c r="W50" s="407" t="str">
        <f>IF('Staging Table'!C52=1,"",SUM(O50:V50))</f>
        <v/>
      </c>
      <c r="X50" s="407" t="str">
        <f>IF('Staging Table'!C52=1,"",(RT1SC!$C$4*'Staging Table'!BH52*'Staging Table'!$BH$2)+SUM('Staging Table'!BN52:CK52)-IF(Init!$R$15="No",'Staging Table'!CX52, 0))</f>
        <v/>
      </c>
      <c r="Y50" s="169" t="str">
        <f>IF('Staging Table'!C52=1,"",IF(X50=0, 0, W50/X50))</f>
        <v/>
      </c>
      <c r="Z50" s="160" t="str">
        <f>IF('Staging Table'!C52=1,"",Y50/N50-1)</f>
        <v/>
      </c>
      <c r="AA50" s="97" t="str">
        <f t="shared" si="0"/>
        <v/>
      </c>
      <c r="AB50" s="397"/>
      <c r="AC50" s="397"/>
      <c r="AD50" s="397"/>
    </row>
    <row r="51" spans="2:30">
      <c r="B51" s="274">
        <v>10121</v>
      </c>
      <c r="C51" s="275" t="s">
        <v>54</v>
      </c>
      <c r="D51" s="407">
        <f>IF(Init!$R$9="Yes",'Staging Table'!F53,'Staging Table'!BH53)*Rates_previous!$E$75*100*12</f>
        <v>14090018.78088</v>
      </c>
      <c r="E51" s="407">
        <f>IF(Init!$R$9="Yes",'Staging Table'!F53,'Staging Table'!BH53)*Rates_previous!$E$76*100*12</f>
        <v>-2094629.4172799997</v>
      </c>
      <c r="F51" s="408">
        <f>IF(Init!$R$9="Yes",SUMPRODUCT('Staging Table'!L53:AI53,LS_Demand_Rates_Restatement!$C$4:$Z$4)-IF(Init!$R$15="No",('Staging Table'!AV53*Rates_previous!$H$35), 0),SUMPRODUCT('Staging Table'!BN53:CK53,LS_Demand_Rates_Restatement!$C$4:$Z$4)-IF(Init!$R$15="No", 'Staging Table'!CX53*Rates_previous!$H$35, 0))</f>
        <v>0</v>
      </c>
      <c r="G51" s="408">
        <f>IF(Init!$R$9="Yes",SUMPRODUCT('Staging Table'!AJ53:AU53,LS_Demand_Rates_Restatement!$C$10:$N$10),SUMPRODUCT(LS_Demand_Rates_Restatement!$C$10:$N$10,'Staging Table'!CL53:CW53))*1000</f>
        <v>0</v>
      </c>
      <c r="H51" s="409">
        <f>IF(Init!$R$9="Yes",'Staging Table'!BF53,'Staging Table'!DH53)*Rates_previous!$H$33</f>
        <v>9.0516260807431532</v>
      </c>
      <c r="I51" s="409">
        <f>IF(Init!$R$9="Yes",IF('Staging Table'!D53=1,'Staging Table'!H53*-1*('Staging Table'!F53/'Staging Table'!E53),'Staging Table'!H53*SUM(D51:H51)*(-1)),IF('Staging Table'!D53=1,'Staging Table'!BJ53*-1*('Staging Table'!BH53/'Staging Table'!BG53),'Staging Table'!BJ53*SUM(D51:H51)*(-1)))</f>
        <v>-659746.91283743444</v>
      </c>
      <c r="J51" s="407">
        <f>IF(Init!$R$9="Yes",'Staging Table'!K53,'Staging Table'!BM53)*(-1)*Rates_previous!$H$32</f>
        <v>0</v>
      </c>
      <c r="K51" s="407">
        <f>IF(Init!$R$12="No",0,'Staging Table'!$AW53*-1)</f>
        <v>0</v>
      </c>
      <c r="L51" s="407" t="str">
        <f>IF('Staging Table'!C53=1,"",SUM(D51:K51))</f>
        <v/>
      </c>
      <c r="M51" s="407" t="str">
        <f>IF('Staging Table'!C53=1,"",IF(Init!$R$9="Yes",(RT1SC!$C$3*'Staging Table'!F53*'Staging Table'!$F$2)+SUM('Staging Table'!L53:AI53)-IF(Init!$R$15="No",'Staging Table'!AV53, 0),X51))</f>
        <v/>
      </c>
      <c r="N51" s="169" t="str">
        <f>IF('Staging Table'!C53=1,"",IF(M51=0, 0, L51/M51))</f>
        <v/>
      </c>
      <c r="O51" s="407">
        <f>'Staging Table'!BH53*Rates_current!$E$75*100*12</f>
        <v>14253045.32736</v>
      </c>
      <c r="P51" s="407">
        <f>'Staging Table'!BH53*Rates_current!$E$76*100*12</f>
        <v>-2004813.6595200002</v>
      </c>
      <c r="Q51" s="408">
        <f>SUMPRODUCT('Staging Table'!BN53:CK53, LS_Demand_Rates_Restatement!$C$5:$Z$5)-IF(Init!$R$15="No",('Staging Table'!CX53*Rates_current!$H$35), 0)</f>
        <v>0</v>
      </c>
      <c r="R51" s="408">
        <f>SUMPRODUCT('Staging Table'!CL53:CW53, LS_Demand_Rates_Restatement!$C$11:$N$11)*1000</f>
        <v>0</v>
      </c>
      <c r="S51" s="409">
        <f>'Staging Table'!DH53*Rates_current!$H$33</f>
        <v>27.527385455861804</v>
      </c>
      <c r="T51" s="409">
        <f>IF('Staging Table'!D53=1, 'Staging Table'!BJ53*-1*('Staging Table'!BH53/'Staging Table'!BG53),SUM(O51:S51)*'Staging Table'!BJ53*-1)</f>
        <v>-734895.55171352741</v>
      </c>
      <c r="U51" s="407">
        <f>'Staging Table'!BM53*Rates_current!$H$32*-1</f>
        <v>0</v>
      </c>
      <c r="V51" s="407">
        <f>IF(Init!$R$12="No",0,'Staging Table'!$CY53*-1)</f>
        <v>0</v>
      </c>
      <c r="W51" s="407" t="str">
        <f>IF('Staging Table'!C53=1,"",SUM(O51:V51))</f>
        <v/>
      </c>
      <c r="X51" s="407" t="str">
        <f>IF('Staging Table'!C53=1,"",(RT1SC!$C$4*'Staging Table'!BH53*'Staging Table'!$BH$2)+SUM('Staging Table'!BN53:CK53)-IF(Init!$R$15="No",'Staging Table'!CX53, 0))</f>
        <v/>
      </c>
      <c r="Y51" s="169" t="str">
        <f>IF('Staging Table'!C53=1,"",IF(X51=0, 0, W51/X51))</f>
        <v/>
      </c>
      <c r="Z51" s="160" t="str">
        <f>IF('Staging Table'!C53=1,"",Y51/N51-1)</f>
        <v/>
      </c>
      <c r="AA51" s="97" t="str">
        <f t="shared" si="0"/>
        <v/>
      </c>
      <c r="AB51" s="397"/>
      <c r="AC51" s="397"/>
      <c r="AD51" s="397"/>
    </row>
    <row r="52" spans="2:30">
      <c r="B52" s="274">
        <v>10123</v>
      </c>
      <c r="C52" s="275" t="s">
        <v>55</v>
      </c>
      <c r="D52" s="407">
        <f>IF(Init!$R$9="Yes",'Staging Table'!F54,'Staging Table'!BH54)*Rates_previous!$E$75*100*12</f>
        <v>93914893.636199996</v>
      </c>
      <c r="E52" s="407">
        <f>IF(Init!$R$9="Yes",'Staging Table'!F54,'Staging Table'!BH54)*Rates_previous!$E$76*100*12</f>
        <v>-13961436.247199997</v>
      </c>
      <c r="F52" s="408">
        <f>IF(Init!$R$9="Yes",SUMPRODUCT('Staging Table'!L54:AI54,LS_Demand_Rates_Restatement!$C$4:$Z$4)-IF(Init!$R$15="No",('Staging Table'!AV54*Rates_previous!$H$35), 0),SUMPRODUCT('Staging Table'!BN54:CK54,LS_Demand_Rates_Restatement!$C$4:$Z$4)-IF(Init!$R$15="No", 'Staging Table'!CX54*Rates_previous!$H$35, 0))</f>
        <v>-265139.15013743902</v>
      </c>
      <c r="G52" s="408">
        <f>IF(Init!$R$9="Yes",SUMPRODUCT('Staging Table'!AJ54:AU54,LS_Demand_Rates_Restatement!$C$10:$N$10),SUMPRODUCT(LS_Demand_Rates_Restatement!$C$10:$N$10,'Staging Table'!CL54:CW54))*1000</f>
        <v>0</v>
      </c>
      <c r="H52" s="409">
        <f>IF(Init!$R$9="Yes",'Staging Table'!BF54,'Staging Table'!DH54)*Rates_previous!$H$33</f>
        <v>0</v>
      </c>
      <c r="I52" s="409">
        <f>IF(Init!$R$9="Yes",IF('Staging Table'!D54=1,'Staging Table'!H54*-1*('Staging Table'!F54/'Staging Table'!E54),'Staging Table'!H54*SUM(D52:H52)*(-1)),IF('Staging Table'!D54=1,'Staging Table'!BJ54*-1*('Staging Table'!BH54/'Staging Table'!BG54),'Staging Table'!BJ54*SUM(D52:H52)*(-1)))</f>
        <v>0</v>
      </c>
      <c r="J52" s="407">
        <f>IF(Init!$R$9="Yes",'Staging Table'!K54,'Staging Table'!BM54)*(-1)*Rates_previous!$H$32</f>
        <v>0</v>
      </c>
      <c r="K52" s="407">
        <f>IF(Init!$R$12="No",0,'Staging Table'!$AW54*-1)</f>
        <v>0</v>
      </c>
      <c r="L52" s="407">
        <f>IF('Staging Table'!C54=1,"",SUM(D52:K52))</f>
        <v>79688318.238862559</v>
      </c>
      <c r="M52" s="407">
        <f>IF('Staging Table'!C54=1,"",IF(Init!$R$9="Yes",(RT1SC!$C$3*'Staging Table'!F54*'Staging Table'!$F$2)+SUM('Staging Table'!L54:AI54)-IF(Init!$R$15="No",'Staging Table'!AV54, 0),X52))</f>
        <v>2327249.3946383512</v>
      </c>
      <c r="N52" s="169">
        <f>IF('Staging Table'!C54=1,"",IF(M52=0, 0, L52/M52))</f>
        <v>34.241417538856389</v>
      </c>
      <c r="O52" s="407">
        <f>'Staging Table'!BH54*Rates_current!$E$75*100*12</f>
        <v>96573655.84608002</v>
      </c>
      <c r="P52" s="407">
        <f>'Staging Table'!BH54*Rates_current!$E$76*100*12</f>
        <v>-13583916.97656</v>
      </c>
      <c r="Q52" s="408">
        <f>SUMPRODUCT('Staging Table'!BN54:CK54, LS_Demand_Rates_Restatement!$C$5:$Z$5)-IF(Init!$R$15="No",('Staging Table'!CX54*Rates_current!$H$35), 0)</f>
        <v>-703880.26376727805</v>
      </c>
      <c r="R52" s="408">
        <f>SUMPRODUCT('Staging Table'!CL54:CW54, LS_Demand_Rates_Restatement!$C$11:$N$11)*1000</f>
        <v>0</v>
      </c>
      <c r="S52" s="409">
        <f>'Staging Table'!DH54*Rates_current!$H$33</f>
        <v>0</v>
      </c>
      <c r="T52" s="409">
        <f>IF('Staging Table'!D54=1, 'Staging Table'!BJ54*-1*('Staging Table'!BH54/'Staging Table'!BG54),SUM(O52:S52)*'Staging Table'!BJ54*-1)</f>
        <v>0</v>
      </c>
      <c r="U52" s="407">
        <f>'Staging Table'!BM54*Rates_current!$H$32*-1</f>
        <v>0</v>
      </c>
      <c r="V52" s="407">
        <f>IF(Init!$R$12="No",0,'Staging Table'!$CY54*-1)</f>
        <v>0</v>
      </c>
      <c r="W52" s="407">
        <f>IF('Staging Table'!C54=1,"",SUM(O52:V52))</f>
        <v>82285858.605752751</v>
      </c>
      <c r="X52" s="407">
        <f>IF('Staging Table'!C54=1,"",(RT1SC!$C$4*'Staging Table'!BH54*'Staging Table'!$BH$2)+SUM('Staging Table'!BN54:CK54)-IF(Init!$R$15="No",'Staging Table'!CX54, 0))</f>
        <v>2278742.0336434692</v>
      </c>
      <c r="Y52" s="169">
        <f>IF('Staging Table'!C54=1,"",IF(X52=0, 0, W52/X52))</f>
        <v>36.110212297346493</v>
      </c>
      <c r="Z52" s="160">
        <f>IF('Staging Table'!C54=1,"",Y52/N52-1)</f>
        <v>5.4577026677398388E-2</v>
      </c>
      <c r="AA52" s="97">
        <f t="shared" si="0"/>
        <v>36</v>
      </c>
      <c r="AB52" s="397"/>
      <c r="AC52" s="397"/>
      <c r="AD52" s="397"/>
    </row>
    <row r="53" spans="2:30">
      <c r="B53" s="274">
        <v>10136</v>
      </c>
      <c r="C53" s="275" t="s">
        <v>56</v>
      </c>
      <c r="D53" s="407">
        <f>IF(Init!$R$9="Yes",'Staging Table'!F55,'Staging Table'!BH55)*Rates_previous!$E$75*100*12</f>
        <v>6389049.4844399989</v>
      </c>
      <c r="E53" s="407">
        <f>IF(Init!$R$9="Yes",'Staging Table'!F55,'Staging Table'!BH55)*Rates_previous!$E$76*100*12</f>
        <v>-949799.37263999972</v>
      </c>
      <c r="F53" s="408">
        <f>IF(Init!$R$9="Yes",SUMPRODUCT('Staging Table'!L55:AI55,LS_Demand_Rates_Restatement!$C$4:$Z$4)-IF(Init!$R$15="No",('Staging Table'!AV55*Rates_previous!$H$35), 0),SUMPRODUCT('Staging Table'!BN55:CK55,LS_Demand_Rates_Restatement!$C$4:$Z$4)-IF(Init!$R$15="No", 'Staging Table'!CX55*Rates_previous!$H$35, 0))</f>
        <v>0</v>
      </c>
      <c r="G53" s="408">
        <f>IF(Init!$R$9="Yes",SUMPRODUCT('Staging Table'!AJ55:AU55,LS_Demand_Rates_Restatement!$C$10:$N$10),SUMPRODUCT(LS_Demand_Rates_Restatement!$C$10:$N$10,'Staging Table'!CL55:CW55))*1000</f>
        <v>0</v>
      </c>
      <c r="H53" s="409">
        <f>IF(Init!$R$9="Yes",'Staging Table'!BF55,'Staging Table'!DH55)*Rates_previous!$H$33</f>
        <v>3.1634475799786741</v>
      </c>
      <c r="I53" s="409">
        <f>IF(Init!$R$9="Yes",IF('Staging Table'!D55=1,'Staging Table'!H55*-1*('Staging Table'!F55/'Staging Table'!E55),'Staging Table'!H55*SUM(D53:H53)*(-1)),IF('Staging Table'!D55=1,'Staging Table'!BJ55*-1*('Staging Table'!BH55/'Staging Table'!BG55),'Staging Table'!BJ55*SUM(D53:H53)*(-1)))</f>
        <v>-380747.72926733061</v>
      </c>
      <c r="J53" s="407">
        <f>IF(Init!$R$9="Yes",'Staging Table'!K55,'Staging Table'!BM55)*(-1)*Rates_previous!$H$32</f>
        <v>0</v>
      </c>
      <c r="K53" s="407">
        <f>IF(Init!$R$12="No",0,'Staging Table'!$AW55*-1)</f>
        <v>0</v>
      </c>
      <c r="L53" s="407" t="str">
        <f>IF('Staging Table'!C55=1,"",SUM(D53:K53))</f>
        <v/>
      </c>
      <c r="M53" s="407" t="str">
        <f>IF('Staging Table'!C55=1,"",IF(Init!$R$9="Yes",(RT1SC!$C$3*'Staging Table'!F55*'Staging Table'!$F$2)+SUM('Staging Table'!L55:AI55)-IF(Init!$R$15="No",'Staging Table'!AV55, 0),X53))</f>
        <v/>
      </c>
      <c r="N53" s="169" t="str">
        <f>IF('Staging Table'!C55=1,"",IF(M53=0, 0, L53/M53))</f>
        <v/>
      </c>
      <c r="O53" s="407">
        <f>'Staging Table'!BH55*Rates_current!$E$75*100*12</f>
        <v>6645255.63552</v>
      </c>
      <c r="P53" s="407">
        <f>'Staging Table'!BH55*Rates_current!$E$76*100*12</f>
        <v>-934712.47464000015</v>
      </c>
      <c r="Q53" s="408">
        <f>SUMPRODUCT('Staging Table'!BN55:CK55, LS_Demand_Rates_Restatement!$C$5:$Z$5)-IF(Init!$R$15="No",('Staging Table'!CX55*Rates_current!$H$35), 0)</f>
        <v>0</v>
      </c>
      <c r="R53" s="408">
        <f>SUMPRODUCT('Staging Table'!CL55:CW55, LS_Demand_Rates_Restatement!$C$11:$N$11)*1000</f>
        <v>0</v>
      </c>
      <c r="S53" s="409">
        <f>'Staging Table'!DH55*Rates_current!$H$33</f>
        <v>27.009076842005015</v>
      </c>
      <c r="T53" s="409">
        <f>IF('Staging Table'!D55=1, 'Staging Table'!BJ55*-1*('Staging Table'!BH55/'Staging Table'!BG55),SUM(O53:S53)*'Staging Table'!BJ55*-1)</f>
        <v>-399739.91189697897</v>
      </c>
      <c r="U53" s="407">
        <f>'Staging Table'!BM55*Rates_current!$H$32*-1</f>
        <v>0</v>
      </c>
      <c r="V53" s="407">
        <f>IF(Init!$R$12="No",0,'Staging Table'!$CY55*-1)</f>
        <v>0</v>
      </c>
      <c r="W53" s="407" t="str">
        <f>IF('Staging Table'!C55=1,"",SUM(O53:V53))</f>
        <v/>
      </c>
      <c r="X53" s="407" t="str">
        <f>IF('Staging Table'!C55=1,"",(RT1SC!$C$4*'Staging Table'!BH55*'Staging Table'!$BH$2)+SUM('Staging Table'!BN55:CK55)-IF(Init!$R$15="No",'Staging Table'!CX55, 0))</f>
        <v/>
      </c>
      <c r="Y53" s="169" t="str">
        <f>IF('Staging Table'!C55=1,"",IF(X53=0, 0, W53/X53))</f>
        <v/>
      </c>
      <c r="Z53" s="160" t="str">
        <f>IF('Staging Table'!C55=1,"",Y53/N53-1)</f>
        <v/>
      </c>
      <c r="AA53" s="97" t="str">
        <f t="shared" si="0"/>
        <v/>
      </c>
      <c r="AB53" s="397"/>
      <c r="AC53" s="397"/>
      <c r="AD53" s="397"/>
    </row>
    <row r="54" spans="2:30">
      <c r="B54" s="274">
        <v>10142</v>
      </c>
      <c r="C54" s="275" t="s">
        <v>57</v>
      </c>
      <c r="D54" s="407">
        <f>IF(Init!$R$9="Yes",'Staging Table'!F56,'Staging Table'!BH56)*Rates_previous!$E$75*100*12</f>
        <v>943344.60443999991</v>
      </c>
      <c r="E54" s="407">
        <f>IF(Init!$R$9="Yes",'Staging Table'!F56,'Staging Table'!BH56)*Rates_previous!$E$76*100*12</f>
        <v>-140238.09263999999</v>
      </c>
      <c r="F54" s="408">
        <f>IF(Init!$R$9="Yes",SUMPRODUCT('Staging Table'!L56:AI56,LS_Demand_Rates_Restatement!$C$4:$Z$4)-IF(Init!$R$15="No",('Staging Table'!AV56*Rates_previous!$H$35), 0),SUMPRODUCT('Staging Table'!BN56:CK56,LS_Demand_Rates_Restatement!$C$4:$Z$4)-IF(Init!$R$15="No", 'Staging Table'!CX56*Rates_previous!$H$35, 0))</f>
        <v>-2073.9413123687482</v>
      </c>
      <c r="G54" s="408">
        <f>IF(Init!$R$9="Yes",SUMPRODUCT('Staging Table'!AJ56:AU56,LS_Demand_Rates_Restatement!$C$10:$N$10),SUMPRODUCT(LS_Demand_Rates_Restatement!$C$10:$N$10,'Staging Table'!CL56:CW56))*1000</f>
        <v>82906.441588666305</v>
      </c>
      <c r="H54" s="409">
        <f>IF(Init!$R$9="Yes",'Staging Table'!BF56,'Staging Table'!DH56)*Rates_previous!$H$33</f>
        <v>0</v>
      </c>
      <c r="I54" s="409">
        <f>IF(Init!$R$9="Yes",IF('Staging Table'!D56=1,'Staging Table'!H56*-1*('Staging Table'!F56/'Staging Table'!E56),'Staging Table'!H56*SUM(D54:H54)*(-1)),IF('Staging Table'!D56=1,'Staging Table'!BJ56*-1*('Staging Table'!BH56/'Staging Table'!BG56),'Staging Table'!BJ56*SUM(D54:H54)*(-1)))</f>
        <v>-30442.859575907685</v>
      </c>
      <c r="J54" s="407">
        <f>IF(Init!$R$9="Yes",'Staging Table'!K56,'Staging Table'!BM56)*(-1)*Rates_previous!$H$32</f>
        <v>-67906.826679999998</v>
      </c>
      <c r="K54" s="407">
        <f>IF(Init!$R$12="No",0,'Staging Table'!$AW56*-1)</f>
        <v>0</v>
      </c>
      <c r="L54" s="407">
        <f>IF('Staging Table'!C56=1,"",SUM(D54:K54))</f>
        <v>785589.3258203899</v>
      </c>
      <c r="M54" s="407">
        <f>IF('Staging Table'!C56=1,"",IF(Init!$R$9="Yes",(RT1SC!$C$3*'Staging Table'!F56*'Staging Table'!$F$2)+SUM('Staging Table'!L56:AI56)-IF(Init!$R$15="No",'Staging Table'!AV56, 0),X54))</f>
        <v>23374.224000000002</v>
      </c>
      <c r="N54" s="169">
        <f>IF('Staging Table'!C56=1,"",IF(M54=0, 0, L54/M54))</f>
        <v>33.609215254392609</v>
      </c>
      <c r="O54" s="407">
        <f>'Staging Table'!BH56*Rates_current!$E$75*100*12</f>
        <v>969922.48607999994</v>
      </c>
      <c r="P54" s="407">
        <f>'Staging Table'!BH56*Rates_current!$E$76*100*12</f>
        <v>-136427.95656000002</v>
      </c>
      <c r="Q54" s="408">
        <f>SUMPRODUCT('Staging Table'!BN56:CK56, LS_Demand_Rates_Restatement!$C$5:$Z$5)-IF(Init!$R$15="No",('Staging Table'!CX56*Rates_current!$H$35), 0)</f>
        <v>-6496.034870309486</v>
      </c>
      <c r="R54" s="408">
        <f>SUMPRODUCT('Staging Table'!CL56:CW56, LS_Demand_Rates_Restatement!$C$11:$N$11)*1000</f>
        <v>80471.869350756795</v>
      </c>
      <c r="S54" s="409">
        <f>'Staging Table'!DH56*Rates_current!$H$33</f>
        <v>0</v>
      </c>
      <c r="T54" s="409">
        <f>IF('Staging Table'!D56=1, 'Staging Table'!BJ56*-1*('Staging Table'!BH56/'Staging Table'!BG56),SUM(O54:S54)*'Staging Table'!BJ56*-1)</f>
        <v>-29489.354642556136</v>
      </c>
      <c r="U54" s="407">
        <f>'Staging Table'!BM56*Rates_current!$H$32*-1</f>
        <v>-67849.131840000002</v>
      </c>
      <c r="V54" s="407">
        <f>IF(Init!$R$12="No",0,'Staging Table'!$CY56*-1)</f>
        <v>0</v>
      </c>
      <c r="W54" s="407">
        <f>IF('Staging Table'!C56=1,"",SUM(O54:V54))</f>
        <v>810131.87751789088</v>
      </c>
      <c r="X54" s="407">
        <f>IF('Staging Table'!C56=1,"",(RT1SC!$C$4*'Staging Table'!BH56*'Staging Table'!$BH$2)+SUM('Staging Table'!BN56:CK56)-IF(Init!$R$15="No",'Staging Table'!CX56, 0))</f>
        <v>23161.440000000002</v>
      </c>
      <c r="Y54" s="169">
        <f>IF('Staging Table'!C56=1,"",IF(X54=0, 0, W54/X54))</f>
        <v>34.977612683748973</v>
      </c>
      <c r="Z54" s="160">
        <f>IF('Staging Table'!C56=1,"",Y54/N54-1)</f>
        <v>4.0714947344018038E-2</v>
      </c>
      <c r="AA54" s="97">
        <f t="shared" si="0"/>
        <v>99</v>
      </c>
      <c r="AB54" s="397"/>
      <c r="AC54" s="397"/>
      <c r="AD54" s="397"/>
    </row>
    <row r="55" spans="2:30">
      <c r="B55" s="274">
        <v>10144</v>
      </c>
      <c r="C55" s="275" t="s">
        <v>58</v>
      </c>
      <c r="D55" s="407">
        <f>IF(Init!$R$9="Yes",'Staging Table'!F57,'Staging Table'!BH57)*Rates_previous!$E$75*100*12</f>
        <v>1175777.1900000002</v>
      </c>
      <c r="E55" s="407">
        <f>IF(Init!$R$9="Yes",'Staging Table'!F57,'Staging Table'!BH57)*Rates_previous!$E$76*100*12</f>
        <v>-174791.63999999998</v>
      </c>
      <c r="F55" s="408">
        <f>IF(Init!$R$9="Yes",SUMPRODUCT('Staging Table'!L57:AI57,LS_Demand_Rates_Restatement!$C$4:$Z$4)-IF(Init!$R$15="No",('Staging Table'!AV57*Rates_previous!$H$35), 0),SUMPRODUCT('Staging Table'!BN57:CK57,LS_Demand_Rates_Restatement!$C$4:$Z$4)-IF(Init!$R$15="No", 'Staging Table'!CX57*Rates_previous!$H$35, 0))</f>
        <v>-4254.2524276990407</v>
      </c>
      <c r="G55" s="408">
        <f>IF(Init!$R$9="Yes",SUMPRODUCT('Staging Table'!AJ57:AU57,LS_Demand_Rates_Restatement!$C$10:$N$10),SUMPRODUCT(LS_Demand_Rates_Restatement!$C$10:$N$10,'Staging Table'!CL57:CW57))*1000</f>
        <v>67507.716139476484</v>
      </c>
      <c r="H55" s="409">
        <f>IF(Init!$R$9="Yes",'Staging Table'!BF57,'Staging Table'!DH57)*Rates_previous!$H$33</f>
        <v>-4896.368093055813</v>
      </c>
      <c r="I55" s="409">
        <f>IF(Init!$R$9="Yes",IF('Staging Table'!D57=1,'Staging Table'!H57*-1*('Staging Table'!F57/'Staging Table'!E57),'Staging Table'!H57*SUM(D55:H55)*(-1)),IF('Staging Table'!D57=1,'Staging Table'!BJ57*-1*('Staging Table'!BH57/'Staging Table'!BG57),'Staging Table'!BJ57*SUM(D55:H55)*(-1)))</f>
        <v>0</v>
      </c>
      <c r="J55" s="407">
        <f>IF(Init!$R$9="Yes",'Staging Table'!K57,'Staging Table'!BM57)*(-1)*Rates_previous!$H$32</f>
        <v>0</v>
      </c>
      <c r="K55" s="407">
        <f>IF(Init!$R$12="No",0,'Staging Table'!$AW57*-1)</f>
        <v>0</v>
      </c>
      <c r="L55" s="407">
        <f>IF('Staging Table'!C57=1,"",SUM(D55:K55))</f>
        <v>1059342.6456187216</v>
      </c>
      <c r="M55" s="407">
        <f>IF('Staging Table'!C57=1,"",IF(Init!$R$9="Yes",(RT1SC!$C$3*'Staging Table'!F57*'Staging Table'!$F$2)+SUM('Staging Table'!L57:AI57)-IF(Init!$R$15="No",'Staging Table'!AV57, 0),X55))</f>
        <v>28583.266068581266</v>
      </c>
      <c r="N55" s="169">
        <f>IF('Staging Table'!C57=1,"",IF(M55=0, 0, L55/M55))</f>
        <v>37.061637500661668</v>
      </c>
      <c r="O55" s="407">
        <f>'Staging Table'!BH57*Rates_current!$E$75*100*12</f>
        <v>1196925.62112</v>
      </c>
      <c r="P55" s="407">
        <f>'Staging Table'!BH57*Rates_current!$E$76*100*12</f>
        <v>-168357.90383999998</v>
      </c>
      <c r="Q55" s="408">
        <f>SUMPRODUCT('Staging Table'!BN57:CK57, LS_Demand_Rates_Restatement!$C$5:$Z$5)-IF(Init!$R$15="No",('Staging Table'!CX57*Rates_current!$H$35), 0)</f>
        <v>22034.089899984647</v>
      </c>
      <c r="R55" s="408">
        <f>SUMPRODUCT('Staging Table'!CL57:CW57, LS_Demand_Rates_Restatement!$C$11:$N$11)*1000</f>
        <v>70089.021543304858</v>
      </c>
      <c r="S55" s="409">
        <f>'Staging Table'!DH57*Rates_current!$H$33</f>
        <v>-7.8231835779633911</v>
      </c>
      <c r="T55" s="409">
        <f>IF('Staging Table'!D57=1, 'Staging Table'!BJ57*-1*('Staging Table'!BH57/'Staging Table'!BG57),SUM(O55:S55)*'Staging Table'!BJ57*-1)</f>
        <v>0</v>
      </c>
      <c r="U55" s="407">
        <f>'Staging Table'!BM57*Rates_current!$H$32*-1</f>
        <v>0</v>
      </c>
      <c r="V55" s="407">
        <f>IF(Init!$R$12="No",0,'Staging Table'!$CY57*-1)</f>
        <v>0</v>
      </c>
      <c r="W55" s="407">
        <f>IF('Staging Table'!C57=1,"",SUM(O55:V55))</f>
        <v>1120683.0055397116</v>
      </c>
      <c r="X55" s="407">
        <f>IF('Staging Table'!C57=1,"",(RT1SC!$C$4*'Staging Table'!BH57*'Staging Table'!$BH$2)+SUM('Staging Table'!BN57:CK57)-IF(Init!$R$15="No",'Staging Table'!CX57, 0))</f>
        <v>28583.266416974275</v>
      </c>
      <c r="Y55" s="169">
        <f>IF('Staging Table'!C57=1,"",IF(X55=0, 0, W55/X55))</f>
        <v>39.207660495869355</v>
      </c>
      <c r="Z55" s="160">
        <f>IF('Staging Table'!C57=1,"",Y55/N55-1)</f>
        <v>5.7904160202564503E-2</v>
      </c>
      <c r="AA55" s="97">
        <f t="shared" si="0"/>
        <v>28</v>
      </c>
      <c r="AB55" s="397"/>
      <c r="AC55" s="397"/>
      <c r="AD55" s="397"/>
    </row>
    <row r="56" spans="2:30">
      <c r="B56" s="274">
        <v>10156</v>
      </c>
      <c r="C56" s="275" t="s">
        <v>59</v>
      </c>
      <c r="D56" s="407">
        <f>IF(Init!$R$9="Yes",'Staging Table'!F58,'Staging Table'!BH58)*Rates_previous!$E$75*100*12</f>
        <v>11278549.870560002</v>
      </c>
      <c r="E56" s="407">
        <f>IF(Init!$R$9="Yes",'Staging Table'!F58,'Staging Table'!BH58)*Rates_previous!$E$76*100*12</f>
        <v>-1676675.0073599999</v>
      </c>
      <c r="F56" s="408">
        <f>IF(Init!$R$9="Yes",SUMPRODUCT('Staging Table'!L58:AI58,LS_Demand_Rates_Restatement!$C$4:$Z$4)-IF(Init!$R$15="No",('Staging Table'!AV58*Rates_previous!$H$35), 0),SUMPRODUCT('Staging Table'!BN58:CK58,LS_Demand_Rates_Restatement!$C$4:$Z$4)-IF(Init!$R$15="No", 'Staging Table'!CX58*Rates_previous!$H$35, 0))</f>
        <v>11063.276782723795</v>
      </c>
      <c r="G56" s="408">
        <f>IF(Init!$R$9="Yes",SUMPRODUCT('Staging Table'!AJ58:AU58,LS_Demand_Rates_Restatement!$C$10:$N$10),SUMPRODUCT(LS_Demand_Rates_Restatement!$C$10:$N$10,'Staging Table'!CL58:CW58))*1000</f>
        <v>690499.90803568379</v>
      </c>
      <c r="H56" s="409">
        <f>IF(Init!$R$9="Yes",'Staging Table'!BF58,'Staging Table'!DH58)*Rates_previous!$H$33</f>
        <v>-21853.962927935259</v>
      </c>
      <c r="I56" s="409">
        <f>IF(Init!$R$9="Yes",IF('Staging Table'!D58=1,'Staging Table'!H58*-1*('Staging Table'!F58/'Staging Table'!E58),'Staging Table'!H58*SUM(D56:H56)*(-1)),IF('Staging Table'!D58=1,'Staging Table'!BJ58*-1*('Staging Table'!BH58/'Staging Table'!BG58),'Staging Table'!BJ58*SUM(D56:H56)*(-1)))</f>
        <v>0</v>
      </c>
      <c r="J56" s="407">
        <f>IF(Init!$R$9="Yes",'Staging Table'!K58,'Staging Table'!BM58)*(-1)*Rates_previous!$H$32</f>
        <v>0</v>
      </c>
      <c r="K56" s="407">
        <f>IF(Init!$R$12="No",0,'Staging Table'!$AW58*-1)</f>
        <v>0</v>
      </c>
      <c r="L56" s="407">
        <f>IF('Staging Table'!C58=1,"",SUM(D56:K56))</f>
        <v>10281584.085090473</v>
      </c>
      <c r="M56" s="407">
        <f>IF('Staging Table'!C58=1,"",IF(Init!$R$9="Yes",(RT1SC!$C$3*'Staging Table'!F58*'Staging Table'!$F$2)+SUM('Staging Table'!L58:AI58)-IF(Init!$R$15="No",'Staging Table'!AV58, 0),X56))</f>
        <v>277019.93765786046</v>
      </c>
      <c r="N56" s="169">
        <f>IF('Staging Table'!C58=1,"",IF(M56=0, 0, L56/M56))</f>
        <v>37.114960648749296</v>
      </c>
      <c r="O56" s="407">
        <f>'Staging Table'!BH58*Rates_current!$E$75*100*12</f>
        <v>11600853.81696</v>
      </c>
      <c r="P56" s="407">
        <f>'Staging Table'!BH58*Rates_current!$E$76*100*12</f>
        <v>-1631760.06672</v>
      </c>
      <c r="Q56" s="408">
        <f>SUMPRODUCT('Staging Table'!BN58:CK58, LS_Demand_Rates_Restatement!$C$5:$Z$5)-IF(Init!$R$15="No",('Staging Table'!CX58*Rates_current!$H$35), 0)</f>
        <v>189332.1668948704</v>
      </c>
      <c r="R56" s="408">
        <f>SUMPRODUCT('Staging Table'!CL58:CW58, LS_Demand_Rates_Restatement!$C$11:$N$11)*1000</f>
        <v>708839.73543319979</v>
      </c>
      <c r="S56" s="409">
        <f>'Staging Table'!DH58*Rates_current!$H$33</f>
        <v>31.378277875672211</v>
      </c>
      <c r="T56" s="409">
        <f>IF('Staging Table'!D58=1, 'Staging Table'!BJ58*-1*('Staging Table'!BH58/'Staging Table'!BG58),SUM(O56:S56)*'Staging Table'!BJ58*-1)</f>
        <v>0</v>
      </c>
      <c r="U56" s="407">
        <f>'Staging Table'!BM58*Rates_current!$H$32*-1</f>
        <v>0</v>
      </c>
      <c r="V56" s="407">
        <f>IF(Init!$R$12="No",0,'Staging Table'!$CY58*-1)</f>
        <v>0</v>
      </c>
      <c r="W56" s="407">
        <f>IF('Staging Table'!C58=1,"",SUM(O56:V56))</f>
        <v>10867297.030845946</v>
      </c>
      <c r="X56" s="407">
        <f>IF('Staging Table'!C58=1,"",(RT1SC!$C$4*'Staging Table'!BH58*'Staging Table'!$BH$2)+SUM('Staging Table'!BN58:CK58)-IF(Init!$R$15="No",'Staging Table'!CX58, 0))</f>
        <v>277019.94104140199</v>
      </c>
      <c r="Y56" s="169">
        <f>IF('Staging Table'!C58=1,"",IF(X56=0, 0, W56/X56))</f>
        <v>39.229295154682653</v>
      </c>
      <c r="Z56" s="160">
        <f>IF('Staging Table'!C58=1,"",Y56/N56-1)</f>
        <v>5.6967176280829701E-2</v>
      </c>
      <c r="AA56" s="97">
        <f t="shared" si="0"/>
        <v>30</v>
      </c>
      <c r="AB56" s="397"/>
      <c r="AC56" s="397"/>
      <c r="AD56" s="397"/>
    </row>
    <row r="57" spans="2:30">
      <c r="B57" s="274">
        <v>10157</v>
      </c>
      <c r="C57" s="275" t="s">
        <v>60</v>
      </c>
      <c r="D57" s="407">
        <f>IF(Init!$R$9="Yes",'Staging Table'!F59,'Staging Table'!BH59)*Rates_previous!$E$75*100*12</f>
        <v>7773001.1200799998</v>
      </c>
      <c r="E57" s="407">
        <f>IF(Init!$R$9="Yes",'Staging Table'!F59,'Staging Table'!BH59)*Rates_previous!$E$76*100*12</f>
        <v>-1155538.3324800001</v>
      </c>
      <c r="F57" s="408">
        <f>IF(Init!$R$9="Yes",SUMPRODUCT('Staging Table'!L59:AI59,LS_Demand_Rates_Restatement!$C$4:$Z$4)-IF(Init!$R$15="No",('Staging Table'!AV59*Rates_previous!$H$35), 0),SUMPRODUCT('Staging Table'!BN59:CK59,LS_Demand_Rates_Restatement!$C$4:$Z$4)-IF(Init!$R$15="No", 'Staging Table'!CX59*Rates_previous!$H$35, 0))</f>
        <v>8615.7132439503621</v>
      </c>
      <c r="G57" s="408">
        <f>IF(Init!$R$9="Yes",SUMPRODUCT('Staging Table'!AJ59:AU59,LS_Demand_Rates_Restatement!$C$10:$N$10),SUMPRODUCT(LS_Demand_Rates_Restatement!$C$10:$N$10,'Staging Table'!CL59:CW59))*1000</f>
        <v>0</v>
      </c>
      <c r="H57" s="409">
        <f>IF(Init!$R$9="Yes",'Staging Table'!BF59,'Staging Table'!DH59)*Rates_previous!$H$33</f>
        <v>0</v>
      </c>
      <c r="I57" s="409">
        <f>IF(Init!$R$9="Yes",IF('Staging Table'!D59=1,'Staging Table'!H59*-1*('Staging Table'!F59/'Staging Table'!E59),'Staging Table'!H59*SUM(D57:H57)*(-1)),IF('Staging Table'!D59=1,'Staging Table'!BJ59*-1*('Staging Table'!BH59/'Staging Table'!BG59),'Staging Table'!BJ59*SUM(D57:H57)*(-1)))</f>
        <v>-375287.23706398957</v>
      </c>
      <c r="J57" s="407">
        <f>IF(Init!$R$9="Yes",'Staging Table'!K59,'Staging Table'!BM59)*(-1)*Rates_previous!$H$32</f>
        <v>0</v>
      </c>
      <c r="K57" s="407">
        <f>IF(Init!$R$12="No",0,'Staging Table'!$AW59*-1)</f>
        <v>0</v>
      </c>
      <c r="L57" s="407">
        <f>IF('Staging Table'!C59=1,"",SUM(D57:K57))</f>
        <v>6250791.2637799596</v>
      </c>
      <c r="M57" s="407">
        <f>IF('Staging Table'!C59=1,"",IF(Init!$R$9="Yes",(RT1SC!$C$3*'Staging Table'!F59*'Staging Table'!$F$2)+SUM('Staging Table'!L59:AI59)-IF(Init!$R$15="No",'Staging Table'!AV59, 0),X57))</f>
        <v>192615.34712232667</v>
      </c>
      <c r="N57" s="169">
        <f>IF('Staging Table'!C59=1,"",IF(M57=0, 0, L57/M57))</f>
        <v>32.452197382850237</v>
      </c>
      <c r="O57" s="407">
        <f>'Staging Table'!BH59*Rates_current!$E$75*100*12</f>
        <v>8606501.5766400006</v>
      </c>
      <c r="P57" s="407">
        <f>'Staging Table'!BH59*Rates_current!$E$76*100*12</f>
        <v>-1210578.6184800002</v>
      </c>
      <c r="Q57" s="408">
        <f>SUMPRODUCT('Staging Table'!BN59:CK59, LS_Demand_Rates_Restatement!$C$5:$Z$5)-IF(Init!$R$15="No",('Staging Table'!CX59*Rates_current!$H$35), 0)</f>
        <v>9685.1782752404888</v>
      </c>
      <c r="R57" s="408">
        <f>SUMPRODUCT('Staging Table'!CL59:CW59, LS_Demand_Rates_Restatement!$C$11:$N$11)*1000</f>
        <v>0</v>
      </c>
      <c r="S57" s="409">
        <f>'Staging Table'!DH59*Rates_current!$H$33</f>
        <v>0</v>
      </c>
      <c r="T57" s="409">
        <f>IF('Staging Table'!D59=1, 'Staging Table'!BJ59*-1*('Staging Table'!BH59/'Staging Table'!BG59),SUM(O57:S57)*'Staging Table'!BJ59*-1)</f>
        <v>-390326.35180345009</v>
      </c>
      <c r="U57" s="407">
        <f>'Staging Table'!BM59*Rates_current!$H$32*-1</f>
        <v>0</v>
      </c>
      <c r="V57" s="407">
        <f>IF(Init!$R$12="No",0,'Staging Table'!$CY59*-1)</f>
        <v>0</v>
      </c>
      <c r="W57" s="407">
        <f>IF('Staging Table'!C59=1,"",SUM(O57:V57))</f>
        <v>7015281.7846317906</v>
      </c>
      <c r="X57" s="407">
        <f>IF('Staging Table'!C59=1,"",(RT1SC!$C$4*'Staging Table'!BH59*'Staging Table'!$BH$2)+SUM('Staging Table'!BN59:CK59)-IF(Init!$R$15="No",'Staging Table'!CX59, 0))</f>
        <v>202826.00299825627</v>
      </c>
      <c r="Y57" s="169">
        <f>IF('Staging Table'!C59=1,"",IF(X57=0, 0, W57/X57))</f>
        <v>34.587684423737826</v>
      </c>
      <c r="Z57" s="160">
        <f>IF('Staging Table'!C59=1,"",Y57/N57-1)</f>
        <v>6.5804081483126664E-2</v>
      </c>
      <c r="AA57" s="97">
        <f t="shared" si="0"/>
        <v>8</v>
      </c>
      <c r="AB57" s="397"/>
      <c r="AC57" s="397"/>
      <c r="AD57" s="397"/>
    </row>
    <row r="58" spans="2:30">
      <c r="B58" s="274">
        <v>10158</v>
      </c>
      <c r="C58" s="275" t="s">
        <v>61</v>
      </c>
      <c r="D58" s="407">
        <f>IF(Init!$R$9="Yes",'Staging Table'!F60,'Staging Table'!BH60)*Rates_previous!$E$75*100*12</f>
        <v>971315.72496000002</v>
      </c>
      <c r="E58" s="407">
        <f>IF(Init!$R$9="Yes",'Staging Table'!F60,'Staging Table'!BH60)*Rates_previous!$E$76*100*12</f>
        <v>-144396.29376</v>
      </c>
      <c r="F58" s="408">
        <f>IF(Init!$R$9="Yes",SUMPRODUCT('Staging Table'!L60:AI60,LS_Demand_Rates_Restatement!$C$4:$Z$4)-IF(Init!$R$15="No",('Staging Table'!AV60*Rates_previous!$H$35), 0),SUMPRODUCT('Staging Table'!BN60:CK60,LS_Demand_Rates_Restatement!$C$4:$Z$4)-IF(Init!$R$15="No", 'Staging Table'!CX60*Rates_previous!$H$35, 0))</f>
        <v>-71806.930679236015</v>
      </c>
      <c r="G58" s="408">
        <f>IF(Init!$R$9="Yes",SUMPRODUCT('Staging Table'!AJ60:AU60,LS_Demand_Rates_Restatement!$C$10:$N$10),SUMPRODUCT(LS_Demand_Rates_Restatement!$C$10:$N$10,'Staging Table'!CL60:CW60))*1000</f>
        <v>28534.606268126787</v>
      </c>
      <c r="H58" s="409">
        <f>IF(Init!$R$9="Yes",'Staging Table'!BF60,'Staging Table'!DH60)*Rates_previous!$H$33</f>
        <v>-25866.96534860025</v>
      </c>
      <c r="I58" s="409">
        <f>IF(Init!$R$9="Yes",IF('Staging Table'!D60=1,'Staging Table'!H60*-1*('Staging Table'!F60/'Staging Table'!E60),'Staging Table'!H60*SUM(D58:H58)*(-1)),IF('Staging Table'!D60=1,'Staging Table'!BJ60*-1*('Staging Table'!BH60/'Staging Table'!BG60),'Staging Table'!BJ60*SUM(D58:H58)*(-1)))</f>
        <v>0</v>
      </c>
      <c r="J58" s="407">
        <f>IF(Init!$R$9="Yes",'Staging Table'!K60,'Staging Table'!BM60)*(-1)*Rates_previous!$H$32</f>
        <v>0</v>
      </c>
      <c r="K58" s="407">
        <f>IF(Init!$R$12="No",0,'Staging Table'!$AW60*-1)</f>
        <v>0</v>
      </c>
      <c r="L58" s="407">
        <f>IF('Staging Table'!C60=1,"",SUM(D58:K58))</f>
        <v>757780.14144029038</v>
      </c>
      <c r="M58" s="407">
        <f>IF('Staging Table'!C60=1,"",IF(Init!$R$9="Yes",(RT1SC!$C$3*'Staging Table'!F60*'Staging Table'!$F$2)+SUM('Staging Table'!L60:AI60)-IF(Init!$R$15="No",'Staging Table'!AV60, 0),X58))</f>
        <v>21145.339056655343</v>
      </c>
      <c r="N58" s="169">
        <f>IF('Staging Table'!C60=1,"",IF(M58=0, 0, L58/M58))</f>
        <v>35.836745838406621</v>
      </c>
      <c r="O58" s="407">
        <f>'Staging Table'!BH60*Rates_current!$E$75*100*12</f>
        <v>967374.75167999999</v>
      </c>
      <c r="P58" s="407">
        <f>'Staging Table'!BH60*Rates_current!$E$76*100*12</f>
        <v>-136069.59576</v>
      </c>
      <c r="Q58" s="408">
        <f>SUMPRODUCT('Staging Table'!BN60:CK60, LS_Demand_Rates_Restatement!$C$5:$Z$5)-IF(Init!$R$15="No",('Staging Table'!CX60*Rates_current!$H$35), 0)</f>
        <v>-34504.125570114607</v>
      </c>
      <c r="R58" s="408">
        <f>SUMPRODUCT('Staging Table'!CL60:CW60, LS_Demand_Rates_Restatement!$C$11:$N$11)*1000</f>
        <v>28618.265455484328</v>
      </c>
      <c r="S58" s="409">
        <f>'Staging Table'!DH60*Rates_current!$H$33</f>
        <v>-24923.453453181275</v>
      </c>
      <c r="T58" s="409">
        <f>IF('Staging Table'!D60=1, 'Staging Table'!BJ60*-1*('Staging Table'!BH60/'Staging Table'!BG60),SUM(O58:S58)*'Staging Table'!BJ60*-1)</f>
        <v>0</v>
      </c>
      <c r="U58" s="407">
        <f>'Staging Table'!BM60*Rates_current!$H$32*-1</f>
        <v>0</v>
      </c>
      <c r="V58" s="407">
        <f>IF(Init!$R$12="No",0,'Staging Table'!$CY60*-1)</f>
        <v>0</v>
      </c>
      <c r="W58" s="407">
        <f>IF('Staging Table'!C60=1,"",SUM(O58:V58))</f>
        <v>800495.84235218843</v>
      </c>
      <c r="X58" s="407">
        <f>IF('Staging Table'!C60=1,"",(RT1SC!$C$4*'Staging Table'!BH60*'Staging Table'!$BH$2)+SUM('Staging Table'!BN60:CK60)-IF(Init!$R$15="No",'Staging Table'!CX60, 0))</f>
        <v>21145.339337005389</v>
      </c>
      <c r="Y58" s="169">
        <f>IF('Staging Table'!C60=1,"",IF(X58=0, 0, W58/X58))</f>
        <v>37.856845406650962</v>
      </c>
      <c r="Z58" s="160">
        <f>IF('Staging Table'!C60=1,"",Y58/N58-1)</f>
        <v>5.6369503451939584E-2</v>
      </c>
      <c r="AA58" s="97">
        <f t="shared" si="0"/>
        <v>34</v>
      </c>
      <c r="AB58" s="397"/>
      <c r="AC58" s="397"/>
      <c r="AD58" s="397"/>
    </row>
    <row r="59" spans="2:30">
      <c r="B59" s="274">
        <v>10170</v>
      </c>
      <c r="C59" s="275" t="s">
        <v>62</v>
      </c>
      <c r="D59" s="407">
        <f>IF(Init!$R$9="Yes",'Staging Table'!F61,'Staging Table'!BH61)*Rates_previous!$E$75*100*12</f>
        <v>38084042.014200002</v>
      </c>
      <c r="E59" s="407">
        <f>IF(Init!$R$9="Yes",'Staging Table'!F61,'Staging Table'!BH61)*Rates_previous!$E$76*100*12</f>
        <v>-5661593.2152000014</v>
      </c>
      <c r="F59" s="408">
        <f>IF(Init!$R$9="Yes",SUMPRODUCT('Staging Table'!L61:AI61,LS_Demand_Rates_Restatement!$C$4:$Z$4)-IF(Init!$R$15="No",('Staging Table'!AV61*Rates_previous!$H$35), 0),SUMPRODUCT('Staging Table'!BN61:CK61,LS_Demand_Rates_Restatement!$C$4:$Z$4)-IF(Init!$R$15="No", 'Staging Table'!CX61*Rates_previous!$H$35, 0))</f>
        <v>63532.067342684415</v>
      </c>
      <c r="G59" s="408">
        <f>IF(Init!$R$9="Yes",SUMPRODUCT('Staging Table'!AJ61:AU61,LS_Demand_Rates_Restatement!$C$10:$N$10),SUMPRODUCT(LS_Demand_Rates_Restatement!$C$10:$N$10,'Staging Table'!CL61:CW61))*1000</f>
        <v>0</v>
      </c>
      <c r="H59" s="409">
        <f>IF(Init!$R$9="Yes",'Staging Table'!BF61,'Staging Table'!DH61)*Rates_previous!$H$33</f>
        <v>0</v>
      </c>
      <c r="I59" s="409">
        <f>IF(Init!$R$9="Yes",IF('Staging Table'!D61=1,'Staging Table'!H61*-1*('Staging Table'!F61/'Staging Table'!E61),'Staging Table'!H61*SUM(D59:H59)*(-1)),IF('Staging Table'!D61=1,'Staging Table'!BJ61*-1*('Staging Table'!BH61/'Staging Table'!BG61),'Staging Table'!BJ61*SUM(D59:H59)*(-1)))</f>
        <v>0</v>
      </c>
      <c r="J59" s="407">
        <f>IF(Init!$R$9="Yes",'Staging Table'!K61,'Staging Table'!BM61)*(-1)*Rates_previous!$H$32</f>
        <v>0</v>
      </c>
      <c r="K59" s="407">
        <f>IF(Init!$R$12="No",0,'Staging Table'!$AW61*-1)</f>
        <v>0</v>
      </c>
      <c r="L59" s="407">
        <f>IF('Staging Table'!C61=1,"",SUM(D59:K59))</f>
        <v>32485980.866342686</v>
      </c>
      <c r="M59" s="407">
        <f>IF('Staging Table'!C61=1,"",IF(Init!$R$9="Yes",(RT1SC!$C$3*'Staging Table'!F61*'Staging Table'!$F$2)+SUM('Staging Table'!L61:AI61)-IF(Init!$R$15="No",'Staging Table'!AV61, 0),X59))</f>
        <v>943737.08198662149</v>
      </c>
      <c r="N59" s="169">
        <f>IF('Staging Table'!C61=1,"",IF(M59=0, 0, L59/M59))</f>
        <v>34.422702558172034</v>
      </c>
      <c r="O59" s="407">
        <f>'Staging Table'!BH61*Rates_current!$E$75*100*12</f>
        <v>41260303.834559999</v>
      </c>
      <c r="P59" s="407">
        <f>'Staging Table'!BH61*Rates_current!$E$76*100*12</f>
        <v>-5803617.3199199997</v>
      </c>
      <c r="Q59" s="408">
        <f>SUMPRODUCT('Staging Table'!BN61:CK61, LS_Demand_Rates_Restatement!$C$5:$Z$5)-IF(Init!$R$15="No",('Staging Table'!CX61*Rates_current!$H$35), 0)</f>
        <v>8152.487174952199</v>
      </c>
      <c r="R59" s="408">
        <f>SUMPRODUCT('Staging Table'!CL61:CW61, LS_Demand_Rates_Restatement!$C$11:$N$11)*1000</f>
        <v>0</v>
      </c>
      <c r="S59" s="409">
        <f>'Staging Table'!DH61*Rates_current!$H$33</f>
        <v>0</v>
      </c>
      <c r="T59" s="409">
        <f>IF('Staging Table'!D61=1, 'Staging Table'!BJ61*-1*('Staging Table'!BH61/'Staging Table'!BG61),SUM(O59:S59)*'Staging Table'!BJ61*-1)</f>
        <v>0</v>
      </c>
      <c r="U59" s="407">
        <f>'Staging Table'!BM61*Rates_current!$H$32*-1</f>
        <v>0</v>
      </c>
      <c r="V59" s="407">
        <f>IF(Init!$R$12="No",0,'Staging Table'!$CY61*-1)</f>
        <v>0</v>
      </c>
      <c r="W59" s="407">
        <f>IF('Staging Table'!C61=1,"",SUM(O59:V59))</f>
        <v>35464839.001814954</v>
      </c>
      <c r="X59" s="407">
        <f>IF('Staging Table'!C61=1,"",(RT1SC!$C$4*'Staging Table'!BH61*'Staging Table'!$BH$2)+SUM('Staging Table'!BN61:CK61)-IF(Init!$R$15="No",'Staging Table'!CX61, 0))</f>
        <v>972296.01437389676</v>
      </c>
      <c r="Y59" s="169">
        <f>IF('Staging Table'!C61=1,"",IF(X59=0, 0, W59/X59))</f>
        <v>36.475351618768372</v>
      </c>
      <c r="Z59" s="160">
        <f>IF('Staging Table'!C61=1,"",Y59/N59-1)</f>
        <v>5.963067708375025E-2</v>
      </c>
      <c r="AA59" s="97">
        <f t="shared" si="0"/>
        <v>22</v>
      </c>
      <c r="AB59" s="397"/>
      <c r="AC59" s="397"/>
      <c r="AD59" s="397"/>
    </row>
    <row r="60" spans="2:30">
      <c r="B60" s="274">
        <v>10172</v>
      </c>
      <c r="C60" s="275" t="s">
        <v>63</v>
      </c>
      <c r="D60" s="407">
        <f>IF(Init!$R$9="Yes",'Staging Table'!F62,'Staging Table'!BH62)*Rates_previous!$E$75*100*12</f>
        <v>2010207.6968399999</v>
      </c>
      <c r="E60" s="407">
        <f>IF(Init!$R$9="Yes",'Staging Table'!F62,'Staging Table'!BH62)*Rates_previous!$E$76*100*12</f>
        <v>-298838.50703999994</v>
      </c>
      <c r="F60" s="408">
        <f>IF(Init!$R$9="Yes",SUMPRODUCT('Staging Table'!L62:AI62,LS_Demand_Rates_Restatement!$C$4:$Z$4)-IF(Init!$R$15="No",('Staging Table'!AV62*Rates_previous!$H$35), 0),SUMPRODUCT('Staging Table'!BN62:CK62,LS_Demand_Rates_Restatement!$C$4:$Z$4)-IF(Init!$R$15="No", 'Staging Table'!CX62*Rates_previous!$H$35, 0))</f>
        <v>-45284.092532455528</v>
      </c>
      <c r="G60" s="408">
        <f>IF(Init!$R$9="Yes",SUMPRODUCT('Staging Table'!AJ62:AU62,LS_Demand_Rates_Restatement!$C$10:$N$10),SUMPRODUCT(LS_Demand_Rates_Restatement!$C$10:$N$10,'Staging Table'!CL62:CW62))*1000</f>
        <v>115324.83579940349</v>
      </c>
      <c r="H60" s="409">
        <f>IF(Init!$R$9="Yes",'Staging Table'!BF62,'Staging Table'!DH62)*Rates_previous!$H$33</f>
        <v>-18322.569912317056</v>
      </c>
      <c r="I60" s="409">
        <f>IF(Init!$R$9="Yes",IF('Staging Table'!D62=1,'Staging Table'!H62*-1*('Staging Table'!F62/'Staging Table'!E62),'Staging Table'!H62*SUM(D60:H60)*(-1)),IF('Staging Table'!D62=1,'Staging Table'!BJ62*-1*('Staging Table'!BH62/'Staging Table'!BG62),'Staging Table'!BJ62*SUM(D60:H60)*(-1)))</f>
        <v>0</v>
      </c>
      <c r="J60" s="407">
        <f>IF(Init!$R$9="Yes",'Staging Table'!K62,'Staging Table'!BM62)*(-1)*Rates_previous!$H$32</f>
        <v>0</v>
      </c>
      <c r="K60" s="407">
        <f>IF(Init!$R$12="No",0,'Staging Table'!$AW62*-1)</f>
        <v>0</v>
      </c>
      <c r="L60" s="407">
        <f>IF('Staging Table'!C62=1,"",SUM(D60:K60))</f>
        <v>1763087.3631546309</v>
      </c>
      <c r="M60" s="407">
        <f>IF('Staging Table'!C62=1,"",IF(Init!$R$9="Yes",(RT1SC!$C$3*'Staging Table'!F62*'Staging Table'!$F$2)+SUM('Staging Table'!L62:AI62)-IF(Init!$R$15="No",'Staging Table'!AV62, 0),X60))</f>
        <v>47743.717117252316</v>
      </c>
      <c r="N60" s="169">
        <f>IF('Staging Table'!C62=1,"",IF(M60=0, 0, L60/M60))</f>
        <v>36.928154521876024</v>
      </c>
      <c r="O60" s="407">
        <f>'Staging Table'!BH62*Rates_current!$E$75*100*12</f>
        <v>2026213.1683199997</v>
      </c>
      <c r="P60" s="407">
        <f>'Staging Table'!BH62*Rates_current!$E$76*100*12</f>
        <v>-285004.34424000001</v>
      </c>
      <c r="Q60" s="408">
        <f>SUMPRODUCT('Staging Table'!BN62:CK62, LS_Demand_Rates_Restatement!$C$5:$Z$5)-IF(Init!$R$15="No",('Staging Table'!CX62*Rates_current!$H$35), 0)</f>
        <v>-1877.4305426313135</v>
      </c>
      <c r="R60" s="408">
        <f>SUMPRODUCT('Staging Table'!CL62:CW62, LS_Demand_Rates_Restatement!$C$11:$N$11)*1000</f>
        <v>109089.11664051817</v>
      </c>
      <c r="S60" s="409">
        <f>'Staging Table'!DH62*Rates_current!$H$33</f>
        <v>-8131.4692501054524</v>
      </c>
      <c r="T60" s="409">
        <f>IF('Staging Table'!D62=1, 'Staging Table'!BJ62*-1*('Staging Table'!BH62/'Staging Table'!BG62),SUM(O60:S60)*'Staging Table'!BJ62*-1)</f>
        <v>0</v>
      </c>
      <c r="U60" s="407">
        <f>'Staging Table'!BM62*Rates_current!$H$32*-1</f>
        <v>0</v>
      </c>
      <c r="V60" s="407">
        <f>IF(Init!$R$12="No",0,'Staging Table'!$CY62*-1)</f>
        <v>0</v>
      </c>
      <c r="W60" s="407">
        <f>IF('Staging Table'!C62=1,"",SUM(O60:V60))</f>
        <v>1840289.040927781</v>
      </c>
      <c r="X60" s="407">
        <f>IF('Staging Table'!C62=1,"",(RT1SC!$C$4*'Staging Table'!BH62*'Staging Table'!$BH$2)+SUM('Staging Table'!BN62:CK62)-IF(Init!$R$15="No",'Staging Table'!CX62, 0))</f>
        <v>47743.717705874078</v>
      </c>
      <c r="Y60" s="169">
        <f>IF('Staging Table'!C62=1,"",IF(X60=0, 0, W60/X60))</f>
        <v>38.545155872965537</v>
      </c>
      <c r="Z60" s="160">
        <f>IF('Staging Table'!C62=1,"",Y60/N60-1)</f>
        <v>4.3787764972972321E-2</v>
      </c>
      <c r="AA60" s="97">
        <f t="shared" si="0"/>
        <v>95</v>
      </c>
      <c r="AB60" s="397"/>
      <c r="AC60" s="397"/>
      <c r="AD60" s="397"/>
    </row>
    <row r="61" spans="2:30">
      <c r="B61" s="274">
        <v>10173</v>
      </c>
      <c r="C61" s="275" t="s">
        <v>64</v>
      </c>
      <c r="D61" s="407">
        <f>IF(Init!$R$9="Yes",'Staging Table'!F63,'Staging Table'!BH63)*Rates_previous!$E$75*100*12</f>
        <v>11629302.77124</v>
      </c>
      <c r="E61" s="407">
        <f>IF(Init!$R$9="Yes",'Staging Table'!F63,'Staging Table'!BH63)*Rates_previous!$E$76*100*12</f>
        <v>-1728818.11344</v>
      </c>
      <c r="F61" s="408">
        <f>IF(Init!$R$9="Yes",SUMPRODUCT('Staging Table'!L63:AI63,LS_Demand_Rates_Restatement!$C$4:$Z$4)-IF(Init!$R$15="No",('Staging Table'!AV63*Rates_previous!$H$35), 0),SUMPRODUCT('Staging Table'!BN63:CK63,LS_Demand_Rates_Restatement!$C$4:$Z$4)-IF(Init!$R$15="No", 'Staging Table'!CX63*Rates_previous!$H$35, 0))</f>
        <v>0</v>
      </c>
      <c r="G61" s="408">
        <f>IF(Init!$R$9="Yes",SUMPRODUCT('Staging Table'!AJ63:AU63,LS_Demand_Rates_Restatement!$C$10:$N$10),SUMPRODUCT(LS_Demand_Rates_Restatement!$C$10:$N$10,'Staging Table'!CL63:CW63))*1000</f>
        <v>0</v>
      </c>
      <c r="H61" s="409">
        <f>IF(Init!$R$9="Yes",'Staging Table'!BF63,'Staging Table'!DH63)*Rates_previous!$H$33</f>
        <v>0</v>
      </c>
      <c r="I61" s="409">
        <f>IF(Init!$R$9="Yes",IF('Staging Table'!D63=1,'Staging Table'!H63*-1*('Staging Table'!F63/'Staging Table'!E63),'Staging Table'!H63*SUM(D61:H61)*(-1)),IF('Staging Table'!D63=1,'Staging Table'!BJ63*-1*('Staging Table'!BH63/'Staging Table'!BG63),'Staging Table'!BJ63*SUM(D61:H61)*(-1)))</f>
        <v>-728180.64658119006</v>
      </c>
      <c r="J61" s="407">
        <f>IF(Init!$R$9="Yes",'Staging Table'!K63,'Staging Table'!BM63)*(-1)*Rates_previous!$H$32</f>
        <v>-521528.65291999996</v>
      </c>
      <c r="K61" s="407">
        <f>IF(Init!$R$12="No",0,'Staging Table'!$AW63*-1)</f>
        <v>0</v>
      </c>
      <c r="L61" s="407" t="str">
        <f>IF('Staging Table'!C63=1,"",SUM(D61:K61))</f>
        <v/>
      </c>
      <c r="M61" s="407" t="str">
        <f>IF('Staging Table'!C63=1,"",IF(Init!$R$9="Yes",(RT1SC!$C$3*'Staging Table'!F63*'Staging Table'!$F$2)+SUM('Staging Table'!L63:AI63)-IF(Init!$R$15="No",'Staging Table'!AV63, 0),X61))</f>
        <v/>
      </c>
      <c r="N61" s="169" t="str">
        <f>IF('Staging Table'!C63=1,"",IF(M61=0, 0, L61/M61))</f>
        <v/>
      </c>
      <c r="O61" s="407">
        <f>'Staging Table'!BH63*Rates_current!$E$75*100*12</f>
        <v>11958555.72672</v>
      </c>
      <c r="P61" s="407">
        <f>'Staging Table'!BH63*Rates_current!$E$76*100*12</f>
        <v>-1682073.9230399998</v>
      </c>
      <c r="Q61" s="408">
        <f>SUMPRODUCT('Staging Table'!BN63:CK63, LS_Demand_Rates_Restatement!$C$5:$Z$5)-IF(Init!$R$15="No",('Staging Table'!CX63*Rates_current!$H$35), 0)</f>
        <v>0</v>
      </c>
      <c r="R61" s="408">
        <f>SUMPRODUCT('Staging Table'!CL63:CW63, LS_Demand_Rates_Restatement!$C$11:$N$11)*1000</f>
        <v>0</v>
      </c>
      <c r="S61" s="409">
        <f>'Staging Table'!DH63*Rates_current!$H$33</f>
        <v>0</v>
      </c>
      <c r="T61" s="409">
        <f>IF('Staging Table'!D63=1, 'Staging Table'!BJ63*-1*('Staging Table'!BH63/'Staging Table'!BG63),SUM(O61:S61)*'Staging Table'!BJ63*-1)</f>
        <v>-773043.75681115361</v>
      </c>
      <c r="U61" s="407">
        <f>'Staging Table'!BM63*Rates_current!$H$32*-1</f>
        <v>-521085.55296</v>
      </c>
      <c r="V61" s="407">
        <f>IF(Init!$R$12="No",0,'Staging Table'!$CY63*-1)</f>
        <v>0</v>
      </c>
      <c r="W61" s="407" t="str">
        <f>IF('Staging Table'!C63=1,"",SUM(O61:V61))</f>
        <v/>
      </c>
      <c r="X61" s="407" t="str">
        <f>IF('Staging Table'!C63=1,"",(RT1SC!$C$4*'Staging Table'!BH63*'Staging Table'!$BH$2)+SUM('Staging Table'!BN63:CK63)-IF(Init!$R$15="No",'Staging Table'!CX63, 0))</f>
        <v/>
      </c>
      <c r="Y61" s="169" t="str">
        <f>IF('Staging Table'!C63=1,"",IF(X61=0, 0, W61/X61))</f>
        <v/>
      </c>
      <c r="Z61" s="160" t="str">
        <f>IF('Staging Table'!C63=1,"",Y61/N61-1)</f>
        <v/>
      </c>
      <c r="AA61" s="97" t="str">
        <f t="shared" si="0"/>
        <v/>
      </c>
      <c r="AB61" s="397"/>
      <c r="AC61" s="397"/>
      <c r="AD61" s="397"/>
    </row>
    <row r="62" spans="2:30">
      <c r="B62" s="274">
        <v>10174</v>
      </c>
      <c r="C62" s="275" t="s">
        <v>65</v>
      </c>
      <c r="D62" s="407">
        <f>IF(Init!$R$9="Yes",'Staging Table'!F64,'Staging Table'!BH64)*Rates_previous!$E$75*100*12</f>
        <v>177975.53675999999</v>
      </c>
      <c r="E62" s="407">
        <f>IF(Init!$R$9="Yes",'Staging Table'!F64,'Staging Table'!BH64)*Rates_previous!$E$76*100*12</f>
        <v>-26457.934559999998</v>
      </c>
      <c r="F62" s="408">
        <f>IF(Init!$R$9="Yes",SUMPRODUCT('Staging Table'!L64:AI64,LS_Demand_Rates_Restatement!$C$4:$Z$4)-IF(Init!$R$15="No",('Staging Table'!AV64*Rates_previous!$H$35), 0),SUMPRODUCT('Staging Table'!BN64:CK64,LS_Demand_Rates_Restatement!$C$4:$Z$4)-IF(Init!$R$15="No", 'Staging Table'!CX64*Rates_previous!$H$35, 0))</f>
        <v>-1163.9457446306556</v>
      </c>
      <c r="G62" s="408">
        <f>IF(Init!$R$9="Yes",SUMPRODUCT('Staging Table'!AJ64:AU64,LS_Demand_Rates_Restatement!$C$10:$N$10),SUMPRODUCT(LS_Demand_Rates_Restatement!$C$10:$N$10,'Staging Table'!CL64:CW64))*1000</f>
        <v>11321.409468598646</v>
      </c>
      <c r="H62" s="409">
        <f>IF(Init!$R$9="Yes",'Staging Table'!BF64,'Staging Table'!DH64)*Rates_previous!$H$33</f>
        <v>-606.51695812780872</v>
      </c>
      <c r="I62" s="409">
        <f>IF(Init!$R$9="Yes",IF('Staging Table'!D64=1,'Staging Table'!H64*-1*('Staging Table'!F64/'Staging Table'!E64),'Staging Table'!H64*SUM(D62:H62)*(-1)),IF('Staging Table'!D64=1,'Staging Table'!BJ64*-1*('Staging Table'!BH64/'Staging Table'!BG64),'Staging Table'!BJ64*SUM(D62:H62)*(-1)))</f>
        <v>0</v>
      </c>
      <c r="J62" s="407">
        <f>IF(Init!$R$9="Yes",'Staging Table'!K64,'Staging Table'!BM64)*(-1)*Rates_previous!$H$32</f>
        <v>0</v>
      </c>
      <c r="K62" s="407">
        <f>IF(Init!$R$12="No",0,'Staging Table'!$AW64*-1)</f>
        <v>0</v>
      </c>
      <c r="L62" s="407">
        <f>IF('Staging Table'!C64=1,"",SUM(D62:K62))</f>
        <v>161068.54896584016</v>
      </c>
      <c r="M62" s="407">
        <f>IF('Staging Table'!C64=1,"",IF(Init!$R$9="Yes",(RT1SC!$C$3*'Staging Table'!F64*'Staging Table'!$F$2)+SUM('Staging Table'!L64:AI64)-IF(Init!$R$15="No",'Staging Table'!AV64, 0),X62))</f>
        <v>4341.0350103810388</v>
      </c>
      <c r="N62" s="169">
        <f>IF('Staging Table'!C64=1,"",IF(M62=0, 0, L62/M62))</f>
        <v>37.10372032952165</v>
      </c>
      <c r="O62" s="407">
        <f>'Staging Table'!BH64*Rates_current!$E$75*100*12</f>
        <v>183182.10336000001</v>
      </c>
      <c r="P62" s="407">
        <f>'Staging Table'!BH64*Rates_current!$E$76*100*12</f>
        <v>-25766.141520000001</v>
      </c>
      <c r="Q62" s="408">
        <f>SUMPRODUCT('Staging Table'!BN64:CK64, LS_Demand_Rates_Restatement!$C$5:$Z$5)-IF(Init!$R$15="No",('Staging Table'!CX64*Rates_current!$H$35), 0)</f>
        <v>1385.9238726541032</v>
      </c>
      <c r="R62" s="408">
        <f>SUMPRODUCT('Staging Table'!CL64:CW64, LS_Demand_Rates_Restatement!$C$11:$N$11)*1000</f>
        <v>11192.249008564811</v>
      </c>
      <c r="S62" s="409">
        <f>'Staging Table'!DH64*Rates_current!$H$33</f>
        <v>-385.11293635430229</v>
      </c>
      <c r="T62" s="409">
        <f>IF('Staging Table'!D64=1, 'Staging Table'!BJ64*-1*('Staging Table'!BH64/'Staging Table'!BG64),SUM(O62:S62)*'Staging Table'!BJ64*-1)</f>
        <v>0</v>
      </c>
      <c r="U62" s="407">
        <f>'Staging Table'!BM64*Rates_current!$H$32*-1</f>
        <v>0</v>
      </c>
      <c r="V62" s="407">
        <f>IF(Init!$R$12="No",0,'Staging Table'!$CY64*-1)</f>
        <v>0</v>
      </c>
      <c r="W62" s="407">
        <f>IF('Staging Table'!C64=1,"",SUM(O62:V62))</f>
        <v>169609.0217848646</v>
      </c>
      <c r="X62" s="407">
        <f>IF('Staging Table'!C64=1,"",(RT1SC!$C$4*'Staging Table'!BH64*'Staging Table'!$BH$2)+SUM('Staging Table'!BN64:CK64)-IF(Init!$R$15="No",'Staging Table'!CX64, 0))</f>
        <v>4341.0350638153486</v>
      </c>
      <c r="Y62" s="169">
        <f>IF('Staging Table'!C64=1,"",IF(X62=0, 0, W62/X62))</f>
        <v>39.071101544108409</v>
      </c>
      <c r="Z62" s="160">
        <f>IF('Staging Table'!C64=1,"",Y62/N62-1)</f>
        <v>5.3023826104613203E-2</v>
      </c>
      <c r="AA62" s="97">
        <f t="shared" si="0"/>
        <v>43</v>
      </c>
      <c r="AB62" s="397"/>
      <c r="AC62" s="397"/>
      <c r="AD62" s="397"/>
    </row>
    <row r="63" spans="2:30">
      <c r="B63" s="274">
        <v>10177</v>
      </c>
      <c r="C63" s="275" t="s">
        <v>66</v>
      </c>
      <c r="D63" s="407">
        <f>IF(Init!$R$9="Yes",'Staging Table'!F65,'Staging Table'!BH65)*Rates_previous!$E$75*100*12</f>
        <v>4094427.4736400004</v>
      </c>
      <c r="E63" s="407">
        <f>IF(Init!$R$9="Yes",'Staging Table'!F65,'Staging Table'!BH65)*Rates_previous!$E$76*100*12</f>
        <v>-608679.68784000003</v>
      </c>
      <c r="F63" s="408">
        <f>IF(Init!$R$9="Yes",SUMPRODUCT('Staging Table'!L65:AI65,LS_Demand_Rates_Restatement!$C$4:$Z$4)-IF(Init!$R$15="No",('Staging Table'!AV65*Rates_previous!$H$35), 0),SUMPRODUCT('Staging Table'!BN65:CK65,LS_Demand_Rates_Restatement!$C$4:$Z$4)-IF(Init!$R$15="No", 'Staging Table'!CX65*Rates_previous!$H$35, 0))</f>
        <v>-400881.55444879777</v>
      </c>
      <c r="G63" s="408">
        <f>IF(Init!$R$9="Yes",SUMPRODUCT('Staging Table'!AJ65:AU65,LS_Demand_Rates_Restatement!$C$10:$N$10),SUMPRODUCT(LS_Demand_Rates_Restatement!$C$10:$N$10,'Staging Table'!CL65:CW65))*1000</f>
        <v>93642.490324127531</v>
      </c>
      <c r="H63" s="409">
        <f>IF(Init!$R$9="Yes",'Staging Table'!BF65,'Staging Table'!DH65)*Rates_previous!$H$33</f>
        <v>-145272.93373642844</v>
      </c>
      <c r="I63" s="409">
        <f>IF(Init!$R$9="Yes",IF('Staging Table'!D65=1,'Staging Table'!H65*-1*('Staging Table'!F65/'Staging Table'!E65),'Staging Table'!H65*SUM(D63:H63)*(-1)),IF('Staging Table'!D65=1,'Staging Table'!BJ65*-1*('Staging Table'!BH65/'Staging Table'!BG65),'Staging Table'!BJ65*SUM(D63:H63)*(-1)))</f>
        <v>-226825.37222207108</v>
      </c>
      <c r="J63" s="407">
        <f>IF(Init!$R$9="Yes",'Staging Table'!K65,'Staging Table'!BM65)*(-1)*Rates_previous!$H$32</f>
        <v>0</v>
      </c>
      <c r="K63" s="407">
        <f>IF(Init!$R$12="No",0,'Staging Table'!$AW65*-1)</f>
        <v>0</v>
      </c>
      <c r="L63" s="407">
        <f>IF('Staging Table'!C65=1,"",SUM(D63:K63))</f>
        <v>2806410.4157168306</v>
      </c>
      <c r="M63" s="407">
        <f>IF('Staging Table'!C65=1,"",IF(Init!$R$9="Yes",(RT1SC!$C$3*'Staging Table'!F65*'Staging Table'!$F$2)+SUM('Staging Table'!L65:AI65)-IF(Init!$R$15="No",'Staging Table'!AV65, 0),X63))</f>
        <v>85048.963238821641</v>
      </c>
      <c r="N63" s="169">
        <f>IF('Staging Table'!C65=1,"",IF(M63=0, 0, L63/M63))</f>
        <v>32.997585259637944</v>
      </c>
      <c r="O63" s="407">
        <f>'Staging Table'!BH65*Rates_current!$E$75*100*12</f>
        <v>3624406.95744</v>
      </c>
      <c r="P63" s="407">
        <f>'Staging Table'!BH65*Rates_current!$E$76*100*12</f>
        <v>-509804.07407999999</v>
      </c>
      <c r="Q63" s="408">
        <f>SUMPRODUCT('Staging Table'!BN65:CK65, LS_Demand_Rates_Restatement!$C$5:$Z$5)-IF(Init!$R$15="No",('Staging Table'!CX65*Rates_current!$H$35), 0)</f>
        <v>19659.124264474573</v>
      </c>
      <c r="R63" s="408">
        <f>SUMPRODUCT('Staging Table'!CL65:CW65, LS_Demand_Rates_Restatement!$C$11:$N$11)*1000</f>
        <v>86901.920079202289</v>
      </c>
      <c r="S63" s="409">
        <f>'Staging Table'!DH65*Rates_current!$H$33</f>
        <v>-19122.905651358011</v>
      </c>
      <c r="T63" s="409">
        <f>IF('Staging Table'!D65=1, 'Staging Table'!BJ65*-1*('Staging Table'!BH65/'Staging Table'!BG65),SUM(O63:S63)*'Staging Table'!BJ65*-1)</f>
        <v>-224142.87154366233</v>
      </c>
      <c r="U63" s="407">
        <f>'Staging Table'!BM65*Rates_current!$H$32*-1</f>
        <v>0</v>
      </c>
      <c r="V63" s="407">
        <f>IF(Init!$R$12="No",0,'Staging Table'!$CY65*-1)</f>
        <v>0</v>
      </c>
      <c r="W63" s="407">
        <f>IF('Staging Table'!C65=1,"",SUM(O63:V63))</f>
        <v>2977898.1505086566</v>
      </c>
      <c r="X63" s="407">
        <f>IF('Staging Table'!C65=1,"",(RT1SC!$C$4*'Staging Table'!BH65*'Staging Table'!$BH$2)+SUM('Staging Table'!BN65:CK65)-IF(Init!$R$15="No",'Staging Table'!CX65, 0))</f>
        <v>85048.96426263859</v>
      </c>
      <c r="Y63" s="169">
        <f>IF('Staging Table'!C65=1,"",IF(X63=0, 0, W63/X63))</f>
        <v>35.013926110994703</v>
      </c>
      <c r="Z63" s="160">
        <f>IF('Staging Table'!C65=1,"",Y63/N63-1)</f>
        <v>6.1105709266038755E-2</v>
      </c>
      <c r="AA63" s="97">
        <f t="shared" si="0"/>
        <v>13</v>
      </c>
      <c r="AB63" s="397"/>
      <c r="AC63" s="397"/>
      <c r="AD63" s="397"/>
    </row>
    <row r="64" spans="2:30">
      <c r="B64" s="274">
        <v>10179</v>
      </c>
      <c r="C64" s="275" t="s">
        <v>67</v>
      </c>
      <c r="D64" s="407">
        <f>IF(Init!$R$9="Yes",'Staging Table'!F66,'Staging Table'!BH66)*Rates_previous!$E$75*100*12</f>
        <v>58557417.042599991</v>
      </c>
      <c r="E64" s="407">
        <f>IF(Init!$R$9="Yes",'Staging Table'!F66,'Staging Table'!BH66)*Rates_previous!$E$76*100*12</f>
        <v>-8705175.6456000004</v>
      </c>
      <c r="F64" s="408">
        <f>IF(Init!$R$9="Yes",SUMPRODUCT('Staging Table'!L66:AI66,LS_Demand_Rates_Restatement!$C$4:$Z$4)-IF(Init!$R$15="No",('Staging Table'!AV66*Rates_previous!$H$35), 0),SUMPRODUCT('Staging Table'!BN66:CK66,LS_Demand_Rates_Restatement!$C$4:$Z$4)-IF(Init!$R$15="No", 'Staging Table'!CX66*Rates_previous!$H$35, 0))</f>
        <v>415086.26519478706</v>
      </c>
      <c r="G64" s="408">
        <f>IF(Init!$R$9="Yes",SUMPRODUCT('Staging Table'!AJ66:AU66,LS_Demand_Rates_Restatement!$C$10:$N$10),SUMPRODUCT(LS_Demand_Rates_Restatement!$C$10:$N$10,'Staging Table'!CL66:CW66))*1000</f>
        <v>4690527.7016564095</v>
      </c>
      <c r="H64" s="409">
        <f>IF(Init!$R$9="Yes",'Staging Table'!BF66,'Staging Table'!DH66)*Rates_previous!$H$33</f>
        <v>0</v>
      </c>
      <c r="I64" s="409">
        <f>IF(Init!$R$9="Yes",IF('Staging Table'!D66=1,'Staging Table'!H66*-1*('Staging Table'!F66/'Staging Table'!E66),'Staging Table'!H66*SUM(D64:H64)*(-1)),IF('Staging Table'!D66=1,'Staging Table'!BJ66*-1*('Staging Table'!BH66/'Staging Table'!BG66),'Staging Table'!BJ66*SUM(D64:H64)*(-1)))</f>
        <v>0</v>
      </c>
      <c r="J64" s="407">
        <f>IF(Init!$R$9="Yes",'Staging Table'!K66,'Staging Table'!BM66)*(-1)*Rates_previous!$H$32</f>
        <v>0</v>
      </c>
      <c r="K64" s="407">
        <f>IF(Init!$R$12="No",0,'Staging Table'!$AW66*-1)</f>
        <v>0</v>
      </c>
      <c r="L64" s="407">
        <f>IF('Staging Table'!C66=1,"",SUM(D64:K64))</f>
        <v>54957855.36385119</v>
      </c>
      <c r="M64" s="407">
        <f>IF('Staging Table'!C66=1,"",IF(Init!$R$9="Yes",(RT1SC!$C$3*'Staging Table'!F66*'Staging Table'!$F$2)+SUM('Staging Table'!L66:AI66)-IF(Init!$R$15="No",'Staging Table'!AV66, 0),X64))</f>
        <v>1451072.88</v>
      </c>
      <c r="N64" s="169">
        <f>IF('Staging Table'!C66=1,"",IF(M64=0, 0, L64/M64))</f>
        <v>37.873945631077603</v>
      </c>
      <c r="O64" s="407">
        <f>'Staging Table'!BH66*Rates_current!$E$75*100*12</f>
        <v>60216976.411199994</v>
      </c>
      <c r="P64" s="407">
        <f>'Staging Table'!BH66*Rates_current!$E$76*100*12</f>
        <v>-8470036.6884000003</v>
      </c>
      <c r="Q64" s="408">
        <f>SUMPRODUCT('Staging Table'!BN66:CK66, LS_Demand_Rates_Restatement!$C$5:$Z$5)-IF(Init!$R$15="No",('Staging Table'!CX66*Rates_current!$H$35), 0)</f>
        <v>234649.4239913341</v>
      </c>
      <c r="R64" s="408">
        <f>SUMPRODUCT('Staging Table'!CL66:CW66, LS_Demand_Rates_Restatement!$C$11:$N$11)*1000</f>
        <v>4499939.1989033027</v>
      </c>
      <c r="S64" s="409">
        <f>'Staging Table'!DH66*Rates_current!$H$33</f>
        <v>0</v>
      </c>
      <c r="T64" s="409">
        <f>IF('Staging Table'!D66=1, 'Staging Table'!BJ66*-1*('Staging Table'!BH66/'Staging Table'!BG66),SUM(O64:S64)*'Staging Table'!BJ66*-1)</f>
        <v>0</v>
      </c>
      <c r="U64" s="407">
        <f>'Staging Table'!BM66*Rates_current!$H$32*-1</f>
        <v>0</v>
      </c>
      <c r="V64" s="407">
        <f>IF(Init!$R$12="No",0,'Staging Table'!$CY66*-1)</f>
        <v>0</v>
      </c>
      <c r="W64" s="407">
        <f>IF('Staging Table'!C66=1,"",SUM(O64:V64))</f>
        <v>56481528.345694631</v>
      </c>
      <c r="X64" s="407">
        <f>IF('Staging Table'!C66=1,"",(RT1SC!$C$4*'Staging Table'!BH66*'Staging Table'!$BH$2)+SUM('Staging Table'!BN66:CK66)-IF(Init!$R$15="No",'Staging Table'!CX66, 0))</f>
        <v>1410942.9639778535</v>
      </c>
      <c r="Y64" s="169">
        <f>IF('Staging Table'!C66=1,"",IF(X64=0, 0, W64/X64))</f>
        <v>40.031050005350309</v>
      </c>
      <c r="Z64" s="160">
        <f>IF('Staging Table'!C66=1,"",Y64/N64-1)</f>
        <v>5.6954836321639668E-2</v>
      </c>
      <c r="AA64" s="97">
        <f t="shared" si="0"/>
        <v>31</v>
      </c>
      <c r="AB64" s="397"/>
      <c r="AC64" s="397"/>
      <c r="AD64" s="397"/>
    </row>
    <row r="65" spans="2:30">
      <c r="B65" s="274">
        <v>10183</v>
      </c>
      <c r="C65" s="275" t="s">
        <v>68</v>
      </c>
      <c r="D65" s="407">
        <f>IF(Init!$R$9="Yes",'Staging Table'!F67,'Staging Table'!BH67)*Rates_previous!$E$75*100*12</f>
        <v>21883812.592319999</v>
      </c>
      <c r="E65" s="407">
        <f>IF(Init!$R$9="Yes",'Staging Table'!F67,'Staging Table'!BH67)*Rates_previous!$E$76*100*12</f>
        <v>-3253258.8019199995</v>
      </c>
      <c r="F65" s="408">
        <f>IF(Init!$R$9="Yes",SUMPRODUCT('Staging Table'!L67:AI67,LS_Demand_Rates_Restatement!$C$4:$Z$4)-IF(Init!$R$15="No",('Staging Table'!AV67*Rates_previous!$H$35), 0),SUMPRODUCT('Staging Table'!BN67:CK67,LS_Demand_Rates_Restatement!$C$4:$Z$4)-IF(Init!$R$15="No", 'Staging Table'!CX67*Rates_previous!$H$35, 0))</f>
        <v>-64692.575891611137</v>
      </c>
      <c r="G65" s="408">
        <f>IF(Init!$R$9="Yes",SUMPRODUCT('Staging Table'!AJ67:AU67,LS_Demand_Rates_Restatement!$C$10:$N$10),SUMPRODUCT(LS_Demand_Rates_Restatement!$C$10:$N$10,'Staging Table'!CL67:CW67))*1000</f>
        <v>0</v>
      </c>
      <c r="H65" s="409">
        <f>IF(Init!$R$9="Yes",'Staging Table'!BF67,'Staging Table'!DH67)*Rates_previous!$H$33</f>
        <v>0</v>
      </c>
      <c r="I65" s="409">
        <f>IF(Init!$R$9="Yes",IF('Staging Table'!D67=1,'Staging Table'!H67*-1*('Staging Table'!F67/'Staging Table'!E67),'Staging Table'!H67*SUM(D65:H65)*(-1)),IF('Staging Table'!D67=1,'Staging Table'!BJ67*-1*('Staging Table'!BH67/'Staging Table'!BG67),'Staging Table'!BJ67*SUM(D65:H65)*(-1)))</f>
        <v>0</v>
      </c>
      <c r="J65" s="407">
        <f>IF(Init!$R$9="Yes",'Staging Table'!K67,'Staging Table'!BM67)*(-1)*Rates_previous!$H$32</f>
        <v>-1111173.2971900001</v>
      </c>
      <c r="K65" s="407">
        <f>IF(Init!$R$12="No",0,'Staging Table'!$AW67*-1)</f>
        <v>0</v>
      </c>
      <c r="L65" s="407">
        <f>IF('Staging Table'!C67=1,"",SUM(D65:K65))</f>
        <v>17454687.917318389</v>
      </c>
      <c r="M65" s="407">
        <f>IF('Staging Table'!C67=1,"",IF(Init!$R$9="Yes",(RT1SC!$C$3*'Staging Table'!F67*'Staging Table'!$F$2)+SUM('Staging Table'!L67:AI67)-IF(Init!$R$15="No",'Staging Table'!AV67, 0),X65))</f>
        <v>542287.64177459897</v>
      </c>
      <c r="N65" s="169">
        <f>IF('Staging Table'!C67=1,"",IF(M65=0, 0, L65/M65))</f>
        <v>32.187139393771034</v>
      </c>
      <c r="O65" s="407">
        <f>'Staging Table'!BH67*Rates_current!$E$75*100*12</f>
        <v>22503373.634879995</v>
      </c>
      <c r="P65" s="407">
        <f>'Staging Table'!BH67*Rates_current!$E$76*100*12</f>
        <v>-3165293.4381599994</v>
      </c>
      <c r="Q65" s="408">
        <f>SUMPRODUCT('Staging Table'!BN67:CK67, LS_Demand_Rates_Restatement!$C$5:$Z$5)-IF(Init!$R$15="No",('Staging Table'!CX67*Rates_current!$H$35), 0)</f>
        <v>-223020.43777397808</v>
      </c>
      <c r="R65" s="408">
        <f>SUMPRODUCT('Staging Table'!CL67:CW67, LS_Demand_Rates_Restatement!$C$11:$N$11)*1000</f>
        <v>0</v>
      </c>
      <c r="S65" s="409">
        <f>'Staging Table'!DH67*Rates_current!$H$33</f>
        <v>0</v>
      </c>
      <c r="T65" s="409">
        <f>IF('Staging Table'!D67=1, 'Staging Table'!BJ67*-1*('Staging Table'!BH67/'Staging Table'!BG67),SUM(O65:S65)*'Staging Table'!BJ67*-1)</f>
        <v>0</v>
      </c>
      <c r="U65" s="407">
        <f>'Staging Table'!BM67*Rates_current!$H$32*-1</f>
        <v>-1110229.2247200001</v>
      </c>
      <c r="V65" s="407">
        <f>IF(Init!$R$12="No",0,'Staging Table'!$CY67*-1)</f>
        <v>0</v>
      </c>
      <c r="W65" s="407">
        <f>IF('Staging Table'!C67=1,"",SUM(O65:V65))</f>
        <v>18004830.534226019</v>
      </c>
      <c r="X65" s="407">
        <f>IF('Staging Table'!C67=1,"",(RT1SC!$C$4*'Staging Table'!BH67*'Staging Table'!$BH$2)+SUM('Staging Table'!BN67:CK67)-IF(Init!$R$15="No",'Staging Table'!CX67, 0))</f>
        <v>531339.00783952465</v>
      </c>
      <c r="Y65" s="169">
        <f>IF('Staging Table'!C67=1,"",IF(X65=0, 0, W65/X65))</f>
        <v>33.885768348601744</v>
      </c>
      <c r="Z65" s="160">
        <f>IF('Staging Table'!C67=1,"",Y65/N65-1)</f>
        <v>5.2773529640208761E-2</v>
      </c>
      <c r="AA65" s="97">
        <f t="shared" si="0"/>
        <v>44</v>
      </c>
      <c r="AB65" s="397"/>
      <c r="AC65" s="397"/>
      <c r="AD65" s="397"/>
    </row>
    <row r="66" spans="2:30">
      <c r="B66" s="274">
        <v>10186</v>
      </c>
      <c r="C66" s="275" t="s">
        <v>69</v>
      </c>
      <c r="D66" s="407">
        <f>IF(Init!$R$9="Yes",'Staging Table'!F68,'Staging Table'!BH68)*Rates_previous!$E$75*100*12</f>
        <v>7482646.0371599989</v>
      </c>
      <c r="E66" s="407">
        <f>IF(Init!$R$9="Yes",'Staging Table'!F68,'Staging Table'!BH68)*Rates_previous!$E$76*100*12</f>
        <v>-1112373.9969599999</v>
      </c>
      <c r="F66" s="408">
        <f>IF(Init!$R$9="Yes",SUMPRODUCT('Staging Table'!L68:AI68,LS_Demand_Rates_Restatement!$C$4:$Z$4)-IF(Init!$R$15="No",('Staging Table'!AV68*Rates_previous!$H$35), 0),SUMPRODUCT('Staging Table'!BN68:CK68,LS_Demand_Rates_Restatement!$C$4:$Z$4)-IF(Init!$R$15="No", 'Staging Table'!CX68*Rates_previous!$H$35, 0))</f>
        <v>-618127.51940475649</v>
      </c>
      <c r="G66" s="408">
        <f>IF(Init!$R$9="Yes",SUMPRODUCT('Staging Table'!AJ68:AU68,LS_Demand_Rates_Restatement!$C$10:$N$10),SUMPRODUCT(LS_Demand_Rates_Restatement!$C$10:$N$10,'Staging Table'!CL68:CW68))*1000</f>
        <v>371993.16627625533</v>
      </c>
      <c r="H66" s="409">
        <f>IF(Init!$R$9="Yes",'Staging Table'!BF68,'Staging Table'!DH68)*Rates_previous!$H$33</f>
        <v>-220200.90828740716</v>
      </c>
      <c r="I66" s="409">
        <f>IF(Init!$R$9="Yes",IF('Staging Table'!D68=1,'Staging Table'!H68*-1*('Staging Table'!F68/'Staging Table'!E68),'Staging Table'!H68*SUM(D66:H66)*(-1)),IF('Staging Table'!D68=1,'Staging Table'!BJ68*-1*('Staging Table'!BH68/'Staging Table'!BG68),'Staging Table'!BJ68*SUM(D66:H66)*(-1)))</f>
        <v>-423489.38514218281</v>
      </c>
      <c r="J66" s="407">
        <f>IF(Init!$R$9="Yes",'Staging Table'!K68,'Staging Table'!BM68)*(-1)*Rates_previous!$H$32</f>
        <v>0</v>
      </c>
      <c r="K66" s="407">
        <f>IF(Init!$R$12="No",0,'Staging Table'!$AW68*-1)</f>
        <v>0</v>
      </c>
      <c r="L66" s="407">
        <f>IF('Staging Table'!C68=1,"",SUM(D66:K66))</f>
        <v>5480447.3936419077</v>
      </c>
      <c r="M66" s="407">
        <f>IF('Staging Table'!C68=1,"",IF(Init!$R$9="Yes",(RT1SC!$C$3*'Staging Table'!F68*'Staging Table'!$F$2)+SUM('Staging Table'!L68:AI68)-IF(Init!$R$15="No",'Staging Table'!AV68, 0),X66))</f>
        <v>160539.99743645117</v>
      </c>
      <c r="N66" s="169">
        <f>IF('Staging Table'!C68=1,"",IF(M66=0, 0, L66/M66))</f>
        <v>34.137582416564513</v>
      </c>
      <c r="O66" s="407">
        <f>'Staging Table'!BH68*Rates_current!$E$75*100*12</f>
        <v>6723216.3081600014</v>
      </c>
      <c r="P66" s="407">
        <f>'Staging Table'!BH68*Rates_current!$E$76*100*12</f>
        <v>-945678.31511999993</v>
      </c>
      <c r="Q66" s="408">
        <f>SUMPRODUCT('Staging Table'!BN68:CK68, LS_Demand_Rates_Restatement!$C$5:$Z$5)-IF(Init!$R$15="No",('Staging Table'!CX68*Rates_current!$H$35), 0)</f>
        <v>51402.543752084857</v>
      </c>
      <c r="R66" s="408">
        <f>SUMPRODUCT('Staging Table'!CL68:CW68, LS_Demand_Rates_Restatement!$C$11:$N$11)*1000</f>
        <v>350521.7778915955</v>
      </c>
      <c r="S66" s="409">
        <f>'Staging Table'!DH68*Rates_current!$H$33</f>
        <v>-57.638387279788731</v>
      </c>
      <c r="T66" s="409">
        <f>IF('Staging Table'!D68=1, 'Staging Table'!BJ68*-1*('Staging Table'!BH68/'Staging Table'!BG68),SUM(O66:S66)*'Staging Table'!BJ68*-1)</f>
        <v>-432558.32734074816</v>
      </c>
      <c r="U66" s="407">
        <f>'Staging Table'!BM68*Rates_current!$H$32*-1</f>
        <v>0</v>
      </c>
      <c r="V66" s="407">
        <f>IF(Init!$R$12="No",0,'Staging Table'!$CY68*-1)</f>
        <v>0</v>
      </c>
      <c r="W66" s="407">
        <f>IF('Staging Table'!C68=1,"",SUM(O66:V66))</f>
        <v>5746846.3489556536</v>
      </c>
      <c r="X66" s="407">
        <f>IF('Staging Table'!C68=1,"",(RT1SC!$C$4*'Staging Table'!BH68*'Staging Table'!$BH$2)+SUM('Staging Table'!BN68:CK68)-IF(Init!$R$15="No",'Staging Table'!CX68, 0))</f>
        <v>160539.99934217415</v>
      </c>
      <c r="Y66" s="169">
        <f>IF('Staging Table'!C68=1,"",IF(X66=0, 0, W66/X66))</f>
        <v>35.796975037397715</v>
      </c>
      <c r="Z66" s="160">
        <f>IF('Staging Table'!C68=1,"",Y66/N66-1)</f>
        <v>4.860896710799345E-2</v>
      </c>
      <c r="AA66" s="97">
        <f t="shared" si="0"/>
        <v>73</v>
      </c>
      <c r="AB66" s="397"/>
      <c r="AC66" s="397"/>
      <c r="AD66" s="397"/>
    </row>
    <row r="67" spans="2:30">
      <c r="B67" s="274">
        <v>10190</v>
      </c>
      <c r="C67" s="275" t="s">
        <v>70</v>
      </c>
      <c r="D67" s="407">
        <f>IF(Init!$R$9="Yes",'Staging Table'!F69,'Staging Table'!BH69)*Rates_previous!$E$75*100*12</f>
        <v>1822330.87848</v>
      </c>
      <c r="E67" s="407">
        <f>IF(Init!$R$9="Yes",'Staging Table'!F69,'Staging Table'!BH69)*Rates_previous!$E$76*100*12</f>
        <v>-270908.64288000006</v>
      </c>
      <c r="F67" s="408">
        <f>IF(Init!$R$9="Yes",SUMPRODUCT('Staging Table'!L69:AI69,LS_Demand_Rates_Restatement!$C$4:$Z$4)-IF(Init!$R$15="No",('Staging Table'!AV69*Rates_previous!$H$35), 0),SUMPRODUCT('Staging Table'!BN69:CK69,LS_Demand_Rates_Restatement!$C$4:$Z$4)-IF(Init!$R$15="No", 'Staging Table'!CX69*Rates_previous!$H$35, 0))</f>
        <v>22697.912809493748</v>
      </c>
      <c r="G67" s="408">
        <f>IF(Init!$R$9="Yes",SUMPRODUCT('Staging Table'!AJ69:AU69,LS_Demand_Rates_Restatement!$C$10:$N$10),SUMPRODUCT(LS_Demand_Rates_Restatement!$C$10:$N$10,'Staging Table'!CL69:CW69))*1000</f>
        <v>117699.74862021902</v>
      </c>
      <c r="H67" s="409">
        <f>IF(Init!$R$9="Yes",'Staging Table'!BF69,'Staging Table'!DH69)*Rates_previous!$H$33</f>
        <v>0</v>
      </c>
      <c r="I67" s="409">
        <f>IF(Init!$R$9="Yes",IF('Staging Table'!D69=1,'Staging Table'!H69*-1*('Staging Table'!F69/'Staging Table'!E69),'Staging Table'!H69*SUM(D67:H67)*(-1)),IF('Staging Table'!D69=1,'Staging Table'!BJ69*-1*('Staging Table'!BH69/'Staging Table'!BG69),'Staging Table'!BJ69*SUM(D67:H67)*(-1)))</f>
        <v>0</v>
      </c>
      <c r="J67" s="407">
        <f>IF(Init!$R$9="Yes",'Staging Table'!K69,'Staging Table'!BM69)*(-1)*Rates_previous!$H$32</f>
        <v>0</v>
      </c>
      <c r="K67" s="407">
        <f>IF(Init!$R$12="No",0,'Staging Table'!$AW69*-1)</f>
        <v>0</v>
      </c>
      <c r="L67" s="407">
        <f>IF('Staging Table'!C69=1,"",SUM(D67:K67))</f>
        <v>1691819.8970297126</v>
      </c>
      <c r="M67" s="407">
        <f>IF('Staging Table'!C69=1,"",IF(Init!$R$9="Yes",(RT1SC!$C$3*'Staging Table'!F69*'Staging Table'!$F$2)+SUM('Staging Table'!L69:AI69)-IF(Init!$R$15="No",'Staging Table'!AV69, 0),X67))</f>
        <v>45158.544000000002</v>
      </c>
      <c r="N67" s="169">
        <f>IF('Staging Table'!C69=1,"",IF(M67=0, 0, L67/M67))</f>
        <v>37.464004531007745</v>
      </c>
      <c r="O67" s="407">
        <f>'Staging Table'!BH69*Rates_current!$E$75*100*12</f>
        <v>1873858.6512000002</v>
      </c>
      <c r="P67" s="407">
        <f>'Staging Table'!BH69*Rates_current!$E$76*100*12</f>
        <v>-263574.36839999998</v>
      </c>
      <c r="Q67" s="408">
        <f>SUMPRODUCT('Staging Table'!BN69:CK69, LS_Demand_Rates_Restatement!$C$5:$Z$5)-IF(Init!$R$15="No",('Staging Table'!CX69*Rates_current!$H$35), 0)</f>
        <v>50539.636475889754</v>
      </c>
      <c r="R67" s="408">
        <f>SUMPRODUCT('Staging Table'!CL69:CW69, LS_Demand_Rates_Restatement!$C$11:$N$11)*1000</f>
        <v>116699.55940157587</v>
      </c>
      <c r="S67" s="409">
        <f>'Staging Table'!DH69*Rates_current!$H$33</f>
        <v>0</v>
      </c>
      <c r="T67" s="409">
        <f>IF('Staging Table'!D69=1, 'Staging Table'!BJ69*-1*('Staging Table'!BH69/'Staging Table'!BG69),SUM(O67:S67)*'Staging Table'!BJ69*-1)</f>
        <v>0</v>
      </c>
      <c r="U67" s="407">
        <f>'Staging Table'!BM69*Rates_current!$H$32*-1</f>
        <v>0</v>
      </c>
      <c r="V67" s="407">
        <f>IF(Init!$R$12="No",0,'Staging Table'!$CY69*-1)</f>
        <v>0</v>
      </c>
      <c r="W67" s="407">
        <f>IF('Staging Table'!C69=1,"",SUM(O67:V67))</f>
        <v>1777523.4786774658</v>
      </c>
      <c r="X67" s="407">
        <f>IF('Staging Table'!C69=1,"",(RT1SC!$C$4*'Staging Table'!BH69*'Staging Table'!$BH$2)+SUM('Staging Table'!BN69:CK69)-IF(Init!$R$15="No",'Staging Table'!CX69, 0))</f>
        <v>44746.079999999994</v>
      </c>
      <c r="Y67" s="169">
        <f>IF('Staging Table'!C69=1,"",IF(X67=0, 0, W67/X67))</f>
        <v>39.724674846991427</v>
      </c>
      <c r="Z67" s="160">
        <f>IF('Staging Table'!C69=1,"",Y67/N67-1)</f>
        <v>6.0342463233277632E-2</v>
      </c>
      <c r="AA67" s="97">
        <f t="shared" si="0"/>
        <v>16</v>
      </c>
      <c r="AB67" s="397"/>
      <c r="AC67" s="397"/>
      <c r="AD67" s="397"/>
    </row>
    <row r="68" spans="2:30">
      <c r="B68" s="274">
        <v>10191</v>
      </c>
      <c r="C68" s="275" t="s">
        <v>71</v>
      </c>
      <c r="D68" s="407">
        <f>IF(Init!$R$9="Yes",'Staging Table'!F70,'Staging Table'!BH70)*Rates_previous!$E$75*100*12</f>
        <v>21219931.661039997</v>
      </c>
      <c r="E68" s="407">
        <f>IF(Init!$R$9="Yes",'Staging Table'!F70,'Staging Table'!BH70)*Rates_previous!$E$76*100*12</f>
        <v>-3154565.9222399993</v>
      </c>
      <c r="F68" s="408">
        <f>IF(Init!$R$9="Yes",SUMPRODUCT('Staging Table'!L70:AI70,LS_Demand_Rates_Restatement!$C$4:$Z$4)-IF(Init!$R$15="No",('Staging Table'!AV70*Rates_previous!$H$35), 0),SUMPRODUCT('Staging Table'!BN70:CK70,LS_Demand_Rates_Restatement!$C$4:$Z$4)-IF(Init!$R$15="No", 'Staging Table'!CX70*Rates_previous!$H$35, 0))</f>
        <v>-8891.7214952706927</v>
      </c>
      <c r="G68" s="408">
        <f>IF(Init!$R$9="Yes",SUMPRODUCT('Staging Table'!AJ70:AU70,LS_Demand_Rates_Restatement!$C$10:$N$10),SUMPRODUCT(LS_Demand_Rates_Restatement!$C$10:$N$10,'Staging Table'!CL70:CW70))*1000</f>
        <v>0</v>
      </c>
      <c r="H68" s="409">
        <f>IF(Init!$R$9="Yes",'Staging Table'!BF70,'Staging Table'!DH70)*Rates_previous!$H$33</f>
        <v>0</v>
      </c>
      <c r="I68" s="409">
        <f>IF(Init!$R$9="Yes",IF('Staging Table'!D70=1,'Staging Table'!H70*-1*('Staging Table'!F70/'Staging Table'!E70),'Staging Table'!H70*SUM(D68:H68)*(-1)),IF('Staging Table'!D70=1,'Staging Table'!BJ70*-1*('Staging Table'!BH70/'Staging Table'!BG70),'Staging Table'!BJ70*SUM(D68:H68)*(-1)))</f>
        <v>0</v>
      </c>
      <c r="J68" s="407">
        <f>IF(Init!$R$9="Yes",'Staging Table'!K70,'Staging Table'!BM70)*(-1)*Rates_previous!$H$32</f>
        <v>0</v>
      </c>
      <c r="K68" s="407">
        <f>IF(Init!$R$12="No",0,'Staging Table'!$AW70*-1)</f>
        <v>0</v>
      </c>
      <c r="L68" s="407">
        <f>IF('Staging Table'!C70=1,"",SUM(D68:K68))</f>
        <v>18056474.017304726</v>
      </c>
      <c r="M68" s="407">
        <f>IF('Staging Table'!C70=1,"",IF(Init!$R$9="Yes",(RT1SC!$C$3*'Staging Table'!F70*'Staging Table'!$F$2)+SUM('Staging Table'!L70:AI70)-IF(Init!$R$15="No",'Staging Table'!AV70, 0),X68))</f>
        <v>525837.43096374825</v>
      </c>
      <c r="N68" s="169">
        <f>IF('Staging Table'!C70=1,"",IF(M68=0, 0, L68/M68))</f>
        <v>34.338510258220012</v>
      </c>
      <c r="O68" s="407">
        <f>'Staging Table'!BH70*Rates_current!$E$75*100*12</f>
        <v>22246307.233920004</v>
      </c>
      <c r="P68" s="407">
        <f>'Staging Table'!BH70*Rates_current!$E$76*100*12</f>
        <v>-3129134.8334400007</v>
      </c>
      <c r="Q68" s="408">
        <f>SUMPRODUCT('Staging Table'!BN70:CK70, LS_Demand_Rates_Restatement!$C$5:$Z$5)-IF(Init!$R$15="No",('Staging Table'!CX70*Rates_current!$H$35), 0)</f>
        <v>-33550.647779597544</v>
      </c>
      <c r="R68" s="408">
        <f>SUMPRODUCT('Staging Table'!CL70:CW70, LS_Demand_Rates_Restatement!$C$11:$N$11)*1000</f>
        <v>0</v>
      </c>
      <c r="S68" s="409">
        <f>'Staging Table'!DH70*Rates_current!$H$33</f>
        <v>0</v>
      </c>
      <c r="T68" s="409">
        <f>IF('Staging Table'!D70=1, 'Staging Table'!BJ70*-1*('Staging Table'!BH70/'Staging Table'!BG70),SUM(O68:S68)*'Staging Table'!BJ70*-1)</f>
        <v>0</v>
      </c>
      <c r="U68" s="407">
        <f>'Staging Table'!BM70*Rates_current!$H$32*-1</f>
        <v>0</v>
      </c>
      <c r="V68" s="407">
        <f>IF(Init!$R$12="No",0,'Staging Table'!$CY70*-1)</f>
        <v>0</v>
      </c>
      <c r="W68" s="407">
        <f>IF('Staging Table'!C70=1,"",SUM(O68:V68))</f>
        <v>19083621.752700403</v>
      </c>
      <c r="X68" s="407">
        <f>IF('Staging Table'!C70=1,"",(RT1SC!$C$4*'Staging Table'!BH70*'Staging Table'!$BH$2)+SUM('Staging Table'!BN70:CK70)-IF(Init!$R$15="No",'Staging Table'!CX70, 0))</f>
        <v>524356.0077499703</v>
      </c>
      <c r="Y68" s="169">
        <f>IF('Staging Table'!C70=1,"",IF(X68=0, 0, W68/X68))</f>
        <v>36.394398978260746</v>
      </c>
      <c r="Z68" s="160">
        <f>IF('Staging Table'!C70=1,"",Y68/N68-1)</f>
        <v>5.9871226345604045E-2</v>
      </c>
      <c r="AA68" s="97">
        <f t="shared" ref="AA68:AA131" si="1">IF(Z68="","",RANK(Z68,$Z$4:$Z$138))</f>
        <v>20</v>
      </c>
      <c r="AB68" s="397"/>
      <c r="AC68" s="397"/>
      <c r="AD68" s="397"/>
    </row>
    <row r="69" spans="2:30">
      <c r="B69" s="274">
        <v>10197</v>
      </c>
      <c r="C69" s="275" t="s">
        <v>72</v>
      </c>
      <c r="D69" s="407">
        <f>IF(Init!$R$9="Yes",'Staging Table'!F71,'Staging Table'!BH71)*Rates_previous!$E$75*100*12</f>
        <v>7986621.2706000013</v>
      </c>
      <c r="E69" s="407">
        <f>IF(Init!$R$9="Yes",'Staging Table'!F71,'Staging Table'!BH71)*Rates_previous!$E$76*100*12</f>
        <v>-1187295.2135999999</v>
      </c>
      <c r="F69" s="408">
        <f>IF(Init!$R$9="Yes",SUMPRODUCT('Staging Table'!L71:AI71,LS_Demand_Rates_Restatement!$C$4:$Z$4)-IF(Init!$R$15="No",('Staging Table'!AV71*Rates_previous!$H$35), 0),SUMPRODUCT('Staging Table'!BN71:CK71,LS_Demand_Rates_Restatement!$C$4:$Z$4)-IF(Init!$R$15="No", 'Staging Table'!CX71*Rates_previous!$H$35, 0))</f>
        <v>-198681.21554567956</v>
      </c>
      <c r="G69" s="408">
        <f>IF(Init!$R$9="Yes",SUMPRODUCT('Staging Table'!AJ71:AU71,LS_Demand_Rates_Restatement!$C$10:$N$10),SUMPRODUCT(LS_Demand_Rates_Restatement!$C$10:$N$10,'Staging Table'!CL71:CW71))*1000</f>
        <v>390796.44247742172</v>
      </c>
      <c r="H69" s="409">
        <f>IF(Init!$R$9="Yes",'Staging Table'!BF71,'Staging Table'!DH71)*Rates_previous!$H$33</f>
        <v>0</v>
      </c>
      <c r="I69" s="409">
        <f>IF(Init!$R$9="Yes",IF('Staging Table'!D71=1,'Staging Table'!H71*-1*('Staging Table'!F71/'Staging Table'!E71),'Staging Table'!H71*SUM(D69:H69)*(-1)),IF('Staging Table'!D71=1,'Staging Table'!BJ71*-1*('Staging Table'!BH71/'Staging Table'!BG71),'Staging Table'!BJ71*SUM(D69:H69)*(-1)))</f>
        <v>-501496.08329642401</v>
      </c>
      <c r="J69" s="407">
        <f>IF(Init!$R$9="Yes",'Staging Table'!K71,'Staging Table'!BM71)*(-1)*Rates_previous!$H$32</f>
        <v>-1175813.6428499997</v>
      </c>
      <c r="K69" s="407">
        <f>IF(Init!$R$12="No",0,'Staging Table'!$AW71*-1)</f>
        <v>0</v>
      </c>
      <c r="L69" s="407">
        <f>IF('Staging Table'!C71=1,"",SUM(D69:K69))</f>
        <v>5314131.557785321</v>
      </c>
      <c r="M69" s="407">
        <f>IF('Staging Table'!C71=1,"",IF(Init!$R$9="Yes",(RT1SC!$C$3*'Staging Table'!F71*'Staging Table'!$F$2)+SUM('Staging Table'!L71:AI71)-IF(Init!$R$15="No",'Staging Table'!AV71, 0),X69))</f>
        <v>197912.304</v>
      </c>
      <c r="N69" s="169">
        <f>IF('Staging Table'!C71=1,"",IF(M69=0, 0, L69/M69))</f>
        <v>26.850940797421675</v>
      </c>
      <c r="O69" s="407">
        <f>'Staging Table'!BH71*Rates_current!$E$75*100*12</f>
        <v>8212621.8383999988</v>
      </c>
      <c r="P69" s="407">
        <f>'Staging Table'!BH71*Rates_current!$E$76*100*12</f>
        <v>-1155176.0388</v>
      </c>
      <c r="Q69" s="408">
        <f>SUMPRODUCT('Staging Table'!BN71:CK71, LS_Demand_Rates_Restatement!$C$5:$Z$5)-IF(Init!$R$15="No",('Staging Table'!CX71*Rates_current!$H$35), 0)</f>
        <v>-436536.79443228326</v>
      </c>
      <c r="R69" s="408">
        <f>SUMPRODUCT('Staging Table'!CL71:CW71, LS_Demand_Rates_Restatement!$C$11:$N$11)*1000</f>
        <v>345281.55937356659</v>
      </c>
      <c r="S69" s="409">
        <f>'Staging Table'!DH71*Rates_current!$H$33</f>
        <v>0</v>
      </c>
      <c r="T69" s="409">
        <f>IF('Staging Table'!D71=1, 'Staging Table'!BJ71*-1*('Staging Table'!BH71/'Staging Table'!BG71),SUM(O69:S69)*'Staging Table'!BJ71*-1)</f>
        <v>-500746.0955990873</v>
      </c>
      <c r="U69" s="407">
        <f>'Staging Table'!BM71*Rates_current!$H$32*-1</f>
        <v>-1174814.6507999997</v>
      </c>
      <c r="V69" s="407">
        <f>IF(Init!$R$12="No",0,'Staging Table'!$CY71*-1)</f>
        <v>0</v>
      </c>
      <c r="W69" s="407">
        <f>IF('Staging Table'!C71=1,"",SUM(O69:V69))</f>
        <v>5290629.8181421952</v>
      </c>
      <c r="X69" s="407">
        <f>IF('Staging Table'!C71=1,"",(RT1SC!$C$4*'Staging Table'!BH71*'Staging Table'!$BH$2)+SUM('Staging Table'!BN71:CK71)-IF(Init!$R$15="No",'Staging Table'!CX71, 0))</f>
        <v>196110.12</v>
      </c>
      <c r="Y69" s="169">
        <f>IF('Staging Table'!C71=1,"",IF(X69=0, 0, W69/X69))</f>
        <v>26.977852127887104</v>
      </c>
      <c r="Z69" s="160">
        <f>IF('Staging Table'!C71=1,"",Y69/N69-1)</f>
        <v>4.7265133621543498E-3</v>
      </c>
      <c r="AA69" s="97">
        <f t="shared" si="1"/>
        <v>116</v>
      </c>
      <c r="AB69" s="397"/>
      <c r="AC69" s="397"/>
      <c r="AD69" s="397"/>
    </row>
    <row r="70" spans="2:30">
      <c r="B70" s="274">
        <v>10202</v>
      </c>
      <c r="C70" s="275" t="s">
        <v>73</v>
      </c>
      <c r="D70" s="407">
        <f>IF(Init!$R$9="Yes",'Staging Table'!F72,'Staging Table'!BH72)*Rates_previous!$E$75*100*12</f>
        <v>4597907.6430000002</v>
      </c>
      <c r="E70" s="407">
        <f>IF(Init!$R$9="Yes",'Staging Table'!F72,'Staging Table'!BH72)*Rates_previous!$E$76*100*12</f>
        <v>-683527.30799999996</v>
      </c>
      <c r="F70" s="408">
        <f>IF(Init!$R$9="Yes",SUMPRODUCT('Staging Table'!L72:AI72,LS_Demand_Rates_Restatement!$C$4:$Z$4)-IF(Init!$R$15="No",('Staging Table'!AV72*Rates_previous!$H$35), 0),SUMPRODUCT('Staging Table'!BN72:CK72,LS_Demand_Rates_Restatement!$C$4:$Z$4)-IF(Init!$R$15="No", 'Staging Table'!CX72*Rates_previous!$H$35, 0))</f>
        <v>65346.287599044095</v>
      </c>
      <c r="G70" s="408">
        <f>IF(Init!$R$9="Yes",SUMPRODUCT('Staging Table'!AJ72:AU72,LS_Demand_Rates_Restatement!$C$10:$N$10),SUMPRODUCT(LS_Demand_Rates_Restatement!$C$10:$N$10,'Staging Table'!CL72:CW72))*1000</f>
        <v>228363.5245214031</v>
      </c>
      <c r="H70" s="409">
        <f>IF(Init!$R$9="Yes",'Staging Table'!BF72,'Staging Table'!DH72)*Rates_previous!$H$33</f>
        <v>0</v>
      </c>
      <c r="I70" s="409">
        <f>IF(Init!$R$9="Yes",IF('Staging Table'!D72=1,'Staging Table'!H72*-1*('Staging Table'!F72/'Staging Table'!E72),'Staging Table'!H72*SUM(D70:H70)*(-1)),IF('Staging Table'!D72=1,'Staging Table'!BJ72*-1*('Staging Table'!BH72/'Staging Table'!BG72),'Staging Table'!BJ72*SUM(D70:H70)*(-1)))</f>
        <v>0</v>
      </c>
      <c r="J70" s="407">
        <f>IF(Init!$R$9="Yes",'Staging Table'!K72,'Staging Table'!BM72)*(-1)*Rates_previous!$H$32</f>
        <v>0</v>
      </c>
      <c r="K70" s="407">
        <f>IF(Init!$R$12="No",0,'Staging Table'!$AW72*-1)</f>
        <v>0</v>
      </c>
      <c r="L70" s="407">
        <f>IF('Staging Table'!C72=1,"",SUM(D70:K70))</f>
        <v>4208090.1471204469</v>
      </c>
      <c r="M70" s="407">
        <f>IF('Staging Table'!C72=1,"",IF(Init!$R$9="Yes",(RT1SC!$C$3*'Staging Table'!F72*'Staging Table'!$F$2)+SUM('Staging Table'!L72:AI72)-IF(Init!$R$15="No",'Staging Table'!AV72, 0),X70))</f>
        <v>113937.264</v>
      </c>
      <c r="N70" s="169">
        <f>IF('Staging Table'!C72=1,"",IF(M70=0, 0, L70/M70))</f>
        <v>36.933396497220144</v>
      </c>
      <c r="O70" s="407">
        <f>'Staging Table'!BH72*Rates_current!$E$75*100*12</f>
        <v>4728085.4995200001</v>
      </c>
      <c r="P70" s="407">
        <f>'Staging Table'!BH72*Rates_current!$E$76*100*12</f>
        <v>-665045.97263999993</v>
      </c>
      <c r="Q70" s="408">
        <f>SUMPRODUCT('Staging Table'!BN72:CK72, LS_Demand_Rates_Restatement!$C$5:$Z$5)-IF(Init!$R$15="No",('Staging Table'!CX72*Rates_current!$H$35), 0)</f>
        <v>109249.39782465211</v>
      </c>
      <c r="R70" s="408">
        <f>SUMPRODUCT('Staging Table'!CL72:CW72, LS_Demand_Rates_Restatement!$C$11:$N$11)*1000</f>
        <v>224373.45413775818</v>
      </c>
      <c r="S70" s="409">
        <f>'Staging Table'!DH72*Rates_current!$H$33</f>
        <v>0</v>
      </c>
      <c r="T70" s="409">
        <f>IF('Staging Table'!D72=1, 'Staging Table'!BJ72*-1*('Staging Table'!BH72/'Staging Table'!BG72),SUM(O70:S70)*'Staging Table'!BJ72*-1)</f>
        <v>0</v>
      </c>
      <c r="U70" s="407">
        <f>'Staging Table'!BM72*Rates_current!$H$32*-1</f>
        <v>0</v>
      </c>
      <c r="V70" s="407">
        <f>IF(Init!$R$12="No",0,'Staging Table'!$CY72*-1)</f>
        <v>0</v>
      </c>
      <c r="W70" s="407">
        <f>IF('Staging Table'!C72=1,"",SUM(O70:V70))</f>
        <v>4396662.3788424106</v>
      </c>
      <c r="X70" s="407">
        <f>IF('Staging Table'!C72=1,"",(RT1SC!$C$4*'Staging Table'!BH72*'Staging Table'!$BH$2)+SUM('Staging Table'!BN72:CK72)-IF(Init!$R$15="No",'Staging Table'!CX72, 0))</f>
        <v>112897.15764712828</v>
      </c>
      <c r="Y70" s="169">
        <f>IF('Staging Table'!C72=1,"",IF(X70=0, 0, W70/X70))</f>
        <v>38.943959887676115</v>
      </c>
      <c r="Z70" s="160">
        <f>IF('Staging Table'!C72=1,"",Y70/N70-1)</f>
        <v>5.443754382587862E-2</v>
      </c>
      <c r="AA70" s="97">
        <f t="shared" si="1"/>
        <v>37</v>
      </c>
      <c r="AB70" s="397"/>
      <c r="AC70" s="397"/>
      <c r="AD70" s="397"/>
    </row>
    <row r="71" spans="2:30">
      <c r="B71" s="274">
        <v>10203</v>
      </c>
      <c r="C71" s="275" t="s">
        <v>74</v>
      </c>
      <c r="D71" s="407">
        <f>IF(Init!$R$9="Yes",'Staging Table'!F73,'Staging Table'!BH73)*Rates_previous!$E$75*100*12</f>
        <v>2181004.8044400001</v>
      </c>
      <c r="E71" s="407">
        <f>IF(Init!$R$9="Yes",'Staging Table'!F73,'Staging Table'!BH73)*Rates_previous!$E$76*100*12</f>
        <v>-324229.29264</v>
      </c>
      <c r="F71" s="408">
        <f>IF(Init!$R$9="Yes",SUMPRODUCT('Staging Table'!L73:AI73,LS_Demand_Rates_Restatement!$C$4:$Z$4)-IF(Init!$R$15="No",('Staging Table'!AV73*Rates_previous!$H$35), 0),SUMPRODUCT('Staging Table'!BN73:CK73,LS_Demand_Rates_Restatement!$C$4:$Z$4)-IF(Init!$R$15="No", 'Staging Table'!CX73*Rates_previous!$H$35, 0))</f>
        <v>19539.756450873101</v>
      </c>
      <c r="G71" s="408">
        <f>IF(Init!$R$9="Yes",SUMPRODUCT('Staging Table'!AJ73:AU73,LS_Demand_Rates_Restatement!$C$10:$N$10),SUMPRODUCT(LS_Demand_Rates_Restatement!$C$10:$N$10,'Staging Table'!CL73:CW73))*1000</f>
        <v>135164.05823806973</v>
      </c>
      <c r="H71" s="409">
        <f>IF(Init!$R$9="Yes",'Staging Table'!BF73,'Staging Table'!DH73)*Rates_previous!$H$33</f>
        <v>0</v>
      </c>
      <c r="I71" s="409">
        <f>IF(Init!$R$9="Yes",IF('Staging Table'!D73=1,'Staging Table'!H73*-1*('Staging Table'!F73/'Staging Table'!E73),'Staging Table'!H73*SUM(D71:H71)*(-1)),IF('Staging Table'!D73=1,'Staging Table'!BJ73*-1*('Staging Table'!BH73/'Staging Table'!BG73),'Staging Table'!BJ73*SUM(D71:H71)*(-1)))</f>
        <v>-143036.29490662873</v>
      </c>
      <c r="J71" s="407">
        <f>IF(Init!$R$9="Yes",'Staging Table'!K73,'Staging Table'!BM73)*(-1)*Rates_previous!$H$32</f>
        <v>0</v>
      </c>
      <c r="K71" s="407">
        <f>IF(Init!$R$12="No",0,'Staging Table'!$AW73*-1)</f>
        <v>0</v>
      </c>
      <c r="L71" s="407">
        <f>IF('Staging Table'!C73=1,"",SUM(D71:K71))</f>
        <v>1868443.0315823141</v>
      </c>
      <c r="M71" s="407">
        <f>IF('Staging Table'!C73=1,"",IF(Init!$R$9="Yes",(RT1SC!$C$3*'Staging Table'!F73*'Staging Table'!$F$2)+SUM('Staging Table'!L73:AI73)-IF(Init!$R$15="No",'Staging Table'!AV73, 0),X71))</f>
        <v>54047.951999999997</v>
      </c>
      <c r="N71" s="169">
        <f>IF('Staging Table'!C73=1,"",IF(M71=0, 0, L71/M71))</f>
        <v>34.570098633567355</v>
      </c>
      <c r="O71" s="407">
        <f>'Staging Table'!BH73*Rates_current!$E$75*100*12</f>
        <v>2243025.3657600004</v>
      </c>
      <c r="P71" s="407">
        <f>'Staging Table'!BH73*Rates_current!$E$76*100*12</f>
        <v>-315500.84832000005</v>
      </c>
      <c r="Q71" s="408">
        <f>SUMPRODUCT('Staging Table'!BN73:CK73, LS_Demand_Rates_Restatement!$C$5:$Z$5)-IF(Init!$R$15="No",('Staging Table'!CX73*Rates_current!$H$35), 0)</f>
        <v>41316.248757852176</v>
      </c>
      <c r="R71" s="408">
        <f>SUMPRODUCT('Staging Table'!CL73:CW73, LS_Demand_Rates_Restatement!$C$11:$N$11)*1000</f>
        <v>128099.54408568374</v>
      </c>
      <c r="S71" s="409">
        <f>'Staging Table'!DH73*Rates_current!$H$33</f>
        <v>0</v>
      </c>
      <c r="T71" s="409">
        <f>IF('Staging Table'!D73=1, 'Staging Table'!BJ73*-1*('Staging Table'!BH73/'Staging Table'!BG73),SUM(O71:S71)*'Staging Table'!BJ73*-1)</f>
        <v>-153123.97300117562</v>
      </c>
      <c r="U71" s="407">
        <f>'Staging Table'!BM73*Rates_current!$H$32*-1</f>
        <v>0</v>
      </c>
      <c r="V71" s="407">
        <f>IF(Init!$R$12="No",0,'Staging Table'!$CY73*-1)</f>
        <v>0</v>
      </c>
      <c r="W71" s="407">
        <f>IF('Staging Table'!C73=1,"",SUM(O71:V71))</f>
        <v>1943816.3372823608</v>
      </c>
      <c r="X71" s="407">
        <f>IF('Staging Table'!C73=1,"",(RT1SC!$C$4*'Staging Table'!BH73*'Staging Table'!$BH$2)+SUM('Staging Table'!BN73:CK73)-IF(Init!$R$15="No",'Staging Table'!CX73, 0))</f>
        <v>53558.64</v>
      </c>
      <c r="Y71" s="169">
        <f>IF('Staging Table'!C73=1,"",IF(X71=0, 0, W71/X71))</f>
        <v>36.29323555046134</v>
      </c>
      <c r="Z71" s="160">
        <f>IF('Staging Table'!C73=1,"",Y71/N71-1)</f>
        <v>4.9844720871603965E-2</v>
      </c>
      <c r="AA71" s="97">
        <f t="shared" si="1"/>
        <v>59</v>
      </c>
      <c r="AB71" s="397"/>
      <c r="AC71" s="397"/>
      <c r="AD71" s="397"/>
    </row>
    <row r="72" spans="2:30">
      <c r="B72" s="274">
        <v>10204</v>
      </c>
      <c r="C72" s="275" t="s">
        <v>75</v>
      </c>
      <c r="D72" s="407">
        <f>IF(Init!$R$9="Yes",'Staging Table'!F74,'Staging Table'!BH74)*Rates_previous!$E$75*100*12</f>
        <v>13684066.23528</v>
      </c>
      <c r="E72" s="407">
        <f>IF(Init!$R$9="Yes",'Staging Table'!F74,'Staging Table'!BH74)*Rates_previous!$E$76*100*12</f>
        <v>-2034280.3036799999</v>
      </c>
      <c r="F72" s="408">
        <f>IF(Init!$R$9="Yes",SUMPRODUCT('Staging Table'!L74:AI74,LS_Demand_Rates_Restatement!$C$4:$Z$4)-IF(Init!$R$15="No",('Staging Table'!AV74*Rates_previous!$H$35), 0),SUMPRODUCT('Staging Table'!BN74:CK74,LS_Demand_Rates_Restatement!$C$4:$Z$4)-IF(Init!$R$15="No", 'Staging Table'!CX74*Rates_previous!$H$35, 0))</f>
        <v>-9238.0417939982181</v>
      </c>
      <c r="G72" s="408">
        <f>IF(Init!$R$9="Yes",SUMPRODUCT('Staging Table'!AJ74:AU74,LS_Demand_Rates_Restatement!$C$10:$N$10),SUMPRODUCT(LS_Demand_Rates_Restatement!$C$10:$N$10,'Staging Table'!CL74:CW74))*1000</f>
        <v>0</v>
      </c>
      <c r="H72" s="409">
        <f>IF(Init!$R$9="Yes",'Staging Table'!BF74,'Staging Table'!DH74)*Rates_previous!$H$33</f>
        <v>0</v>
      </c>
      <c r="I72" s="409">
        <f>IF(Init!$R$9="Yes",IF('Staging Table'!D74=1,'Staging Table'!H74*-1*('Staging Table'!F74/'Staging Table'!E74),'Staging Table'!H74*SUM(D72:H72)*(-1)),IF('Staging Table'!D74=1,'Staging Table'!BJ74*-1*('Staging Table'!BH74/'Staging Table'!BG74),'Staging Table'!BJ74*SUM(D72:H72)*(-1)))</f>
        <v>0</v>
      </c>
      <c r="J72" s="407">
        <f>IF(Init!$R$9="Yes",'Staging Table'!K74,'Staging Table'!BM74)*(-1)*Rates_previous!$H$32</f>
        <v>0</v>
      </c>
      <c r="K72" s="407">
        <f>IF(Init!$R$12="No",0,'Staging Table'!$AW74*-1)</f>
        <v>0</v>
      </c>
      <c r="L72" s="407">
        <f>IF('Staging Table'!C74=1,"",SUM(D72:K72))</f>
        <v>11640547.889806002</v>
      </c>
      <c r="M72" s="407">
        <f>IF('Staging Table'!C74=1,"",IF(Init!$R$9="Yes",(RT1SC!$C$3*'Staging Table'!F74*'Staging Table'!$F$2)+SUM('Staging Table'!L74:AI74)-IF(Init!$R$15="No",'Staging Table'!AV74, 0),X72))</f>
        <v>339096.89866650506</v>
      </c>
      <c r="N72" s="169">
        <f>IF('Staging Table'!C74=1,"",IF(M72=0, 0, L72/M72))</f>
        <v>34.328087150258035</v>
      </c>
      <c r="O72" s="407">
        <f>'Staging Table'!BH74*Rates_current!$E$75*100*12</f>
        <v>10109664.872639999</v>
      </c>
      <c r="P72" s="407">
        <f>'Staging Table'!BH74*Rates_current!$E$76*100*12</f>
        <v>-1422011.4904799999</v>
      </c>
      <c r="Q72" s="408">
        <f>SUMPRODUCT('Staging Table'!BN74:CK74, LS_Demand_Rates_Restatement!$C$5:$Z$5)-IF(Init!$R$15="No",('Staging Table'!CX74*Rates_current!$H$35), 0)</f>
        <v>-32839.929719669315</v>
      </c>
      <c r="R72" s="408">
        <f>SUMPRODUCT('Staging Table'!CL74:CW74, LS_Demand_Rates_Restatement!$C$11:$N$11)*1000</f>
        <v>0</v>
      </c>
      <c r="S72" s="409">
        <f>'Staging Table'!DH74*Rates_current!$H$33</f>
        <v>0</v>
      </c>
      <c r="T72" s="409">
        <f>IF('Staging Table'!D74=1, 'Staging Table'!BJ74*-1*('Staging Table'!BH74/'Staging Table'!BG74),SUM(O72:S72)*'Staging Table'!BJ74*-1)</f>
        <v>0</v>
      </c>
      <c r="U72" s="407">
        <f>'Staging Table'!BM74*Rates_current!$H$32*-1</f>
        <v>0</v>
      </c>
      <c r="V72" s="407">
        <f>IF(Init!$R$12="No",0,'Staging Table'!$CY74*-1)</f>
        <v>0</v>
      </c>
      <c r="W72" s="407">
        <f>IF('Staging Table'!C74=1,"",SUM(O72:V72))</f>
        <v>8654813.4524403289</v>
      </c>
      <c r="X72" s="407">
        <f>IF('Staging Table'!C74=1,"",(RT1SC!$C$4*'Staging Table'!BH74*'Staging Table'!$BH$2)+SUM('Staging Table'!BN74:CK74)-IF(Init!$R$15="No",'Staging Table'!CX74, 0))</f>
        <v>237961.00352191494</v>
      </c>
      <c r="Y72" s="169">
        <f>IF('Staging Table'!C74=1,"",IF(X72=0, 0, W72/X72))</f>
        <v>36.370721775188962</v>
      </c>
      <c r="Z72" s="160">
        <f>IF('Staging Table'!C74=1,"",Y72/N72-1)</f>
        <v>5.9503304567774862E-2</v>
      </c>
      <c r="AA72" s="97">
        <f t="shared" si="1"/>
        <v>23</v>
      </c>
      <c r="AB72" s="397"/>
      <c r="AC72" s="397"/>
      <c r="AD72" s="397"/>
    </row>
    <row r="73" spans="2:30">
      <c r="B73" s="274">
        <v>10209</v>
      </c>
      <c r="C73" s="275" t="s">
        <v>76</v>
      </c>
      <c r="D73" s="407">
        <f>IF(Init!$R$9="Yes",'Staging Table'!F75,'Staging Table'!BH75)*Rates_previous!$E$75*100*12</f>
        <v>37818687.667319998</v>
      </c>
      <c r="E73" s="407">
        <f>IF(Init!$R$9="Yes",'Staging Table'!F75,'Staging Table'!BH75)*Rates_previous!$E$76*100*12</f>
        <v>-5622145.5019199997</v>
      </c>
      <c r="F73" s="408">
        <f>IF(Init!$R$9="Yes",SUMPRODUCT('Staging Table'!L75:AI75,LS_Demand_Rates_Restatement!$C$4:$Z$4)-IF(Init!$R$15="No",('Staging Table'!AV75*Rates_previous!$H$35), 0),SUMPRODUCT('Staging Table'!BN75:CK75,LS_Demand_Rates_Restatement!$C$4:$Z$4)-IF(Init!$R$15="No", 'Staging Table'!CX75*Rates_previous!$H$35, 0))</f>
        <v>-584188.35814768507</v>
      </c>
      <c r="G73" s="408">
        <f>IF(Init!$R$9="Yes",SUMPRODUCT('Staging Table'!AJ75:AU75,LS_Demand_Rates_Restatement!$C$10:$N$10),SUMPRODUCT(LS_Demand_Rates_Restatement!$C$10:$N$10,'Staging Table'!CL75:CW75))*1000</f>
        <v>2568146.6247324077</v>
      </c>
      <c r="H73" s="409">
        <f>IF(Init!$R$9="Yes",'Staging Table'!BF75,'Staging Table'!DH75)*Rates_previous!$H$33</f>
        <v>-47931.244177734799</v>
      </c>
      <c r="I73" s="409">
        <f>IF(Init!$R$9="Yes",IF('Staging Table'!D75=1,'Staging Table'!H75*-1*('Staging Table'!F75/'Staging Table'!E75),'Staging Table'!H75*SUM(D73:H73)*(-1)),IF('Staging Table'!D75=1,'Staging Table'!BJ75*-1*('Staging Table'!BH75/'Staging Table'!BG75),'Staging Table'!BJ75*SUM(D73:H73)*(-1)))</f>
        <v>-2450377.141992664</v>
      </c>
      <c r="J73" s="407">
        <f>IF(Init!$R$9="Yes",'Staging Table'!K75,'Staging Table'!BM75)*(-1)*Rates_previous!$H$32</f>
        <v>-707526.49077000003</v>
      </c>
      <c r="K73" s="407">
        <f>IF(Init!$R$12="No",0,'Staging Table'!$AW75*-1)</f>
        <v>0</v>
      </c>
      <c r="L73" s="407">
        <f>IF('Staging Table'!C75=1,"",SUM(D73:K73))</f>
        <v>30974665.555044319</v>
      </c>
      <c r="M73" s="407">
        <f>IF('Staging Table'!C75=1,"",IF(Init!$R$9="Yes",(RT1SC!$C$3*'Staging Table'!F75*'Staging Table'!$F$2)+SUM('Staging Table'!L75:AI75)-IF(Init!$R$15="No",'Staging Table'!AV75, 0),X73))</f>
        <v>907803.81620590563</v>
      </c>
      <c r="N73" s="169">
        <f>IF('Staging Table'!C75=1,"",IF(M73=0, 0, L73/M73))</f>
        <v>34.120439903525067</v>
      </c>
      <c r="O73" s="407">
        <f>'Staging Table'!BH75*Rates_current!$E$75*100*12</f>
        <v>37861880.918399997</v>
      </c>
      <c r="P73" s="407">
        <f>'Staging Table'!BH75*Rates_current!$E$76*100*12</f>
        <v>-5325599.8487999998</v>
      </c>
      <c r="Q73" s="408">
        <f>SUMPRODUCT('Staging Table'!BN75:CK75, LS_Demand_Rates_Restatement!$C$5:$Z$5)-IF(Init!$R$15="No",('Staging Table'!CX75*Rates_current!$H$35), 0)</f>
        <v>-63035.01760384332</v>
      </c>
      <c r="R73" s="408">
        <f>SUMPRODUCT('Staging Table'!CL75:CW75, LS_Demand_Rates_Restatement!$C$11:$N$11)*1000</f>
        <v>2462191.0599062946</v>
      </c>
      <c r="S73" s="409">
        <f>'Staging Table'!DH75*Rates_current!$H$33</f>
        <v>0</v>
      </c>
      <c r="T73" s="409">
        <f>IF('Staging Table'!D75=1, 'Staging Table'!BJ75*-1*('Staging Table'!BH75/'Staging Table'!BG75),SUM(O73:S73)*'Staging Table'!BJ75*-1)</f>
        <v>-2574025.4857113678</v>
      </c>
      <c r="U73" s="407">
        <f>'Staging Table'!BM75*Rates_current!$H$32*-1</f>
        <v>-706925.36375999998</v>
      </c>
      <c r="V73" s="407">
        <f>IF(Init!$R$12="No",0,'Staging Table'!$CY75*-1)</f>
        <v>0</v>
      </c>
      <c r="W73" s="407">
        <f>IF('Staging Table'!C75=1,"",SUM(O73:V73))</f>
        <v>31654486.262431081</v>
      </c>
      <c r="X73" s="407">
        <f>IF('Staging Table'!C75=1,"",(RT1SC!$C$4*'Staging Table'!BH75*'Staging Table'!$BH$2)+SUM('Staging Table'!BN75:CK75)-IF(Init!$R$15="No",'Staging Table'!CX75, 0))</f>
        <v>884226.01118998462</v>
      </c>
      <c r="Y73" s="169">
        <f>IF('Staging Table'!C75=1,"",IF(X73=0, 0, W73/X73))</f>
        <v>35.799089669202012</v>
      </c>
      <c r="Z73" s="160">
        <f>IF('Staging Table'!C75=1,"",Y73/N73-1)</f>
        <v>4.9197776184108255E-2</v>
      </c>
      <c r="AA73" s="97">
        <f t="shared" si="1"/>
        <v>70</v>
      </c>
      <c r="AB73" s="397"/>
      <c r="AC73" s="397"/>
      <c r="AD73" s="397"/>
    </row>
    <row r="74" spans="2:30">
      <c r="B74" s="274">
        <v>10230</v>
      </c>
      <c r="C74" s="275" t="s">
        <v>77</v>
      </c>
      <c r="D74" s="407">
        <f>IF(Init!$R$9="Yes",'Staging Table'!F76,'Staging Table'!BH76)*Rates_previous!$E$75*100*12</f>
        <v>3405793.3383599999</v>
      </c>
      <c r="E74" s="407">
        <f>IF(Init!$R$9="Yes",'Staging Table'!F76,'Staging Table'!BH76)*Rates_previous!$E$76*100*12</f>
        <v>-506306.98415999999</v>
      </c>
      <c r="F74" s="408">
        <f>IF(Init!$R$9="Yes",SUMPRODUCT('Staging Table'!L76:AI76,LS_Demand_Rates_Restatement!$C$4:$Z$4)-IF(Init!$R$15="No",('Staging Table'!AV76*Rates_previous!$H$35), 0),SUMPRODUCT('Staging Table'!BN76:CK76,LS_Demand_Rates_Restatement!$C$4:$Z$4)-IF(Init!$R$15="No", 'Staging Table'!CX76*Rates_previous!$H$35, 0))</f>
        <v>29302.299222961854</v>
      </c>
      <c r="G74" s="408">
        <f>IF(Init!$R$9="Yes",SUMPRODUCT('Staging Table'!AJ76:AU76,LS_Demand_Rates_Restatement!$C$10:$N$10),SUMPRODUCT(LS_Demand_Rates_Restatement!$C$10:$N$10,'Staging Table'!CL76:CW76))*1000</f>
        <v>294055.22526582971</v>
      </c>
      <c r="H74" s="409">
        <f>IF(Init!$R$9="Yes",'Staging Table'!BF76,'Staging Table'!DH76)*Rates_previous!$H$33</f>
        <v>0</v>
      </c>
      <c r="I74" s="409">
        <f>IF(Init!$R$9="Yes",IF('Staging Table'!D76=1,'Staging Table'!H76*-1*('Staging Table'!F76/'Staging Table'!E76),'Staging Table'!H76*SUM(D74:H74)*(-1)),IF('Staging Table'!D76=1,'Staging Table'!BJ76*-1*('Staging Table'!BH76/'Staging Table'!BG76),'Staging Table'!BJ76*SUM(D74:H74)*(-1)))</f>
        <v>-245967.4448215286</v>
      </c>
      <c r="J74" s="407">
        <f>IF(Init!$R$9="Yes",'Staging Table'!K76,'Staging Table'!BM76)*(-1)*Rates_previous!$H$32</f>
        <v>0</v>
      </c>
      <c r="K74" s="407">
        <f>IF(Init!$R$12="No",0,'Staging Table'!$AW76*-1)</f>
        <v>0</v>
      </c>
      <c r="L74" s="407">
        <f>IF('Staging Table'!C76=1,"",SUM(D74:K74))</f>
        <v>2976876.4338672631</v>
      </c>
      <c r="M74" s="407">
        <f>IF('Staging Table'!C76=1,"",IF(Init!$R$9="Yes",(RT1SC!$C$3*'Staging Table'!F76*'Staging Table'!$F$2)+SUM('Staging Table'!L76:AI76)-IF(Init!$R$15="No",'Staging Table'!AV76, 0),X74))</f>
        <v>84396.672000000006</v>
      </c>
      <c r="N74" s="169">
        <f>IF('Staging Table'!C76=1,"",IF(M74=0, 0, L74/M74))</f>
        <v>35.272438632026429</v>
      </c>
      <c r="O74" s="407">
        <f>'Staging Table'!BH76*Rates_current!$E$75*100*12</f>
        <v>3502370.4796799999</v>
      </c>
      <c r="P74" s="407">
        <f>'Staging Table'!BH76*Rates_current!$E$76*100*12</f>
        <v>-492638.59175999998</v>
      </c>
      <c r="Q74" s="408">
        <f>SUMPRODUCT('Staging Table'!BN76:CK76, LS_Demand_Rates_Restatement!$C$5:$Z$5)-IF(Init!$R$15="No",('Staging Table'!CX76*Rates_current!$H$35), 0)</f>
        <v>60088.436183394864</v>
      </c>
      <c r="R74" s="408">
        <f>SUMPRODUCT('Staging Table'!CL76:CW76, LS_Demand_Rates_Restatement!$C$11:$N$11)*1000</f>
        <v>289448.04091493052</v>
      </c>
      <c r="S74" s="409">
        <f>'Staging Table'!DH76*Rates_current!$H$33</f>
        <v>0</v>
      </c>
      <c r="T74" s="409">
        <f>IF('Staging Table'!D76=1, 'Staging Table'!BJ76*-1*('Staging Table'!BH76/'Staging Table'!BG76),SUM(O74:S74)*'Staging Table'!BJ76*-1)</f>
        <v>-250887.76889340804</v>
      </c>
      <c r="U74" s="407">
        <f>'Staging Table'!BM76*Rates_current!$H$32*-1</f>
        <v>0</v>
      </c>
      <c r="V74" s="407">
        <f>IF(Init!$R$12="No",0,'Staging Table'!$CY76*-1)</f>
        <v>0</v>
      </c>
      <c r="W74" s="407">
        <f>IF('Staging Table'!C76=1,"",SUM(O74:V74))</f>
        <v>3108380.5961249168</v>
      </c>
      <c r="X74" s="407">
        <f>IF('Staging Table'!C76=1,"",(RT1SC!$C$4*'Staging Table'!BH76*'Staging Table'!$BH$2)+SUM('Staging Table'!BN76:CK76)-IF(Init!$R$15="No",'Staging Table'!CX76, 0))</f>
        <v>83631.72</v>
      </c>
      <c r="Y74" s="169">
        <f>IF('Staging Table'!C76=1,"",IF(X74=0, 0, W74/X74))</f>
        <v>37.167483774397041</v>
      </c>
      <c r="Z74" s="160">
        <f>IF('Staging Table'!C76=1,"",Y74/N74-1)</f>
        <v>5.3725946259070456E-2</v>
      </c>
      <c r="AA74" s="97">
        <f t="shared" si="1"/>
        <v>40</v>
      </c>
      <c r="AB74" s="397"/>
      <c r="AC74" s="397"/>
      <c r="AD74" s="397"/>
    </row>
    <row r="75" spans="2:30">
      <c r="B75" s="274">
        <v>10231</v>
      </c>
      <c r="C75" s="275" t="s">
        <v>78</v>
      </c>
      <c r="D75" s="407">
        <f>IF(Init!$R$9="Yes",'Staging Table'!F77,'Staging Table'!BH77)*Rates_previous!$E$75*100*12</f>
        <v>12867705.567360001</v>
      </c>
      <c r="E75" s="407">
        <f>IF(Init!$R$9="Yes",'Staging Table'!F77,'Staging Table'!BH77)*Rates_previous!$E$76*100*12</f>
        <v>-1912919.7081599999</v>
      </c>
      <c r="F75" s="408">
        <f>IF(Init!$R$9="Yes",SUMPRODUCT('Staging Table'!L77:AI77,LS_Demand_Rates_Restatement!$C$4:$Z$4)-IF(Init!$R$15="No",('Staging Table'!AV77*Rates_previous!$H$35), 0),SUMPRODUCT('Staging Table'!BN77:CK77,LS_Demand_Rates_Restatement!$C$4:$Z$4)-IF(Init!$R$15="No", 'Staging Table'!CX77*Rates_previous!$H$35, 0))</f>
        <v>132690.39380874776</v>
      </c>
      <c r="G75" s="408">
        <f>IF(Init!$R$9="Yes",SUMPRODUCT('Staging Table'!AJ77:AU77,LS_Demand_Rates_Restatement!$C$10:$N$10),SUMPRODUCT(LS_Demand_Rates_Restatement!$C$10:$N$10,'Staging Table'!CL77:CW77))*1000</f>
        <v>693316.66195297334</v>
      </c>
      <c r="H75" s="409">
        <f>IF(Init!$R$9="Yes",'Staging Table'!BF77,'Staging Table'!DH77)*Rates_previous!$H$33</f>
        <v>0</v>
      </c>
      <c r="I75" s="409">
        <f>IF(Init!$R$9="Yes",IF('Staging Table'!D77=1,'Staging Table'!H77*-1*('Staging Table'!F77/'Staging Table'!E77),'Staging Table'!H77*SUM(D75:H75)*(-1)),IF('Staging Table'!D77=1,'Staging Table'!BJ77*-1*('Staging Table'!BH77/'Staging Table'!BG77),'Staging Table'!BJ77*SUM(D75:H75)*(-1)))</f>
        <v>-901466.27385287103</v>
      </c>
      <c r="J75" s="407">
        <f>IF(Init!$R$9="Yes",'Staging Table'!K77,'Staging Table'!BM77)*(-1)*Rates_previous!$H$32</f>
        <v>-254617.22032999998</v>
      </c>
      <c r="K75" s="407">
        <f>IF(Init!$R$12="No",0,'Staging Table'!$AW77*-1)</f>
        <v>0</v>
      </c>
      <c r="L75" s="407">
        <f>IF('Staging Table'!C77=1,"",SUM(D75:K75))</f>
        <v>10624709.42077885</v>
      </c>
      <c r="M75" s="407">
        <f>IF('Staging Table'!C77=1,"",IF(Init!$R$9="Yes",(RT1SC!$C$3*'Staging Table'!F77*'Staging Table'!$F$2)+SUM('Staging Table'!L77:AI77)-IF(Init!$R$15="No",'Staging Table'!AV77, 0),X75))</f>
        <v>318867.984</v>
      </c>
      <c r="N75" s="169">
        <f>IF('Staging Table'!C77=1,"",IF(M75=0, 0, L75/M75))</f>
        <v>33.32008841871955</v>
      </c>
      <c r="O75" s="407">
        <f>'Staging Table'!BH77*Rates_current!$E$75*100*12</f>
        <v>13232677.70016</v>
      </c>
      <c r="P75" s="407">
        <f>'Staging Table'!BH77*Rates_current!$E$76*100*12</f>
        <v>-1861290.15912</v>
      </c>
      <c r="Q75" s="408">
        <f>SUMPRODUCT('Staging Table'!BN77:CK77, LS_Demand_Rates_Restatement!$C$5:$Z$5)-IF(Init!$R$15="No",('Staging Table'!CX77*Rates_current!$H$35), 0)</f>
        <v>214411.83897139938</v>
      </c>
      <c r="R75" s="408">
        <f>SUMPRODUCT('Staging Table'!CL77:CW77, LS_Demand_Rates_Restatement!$C$11:$N$11)*1000</f>
        <v>642554.02000246604</v>
      </c>
      <c r="S75" s="409">
        <f>'Staging Table'!DH77*Rates_current!$H$33</f>
        <v>0</v>
      </c>
      <c r="T75" s="409">
        <f>IF('Staging Table'!D77=1, 'Staging Table'!BJ77*-1*('Staging Table'!BH77/'Staging Table'!BG77),SUM(O75:S75)*'Staging Table'!BJ77*-1)</f>
        <v>-1034652.063342916</v>
      </c>
      <c r="U75" s="407">
        <f>'Staging Table'!BM77*Rates_current!$H$32*-1</f>
        <v>-254400.89304</v>
      </c>
      <c r="V75" s="407">
        <f>IF(Init!$R$12="No",0,'Staging Table'!$CY77*-1)</f>
        <v>0</v>
      </c>
      <c r="W75" s="407">
        <f>IF('Staging Table'!C77=1,"",SUM(O75:V75))</f>
        <v>10939300.443630949</v>
      </c>
      <c r="X75" s="407">
        <f>IF('Staging Table'!C77=1,"",(RT1SC!$C$4*'Staging Table'!BH77*'Staging Table'!$BH$2)+SUM('Staging Table'!BN77:CK77)-IF(Init!$R$15="No",'Staging Table'!CX77, 0))</f>
        <v>315981.95999999996</v>
      </c>
      <c r="Y75" s="169">
        <f>IF('Staging Table'!C77=1,"",IF(X75=0, 0, W75/X75))</f>
        <v>34.620015787075154</v>
      </c>
      <c r="Z75" s="160">
        <f>IF('Staging Table'!C77=1,"",Y75/N75-1)</f>
        <v>3.9013322894584368E-2</v>
      </c>
      <c r="AA75" s="97">
        <f t="shared" si="1"/>
        <v>101</v>
      </c>
      <c r="AB75" s="397"/>
      <c r="AC75" s="397"/>
      <c r="AD75" s="397"/>
    </row>
    <row r="76" spans="2:30">
      <c r="B76" s="274">
        <v>10234</v>
      </c>
      <c r="C76" s="275" t="s">
        <v>79</v>
      </c>
      <c r="D76" s="407">
        <f>IF(Init!$R$9="Yes",'Staging Table'!F78,'Staging Table'!BH78)*Rates_previous!$E$75*100*12</f>
        <v>17901517.132800002</v>
      </c>
      <c r="E76" s="407">
        <f>IF(Init!$R$9="Yes",'Staging Table'!F78,'Staging Table'!BH78)*Rates_previous!$E$76*100*12</f>
        <v>-2661248.7168000001</v>
      </c>
      <c r="F76" s="408">
        <f>IF(Init!$R$9="Yes",SUMPRODUCT('Staging Table'!L78:AI78,LS_Demand_Rates_Restatement!$C$4:$Z$4)-IF(Init!$R$15="No",('Staging Table'!AV78*Rates_previous!$H$35), 0),SUMPRODUCT('Staging Table'!BN78:CK78,LS_Demand_Rates_Restatement!$C$4:$Z$4)-IF(Init!$R$15="No", 'Staging Table'!CX78*Rates_previous!$H$35, 0))</f>
        <v>142418.99279609381</v>
      </c>
      <c r="G76" s="408">
        <f>IF(Init!$R$9="Yes",SUMPRODUCT('Staging Table'!AJ78:AU78,LS_Demand_Rates_Restatement!$C$10:$N$10),SUMPRODUCT(LS_Demand_Rates_Restatement!$C$10:$N$10,'Staging Table'!CL78:CW78))*1000</f>
        <v>790854.14558159723</v>
      </c>
      <c r="H76" s="409">
        <f>IF(Init!$R$9="Yes",'Staging Table'!BF78,'Staging Table'!DH78)*Rates_previous!$H$33</f>
        <v>0</v>
      </c>
      <c r="I76" s="409">
        <f>IF(Init!$R$9="Yes",IF('Staging Table'!D78=1,'Staging Table'!H78*-1*('Staging Table'!F78/'Staging Table'!E78),'Staging Table'!H78*SUM(D76:H76)*(-1)),IF('Staging Table'!D78=1,'Staging Table'!BJ78*-1*('Staging Table'!BH78/'Staging Table'!BG78),'Staging Table'!BJ78*SUM(D76:H76)*(-1)))</f>
        <v>-830673.09423283825</v>
      </c>
      <c r="J76" s="407">
        <f>IF(Init!$R$9="Yes",'Staging Table'!K78,'Staging Table'!BM78)*(-1)*Rates_previous!$H$32</f>
        <v>0</v>
      </c>
      <c r="K76" s="407">
        <f>IF(Init!$R$12="No",0,'Staging Table'!$AW78*-1)</f>
        <v>0</v>
      </c>
      <c r="L76" s="407">
        <f>IF('Staging Table'!C78=1,"",SUM(D76:K76))</f>
        <v>15342868.460144853</v>
      </c>
      <c r="M76" s="407">
        <f>IF('Staging Table'!C78=1,"",IF(Init!$R$9="Yes",(RT1SC!$C$3*'Staging Table'!F78*'Staging Table'!$F$2)+SUM('Staging Table'!L78:AI78)-IF(Init!$R$15="No",'Staging Table'!AV78, 0),X76))</f>
        <v>443609.56800000003</v>
      </c>
      <c r="N76" s="169">
        <f>IF('Staging Table'!C78=1,"",IF(M76=0, 0, L76/M76))</f>
        <v>34.586423663758424</v>
      </c>
      <c r="O76" s="407">
        <f>'Staging Table'!BH78*Rates_current!$E$75*100*12</f>
        <v>18408909.680640001</v>
      </c>
      <c r="P76" s="407">
        <f>'Staging Table'!BH78*Rates_current!$E$76*100*12</f>
        <v>-2589371.79648</v>
      </c>
      <c r="Q76" s="408">
        <f>SUMPRODUCT('Staging Table'!BN78:CK78, LS_Demand_Rates_Restatement!$C$5:$Z$5)-IF(Init!$R$15="No",('Staging Table'!CX78*Rates_current!$H$35), 0)</f>
        <v>285285.22213063127</v>
      </c>
      <c r="R76" s="408">
        <f>SUMPRODUCT('Staging Table'!CL78:CW78, LS_Demand_Rates_Restatement!$C$11:$N$11)*1000</f>
        <v>751354.93545985571</v>
      </c>
      <c r="S76" s="409">
        <f>'Staging Table'!DH78*Rates_current!$H$33</f>
        <v>0</v>
      </c>
      <c r="T76" s="409">
        <f>IF('Staging Table'!D78=1, 'Staging Table'!BJ78*-1*('Staging Table'!BH78/'Staging Table'!BG78),SUM(O76:S76)*'Staging Table'!BJ78*-1)</f>
        <v>-894068.39809539833</v>
      </c>
      <c r="U76" s="407">
        <f>'Staging Table'!BM78*Rates_current!$H$32*-1</f>
        <v>0</v>
      </c>
      <c r="V76" s="407">
        <f>IF(Init!$R$12="No",0,'Staging Table'!$CY78*-1)</f>
        <v>0</v>
      </c>
      <c r="W76" s="407">
        <f>IF('Staging Table'!C78=1,"",SUM(O76:V76))</f>
        <v>15962109.643655088</v>
      </c>
      <c r="X76" s="407">
        <f>IF('Staging Table'!C78=1,"",(RT1SC!$C$4*'Staging Table'!BH78*'Staging Table'!$BH$2)+SUM('Staging Table'!BN78:CK78)-IF(Init!$R$15="No",'Staging Table'!CX78, 0))</f>
        <v>439581.75941313186</v>
      </c>
      <c r="Y76" s="169">
        <f>IF('Staging Table'!C78=1,"",IF(X76=0, 0, W76/X76))</f>
        <v>36.312038208695164</v>
      </c>
      <c r="Z76" s="160">
        <f>IF('Staging Table'!C78=1,"",Y76/N76-1)</f>
        <v>4.9892829675388883E-2</v>
      </c>
      <c r="AA76" s="97">
        <f t="shared" si="1"/>
        <v>58</v>
      </c>
      <c r="AB76" s="397"/>
      <c r="AC76" s="397"/>
      <c r="AD76" s="397"/>
    </row>
    <row r="77" spans="2:30">
      <c r="B77" s="274">
        <v>10235</v>
      </c>
      <c r="C77" s="275" t="s">
        <v>80</v>
      </c>
      <c r="D77" s="407">
        <f>IF(Init!$R$9="Yes",'Staging Table'!F79,'Staging Table'!BH79)*Rates_previous!$E$75*100*12</f>
        <v>11252063.942279998</v>
      </c>
      <c r="E77" s="407">
        <f>IF(Init!$R$9="Yes",'Staging Table'!F79,'Staging Table'!BH79)*Rates_previous!$E$76*100*12</f>
        <v>-1672737.5956799998</v>
      </c>
      <c r="F77" s="408">
        <f>IF(Init!$R$9="Yes",SUMPRODUCT('Staging Table'!L79:AI79,LS_Demand_Rates_Restatement!$C$4:$Z$4)-IF(Init!$R$15="No",('Staging Table'!AV79*Rates_previous!$H$35), 0),SUMPRODUCT('Staging Table'!BN79:CK79,LS_Demand_Rates_Restatement!$C$4:$Z$4)-IF(Init!$R$15="No", 'Staging Table'!CX79*Rates_previous!$H$35, 0))</f>
        <v>-90638.433513443044</v>
      </c>
      <c r="G77" s="408">
        <f>IF(Init!$R$9="Yes",SUMPRODUCT('Staging Table'!AJ79:AU79,LS_Demand_Rates_Restatement!$C$10:$N$10),SUMPRODUCT(LS_Demand_Rates_Restatement!$C$10:$N$10,'Staging Table'!CL79:CW79))*1000</f>
        <v>529488.7924500712</v>
      </c>
      <c r="H77" s="409">
        <f>IF(Init!$R$9="Yes",'Staging Table'!BF79,'Staging Table'!DH79)*Rates_previous!$H$33</f>
        <v>-56845.995641607544</v>
      </c>
      <c r="I77" s="409">
        <f>IF(Init!$R$9="Yes",IF('Staging Table'!D79=1,'Staging Table'!H79*-1*('Staging Table'!F79/'Staging Table'!E79),'Staging Table'!H79*SUM(D77:H77)*(-1)),IF('Staging Table'!D79=1,'Staging Table'!BJ79*-1*('Staging Table'!BH79/'Staging Table'!BG79),'Staging Table'!BJ79*SUM(D77:H77)*(-1)))</f>
        <v>0</v>
      </c>
      <c r="J77" s="407">
        <f>IF(Init!$R$9="Yes",'Staging Table'!K79,'Staging Table'!BM79)*(-1)*Rates_previous!$H$32</f>
        <v>0</v>
      </c>
      <c r="K77" s="407">
        <f>IF(Init!$R$12="No",0,'Staging Table'!$AW79*-1)</f>
        <v>0</v>
      </c>
      <c r="L77" s="407">
        <f>IF('Staging Table'!C79=1,"",SUM(D77:K77))</f>
        <v>9961330.7098950166</v>
      </c>
      <c r="M77" s="407">
        <f>IF('Staging Table'!C79=1,"",IF(Init!$R$9="Yes",(RT1SC!$C$3*'Staging Table'!F79*'Staging Table'!$F$2)+SUM('Staging Table'!L79:AI79)-IF(Init!$R$15="No",'Staging Table'!AV79, 0),X77))</f>
        <v>272407.23565631552</v>
      </c>
      <c r="N77" s="169">
        <f>IF('Staging Table'!C79=1,"",IF(M77=0, 0, L77/M77))</f>
        <v>36.567790447617917</v>
      </c>
      <c r="O77" s="407">
        <f>'Staging Table'!BH79*Rates_current!$E$75*100*12</f>
        <v>11407990.32288</v>
      </c>
      <c r="P77" s="407">
        <f>'Staging Table'!BH79*Rates_current!$E$76*100*12</f>
        <v>-1604632.1541599999</v>
      </c>
      <c r="Q77" s="408">
        <f>SUMPRODUCT('Staging Table'!BN79:CK79, LS_Demand_Rates_Restatement!$C$5:$Z$5)-IF(Init!$R$15="No",('Staging Table'!CX79*Rates_current!$H$35), 0)</f>
        <v>147929.99789879314</v>
      </c>
      <c r="R77" s="408">
        <f>SUMPRODUCT('Staging Table'!CL79:CW79, LS_Demand_Rates_Restatement!$C$11:$N$11)*1000</f>
        <v>510987.619539165</v>
      </c>
      <c r="S77" s="409">
        <f>'Staging Table'!DH79*Rates_current!$H$33</f>
        <v>-31.633078772531007</v>
      </c>
      <c r="T77" s="409">
        <f>IF('Staging Table'!D79=1, 'Staging Table'!BJ79*-1*('Staging Table'!BH79/'Staging Table'!BG79),SUM(O77:S77)*'Staging Table'!BJ79*-1)</f>
        <v>0</v>
      </c>
      <c r="U77" s="407">
        <f>'Staging Table'!BM79*Rates_current!$H$32*-1</f>
        <v>0</v>
      </c>
      <c r="V77" s="407">
        <f>IF(Init!$R$12="No",0,'Staging Table'!$CY79*-1)</f>
        <v>0</v>
      </c>
      <c r="W77" s="407">
        <f>IF('Staging Table'!C79=1,"",SUM(O77:V77))</f>
        <v>10462244.153079186</v>
      </c>
      <c r="X77" s="407">
        <f>IF('Staging Table'!C79=1,"",(RT1SC!$C$4*'Staging Table'!BH79*'Staging Table'!$BH$2)+SUM('Staging Table'!BN79:CK79)-IF(Init!$R$15="No",'Staging Table'!CX79, 0))</f>
        <v>272407.23897421395</v>
      </c>
      <c r="Y77" s="169">
        <f>IF('Staging Table'!C79=1,"",IF(X77=0, 0, W77/X77))</f>
        <v>38.406630427576637</v>
      </c>
      <c r="Z77" s="160">
        <f>IF('Staging Table'!C79=1,"",Y77/N77-1)</f>
        <v>5.0285783129084383E-2</v>
      </c>
      <c r="AA77" s="97">
        <f t="shared" si="1"/>
        <v>56</v>
      </c>
      <c r="AB77" s="397"/>
      <c r="AC77" s="397"/>
      <c r="AD77" s="397"/>
    </row>
    <row r="78" spans="2:30">
      <c r="B78" s="274">
        <v>10236</v>
      </c>
      <c r="C78" s="275" t="s">
        <v>81</v>
      </c>
      <c r="D78" s="407">
        <f>IF(Init!$R$9="Yes",'Staging Table'!F80,'Staging Table'!BH80)*Rates_previous!$E$75*100*12</f>
        <v>9710434.3971599992</v>
      </c>
      <c r="E78" s="407">
        <f>IF(Init!$R$9="Yes",'Staging Table'!F80,'Staging Table'!BH80)*Rates_previous!$E$76*100*12</f>
        <v>-1443558.1569600001</v>
      </c>
      <c r="F78" s="408">
        <f>IF(Init!$R$9="Yes",SUMPRODUCT('Staging Table'!L80:AI80,LS_Demand_Rates_Restatement!$C$4:$Z$4)-IF(Init!$R$15="No",('Staging Table'!AV80*Rates_previous!$H$35), 0),SUMPRODUCT('Staging Table'!BN80:CK80,LS_Demand_Rates_Restatement!$C$4:$Z$4)-IF(Init!$R$15="No", 'Staging Table'!CX80*Rates_previous!$H$35, 0))</f>
        <v>0</v>
      </c>
      <c r="G78" s="408">
        <f>IF(Init!$R$9="Yes",SUMPRODUCT('Staging Table'!AJ80:AU80,LS_Demand_Rates_Restatement!$C$10:$N$10),SUMPRODUCT(LS_Demand_Rates_Restatement!$C$10:$N$10,'Staging Table'!CL80:CW80))*1000</f>
        <v>0</v>
      </c>
      <c r="H78" s="409">
        <f>IF(Init!$R$9="Yes",'Staging Table'!BF80,'Staging Table'!DH80)*Rates_previous!$H$33</f>
        <v>-4.3419617242208917</v>
      </c>
      <c r="I78" s="409">
        <f>IF(Init!$R$9="Yes",IF('Staging Table'!D80=1,'Staging Table'!H80*-1*('Staging Table'!F80/'Staging Table'!E80),'Staging Table'!H80*SUM(D78:H78)*(-1)),IF('Staging Table'!D80=1,'Staging Table'!BJ80*-1*('Staging Table'!BH80/'Staging Table'!BG80),'Staging Table'!BJ80*SUM(D78:H78)*(-1)))</f>
        <v>-537346.67338548787</v>
      </c>
      <c r="J78" s="407">
        <f>IF(Init!$R$9="Yes",'Staging Table'!K80,'Staging Table'!BM80)*(-1)*Rates_previous!$H$32</f>
        <v>0</v>
      </c>
      <c r="K78" s="407">
        <f>IF(Init!$R$12="No",0,'Staging Table'!$AW80*-1)</f>
        <v>0</v>
      </c>
      <c r="L78" s="407" t="str">
        <f>IF('Staging Table'!C80=1,"",SUM(D78:K78))</f>
        <v/>
      </c>
      <c r="M78" s="407" t="str">
        <f>IF('Staging Table'!C80=1,"",IF(Init!$R$9="Yes",(RT1SC!$C$3*'Staging Table'!F80*'Staging Table'!$F$2)+SUM('Staging Table'!L80:AI80)-IF(Init!$R$15="No",'Staging Table'!AV80, 0),X78))</f>
        <v/>
      </c>
      <c r="N78" s="169" t="str">
        <f>IF('Staging Table'!C80=1,"",IF(M78=0, 0, L78/M78))</f>
        <v/>
      </c>
      <c r="O78" s="407">
        <f>'Staging Table'!BH80*Rates_current!$E$75*100*12</f>
        <v>10057691.090880001</v>
      </c>
      <c r="P78" s="407">
        <f>'Staging Table'!BH80*Rates_current!$E$76*100*12</f>
        <v>-1414700.93016</v>
      </c>
      <c r="Q78" s="408">
        <f>SUMPRODUCT('Staging Table'!BN80:CK80, LS_Demand_Rates_Restatement!$C$5:$Z$5)-IF(Init!$R$15="No",('Staging Table'!CX80*Rates_current!$H$35), 0)</f>
        <v>0</v>
      </c>
      <c r="R78" s="408">
        <f>SUMPRODUCT('Staging Table'!CL80:CW80, LS_Demand_Rates_Restatement!$C$11:$N$11)*1000</f>
        <v>0</v>
      </c>
      <c r="S78" s="409">
        <f>'Staging Table'!DH80*Rates_current!$H$33</f>
        <v>18.825818597862963</v>
      </c>
      <c r="T78" s="409">
        <f>IF('Staging Table'!D80=1, 'Staging Table'!BJ80*-1*('Staging Table'!BH80/'Staging Table'!BG80),SUM(O78:S78)*'Staging Table'!BJ80*-1)</f>
        <v>-561795.58412500902</v>
      </c>
      <c r="U78" s="407">
        <f>'Staging Table'!BM80*Rates_current!$H$32*-1</f>
        <v>0</v>
      </c>
      <c r="V78" s="407">
        <f>IF(Init!$R$12="No",0,'Staging Table'!$CY80*-1)</f>
        <v>0</v>
      </c>
      <c r="W78" s="407" t="str">
        <f>IF('Staging Table'!C80=1,"",SUM(O78:V78))</f>
        <v/>
      </c>
      <c r="X78" s="407" t="str">
        <f>IF('Staging Table'!C80=1,"",(RT1SC!$C$4*'Staging Table'!BH80*'Staging Table'!$BH$2)+SUM('Staging Table'!BN80:CK80)-IF(Init!$R$15="No",'Staging Table'!CX80, 0))</f>
        <v/>
      </c>
      <c r="Y78" s="169" t="str">
        <f>IF('Staging Table'!C80=1,"",IF(X78=0, 0, W78/X78))</f>
        <v/>
      </c>
      <c r="Z78" s="160" t="str">
        <f>IF('Staging Table'!C80=1,"",Y78/N78-1)</f>
        <v/>
      </c>
      <c r="AA78" s="97" t="str">
        <f t="shared" si="1"/>
        <v/>
      </c>
      <c r="AB78" s="397"/>
      <c r="AC78" s="397"/>
      <c r="AD78" s="397"/>
    </row>
    <row r="79" spans="2:30">
      <c r="B79" s="274">
        <v>10237</v>
      </c>
      <c r="C79" s="275" t="s">
        <v>82</v>
      </c>
      <c r="D79" s="407">
        <f>IF(Init!$R$9="Yes",'Staging Table'!F81,'Staging Table'!BH81)*Rates_previous!$E$75*100*12</f>
        <v>14562062.381160002</v>
      </c>
      <c r="E79" s="407">
        <f>IF(Init!$R$9="Yes",'Staging Table'!F81,'Staging Table'!BH81)*Rates_previous!$E$76*100*12</f>
        <v>-2164803.66096</v>
      </c>
      <c r="F79" s="408">
        <f>IF(Init!$R$9="Yes",SUMPRODUCT('Staging Table'!L81:AI81,LS_Demand_Rates_Restatement!$C$4:$Z$4)-IF(Init!$R$15="No",('Staging Table'!AV81*Rates_previous!$H$35), 0),SUMPRODUCT('Staging Table'!BN81:CK81,LS_Demand_Rates_Restatement!$C$4:$Z$4)-IF(Init!$R$15="No", 'Staging Table'!CX81*Rates_previous!$H$35, 0))</f>
        <v>-4623.471965673798</v>
      </c>
      <c r="G79" s="408">
        <f>IF(Init!$R$9="Yes",SUMPRODUCT('Staging Table'!AJ81:AU81,LS_Demand_Rates_Restatement!$C$10:$N$10),SUMPRODUCT(LS_Demand_Rates_Restatement!$C$10:$N$10,'Staging Table'!CL81:CW81))*1000</f>
        <v>0</v>
      </c>
      <c r="H79" s="409">
        <f>IF(Init!$R$9="Yes",'Staging Table'!BF81,'Staging Table'!DH81)*Rates_previous!$H$33</f>
        <v>0</v>
      </c>
      <c r="I79" s="409">
        <f>IF(Init!$R$9="Yes",IF('Staging Table'!D81=1,'Staging Table'!H81*-1*('Staging Table'!F81/'Staging Table'!E81),'Staging Table'!H81*SUM(D79:H79)*(-1)),IF('Staging Table'!D81=1,'Staging Table'!BJ81*-1*('Staging Table'!BH81/'Staging Table'!BG81),'Staging Table'!BJ81*SUM(D79:H79)*(-1)))</f>
        <v>-707696.43689439399</v>
      </c>
      <c r="J79" s="407">
        <f>IF(Init!$R$9="Yes",'Staging Table'!K81,'Staging Table'!BM81)*(-1)*Rates_previous!$H$32</f>
        <v>0</v>
      </c>
      <c r="K79" s="407">
        <f>IF(Init!$R$12="No",0,'Staging Table'!$AW81*-1)</f>
        <v>0</v>
      </c>
      <c r="L79" s="407">
        <f>IF('Staging Table'!C81=1,"",SUM(D79:K79))</f>
        <v>11684938.811339933</v>
      </c>
      <c r="M79" s="407">
        <f>IF('Staging Table'!C81=1,"",IF(Init!$R$9="Yes",(RT1SC!$C$3*'Staging Table'!F81*'Staging Table'!$F$2)+SUM('Staging Table'!L81:AI81)-IF(Init!$R$15="No",'Staging Table'!AV81, 0),X79))</f>
        <v>360854.12811756448</v>
      </c>
      <c r="N79" s="169">
        <f>IF('Staging Table'!C81=1,"",IF(M79=0, 0, L79/M79))</f>
        <v>32.381336115775397</v>
      </c>
      <c r="O79" s="407">
        <f>'Staging Table'!BH81*Rates_current!$E$75*100*12</f>
        <v>15335832.447360003</v>
      </c>
      <c r="P79" s="407">
        <f>'Staging Table'!BH81*Rates_current!$E$76*100*12</f>
        <v>-2157116.9995200005</v>
      </c>
      <c r="Q79" s="408">
        <f>SUMPRODUCT('Staging Table'!BN81:CK81, LS_Demand_Rates_Restatement!$C$5:$Z$5)-IF(Init!$R$15="No",('Staging Table'!CX81*Rates_current!$H$35), 0)</f>
        <v>-51387.215363672127</v>
      </c>
      <c r="R79" s="408">
        <f>SUMPRODUCT('Staging Table'!CL81:CW81, LS_Demand_Rates_Restatement!$C$11:$N$11)*1000</f>
        <v>0</v>
      </c>
      <c r="S79" s="409">
        <f>'Staging Table'!DH81*Rates_current!$H$33</f>
        <v>0</v>
      </c>
      <c r="T79" s="409">
        <f>IF('Staging Table'!D81=1, 'Staging Table'!BJ81*-1*('Staging Table'!BH81/'Staging Table'!BG81),SUM(O79:S79)*'Staging Table'!BJ81*-1)</f>
        <v>-718168.17688458937</v>
      </c>
      <c r="U79" s="407">
        <f>'Staging Table'!BM81*Rates_current!$H$32*-1</f>
        <v>0</v>
      </c>
      <c r="V79" s="407">
        <f>IF(Init!$R$12="No",0,'Staging Table'!$CY81*-1)</f>
        <v>0</v>
      </c>
      <c r="W79" s="407">
        <f>IF('Staging Table'!C81=1,"",SUM(O79:V79))</f>
        <v>12409160.055591742</v>
      </c>
      <c r="X79" s="407">
        <f>IF('Staging Table'!C81=1,"",(RT1SC!$C$4*'Staging Table'!BH81*'Staging Table'!$BH$2)+SUM('Staging Table'!BN81:CK81)-IF(Init!$R$15="No",'Staging Table'!CX81, 0))</f>
        <v>359572.00534256059</v>
      </c>
      <c r="Y79" s="169">
        <f>IF('Staging Table'!C81=1,"",IF(X79=0, 0, W79/X79))</f>
        <v>34.51091817832053</v>
      </c>
      <c r="Z79" s="160">
        <f>IF('Staging Table'!C81=1,"",Y79/N79-1)</f>
        <v>6.5765725507158868E-2</v>
      </c>
      <c r="AA79" s="97">
        <f t="shared" si="1"/>
        <v>9</v>
      </c>
      <c r="AB79" s="397"/>
      <c r="AC79" s="397"/>
      <c r="AD79" s="397"/>
    </row>
    <row r="80" spans="2:30">
      <c r="B80" s="274">
        <v>10239</v>
      </c>
      <c r="C80" s="275" t="s">
        <v>83</v>
      </c>
      <c r="D80" s="407">
        <f>IF(Init!$R$9="Yes",'Staging Table'!F82,'Staging Table'!BH82)*Rates_previous!$E$75*100*12</f>
        <v>4866479.9063999997</v>
      </c>
      <c r="E80" s="407">
        <f>IF(Init!$R$9="Yes",'Staging Table'!F82,'Staging Table'!BH82)*Rates_previous!$E$76*100*12</f>
        <v>-723453.39839999995</v>
      </c>
      <c r="F80" s="408">
        <f>IF(Init!$R$9="Yes",SUMPRODUCT('Staging Table'!L82:AI82,LS_Demand_Rates_Restatement!$C$4:$Z$4)-IF(Init!$R$15="No",('Staging Table'!AV82*Rates_previous!$H$35), 0),SUMPRODUCT('Staging Table'!BN82:CK82,LS_Demand_Rates_Restatement!$C$4:$Z$4)-IF(Init!$R$15="No", 'Staging Table'!CX82*Rates_previous!$H$35, 0))</f>
        <v>0</v>
      </c>
      <c r="G80" s="408">
        <f>IF(Init!$R$9="Yes",SUMPRODUCT('Staging Table'!AJ82:AU82,LS_Demand_Rates_Restatement!$C$10:$N$10),SUMPRODUCT(LS_Demand_Rates_Restatement!$C$10:$N$10,'Staging Table'!CL82:CW82))*1000</f>
        <v>0</v>
      </c>
      <c r="H80" s="409">
        <f>IF(Init!$R$9="Yes",'Staging Table'!BF82,'Staging Table'!DH82)*Rates_previous!$H$33</f>
        <v>-19.814740776090183</v>
      </c>
      <c r="I80" s="409">
        <f>IF(Init!$R$9="Yes",IF('Staging Table'!D82=1,'Staging Table'!H82*-1*('Staging Table'!F82/'Staging Table'!E82),'Staging Table'!H82*SUM(D80:H80)*(-1)),IF('Staging Table'!D82=1,'Staging Table'!BJ82*-1*('Staging Table'!BH82/'Staging Table'!BG82),'Staging Table'!BJ82*SUM(D80:H80)*(-1)))</f>
        <v>-290010.46852814569</v>
      </c>
      <c r="J80" s="407">
        <f>IF(Init!$R$9="Yes",'Staging Table'!K82,'Staging Table'!BM82)*(-1)*Rates_previous!$H$32</f>
        <v>0</v>
      </c>
      <c r="K80" s="407">
        <f>IF(Init!$R$12="No",0,'Staging Table'!$AW82*-1)</f>
        <v>0</v>
      </c>
      <c r="L80" s="407" t="str">
        <f>IF('Staging Table'!C82=1,"",SUM(D80:K80))</f>
        <v/>
      </c>
      <c r="M80" s="407" t="str">
        <f>IF('Staging Table'!C82=1,"",IF(Init!$R$9="Yes",(RT1SC!$C$3*'Staging Table'!F82*'Staging Table'!$F$2)+SUM('Staging Table'!L82:AI82)-IF(Init!$R$15="No",'Staging Table'!AV82, 0),X80))</f>
        <v/>
      </c>
      <c r="N80" s="169" t="str">
        <f>IF('Staging Table'!C82=1,"",IF(M80=0, 0, L80/M80))</f>
        <v/>
      </c>
      <c r="O80" s="407">
        <f>'Staging Table'!BH82*Rates_current!$E$75*100*12</f>
        <v>4992540.33024</v>
      </c>
      <c r="P80" s="407">
        <f>'Staging Table'!BH82*Rates_current!$E$76*100*12</f>
        <v>-702243.82368000003</v>
      </c>
      <c r="Q80" s="408">
        <f>SUMPRODUCT('Staging Table'!BN82:CK82, LS_Demand_Rates_Restatement!$C$5:$Z$5)-IF(Init!$R$15="No",('Staging Table'!CX82*Rates_current!$H$35), 0)</f>
        <v>0</v>
      </c>
      <c r="R80" s="408">
        <f>SUMPRODUCT('Staging Table'!CL82:CW82, LS_Demand_Rates_Restatement!$C$11:$N$11)*1000</f>
        <v>0</v>
      </c>
      <c r="S80" s="409">
        <f>'Staging Table'!DH82*Rates_current!$H$33</f>
        <v>13.427550504067767</v>
      </c>
      <c r="T80" s="409">
        <f>IF('Staging Table'!D82=1, 'Staging Table'!BJ82*-1*('Staging Table'!BH82/'Staging Table'!BG82),SUM(O80:S80)*'Staging Table'!BJ82*-1)</f>
        <v>-300321.69538773526</v>
      </c>
      <c r="U80" s="407">
        <f>'Staging Table'!BM82*Rates_current!$H$32*-1</f>
        <v>0</v>
      </c>
      <c r="V80" s="407">
        <f>IF(Init!$R$12="No",0,'Staging Table'!$CY82*-1)</f>
        <v>0</v>
      </c>
      <c r="W80" s="407" t="str">
        <f>IF('Staging Table'!C82=1,"",SUM(O80:V80))</f>
        <v/>
      </c>
      <c r="X80" s="407" t="str">
        <f>IF('Staging Table'!C82=1,"",(RT1SC!$C$4*'Staging Table'!BH82*'Staging Table'!$BH$2)+SUM('Staging Table'!BN82:CK82)-IF(Init!$R$15="No",'Staging Table'!CX82, 0))</f>
        <v/>
      </c>
      <c r="Y80" s="169" t="str">
        <f>IF('Staging Table'!C82=1,"",IF(X80=0, 0, W80/X80))</f>
        <v/>
      </c>
      <c r="Z80" s="160" t="str">
        <f>IF('Staging Table'!C82=1,"",Y80/N80-1)</f>
        <v/>
      </c>
      <c r="AA80" s="97" t="str">
        <f t="shared" si="1"/>
        <v/>
      </c>
      <c r="AB80" s="397"/>
      <c r="AC80" s="397"/>
      <c r="AD80" s="397"/>
    </row>
    <row r="81" spans="2:30">
      <c r="B81" s="274">
        <v>10242</v>
      </c>
      <c r="C81" s="275" t="s">
        <v>84</v>
      </c>
      <c r="D81" s="407">
        <f>IF(Init!$R$9="Yes",'Staging Table'!F83,'Staging Table'!BH83)*Rates_previous!$E$75*100*12</f>
        <v>3343662.7963199997</v>
      </c>
      <c r="E81" s="407">
        <f>IF(Init!$R$9="Yes",'Staging Table'!F83,'Staging Table'!BH83)*Rates_previous!$E$76*100*12</f>
        <v>-497070.62592000008</v>
      </c>
      <c r="F81" s="408">
        <f>IF(Init!$R$9="Yes",SUMPRODUCT('Staging Table'!L83:AI83,LS_Demand_Rates_Restatement!$C$4:$Z$4)-IF(Init!$R$15="No",('Staging Table'!AV83*Rates_previous!$H$35), 0),SUMPRODUCT('Staging Table'!BN83:CK83,LS_Demand_Rates_Restatement!$C$4:$Z$4)-IF(Init!$R$15="No", 'Staging Table'!CX83*Rates_previous!$H$35, 0))</f>
        <v>-39511.489638761384</v>
      </c>
      <c r="G81" s="408">
        <f>IF(Init!$R$9="Yes",SUMPRODUCT('Staging Table'!AJ83:AU83,LS_Demand_Rates_Restatement!$C$10:$N$10),SUMPRODUCT(LS_Demand_Rates_Restatement!$C$10:$N$10,'Staging Table'!CL83:CW83))*1000</f>
        <v>197367.12902540958</v>
      </c>
      <c r="H81" s="409">
        <f>IF(Init!$R$9="Yes",'Staging Table'!BF83,'Staging Table'!DH83)*Rates_previous!$H$33</f>
        <v>0</v>
      </c>
      <c r="I81" s="409">
        <f>IF(Init!$R$9="Yes",IF('Staging Table'!D83=1,'Staging Table'!H83*-1*('Staging Table'!F83/'Staging Table'!E83),'Staging Table'!H83*SUM(D81:H81)*(-1)),IF('Staging Table'!D83=1,'Staging Table'!BJ83*-1*('Staging Table'!BH83/'Staging Table'!BG83),'Staging Table'!BJ83*SUM(D81:H81)*(-1)))</f>
        <v>-210972.32520321844</v>
      </c>
      <c r="J81" s="407">
        <f>IF(Init!$R$9="Yes",'Staging Table'!K83,'Staging Table'!BM83)*(-1)*Rates_previous!$H$32</f>
        <v>-442068.18238000001</v>
      </c>
      <c r="K81" s="407">
        <f>IF(Init!$R$12="No",0,'Staging Table'!$AW83*-1)</f>
        <v>0</v>
      </c>
      <c r="L81" s="407">
        <f>IF('Staging Table'!C83=1,"",SUM(D81:K81))</f>
        <v>2351407.3022034294</v>
      </c>
      <c r="M81" s="407">
        <f>IF('Staging Table'!C83=1,"",IF(Init!$R$9="Yes",(RT1SC!$C$3*'Staging Table'!F83*'Staging Table'!$F$2)+SUM('Staging Table'!L83:AI83)-IF(Init!$R$15="No",'Staging Table'!AV83, 0),X81))</f>
        <v>82859.471999999994</v>
      </c>
      <c r="N81" s="169">
        <f>IF('Staging Table'!C83=1,"",IF(M81=0, 0, L81/M81))</f>
        <v>28.378255924723121</v>
      </c>
      <c r="O81" s="407">
        <f>'Staging Table'!BH83*Rates_current!$E$75*100*12</f>
        <v>3388231.9785599997</v>
      </c>
      <c r="P81" s="407">
        <f>'Staging Table'!BH83*Rates_current!$E$76*100*12</f>
        <v>-476584.02791999996</v>
      </c>
      <c r="Q81" s="408">
        <f>SUMPRODUCT('Staging Table'!BN83:CK83, LS_Demand_Rates_Restatement!$C$5:$Z$5)-IF(Init!$R$15="No",('Staging Table'!CX83*Rates_current!$H$35), 0)</f>
        <v>-61905.220984265427</v>
      </c>
      <c r="R81" s="408">
        <f>SUMPRODUCT('Staging Table'!CL83:CW83, LS_Demand_Rates_Restatement!$C$11:$N$11)*1000</f>
        <v>184799.09028383193</v>
      </c>
      <c r="S81" s="409">
        <f>'Staging Table'!DH83*Rates_current!$H$33</f>
        <v>15301.529999999941</v>
      </c>
      <c r="T81" s="409">
        <f>IF('Staging Table'!D83=1, 'Staging Table'!BJ83*-1*('Staging Table'!BH83/'Staging Table'!BG83),SUM(O81:S81)*'Staging Table'!BJ83*-1)</f>
        <v>-213489.03449576968</v>
      </c>
      <c r="U81" s="407">
        <f>'Staging Table'!BM83*Rates_current!$H$32*-1</f>
        <v>-441692.59343999997</v>
      </c>
      <c r="V81" s="407">
        <f>IF(Init!$R$12="No",0,'Staging Table'!$CY83*-1)</f>
        <v>0</v>
      </c>
      <c r="W81" s="407">
        <f>IF('Staging Table'!C83=1,"",SUM(O81:V81))</f>
        <v>2394661.7220037971</v>
      </c>
      <c r="X81" s="407">
        <f>IF('Staging Table'!C83=1,"",(RT1SC!$C$4*'Staging Table'!BH83*'Staging Table'!$BH$2)+SUM('Staging Table'!BN83:CK83)-IF(Init!$R$15="No",'Staging Table'!CX83, 0))</f>
        <v>82107.48</v>
      </c>
      <c r="Y81" s="169">
        <f>IF('Staging Table'!C83=1,"",IF(X81=0, 0, W81/X81))</f>
        <v>29.164964288318156</v>
      </c>
      <c r="Z81" s="160">
        <f>IF('Staging Table'!C83=1,"",Y81/N81-1)</f>
        <v>2.7722223863294371E-2</v>
      </c>
      <c r="AA81" s="97">
        <f t="shared" si="1"/>
        <v>108</v>
      </c>
      <c r="AB81" s="397"/>
      <c r="AC81" s="397"/>
      <c r="AD81" s="397"/>
    </row>
    <row r="82" spans="2:30">
      <c r="B82" s="274">
        <v>10244</v>
      </c>
      <c r="C82" s="275" t="s">
        <v>85</v>
      </c>
      <c r="D82" s="407">
        <f>IF(Init!$R$9="Yes",'Staging Table'!F84,'Staging Table'!BH84)*Rates_previous!$E$75*100*12</f>
        <v>30200394.072240002</v>
      </c>
      <c r="E82" s="407">
        <f>IF(Init!$R$9="Yes",'Staging Table'!F84,'Staging Table'!BH84)*Rates_previous!$E$76*100*12</f>
        <v>-4489606.0694399998</v>
      </c>
      <c r="F82" s="408">
        <f>IF(Init!$R$9="Yes",SUMPRODUCT('Staging Table'!L84:AI84,LS_Demand_Rates_Restatement!$C$4:$Z$4)-IF(Init!$R$15="No",('Staging Table'!AV84*Rates_previous!$H$35), 0),SUMPRODUCT('Staging Table'!BN84:CK84,LS_Demand_Rates_Restatement!$C$4:$Z$4)-IF(Init!$R$15="No", 'Staging Table'!CX84*Rates_previous!$H$35, 0))</f>
        <v>275338.02823846933</v>
      </c>
      <c r="G82" s="408">
        <f>IF(Init!$R$9="Yes",SUMPRODUCT('Staging Table'!AJ84:AU84,LS_Demand_Rates_Restatement!$C$10:$N$10),SUMPRODUCT(LS_Demand_Rates_Restatement!$C$10:$N$10,'Staging Table'!CL84:CW84))*1000</f>
        <v>1745449.8420375534</v>
      </c>
      <c r="H82" s="409">
        <f>IF(Init!$R$9="Yes",'Staging Table'!BF84,'Staging Table'!DH84)*Rates_previous!$H$33</f>
        <v>0</v>
      </c>
      <c r="I82" s="409">
        <f>IF(Init!$R$9="Yes",IF('Staging Table'!D84=1,'Staging Table'!H84*-1*('Staging Table'!F84/'Staging Table'!E84),'Staging Table'!H84*SUM(D82:H82)*(-1)),IF('Staging Table'!D84=1,'Staging Table'!BJ84*-1*('Staging Table'!BH84/'Staging Table'!BG84),'Staging Table'!BJ84*SUM(D82:H82)*(-1)))</f>
        <v>-1743761.4908990206</v>
      </c>
      <c r="J82" s="407">
        <f>IF(Init!$R$9="Yes",'Staging Table'!K84,'Staging Table'!BM84)*(-1)*Rates_previous!$H$32</f>
        <v>0</v>
      </c>
      <c r="K82" s="407">
        <f>IF(Init!$R$12="No",0,'Staging Table'!$AW84*-1)</f>
        <v>0</v>
      </c>
      <c r="L82" s="407">
        <f>IF('Staging Table'!C84=1,"",SUM(D82:K82))</f>
        <v>25987814.382177006</v>
      </c>
      <c r="M82" s="407">
        <f>IF('Staging Table'!C84=1,"",IF(Init!$R$9="Yes",(RT1SC!$C$3*'Staging Table'!F84*'Staging Table'!$F$2)+SUM('Staging Table'!L84:AI84)-IF(Init!$R$15="No",'Staging Table'!AV84, 0),X82))</f>
        <v>748379.23199999996</v>
      </c>
      <c r="N82" s="169">
        <f>IF('Staging Table'!C84=1,"",IF(M82=0, 0, L82/M82))</f>
        <v>34.725461732450917</v>
      </c>
      <c r="O82" s="407">
        <f>'Staging Table'!BH84*Rates_current!$E$75*100*12</f>
        <v>31056627.56256</v>
      </c>
      <c r="P82" s="407">
        <f>'Staging Table'!BH84*Rates_current!$E$76*100*12</f>
        <v>-4368382.31592</v>
      </c>
      <c r="Q82" s="408">
        <f>SUMPRODUCT('Staging Table'!BN84:CK84, LS_Demand_Rates_Restatement!$C$5:$Z$5)-IF(Init!$R$15="No",('Staging Table'!CX84*Rates_current!$H$35), 0)</f>
        <v>670490.09692243673</v>
      </c>
      <c r="R82" s="408">
        <f>SUMPRODUCT('Staging Table'!CL84:CW84, LS_Demand_Rates_Restatement!$C$11:$N$11)*1000</f>
        <v>1666096.002384705</v>
      </c>
      <c r="S82" s="409">
        <f>'Staging Table'!DH84*Rates_current!$H$33</f>
        <v>0</v>
      </c>
      <c r="T82" s="409">
        <f>IF('Staging Table'!D84=1, 'Staging Table'!BJ84*-1*('Staging Table'!BH84/'Staging Table'!BG84),SUM(O82:S82)*'Staging Table'!BJ84*-1)</f>
        <v>-1716125.6814233635</v>
      </c>
      <c r="U82" s="407">
        <f>'Staging Table'!BM84*Rates_current!$H$32*-1</f>
        <v>0</v>
      </c>
      <c r="V82" s="407">
        <f>IF(Init!$R$12="No",0,'Staging Table'!$CY84*-1)</f>
        <v>0</v>
      </c>
      <c r="W82" s="407">
        <f>IF('Staging Table'!C84=1,"",SUM(O82:V82))</f>
        <v>27308705.66452378</v>
      </c>
      <c r="X82" s="407">
        <f>IF('Staging Table'!C84=1,"",(RT1SC!$C$4*'Staging Table'!BH84*'Staging Table'!$BH$2)+SUM('Staging Table'!BN84:CK84)-IF(Init!$R$15="No",'Staging Table'!CX84, 0))</f>
        <v>741590.541819231</v>
      </c>
      <c r="Y82" s="169">
        <f>IF('Staging Table'!C84=1,"",IF(X82=0, 0, W82/X82))</f>
        <v>36.824506414997551</v>
      </c>
      <c r="Z82" s="160">
        <f>IF('Staging Table'!C84=1,"",Y82/N82-1)</f>
        <v>6.0446847293756045E-2</v>
      </c>
      <c r="AA82" s="97">
        <f t="shared" si="1"/>
        <v>15</v>
      </c>
      <c r="AB82" s="397"/>
      <c r="AC82" s="397"/>
      <c r="AD82" s="397"/>
    </row>
    <row r="83" spans="2:30">
      <c r="B83" s="274">
        <v>10246</v>
      </c>
      <c r="C83" s="275" t="s">
        <v>86</v>
      </c>
      <c r="D83" s="407">
        <f>IF(Init!$R$9="Yes",'Staging Table'!F85,'Staging Table'!BH85)*Rates_previous!$E$75*100*12</f>
        <v>3154548.31776</v>
      </c>
      <c r="E83" s="407">
        <f>IF(Init!$R$9="Yes",'Staging Table'!F85,'Staging Table'!BH85)*Rates_previous!$E$76*100*12</f>
        <v>-468956.77056000003</v>
      </c>
      <c r="F83" s="408">
        <f>IF(Init!$R$9="Yes",SUMPRODUCT('Staging Table'!L85:AI85,LS_Demand_Rates_Restatement!$C$4:$Z$4)-IF(Init!$R$15="No",('Staging Table'!AV85*Rates_previous!$H$35), 0),SUMPRODUCT('Staging Table'!BN85:CK85,LS_Demand_Rates_Restatement!$C$4:$Z$4)-IF(Init!$R$15="No", 'Staging Table'!CX85*Rates_previous!$H$35, 0))</f>
        <v>-30666.60477485826</v>
      </c>
      <c r="G83" s="408">
        <f>IF(Init!$R$9="Yes",SUMPRODUCT('Staging Table'!AJ85:AU85,LS_Demand_Rates_Restatement!$C$10:$N$10),SUMPRODUCT(LS_Demand_Rates_Restatement!$C$10:$N$10,'Staging Table'!CL85:CW85))*1000</f>
        <v>138398.44985053421</v>
      </c>
      <c r="H83" s="409">
        <f>IF(Init!$R$9="Yes",'Staging Table'!BF85,'Staging Table'!DH85)*Rates_previous!$H$33</f>
        <v>-18482.488821600491</v>
      </c>
      <c r="I83" s="409">
        <f>IF(Init!$R$9="Yes",IF('Staging Table'!D85=1,'Staging Table'!H85*-1*('Staging Table'!F85/'Staging Table'!E85),'Staging Table'!H85*SUM(D83:H83)*(-1)),IF('Staging Table'!D85=1,'Staging Table'!BJ85*-1*('Staging Table'!BH85/'Staging Table'!BG85),'Staging Table'!BJ85*SUM(D83:H83)*(-1)))</f>
        <v>-186885.53484763193</v>
      </c>
      <c r="J83" s="407">
        <f>IF(Init!$R$9="Yes",'Staging Table'!K85,'Staging Table'!BM85)*(-1)*Rates_previous!$H$32</f>
        <v>0</v>
      </c>
      <c r="K83" s="407">
        <f>IF(Init!$R$12="No",0,'Staging Table'!$AW85*-1)</f>
        <v>0</v>
      </c>
      <c r="L83" s="407">
        <f>IF('Staging Table'!C85=1,"",SUM(D83:K83))</f>
        <v>2587955.3686064431</v>
      </c>
      <c r="M83" s="407">
        <f>IF('Staging Table'!C85=1,"",IF(Init!$R$9="Yes",(RT1SC!$C$3*'Staging Table'!F85*'Staging Table'!$F$2)+SUM('Staging Table'!L85:AI85)-IF(Init!$R$15="No",'Staging Table'!AV85, 0),X83))</f>
        <v>76080.399183999936</v>
      </c>
      <c r="N83" s="169">
        <f>IF('Staging Table'!C85=1,"",IF(M83=0, 0, L83/M83))</f>
        <v>34.016059278914803</v>
      </c>
      <c r="O83" s="407">
        <f>'Staging Table'!BH85*Rates_current!$E$75*100*12</f>
        <v>3244030.2115200004</v>
      </c>
      <c r="P83" s="407">
        <f>'Staging Table'!BH85*Rates_current!$E$76*100*12</f>
        <v>-456300.80663999997</v>
      </c>
      <c r="Q83" s="408">
        <f>SUMPRODUCT('Staging Table'!BN85:CK85, LS_Demand_Rates_Restatement!$C$5:$Z$5)-IF(Init!$R$15="No",('Staging Table'!CX85*Rates_current!$H$35), 0)</f>
        <v>22603.450608949446</v>
      </c>
      <c r="R83" s="408">
        <f>SUMPRODUCT('Staging Table'!CL85:CW85, LS_Demand_Rates_Restatement!$C$11:$N$11)*1000</f>
        <v>136853.4733604879</v>
      </c>
      <c r="S83" s="409">
        <f>'Staging Table'!DH85*Rates_current!$H$33</f>
        <v>-17649.568340889335</v>
      </c>
      <c r="T83" s="409">
        <f>IF('Staging Table'!D85=1, 'Staging Table'!BJ85*-1*('Staging Table'!BH85/'Staging Table'!BG85),SUM(O83:S83)*'Staging Table'!BJ85*-1)</f>
        <v>-190721.35708566936</v>
      </c>
      <c r="U83" s="407">
        <f>'Staging Table'!BM85*Rates_current!$H$32*-1</f>
        <v>0</v>
      </c>
      <c r="V83" s="407">
        <f>IF(Init!$R$12="No",0,'Staging Table'!$CY85*-1)</f>
        <v>0</v>
      </c>
      <c r="W83" s="407">
        <f>IF('Staging Table'!C85=1,"",SUM(O83:V83))</f>
        <v>2738815.4034228791</v>
      </c>
      <c r="X83" s="407">
        <f>IF('Staging Table'!C85=1,"",(RT1SC!$C$4*'Staging Table'!BH85*'Staging Table'!$BH$2)+SUM('Staging Table'!BN85:CK85)-IF(Init!$R$15="No",'Staging Table'!CX85, 0))</f>
        <v>76080.40013012632</v>
      </c>
      <c r="Y83" s="169">
        <f>IF('Staging Table'!C85=1,"",IF(X83=0, 0, W83/X83))</f>
        <v>35.998961608225862</v>
      </c>
      <c r="Z83" s="160">
        <f>IF('Staging Table'!C85=1,"",Y83/N83-1)</f>
        <v>5.8293123052621798E-2</v>
      </c>
      <c r="AA83" s="97">
        <f t="shared" si="1"/>
        <v>26</v>
      </c>
      <c r="AB83" s="397"/>
      <c r="AC83" s="397"/>
      <c r="AD83" s="397"/>
    </row>
    <row r="84" spans="2:30">
      <c r="B84" s="274">
        <v>10247</v>
      </c>
      <c r="C84" s="275" t="s">
        <v>87</v>
      </c>
      <c r="D84" s="407">
        <f>IF(Init!$R$9="Yes",'Staging Table'!F86,'Staging Table'!BH86)*Rates_previous!$E$75*100*12</f>
        <v>28056271.541759998</v>
      </c>
      <c r="E84" s="407">
        <f>IF(Init!$R$9="Yes",'Staging Table'!F86,'Staging Table'!BH86)*Rates_previous!$E$76*100*12</f>
        <v>-4170859.7145600002</v>
      </c>
      <c r="F84" s="408">
        <f>IF(Init!$R$9="Yes",SUMPRODUCT('Staging Table'!L86:AI86,LS_Demand_Rates_Restatement!$C$4:$Z$4)-IF(Init!$R$15="No",('Staging Table'!AV86*Rates_previous!$H$35), 0),SUMPRODUCT('Staging Table'!BN86:CK86,LS_Demand_Rates_Restatement!$C$4:$Z$4)-IF(Init!$R$15="No", 'Staging Table'!CX86*Rates_previous!$H$35, 0))</f>
        <v>231423.85532013356</v>
      </c>
      <c r="G84" s="408">
        <f>IF(Init!$R$9="Yes",SUMPRODUCT('Staging Table'!AJ86:AU86,LS_Demand_Rates_Restatement!$C$10:$N$10),SUMPRODUCT(LS_Demand_Rates_Restatement!$C$10:$N$10,'Staging Table'!CL86:CW86))*1000</f>
        <v>1243952.9214656337</v>
      </c>
      <c r="H84" s="409">
        <f>IF(Init!$R$9="Yes",'Staging Table'!BF86,'Staging Table'!DH86)*Rates_previous!$H$33</f>
        <v>0</v>
      </c>
      <c r="I84" s="409">
        <f>IF(Init!$R$9="Yes",IF('Staging Table'!D86=1,'Staging Table'!H86*-1*('Staging Table'!F86/'Staging Table'!E86),'Staging Table'!H86*SUM(D84:H84)*(-1)),IF('Staging Table'!D86=1,'Staging Table'!BJ86*-1*('Staging Table'!BH86/'Staging Table'!BG86),'Staging Table'!BJ86*SUM(D84:H84)*(-1)))</f>
        <v>-1279959.0008431615</v>
      </c>
      <c r="J84" s="407">
        <f>IF(Init!$R$9="Yes",'Staging Table'!K86,'Staging Table'!BM86)*(-1)*Rates_previous!$H$32</f>
        <v>0</v>
      </c>
      <c r="K84" s="407">
        <f>IF(Init!$R$12="No",0,'Staging Table'!$AW86*-1)</f>
        <v>0</v>
      </c>
      <c r="L84" s="407">
        <f>IF('Staging Table'!C86=1,"",SUM(D84:K84))</f>
        <v>24080829.603142604</v>
      </c>
      <c r="M84" s="407">
        <f>IF('Staging Table'!C86=1,"",IF(Init!$R$9="Yes",(RT1SC!$C$3*'Staging Table'!F86*'Staging Table'!$F$2)+SUM('Staging Table'!L86:AI86)-IF(Init!$R$15="No",'Staging Table'!AV86, 0),X84))</f>
        <v>695244.81599999999</v>
      </c>
      <c r="N84" s="169">
        <f>IF('Staging Table'!C86=1,"",IF(M84=0, 0, L84/M84))</f>
        <v>34.636474877566876</v>
      </c>
      <c r="O84" s="407">
        <f>'Staging Table'!BH86*Rates_current!$E$75*100*12</f>
        <v>28851563.43936</v>
      </c>
      <c r="P84" s="407">
        <f>'Staging Table'!BH86*Rates_current!$E$76*100*12</f>
        <v>-4058221.0435199998</v>
      </c>
      <c r="Q84" s="408">
        <f>SUMPRODUCT('Staging Table'!BN86:CK86, LS_Demand_Rates_Restatement!$C$5:$Z$5)-IF(Init!$R$15="No",('Staging Table'!CX86*Rates_current!$H$35), 0)</f>
        <v>493895.2588360688</v>
      </c>
      <c r="R84" s="408">
        <f>SUMPRODUCT('Staging Table'!CL86:CW86, LS_Demand_Rates_Restatement!$C$11:$N$11)*1000</f>
        <v>1181340.7296301727</v>
      </c>
      <c r="S84" s="409">
        <f>'Staging Table'!DH86*Rates_current!$H$33</f>
        <v>0</v>
      </c>
      <c r="T84" s="409">
        <f>IF('Staging Table'!D86=1, 'Staging Table'!BJ86*-1*('Staging Table'!BH86/'Staging Table'!BG86),SUM(O84:S84)*'Staging Table'!BJ86*-1)</f>
        <v>-1356663.5670734388</v>
      </c>
      <c r="U84" s="407">
        <f>'Staging Table'!BM86*Rates_current!$H$32*-1</f>
        <v>0</v>
      </c>
      <c r="V84" s="407">
        <f>IF(Init!$R$12="No",0,'Staging Table'!$CY86*-1)</f>
        <v>0</v>
      </c>
      <c r="W84" s="407">
        <f>IF('Staging Table'!C86=1,"",SUM(O84:V84))</f>
        <v>25111914.817232803</v>
      </c>
      <c r="X84" s="407">
        <f>IF('Staging Table'!C86=1,"",(RT1SC!$C$4*'Staging Table'!BH86*'Staging Table'!$BH$2)+SUM('Staging Table'!BN86:CK86)-IF(Init!$R$15="No",'Staging Table'!CX86, 0))</f>
        <v>688938.96</v>
      </c>
      <c r="Y84" s="169">
        <f>IF('Staging Table'!C86=1,"",IF(X84=0, 0, W84/X84))</f>
        <v>36.450130236839563</v>
      </c>
      <c r="Z84" s="160">
        <f>IF('Staging Table'!C86=1,"",Y84/N84-1)</f>
        <v>5.236258498255375E-2</v>
      </c>
      <c r="AA84" s="97">
        <f t="shared" si="1"/>
        <v>46</v>
      </c>
      <c r="AB84" s="397"/>
      <c r="AC84" s="397"/>
      <c r="AD84" s="397"/>
    </row>
    <row r="85" spans="2:30">
      <c r="B85" s="274">
        <v>10256</v>
      </c>
      <c r="C85" s="275" t="s">
        <v>88</v>
      </c>
      <c r="D85" s="407">
        <f>IF(Init!$R$9="Yes",'Staging Table'!F87,'Staging Table'!BH87)*Rates_previous!$E$75*100*12</f>
        <v>16104434.522399999</v>
      </c>
      <c r="E85" s="407">
        <f>IF(Init!$R$9="Yes",'Staging Table'!F87,'Staging Table'!BH87)*Rates_previous!$E$76*100*12</f>
        <v>-2394093.4944000002</v>
      </c>
      <c r="F85" s="408">
        <f>IF(Init!$R$9="Yes",SUMPRODUCT('Staging Table'!L87:AI87,LS_Demand_Rates_Restatement!$C$4:$Z$4)-IF(Init!$R$15="No",('Staging Table'!AV87*Rates_previous!$H$35), 0),SUMPRODUCT('Staging Table'!BN87:CK87,LS_Demand_Rates_Restatement!$C$4:$Z$4)-IF(Init!$R$15="No", 'Staging Table'!CX87*Rates_previous!$H$35, 0))</f>
        <v>-159910.64202237868</v>
      </c>
      <c r="G85" s="408">
        <f>IF(Init!$R$9="Yes",SUMPRODUCT('Staging Table'!AJ87:AU87,LS_Demand_Rates_Restatement!$C$10:$N$10),SUMPRODUCT(LS_Demand_Rates_Restatement!$C$10:$N$10,'Staging Table'!CL87:CW87))*1000</f>
        <v>1037542.9013998219</v>
      </c>
      <c r="H85" s="409">
        <f>IF(Init!$R$9="Yes",'Staging Table'!BF87,'Staging Table'!DH87)*Rates_previous!$H$33</f>
        <v>-65629.069436781123</v>
      </c>
      <c r="I85" s="409">
        <f>IF(Init!$R$9="Yes",IF('Staging Table'!D87=1,'Staging Table'!H87*-1*('Staging Table'!F87/'Staging Table'!E87),'Staging Table'!H87*SUM(D85:H85)*(-1)),IF('Staging Table'!D87=1,'Staging Table'!BJ87*-1*('Staging Table'!BH87/'Staging Table'!BG87),'Staging Table'!BJ87*SUM(D85:H85)*(-1)))</f>
        <v>-943952.37416614289</v>
      </c>
      <c r="J85" s="407">
        <f>IF(Init!$R$9="Yes",'Staging Table'!K87,'Staging Table'!BM87)*(-1)*Rates_previous!$H$32</f>
        <v>-488329.22578000004</v>
      </c>
      <c r="K85" s="407">
        <f>IF(Init!$R$12="No",0,'Staging Table'!$AW87*-1)</f>
        <v>0</v>
      </c>
      <c r="L85" s="407">
        <f>IF('Staging Table'!C87=1,"",SUM(D85:K85))</f>
        <v>13090062.617994517</v>
      </c>
      <c r="M85" s="407">
        <f>IF('Staging Table'!C87=1,"",IF(Init!$R$9="Yes",(RT1SC!$C$3*'Staging Table'!F87*'Staging Table'!$F$2)+SUM('Staging Table'!L87:AI87)-IF(Init!$R$15="No",'Staging Table'!AV87, 0),X85))</f>
        <v>391658.97393934679</v>
      </c>
      <c r="N85" s="169">
        <f>IF('Staging Table'!C87=1,"",IF(M85=0, 0, L85/M85))</f>
        <v>33.42209291500027</v>
      </c>
      <c r="O85" s="407">
        <f>'Staging Table'!BH87*Rates_current!$E$75*100*12</f>
        <v>16402059.293759998</v>
      </c>
      <c r="P85" s="407">
        <f>'Staging Table'!BH87*Rates_current!$E$76*100*12</f>
        <v>-2307090.9943200001</v>
      </c>
      <c r="Q85" s="408">
        <f>SUMPRODUCT('Staging Table'!BN87:CK87, LS_Demand_Rates_Restatement!$C$5:$Z$5)-IF(Init!$R$15="No",('Staging Table'!CX87*Rates_current!$H$35), 0)</f>
        <v>104531.23260010881</v>
      </c>
      <c r="R85" s="408">
        <f>SUMPRODUCT('Staging Table'!CL87:CW87, LS_Demand_Rates_Restatement!$C$11:$N$11)*1000</f>
        <v>1003110.7547582709</v>
      </c>
      <c r="S85" s="409">
        <f>'Staging Table'!DH87*Rates_current!$H$33</f>
        <v>-7.9213964600348845</v>
      </c>
      <c r="T85" s="409">
        <f>IF('Staging Table'!D87=1, 'Staging Table'!BJ87*-1*('Staging Table'!BH87/'Staging Table'!BG87),SUM(O85:S85)*'Staging Table'!BJ87*-1)</f>
        <v>-988169.15375112474</v>
      </c>
      <c r="U85" s="407">
        <f>'Staging Table'!BM87*Rates_current!$H$32*-1</f>
        <v>-487914.33264000004</v>
      </c>
      <c r="V85" s="407">
        <f>IF(Init!$R$12="No",0,'Staging Table'!$CY87*-1)</f>
        <v>0</v>
      </c>
      <c r="W85" s="407">
        <f>IF('Staging Table'!C87=1,"",SUM(O85:V85))</f>
        <v>13726518.879010793</v>
      </c>
      <c r="X85" s="407">
        <f>IF('Staging Table'!C87=1,"",(RT1SC!$C$4*'Staging Table'!BH87*'Staging Table'!$BH$2)+SUM('Staging Table'!BN87:CK87)-IF(Init!$R$15="No",'Staging Table'!CX87, 0))</f>
        <v>391658.97871400317</v>
      </c>
      <c r="Y85" s="169">
        <f>IF('Staging Table'!C87=1,"",IF(X85=0, 0, W85/X85))</f>
        <v>35.047119113881358</v>
      </c>
      <c r="Z85" s="160">
        <f>IF('Staging Table'!C87=1,"",Y85/N85-1)</f>
        <v>4.8621317731773583E-2</v>
      </c>
      <c r="AA85" s="97">
        <f t="shared" si="1"/>
        <v>72</v>
      </c>
      <c r="AB85" s="397"/>
      <c r="AC85" s="397"/>
      <c r="AD85" s="397"/>
    </row>
    <row r="86" spans="2:30">
      <c r="B86" s="274">
        <v>10258</v>
      </c>
      <c r="C86" s="275" t="s">
        <v>89</v>
      </c>
      <c r="D86" s="407">
        <f>IF(Init!$R$9="Yes",'Staging Table'!F88,'Staging Table'!BH88)*Rates_previous!$E$75*100*12</f>
        <v>13092959.723760001</v>
      </c>
      <c r="E86" s="407">
        <f>IF(Init!$R$9="Yes",'Staging Table'!F88,'Staging Table'!BH88)*Rates_previous!$E$76*100*12</f>
        <v>-1946406.1065599998</v>
      </c>
      <c r="F86" s="408">
        <f>IF(Init!$R$9="Yes",SUMPRODUCT('Staging Table'!L88:AI88,LS_Demand_Rates_Restatement!$C$4:$Z$4)-IF(Init!$R$15="No",('Staging Table'!AV88*Rates_previous!$H$35), 0),SUMPRODUCT('Staging Table'!BN88:CK88,LS_Demand_Rates_Restatement!$C$4:$Z$4)-IF(Init!$R$15="No", 'Staging Table'!CX88*Rates_previous!$H$35, 0))</f>
        <v>279162.14215893898</v>
      </c>
      <c r="G86" s="408">
        <f>IF(Init!$R$9="Yes",SUMPRODUCT('Staging Table'!AJ88:AU88,LS_Demand_Rates_Restatement!$C$10:$N$10),SUMPRODUCT(LS_Demand_Rates_Restatement!$C$10:$N$10,'Staging Table'!CL88:CW88))*1000</f>
        <v>922483.19454636739</v>
      </c>
      <c r="H86" s="409">
        <f>IF(Init!$R$9="Yes",'Staging Table'!BF88,'Staging Table'!DH88)*Rates_previous!$H$33</f>
        <v>50219.006399999802</v>
      </c>
      <c r="I86" s="409">
        <f>IF(Init!$R$9="Yes",IF('Staging Table'!D88=1,'Staging Table'!H88*-1*('Staging Table'!F88/'Staging Table'!E88),'Staging Table'!H88*SUM(D86:H86)*(-1)),IF('Staging Table'!D88=1,'Staging Table'!BJ88*-1*('Staging Table'!BH88/'Staging Table'!BG88),'Staging Table'!BJ88*SUM(D86:H86)*(-1)))</f>
        <v>-805897.16741984512</v>
      </c>
      <c r="J86" s="407">
        <f>IF(Init!$R$9="Yes",'Staging Table'!K88,'Staging Table'!BM88)*(-1)*Rates_previous!$H$32</f>
        <v>-216415.24893999999</v>
      </c>
      <c r="K86" s="407">
        <f>IF(Init!$R$12="No",0,'Staging Table'!$AW88*-1)</f>
        <v>0</v>
      </c>
      <c r="L86" s="407">
        <f>IF('Staging Table'!C88=1,"",SUM(D86:K86))</f>
        <v>11376105.543945463</v>
      </c>
      <c r="M86" s="407">
        <f>IF('Staging Table'!C88=1,"",IF(Init!$R$9="Yes",(RT1SC!$C$3*'Staging Table'!F88*'Staging Table'!$F$2)+SUM('Staging Table'!L88:AI88)-IF(Init!$R$15="No",'Staging Table'!AV88, 0),X86))</f>
        <v>330120.288</v>
      </c>
      <c r="N86" s="169">
        <f>IF('Staging Table'!C88=1,"",IF(M86=0, 0, L86/M86))</f>
        <v>34.460485942461865</v>
      </c>
      <c r="O86" s="407">
        <f>'Staging Table'!BH88*Rates_current!$E$75*100*12</f>
        <v>13699422.642240001</v>
      </c>
      <c r="P86" s="407">
        <f>'Staging Table'!BH88*Rates_current!$E$76*100*12</f>
        <v>-1926941.8576799999</v>
      </c>
      <c r="Q86" s="408">
        <f>SUMPRODUCT('Staging Table'!BN88:CK88, LS_Demand_Rates_Restatement!$C$5:$Z$5)-IF(Init!$R$15="No",('Staging Table'!CX88*Rates_current!$H$35), 0)</f>
        <v>261299.33082045012</v>
      </c>
      <c r="R86" s="408">
        <f>SUMPRODUCT('Staging Table'!CL88:CW88, LS_Demand_Rates_Restatement!$C$11:$N$11)*1000</f>
        <v>879532.90829740907</v>
      </c>
      <c r="S86" s="409">
        <f>'Staging Table'!DH88*Rates_current!$H$33</f>
        <v>0</v>
      </c>
      <c r="T86" s="409">
        <f>IF('Staging Table'!D88=1, 'Staging Table'!BJ88*-1*('Staging Table'!BH88/'Staging Table'!BG88),SUM(O86:S86)*'Staging Table'!BJ88*-1)</f>
        <v>-878318.3001194424</v>
      </c>
      <c r="U86" s="407">
        <f>'Staging Table'!BM88*Rates_current!$H$32*-1</f>
        <v>-216231.37872000001</v>
      </c>
      <c r="V86" s="407">
        <f>IF(Init!$R$12="No",0,'Staging Table'!$CY88*-1)</f>
        <v>0</v>
      </c>
      <c r="W86" s="407">
        <f>IF('Staging Table'!C88=1,"",SUM(O86:V86))</f>
        <v>11818763.344838416</v>
      </c>
      <c r="X86" s="407">
        <f>IF('Staging Table'!C88=1,"",(RT1SC!$C$4*'Staging Table'!BH88*'Staging Table'!$BH$2)+SUM('Staging Table'!BN88:CK88)-IF(Init!$R$15="No",'Staging Table'!CX88, 0))</f>
        <v>325678.35177248268</v>
      </c>
      <c r="Y86" s="169">
        <f>IF('Staging Table'!C88=1,"",IF(X86=0, 0, W86/X86))</f>
        <v>36.289680540679434</v>
      </c>
      <c r="Z86" s="160">
        <f>IF('Staging Table'!C88=1,"",Y86/N86-1)</f>
        <v>5.3080928727231136E-2</v>
      </c>
      <c r="AA86" s="97">
        <f t="shared" si="1"/>
        <v>42</v>
      </c>
      <c r="AB86" s="397"/>
      <c r="AC86" s="397"/>
      <c r="AD86" s="397"/>
    </row>
    <row r="87" spans="2:30">
      <c r="B87" s="274">
        <v>10259</v>
      </c>
      <c r="C87" s="275" t="s">
        <v>90</v>
      </c>
      <c r="D87" s="407">
        <f>IF(Init!$R$9="Yes",'Staging Table'!F89,'Staging Table'!BH89)*Rates_previous!$E$75*100*12</f>
        <v>9427505.27544</v>
      </c>
      <c r="E87" s="407">
        <f>IF(Init!$R$9="Yes",'Staging Table'!F89,'Staging Table'!BH89)*Rates_previous!$E$76*100*12</f>
        <v>-1401497.7686400001</v>
      </c>
      <c r="F87" s="408">
        <f>IF(Init!$R$9="Yes",SUMPRODUCT('Staging Table'!L89:AI89,LS_Demand_Rates_Restatement!$C$4:$Z$4)-IF(Init!$R$15="No",('Staging Table'!AV89*Rates_previous!$H$35), 0),SUMPRODUCT('Staging Table'!BN89:CK89,LS_Demand_Rates_Restatement!$C$4:$Z$4)-IF(Init!$R$15="No", 'Staging Table'!CX89*Rates_previous!$H$35, 0))</f>
        <v>66615.064244112233</v>
      </c>
      <c r="G87" s="408">
        <f>IF(Init!$R$9="Yes",SUMPRODUCT('Staging Table'!AJ89:AU89,LS_Demand_Rates_Restatement!$C$10:$N$10),SUMPRODUCT(LS_Demand_Rates_Restatement!$C$10:$N$10,'Staging Table'!CL89:CW89))*1000</f>
        <v>674551.55147799128</v>
      </c>
      <c r="H87" s="409">
        <f>IF(Init!$R$9="Yes",'Staging Table'!BF89,'Staging Table'!DH89)*Rates_previous!$H$33</f>
        <v>6094.3361165425895</v>
      </c>
      <c r="I87" s="409">
        <f>IF(Init!$R$9="Yes",IF('Staging Table'!D89=1,'Staging Table'!H89*-1*('Staging Table'!F89/'Staging Table'!E89),'Staging Table'!H89*SUM(D87:H87)*(-1)),IF('Staging Table'!D89=1,'Staging Table'!BJ89*-1*('Staging Table'!BH89/'Staging Table'!BG89),'Staging Table'!BJ89*SUM(D87:H87)*(-1)))</f>
        <v>-570262.44981151202</v>
      </c>
      <c r="J87" s="407">
        <f>IF(Init!$R$9="Yes",'Staging Table'!K89,'Staging Table'!BM89)*(-1)*Rates_previous!$H$32</f>
        <v>0</v>
      </c>
      <c r="K87" s="407">
        <f>IF(Init!$R$12="No",0,'Staging Table'!$AW89*-1)</f>
        <v>0</v>
      </c>
      <c r="L87" s="407">
        <f>IF('Staging Table'!C89=1,"",SUM(D87:K87))</f>
        <v>8203006.008827134</v>
      </c>
      <c r="M87" s="407">
        <f>IF('Staging Table'!C89=1,"",IF(Init!$R$9="Yes",(RT1SC!$C$3*'Staging Table'!F89*'Staging Table'!$F$2)+SUM('Staging Table'!L89:AI89)-IF(Init!$R$15="No",'Staging Table'!AV89, 0),X87))</f>
        <v>234307.88954989181</v>
      </c>
      <c r="N87" s="169">
        <f>IF('Staging Table'!C89=1,"",IF(M87=0, 0, L87/M87))</f>
        <v>35.009516856582181</v>
      </c>
      <c r="O87" s="407">
        <f>'Staging Table'!BH89*Rates_current!$E$75*100*12</f>
        <v>9740752.9315200001</v>
      </c>
      <c r="P87" s="407">
        <f>'Staging Table'!BH89*Rates_current!$E$76*100*12</f>
        <v>-1370120.8466399999</v>
      </c>
      <c r="Q87" s="408">
        <f>SUMPRODUCT('Staging Table'!BN89:CK89, LS_Demand_Rates_Restatement!$C$5:$Z$5)-IF(Init!$R$15="No",('Staging Table'!CX89*Rates_current!$H$35), 0)</f>
        <v>105958.36173018135</v>
      </c>
      <c r="R87" s="408">
        <f>SUMPRODUCT('Staging Table'!CL89:CW89, LS_Demand_Rates_Restatement!$C$11:$N$11)*1000</f>
        <v>643914.65480721148</v>
      </c>
      <c r="S87" s="409">
        <f>'Staging Table'!DH89*Rates_current!$H$33</f>
        <v>0</v>
      </c>
      <c r="T87" s="409">
        <f>IF('Staging Table'!D89=1, 'Staging Table'!BJ89*-1*('Staging Table'!BH89/'Staging Table'!BG89),SUM(O87:S87)*'Staging Table'!BJ89*-1)</f>
        <v>-608506.55288535426</v>
      </c>
      <c r="U87" s="407">
        <f>'Staging Table'!BM89*Rates_current!$H$32*-1</f>
        <v>0</v>
      </c>
      <c r="V87" s="407">
        <f>IF(Init!$R$12="No",0,'Staging Table'!$CY89*-1)</f>
        <v>0</v>
      </c>
      <c r="W87" s="407">
        <f>IF('Staging Table'!C89=1,"",SUM(O87:V87))</f>
        <v>8511998.5485320389</v>
      </c>
      <c r="X87" s="407">
        <f>IF('Staging Table'!C89=1,"",(RT1SC!$C$4*'Staging Table'!BH89*'Staging Table'!$BH$2)+SUM('Staging Table'!BN89:CK89)-IF(Init!$R$15="No",'Staging Table'!CX89, 0))</f>
        <v>232595.52</v>
      </c>
      <c r="Y87" s="169">
        <f>IF('Staging Table'!C89=1,"",IF(X87=0, 0, W87/X87))</f>
        <v>36.595711510402431</v>
      </c>
      <c r="Z87" s="160">
        <f>IF('Staging Table'!C89=1,"",Y87/N87-1)</f>
        <v>4.5307527673636772E-2</v>
      </c>
      <c r="AA87" s="97">
        <f t="shared" si="1"/>
        <v>92</v>
      </c>
      <c r="AB87" s="397"/>
      <c r="AC87" s="397"/>
      <c r="AD87" s="397"/>
    </row>
    <row r="88" spans="2:30">
      <c r="B88" s="274">
        <v>10260</v>
      </c>
      <c r="C88" s="275" t="s">
        <v>91</v>
      </c>
      <c r="D88" s="407">
        <f>IF(Init!$R$9="Yes",'Staging Table'!F90,'Staging Table'!BH90)*Rates_previous!$E$75*100*12</f>
        <v>9095069.7457199991</v>
      </c>
      <c r="E88" s="407">
        <f>IF(Init!$R$9="Yes",'Staging Table'!F90,'Staging Table'!BH90)*Rates_previous!$E$76*100*12</f>
        <v>-1352077.7323200002</v>
      </c>
      <c r="F88" s="408">
        <f>IF(Init!$R$9="Yes",SUMPRODUCT('Staging Table'!L90:AI90,LS_Demand_Rates_Restatement!$C$4:$Z$4)-IF(Init!$R$15="No",('Staging Table'!AV90*Rates_previous!$H$35), 0),SUMPRODUCT('Staging Table'!BN90:CK90,LS_Demand_Rates_Restatement!$C$4:$Z$4)-IF(Init!$R$15="No", 'Staging Table'!CX90*Rates_previous!$H$35, 0))</f>
        <v>150852.67964290449</v>
      </c>
      <c r="G88" s="408">
        <f>IF(Init!$R$9="Yes",SUMPRODUCT('Staging Table'!AJ90:AU90,LS_Demand_Rates_Restatement!$C$10:$N$10),SUMPRODUCT(LS_Demand_Rates_Restatement!$C$10:$N$10,'Staging Table'!CL90:CW90))*1000</f>
        <v>456615.19791183231</v>
      </c>
      <c r="H88" s="409">
        <f>IF(Init!$R$9="Yes",'Staging Table'!BF90,'Staging Table'!DH90)*Rates_previous!$H$33</f>
        <v>28763.207999999886</v>
      </c>
      <c r="I88" s="409">
        <f>IF(Init!$R$9="Yes",IF('Staging Table'!D90=1,'Staging Table'!H90*-1*('Staging Table'!F90/'Staging Table'!E90),'Staging Table'!H90*SUM(D88:H88)*(-1)),IF('Staging Table'!D90=1,'Staging Table'!BJ90*-1*('Staging Table'!BH90/'Staging Table'!BG90),'Staging Table'!BJ90*SUM(D88:H88)*(-1)))</f>
        <v>0</v>
      </c>
      <c r="J88" s="407">
        <f>IF(Init!$R$9="Yes",'Staging Table'!K90,'Staging Table'!BM90)*(-1)*Rates_previous!$H$32</f>
        <v>0</v>
      </c>
      <c r="K88" s="407">
        <f>IF(Init!$R$12="No",0,'Staging Table'!$AW90*-1)</f>
        <v>0</v>
      </c>
      <c r="L88" s="407">
        <f>IF('Staging Table'!C90=1,"",SUM(D88:K88))</f>
        <v>8379223.0989547353</v>
      </c>
      <c r="M88" s="407">
        <f>IF('Staging Table'!C90=1,"",IF(Init!$R$9="Yes",(RT1SC!$C$3*'Staging Table'!F90*'Staging Table'!$F$2)+SUM('Staging Table'!L90:AI90)-IF(Init!$R$15="No",'Staging Table'!AV90, 0),X88))</f>
        <v>228629.95199999999</v>
      </c>
      <c r="N88" s="169">
        <f>IF('Staging Table'!C90=1,"",IF(M88=0, 0, L88/M88))</f>
        <v>36.64971726431861</v>
      </c>
      <c r="O88" s="407">
        <f>'Staging Table'!BH90*Rates_current!$E$75*100*12</f>
        <v>9488017.6790400017</v>
      </c>
      <c r="P88" s="407">
        <f>'Staging Table'!BH90*Rates_current!$E$76*100*12</f>
        <v>-1334571.4552800001</v>
      </c>
      <c r="Q88" s="408">
        <f>SUMPRODUCT('Staging Table'!BN90:CK90, LS_Demand_Rates_Restatement!$C$5:$Z$5)-IF(Init!$R$15="No",('Staging Table'!CX90*Rates_current!$H$35), 0)</f>
        <v>118422.96508464904</v>
      </c>
      <c r="R88" s="408">
        <f>SUMPRODUCT('Staging Table'!CL90:CW90, LS_Demand_Rates_Restatement!$C$11:$N$11)*1000</f>
        <v>430414.22707783122</v>
      </c>
      <c r="S88" s="409">
        <f>'Staging Table'!DH90*Rates_current!$H$33</f>
        <v>0</v>
      </c>
      <c r="T88" s="409">
        <f>IF('Staging Table'!D90=1, 'Staging Table'!BJ90*-1*('Staging Table'!BH90/'Staging Table'!BG90),SUM(O88:S88)*'Staging Table'!BJ90*-1)</f>
        <v>0</v>
      </c>
      <c r="U88" s="407">
        <f>'Staging Table'!BM90*Rates_current!$H$32*-1</f>
        <v>0</v>
      </c>
      <c r="V88" s="407">
        <f>IF(Init!$R$12="No",0,'Staging Table'!$CY90*-1)</f>
        <v>0</v>
      </c>
      <c r="W88" s="407">
        <f>IF('Staging Table'!C90=1,"",SUM(O88:V88))</f>
        <v>8702283.4159224816</v>
      </c>
      <c r="X88" s="407">
        <f>IF('Staging Table'!C90=1,"",(RT1SC!$C$4*'Staging Table'!BH90*'Staging Table'!$BH$2)+SUM('Staging Table'!BN90:CK90)-IF(Init!$R$15="No",'Staging Table'!CX90, 0))</f>
        <v>226559.88</v>
      </c>
      <c r="Y88" s="169">
        <f>IF('Staging Table'!C90=1,"",IF(X88=0, 0, W88/X88))</f>
        <v>38.410522710033575</v>
      </c>
      <c r="Z88" s="160">
        <f>IF('Staging Table'!C90=1,"",Y88/N88-1)</f>
        <v>4.8044175430222102E-2</v>
      </c>
      <c r="AA88" s="97">
        <f t="shared" si="1"/>
        <v>76</v>
      </c>
      <c r="AB88" s="397"/>
      <c r="AC88" s="397"/>
      <c r="AD88" s="397"/>
    </row>
    <row r="89" spans="2:30">
      <c r="B89" s="274">
        <v>10273</v>
      </c>
      <c r="C89" s="275" t="s">
        <v>92</v>
      </c>
      <c r="D89" s="407">
        <f>IF(Init!$R$9="Yes",'Staging Table'!F91,'Staging Table'!BH91)*Rates_previous!$E$75*100*12</f>
        <v>2064417.2135999999</v>
      </c>
      <c r="E89" s="407">
        <f>IF(Init!$R$9="Yes",'Staging Table'!F91,'Staging Table'!BH91)*Rates_previous!$E$76*100*12</f>
        <v>-306897.32160000002</v>
      </c>
      <c r="F89" s="408">
        <f>IF(Init!$R$9="Yes",SUMPRODUCT('Staging Table'!L91:AI91,LS_Demand_Rates_Restatement!$C$4:$Z$4)-IF(Init!$R$15="No",('Staging Table'!AV91*Rates_previous!$H$35), 0),SUMPRODUCT('Staging Table'!BN91:CK91,LS_Demand_Rates_Restatement!$C$4:$Z$4)-IF(Init!$R$15="No", 'Staging Table'!CX91*Rates_previous!$H$35, 0))</f>
        <v>-7064.2355641922913</v>
      </c>
      <c r="G89" s="408">
        <f>IF(Init!$R$9="Yes",SUMPRODUCT('Staging Table'!AJ91:AU91,LS_Demand_Rates_Restatement!$C$10:$N$10),SUMPRODUCT(LS_Demand_Rates_Restatement!$C$10:$N$10,'Staging Table'!CL91:CW91))*1000</f>
        <v>114150.55748870202</v>
      </c>
      <c r="H89" s="409">
        <f>IF(Init!$R$9="Yes",'Staging Table'!BF91,'Staging Table'!DH91)*Rates_previous!$H$33</f>
        <v>0</v>
      </c>
      <c r="I89" s="409">
        <f>IF(Init!$R$9="Yes",IF('Staging Table'!D91=1,'Staging Table'!H91*-1*('Staging Table'!F91/'Staging Table'!E91),'Staging Table'!H91*SUM(D89:H89)*(-1)),IF('Staging Table'!D91=1,'Staging Table'!BJ91*-1*('Staging Table'!BH91/'Staging Table'!BG91),'Staging Table'!BJ91*SUM(D89:H89)*(-1)))</f>
        <v>-154016.47327016451</v>
      </c>
      <c r="J89" s="407">
        <f>IF(Init!$R$9="Yes",'Staging Table'!K91,'Staging Table'!BM91)*(-1)*Rates_previous!$H$32</f>
        <v>-112074.23424999999</v>
      </c>
      <c r="K89" s="407">
        <f>IF(Init!$R$12="No",0,'Staging Table'!$AW91*-1)</f>
        <v>0</v>
      </c>
      <c r="L89" s="407">
        <f>IF('Staging Table'!C91=1,"",SUM(D89:K89))</f>
        <v>1598515.5064043452</v>
      </c>
      <c r="M89" s="407">
        <f>IF('Staging Table'!C91=1,"",IF(Init!$R$9="Yes",(RT1SC!$C$3*'Staging Table'!F91*'Staging Table'!$F$2)+SUM('Staging Table'!L91:AI91)-IF(Init!$R$15="No",'Staging Table'!AV91, 0),X89))</f>
        <v>51158.015999999996</v>
      </c>
      <c r="N89" s="169">
        <f>IF('Staging Table'!C91=1,"",IF(M89=0, 0, L89/M89))</f>
        <v>31.246628219599941</v>
      </c>
      <c r="O89" s="407">
        <f>'Staging Table'!BH91*Rates_current!$E$75*100*12</f>
        <v>2123027.07552</v>
      </c>
      <c r="P89" s="407">
        <f>'Staging Table'!BH91*Rates_current!$E$76*100*12</f>
        <v>-298622.05463999999</v>
      </c>
      <c r="Q89" s="408">
        <f>SUMPRODUCT('Staging Table'!BN91:CK91, LS_Demand_Rates_Restatement!$C$5:$Z$5)-IF(Init!$R$15="No",('Staging Table'!CX91*Rates_current!$H$35), 0)</f>
        <v>-86134.657508405217</v>
      </c>
      <c r="R89" s="408">
        <f>SUMPRODUCT('Staging Table'!CL91:CW91, LS_Demand_Rates_Restatement!$C$11:$N$11)*1000</f>
        <v>108772.53797894415</v>
      </c>
      <c r="S89" s="409">
        <f>'Staging Table'!DH91*Rates_current!$H$33</f>
        <v>0</v>
      </c>
      <c r="T89" s="409">
        <f>IF('Staging Table'!D91=1, 'Staging Table'!BJ91*-1*('Staging Table'!BH91/'Staging Table'!BG91),SUM(O89:S89)*'Staging Table'!BJ91*-1)</f>
        <v>-177708.06058647885</v>
      </c>
      <c r="U89" s="407">
        <f>'Staging Table'!BM91*Rates_current!$H$32*-1</f>
        <v>-111979.014</v>
      </c>
      <c r="V89" s="407">
        <f>IF(Init!$R$12="No",0,'Staging Table'!$CY91*-1)</f>
        <v>0</v>
      </c>
      <c r="W89" s="407">
        <f>IF('Staging Table'!C91=1,"",SUM(O89:V89))</f>
        <v>1557355.8267640602</v>
      </c>
      <c r="X89" s="407">
        <f>IF('Staging Table'!C91=1,"",(RT1SC!$C$4*'Staging Table'!BH91*'Staging Table'!$BH$2)+SUM('Staging Table'!BN91:CK91)-IF(Init!$R$15="No",'Staging Table'!CX91, 0))</f>
        <v>48126.727739601251</v>
      </c>
      <c r="Y89" s="169">
        <f>IF('Staging Table'!C91=1,"",IF(X89=0, 0, W89/X89))</f>
        <v>32.359478815813702</v>
      </c>
      <c r="Z89" s="160">
        <f>IF('Staging Table'!C91=1,"",Y89/N89-1)</f>
        <v>3.5615061836198558E-2</v>
      </c>
      <c r="AA89" s="97">
        <f t="shared" si="1"/>
        <v>105</v>
      </c>
      <c r="AB89" s="397"/>
      <c r="AC89" s="397"/>
      <c r="AD89" s="397"/>
    </row>
    <row r="90" spans="2:30">
      <c r="B90" s="274">
        <v>10278</v>
      </c>
      <c r="C90" s="275" t="s">
        <v>93</v>
      </c>
      <c r="D90" s="407">
        <f>IF(Init!$R$9="Yes",'Staging Table'!F92,'Staging Table'!BH92)*Rates_previous!$E$75*100*12</f>
        <v>12611014.841879999</v>
      </c>
      <c r="E90" s="407">
        <f>IF(Init!$R$9="Yes",'Staging Table'!F92,'Staging Table'!BH92)*Rates_previous!$E$76*100*12</f>
        <v>-1874759.93328</v>
      </c>
      <c r="F90" s="408">
        <f>IF(Init!$R$9="Yes",SUMPRODUCT('Staging Table'!L92:AI92,LS_Demand_Rates_Restatement!$C$4:$Z$4)-IF(Init!$R$15="No",('Staging Table'!AV92*Rates_previous!$H$35), 0),SUMPRODUCT('Staging Table'!BN92:CK92,LS_Demand_Rates_Restatement!$C$4:$Z$4)-IF(Init!$R$15="No", 'Staging Table'!CX92*Rates_previous!$H$35, 0))</f>
        <v>0</v>
      </c>
      <c r="G90" s="408">
        <f>IF(Init!$R$9="Yes",SUMPRODUCT('Staging Table'!AJ92:AU92,LS_Demand_Rates_Restatement!$C$10:$N$10),SUMPRODUCT(LS_Demand_Rates_Restatement!$C$10:$N$10,'Staging Table'!CL92:CW92))*1000</f>
        <v>0</v>
      </c>
      <c r="H90" s="409">
        <f>IF(Init!$R$9="Yes",'Staging Table'!BF92,'Staging Table'!DH92)*Rates_previous!$H$33</f>
        <v>0</v>
      </c>
      <c r="I90" s="409">
        <f>IF(Init!$R$9="Yes",IF('Staging Table'!D92=1,'Staging Table'!H92*-1*('Staging Table'!F92/'Staging Table'!E92),'Staging Table'!H92*SUM(D90:H90)*(-1)),IF('Staging Table'!D92=1,'Staging Table'!BJ92*-1*('Staging Table'!BH92/'Staging Table'!BG92),'Staging Table'!BJ92*SUM(D90:H90)*(-1)))</f>
        <v>-784498.14617140184</v>
      </c>
      <c r="J90" s="407">
        <f>IF(Init!$R$9="Yes",'Staging Table'!K92,'Staging Table'!BM92)*(-1)*Rates_previous!$H$32</f>
        <v>0</v>
      </c>
      <c r="K90" s="407">
        <f>IF(Init!$R$12="No",0,'Staging Table'!$AW92*-1)</f>
        <v>0</v>
      </c>
      <c r="L90" s="407" t="str">
        <f>IF('Staging Table'!C92=1,"",SUM(D90:K90))</f>
        <v/>
      </c>
      <c r="M90" s="407" t="str">
        <f>IF('Staging Table'!C92=1,"",IF(Init!$R$9="Yes",(RT1SC!$C$3*'Staging Table'!F92*'Staging Table'!$F$2)+SUM('Staging Table'!L92:AI92)-IF(Init!$R$15="No",'Staging Table'!AV92, 0),X90))</f>
        <v/>
      </c>
      <c r="N90" s="169" t="str">
        <f>IF('Staging Table'!C92=1,"",IF(M90=0, 0, L90/M90))</f>
        <v/>
      </c>
      <c r="O90" s="407">
        <f>'Staging Table'!BH92*Rates_current!$E$75*100*12</f>
        <v>12193456.838399999</v>
      </c>
      <c r="P90" s="407">
        <f>'Staging Table'!BH92*Rates_current!$E$76*100*12</f>
        <v>-1715114.7888000002</v>
      </c>
      <c r="Q90" s="408">
        <f>SUMPRODUCT('Staging Table'!BN92:CK92, LS_Demand_Rates_Restatement!$C$5:$Z$5)-IF(Init!$R$15="No",('Staging Table'!CX92*Rates_current!$H$35), 0)</f>
        <v>0</v>
      </c>
      <c r="R90" s="408">
        <f>SUMPRODUCT('Staging Table'!CL92:CW92, LS_Demand_Rates_Restatement!$C$11:$N$11)*1000</f>
        <v>0</v>
      </c>
      <c r="S90" s="409">
        <f>'Staging Table'!DH92*Rates_current!$H$33</f>
        <v>3.6808556400501402</v>
      </c>
      <c r="T90" s="409">
        <f>IF('Staging Table'!D92=1, 'Staging Table'!BJ92*-1*('Staging Table'!BH92/'Staging Table'!BG92),SUM(O90:S90)*'Staging Table'!BJ92*-1)</f>
        <v>-733484.2011318946</v>
      </c>
      <c r="U90" s="407">
        <f>'Staging Table'!BM92*Rates_current!$H$32*-1</f>
        <v>0</v>
      </c>
      <c r="V90" s="407">
        <f>IF(Init!$R$12="No",0,'Staging Table'!$CY92*-1)</f>
        <v>0</v>
      </c>
      <c r="W90" s="407" t="str">
        <f>IF('Staging Table'!C92=1,"",SUM(O90:V90))</f>
        <v/>
      </c>
      <c r="X90" s="407" t="str">
        <f>IF('Staging Table'!C92=1,"",(RT1SC!$C$4*'Staging Table'!BH92*'Staging Table'!$BH$2)+SUM('Staging Table'!BN92:CK92)-IF(Init!$R$15="No",'Staging Table'!CX92, 0))</f>
        <v/>
      </c>
      <c r="Y90" s="169" t="str">
        <f>IF('Staging Table'!C92=1,"",IF(X90=0, 0, W90/X90))</f>
        <v/>
      </c>
      <c r="Z90" s="160" t="str">
        <f>IF('Staging Table'!C92=1,"",Y90/N90-1)</f>
        <v/>
      </c>
      <c r="AA90" s="97" t="str">
        <f t="shared" si="1"/>
        <v/>
      </c>
      <c r="AB90" s="397"/>
      <c r="AC90" s="397"/>
      <c r="AD90" s="397"/>
    </row>
    <row r="91" spans="2:30">
      <c r="B91" s="274">
        <v>10279</v>
      </c>
      <c r="C91" s="275" t="s">
        <v>94</v>
      </c>
      <c r="D91" s="407">
        <f>IF(Init!$R$9="Yes",'Staging Table'!F93,'Staging Table'!BH93)*Rates_previous!$E$75*100*12</f>
        <v>22733590.085639998</v>
      </c>
      <c r="E91" s="407">
        <f>IF(Init!$R$9="Yes",'Staging Table'!F93,'Staging Table'!BH93)*Rates_previous!$E$76*100*12</f>
        <v>-3379587.1598400003</v>
      </c>
      <c r="F91" s="408">
        <f>IF(Init!$R$9="Yes",SUMPRODUCT('Staging Table'!L93:AI93,LS_Demand_Rates_Restatement!$C$4:$Z$4)-IF(Init!$R$15="No",('Staging Table'!AV93*Rates_previous!$H$35), 0),SUMPRODUCT('Staging Table'!BN93:CK93,LS_Demand_Rates_Restatement!$C$4:$Z$4)-IF(Init!$R$15="No", 'Staging Table'!CX93*Rates_previous!$H$35, 0))</f>
        <v>-348199.36564074404</v>
      </c>
      <c r="G91" s="408">
        <f>IF(Init!$R$9="Yes",SUMPRODUCT('Staging Table'!AJ93:AU93,LS_Demand_Rates_Restatement!$C$10:$N$10),SUMPRODUCT(LS_Demand_Rates_Restatement!$C$10:$N$10,'Staging Table'!CL93:CW93))*1000</f>
        <v>0</v>
      </c>
      <c r="H91" s="409">
        <f>IF(Init!$R$9="Yes",'Staging Table'!BF93,'Staging Table'!DH93)*Rates_previous!$H$33</f>
        <v>0</v>
      </c>
      <c r="I91" s="409">
        <f>IF(Init!$R$9="Yes",IF('Staging Table'!D93=1,'Staging Table'!H93*-1*('Staging Table'!F93/'Staging Table'!E93),'Staging Table'!H93*SUM(D91:H91)*(-1)),IF('Staging Table'!D93=1,'Staging Table'!BJ93*-1*('Staging Table'!BH93/'Staging Table'!BG93),'Staging Table'!BJ93*SUM(D91:H91)*(-1)))</f>
        <v>0</v>
      </c>
      <c r="J91" s="407">
        <f>IF(Init!$R$9="Yes",'Staging Table'!K93,'Staging Table'!BM93)*(-1)*Rates_previous!$H$32</f>
        <v>0</v>
      </c>
      <c r="K91" s="407">
        <f>IF(Init!$R$12="No",0,'Staging Table'!$AW93*-1)</f>
        <v>0</v>
      </c>
      <c r="L91" s="407">
        <f>IF('Staging Table'!C93=1,"",SUM(D91:K91))</f>
        <v>19005803.560159255</v>
      </c>
      <c r="M91" s="407">
        <f>IF('Staging Table'!C93=1,"",IF(Init!$R$9="Yes",(RT1SC!$C$3*'Staging Table'!F93*'Staging Table'!$F$2)+SUM('Staging Table'!L93:AI93)-IF(Init!$R$15="No",'Staging Table'!AV93, 0),X91))</f>
        <v>546755.74532601528</v>
      </c>
      <c r="N91" s="169">
        <f>IF('Staging Table'!C93=1,"",IF(M91=0, 0, L91/M91))</f>
        <v>34.76104955939077</v>
      </c>
      <c r="O91" s="407">
        <f>'Staging Table'!BH93*Rates_current!$E$75*100*12</f>
        <v>23377756.080960002</v>
      </c>
      <c r="P91" s="407">
        <f>'Staging Table'!BH93*Rates_current!$E$76*100*12</f>
        <v>-3288282.8647200004</v>
      </c>
      <c r="Q91" s="408">
        <f>SUMPRODUCT('Staging Table'!BN93:CK93, LS_Demand_Rates_Restatement!$C$5:$Z$5)-IF(Init!$R$15="No",('Staging Table'!CX93*Rates_current!$H$35), 0)</f>
        <v>192896.29837135156</v>
      </c>
      <c r="R91" s="408">
        <f>SUMPRODUCT('Staging Table'!CL93:CW93, LS_Demand_Rates_Restatement!$C$11:$N$11)*1000</f>
        <v>0</v>
      </c>
      <c r="S91" s="409">
        <f>'Staging Table'!DH93*Rates_current!$H$33</f>
        <v>0</v>
      </c>
      <c r="T91" s="409">
        <f>IF('Staging Table'!D93=1, 'Staging Table'!BJ93*-1*('Staging Table'!BH93/'Staging Table'!BG93),SUM(O91:S91)*'Staging Table'!BJ93*-1)</f>
        <v>0</v>
      </c>
      <c r="U91" s="407">
        <f>'Staging Table'!BM93*Rates_current!$H$32*-1</f>
        <v>0</v>
      </c>
      <c r="V91" s="407">
        <f>IF(Init!$R$12="No",0,'Staging Table'!$CY93*-1)</f>
        <v>0</v>
      </c>
      <c r="W91" s="407">
        <f>IF('Staging Table'!C93=1,"",SUM(O91:V91))</f>
        <v>20282369.514611352</v>
      </c>
      <c r="X91" s="407">
        <f>IF('Staging Table'!C93=1,"",(RT1SC!$C$4*'Staging Table'!BH93*'Staging Table'!$BH$2)+SUM('Staging Table'!BN93:CK93)-IF(Init!$R$15="No",'Staging Table'!CX93, 0))</f>
        <v>558231</v>
      </c>
      <c r="Y91" s="169">
        <f>IF('Staging Table'!C93=1,"",IF(X91=0, 0, W91/X91))</f>
        <v>36.33329126223974</v>
      </c>
      <c r="Z91" s="160">
        <f>IF('Staging Table'!C93=1,"",Y91/N91-1)</f>
        <v>4.5229983639093696E-2</v>
      </c>
      <c r="AA91" s="97">
        <f t="shared" si="1"/>
        <v>93</v>
      </c>
      <c r="AB91" s="397"/>
      <c r="AC91" s="397"/>
      <c r="AD91" s="397"/>
    </row>
    <row r="92" spans="2:30">
      <c r="B92" s="274">
        <v>10284</v>
      </c>
      <c r="C92" s="275" t="s">
        <v>95</v>
      </c>
      <c r="D92" s="407">
        <f>IF(Init!$R$9="Yes",'Staging Table'!F94,'Staging Table'!BH94)*Rates_previous!$E$75*100*12</f>
        <v>3462973.2396</v>
      </c>
      <c r="E92" s="407">
        <f>IF(Init!$R$9="Yes",'Staging Table'!F94,'Staging Table'!BH94)*Rates_previous!$E$76*100*12</f>
        <v>-514807.37760000001</v>
      </c>
      <c r="F92" s="408">
        <f>IF(Init!$R$9="Yes",SUMPRODUCT('Staging Table'!L94:AI94,LS_Demand_Rates_Restatement!$C$4:$Z$4)-IF(Init!$R$15="No",('Staging Table'!AV94*Rates_previous!$H$35), 0),SUMPRODUCT('Staging Table'!BN94:CK94,LS_Demand_Rates_Restatement!$C$4:$Z$4)-IF(Init!$R$15="No", 'Staging Table'!CX94*Rates_previous!$H$35, 0))</f>
        <v>20637.943635934625</v>
      </c>
      <c r="G92" s="408">
        <f>IF(Init!$R$9="Yes",SUMPRODUCT('Staging Table'!AJ94:AU94,LS_Demand_Rates_Restatement!$C$10:$N$10),SUMPRODUCT(LS_Demand_Rates_Restatement!$C$10:$N$10,'Staging Table'!CL94:CW94))*1000</f>
        <v>180669.70787037033</v>
      </c>
      <c r="H92" s="409">
        <f>IF(Init!$R$9="Yes",'Staging Table'!BF94,'Staging Table'!DH94)*Rates_previous!$H$33</f>
        <v>-1373.54476238962</v>
      </c>
      <c r="I92" s="409">
        <f>IF(Init!$R$9="Yes",IF('Staging Table'!D94=1,'Staging Table'!H94*-1*('Staging Table'!F94/'Staging Table'!E94),'Staging Table'!H94*SUM(D92:H92)*(-1)),IF('Staging Table'!D94=1,'Staging Table'!BJ94*-1*('Staging Table'!BH94/'Staging Table'!BG94),'Staging Table'!BJ94*SUM(D92:H92)*(-1)))</f>
        <v>-173145.49828091532</v>
      </c>
      <c r="J92" s="407">
        <f>IF(Init!$R$9="Yes",'Staging Table'!K94,'Staging Table'!BM94)*(-1)*Rates_previous!$H$32</f>
        <v>0</v>
      </c>
      <c r="K92" s="407">
        <f>IF(Init!$R$12="No",0,'Staging Table'!$AW94*-1)</f>
        <v>0</v>
      </c>
      <c r="L92" s="407">
        <f>IF('Staging Table'!C94=1,"",SUM(D92:K92))</f>
        <v>2974954.4704629993</v>
      </c>
      <c r="M92" s="407">
        <f>IF('Staging Table'!C94=1,"",IF(Init!$R$9="Yes",(RT1SC!$C$3*'Staging Table'!F94*'Staging Table'!$F$2)+SUM('Staging Table'!L94:AI94)-IF(Init!$R$15="No",'Staging Table'!AV94, 0),X92))</f>
        <v>85655.693201989881</v>
      </c>
      <c r="N92" s="169">
        <f>IF('Staging Table'!C94=1,"",IF(M92=0, 0, L92/M92))</f>
        <v>34.731543920233989</v>
      </c>
      <c r="O92" s="407">
        <f>'Staging Table'!BH94*Rates_current!$E$75*100*12</f>
        <v>3587210.0352000003</v>
      </c>
      <c r="P92" s="407">
        <f>'Staging Table'!BH94*Rates_current!$E$76*100*12</f>
        <v>-504572.00640000007</v>
      </c>
      <c r="Q92" s="408">
        <f>SUMPRODUCT('Staging Table'!BN94:CK94, LS_Demand_Rates_Restatement!$C$5:$Z$5)-IF(Init!$R$15="No",('Staging Table'!CX94*Rates_current!$H$35), 0)</f>
        <v>64302.771965535081</v>
      </c>
      <c r="R92" s="408">
        <f>SUMPRODUCT('Staging Table'!CL94:CW94, LS_Demand_Rates_Restatement!$C$11:$N$11)*1000</f>
        <v>180423.9616788016</v>
      </c>
      <c r="S92" s="409">
        <f>'Staging Table'!DH94*Rates_current!$H$33</f>
        <v>5.2816834232180554</v>
      </c>
      <c r="T92" s="409">
        <f>IF('Staging Table'!D94=1, 'Staging Table'!BJ94*-1*('Staging Table'!BH94/'Staging Table'!BG94),SUM(O92:S92)*'Staging Table'!BJ94*-1)</f>
        <v>-183005.35242702681</v>
      </c>
      <c r="U92" s="407">
        <f>'Staging Table'!BM94*Rates_current!$H$32*-1</f>
        <v>0</v>
      </c>
      <c r="V92" s="407">
        <f>IF(Init!$R$12="No",0,'Staging Table'!$CY94*-1)</f>
        <v>0</v>
      </c>
      <c r="W92" s="407">
        <f>IF('Staging Table'!C94=1,"",SUM(O92:V92))</f>
        <v>3144364.6917007333</v>
      </c>
      <c r="X92" s="407">
        <f>IF('Staging Table'!C94=1,"",(RT1SC!$C$4*'Staging Table'!BH94*'Staging Table'!$BH$2)+SUM('Staging Table'!BN94:CK94)-IF(Init!$R$15="No",'Staging Table'!CX94, 0))</f>
        <v>85655.694249680251</v>
      </c>
      <c r="Y92" s="169">
        <f>IF('Staging Table'!C94=1,"",IF(X92=0, 0, W92/X92))</f>
        <v>36.709348038615317</v>
      </c>
      <c r="Z92" s="160">
        <f>IF('Staging Table'!C94=1,"",Y92/N92-1)</f>
        <v>5.6945470749116156E-2</v>
      </c>
      <c r="AA92" s="97">
        <f t="shared" si="1"/>
        <v>32</v>
      </c>
      <c r="AB92" s="397"/>
      <c r="AC92" s="397"/>
      <c r="AD92" s="397"/>
    </row>
    <row r="93" spans="2:30">
      <c r="B93" s="274">
        <v>10285</v>
      </c>
      <c r="C93" s="275" t="s">
        <v>96</v>
      </c>
      <c r="D93" s="407">
        <f>IF(Init!$R$9="Yes",'Staging Table'!F95,'Staging Table'!BH95)*Rates_previous!$E$75*100*12</f>
        <v>2288433.7097999998</v>
      </c>
      <c r="E93" s="407">
        <f>IF(Init!$R$9="Yes",'Staging Table'!F95,'Staging Table'!BH95)*Rates_previous!$E$76*100*12</f>
        <v>-340199.72879999998</v>
      </c>
      <c r="F93" s="408">
        <f>IF(Init!$R$9="Yes",SUMPRODUCT('Staging Table'!L95:AI95,LS_Demand_Rates_Restatement!$C$4:$Z$4)-IF(Init!$R$15="No",('Staging Table'!AV95*Rates_previous!$H$35), 0),SUMPRODUCT('Staging Table'!BN95:CK95,LS_Demand_Rates_Restatement!$C$4:$Z$4)-IF(Init!$R$15="No", 'Staging Table'!CX95*Rates_previous!$H$35, 0))</f>
        <v>0</v>
      </c>
      <c r="G93" s="408">
        <f>IF(Init!$R$9="Yes",SUMPRODUCT('Staging Table'!AJ95:AU95,LS_Demand_Rates_Restatement!$C$10:$N$10),SUMPRODUCT(LS_Demand_Rates_Restatement!$C$10:$N$10,'Staging Table'!CL95:CW95))*1000</f>
        <v>0</v>
      </c>
      <c r="H93" s="409">
        <f>IF(Init!$R$9="Yes",'Staging Table'!BF95,'Staging Table'!DH95)*Rates_previous!$H$33</f>
        <v>-10.721485782043237</v>
      </c>
      <c r="I93" s="409">
        <f>IF(Init!$R$9="Yes",IF('Staging Table'!D95=1,'Staging Table'!H95*-1*('Staging Table'!F95/'Staging Table'!E95),'Staging Table'!H95*SUM(D93:H93)*(-1)),IF('Staging Table'!D95=1,'Staging Table'!BJ95*-1*('Staging Table'!BH95/'Staging Table'!BG95),'Staging Table'!BJ95*SUM(D93:H93)*(-1)))</f>
        <v>-136375.62816599527</v>
      </c>
      <c r="J93" s="407">
        <f>IF(Init!$R$9="Yes",'Staging Table'!K95,'Staging Table'!BM95)*(-1)*Rates_previous!$H$32</f>
        <v>0</v>
      </c>
      <c r="K93" s="407">
        <f>IF(Init!$R$12="No",0,'Staging Table'!$AW95*-1)</f>
        <v>0</v>
      </c>
      <c r="L93" s="407" t="str">
        <f>IF('Staging Table'!C95=1,"",SUM(D93:K93))</f>
        <v/>
      </c>
      <c r="M93" s="407" t="str">
        <f>IF('Staging Table'!C95=1,"",IF(Init!$R$9="Yes",(RT1SC!$C$3*'Staging Table'!F95*'Staging Table'!$F$2)+SUM('Staging Table'!L95:AI95)-IF(Init!$R$15="No",'Staging Table'!AV95, 0),X93))</f>
        <v/>
      </c>
      <c r="N93" s="169" t="str">
        <f>IF('Staging Table'!C95=1,"",IF(M93=0, 0, L93/M93))</f>
        <v/>
      </c>
      <c r="O93" s="407">
        <f>'Staging Table'!BH95*Rates_current!$E$75*100*12</f>
        <v>2356654.3199999998</v>
      </c>
      <c r="P93" s="407">
        <f>'Staging Table'!BH95*Rates_current!$E$76*100*12</f>
        <v>-331483.74</v>
      </c>
      <c r="Q93" s="408">
        <f>SUMPRODUCT('Staging Table'!BN95:CK95, LS_Demand_Rates_Restatement!$C$5:$Z$5)-IF(Init!$R$15="No",('Staging Table'!CX95*Rates_current!$H$35), 0)</f>
        <v>0</v>
      </c>
      <c r="R93" s="408">
        <f>SUMPRODUCT('Staging Table'!CL95:CW95, LS_Demand_Rates_Restatement!$C$11:$N$11)*1000</f>
        <v>0</v>
      </c>
      <c r="S93" s="409">
        <f>'Staging Table'!DH95*Rates_current!$H$33</f>
        <v>0</v>
      </c>
      <c r="T93" s="409">
        <f>IF('Staging Table'!D95=1, 'Staging Table'!BJ95*-1*('Staging Table'!BH95/'Staging Table'!BG95),SUM(O93:S93)*'Staging Table'!BJ95*-1)</f>
        <v>-146307.85588075966</v>
      </c>
      <c r="U93" s="407">
        <f>'Staging Table'!BM95*Rates_current!$H$32*-1</f>
        <v>0</v>
      </c>
      <c r="V93" s="407">
        <f>IF(Init!$R$12="No",0,'Staging Table'!$CY95*-1)</f>
        <v>0</v>
      </c>
      <c r="W93" s="407" t="str">
        <f>IF('Staging Table'!C95=1,"",SUM(O93:V93))</f>
        <v/>
      </c>
      <c r="X93" s="407" t="str">
        <f>IF('Staging Table'!C95=1,"",(RT1SC!$C$4*'Staging Table'!BH95*'Staging Table'!$BH$2)+SUM('Staging Table'!BN95:CK95)-IF(Init!$R$15="No",'Staging Table'!CX95, 0))</f>
        <v/>
      </c>
      <c r="Y93" s="169" t="str">
        <f>IF('Staging Table'!C95=1,"",IF(X93=0, 0, W93/X93))</f>
        <v/>
      </c>
      <c r="Z93" s="160" t="str">
        <f>IF('Staging Table'!C95=1,"",Y93/N93-1)</f>
        <v/>
      </c>
      <c r="AA93" s="97" t="str">
        <f t="shared" si="1"/>
        <v/>
      </c>
      <c r="AB93" s="397"/>
      <c r="AC93" s="397"/>
      <c r="AD93" s="397"/>
    </row>
    <row r="94" spans="2:30">
      <c r="B94" s="274">
        <v>10286</v>
      </c>
      <c r="C94" s="275" t="s">
        <v>97</v>
      </c>
      <c r="D94" s="407">
        <f>IF(Init!$R$9="Yes",'Staging Table'!F96,'Staging Table'!BH96)*Rates_previous!$E$75*100*12</f>
        <v>7167537.75024</v>
      </c>
      <c r="E94" s="407">
        <f>IF(Init!$R$9="Yes",'Staging Table'!F96,'Staging Table'!BH96)*Rates_previous!$E$76*100*12</f>
        <v>-1065529.8374399999</v>
      </c>
      <c r="F94" s="408">
        <f>IF(Init!$R$9="Yes",SUMPRODUCT('Staging Table'!L96:AI96,LS_Demand_Rates_Restatement!$C$4:$Z$4)-IF(Init!$R$15="No",('Staging Table'!AV96*Rates_previous!$H$35), 0),SUMPRODUCT('Staging Table'!BN96:CK96,LS_Demand_Rates_Restatement!$C$4:$Z$4)-IF(Init!$R$15="No", 'Staging Table'!CX96*Rates_previous!$H$35, 0))</f>
        <v>56100.182331276541</v>
      </c>
      <c r="G94" s="408">
        <f>IF(Init!$R$9="Yes",SUMPRODUCT('Staging Table'!AJ96:AU96,LS_Demand_Rates_Restatement!$C$10:$N$10),SUMPRODUCT(LS_Demand_Rates_Restatement!$C$10:$N$10,'Staging Table'!CL96:CW96))*1000</f>
        <v>0</v>
      </c>
      <c r="H94" s="409">
        <f>IF(Init!$R$9="Yes",'Staging Table'!BF96,'Staging Table'!DH96)*Rates_previous!$H$33</f>
        <v>0</v>
      </c>
      <c r="I94" s="409">
        <f>IF(Init!$R$9="Yes",IF('Staging Table'!D96=1,'Staging Table'!H96*-1*('Staging Table'!F96/'Staging Table'!E96),'Staging Table'!H96*SUM(D94:H94)*(-1)),IF('Staging Table'!D96=1,'Staging Table'!BJ96*-1*('Staging Table'!BH96/'Staging Table'!BG96),'Staging Table'!BJ96*SUM(D94:H94)*(-1)))</f>
        <v>0</v>
      </c>
      <c r="J94" s="407">
        <f>IF(Init!$R$9="Yes",'Staging Table'!K96,'Staging Table'!BM96)*(-1)*Rates_previous!$H$32</f>
        <v>-652153.93726999999</v>
      </c>
      <c r="K94" s="407">
        <f>IF(Init!$R$12="No",0,'Staging Table'!$AW96*-1)</f>
        <v>0</v>
      </c>
      <c r="L94" s="407">
        <f>IF('Staging Table'!C96=1,"",SUM(D94:K94))</f>
        <v>5505954.1578612765</v>
      </c>
      <c r="M94" s="407">
        <f>IF('Staging Table'!C96=1,"",IF(Init!$R$9="Yes",(RT1SC!$C$3*'Staging Table'!F96*'Staging Table'!$F$2)+SUM('Staging Table'!L96:AI96)-IF(Init!$R$15="No",'Staging Table'!AV96, 0),X94))</f>
        <v>177617.25855911805</v>
      </c>
      <c r="N94" s="169">
        <f>IF('Staging Table'!C96=1,"",IF(M94=0, 0, L94/M94))</f>
        <v>30.998981757331183</v>
      </c>
      <c r="O94" s="407">
        <f>'Staging Table'!BH96*Rates_current!$E$75*100*12</f>
        <v>7370595.6192000015</v>
      </c>
      <c r="P94" s="407">
        <f>'Staging Table'!BH96*Rates_current!$E$76*100*12</f>
        <v>-1036737.7944000002</v>
      </c>
      <c r="Q94" s="408">
        <f>SUMPRODUCT('Staging Table'!BN96:CK96, LS_Demand_Rates_Restatement!$C$5:$Z$5)-IF(Init!$R$15="No",('Staging Table'!CX96*Rates_current!$H$35), 0)</f>
        <v>118595.34537410646</v>
      </c>
      <c r="R94" s="408">
        <f>SUMPRODUCT('Staging Table'!CL96:CW96, LS_Demand_Rates_Restatement!$C$11:$N$11)*1000</f>
        <v>0</v>
      </c>
      <c r="S94" s="409">
        <f>'Staging Table'!DH96*Rates_current!$H$33</f>
        <v>0</v>
      </c>
      <c r="T94" s="409">
        <f>IF('Staging Table'!D96=1, 'Staging Table'!BJ96*-1*('Staging Table'!BH96/'Staging Table'!BG96),SUM(O94:S94)*'Staging Table'!BJ96*-1)</f>
        <v>0</v>
      </c>
      <c r="U94" s="407">
        <f>'Staging Table'!BM96*Rates_current!$H$32*-1</f>
        <v>-651599.85576000006</v>
      </c>
      <c r="V94" s="407">
        <f>IF(Init!$R$12="No",0,'Staging Table'!$CY96*-1)</f>
        <v>0</v>
      </c>
      <c r="W94" s="407">
        <f>IF('Staging Table'!C96=1,"",SUM(O94:V94))</f>
        <v>5800853.3144141082</v>
      </c>
      <c r="X94" s="407">
        <f>IF('Staging Table'!C96=1,"",(RT1SC!$C$4*'Staging Table'!BH96*'Staging Table'!$BH$2)+SUM('Staging Table'!BN96:CK96)-IF(Init!$R$15="No",'Staging Table'!CX96, 0))</f>
        <v>174284.00256770238</v>
      </c>
      <c r="Y94" s="169">
        <f>IF('Staging Table'!C96=1,"",IF(X94=0, 0, W94/X94))</f>
        <v>33.283911483274018</v>
      </c>
      <c r="Z94" s="160">
        <f>IF('Staging Table'!C96=1,"",Y94/N94-1)</f>
        <v>7.3709831627048583E-2</v>
      </c>
      <c r="AA94" s="97">
        <f t="shared" si="1"/>
        <v>3</v>
      </c>
      <c r="AB94" s="397"/>
      <c r="AC94" s="397"/>
      <c r="AD94" s="397"/>
    </row>
    <row r="95" spans="2:30">
      <c r="B95" s="274">
        <v>10288</v>
      </c>
      <c r="C95" s="275" t="s">
        <v>98</v>
      </c>
      <c r="D95" s="407">
        <f>IF(Init!$R$9="Yes",'Staging Table'!F97,'Staging Table'!BH97)*Rates_previous!$E$75*100*12</f>
        <v>8682186.3030000012</v>
      </c>
      <c r="E95" s="407">
        <f>IF(Init!$R$9="Yes",'Staging Table'!F97,'Staging Table'!BH97)*Rates_previous!$E$76*100*12</f>
        <v>-1290698.2680000002</v>
      </c>
      <c r="F95" s="408">
        <f>IF(Init!$R$9="Yes",SUMPRODUCT('Staging Table'!L97:AI97,LS_Demand_Rates_Restatement!$C$4:$Z$4)-IF(Init!$R$15="No",('Staging Table'!AV97*Rates_previous!$H$35), 0),SUMPRODUCT('Staging Table'!BN97:CK97,LS_Demand_Rates_Restatement!$C$4:$Z$4)-IF(Init!$R$15="No", 'Staging Table'!CX97*Rates_previous!$H$35, 0))</f>
        <v>0</v>
      </c>
      <c r="G95" s="408">
        <f>IF(Init!$R$9="Yes",SUMPRODUCT('Staging Table'!AJ97:AU97,LS_Demand_Rates_Restatement!$C$10:$N$10),SUMPRODUCT(LS_Demand_Rates_Restatement!$C$10:$N$10,'Staging Table'!CL97:CW97))*1000</f>
        <v>0</v>
      </c>
      <c r="H95" s="409">
        <f>IF(Init!$R$9="Yes",'Staging Table'!BF97,'Staging Table'!DH97)*Rates_previous!$H$33</f>
        <v>0</v>
      </c>
      <c r="I95" s="409">
        <f>IF(Init!$R$9="Yes",IF('Staging Table'!D97=1,'Staging Table'!H97*-1*('Staging Table'!F97/'Staging Table'!E97),'Staging Table'!H97*SUM(D95:H95)*(-1)),IF('Staging Table'!D97=1,'Staging Table'!BJ97*-1*('Staging Table'!BH97/'Staging Table'!BG97),'Staging Table'!BJ97*SUM(D95:H95)*(-1)))</f>
        <v>-371052.69935700006</v>
      </c>
      <c r="J95" s="407">
        <f>IF(Init!$R$9="Yes",'Staging Table'!K97,'Staging Table'!BM97)*(-1)*Rates_previous!$H$32</f>
        <v>0</v>
      </c>
      <c r="K95" s="407">
        <f>IF(Init!$R$12="No",0,'Staging Table'!$AW97*-1)</f>
        <v>0</v>
      </c>
      <c r="L95" s="407" t="str">
        <f>IF('Staging Table'!C97=1,"",SUM(D95:K95))</f>
        <v/>
      </c>
      <c r="M95" s="407" t="str">
        <f>IF('Staging Table'!C97=1,"",IF(Init!$R$9="Yes",(RT1SC!$C$3*'Staging Table'!F97*'Staging Table'!$F$2)+SUM('Staging Table'!L97:AI97)-IF(Init!$R$15="No",'Staging Table'!AV97, 0),X95))</f>
        <v/>
      </c>
      <c r="N95" s="169" t="str">
        <f>IF('Staging Table'!C97=1,"",IF(M95=0, 0, L95/M95))</f>
        <v/>
      </c>
      <c r="O95" s="407">
        <f>'Staging Table'!BH97*Rates_current!$E$75*100*12</f>
        <v>8928025.6579200011</v>
      </c>
      <c r="P95" s="407">
        <f>'Staging Table'!BH97*Rates_current!$E$76*100*12</f>
        <v>-1255803.75144</v>
      </c>
      <c r="Q95" s="408">
        <f>SUMPRODUCT('Staging Table'!BN97:CK97, LS_Demand_Rates_Restatement!$C$5:$Z$5)-IF(Init!$R$15="No",('Staging Table'!CX97*Rates_current!$H$35), 0)</f>
        <v>0</v>
      </c>
      <c r="R95" s="408">
        <f>SUMPRODUCT('Staging Table'!CL97:CW97, LS_Demand_Rates_Restatement!$C$11:$N$11)*1000</f>
        <v>0</v>
      </c>
      <c r="S95" s="409">
        <f>'Staging Table'!DH97*Rates_current!$H$33</f>
        <v>0</v>
      </c>
      <c r="T95" s="409">
        <f>IF('Staging Table'!D97=1, 'Staging Table'!BJ97*-1*('Staging Table'!BH97/'Staging Table'!BG97),SUM(O95:S95)*'Staging Table'!BJ97*-1)</f>
        <v>-430416.15701833734</v>
      </c>
      <c r="U95" s="407">
        <f>'Staging Table'!BM97*Rates_current!$H$32*-1</f>
        <v>0</v>
      </c>
      <c r="V95" s="407">
        <f>IF(Init!$R$12="No",0,'Staging Table'!$CY97*-1)</f>
        <v>0</v>
      </c>
      <c r="W95" s="407" t="str">
        <f>IF('Staging Table'!C97=1,"",SUM(O95:V95))</f>
        <v/>
      </c>
      <c r="X95" s="407" t="str">
        <f>IF('Staging Table'!C97=1,"",(RT1SC!$C$4*'Staging Table'!BH97*'Staging Table'!$BH$2)+SUM('Staging Table'!BN97:CK97)-IF(Init!$R$15="No",'Staging Table'!CX97, 0))</f>
        <v/>
      </c>
      <c r="Y95" s="169" t="str">
        <f>IF('Staging Table'!C97=1,"",IF(X95=0, 0, W95/X95))</f>
        <v/>
      </c>
      <c r="Z95" s="160" t="str">
        <f>IF('Staging Table'!C97=1,"",Y95/N95-1)</f>
        <v/>
      </c>
      <c r="AA95" s="97" t="str">
        <f t="shared" si="1"/>
        <v/>
      </c>
      <c r="AB95" s="397"/>
      <c r="AC95" s="397"/>
      <c r="AD95" s="397"/>
    </row>
    <row r="96" spans="2:30">
      <c r="B96" s="274">
        <v>10291</v>
      </c>
      <c r="C96" s="275" t="s">
        <v>99</v>
      </c>
      <c r="D96" s="407">
        <f>IF(Init!$R$9="Yes",'Staging Table'!F98,'Staging Table'!BH98)*Rates_previous!$E$75*100*12</f>
        <v>27565910.570519999</v>
      </c>
      <c r="E96" s="407">
        <f>IF(Init!$R$9="Yes",'Staging Table'!F98,'Staging Table'!BH98)*Rates_previous!$E$76*100*12</f>
        <v>-4097962.4011200001</v>
      </c>
      <c r="F96" s="408">
        <f>IF(Init!$R$9="Yes",SUMPRODUCT('Staging Table'!L98:AI98,LS_Demand_Rates_Restatement!$C$4:$Z$4)-IF(Init!$R$15="No",('Staging Table'!AV98*Rates_previous!$H$35), 0),SUMPRODUCT('Staging Table'!BN98:CK98,LS_Demand_Rates_Restatement!$C$4:$Z$4)-IF(Init!$R$15="No", 'Staging Table'!CX98*Rates_previous!$H$35, 0))</f>
        <v>257903.69531425057</v>
      </c>
      <c r="G96" s="408">
        <f>IF(Init!$R$9="Yes",SUMPRODUCT('Staging Table'!AJ98:AU98,LS_Demand_Rates_Restatement!$C$10:$N$10),SUMPRODUCT(LS_Demand_Rates_Restatement!$C$10:$N$10,'Staging Table'!CL98:CW98))*1000</f>
        <v>1516449.9562791842</v>
      </c>
      <c r="H96" s="409">
        <f>IF(Init!$R$9="Yes",'Staging Table'!BF98,'Staging Table'!DH98)*Rates_previous!$H$33</f>
        <v>45324.536979712539</v>
      </c>
      <c r="I96" s="409">
        <f>IF(Init!$R$9="Yes",IF('Staging Table'!D98=1,'Staging Table'!H98*-1*('Staging Table'!F98/'Staging Table'!E98),'Staging Table'!H98*SUM(D96:H96)*(-1)),IF('Staging Table'!D98=1,'Staging Table'!BJ98*-1*('Staging Table'!BH98/'Staging Table'!BG98),'Staging Table'!BJ98*SUM(D96:H96)*(-1)))</f>
        <v>-1264381.3178986574</v>
      </c>
      <c r="J96" s="407">
        <f>IF(Init!$R$9="Yes",'Staging Table'!K98,'Staging Table'!BM98)*(-1)*Rates_previous!$H$32</f>
        <v>-426787.27376999991</v>
      </c>
      <c r="K96" s="407">
        <f>IF(Init!$R$12="No",0,'Staging Table'!$AW98*-1)</f>
        <v>0</v>
      </c>
      <c r="L96" s="407">
        <f>IF('Staging Table'!C98=1,"",SUM(D96:K96))</f>
        <v>23596457.766304489</v>
      </c>
      <c r="M96" s="407">
        <f>IF('Staging Table'!C98=1,"",IF(Init!$R$9="Yes",(RT1SC!$C$3*'Staging Table'!F98*'Staging Table'!$F$2)+SUM('Staging Table'!L98:AI98)-IF(Init!$R$15="No",'Staging Table'!AV98, 0),X96))</f>
        <v>688217.96060787712</v>
      </c>
      <c r="N96" s="169">
        <f>IF('Staging Table'!C98=1,"",IF(M96=0, 0, L96/M96))</f>
        <v>34.286314971295752</v>
      </c>
      <c r="O96" s="407">
        <f>'Staging Table'!BH98*Rates_current!$E$75*100*12</f>
        <v>28397302.39584</v>
      </c>
      <c r="P96" s="407">
        <f>'Staging Table'!BH98*Rates_current!$E$76*100*12</f>
        <v>-3994325.3128800001</v>
      </c>
      <c r="Q96" s="408">
        <f>SUMPRODUCT('Staging Table'!BN98:CK98, LS_Demand_Rates_Restatement!$C$5:$Z$5)-IF(Init!$R$15="No",('Staging Table'!CX98*Rates_current!$H$35), 0)</f>
        <v>310156.25656419643</v>
      </c>
      <c r="R96" s="408">
        <f>SUMPRODUCT('Staging Table'!CL98:CW98, LS_Demand_Rates_Restatement!$C$11:$N$11)*1000</f>
        <v>1448112.6526966437</v>
      </c>
      <c r="S96" s="409">
        <f>'Staging Table'!DH98*Rates_current!$H$33</f>
        <v>56180.070000000356</v>
      </c>
      <c r="T96" s="409">
        <f>IF('Staging Table'!D98=1, 'Staging Table'!BJ98*-1*('Staging Table'!BH98/'Staging Table'!BG98),SUM(O96:S96)*'Staging Table'!BJ98*-1)</f>
        <v>-1310871.3031110421</v>
      </c>
      <c r="U96" s="407">
        <f>'Staging Table'!BM98*Rates_current!$H$32*-1</f>
        <v>-426424.66775999992</v>
      </c>
      <c r="V96" s="407">
        <f>IF(Init!$R$12="No",0,'Staging Table'!$CY98*-1)</f>
        <v>0</v>
      </c>
      <c r="W96" s="407">
        <f>IF('Staging Table'!C98=1,"",SUM(O96:V96))</f>
        <v>24480130.091349799</v>
      </c>
      <c r="X96" s="407">
        <f>IF('Staging Table'!C98=1,"",(RT1SC!$C$4*'Staging Table'!BH98*'Staging Table'!$BH$2)+SUM('Staging Table'!BN98:CK98)-IF(Init!$R$15="No",'Staging Table'!CX98, 0))</f>
        <v>682500.36</v>
      </c>
      <c r="Y96" s="169">
        <f>IF('Staging Table'!C98=1,"",IF(X96=0, 0, W96/X96))</f>
        <v>35.868303558623474</v>
      </c>
      <c r="Z96" s="160">
        <f>IF('Staging Table'!C98=1,"",Y96/N96-1)</f>
        <v>4.6140525415232059E-2</v>
      </c>
      <c r="AA96" s="97">
        <f t="shared" si="1"/>
        <v>86</v>
      </c>
      <c r="AB96" s="397"/>
      <c r="AC96" s="397"/>
      <c r="AD96" s="397"/>
    </row>
    <row r="97" spans="2:30">
      <c r="B97" s="274">
        <v>10294</v>
      </c>
      <c r="C97" s="275" t="s">
        <v>100</v>
      </c>
      <c r="D97" s="407">
        <f>IF(Init!$R$9="Yes",'Staging Table'!F99,'Staging Table'!BH99)*Rates_previous!$E$75*100*12</f>
        <v>5141983.0669199992</v>
      </c>
      <c r="E97" s="407">
        <f>IF(Init!$R$9="Yes",'Staging Table'!F99,'Staging Table'!BH99)*Rates_previous!$E$76*100*12</f>
        <v>-764409.83951999992</v>
      </c>
      <c r="F97" s="408">
        <f>IF(Init!$R$9="Yes",SUMPRODUCT('Staging Table'!L99:AI99,LS_Demand_Rates_Restatement!$C$4:$Z$4)-IF(Init!$R$15="No",('Staging Table'!AV99*Rates_previous!$H$35), 0),SUMPRODUCT('Staging Table'!BN99:CK99,LS_Demand_Rates_Restatement!$C$4:$Z$4)-IF(Init!$R$15="No", 'Staging Table'!CX99*Rates_previous!$H$35, 0))</f>
        <v>7824.1366026447085</v>
      </c>
      <c r="G97" s="408">
        <f>IF(Init!$R$9="Yes",SUMPRODUCT('Staging Table'!AJ99:AU99,LS_Demand_Rates_Restatement!$C$10:$N$10),SUMPRODUCT(LS_Demand_Rates_Restatement!$C$10:$N$10,'Staging Table'!CL99:CW99))*1000</f>
        <v>0</v>
      </c>
      <c r="H97" s="409">
        <f>IF(Init!$R$9="Yes",'Staging Table'!BF99,'Staging Table'!DH99)*Rates_previous!$H$33</f>
        <v>0</v>
      </c>
      <c r="I97" s="409">
        <f>IF(Init!$R$9="Yes",IF('Staging Table'!D99=1,'Staging Table'!H99*-1*('Staging Table'!F99/'Staging Table'!E99),'Staging Table'!H99*SUM(D97:H97)*(-1)),IF('Staging Table'!D99=1,'Staging Table'!BJ99*-1*('Staging Table'!BH99/'Staging Table'!BG99),'Staging Table'!BJ99*SUM(D97:H97)*(-1)))</f>
        <v>0</v>
      </c>
      <c r="J97" s="407">
        <f>IF(Init!$R$9="Yes",'Staging Table'!K99,'Staging Table'!BM99)*(-1)*Rates_previous!$H$32</f>
        <v>0</v>
      </c>
      <c r="K97" s="407">
        <f>IF(Init!$R$12="No",0,'Staging Table'!$AW99*-1)</f>
        <v>0</v>
      </c>
      <c r="L97" s="407">
        <f>IF('Staging Table'!C99=1,"",SUM(D97:K97))</f>
        <v>4385397.3640026441</v>
      </c>
      <c r="M97" s="407">
        <f>IF('Staging Table'!C99=1,"",IF(Init!$R$9="Yes",(RT1SC!$C$3*'Staging Table'!F99*'Staging Table'!$F$2)+SUM('Staging Table'!L99:AI99)-IF(Init!$R$15="No",'Staging Table'!AV99, 0),X97))</f>
        <v>127421.13422823249</v>
      </c>
      <c r="N97" s="169">
        <f>IF('Staging Table'!C99=1,"",IF(M97=0, 0, L97/M97))</f>
        <v>34.41656198215648</v>
      </c>
      <c r="O97" s="407">
        <f>'Staging Table'!BH99*Rates_current!$E$75*100*12</f>
        <v>5401451.70144</v>
      </c>
      <c r="P97" s="407">
        <f>'Staging Table'!BH99*Rates_current!$E$76*100*12</f>
        <v>-759760.73207999999</v>
      </c>
      <c r="Q97" s="408">
        <f>SUMPRODUCT('Staging Table'!BN99:CK99, LS_Demand_Rates_Restatement!$C$5:$Z$5)-IF(Init!$R$15="No",('Staging Table'!CX99*Rates_current!$H$35), 0)</f>
        <v>9357.4468474399455</v>
      </c>
      <c r="R97" s="408">
        <f>SUMPRODUCT('Staging Table'!CL99:CW99, LS_Demand_Rates_Restatement!$C$11:$N$11)*1000</f>
        <v>0</v>
      </c>
      <c r="S97" s="409">
        <f>'Staging Table'!DH99*Rates_current!$H$33</f>
        <v>0</v>
      </c>
      <c r="T97" s="409">
        <f>IF('Staging Table'!D99=1, 'Staging Table'!BJ99*-1*('Staging Table'!BH99/'Staging Table'!BG99),SUM(O97:S97)*'Staging Table'!BJ99*-1)</f>
        <v>0</v>
      </c>
      <c r="U97" s="407">
        <f>'Staging Table'!BM99*Rates_current!$H$32*-1</f>
        <v>0</v>
      </c>
      <c r="V97" s="407">
        <f>IF(Init!$R$12="No",0,'Staging Table'!$CY99*-1)</f>
        <v>0</v>
      </c>
      <c r="W97" s="407">
        <f>IF('Staging Table'!C99=1,"",SUM(O97:V97))</f>
        <v>4651048.4162074393</v>
      </c>
      <c r="X97" s="407">
        <f>IF('Staging Table'!C99=1,"",(RT1SC!$C$4*'Staging Table'!BH99*'Staging Table'!$BH$2)+SUM('Staging Table'!BN99:CK99)-IF(Init!$R$15="No",'Staging Table'!CX99, 0))</f>
        <v>126889.00188170958</v>
      </c>
      <c r="Y97" s="169">
        <f>IF('Staging Table'!C99=1,"",IF(X97=0, 0, W97/X97))</f>
        <v>36.654464510196959</v>
      </c>
      <c r="Z97" s="160">
        <f>IF('Staging Table'!C99=1,"",Y97/N97-1)</f>
        <v>6.502400004976483E-2</v>
      </c>
      <c r="AA97" s="97">
        <f t="shared" si="1"/>
        <v>10</v>
      </c>
      <c r="AB97" s="397"/>
      <c r="AC97" s="397"/>
      <c r="AD97" s="397"/>
    </row>
    <row r="98" spans="2:30">
      <c r="B98" s="274">
        <v>10304</v>
      </c>
      <c r="C98" s="275" t="s">
        <v>101</v>
      </c>
      <c r="D98" s="407">
        <f>IF(Init!$R$9="Yes",'Staging Table'!F100,'Staging Table'!BH100)*Rates_previous!$E$75*100*12</f>
        <v>4916976.4425600003</v>
      </c>
      <c r="E98" s="407">
        <f>IF(Init!$R$9="Yes",'Staging Table'!F100,'Staging Table'!BH100)*Rates_previous!$E$76*100*12</f>
        <v>-730960.23936000001</v>
      </c>
      <c r="F98" s="408">
        <f>IF(Init!$R$9="Yes",SUMPRODUCT('Staging Table'!L100:AI100,LS_Demand_Rates_Restatement!$C$4:$Z$4)-IF(Init!$R$15="No",('Staging Table'!AV100*Rates_previous!$H$35), 0),SUMPRODUCT('Staging Table'!BN100:CK100,LS_Demand_Rates_Restatement!$C$4:$Z$4)-IF(Init!$R$15="No", 'Staging Table'!CX100*Rates_previous!$H$35, 0))</f>
        <v>-36985.66787604105</v>
      </c>
      <c r="G98" s="408">
        <f>IF(Init!$R$9="Yes",SUMPRODUCT('Staging Table'!AJ100:AU100,LS_Demand_Rates_Restatement!$C$10:$N$10),SUMPRODUCT(LS_Demand_Rates_Restatement!$C$10:$N$10,'Staging Table'!CL100:CW100))*1000</f>
        <v>237921.84597475073</v>
      </c>
      <c r="H98" s="409">
        <f>IF(Init!$R$9="Yes",'Staging Table'!BF100,'Staging Table'!DH100)*Rates_previous!$H$33</f>
        <v>-24103.193711823031</v>
      </c>
      <c r="I98" s="409">
        <f>IF(Init!$R$9="Yes",IF('Staging Table'!D100=1,'Staging Table'!H100*-1*('Staging Table'!F100/'Staging Table'!E100),'Staging Table'!H100*SUM(D98:H98)*(-1)),IF('Staging Table'!D100=1,'Staging Table'!BJ100*-1*('Staging Table'!BH100/'Staging Table'!BG100),'Staging Table'!BJ100*SUM(D98:H98)*(-1)))</f>
        <v>0</v>
      </c>
      <c r="J98" s="407">
        <f>IF(Init!$R$9="Yes",'Staging Table'!K100,'Staging Table'!BM100)*(-1)*Rates_previous!$H$32</f>
        <v>0</v>
      </c>
      <c r="K98" s="407">
        <f>IF(Init!$R$12="No",0,'Staging Table'!$AW100*-1)</f>
        <v>0</v>
      </c>
      <c r="L98" s="407">
        <f>IF('Staging Table'!C100=1,"",SUM(D98:K98))</f>
        <v>4362849.1875868868</v>
      </c>
      <c r="M98" s="407">
        <f>IF('Staging Table'!C100=1,"",IF(Init!$R$9="Yes",(RT1SC!$C$3*'Staging Table'!F100*'Staging Table'!$F$2)+SUM('Staging Table'!L100:AI100)-IF(Init!$R$15="No",'Staging Table'!AV100, 0),X98))</f>
        <v>119119.33928679966</v>
      </c>
      <c r="N98" s="169">
        <f>IF('Staging Table'!C100=1,"",IF(M98=0, 0, L98/M98))</f>
        <v>36.62586792126676</v>
      </c>
      <c r="O98" s="407">
        <f>'Staging Table'!BH100*Rates_current!$E$75*100*12</f>
        <v>4988463.9551999997</v>
      </c>
      <c r="P98" s="407">
        <f>'Staging Table'!BH100*Rates_current!$E$76*100*12</f>
        <v>-701670.44640000002</v>
      </c>
      <c r="Q98" s="408">
        <f>SUMPRODUCT('Staging Table'!BN100:CK100, LS_Demand_Rates_Restatement!$C$5:$Z$5)-IF(Init!$R$15="No",('Staging Table'!CX100*Rates_current!$H$35), 0)</f>
        <v>77730.946057228401</v>
      </c>
      <c r="R98" s="408">
        <f>SUMPRODUCT('Staging Table'!CL100:CW100, LS_Demand_Rates_Restatement!$C$11:$N$11)*1000</f>
        <v>238020.36485596505</v>
      </c>
      <c r="S98" s="409">
        <f>'Staging Table'!DH100*Rates_current!$H$33</f>
        <v>10.974407416459144</v>
      </c>
      <c r="T98" s="409">
        <f>IF('Staging Table'!D100=1, 'Staging Table'!BJ100*-1*('Staging Table'!BH100/'Staging Table'!BG100),SUM(O98:S98)*'Staging Table'!BJ100*-1)</f>
        <v>0</v>
      </c>
      <c r="U98" s="407">
        <f>'Staging Table'!BM100*Rates_current!$H$32*-1</f>
        <v>0</v>
      </c>
      <c r="V98" s="407">
        <f>IF(Init!$R$12="No",0,'Staging Table'!$CY100*-1)</f>
        <v>0</v>
      </c>
      <c r="W98" s="407">
        <f>IF('Staging Table'!C100=1,"",SUM(O98:V98))</f>
        <v>4602555.7941206098</v>
      </c>
      <c r="X98" s="407">
        <f>IF('Staging Table'!C100=1,"",(RT1SC!$C$4*'Staging Table'!BH100*'Staging Table'!$BH$2)+SUM('Staging Table'!BN100:CK100)-IF(Init!$R$15="No",'Staging Table'!CX100, 0))</f>
        <v>119119.3407378366</v>
      </c>
      <c r="Y98" s="169">
        <f>IF('Staging Table'!C100=1,"",IF(X98=0, 0, W98/X98))</f>
        <v>38.638190621371294</v>
      </c>
      <c r="Z98" s="160">
        <f>IF('Staging Table'!C100=1,"",Y98/N98-1)</f>
        <v>5.4942662503735029E-2</v>
      </c>
      <c r="AA98" s="97">
        <f t="shared" si="1"/>
        <v>35</v>
      </c>
      <c r="AB98" s="397"/>
      <c r="AC98" s="397"/>
      <c r="AD98" s="397"/>
    </row>
    <row r="99" spans="2:30">
      <c r="B99" s="274">
        <v>10306</v>
      </c>
      <c r="C99" s="275" t="s">
        <v>102</v>
      </c>
      <c r="D99" s="407">
        <f>IF(Init!$R$9="Yes",'Staging Table'!F101,'Staging Table'!BH101)*Rates_previous!$E$75*100*12</f>
        <v>0</v>
      </c>
      <c r="E99" s="407">
        <f>IF(Init!$R$9="Yes",'Staging Table'!F101,'Staging Table'!BH101)*Rates_previous!$E$76*100*12</f>
        <v>0</v>
      </c>
      <c r="F99" s="408">
        <f>IF(Init!$R$9="Yes",SUMPRODUCT('Staging Table'!L101:AI101,LS_Demand_Rates_Restatement!$C$4:$Z$4)-IF(Init!$R$15="No",('Staging Table'!AV101*Rates_previous!$H$35), 0),SUMPRODUCT('Staging Table'!BN101:CK101,LS_Demand_Rates_Restatement!$C$4:$Z$4)-IF(Init!$R$15="No", 'Staging Table'!CX101*Rates_previous!$H$35, 0))</f>
        <v>0</v>
      </c>
      <c r="G99" s="408">
        <f>IF(Init!$R$9="Yes",SUMPRODUCT('Staging Table'!AJ101:AU101,LS_Demand_Rates_Restatement!$C$10:$N$10),SUMPRODUCT(LS_Demand_Rates_Restatement!$C$10:$N$10,'Staging Table'!CL101:CW101))*1000</f>
        <v>0</v>
      </c>
      <c r="H99" s="409">
        <f>IF(Init!$R$9="Yes",'Staging Table'!BF101,'Staging Table'!DH101)*Rates_previous!$H$33</f>
        <v>0</v>
      </c>
      <c r="I99" s="409">
        <v>0</v>
      </c>
      <c r="J99" s="407">
        <f>IF(Init!$R$9="Yes",'Staging Table'!K101,'Staging Table'!BM101)*(-1)*Rates_previous!$H$32</f>
        <v>0</v>
      </c>
      <c r="K99" s="407">
        <f>IF(Init!$R$12="No",0,'Staging Table'!$AW101*-1)</f>
        <v>0</v>
      </c>
      <c r="L99" s="407">
        <f>IF('Staging Table'!C101=1,"",SUM(D99:K99))</f>
        <v>0</v>
      </c>
      <c r="M99" s="407">
        <f>IF('Staging Table'!C101=1,"",IF(Init!$R$9="Yes",(RT1SC!$C$3*'Staging Table'!F101*'Staging Table'!$F$2)+SUM('Staging Table'!L101:AI101)-IF(Init!$R$15="No",'Staging Table'!AV101, 0),X99))</f>
        <v>0</v>
      </c>
      <c r="N99" s="169">
        <f>IF('Staging Table'!C101=1,"",IF(M99=0, 0, L99/M99))</f>
        <v>0</v>
      </c>
      <c r="O99" s="407">
        <f>'Staging Table'!BH101*Rates_current!$E$75*100*12</f>
        <v>0</v>
      </c>
      <c r="P99" s="407">
        <f>'Staging Table'!BH101*Rates_current!$E$76*100*12</f>
        <v>0</v>
      </c>
      <c r="Q99" s="408">
        <f>SUMPRODUCT('Staging Table'!BN101:CK101, LS_Demand_Rates_Restatement!$C$5:$Z$5)-IF(Init!$R$15="No",('Staging Table'!CX101*Rates_current!$H$35), 0)</f>
        <v>0</v>
      </c>
      <c r="R99" s="408">
        <f>SUMPRODUCT('Staging Table'!CL101:CW101, LS_Demand_Rates_Restatement!$C$11:$N$11)*1000</f>
        <v>0</v>
      </c>
      <c r="S99" s="409">
        <f>'Staging Table'!DH101*Rates_current!$H$33</f>
        <v>0</v>
      </c>
      <c r="T99" s="409">
        <v>0</v>
      </c>
      <c r="U99" s="407">
        <f>'Staging Table'!BM101*Rates_current!$H$32*-1</f>
        <v>0</v>
      </c>
      <c r="V99" s="407">
        <f>IF(Init!$R$12="No",0,'Staging Table'!$CY101*-1)</f>
        <v>0</v>
      </c>
      <c r="W99" s="407">
        <f>IF('Staging Table'!C101=1,"",SUM(O99:V99))</f>
        <v>0</v>
      </c>
      <c r="X99" s="407">
        <f>IF('Staging Table'!C101=1,"",(RT1SC!$C$4*'Staging Table'!BH101*'Staging Table'!$BH$2)+SUM('Staging Table'!BN101:CK101)-IF(Init!$R$15="No",'Staging Table'!CX101, 0))</f>
        <v>0</v>
      </c>
      <c r="Y99" s="169">
        <f>IF('Staging Table'!C101=1,"",IF(X99=0, 0, W99/X99))</f>
        <v>0</v>
      </c>
      <c r="Z99" s="160"/>
      <c r="AA99" s="97" t="str">
        <f t="shared" si="1"/>
        <v/>
      </c>
      <c r="AB99" s="397"/>
      <c r="AC99" s="397"/>
      <c r="AD99" s="397"/>
    </row>
    <row r="100" spans="2:30">
      <c r="B100" s="274">
        <v>10307</v>
      </c>
      <c r="C100" s="275" t="s">
        <v>103</v>
      </c>
      <c r="D100" s="407">
        <f>IF(Init!$R$9="Yes",'Staging Table'!F102,'Staging Table'!BH102)*Rates_previous!$E$75*100*12</f>
        <v>25268070.643200003</v>
      </c>
      <c r="E100" s="407">
        <f>IF(Init!$R$9="Yes",'Staging Table'!F102,'Staging Table'!BH102)*Rates_previous!$E$76*100*12</f>
        <v>-3756364.3392000003</v>
      </c>
      <c r="F100" s="408">
        <f>IF(Init!$R$9="Yes",SUMPRODUCT('Staging Table'!L102:AI102,LS_Demand_Rates_Restatement!$C$4:$Z$4)-IF(Init!$R$15="No",('Staging Table'!AV102*Rates_previous!$H$35), 0),SUMPRODUCT('Staging Table'!BN102:CK102,LS_Demand_Rates_Restatement!$C$4:$Z$4)-IF(Init!$R$15="No", 'Staging Table'!CX102*Rates_previous!$H$35, 0))</f>
        <v>-770754.39500223577</v>
      </c>
      <c r="G100" s="408">
        <f>IF(Init!$R$9="Yes",SUMPRODUCT('Staging Table'!AJ102:AU102,LS_Demand_Rates_Restatement!$C$10:$N$10),SUMPRODUCT(LS_Demand_Rates_Restatement!$C$10:$N$10,'Staging Table'!CL102:CW102))*1000</f>
        <v>1745470.321483013</v>
      </c>
      <c r="H100" s="409">
        <f>IF(Init!$R$9="Yes",'Staging Table'!BF102,'Staging Table'!DH102)*Rates_previous!$H$33</f>
        <v>-326955.7764064481</v>
      </c>
      <c r="I100" s="409">
        <f>IF(Init!$R$9="Yes",IF('Staging Table'!D102=1,'Staging Table'!H102*-1*('Staging Table'!F102/'Staging Table'!E102),'Staging Table'!H102*SUM(D100:H100)*(-1)),IF('Staging Table'!D102=1,'Staging Table'!BJ102*-1*('Staging Table'!BH102/'Staging Table'!BG102),'Staging Table'!BJ102*SUM(D100:H100)*(-1)))</f>
        <v>0</v>
      </c>
      <c r="J100" s="407">
        <f>IF(Init!$R$9="Yes",'Staging Table'!K102,'Staging Table'!BM102)*(-1)*Rates_previous!$H$32</f>
        <v>0</v>
      </c>
      <c r="K100" s="407">
        <f>IF(Init!$R$12="No",0,'Staging Table'!$AW102*-1)</f>
        <v>0</v>
      </c>
      <c r="L100" s="407">
        <f>IF('Staging Table'!C102=1,"",SUM(D100:K100))</f>
        <v>22159466.454074331</v>
      </c>
      <c r="M100" s="407">
        <f>IF('Staging Table'!C102=1,"",IF(Init!$R$9="Yes",(RT1SC!$C$3*'Staging Table'!F102*'Staging Table'!$F$2)+SUM('Staging Table'!L102:AI102)-IF(Init!$R$15="No",'Staging Table'!AV102, 0),X100))</f>
        <v>588784.08447384764</v>
      </c>
      <c r="N100" s="169">
        <f>IF('Staging Table'!C102=1,"",IF(M100=0, 0, L100/M100))</f>
        <v>37.635980724371294</v>
      </c>
      <c r="O100" s="407">
        <f>'Staging Table'!BH102*Rates_current!$E$75*100*12</f>
        <v>24674807.664000001</v>
      </c>
      <c r="P100" s="407">
        <f>'Staging Table'!BH102*Rates_current!$E$76*100*12</f>
        <v>-3470724.3479999998</v>
      </c>
      <c r="Q100" s="408">
        <f>SUMPRODUCT('Staging Table'!BN102:CK102, LS_Demand_Rates_Restatement!$C$5:$Z$5)-IF(Init!$R$15="No",('Staging Table'!CX102*Rates_current!$H$35), 0)</f>
        <v>397198.29791472916</v>
      </c>
      <c r="R100" s="408">
        <f>SUMPRODUCT('Staging Table'!CL102:CW102, LS_Demand_Rates_Restatement!$C$11:$N$11)*1000</f>
        <v>1697459.1110576924</v>
      </c>
      <c r="S100" s="409">
        <f>'Staging Table'!DH102*Rates_current!$H$33</f>
        <v>-8.1141511349414941</v>
      </c>
      <c r="T100" s="409">
        <f>IF('Staging Table'!D102=1, 'Staging Table'!BJ102*-1*('Staging Table'!BH102/'Staging Table'!BG102),SUM(O100:S100)*'Staging Table'!BJ102*-1)</f>
        <v>0</v>
      </c>
      <c r="U100" s="407">
        <f>'Staging Table'!BM102*Rates_current!$H$32*-1</f>
        <v>0</v>
      </c>
      <c r="V100" s="407">
        <f>IF(Init!$R$12="No",0,'Staging Table'!$CY102*-1)</f>
        <v>0</v>
      </c>
      <c r="W100" s="407">
        <f>IF('Staging Table'!C102=1,"",SUM(O100:V100))</f>
        <v>23298732.610821284</v>
      </c>
      <c r="X100" s="407">
        <f>IF('Staging Table'!C102=1,"",(RT1SC!$C$4*'Staging Table'!BH102*'Staging Table'!$BH$2)+SUM('Staging Table'!BN102:CK102)-IF(Init!$R$15="No",'Staging Table'!CX102, 0))</f>
        <v>589205.7235959894</v>
      </c>
      <c r="Y100" s="169">
        <f>IF('Staging Table'!C102=1,"",IF(X100=0, 0, W100/X100))</f>
        <v>39.542610802601295</v>
      </c>
      <c r="Z100" s="160">
        <f>IF('Staging Table'!C102=1,"",Y100/N100-1)</f>
        <v>5.0659768698291252E-2</v>
      </c>
      <c r="AA100" s="97">
        <f t="shared" si="1"/>
        <v>54</v>
      </c>
      <c r="AB100" s="397"/>
      <c r="AC100" s="397"/>
      <c r="AD100" s="397"/>
    </row>
    <row r="101" spans="2:30">
      <c r="B101" s="274">
        <v>10326</v>
      </c>
      <c r="C101" s="275" t="s">
        <v>104</v>
      </c>
      <c r="D101" s="407">
        <f>IF(Init!$R$9="Yes",'Staging Table'!F103,'Staging Table'!BH103)*Rates_previous!$E$75*100*12</f>
        <v>10157724.793439999</v>
      </c>
      <c r="E101" s="407">
        <f>IF(Init!$R$9="Yes",'Staging Table'!F103,'Staging Table'!BH103)*Rates_previous!$E$76*100*12</f>
        <v>-1510052.5766399999</v>
      </c>
      <c r="F101" s="408">
        <f>IF(Init!$R$9="Yes",SUMPRODUCT('Staging Table'!L103:AI103,LS_Demand_Rates_Restatement!$C$4:$Z$4)-IF(Init!$R$15="No",('Staging Table'!AV103*Rates_previous!$H$35), 0),SUMPRODUCT('Staging Table'!BN103:CK103,LS_Demand_Rates_Restatement!$C$4:$Z$4)-IF(Init!$R$15="No", 'Staging Table'!CX103*Rates_previous!$H$35, 0))</f>
        <v>84203.584968173396</v>
      </c>
      <c r="G101" s="408">
        <f>IF(Init!$R$9="Yes",SUMPRODUCT('Staging Table'!AJ103:AU103,LS_Demand_Rates_Restatement!$C$10:$N$10),SUMPRODUCT(LS_Demand_Rates_Restatement!$C$10:$N$10,'Staging Table'!CL103:CW103))*1000</f>
        <v>296558.84336805542</v>
      </c>
      <c r="H101" s="409">
        <f>IF(Init!$R$9="Yes",'Staging Table'!BF103,'Staging Table'!DH103)*Rates_previous!$H$33</f>
        <v>17606.434193486912</v>
      </c>
      <c r="I101" s="409">
        <f>IF(Init!$R$9="Yes",IF('Staging Table'!D103=1,'Staging Table'!H103*-1*('Staging Table'!F103/'Staging Table'!E103),'Staging Table'!H103*SUM(D101:H101)*(-1)),IF('Staging Table'!D103=1,'Staging Table'!BJ103*-1*('Staging Table'!BH103/'Staging Table'!BG103),'Staging Table'!BJ103*SUM(D101:H101)*(-1)))</f>
        <v>0</v>
      </c>
      <c r="J101" s="407">
        <f>IF(Init!$R$9="Yes",'Staging Table'!K103,'Staging Table'!BM103)*(-1)*Rates_previous!$H$32</f>
        <v>0</v>
      </c>
      <c r="K101" s="407">
        <f>IF(Init!$R$12="No",0,'Staging Table'!$AW103*-1)</f>
        <v>0</v>
      </c>
      <c r="L101" s="407">
        <f>IF('Staging Table'!C103=1,"",SUM(D101:K101))</f>
        <v>9046041.0793297142</v>
      </c>
      <c r="M101" s="407">
        <f>IF('Staging Table'!C103=1,"",IF(Init!$R$9="Yes",(RT1SC!$C$3*'Staging Table'!F103*'Staging Table'!$F$2)+SUM('Staging Table'!L103:AI103)-IF(Init!$R$15="No",'Staging Table'!AV103, 0),X101))</f>
        <v>253703.7315924844</v>
      </c>
      <c r="N101" s="169">
        <f>IF('Staging Table'!C103=1,"",IF(M101=0, 0, L101/M101))</f>
        <v>35.655924422349685</v>
      </c>
      <c r="O101" s="407">
        <f>'Staging Table'!BH103*Rates_current!$E$75*100*12</f>
        <v>10512206.907839999</v>
      </c>
      <c r="P101" s="407">
        <f>'Staging Table'!BH103*Rates_current!$E$76*100*12</f>
        <v>-1478632.4968799998</v>
      </c>
      <c r="Q101" s="408">
        <f>SUMPRODUCT('Staging Table'!BN103:CK103, LS_Demand_Rates_Restatement!$C$5:$Z$5)-IF(Init!$R$15="No",('Staging Table'!CX103*Rates_current!$H$35), 0)</f>
        <v>149948.04970474425</v>
      </c>
      <c r="R101" s="408">
        <f>SUMPRODUCT('Staging Table'!CL103:CW103, LS_Demand_Rates_Restatement!$C$11:$N$11)*1000</f>
        <v>256797.1825947293</v>
      </c>
      <c r="S101" s="409">
        <f>'Staging Table'!DH103*Rates_current!$H$33</f>
        <v>34245.666942398595</v>
      </c>
      <c r="T101" s="409">
        <f>IF('Staging Table'!D103=1, 'Staging Table'!BJ103*-1*('Staging Table'!BH103/'Staging Table'!BG103),SUM(O101:S101)*'Staging Table'!BJ103*-1)</f>
        <v>0</v>
      </c>
      <c r="U101" s="407">
        <f>'Staging Table'!BM103*Rates_current!$H$32*-1</f>
        <v>0</v>
      </c>
      <c r="V101" s="407">
        <f>IF(Init!$R$12="No",0,'Staging Table'!$CY103*-1)</f>
        <v>0</v>
      </c>
      <c r="W101" s="407">
        <f>IF('Staging Table'!C103=1,"",SUM(O101:V101))</f>
        <v>9474565.3102018703</v>
      </c>
      <c r="X101" s="407">
        <f>IF('Staging Table'!C103=1,"",(RT1SC!$C$4*'Staging Table'!BH103*'Staging Table'!$BH$2)+SUM('Staging Table'!BN103:CK103)-IF(Init!$R$15="No",'Staging Table'!CX103, 0))</f>
        <v>253703.73466214893</v>
      </c>
      <c r="Y101" s="169">
        <f>IF('Staging Table'!C103=1,"",IF(X101=0, 0, W101/X101))</f>
        <v>37.344997395560291</v>
      </c>
      <c r="Z101" s="160">
        <f>IF('Staging Table'!C103=1,"",Y101/N101-1)</f>
        <v>4.7371453708598077E-2</v>
      </c>
      <c r="AA101" s="97">
        <f t="shared" si="1"/>
        <v>81</v>
      </c>
      <c r="AB101" s="397"/>
      <c r="AC101" s="397"/>
      <c r="AD101" s="397"/>
    </row>
    <row r="102" spans="2:30">
      <c r="B102" s="274">
        <v>10331</v>
      </c>
      <c r="C102" s="275" t="s">
        <v>105</v>
      </c>
      <c r="D102" s="407">
        <f>IF(Init!$R$9="Yes",'Staging Table'!F104,'Staging Table'!BH104)*Rates_previous!$E$75*100*12</f>
        <v>12352343.86008</v>
      </c>
      <c r="E102" s="407">
        <f>IF(Init!$R$9="Yes",'Staging Table'!F104,'Staging Table'!BH104)*Rates_previous!$E$76*100*12</f>
        <v>-1836305.7724800003</v>
      </c>
      <c r="F102" s="408">
        <f>IF(Init!$R$9="Yes",SUMPRODUCT('Staging Table'!L104:AI104,LS_Demand_Rates_Restatement!$C$4:$Z$4)-IF(Init!$R$15="No",('Staging Table'!AV104*Rates_previous!$H$35), 0),SUMPRODUCT('Staging Table'!BN104:CK104,LS_Demand_Rates_Restatement!$C$4:$Z$4)-IF(Init!$R$15="No", 'Staging Table'!CX104*Rates_previous!$H$35, 0))</f>
        <v>0</v>
      </c>
      <c r="G102" s="408">
        <f>IF(Init!$R$9="Yes",SUMPRODUCT('Staging Table'!AJ104:AU104,LS_Demand_Rates_Restatement!$C$10:$N$10),SUMPRODUCT(LS_Demand_Rates_Restatement!$C$10:$N$10,'Staging Table'!CL104:CW104))*1000</f>
        <v>0</v>
      </c>
      <c r="H102" s="409">
        <f>IF(Init!$R$9="Yes",'Staging Table'!BF104,'Staging Table'!DH104)*Rates_previous!$H$33</f>
        <v>-0.71775864697701763</v>
      </c>
      <c r="I102" s="409">
        <f>IF(Init!$R$9="Yes",IF('Staging Table'!D104=1,'Staging Table'!H104*-1*('Staging Table'!F104/'Staging Table'!E104),'Staging Table'!H104*SUM(D102:H102)*(-1)),IF('Staging Table'!D104=1,'Staging Table'!BJ104*-1*('Staging Table'!BH104/'Staging Table'!BG104),'Staging Table'!BJ104*SUM(D102:H102)*(-1)))</f>
        <v>-736122.61588889488</v>
      </c>
      <c r="J102" s="407">
        <f>IF(Init!$R$9="Yes",'Staging Table'!K104,'Staging Table'!BM104)*(-1)*Rates_previous!$H$32</f>
        <v>-1566432.3186600001</v>
      </c>
      <c r="K102" s="407">
        <f>IF(Init!$R$12="No",0,'Staging Table'!$AW104*-1)</f>
        <v>0</v>
      </c>
      <c r="L102" s="407" t="str">
        <f>IF('Staging Table'!C104=1,"",SUM(D102:K102))</f>
        <v/>
      </c>
      <c r="M102" s="407" t="str">
        <f>IF('Staging Table'!C104=1,"",IF(Init!$R$9="Yes",(RT1SC!$C$3*'Staging Table'!F104*'Staging Table'!$F$2)+SUM('Staging Table'!L104:AI104)-IF(Init!$R$15="No",'Staging Table'!AV104, 0),X102))</f>
        <v/>
      </c>
      <c r="N102" s="169" t="str">
        <f>IF('Staging Table'!C104=1,"",IF(M102=0, 0, L102/M102))</f>
        <v/>
      </c>
      <c r="O102" s="407">
        <f>'Staging Table'!BH104*Rates_current!$E$75*100*12</f>
        <v>13212295.824960001</v>
      </c>
      <c r="P102" s="407">
        <f>'Staging Table'!BH104*Rates_current!$E$76*100*12</f>
        <v>-1858423.2727199998</v>
      </c>
      <c r="Q102" s="408">
        <f>SUMPRODUCT('Staging Table'!BN104:CK104, LS_Demand_Rates_Restatement!$C$5:$Z$5)-IF(Init!$R$15="No",('Staging Table'!CX104*Rates_current!$H$35), 0)</f>
        <v>0</v>
      </c>
      <c r="R102" s="408">
        <f>SUMPRODUCT('Staging Table'!CL104:CW104, LS_Demand_Rates_Restatement!$C$11:$N$11)*1000</f>
        <v>0</v>
      </c>
      <c r="S102" s="409">
        <f>'Staging Table'!DH104*Rates_current!$H$33</f>
        <v>0</v>
      </c>
      <c r="T102" s="409">
        <f>IF('Staging Table'!D104=1, 'Staging Table'!BJ104*-1*('Staging Table'!BH104/'Staging Table'!BG104),SUM(O102:S102)*'Staging Table'!BJ104*-1)</f>
        <v>-796602.70435521775</v>
      </c>
      <c r="U102" s="407">
        <f>'Staging Table'!BM104*Rates_current!$H$32*-1</f>
        <v>-1565101.4500800001</v>
      </c>
      <c r="V102" s="407">
        <f>IF(Init!$R$12="No",0,'Staging Table'!$CY104*-1)</f>
        <v>0</v>
      </c>
      <c r="W102" s="407" t="str">
        <f>IF('Staging Table'!C104=1,"",SUM(O102:V102))</f>
        <v/>
      </c>
      <c r="X102" s="407" t="str">
        <f>IF('Staging Table'!C104=1,"",(RT1SC!$C$4*'Staging Table'!BH104*'Staging Table'!$BH$2)+SUM('Staging Table'!BN104:CK104)-IF(Init!$R$15="No",'Staging Table'!CX104, 0))</f>
        <v/>
      </c>
      <c r="Y102" s="169" t="str">
        <f>IF('Staging Table'!C104=1,"",IF(X102=0, 0, W102/X102))</f>
        <v/>
      </c>
      <c r="Z102" s="160" t="str">
        <f>IF('Staging Table'!C104=1,"",Y102/N102-1)</f>
        <v/>
      </c>
      <c r="AA102" s="97" t="str">
        <f t="shared" si="1"/>
        <v/>
      </c>
      <c r="AB102" s="397"/>
      <c r="AC102" s="397"/>
      <c r="AD102" s="397"/>
    </row>
    <row r="103" spans="2:30">
      <c r="B103" s="274">
        <v>10333</v>
      </c>
      <c r="C103" s="275" t="s">
        <v>106</v>
      </c>
      <c r="D103" s="407">
        <f>IF(Init!$R$9="Yes",'Staging Table'!F105,'Staging Table'!BH105)*Rates_previous!$E$75*100*12</f>
        <v>6498953.7101999987</v>
      </c>
      <c r="E103" s="407">
        <f>IF(Init!$R$9="Yes",'Staging Table'!F105,'Staging Table'!BH105)*Rates_previous!$E$76*100*12</f>
        <v>-966137.79120000009</v>
      </c>
      <c r="F103" s="408">
        <f>IF(Init!$R$9="Yes",SUMPRODUCT('Staging Table'!L105:AI105,LS_Demand_Rates_Restatement!$C$4:$Z$4)-IF(Init!$R$15="No",('Staging Table'!AV105*Rates_previous!$H$35), 0),SUMPRODUCT('Staging Table'!BN105:CK105,LS_Demand_Rates_Restatement!$C$4:$Z$4)-IF(Init!$R$15="No", 'Staging Table'!CX105*Rates_previous!$H$35, 0))</f>
        <v>7290.1237781394429</v>
      </c>
      <c r="G103" s="408">
        <f>IF(Init!$R$9="Yes",SUMPRODUCT('Staging Table'!AJ105:AU105,LS_Demand_Rates_Restatement!$C$10:$N$10),SUMPRODUCT(LS_Demand_Rates_Restatement!$C$10:$N$10,'Staging Table'!CL105:CW105))*1000</f>
        <v>374863.86836242885</v>
      </c>
      <c r="H103" s="409">
        <f>IF(Init!$R$9="Yes",'Staging Table'!BF105,'Staging Table'!DH105)*Rates_previous!$H$33</f>
        <v>-4062.1377951958289</v>
      </c>
      <c r="I103" s="409">
        <f>IF(Init!$R$9="Yes",IF('Staging Table'!D105=1,'Staging Table'!H105*-1*('Staging Table'!F105/'Staging Table'!E105),'Staging Table'!H105*SUM(D103:H103)*(-1)),IF('Staging Table'!D105=1,'Staging Table'!BJ105*-1*('Staging Table'!BH105/'Staging Table'!BG105),'Staging Table'!BJ105*SUM(D103:H103)*(-1)))</f>
        <v>-388878.62240839197</v>
      </c>
      <c r="J103" s="407">
        <f>IF(Init!$R$9="Yes",'Staging Table'!K105,'Staging Table'!BM105)*(-1)*Rates_previous!$H$32</f>
        <v>0</v>
      </c>
      <c r="K103" s="407">
        <f>IF(Init!$R$12="No",0,'Staging Table'!$AW105*-1)</f>
        <v>0</v>
      </c>
      <c r="L103" s="407">
        <f>IF('Staging Table'!C105=1,"",SUM(D103:K103))</f>
        <v>5522029.1509369789</v>
      </c>
      <c r="M103" s="407">
        <f>IF('Staging Table'!C105=1,"",IF(Init!$R$9="Yes",(RT1SC!$C$3*'Staging Table'!F105*'Staging Table'!$F$2)+SUM('Staging Table'!L105:AI105)-IF(Init!$R$15="No",'Staging Table'!AV105, 0),X103))</f>
        <v>160586.85737907392</v>
      </c>
      <c r="N103" s="169">
        <f>IF('Staging Table'!C105=1,"",IF(M103=0, 0, L103/M103))</f>
        <v>34.386557163279754</v>
      </c>
      <c r="O103" s="407">
        <f>'Staging Table'!BH105*Rates_current!$E$75*100*12</f>
        <v>6683216.8780800011</v>
      </c>
      <c r="P103" s="407">
        <f>'Staging Table'!BH105*Rates_current!$E$76*100*12</f>
        <v>-940052.05055999989</v>
      </c>
      <c r="Q103" s="408">
        <f>SUMPRODUCT('Staging Table'!BN105:CK105, LS_Demand_Rates_Restatement!$C$5:$Z$5)-IF(Init!$R$15="No",('Staging Table'!CX105*Rates_current!$H$35), 0)</f>
        <v>53717.220068158327</v>
      </c>
      <c r="R103" s="408">
        <f>SUMPRODUCT('Staging Table'!CL105:CW105, LS_Demand_Rates_Restatement!$C$11:$N$11)*1000</f>
        <v>355344.4110787661</v>
      </c>
      <c r="S103" s="409">
        <f>'Staging Table'!DH105*Rates_current!$H$33</f>
        <v>0</v>
      </c>
      <c r="T103" s="409">
        <f>IF('Staging Table'!D105=1, 'Staging Table'!BJ105*-1*('Staging Table'!BH105/'Staging Table'!BG105),SUM(O103:S103)*'Staging Table'!BJ105*-1)</f>
        <v>-411440.69756183092</v>
      </c>
      <c r="U103" s="407">
        <f>'Staging Table'!BM105*Rates_current!$H$32*-1</f>
        <v>0</v>
      </c>
      <c r="V103" s="407">
        <f>IF(Init!$R$12="No",0,'Staging Table'!$CY105*-1)</f>
        <v>0</v>
      </c>
      <c r="W103" s="407">
        <f>IF('Staging Table'!C105=1,"",SUM(O103:V103))</f>
        <v>5740785.761105095</v>
      </c>
      <c r="X103" s="407">
        <f>IF('Staging Table'!C105=1,"",(RT1SC!$C$4*'Staging Table'!BH105*'Staging Table'!$BH$2)+SUM('Staging Table'!BN105:CK105)-IF(Init!$R$15="No",'Staging Table'!CX105, 0))</f>
        <v>159589.68</v>
      </c>
      <c r="Y103" s="169">
        <f>IF('Staging Table'!C105=1,"",IF(X103=0, 0, W103/X103))</f>
        <v>35.972161615369458</v>
      </c>
      <c r="Z103" s="160">
        <f>IF('Staging Table'!C105=1,"",Y103/N103-1)</f>
        <v>4.6111172007150536E-2</v>
      </c>
      <c r="AA103" s="97">
        <f t="shared" si="1"/>
        <v>87</v>
      </c>
      <c r="AB103" s="397"/>
      <c r="AC103" s="397"/>
      <c r="AD103" s="397"/>
    </row>
    <row r="104" spans="2:30">
      <c r="B104" s="274">
        <v>10338</v>
      </c>
      <c r="C104" s="275" t="s">
        <v>107</v>
      </c>
      <c r="D104" s="407">
        <f>IF(Init!$R$9="Yes",'Staging Table'!F106,'Staging Table'!BH106)*Rates_previous!$E$75*100*12</f>
        <v>832697.78256000008</v>
      </c>
      <c r="E104" s="407">
        <f>IF(Init!$R$9="Yes",'Staging Table'!F106,'Staging Table'!BH106)*Rates_previous!$E$76*100*12</f>
        <v>-123789.27935999999</v>
      </c>
      <c r="F104" s="408">
        <f>IF(Init!$R$9="Yes",SUMPRODUCT('Staging Table'!L106:AI106,LS_Demand_Rates_Restatement!$C$4:$Z$4)-IF(Init!$R$15="No",('Staging Table'!AV106*Rates_previous!$H$35), 0),SUMPRODUCT('Staging Table'!BN106:CK106,LS_Demand_Rates_Restatement!$C$4:$Z$4)-IF(Init!$R$15="No", 'Staging Table'!CX106*Rates_previous!$H$35, 0))</f>
        <v>-3987.4345799787161</v>
      </c>
      <c r="G104" s="408">
        <f>IF(Init!$R$9="Yes",SUMPRODUCT('Staging Table'!AJ106:AU106,LS_Demand_Rates_Restatement!$C$10:$N$10),SUMPRODUCT(LS_Demand_Rates_Restatement!$C$10:$N$10,'Staging Table'!CL106:CW106))*1000</f>
        <v>38227.66677540954</v>
      </c>
      <c r="H104" s="409">
        <f>IF(Init!$R$9="Yes",'Staging Table'!BF106,'Staging Table'!DH106)*Rates_previous!$H$33</f>
        <v>0</v>
      </c>
      <c r="I104" s="409">
        <f>IF(Init!$R$9="Yes",IF('Staging Table'!D106=1,'Staging Table'!H106*-1*('Staging Table'!F106/'Staging Table'!E106),'Staging Table'!H106*SUM(D104:H104)*(-1)),IF('Staging Table'!D106=1,'Staging Table'!BJ106*-1*('Staging Table'!BH106/'Staging Table'!BG106),'Staging Table'!BJ106*SUM(D104:H104)*(-1)))</f>
        <v>-31665.567615199318</v>
      </c>
      <c r="J104" s="407">
        <f>IF(Init!$R$9="Yes",'Staging Table'!K106,'Staging Table'!BM106)*(-1)*Rates_previous!$H$32</f>
        <v>-48906.8217</v>
      </c>
      <c r="K104" s="407">
        <f>IF(Init!$R$12="No",0,'Staging Table'!$AW106*-1)</f>
        <v>0</v>
      </c>
      <c r="L104" s="407">
        <f>IF('Staging Table'!C106=1,"",SUM(D104:K104))</f>
        <v>662576.34608023171</v>
      </c>
      <c r="M104" s="407">
        <f>IF('Staging Table'!C106=1,"",IF(Init!$R$9="Yes",(RT1SC!$C$3*'Staging Table'!F106*'Staging Table'!$F$2)+SUM('Staging Table'!L106:AI106)-IF(Init!$R$15="No",'Staging Table'!AV106, 0),X104))</f>
        <v>20633.616000000002</v>
      </c>
      <c r="N104" s="169">
        <f>IF('Staging Table'!C106=1,"",IF(M104=0, 0, L104/M104))</f>
        <v>32.111499316466471</v>
      </c>
      <c r="O104" s="407">
        <f>'Staging Table'!BH106*Rates_current!$E$75*100*12</f>
        <v>856548.30527999997</v>
      </c>
      <c r="P104" s="407">
        <f>'Staging Table'!BH106*Rates_current!$E$76*100*12</f>
        <v>-120480.90096</v>
      </c>
      <c r="Q104" s="408">
        <f>SUMPRODUCT('Staging Table'!BN106:CK106, LS_Demand_Rates_Restatement!$C$5:$Z$5)-IF(Init!$R$15="No",('Staging Table'!CX106*Rates_current!$H$35), 0)</f>
        <v>-5867.8272317129213</v>
      </c>
      <c r="R104" s="408">
        <f>SUMPRODUCT('Staging Table'!CL106:CW106, LS_Demand_Rates_Restatement!$C$11:$N$11)*1000</f>
        <v>35402.259976112895</v>
      </c>
      <c r="S104" s="409">
        <f>'Staging Table'!DH106*Rates_current!$H$33</f>
        <v>0</v>
      </c>
      <c r="T104" s="409">
        <f>IF('Staging Table'!D106=1, 'Staging Table'!BJ106*-1*('Staging Table'!BH106/'Staging Table'!BG106),SUM(O104:S104)*'Staging Table'!BJ106*-1)</f>
        <v>-31437.218046139042</v>
      </c>
      <c r="U104" s="407">
        <f>'Staging Table'!BM106*Rates_current!$H$32*-1</f>
        <v>-48865.2696</v>
      </c>
      <c r="V104" s="407">
        <f>IF(Init!$R$12="No",0,'Staging Table'!$CY106*-1)</f>
        <v>0</v>
      </c>
      <c r="W104" s="407">
        <f>IF('Staging Table'!C106=1,"",SUM(O104:V104))</f>
        <v>685299.34941826097</v>
      </c>
      <c r="X104" s="407">
        <f>IF('Staging Table'!C106=1,"",(RT1SC!$C$4*'Staging Table'!BH106*'Staging Table'!$BH$2)+SUM('Staging Table'!BN106:CK106)-IF(Init!$R$15="No",'Staging Table'!CX106, 0))</f>
        <v>20454.599999999999</v>
      </c>
      <c r="Y104" s="169">
        <f>IF('Staging Table'!C106=1,"",IF(X104=0, 0, W104/X104))</f>
        <v>33.503434406845457</v>
      </c>
      <c r="Z104" s="160">
        <f>IF('Staging Table'!C106=1,"",Y104/N104-1)</f>
        <v>4.3346935521793473E-2</v>
      </c>
      <c r="AA104" s="97">
        <f t="shared" si="1"/>
        <v>97</v>
      </c>
      <c r="AB104" s="397"/>
      <c r="AC104" s="397"/>
      <c r="AD104" s="397"/>
    </row>
    <row r="105" spans="2:30">
      <c r="B105" s="274">
        <v>10342</v>
      </c>
      <c r="C105" s="275" t="s">
        <v>108</v>
      </c>
      <c r="D105" s="407">
        <f>IF(Init!$R$9="Yes",'Staging Table'!F107,'Staging Table'!BH107)*Rates_previous!$E$75*100*12</f>
        <v>13220686.2564</v>
      </c>
      <c r="E105" s="407">
        <f>IF(Init!$R$9="Yes",'Staging Table'!F107,'Staging Table'!BH107)*Rates_previous!$E$76*100*12</f>
        <v>-1965393.9983999999</v>
      </c>
      <c r="F105" s="408">
        <f>IF(Init!$R$9="Yes",SUMPRODUCT('Staging Table'!L107:AI107,LS_Demand_Rates_Restatement!$C$4:$Z$4)-IF(Init!$R$15="No",('Staging Table'!AV107*Rates_previous!$H$35), 0),SUMPRODUCT('Staging Table'!BN107:CK107,LS_Demand_Rates_Restatement!$C$4:$Z$4)-IF(Init!$R$15="No", 'Staging Table'!CX107*Rates_previous!$H$35, 0))</f>
        <v>110419.07208039818</v>
      </c>
      <c r="G105" s="408">
        <f>IF(Init!$R$9="Yes",SUMPRODUCT('Staging Table'!AJ107:AU107,LS_Demand_Rates_Restatement!$C$10:$N$10),SUMPRODUCT(LS_Demand_Rates_Restatement!$C$10:$N$10,'Staging Table'!CL107:CW107))*1000</f>
        <v>704938.44241562509</v>
      </c>
      <c r="H105" s="409">
        <f>IF(Init!$R$9="Yes",'Staging Table'!BF107,'Staging Table'!DH107)*Rates_previous!$H$33</f>
        <v>-697.78027539176401</v>
      </c>
      <c r="I105" s="409">
        <f>IF(Init!$R$9="Yes",IF('Staging Table'!D107=1,'Staging Table'!H107*-1*('Staging Table'!F107/'Staging Table'!E107),'Staging Table'!H107*SUM(D105:H105)*(-1)),IF('Staging Table'!D107=1,'Staging Table'!BJ107*-1*('Staging Table'!BH107/'Staging Table'!BG107),'Staging Table'!BJ107*SUM(D105:H105)*(-1)))</f>
        <v>0</v>
      </c>
      <c r="J105" s="407">
        <f>IF(Init!$R$9="Yes",'Staging Table'!K107,'Staging Table'!BM107)*(-1)*Rates_previous!$H$32</f>
        <v>0</v>
      </c>
      <c r="K105" s="407">
        <f>IF(Init!$R$12="No",0,'Staging Table'!$AW107*-1)</f>
        <v>0</v>
      </c>
      <c r="L105" s="407">
        <f>IF('Staging Table'!C107=1,"",SUM(D105:K105))</f>
        <v>12069951.992220633</v>
      </c>
      <c r="M105" s="407">
        <f>IF('Staging Table'!C107=1,"",IF(Init!$R$9="Yes",(RT1SC!$C$3*'Staging Table'!F107*'Staging Table'!$F$2)+SUM('Staging Table'!L107:AI107)-IF(Init!$R$15="No",'Staging Table'!AV107, 0),X105))</f>
        <v>327538.00277114217</v>
      </c>
      <c r="N105" s="169">
        <f>IF('Staging Table'!C107=1,"",IF(M105=0, 0, L105/M105))</f>
        <v>36.850539143862846</v>
      </c>
      <c r="O105" s="407">
        <f>'Staging Table'!BH107*Rates_current!$E$75*100*12</f>
        <v>13716492.462719999</v>
      </c>
      <c r="P105" s="407">
        <f>'Staging Table'!BH107*Rates_current!$E$76*100*12</f>
        <v>-1929342.8750400001</v>
      </c>
      <c r="Q105" s="408">
        <f>SUMPRODUCT('Staging Table'!BN107:CK107, LS_Demand_Rates_Restatement!$C$5:$Z$5)-IF(Init!$R$15="No",('Staging Table'!CX107*Rates_current!$H$35), 0)</f>
        <v>191289.33683016856</v>
      </c>
      <c r="R105" s="408">
        <f>SUMPRODUCT('Staging Table'!CL107:CW107, LS_Demand_Rates_Restatement!$C$11:$N$11)*1000</f>
        <v>695652.69790205674</v>
      </c>
      <c r="S105" s="409">
        <f>'Staging Table'!DH107*Rates_current!$H$33</f>
        <v>20.486424973540124</v>
      </c>
      <c r="T105" s="409">
        <f>IF('Staging Table'!D107=1, 'Staging Table'!BJ107*-1*('Staging Table'!BH107/'Staging Table'!BG107),SUM(O105:S105)*'Staging Table'!BJ107*-1)</f>
        <v>0</v>
      </c>
      <c r="U105" s="407">
        <f>'Staging Table'!BM107*Rates_current!$H$32*-1</f>
        <v>0</v>
      </c>
      <c r="V105" s="407">
        <f>IF(Init!$R$12="No",0,'Staging Table'!$CY107*-1)</f>
        <v>0</v>
      </c>
      <c r="W105" s="407">
        <f>IF('Staging Table'!C107=1,"",SUM(O105:V105))</f>
        <v>12674112.108837198</v>
      </c>
      <c r="X105" s="407">
        <f>IF('Staging Table'!C107=1,"",(RT1SC!$C$4*'Staging Table'!BH107*'Staging Table'!$BH$2)+SUM('Staging Table'!BN107:CK107)-IF(Init!$R$15="No",'Staging Table'!CX107, 0))</f>
        <v>327538.00677842932</v>
      </c>
      <c r="Y105" s="169">
        <f>IF('Staging Table'!C107=1,"",IF(X105=0, 0, W105/X105))</f>
        <v>38.695088345612653</v>
      </c>
      <c r="Z105" s="160">
        <f>IF('Staging Table'!C107=1,"",Y105/N105-1)</f>
        <v>5.0054876932702941E-2</v>
      </c>
      <c r="AA105" s="97">
        <f t="shared" si="1"/>
        <v>57</v>
      </c>
      <c r="AB105" s="397"/>
      <c r="AC105" s="397"/>
      <c r="AD105" s="397"/>
    </row>
    <row r="106" spans="2:30">
      <c r="B106" s="274">
        <v>10343</v>
      </c>
      <c r="C106" s="275" t="s">
        <v>109</v>
      </c>
      <c r="D106" s="407">
        <f>IF(Init!$R$9="Yes",'Staging Table'!F108,'Staging Table'!BH108)*Rates_previous!$E$75*100*12</f>
        <v>4336018.7446799995</v>
      </c>
      <c r="E106" s="407">
        <f>IF(Init!$R$9="Yes",'Staging Table'!F108,'Staging Table'!BH108)*Rates_previous!$E$76*100*12</f>
        <v>-644594.77008000005</v>
      </c>
      <c r="F106" s="408">
        <f>IF(Init!$R$9="Yes",SUMPRODUCT('Staging Table'!L108:AI108,LS_Demand_Rates_Restatement!$C$4:$Z$4)-IF(Init!$R$15="No",('Staging Table'!AV108*Rates_previous!$H$35), 0),SUMPRODUCT('Staging Table'!BN108:CK108,LS_Demand_Rates_Restatement!$C$4:$Z$4)-IF(Init!$R$15="No", 'Staging Table'!CX108*Rates_previous!$H$35, 0))</f>
        <v>-205515.96762824076</v>
      </c>
      <c r="G106" s="408">
        <f>IF(Init!$R$9="Yes",SUMPRODUCT('Staging Table'!AJ108:AU108,LS_Demand_Rates_Restatement!$C$10:$N$10),SUMPRODUCT(LS_Demand_Rates_Restatement!$C$10:$N$10,'Staging Table'!CL108:CW108))*1000</f>
        <v>0</v>
      </c>
      <c r="H106" s="409">
        <f>IF(Init!$R$9="Yes",'Staging Table'!BF108,'Staging Table'!DH108)*Rates_previous!$H$33</f>
        <v>-69822.099311717349</v>
      </c>
      <c r="I106" s="409">
        <f>IF(Init!$R$9="Yes",IF('Staging Table'!D108=1,'Staging Table'!H108*-1*('Staging Table'!F108/'Staging Table'!E108),'Staging Table'!H108*SUM(D106:H106)*(-1)),IF('Staging Table'!D108=1,'Staging Table'!BJ108*-1*('Staging Table'!BH108/'Staging Table'!BG108),'Staging Table'!BJ108*SUM(D106:H106)*(-1)))</f>
        <v>-187884.72492130229</v>
      </c>
      <c r="J106" s="407">
        <f>IF(Init!$R$9="Yes",'Staging Table'!K108,'Staging Table'!BM108)*(-1)*Rates_previous!$H$32</f>
        <v>-123651.62996999999</v>
      </c>
      <c r="K106" s="407">
        <f>IF(Init!$R$12="No",0,'Staging Table'!$AW108*-1)</f>
        <v>0</v>
      </c>
      <c r="L106" s="407">
        <f>IF('Staging Table'!C108=1,"",SUM(D106:K106))</f>
        <v>3104549.5527687389</v>
      </c>
      <c r="M106" s="407">
        <f>IF('Staging Table'!C108=1,"",IF(Init!$R$9="Yes",(RT1SC!$C$3*'Staging Table'!F108*'Staging Table'!$F$2)+SUM('Staging Table'!L108:AI108)-IF(Init!$R$15="No",'Staging Table'!AV108, 0),X106))</f>
        <v>99556.385252913286</v>
      </c>
      <c r="N106" s="169">
        <f>IF('Staging Table'!C108=1,"",IF(M106=0, 0, L106/M106))</f>
        <v>31.1838316033867</v>
      </c>
      <c r="O106" s="407">
        <f>'Staging Table'!BH108*Rates_current!$E$75*100*12</f>
        <v>4169367.3456000006</v>
      </c>
      <c r="P106" s="407">
        <f>'Staging Table'!BH108*Rates_current!$E$76*100*12</f>
        <v>-586457.44920000003</v>
      </c>
      <c r="Q106" s="408">
        <f>SUMPRODUCT('Staging Table'!BN108:CK108, LS_Demand_Rates_Restatement!$C$5:$Z$5)-IF(Init!$R$15="No",('Staging Table'!CX108*Rates_current!$H$35), 0)</f>
        <v>4075.2967881841969</v>
      </c>
      <c r="R106" s="408">
        <f>SUMPRODUCT('Staging Table'!CL108:CW108, LS_Demand_Rates_Restatement!$C$11:$N$11)*1000</f>
        <v>0</v>
      </c>
      <c r="S106" s="409">
        <f>'Staging Table'!DH108*Rates_current!$H$33</f>
        <v>-12.922730790483911</v>
      </c>
      <c r="T106" s="409">
        <f>IF('Staging Table'!D108=1, 'Staging Table'!BJ108*-1*('Staging Table'!BH108/'Staging Table'!BG108),SUM(O106:S106)*'Staging Table'!BJ108*-1)</f>
        <v>-215218.33622744362</v>
      </c>
      <c r="U106" s="407">
        <f>'Staging Table'!BM108*Rates_current!$H$32*-1</f>
        <v>-123546.57335999999</v>
      </c>
      <c r="V106" s="407">
        <f>IF(Init!$R$12="No",0,'Staging Table'!$CY108*-1)</f>
        <v>0</v>
      </c>
      <c r="W106" s="407">
        <f>IF('Staging Table'!C108=1,"",SUM(O106:V106))</f>
        <v>3248207.3608699506</v>
      </c>
      <c r="X106" s="407">
        <f>IF('Staging Table'!C108=1,"",(RT1SC!$C$4*'Staging Table'!BH108*'Staging Table'!$BH$2)+SUM('Staging Table'!BN108:CK108)-IF(Init!$R$15="No",'Staging Table'!CX108, 0))</f>
        <v>99556.38645248703</v>
      </c>
      <c r="Y106" s="169">
        <f>IF('Staging Table'!C108=1,"",IF(X106=0, 0, W106/X106))</f>
        <v>32.626810560467128</v>
      </c>
      <c r="Z106" s="160">
        <f>IF('Staging Table'!C108=1,"",Y106/N106-1)</f>
        <v>4.6273305199727721E-2</v>
      </c>
      <c r="AA106" s="97">
        <f t="shared" si="1"/>
        <v>84</v>
      </c>
      <c r="AB106" s="397"/>
      <c r="AC106" s="397"/>
      <c r="AD106" s="397"/>
    </row>
    <row r="107" spans="2:30">
      <c r="B107" s="274">
        <v>10349</v>
      </c>
      <c r="C107" s="275" t="s">
        <v>110</v>
      </c>
      <c r="D107" s="407">
        <f>IF(Init!$R$9="Yes",'Staging Table'!F109,'Staging Table'!BH109)*Rates_previous!$E$75*100*12</f>
        <v>180262237.74552</v>
      </c>
      <c r="E107" s="407">
        <f>IF(Init!$R$9="Yes",'Staging Table'!F109,'Staging Table'!BH109)*Rates_previous!$E$76*100*12</f>
        <v>-26797876.701119997</v>
      </c>
      <c r="F107" s="408">
        <f>IF(Init!$R$9="Yes",SUMPRODUCT('Staging Table'!L109:AI109,LS_Demand_Rates_Restatement!$C$4:$Z$4)-IF(Init!$R$15="No",('Staging Table'!AV109*Rates_previous!$H$35), 0),SUMPRODUCT('Staging Table'!BN109:CK109,LS_Demand_Rates_Restatement!$C$4:$Z$4)-IF(Init!$R$15="No", 'Staging Table'!CX109*Rates_previous!$H$35, 0))</f>
        <v>4896490.2562963404</v>
      </c>
      <c r="G107" s="408">
        <f>IF(Init!$R$9="Yes",SUMPRODUCT('Staging Table'!AJ109:AU109,LS_Demand_Rates_Restatement!$C$10:$N$10),SUMPRODUCT(LS_Demand_Rates_Restatement!$C$10:$N$10,'Staging Table'!CL109:CW109))*1000</f>
        <v>0</v>
      </c>
      <c r="H107" s="409">
        <f>IF(Init!$R$9="Yes",'Staging Table'!BF109,'Staging Table'!DH109)*Rates_previous!$H$33</f>
        <v>0</v>
      </c>
      <c r="I107" s="409">
        <f>IF(Init!$R$9="Yes",IF('Staging Table'!D109=1,'Staging Table'!H109*-1*('Staging Table'!F109/'Staging Table'!E109),'Staging Table'!H109*SUM(D107:H107)*(-1)),IF('Staging Table'!D109=1,'Staging Table'!BJ109*-1*('Staging Table'!BH109/'Staging Table'!BG109),'Staging Table'!BJ109*SUM(D107:H107)*(-1)))</f>
        <v>0</v>
      </c>
      <c r="J107" s="407">
        <f>IF(Init!$R$9="Yes",'Staging Table'!K109,'Staging Table'!BM109)*(-1)*Rates_previous!$H$32</f>
        <v>0</v>
      </c>
      <c r="K107" s="407">
        <f>IF(Init!$R$12="No",0,'Staging Table'!$AW109*-1)</f>
        <v>0</v>
      </c>
      <c r="L107" s="407">
        <f>IF('Staging Table'!C109=1,"",SUM(D107:K107))</f>
        <v>158360851.30069634</v>
      </c>
      <c r="M107" s="407">
        <f>IF('Staging Table'!C109=1,"",IF(Init!$R$9="Yes",(RT1SC!$C$3*'Staging Table'!F109*'Staging Table'!$F$2)+SUM('Staging Table'!L109:AI109)-IF(Init!$R$15="No",'Staging Table'!AV109, 0),X107))</f>
        <v>4466971.450514419</v>
      </c>
      <c r="N107" s="169">
        <f>IF('Staging Table'!C109=1,"",IF(M107=0, 0, L107/M107))</f>
        <v>35.45150289296329</v>
      </c>
      <c r="O107" s="407">
        <f>'Staging Table'!BH109*Rates_current!$E$75*100*12</f>
        <v>187406246.99519998</v>
      </c>
      <c r="P107" s="407">
        <f>'Staging Table'!BH109*Rates_current!$E$76*100*12</f>
        <v>-26360303.726400003</v>
      </c>
      <c r="Q107" s="408">
        <f>SUMPRODUCT('Staging Table'!BN109:CK109, LS_Demand_Rates_Restatement!$C$5:$Z$5)-IF(Init!$R$15="No",('Staging Table'!CX109*Rates_current!$H$35), 0)</f>
        <v>9356380.463915864</v>
      </c>
      <c r="R107" s="408">
        <f>SUMPRODUCT('Staging Table'!CL109:CW109, LS_Demand_Rates_Restatement!$C$11:$N$11)*1000</f>
        <v>0</v>
      </c>
      <c r="S107" s="409">
        <f>'Staging Table'!DH109*Rates_current!$H$33</f>
        <v>0</v>
      </c>
      <c r="T107" s="409">
        <f>IF('Staging Table'!D109=1, 'Staging Table'!BJ109*-1*('Staging Table'!BH109/'Staging Table'!BG109),SUM(O107:S107)*'Staging Table'!BJ109*-1)</f>
        <v>0</v>
      </c>
      <c r="U107" s="407">
        <f>'Staging Table'!BM109*Rates_current!$H$32*-1</f>
        <v>0</v>
      </c>
      <c r="V107" s="407">
        <f>IF(Init!$R$12="No",0,'Staging Table'!$CY109*-1)</f>
        <v>0</v>
      </c>
      <c r="W107" s="407">
        <f>IF('Staging Table'!C109=1,"",SUM(O107:V107))</f>
        <v>170402323.73271582</v>
      </c>
      <c r="X107" s="407">
        <f>IF('Staging Table'!C109=1,"",(RT1SC!$C$4*'Staging Table'!BH109*'Staging Table'!$BH$2)+SUM('Staging Table'!BN109:CK109)-IF(Init!$R$15="No",'Staging Table'!CX109, 0))</f>
        <v>4474087.0652869176</v>
      </c>
      <c r="Y107" s="169">
        <f>IF('Staging Table'!C109=1,"",IF(X107=0, 0, W107/X107))</f>
        <v>38.086501502131171</v>
      </c>
      <c r="Z107" s="160">
        <f>IF('Staging Table'!C109=1,"",Y107/N107-1)</f>
        <v>7.4326852013117284E-2</v>
      </c>
      <c r="AA107" s="97">
        <f t="shared" si="1"/>
        <v>2</v>
      </c>
      <c r="AB107" s="397"/>
      <c r="AC107" s="397"/>
      <c r="AD107" s="397"/>
    </row>
    <row r="108" spans="2:30">
      <c r="B108" s="274">
        <v>10352</v>
      </c>
      <c r="C108" s="275" t="s">
        <v>111</v>
      </c>
      <c r="D108" s="407">
        <f>IF(Init!$R$9="Yes",'Staging Table'!F110,'Staging Table'!BH110)*Rates_previous!$E$75*100*12</f>
        <v>5451398.1169199999</v>
      </c>
      <c r="E108" s="407">
        <f>IF(Init!$R$9="Yes",'Staging Table'!F110,'Staging Table'!BH110)*Rates_previous!$E$76*100*12</f>
        <v>-810407.63951999997</v>
      </c>
      <c r="F108" s="408">
        <f>IF(Init!$R$9="Yes",SUMPRODUCT('Staging Table'!L110:AI110,LS_Demand_Rates_Restatement!$C$4:$Z$4)-IF(Init!$R$15="No",('Staging Table'!AV110*Rates_previous!$H$35), 0),SUMPRODUCT('Staging Table'!BN110:CK110,LS_Demand_Rates_Restatement!$C$4:$Z$4)-IF(Init!$R$15="No", 'Staging Table'!CX110*Rates_previous!$H$35, 0))</f>
        <v>9879.9472439209276</v>
      </c>
      <c r="G108" s="408">
        <f>IF(Init!$R$9="Yes",SUMPRODUCT('Staging Table'!AJ110:AU110,LS_Demand_Rates_Restatement!$C$10:$N$10),SUMPRODUCT(LS_Demand_Rates_Restatement!$C$10:$N$10,'Staging Table'!CL110:CW110))*1000</f>
        <v>255961.1520086182</v>
      </c>
      <c r="H108" s="409">
        <f>IF(Init!$R$9="Yes",'Staging Table'!BF110,'Staging Table'!DH110)*Rates_previous!$H$33</f>
        <v>-13447.970435950934</v>
      </c>
      <c r="I108" s="409">
        <f>IF(Init!$R$9="Yes",IF('Staging Table'!D110=1,'Staging Table'!H110*-1*('Staging Table'!F110/'Staging Table'!E110),'Staging Table'!H110*SUM(D108:H108)*(-1)),IF('Staging Table'!D110=1,'Staging Table'!BJ110*-1*('Staging Table'!BH110/'Staging Table'!BG110),'Staging Table'!BJ110*SUM(D108:H108)*(-1)))</f>
        <v>-293603.01637299528</v>
      </c>
      <c r="J108" s="407">
        <f>IF(Init!$R$9="Yes",'Staging Table'!K110,'Staging Table'!BM110)*(-1)*Rates_previous!$H$32</f>
        <v>0</v>
      </c>
      <c r="K108" s="407">
        <f>IF(Init!$R$12="No",0,'Staging Table'!$AW110*-1)</f>
        <v>0</v>
      </c>
      <c r="L108" s="407">
        <f>IF('Staging Table'!C110=1,"",SUM(D108:K108))</f>
        <v>4599780.5898435926</v>
      </c>
      <c r="M108" s="407">
        <f>IF('Staging Table'!C110=1,"",IF(Init!$R$9="Yes",(RT1SC!$C$3*'Staging Table'!F110*'Staging Table'!$F$2)+SUM('Staging Table'!L110:AI110)-IF(Init!$R$15="No",'Staging Table'!AV110, 0),X108))</f>
        <v>133569.59131797164</v>
      </c>
      <c r="N108" s="169">
        <f>IF('Staging Table'!C110=1,"",IF(M108=0, 0, L108/M108))</f>
        <v>34.437333710885561</v>
      </c>
      <c r="O108" s="407">
        <f>'Staging Table'!BH110*Rates_current!$E$75*100*12</f>
        <v>5593805.6486399993</v>
      </c>
      <c r="P108" s="407">
        <f>'Staging Table'!BH110*Rates_current!$E$76*100*12</f>
        <v>-786816.97247999988</v>
      </c>
      <c r="Q108" s="408">
        <f>SUMPRODUCT('Staging Table'!BN110:CK110, LS_Demand_Rates_Restatement!$C$5:$Z$5)-IF(Init!$R$15="No",('Staging Table'!CX110*Rates_current!$H$35), 0)</f>
        <v>95835.24805860022</v>
      </c>
      <c r="R108" s="408">
        <f>SUMPRODUCT('Staging Table'!CL110:CW110, LS_Demand_Rates_Restatement!$C$11:$N$11)*1000</f>
        <v>240692.39678673435</v>
      </c>
      <c r="S108" s="409">
        <f>'Staging Table'!DH110*Rates_current!$H$33</f>
        <v>-36.809903817847953</v>
      </c>
      <c r="T108" s="409">
        <f>IF('Staging Table'!D110=1, 'Staging Table'!BJ110*-1*('Staging Table'!BH110/'Staging Table'!BG110),SUM(O108:S108)*'Staging Table'!BJ110*-1)</f>
        <v>-231456.57799956822</v>
      </c>
      <c r="U108" s="407">
        <f>'Staging Table'!BM110*Rates_current!$H$32*-1</f>
        <v>0</v>
      </c>
      <c r="V108" s="407">
        <f>IF(Init!$R$12="No",0,'Staging Table'!$CY110*-1)</f>
        <v>0</v>
      </c>
      <c r="W108" s="407">
        <f>IF('Staging Table'!C110=1,"",SUM(O108:V108))</f>
        <v>4912022.9331019474</v>
      </c>
      <c r="X108" s="407">
        <f>IF('Staging Table'!C110=1,"",(RT1SC!$C$4*'Staging Table'!BH110*'Staging Table'!$BH$2)+SUM('Staging Table'!BN110:CK110)-IF(Init!$R$15="No",'Staging Table'!CX110, 0))</f>
        <v>133569.59294872015</v>
      </c>
      <c r="Y108" s="169">
        <f>IF('Staging Table'!C110=1,"",IF(X108=0, 0, W108/X108))</f>
        <v>36.775008627807708</v>
      </c>
      <c r="Z108" s="160">
        <f>IF('Staging Table'!C110=1,"",Y108/N108-1)</f>
        <v>6.7881995062330169E-2</v>
      </c>
      <c r="AA108" s="97">
        <f t="shared" si="1"/>
        <v>6</v>
      </c>
      <c r="AB108" s="397"/>
      <c r="AC108" s="397"/>
      <c r="AD108" s="397"/>
    </row>
    <row r="109" spans="2:30">
      <c r="B109" s="274">
        <v>10354</v>
      </c>
      <c r="C109" s="275" t="s">
        <v>112</v>
      </c>
      <c r="D109" s="407">
        <f>IF(Init!$R$9="Yes",'Staging Table'!F111,'Staging Table'!BH111)*Rates_previous!$E$75*100*12</f>
        <v>138883049.21484002</v>
      </c>
      <c r="E109" s="407">
        <f>IF(Init!$R$9="Yes",'Staging Table'!F111,'Staging Table'!BH111)*Rates_previous!$E$76*100*12</f>
        <v>-20646425.31504</v>
      </c>
      <c r="F109" s="408">
        <f>IF(Init!$R$9="Yes",SUMPRODUCT('Staging Table'!L111:AI111,LS_Demand_Rates_Restatement!$C$4:$Z$4)-IF(Init!$R$15="No",('Staging Table'!AV111*Rates_previous!$H$35), 0),SUMPRODUCT('Staging Table'!BN111:CK111,LS_Demand_Rates_Restatement!$C$4:$Z$4)-IF(Init!$R$15="No", 'Staging Table'!CX111*Rates_previous!$H$35, 0))</f>
        <v>-6183.5346232347656</v>
      </c>
      <c r="G109" s="408">
        <f>IF(Init!$R$9="Yes",SUMPRODUCT('Staging Table'!AJ111:AU111,LS_Demand_Rates_Restatement!$C$10:$N$10),SUMPRODUCT(LS_Demand_Rates_Restatement!$C$10:$N$10,'Staging Table'!CL111:CW111))*1000</f>
        <v>0</v>
      </c>
      <c r="H109" s="409">
        <f>IF(Init!$R$9="Yes",'Staging Table'!BF111,'Staging Table'!DH111)*Rates_previous!$H$33</f>
        <v>0</v>
      </c>
      <c r="I109" s="409">
        <f>IF(Init!$R$9="Yes",IF('Staging Table'!D111=1,'Staging Table'!H111*-1*('Staging Table'!F111/'Staging Table'!E111),'Staging Table'!H111*SUM(D109:H109)*(-1)),IF('Staging Table'!D111=1,'Staging Table'!BJ111*-1*('Staging Table'!BH111/'Staging Table'!BG111),'Staging Table'!BJ111*SUM(D109:H109)*(-1)))</f>
        <v>0</v>
      </c>
      <c r="J109" s="407">
        <f>IF(Init!$R$9="Yes",'Staging Table'!K111,'Staging Table'!BM111)*(-1)*Rates_previous!$H$32</f>
        <v>0</v>
      </c>
      <c r="K109" s="407">
        <f>IF(Init!$R$12="No",0,'Staging Table'!$AW111*-1)</f>
        <v>0</v>
      </c>
      <c r="L109" s="407">
        <f>IF('Staging Table'!C111=1,"",SUM(D109:K109))</f>
        <v>118230440.3651768</v>
      </c>
      <c r="M109" s="407">
        <f>IF('Staging Table'!C111=1,"",IF(Init!$R$9="Yes",(RT1SC!$C$3*'Staging Table'!F111*'Staging Table'!$F$2)+SUM('Staging Table'!L111:AI111)-IF(Init!$R$15="No",'Staging Table'!AV111, 0),X109))</f>
        <v>3441575.9860363468</v>
      </c>
      <c r="N109" s="169">
        <f>IF('Staging Table'!C111=1,"",IF(M109=0, 0, L109/M109))</f>
        <v>34.353575468005999</v>
      </c>
      <c r="O109" s="407">
        <f>'Staging Table'!BH111*Rates_current!$E$75*100*12</f>
        <v>145425953.4192</v>
      </c>
      <c r="P109" s="407">
        <f>'Staging Table'!BH111*Rates_current!$E$76*100*12</f>
        <v>-20455413.644400001</v>
      </c>
      <c r="Q109" s="408">
        <f>SUMPRODUCT('Staging Table'!BN111:CK111, LS_Demand_Rates_Restatement!$C$5:$Z$5)-IF(Init!$R$15="No",('Staging Table'!CX111*Rates_current!$H$35), 0)</f>
        <v>26054.09694321861</v>
      </c>
      <c r="R109" s="408">
        <f>SUMPRODUCT('Staging Table'!CL111:CW111, LS_Demand_Rates_Restatement!$C$11:$N$11)*1000</f>
        <v>0</v>
      </c>
      <c r="S109" s="409">
        <f>'Staging Table'!DH111*Rates_current!$H$33</f>
        <v>0</v>
      </c>
      <c r="T109" s="409">
        <f>IF('Staging Table'!D111=1, 'Staging Table'!BJ111*-1*('Staging Table'!BH111/'Staging Table'!BG111),SUM(O109:S109)*'Staging Table'!BJ111*-1)</f>
        <v>0</v>
      </c>
      <c r="U109" s="407">
        <f>'Staging Table'!BM111*Rates_current!$H$32*-1</f>
        <v>0</v>
      </c>
      <c r="V109" s="407">
        <f>IF(Init!$R$12="No",0,'Staging Table'!$CY111*-1)</f>
        <v>0</v>
      </c>
      <c r="W109" s="407">
        <f>IF('Staging Table'!C111=1,"",SUM(O109:V109))</f>
        <v>124996593.87174322</v>
      </c>
      <c r="X109" s="407">
        <f>IF('Staging Table'!C111=1,"",(RT1SC!$C$4*'Staging Table'!BH111*'Staging Table'!$BH$2)+SUM('Staging Table'!BN111:CK111)-IF(Init!$R$15="No",'Staging Table'!CX111, 0))</f>
        <v>3436035.0506621972</v>
      </c>
      <c r="Y109" s="169">
        <f>IF('Staging Table'!C111=1,"",IF(X109=0, 0, W109/X109))</f>
        <v>36.378148659354828</v>
      </c>
      <c r="Z109" s="160">
        <f>IF('Staging Table'!C111=1,"",Y109/N109-1)</f>
        <v>5.8933405439394404E-2</v>
      </c>
      <c r="AA109" s="97">
        <f t="shared" si="1"/>
        <v>24</v>
      </c>
      <c r="AB109" s="397"/>
      <c r="AC109" s="397"/>
      <c r="AD109" s="397"/>
    </row>
    <row r="110" spans="2:30">
      <c r="B110" s="274">
        <v>10360</v>
      </c>
      <c r="C110" s="275" t="s">
        <v>113</v>
      </c>
      <c r="D110" s="407">
        <f>IF(Init!$R$9="Yes",'Staging Table'!F112,'Staging Table'!BH112)*Rates_previous!$E$75*100*12</f>
        <v>2374574.8597200001</v>
      </c>
      <c r="E110" s="407">
        <f>IF(Init!$R$9="Yes",'Staging Table'!F112,'Staging Table'!BH112)*Rates_previous!$E$76*100*12</f>
        <v>-353005.51632</v>
      </c>
      <c r="F110" s="408">
        <f>IF(Init!$R$9="Yes",SUMPRODUCT('Staging Table'!L112:AI112,LS_Demand_Rates_Restatement!$C$4:$Z$4)-IF(Init!$R$15="No",('Staging Table'!AV112*Rates_previous!$H$35), 0),SUMPRODUCT('Staging Table'!BN112:CK112,LS_Demand_Rates_Restatement!$C$4:$Z$4)-IF(Init!$R$15="No", 'Staging Table'!CX112*Rates_previous!$H$35, 0))</f>
        <v>-35427.308828699926</v>
      </c>
      <c r="G110" s="408">
        <f>IF(Init!$R$9="Yes",SUMPRODUCT('Staging Table'!AJ112:AU112,LS_Demand_Rates_Restatement!$C$10:$N$10),SUMPRODUCT(LS_Demand_Rates_Restatement!$C$10:$N$10,'Staging Table'!CL112:CW112))*1000</f>
        <v>129616.39409408832</v>
      </c>
      <c r="H110" s="409">
        <f>IF(Init!$R$9="Yes",'Staging Table'!BF112,'Staging Table'!DH112)*Rates_previous!$H$33</f>
        <v>0</v>
      </c>
      <c r="I110" s="409">
        <f>IF(Init!$R$9="Yes",IF('Staging Table'!D112=1,'Staging Table'!H112*-1*('Staging Table'!F112/'Staging Table'!E112),'Staging Table'!H112*SUM(D110:H110)*(-1)),IF('Staging Table'!D112=1,'Staging Table'!BJ112*-1*('Staging Table'!BH112/'Staging Table'!BG112),'Staging Table'!BJ112*SUM(D110:H110)*(-1)))</f>
        <v>-103270.16890315761</v>
      </c>
      <c r="J110" s="407">
        <f>IF(Init!$R$9="Yes",'Staging Table'!K112,'Staging Table'!BM112)*(-1)*Rates_previous!$H$32</f>
        <v>-235509.93179999999</v>
      </c>
      <c r="K110" s="407">
        <f>IF(Init!$R$12="No",0,'Staging Table'!$AW112*-1)</f>
        <v>0</v>
      </c>
      <c r="L110" s="407">
        <f>IF('Staging Table'!C112=1,"",SUM(D110:K110))</f>
        <v>1776978.3279622309</v>
      </c>
      <c r="M110" s="407">
        <f>IF('Staging Table'!C112=1,"",IF(Init!$R$9="Yes",(RT1SC!$C$3*'Staging Table'!F112*'Staging Table'!$F$2)+SUM('Staging Table'!L112:AI112)-IF(Init!$R$15="No",'Staging Table'!AV112, 0),X110))</f>
        <v>58844.015999999996</v>
      </c>
      <c r="N110" s="169">
        <f>IF('Staging Table'!C112=1,"",IF(M110=0, 0, L110/M110))</f>
        <v>30.198114417653461</v>
      </c>
      <c r="O110" s="407">
        <f>'Staging Table'!BH112*Rates_current!$E$75*100*12</f>
        <v>2442258.1958400002</v>
      </c>
      <c r="P110" s="407">
        <f>'Staging Table'!BH112*Rates_current!$E$76*100*12</f>
        <v>-343524.66287999996</v>
      </c>
      <c r="Q110" s="408">
        <f>SUMPRODUCT('Staging Table'!BN112:CK112, LS_Demand_Rates_Restatement!$C$5:$Z$5)-IF(Init!$R$15="No",('Staging Table'!CX112*Rates_current!$H$35), 0)</f>
        <v>-72255.569974580634</v>
      </c>
      <c r="R110" s="408">
        <f>SUMPRODUCT('Staging Table'!CL112:CW112, LS_Demand_Rates_Restatement!$C$11:$N$11)*1000</f>
        <v>123262.52731915066</v>
      </c>
      <c r="S110" s="409">
        <f>'Staging Table'!DH112*Rates_current!$H$33</f>
        <v>0</v>
      </c>
      <c r="T110" s="409">
        <f>IF('Staging Table'!D112=1, 'Staging Table'!BJ112*-1*('Staging Table'!BH112/'Staging Table'!BG112),SUM(O110:S110)*'Staging Table'!BJ112*-1)</f>
        <v>-101214.12245361424</v>
      </c>
      <c r="U110" s="407">
        <f>'Staging Table'!BM112*Rates_current!$H$32*-1</f>
        <v>-235309.83840000001</v>
      </c>
      <c r="V110" s="407">
        <f>IF(Init!$R$12="No",0,'Staging Table'!$CY112*-1)</f>
        <v>0</v>
      </c>
      <c r="W110" s="407">
        <f>IF('Staging Table'!C112=1,"",SUM(O110:V110))</f>
        <v>1813216.5294509565</v>
      </c>
      <c r="X110" s="407">
        <f>IF('Staging Table'!C112=1,"",(RT1SC!$C$4*'Staging Table'!BH112*'Staging Table'!$BH$2)+SUM('Staging Table'!BN112:CK112)-IF(Init!$R$15="No",'Staging Table'!CX112, 0))</f>
        <v>58315.32</v>
      </c>
      <c r="Y110" s="169">
        <f>IF('Staging Table'!C112=1,"",IF(X110=0, 0, W110/X110))</f>
        <v>31.093313548668796</v>
      </c>
      <c r="Z110" s="160">
        <f>IF('Staging Table'!C112=1,"",Y110/N110-1)</f>
        <v>2.9644206212160462E-2</v>
      </c>
      <c r="AA110" s="97">
        <f t="shared" si="1"/>
        <v>107</v>
      </c>
      <c r="AB110" s="397"/>
      <c r="AC110" s="397"/>
      <c r="AD110" s="397"/>
    </row>
    <row r="111" spans="2:30">
      <c r="B111" s="274">
        <v>10363</v>
      </c>
      <c r="C111" s="275" t="s">
        <v>114</v>
      </c>
      <c r="D111" s="407">
        <f>IF(Init!$R$9="Yes",'Staging Table'!F113,'Staging Table'!BH113)*Rates_previous!$E$75*100*12</f>
        <v>32345259.19884</v>
      </c>
      <c r="E111" s="407">
        <f>IF(Init!$R$9="Yes",'Staging Table'!F113,'Staging Table'!BH113)*Rates_previous!$E$76*100*12</f>
        <v>-4808462.8190399995</v>
      </c>
      <c r="F111" s="408">
        <f>IF(Init!$R$9="Yes",SUMPRODUCT('Staging Table'!L113:AI113,LS_Demand_Rates_Restatement!$C$4:$Z$4)-IF(Init!$R$15="No",('Staging Table'!AV113*Rates_previous!$H$35), 0),SUMPRODUCT('Staging Table'!BN113:CK113,LS_Demand_Rates_Restatement!$C$4:$Z$4)-IF(Init!$R$15="No", 'Staging Table'!CX113*Rates_previous!$H$35, 0))</f>
        <v>883436.00425690925</v>
      </c>
      <c r="G111" s="408">
        <f>IF(Init!$R$9="Yes",SUMPRODUCT('Staging Table'!AJ113:AU113,LS_Demand_Rates_Restatement!$C$10:$N$10),SUMPRODUCT(LS_Demand_Rates_Restatement!$C$10:$N$10,'Staging Table'!CL113:CW113))*1000</f>
        <v>1417330.8153726496</v>
      </c>
      <c r="H111" s="409">
        <f>IF(Init!$R$9="Yes",'Staging Table'!BF113,'Staging Table'!DH113)*Rates_previous!$H$33</f>
        <v>223943.65579684346</v>
      </c>
      <c r="I111" s="409">
        <f>IF(Init!$R$9="Yes",IF('Staging Table'!D113=1,'Staging Table'!H113*-1*('Staging Table'!F113/'Staging Table'!E113),'Staging Table'!H113*SUM(D111:H111)*(-1)),IF('Staging Table'!D113=1,'Staging Table'!BJ113*-1*('Staging Table'!BH113/'Staging Table'!BG113),'Staging Table'!BJ113*SUM(D111:H111)*(-1)))</f>
        <v>0</v>
      </c>
      <c r="J111" s="407">
        <f>IF(Init!$R$9="Yes",'Staging Table'!K113,'Staging Table'!BM113)*(-1)*Rates_previous!$H$32</f>
        <v>0</v>
      </c>
      <c r="K111" s="407">
        <f>IF(Init!$R$12="No",0,'Staging Table'!$AW113*-1)</f>
        <v>0</v>
      </c>
      <c r="L111" s="407">
        <f>IF('Staging Table'!C113=1,"",SUM(D111:K111))</f>
        <v>30061506.855226401</v>
      </c>
      <c r="M111" s="407">
        <f>IF('Staging Table'!C113=1,"",IF(Init!$R$9="Yes",(RT1SC!$C$3*'Staging Table'!F113*'Staging Table'!$F$2)+SUM('Staging Table'!L113:AI113)-IF(Init!$R$15="No",'Staging Table'!AV113, 0),X111))</f>
        <v>826835.58388664899</v>
      </c>
      <c r="N111" s="169">
        <f>IF('Staging Table'!C113=1,"",IF(M111=0, 0, L111/M111))</f>
        <v>36.35729695366804</v>
      </c>
      <c r="O111" s="407">
        <f>'Staging Table'!BH113*Rates_current!$E$75*100*12</f>
        <v>34626513.003839999</v>
      </c>
      <c r="P111" s="407">
        <f>'Staging Table'!BH113*Rates_current!$E$76*100*12</f>
        <v>-4870517.4688799996</v>
      </c>
      <c r="Q111" s="408">
        <f>SUMPRODUCT('Staging Table'!BN113:CK113, LS_Demand_Rates_Restatement!$C$5:$Z$5)-IF(Init!$R$15="No",('Staging Table'!CX113*Rates_current!$H$35), 0)</f>
        <v>461117.86795079487</v>
      </c>
      <c r="R111" s="408">
        <f>SUMPRODUCT('Staging Table'!CL113:CW113, LS_Demand_Rates_Restatement!$C$11:$N$11)*1000</f>
        <v>1329159.2755195599</v>
      </c>
      <c r="S111" s="409">
        <f>'Staging Table'!DH113*Rates_current!$H$33</f>
        <v>-41.895698333100881</v>
      </c>
      <c r="T111" s="409">
        <f>IF('Staging Table'!D113=1, 'Staging Table'!BJ113*-1*('Staging Table'!BH113/'Staging Table'!BG113),SUM(O111:S111)*'Staging Table'!BJ113*-1)</f>
        <v>0</v>
      </c>
      <c r="U111" s="407">
        <f>'Staging Table'!BM113*Rates_current!$H$32*-1</f>
        <v>0</v>
      </c>
      <c r="V111" s="407">
        <f>IF(Init!$R$12="No",0,'Staging Table'!$CY113*-1)</f>
        <v>0</v>
      </c>
      <c r="W111" s="407">
        <f>IF('Staging Table'!C113=1,"",SUM(O111:V111))</f>
        <v>31546230.782732025</v>
      </c>
      <c r="X111" s="407">
        <f>IF('Staging Table'!C113=1,"",(RT1SC!$C$4*'Staging Table'!BH113*'Staging Table'!$BH$2)+SUM('Staging Table'!BN113:CK113)-IF(Init!$R$15="No",'Staging Table'!CX113, 0))</f>
        <v>826835.59406287584</v>
      </c>
      <c r="Y111" s="169">
        <f>IF('Staging Table'!C113=1,"",IF(X111=0, 0, W111/X111))</f>
        <v>38.152966574311655</v>
      </c>
      <c r="Z111" s="160">
        <f>IF('Staging Table'!C113=1,"",Y111/N111-1)</f>
        <v>4.9389524829965392E-2</v>
      </c>
      <c r="AA111" s="97">
        <f t="shared" si="1"/>
        <v>67</v>
      </c>
      <c r="AB111" s="397"/>
      <c r="AC111" s="397"/>
      <c r="AD111" s="397"/>
    </row>
    <row r="112" spans="2:30">
      <c r="B112" s="274">
        <v>10369</v>
      </c>
      <c r="C112" s="275" t="s">
        <v>115</v>
      </c>
      <c r="D112" s="407">
        <f>IF(Init!$R$9="Yes",'Staging Table'!F114,'Staging Table'!BH114)*Rates_previous!$E$75*100*12</f>
        <v>5732842.0464000003</v>
      </c>
      <c r="E112" s="407">
        <f>IF(Init!$R$9="Yes",'Staging Table'!F114,'Staging Table'!BH114)*Rates_previous!$E$76*100*12</f>
        <v>-852247.23839999991</v>
      </c>
      <c r="F112" s="408">
        <f>IF(Init!$R$9="Yes",SUMPRODUCT('Staging Table'!L114:AI114,LS_Demand_Rates_Restatement!$C$4:$Z$4)-IF(Init!$R$15="No",('Staging Table'!AV114*Rates_previous!$H$35), 0),SUMPRODUCT('Staging Table'!BN114:CK114,LS_Demand_Rates_Restatement!$C$4:$Z$4)-IF(Init!$R$15="No", 'Staging Table'!CX114*Rates_previous!$H$35, 0))</f>
        <v>-28692.090955382679</v>
      </c>
      <c r="G112" s="408">
        <f>IF(Init!$R$9="Yes",SUMPRODUCT('Staging Table'!AJ114:AU114,LS_Demand_Rates_Restatement!$C$10:$N$10),SUMPRODUCT(LS_Demand_Rates_Restatement!$C$10:$N$10,'Staging Table'!CL114:CW114))*1000</f>
        <v>356753.68050996261</v>
      </c>
      <c r="H112" s="409">
        <f>IF(Init!$R$9="Yes",'Staging Table'!BF114,'Staging Table'!DH114)*Rates_previous!$H$33</f>
        <v>7696.10160000008</v>
      </c>
      <c r="I112" s="409">
        <f>IF(Init!$R$9="Yes",IF('Staging Table'!D114=1,'Staging Table'!H114*-1*('Staging Table'!F114/'Staging Table'!E114),'Staging Table'!H114*SUM(D112:H112)*(-1)),IF('Staging Table'!D114=1,'Staging Table'!BJ114*-1*('Staging Table'!BH114/'Staging Table'!BG114),'Staging Table'!BJ114*SUM(D112:H112)*(-1)))</f>
        <v>-365144.67494082061</v>
      </c>
      <c r="J112" s="407">
        <f>IF(Init!$R$9="Yes",'Staging Table'!K114,'Staging Table'!BM114)*(-1)*Rates_previous!$H$32</f>
        <v>-543902.30477000005</v>
      </c>
      <c r="K112" s="407">
        <f>IF(Init!$R$12="No",0,'Staging Table'!$AW114*-1)</f>
        <v>0</v>
      </c>
      <c r="L112" s="407">
        <f>IF('Staging Table'!C114=1,"",SUM(D112:K112))</f>
        <v>4307305.5194437588</v>
      </c>
      <c r="M112" s="407">
        <f>IF('Staging Table'!C114=1,"",IF(Init!$R$9="Yes",(RT1SC!$C$3*'Staging Table'!F114*'Staging Table'!$F$2)+SUM('Staging Table'!L114:AI114)-IF(Init!$R$15="No",'Staging Table'!AV114, 0),X112))</f>
        <v>142933.24799999999</v>
      </c>
      <c r="N112" s="169">
        <f>IF('Staging Table'!C114=1,"",IF(M112=0, 0, L112/M112))</f>
        <v>30.135084591681277</v>
      </c>
      <c r="O112" s="407">
        <f>'Staging Table'!BH114*Rates_current!$E$75*100*12</f>
        <v>5931380.4566400005</v>
      </c>
      <c r="P112" s="407">
        <f>'Staging Table'!BH114*Rates_current!$E$76*100*12</f>
        <v>-834299.77847999986</v>
      </c>
      <c r="Q112" s="408">
        <f>SUMPRODUCT('Staging Table'!BN114:CK114, LS_Demand_Rates_Restatement!$C$5:$Z$5)-IF(Init!$R$15="No",('Staging Table'!CX114*Rates_current!$H$35), 0)</f>
        <v>-127456.04165296804</v>
      </c>
      <c r="R112" s="408">
        <f>SUMPRODUCT('Staging Table'!CL114:CW114, LS_Demand_Rates_Restatement!$C$11:$N$11)*1000</f>
        <v>333888.976002938</v>
      </c>
      <c r="S112" s="409">
        <f>'Staging Table'!DH114*Rates_current!$H$33</f>
        <v>0</v>
      </c>
      <c r="T112" s="409">
        <f>IF('Staging Table'!D114=1, 'Staging Table'!BJ114*-1*('Staging Table'!BH114/'Staging Table'!BG114),SUM(O112:S112)*'Staging Table'!BJ114*-1)</f>
        <v>-387479.92669330793</v>
      </c>
      <c r="U112" s="407">
        <f>'Staging Table'!BM114*Rates_current!$H$32*-1</f>
        <v>-543440.19576000003</v>
      </c>
      <c r="V112" s="407">
        <f>IF(Init!$R$12="No",0,'Staging Table'!$CY114*-1)</f>
        <v>0</v>
      </c>
      <c r="W112" s="407">
        <f>IF('Staging Table'!C114=1,"",SUM(O112:V112))</f>
        <v>4372593.4900566619</v>
      </c>
      <c r="X112" s="407">
        <f>IF('Staging Table'!C114=1,"",(RT1SC!$C$4*'Staging Table'!BH114*'Staging Table'!$BH$2)+SUM('Staging Table'!BN114:CK114)-IF(Init!$R$15="No",'Staging Table'!CX114, 0))</f>
        <v>141631.67999999999</v>
      </c>
      <c r="Y112" s="169">
        <f>IF('Staging Table'!C114=1,"",IF(X112=0, 0, W112/X112))</f>
        <v>30.872990351146452</v>
      </c>
      <c r="Z112" s="160">
        <f>IF('Staging Table'!C114=1,"",Y112/N112-1)</f>
        <v>2.4486599903849937E-2</v>
      </c>
      <c r="AA112" s="97">
        <f t="shared" si="1"/>
        <v>110</v>
      </c>
      <c r="AB112" s="397"/>
      <c r="AC112" s="397"/>
      <c r="AD112" s="397"/>
    </row>
    <row r="113" spans="2:30">
      <c r="B113" s="274">
        <v>10370</v>
      </c>
      <c r="C113" s="275" t="s">
        <v>116</v>
      </c>
      <c r="D113" s="407">
        <f>IF(Init!$R$9="Yes",'Staging Table'!F115,'Staging Table'!BH115)*Rates_previous!$E$75*100*12</f>
        <v>59270804.381879993</v>
      </c>
      <c r="E113" s="407">
        <f>IF(Init!$R$9="Yes",'Staging Table'!F115,'Staging Table'!BH115)*Rates_previous!$E$76*100*12</f>
        <v>-8811228.173279997</v>
      </c>
      <c r="F113" s="408">
        <f>IF(Init!$R$9="Yes",SUMPRODUCT('Staging Table'!L115:AI115,LS_Demand_Rates_Restatement!$C$4:$Z$4)-IF(Init!$R$15="No",('Staging Table'!AV115*Rates_previous!$H$35), 0),SUMPRODUCT('Staging Table'!BN115:CK115,LS_Demand_Rates_Restatement!$C$4:$Z$4)-IF(Init!$R$15="No", 'Staging Table'!CX115*Rates_previous!$H$35, 0))</f>
        <v>-82492.066747074015</v>
      </c>
      <c r="G113" s="408">
        <f>IF(Init!$R$9="Yes",SUMPRODUCT('Staging Table'!AJ115:AU115,LS_Demand_Rates_Restatement!$C$10:$N$10),SUMPRODUCT(LS_Demand_Rates_Restatement!$C$10:$N$10,'Staging Table'!CL115:CW115))*1000</f>
        <v>0</v>
      </c>
      <c r="H113" s="409">
        <f>IF(Init!$R$9="Yes",'Staging Table'!BF115,'Staging Table'!DH115)*Rates_previous!$H$33</f>
        <v>0</v>
      </c>
      <c r="I113" s="409">
        <f>IF(Init!$R$9="Yes",IF('Staging Table'!D115=1,'Staging Table'!H115*-1*('Staging Table'!F115/'Staging Table'!E115),'Staging Table'!H115*SUM(D113:H113)*(-1)),IF('Staging Table'!D115=1,'Staging Table'!BJ115*-1*('Staging Table'!BH115/'Staging Table'!BG115),'Staging Table'!BJ115*SUM(D113:H113)*(-1)))</f>
        <v>0</v>
      </c>
      <c r="J113" s="407">
        <f>IF(Init!$R$9="Yes",'Staging Table'!K115,'Staging Table'!BM115)*(-1)*Rates_previous!$H$32</f>
        <v>0</v>
      </c>
      <c r="K113" s="407">
        <f>IF(Init!$R$12="No",0,'Staging Table'!$AW115*-1)</f>
        <v>0</v>
      </c>
      <c r="L113" s="407">
        <f>IF('Staging Table'!C115=1,"",SUM(D113:K113))</f>
        <v>50377084.141852923</v>
      </c>
      <c r="M113" s="407">
        <f>IF('Staging Table'!C115=1,"",IF(Init!$R$9="Yes",(RT1SC!$C$3*'Staging Table'!F115*'Staging Table'!$F$2)+SUM('Staging Table'!L115:AI115)-IF(Init!$R$15="No",'Staging Table'!AV115, 0),X113))</f>
        <v>1468751.5901970093</v>
      </c>
      <c r="N113" s="169">
        <f>IF('Staging Table'!C115=1,"",IF(M113=0, 0, L113/M113))</f>
        <v>34.299254195255479</v>
      </c>
      <c r="O113" s="407">
        <f>'Staging Table'!BH115*Rates_current!$E$75*100*12</f>
        <v>62395034.549759999</v>
      </c>
      <c r="P113" s="407">
        <f>'Staging Table'!BH115*Rates_current!$E$76*100*12</f>
        <v>-8776399.3363199998</v>
      </c>
      <c r="Q113" s="408">
        <f>SUMPRODUCT('Staging Table'!BN115:CK115, LS_Demand_Rates_Restatement!$C$5:$Z$5)-IF(Init!$R$15="No",('Staging Table'!CX115*Rates_current!$H$35), 0)</f>
        <v>-245262.88650603531</v>
      </c>
      <c r="R113" s="408">
        <f>SUMPRODUCT('Staging Table'!CL115:CW115, LS_Demand_Rates_Restatement!$C$11:$N$11)*1000</f>
        <v>0</v>
      </c>
      <c r="S113" s="409">
        <f>'Staging Table'!DH115*Rates_current!$H$33</f>
        <v>0</v>
      </c>
      <c r="T113" s="409">
        <f>IF('Staging Table'!D115=1, 'Staging Table'!BJ115*-1*('Staging Table'!BH115/'Staging Table'!BG115),SUM(O113:S113)*'Staging Table'!BJ115*-1)</f>
        <v>0</v>
      </c>
      <c r="U113" s="407">
        <f>'Staging Table'!BM115*Rates_current!$H$32*-1</f>
        <v>0</v>
      </c>
      <c r="V113" s="407">
        <f>IF(Init!$R$12="No",0,'Staging Table'!$CY115*-1)</f>
        <v>0</v>
      </c>
      <c r="W113" s="407">
        <f>IF('Staging Table'!C115=1,"",SUM(O113:V113))</f>
        <v>53373372.326933965</v>
      </c>
      <c r="X113" s="407">
        <f>IF('Staging Table'!C115=1,"",(RT1SC!$C$4*'Staging Table'!BH115*'Staging Table'!$BH$2)+SUM('Staging Table'!BN115:CK115)-IF(Init!$R$15="No",'Staging Table'!CX115, 0))</f>
        <v>1467771.0217366258</v>
      </c>
      <c r="Y113" s="169">
        <f>IF('Staging Table'!C115=1,"",IF(X113=0, 0, W113/X113))</f>
        <v>36.363555034479475</v>
      </c>
      <c r="Z113" s="160">
        <f>IF('Staging Table'!C115=1,"",Y113/N113-1)</f>
        <v>6.0185006573978184E-2</v>
      </c>
      <c r="AA113" s="97">
        <f t="shared" si="1"/>
        <v>18</v>
      </c>
      <c r="AB113" s="397"/>
      <c r="AC113" s="397"/>
      <c r="AD113" s="397"/>
    </row>
    <row r="114" spans="2:30">
      <c r="B114" s="274">
        <v>10371</v>
      </c>
      <c r="C114" s="275" t="s">
        <v>117</v>
      </c>
      <c r="D114" s="407">
        <f>IF(Init!$R$9="Yes",'Staging Table'!F116,'Staging Table'!BH116)*Rates_previous!$E$75*100*12</f>
        <v>3872638.7657999997</v>
      </c>
      <c r="E114" s="407">
        <f>IF(Init!$R$9="Yes",'Staging Table'!F116,'Staging Table'!BH116)*Rates_previous!$E$76*100*12</f>
        <v>-575708.46479999996</v>
      </c>
      <c r="F114" s="408">
        <f>IF(Init!$R$9="Yes",SUMPRODUCT('Staging Table'!L116:AI116,LS_Demand_Rates_Restatement!$C$4:$Z$4)-IF(Init!$R$15="No",('Staging Table'!AV116*Rates_previous!$H$35), 0),SUMPRODUCT('Staging Table'!BN116:CK116,LS_Demand_Rates_Restatement!$C$4:$Z$4)-IF(Init!$R$15="No", 'Staging Table'!CX116*Rates_previous!$H$35, 0))</f>
        <v>-100122.85276521076</v>
      </c>
      <c r="G114" s="408">
        <f>IF(Init!$R$9="Yes",SUMPRODUCT('Staging Table'!AJ116:AU116,LS_Demand_Rates_Restatement!$C$10:$N$10),SUMPRODUCT(LS_Demand_Rates_Restatement!$C$10:$N$10,'Staging Table'!CL116:CW116))*1000</f>
        <v>119579.04218284367</v>
      </c>
      <c r="H114" s="409">
        <f>IF(Init!$R$9="Yes",'Staging Table'!BF116,'Staging Table'!DH116)*Rates_previous!$H$33</f>
        <v>0</v>
      </c>
      <c r="I114" s="409">
        <f>IF(Init!$R$9="Yes",IF('Staging Table'!D116=1,'Staging Table'!H116*-1*('Staging Table'!F116/'Staging Table'!E116),'Staging Table'!H116*SUM(D114:H114)*(-1)),IF('Staging Table'!D116=1,'Staging Table'!BJ116*-1*('Staging Table'!BH116/'Staging Table'!BG116),'Staging Table'!BJ116*SUM(D114:H114)*(-1)))</f>
        <v>0</v>
      </c>
      <c r="J114" s="407">
        <f>IF(Init!$R$9="Yes",'Staging Table'!K116,'Staging Table'!BM116)*(-1)*Rates_previous!$H$32</f>
        <v>0</v>
      </c>
      <c r="K114" s="407">
        <f>IF(Init!$R$12="No",0,'Staging Table'!$AW116*-1)</f>
        <v>0</v>
      </c>
      <c r="L114" s="407">
        <f>IF('Staging Table'!C116=1,"",SUM(D114:K114))</f>
        <v>3316386.4904176327</v>
      </c>
      <c r="M114" s="407">
        <f>IF('Staging Table'!C116=1,"",IF(Init!$R$9="Yes",(RT1SC!$C$3*'Staging Table'!F116*'Staging Table'!$F$2)+SUM('Staging Table'!L116:AI116)-IF(Init!$R$15="No",'Staging Table'!AV116, 0),X114))</f>
        <v>91178.586225885039</v>
      </c>
      <c r="N114" s="169">
        <f>IF('Staging Table'!C116=1,"",IF(M114=0, 0, L114/M114))</f>
        <v>36.372427207871439</v>
      </c>
      <c r="O114" s="407">
        <f>'Staging Table'!BH116*Rates_current!$E$75*100*12</f>
        <v>3982108.8672000002</v>
      </c>
      <c r="P114" s="407">
        <f>'Staging Table'!BH116*Rates_current!$E$76*100*12</f>
        <v>-560117.93039999995</v>
      </c>
      <c r="Q114" s="408">
        <f>SUMPRODUCT('Staging Table'!BN116:CK116, LS_Demand_Rates_Restatement!$C$5:$Z$5)-IF(Init!$R$15="No",('Staging Table'!CX116*Rates_current!$H$35), 0)</f>
        <v>-30069.362253805779</v>
      </c>
      <c r="R114" s="408">
        <f>SUMPRODUCT('Staging Table'!CL116:CW116, LS_Demand_Rates_Restatement!$C$11:$N$11)*1000</f>
        <v>116323.97243048434</v>
      </c>
      <c r="S114" s="409">
        <f>'Staging Table'!DH116*Rates_current!$H$33</f>
        <v>0</v>
      </c>
      <c r="T114" s="409">
        <f>IF('Staging Table'!D116=1, 'Staging Table'!BJ116*-1*('Staging Table'!BH116/'Staging Table'!BG116),SUM(O114:S114)*'Staging Table'!BJ116*-1)</f>
        <v>0</v>
      </c>
      <c r="U114" s="407">
        <f>'Staging Table'!BM116*Rates_current!$H$32*-1</f>
        <v>0</v>
      </c>
      <c r="V114" s="407">
        <f>IF(Init!$R$12="No",0,'Staging Table'!$CY116*-1)</f>
        <v>0</v>
      </c>
      <c r="W114" s="407">
        <f>IF('Staging Table'!C116=1,"",SUM(O114:V114))</f>
        <v>3508245.546976679</v>
      </c>
      <c r="X114" s="407">
        <f>IF('Staging Table'!C116=1,"",(RT1SC!$C$4*'Staging Table'!BH116*'Staging Table'!$BH$2)+SUM('Staging Table'!BN116:CK116)-IF(Init!$R$15="No",'Staging Table'!CX116, 0))</f>
        <v>91876.459387251583</v>
      </c>
      <c r="Y114" s="169">
        <f>IF('Staging Table'!C116=1,"",IF(X114=0, 0, W114/X114))</f>
        <v>38.184379006048957</v>
      </c>
      <c r="Z114" s="160">
        <f>IF('Staging Table'!C116=1,"",Y114/N114-1)</f>
        <v>4.981663136809833E-2</v>
      </c>
      <c r="AA114" s="97">
        <f t="shared" si="1"/>
        <v>60</v>
      </c>
      <c r="AB114" s="397"/>
      <c r="AC114" s="397"/>
      <c r="AD114" s="397"/>
    </row>
    <row r="115" spans="2:30">
      <c r="B115" s="274">
        <v>10376</v>
      </c>
      <c r="C115" s="275" t="s">
        <v>118</v>
      </c>
      <c r="D115" s="407">
        <f>IF(Init!$R$9="Yes",'Staging Table'!F117,'Staging Table'!BH117)*Rates_previous!$E$75*100*12</f>
        <v>19436463.31284</v>
      </c>
      <c r="E115" s="407">
        <f>IF(Init!$R$9="Yes",'Staging Table'!F117,'Staging Table'!BH117)*Rates_previous!$E$76*100*12</f>
        <v>-2889434.60304</v>
      </c>
      <c r="F115" s="408">
        <f>IF(Init!$R$9="Yes",SUMPRODUCT('Staging Table'!L117:AI117,LS_Demand_Rates_Restatement!$C$4:$Z$4)-IF(Init!$R$15="No",('Staging Table'!AV117*Rates_previous!$H$35), 0),SUMPRODUCT('Staging Table'!BN117:CK117,LS_Demand_Rates_Restatement!$C$4:$Z$4)-IF(Init!$R$15="No", 'Staging Table'!CX117*Rates_previous!$H$35, 0))</f>
        <v>-52577.08154572286</v>
      </c>
      <c r="G115" s="408">
        <f>IF(Init!$R$9="Yes",SUMPRODUCT('Staging Table'!AJ117:AU117,LS_Demand_Rates_Restatement!$C$10:$N$10),SUMPRODUCT(LS_Demand_Rates_Restatement!$C$10:$N$10,'Staging Table'!CL117:CW117))*1000</f>
        <v>835001.33986840246</v>
      </c>
      <c r="H115" s="409">
        <f>IF(Init!$R$9="Yes",'Staging Table'!BF117,'Staging Table'!DH117)*Rates_previous!$H$33</f>
        <v>-59650.600666764891</v>
      </c>
      <c r="I115" s="409">
        <f>IF(Init!$R$9="Yes",IF('Staging Table'!D117=1,'Staging Table'!H117*-1*('Staging Table'!F117/'Staging Table'!E117),'Staging Table'!H117*SUM(D115:H115)*(-1)),IF('Staging Table'!D117=1,'Staging Table'!BJ117*-1*('Staging Table'!BH117/'Staging Table'!BG117),'Staging Table'!BJ117*SUM(D115:H115)*(-1)))</f>
        <v>0</v>
      </c>
      <c r="J115" s="407">
        <f>IF(Init!$R$9="Yes",'Staging Table'!K117,'Staging Table'!BM117)*(-1)*Rates_previous!$H$32</f>
        <v>0</v>
      </c>
      <c r="K115" s="407">
        <f>IF(Init!$R$12="No",0,'Staging Table'!$AW117*-1)</f>
        <v>0</v>
      </c>
      <c r="L115" s="407">
        <f>IF('Staging Table'!C117=1,"",SUM(D115:K115))</f>
        <v>17269802.367455915</v>
      </c>
      <c r="M115" s="407">
        <f>IF('Staging Table'!C117=1,"",IF(Init!$R$9="Yes",(RT1SC!$C$3*'Staging Table'!F117*'Staging Table'!$F$2)+SUM('Staging Table'!L117:AI117)-IF(Init!$R$15="No",'Staging Table'!AV117, 0),X115))</f>
        <v>474904.10713369888</v>
      </c>
      <c r="N115" s="169">
        <f>IF('Staging Table'!C117=1,"",IF(M115=0, 0, L115/M115))</f>
        <v>36.364819987951755</v>
      </c>
      <c r="O115" s="407">
        <f>'Staging Table'!BH117*Rates_current!$E$75*100*12</f>
        <v>19899843.851519998</v>
      </c>
      <c r="P115" s="407">
        <f>'Staging Table'!BH117*Rates_current!$E$76*100*12</f>
        <v>-2799084.5366399996</v>
      </c>
      <c r="Q115" s="408">
        <f>SUMPRODUCT('Staging Table'!BN117:CK117, LS_Demand_Rates_Restatement!$C$5:$Z$5)-IF(Init!$R$15="No",('Staging Table'!CX117*Rates_current!$H$35), 0)</f>
        <v>249918.80187771414</v>
      </c>
      <c r="R115" s="408">
        <f>SUMPRODUCT('Staging Table'!CL117:CW117, LS_Demand_Rates_Restatement!$C$11:$N$11)*1000</f>
        <v>827625.96353482013</v>
      </c>
      <c r="S115" s="409">
        <f>'Staging Table'!DH117*Rates_current!$H$33</f>
        <v>-3596.6101102396933</v>
      </c>
      <c r="T115" s="409">
        <f>IF('Staging Table'!D117=1, 'Staging Table'!BJ117*-1*('Staging Table'!BH117/'Staging Table'!BG117),SUM(O115:S115)*'Staging Table'!BJ117*-1)</f>
        <v>0</v>
      </c>
      <c r="U115" s="407">
        <f>'Staging Table'!BM117*Rates_current!$H$32*-1</f>
        <v>0</v>
      </c>
      <c r="V115" s="407">
        <f>IF(Init!$R$12="No",0,'Staging Table'!$CY117*-1)</f>
        <v>0</v>
      </c>
      <c r="W115" s="407">
        <f>IF('Staging Table'!C117=1,"",SUM(O115:V115))</f>
        <v>18174707.470182296</v>
      </c>
      <c r="X115" s="407">
        <f>IF('Staging Table'!C117=1,"",(RT1SC!$C$4*'Staging Table'!BH117*'Staging Table'!$BH$2)+SUM('Staging Table'!BN117:CK117)-IF(Init!$R$15="No",'Staging Table'!CX117, 0))</f>
        <v>474904.11293253017</v>
      </c>
      <c r="Y115" s="169">
        <f>IF('Staging Table'!C117=1,"",IF(X115=0, 0, W115/X115))</f>
        <v>38.270267566127366</v>
      </c>
      <c r="Z115" s="160">
        <f>IF('Staging Table'!C117=1,"",Y115/N115-1)</f>
        <v>5.2398102858942197E-2</v>
      </c>
      <c r="AA115" s="97">
        <f t="shared" si="1"/>
        <v>45</v>
      </c>
      <c r="AB115" s="397"/>
      <c r="AC115" s="397"/>
      <c r="AD115" s="397"/>
    </row>
    <row r="116" spans="2:30">
      <c r="B116" s="274">
        <v>10378</v>
      </c>
      <c r="C116" s="275" t="s">
        <v>119</v>
      </c>
      <c r="D116" s="407">
        <f>IF(Init!$R$9="Yes",'Staging Table'!F118,'Staging Table'!BH118)*Rates_previous!$E$75*100*12</f>
        <v>709179.29460000014</v>
      </c>
      <c r="E116" s="407">
        <f>IF(Init!$R$9="Yes",'Staging Table'!F118,'Staging Table'!BH118)*Rates_previous!$E$76*100*12</f>
        <v>-105426.95760000002</v>
      </c>
      <c r="F116" s="408">
        <f>IF(Init!$R$9="Yes",SUMPRODUCT('Staging Table'!L118:AI118,LS_Demand_Rates_Restatement!$C$4:$Z$4)-IF(Init!$R$15="No",('Staging Table'!AV118*Rates_previous!$H$35), 0),SUMPRODUCT('Staging Table'!BN118:CK118,LS_Demand_Rates_Restatement!$C$4:$Z$4)-IF(Init!$R$15="No", 'Staging Table'!CX118*Rates_previous!$H$35, 0))</f>
        <v>-20804.548329717461</v>
      </c>
      <c r="G116" s="408">
        <f>IF(Init!$R$9="Yes",SUMPRODUCT('Staging Table'!AJ118:AU118,LS_Demand_Rates_Restatement!$C$10:$N$10),SUMPRODUCT(LS_Demand_Rates_Restatement!$C$10:$N$10,'Staging Table'!CL118:CW118))*1000</f>
        <v>14295.171440064092</v>
      </c>
      <c r="H116" s="409">
        <f>IF(Init!$R$9="Yes",'Staging Table'!BF118,'Staging Table'!DH118)*Rates_previous!$H$33</f>
        <v>-9579.6113339167987</v>
      </c>
      <c r="I116" s="409">
        <f>IF(Init!$R$9="Yes",IF('Staging Table'!D118=1,'Staging Table'!H118*-1*('Staging Table'!F118/'Staging Table'!E118),'Staging Table'!H118*SUM(D116:H116)*(-1)),IF('Staging Table'!D118=1,'Staging Table'!BJ118*-1*('Staging Table'!BH118/'Staging Table'!BG118),'Staging Table'!BJ118*SUM(D116:H116)*(-1)))</f>
        <v>0</v>
      </c>
      <c r="J116" s="407">
        <f>IF(Init!$R$9="Yes",'Staging Table'!K118,'Staging Table'!BM118)*(-1)*Rates_previous!$H$32</f>
        <v>0</v>
      </c>
      <c r="K116" s="407">
        <f>IF(Init!$R$12="No",0,'Staging Table'!$AW118*-1)</f>
        <v>0</v>
      </c>
      <c r="L116" s="407">
        <f>IF('Staging Table'!C118=1,"",SUM(D116:K116))</f>
        <v>587663.34877642989</v>
      </c>
      <c r="M116" s="407">
        <f>IF('Staging Table'!C118=1,"",IF(Init!$R$9="Yes",(RT1SC!$C$3*'Staging Table'!F118*'Staging Table'!$F$2)+SUM('Staging Table'!L118:AI118)-IF(Init!$R$15="No",'Staging Table'!AV118, 0),X116))</f>
        <v>16494.342041365333</v>
      </c>
      <c r="N116" s="169">
        <f>IF('Staging Table'!C118=1,"",IF(M116=0, 0, L116/M116))</f>
        <v>35.628177668600451</v>
      </c>
      <c r="O116" s="407">
        <f>'Staging Table'!BH118*Rates_current!$E$75*100*12</f>
        <v>690690.79583999992</v>
      </c>
      <c r="P116" s="407">
        <f>'Staging Table'!BH118*Rates_current!$E$76*100*12</f>
        <v>-97151.612879999986</v>
      </c>
      <c r="Q116" s="408">
        <f>SUMPRODUCT('Staging Table'!BN118:CK118, LS_Demand_Rates_Restatement!$C$5:$Z$5)-IF(Init!$R$15="No",('Staging Table'!CX118*Rates_current!$H$35), 0)</f>
        <v>16353.067929965633</v>
      </c>
      <c r="R116" s="408">
        <f>SUMPRODUCT('Staging Table'!CL118:CW118, LS_Demand_Rates_Restatement!$C$11:$N$11)*1000</f>
        <v>13173.651148326202</v>
      </c>
      <c r="S116" s="409">
        <f>'Staging Table'!DH118*Rates_current!$H$33</f>
        <v>-9.4064321370842663</v>
      </c>
      <c r="T116" s="409">
        <f>IF('Staging Table'!D118=1, 'Staging Table'!BJ118*-1*('Staging Table'!BH118/'Staging Table'!BG118),SUM(O116:S116)*'Staging Table'!BJ118*-1)</f>
        <v>0</v>
      </c>
      <c r="U116" s="407">
        <f>'Staging Table'!BM118*Rates_current!$H$32*-1</f>
        <v>0</v>
      </c>
      <c r="V116" s="407">
        <f>IF(Init!$R$12="No",0,'Staging Table'!$CY118*-1)</f>
        <v>0</v>
      </c>
      <c r="W116" s="407">
        <f>IF('Staging Table'!C118=1,"",SUM(O116:V116))</f>
        <v>623056.49560615467</v>
      </c>
      <c r="X116" s="407">
        <f>IF('Staging Table'!C118=1,"",(RT1SC!$C$4*'Staging Table'!BH118*'Staging Table'!$BH$2)+SUM('Staging Table'!BN118:CK118)-IF(Init!$R$15="No",'Staging Table'!CX118, 0))</f>
        <v>16494.342240616701</v>
      </c>
      <c r="Y116" s="169">
        <f>IF('Staging Table'!C118=1,"",IF(X116=0, 0, W116/X116))</f>
        <v>37.773952214469112</v>
      </c>
      <c r="Z116" s="160">
        <f>IF('Staging Table'!C118=1,"",Y116/N116-1)</f>
        <v>6.0226895852710349E-2</v>
      </c>
      <c r="AA116" s="97">
        <f t="shared" si="1"/>
        <v>17</v>
      </c>
      <c r="AB116" s="397"/>
      <c r="AC116" s="397"/>
      <c r="AD116" s="397"/>
    </row>
    <row r="117" spans="2:30">
      <c r="B117" s="274">
        <v>10379</v>
      </c>
      <c r="C117" s="275" t="s">
        <v>120</v>
      </c>
      <c r="D117" s="407">
        <f>IF(Init!$R$9="Yes",'Staging Table'!F119,'Staging Table'!BH119)*Rates_previous!$E$75*100*12</f>
        <v>1687673.4487199998</v>
      </c>
      <c r="E117" s="407">
        <f>IF(Init!$R$9="Yes",'Staging Table'!F119,'Staging Table'!BH119)*Rates_previous!$E$76*100*12</f>
        <v>-250890.40031999996</v>
      </c>
      <c r="F117" s="408">
        <f>IF(Init!$R$9="Yes",SUMPRODUCT('Staging Table'!L119:AI119,LS_Demand_Rates_Restatement!$C$4:$Z$4)-IF(Init!$R$15="No",('Staging Table'!AV119*Rates_previous!$H$35), 0),SUMPRODUCT('Staging Table'!BN119:CK119,LS_Demand_Rates_Restatement!$C$4:$Z$4)-IF(Init!$R$15="No", 'Staging Table'!CX119*Rates_previous!$H$35, 0))</f>
        <v>-4828.647773076249</v>
      </c>
      <c r="G117" s="408">
        <f>IF(Init!$R$9="Yes",SUMPRODUCT('Staging Table'!AJ119:AU119,LS_Demand_Rates_Restatement!$C$10:$N$10),SUMPRODUCT(LS_Demand_Rates_Restatement!$C$10:$N$10,'Staging Table'!CL119:CW119))*1000</f>
        <v>128527.57836964034</v>
      </c>
      <c r="H117" s="409">
        <f>IF(Init!$R$9="Yes",'Staging Table'!BF119,'Staging Table'!DH119)*Rates_previous!$H$33</f>
        <v>-5683.008928811455</v>
      </c>
      <c r="I117" s="409">
        <f>IF(Init!$R$9="Yes",IF('Staging Table'!D119=1,'Staging Table'!H119*-1*('Staging Table'!F119/'Staging Table'!E119),'Staging Table'!H119*SUM(D117:H117)*(-1)),IF('Staging Table'!D119=1,'Staging Table'!BJ119*-1*('Staging Table'!BH119/'Staging Table'!BG119),'Staging Table'!BJ119*SUM(D117:H117)*(-1)))</f>
        <v>0</v>
      </c>
      <c r="J117" s="407">
        <f>IF(Init!$R$9="Yes",'Staging Table'!K119,'Staging Table'!BM119)*(-1)*Rates_previous!$H$32</f>
        <v>0</v>
      </c>
      <c r="K117" s="407">
        <f>IF(Init!$R$12="No",0,'Staging Table'!$AW119*-1)</f>
        <v>0</v>
      </c>
      <c r="L117" s="407">
        <f>IF('Staging Table'!C119=1,"",SUM(D117:K117))</f>
        <v>1554798.9700677523</v>
      </c>
      <c r="M117" s="407">
        <f>IF('Staging Table'!C119=1,"",IF(Init!$R$9="Yes",(RT1SC!$C$3*'Staging Table'!F119*'Staging Table'!$F$2)+SUM('Staging Table'!L119:AI119)-IF(Init!$R$15="No",'Staging Table'!AV119, 0),X117))</f>
        <v>41178.476098439387</v>
      </c>
      <c r="N117" s="169">
        <f>IF('Staging Table'!C119=1,"",IF(M117=0, 0, L117/M117))</f>
        <v>37.757564567249183</v>
      </c>
      <c r="O117" s="407">
        <f>'Staging Table'!BH119*Rates_current!$E$75*100*12</f>
        <v>1724561.41536</v>
      </c>
      <c r="P117" s="407">
        <f>'Staging Table'!BH119*Rates_current!$E$76*100*12</f>
        <v>-242574.42552000005</v>
      </c>
      <c r="Q117" s="408">
        <f>SUMPRODUCT('Staging Table'!BN119:CK119, LS_Demand_Rates_Restatement!$C$5:$Z$5)-IF(Init!$R$15="No",('Staging Table'!CX119*Rates_current!$H$35), 0)</f>
        <v>26604.243276516787</v>
      </c>
      <c r="R117" s="408">
        <f>SUMPRODUCT('Staging Table'!CL119:CW119, LS_Demand_Rates_Restatement!$C$11:$N$11)*1000</f>
        <v>126527.14346480594</v>
      </c>
      <c r="S117" s="409">
        <f>'Staging Table'!DH119*Rates_current!$H$33</f>
        <v>-29.113339961435486</v>
      </c>
      <c r="T117" s="409">
        <f>IF('Staging Table'!D119=1, 'Staging Table'!BJ119*-1*('Staging Table'!BH119/'Staging Table'!BG119),SUM(O117:S117)*'Staging Table'!BJ119*-1)</f>
        <v>0</v>
      </c>
      <c r="U117" s="407">
        <f>'Staging Table'!BM119*Rates_current!$H$32*-1</f>
        <v>0</v>
      </c>
      <c r="V117" s="407">
        <f>IF(Init!$R$12="No",0,'Staging Table'!$CY119*-1)</f>
        <v>0</v>
      </c>
      <c r="W117" s="407">
        <f>IF('Staging Table'!C119=1,"",SUM(O117:V117))</f>
        <v>1635089.2632413611</v>
      </c>
      <c r="X117" s="407">
        <f>IF('Staging Table'!C119=1,"",(RT1SC!$C$4*'Staging Table'!BH119*'Staging Table'!$BH$2)+SUM('Staging Table'!BN119:CK119)-IF(Init!$R$15="No",'Staging Table'!CX119, 0))</f>
        <v>41178.476600787333</v>
      </c>
      <c r="Y117" s="169">
        <f>IF('Staging Table'!C119=1,"",IF(X117=0, 0, W117/X117))</f>
        <v>39.70737623669396</v>
      </c>
      <c r="Z117" s="160">
        <f>IF('Staging Table'!C119=1,"",Y117/N117-1)</f>
        <v>5.1640292264401921E-2</v>
      </c>
      <c r="AA117" s="97">
        <f t="shared" si="1"/>
        <v>48</v>
      </c>
      <c r="AB117" s="397"/>
      <c r="AC117" s="397"/>
      <c r="AD117" s="397"/>
    </row>
    <row r="118" spans="2:30">
      <c r="B118" s="274">
        <v>10388</v>
      </c>
      <c r="C118" s="275" t="s">
        <v>121</v>
      </c>
      <c r="D118" s="407">
        <f>IF(Init!$R$9="Yes",'Staging Table'!F120,'Staging Table'!BH120)*Rates_previous!$E$75*100*12</f>
        <v>39743001.746279992</v>
      </c>
      <c r="E118" s="407">
        <f>IF(Init!$R$9="Yes",'Staging Table'!F120,'Staging Table'!BH120)*Rates_previous!$E$76*100*12</f>
        <v>-5908215.0196800008</v>
      </c>
      <c r="F118" s="408">
        <f>IF(Init!$R$9="Yes",SUMPRODUCT('Staging Table'!L120:AI120,LS_Demand_Rates_Restatement!$C$4:$Z$4)-IF(Init!$R$15="No",('Staging Table'!AV120*Rates_previous!$H$35), 0),SUMPRODUCT('Staging Table'!BN120:CK120,LS_Demand_Rates_Restatement!$C$4:$Z$4)-IF(Init!$R$15="No", 'Staging Table'!CX120*Rates_previous!$H$35, 0))</f>
        <v>0</v>
      </c>
      <c r="G118" s="408">
        <f>IF(Init!$R$9="Yes",SUMPRODUCT('Staging Table'!AJ120:AU120,LS_Demand_Rates_Restatement!$C$10:$N$10),SUMPRODUCT(LS_Demand_Rates_Restatement!$C$10:$N$10,'Staging Table'!CL120:CW120))*1000</f>
        <v>0</v>
      </c>
      <c r="H118" s="409">
        <f>IF(Init!$R$9="Yes",'Staging Table'!BF120,'Staging Table'!DH120)*Rates_previous!$H$33</f>
        <v>0</v>
      </c>
      <c r="I118" s="409">
        <f>IF(Init!$R$9="Yes",IF('Staging Table'!D120=1,'Staging Table'!H120*-1*('Staging Table'!F120/'Staging Table'!E120),'Staging Table'!H120*SUM(D118:H118)*(-1)),IF('Staging Table'!D120=1,'Staging Table'!BJ120*-1*('Staging Table'!BH120/'Staging Table'!BG120),'Staging Table'!BJ120*SUM(D118:H118)*(-1)))</f>
        <v>-2505804.3049719953</v>
      </c>
      <c r="J118" s="407">
        <f>IF(Init!$R$9="Yes",'Staging Table'!K120,'Staging Table'!BM120)*(-1)*Rates_previous!$H$32</f>
        <v>-2692651.4657900003</v>
      </c>
      <c r="K118" s="407">
        <f>IF(Init!$R$12="No",0,'Staging Table'!$AW120*-1)</f>
        <v>0</v>
      </c>
      <c r="L118" s="407" t="str">
        <f>IF('Staging Table'!C120=1,"",SUM(D118:K118))</f>
        <v/>
      </c>
      <c r="M118" s="407" t="str">
        <f>IF('Staging Table'!C120=1,"",IF(Init!$R$9="Yes",(RT1SC!$C$3*'Staging Table'!F120*'Staging Table'!$F$2)+SUM('Staging Table'!L120:AI120)-IF(Init!$R$15="No",'Staging Table'!AV120, 0),X118))</f>
        <v/>
      </c>
      <c r="N118" s="169" t="str">
        <f>IF('Staging Table'!C120=1,"",IF(M118=0, 0, L118/M118))</f>
        <v/>
      </c>
      <c r="O118" s="407">
        <f>'Staging Table'!BH120*Rates_current!$E$75*100*12</f>
        <v>40869481.377599999</v>
      </c>
      <c r="P118" s="407">
        <f>'Staging Table'!BH120*Rates_current!$E$76*100*12</f>
        <v>-5748644.7731999997</v>
      </c>
      <c r="Q118" s="408">
        <f>SUMPRODUCT('Staging Table'!BN120:CK120, LS_Demand_Rates_Restatement!$C$5:$Z$5)-IF(Init!$R$15="No",('Staging Table'!CX120*Rates_current!$H$35), 0)</f>
        <v>0</v>
      </c>
      <c r="R118" s="408">
        <f>SUMPRODUCT('Staging Table'!CL120:CW120, LS_Demand_Rates_Restatement!$C$11:$N$11)*1000</f>
        <v>0</v>
      </c>
      <c r="S118" s="409">
        <f>'Staging Table'!DH120*Rates_current!$H$33</f>
        <v>0</v>
      </c>
      <c r="T118" s="409">
        <f>IF('Staging Table'!D120=1, 'Staging Table'!BJ120*-1*('Staging Table'!BH120/'Staging Table'!BG120),SUM(O118:S118)*'Staging Table'!BJ120*-1)</f>
        <v>-3138738.379451015</v>
      </c>
      <c r="U118" s="407">
        <f>'Staging Table'!BM120*Rates_current!$H$32*-1</f>
        <v>-2690363.7415200002</v>
      </c>
      <c r="V118" s="407">
        <f>IF(Init!$R$12="No",0,'Staging Table'!$CY120*-1)</f>
        <v>0</v>
      </c>
      <c r="W118" s="407" t="str">
        <f>IF('Staging Table'!C120=1,"",SUM(O118:V118))</f>
        <v/>
      </c>
      <c r="X118" s="407" t="str">
        <f>IF('Staging Table'!C120=1,"",(RT1SC!$C$4*'Staging Table'!BH120*'Staging Table'!$BH$2)+SUM('Staging Table'!BN120:CK120)-IF(Init!$R$15="No",'Staging Table'!CX120, 0))</f>
        <v/>
      </c>
      <c r="Y118" s="169" t="str">
        <f>IF('Staging Table'!C120=1,"",IF(X118=0, 0, W118/X118))</f>
        <v/>
      </c>
      <c r="Z118" s="160" t="str">
        <f>IF('Staging Table'!C120=1,"",Y118/N118-1)</f>
        <v/>
      </c>
      <c r="AA118" s="97" t="str">
        <f t="shared" si="1"/>
        <v/>
      </c>
      <c r="AB118" s="397"/>
      <c r="AC118" s="397"/>
      <c r="AD118" s="397"/>
    </row>
    <row r="119" spans="2:30">
      <c r="B119" s="274">
        <v>10391</v>
      </c>
      <c r="C119" s="275" t="s">
        <v>122</v>
      </c>
      <c r="D119" s="407">
        <f>IF(Init!$R$9="Yes",'Staging Table'!F121,'Staging Table'!BH121)*Rates_previous!$E$75*100*12</f>
        <v>10522091.956319999</v>
      </c>
      <c r="E119" s="407">
        <f>IF(Init!$R$9="Yes",'Staging Table'!F121,'Staging Table'!BH121)*Rates_previous!$E$76*100*12</f>
        <v>-1564219.5859199998</v>
      </c>
      <c r="F119" s="408">
        <f>IF(Init!$R$9="Yes",SUMPRODUCT('Staging Table'!L121:AI121,LS_Demand_Rates_Restatement!$C$4:$Z$4)-IF(Init!$R$15="No",('Staging Table'!AV121*Rates_previous!$H$35), 0),SUMPRODUCT('Staging Table'!BN121:CK121,LS_Demand_Rates_Restatement!$C$4:$Z$4)-IF(Init!$R$15="No", 'Staging Table'!CX121*Rates_previous!$H$35, 0))</f>
        <v>-55576.451169956068</v>
      </c>
      <c r="G119" s="408">
        <f>IF(Init!$R$9="Yes",SUMPRODUCT('Staging Table'!AJ121:AU121,LS_Demand_Rates_Restatement!$C$10:$N$10),SUMPRODUCT(LS_Demand_Rates_Restatement!$C$10:$N$10,'Staging Table'!CL121:CW121))*1000</f>
        <v>521848.75686478813</v>
      </c>
      <c r="H119" s="409">
        <f>IF(Init!$R$9="Yes",'Staging Table'!BF121,'Staging Table'!DH121)*Rates_previous!$H$33</f>
        <v>0</v>
      </c>
      <c r="I119" s="409">
        <f>IF(Init!$R$9="Yes",IF('Staging Table'!D121=1,'Staging Table'!H121*-1*('Staging Table'!F121/'Staging Table'!E121),'Staging Table'!H121*SUM(D119:H119)*(-1)),IF('Staging Table'!D121=1,'Staging Table'!BJ121*-1*('Staging Table'!BH121/'Staging Table'!BG121),'Staging Table'!BJ121*SUM(D119:H119)*(-1)))</f>
        <v>-368107.09104826406</v>
      </c>
      <c r="J119" s="407">
        <f>IF(Init!$R$9="Yes",'Staging Table'!K121,'Staging Table'!BM121)*(-1)*Rates_previous!$H$32</f>
        <v>-521059.70080999995</v>
      </c>
      <c r="K119" s="407">
        <f>IF(Init!$R$12="No",0,'Staging Table'!$AW121*-1)</f>
        <v>0</v>
      </c>
      <c r="L119" s="407">
        <f>IF('Staging Table'!C121=1,"",SUM(D119:K119))</f>
        <v>8534977.8842365649</v>
      </c>
      <c r="M119" s="407">
        <f>IF('Staging Table'!C121=1,"",IF(Init!$R$9="Yes",(RT1SC!$C$3*'Staging Table'!F121*'Staging Table'!$F$2)+SUM('Staging Table'!L121:AI121)-IF(Init!$R$15="No",'Staging Table'!AV121, 0),X119))</f>
        <v>260744.25600000002</v>
      </c>
      <c r="N119" s="169">
        <f>IF('Staging Table'!C121=1,"",IF(M119=0, 0, L119/M119))</f>
        <v>32.733138651524364</v>
      </c>
      <c r="O119" s="407">
        <f>'Staging Table'!BH121*Rates_current!$E$75*100*12</f>
        <v>10820737.543679999</v>
      </c>
      <c r="P119" s="407">
        <f>'Staging Table'!BH121*Rates_current!$E$76*100*12</f>
        <v>-1522029.9897599998</v>
      </c>
      <c r="Q119" s="408">
        <f>SUMPRODUCT('Staging Table'!BN121:CK121, LS_Demand_Rates_Restatement!$C$5:$Z$5)-IF(Init!$R$15="No",('Staging Table'!CX121*Rates_current!$H$35), 0)</f>
        <v>-110320.96491302448</v>
      </c>
      <c r="R119" s="408">
        <f>SUMPRODUCT('Staging Table'!CL121:CW121, LS_Demand_Rates_Restatement!$C$11:$N$11)*1000</f>
        <v>513260.94746252679</v>
      </c>
      <c r="S119" s="409">
        <f>'Staging Table'!DH121*Rates_current!$H$33</f>
        <v>0</v>
      </c>
      <c r="T119" s="409">
        <f>IF('Staging Table'!D121=1, 'Staging Table'!BJ121*-1*('Staging Table'!BH121/'Staging Table'!BG121),SUM(O119:S119)*'Staging Table'!BJ121*-1)</f>
        <v>-403737.00929967681</v>
      </c>
      <c r="U119" s="407">
        <f>'Staging Table'!BM121*Rates_current!$H$32*-1</f>
        <v>-520616.99927999999</v>
      </c>
      <c r="V119" s="407">
        <f>IF(Init!$R$12="No",0,'Staging Table'!$CY121*-1)</f>
        <v>0</v>
      </c>
      <c r="W119" s="407">
        <f>IF('Staging Table'!C121=1,"",SUM(O119:V119))</f>
        <v>8777293.5278898254</v>
      </c>
      <c r="X119" s="407">
        <f>IF('Staging Table'!C121=1,"",(RT1SC!$C$4*'Staging Table'!BH121*'Staging Table'!$BH$2)+SUM('Staging Table'!BN121:CK121)-IF(Init!$R$15="No",'Staging Table'!CX121, 0))</f>
        <v>258383.94176963207</v>
      </c>
      <c r="Y119" s="169">
        <f>IF('Staging Table'!C121=1,"",IF(X119=0, 0, W119/X119))</f>
        <v>33.969965268644351</v>
      </c>
      <c r="Z119" s="160">
        <f>IF('Staging Table'!C121=1,"",Y119/N119-1)</f>
        <v>3.7785151930806116E-2</v>
      </c>
      <c r="AA119" s="97">
        <f t="shared" si="1"/>
        <v>103</v>
      </c>
      <c r="AB119" s="397"/>
      <c r="AC119" s="397"/>
      <c r="AD119" s="397"/>
    </row>
    <row r="120" spans="2:30">
      <c r="B120" s="274">
        <v>10406</v>
      </c>
      <c r="C120" s="275" t="s">
        <v>123</v>
      </c>
      <c r="D120" s="407">
        <f>IF(Init!$R$9="Yes",'Staging Table'!F122,'Staging Table'!BH122)*Rates_previous!$E$75*100*12</f>
        <v>160895.826</v>
      </c>
      <c r="E120" s="407">
        <f>IF(Init!$R$9="Yes",'Staging Table'!F122,'Staging Table'!BH122)*Rates_previous!$E$76*100*12</f>
        <v>-23918.856</v>
      </c>
      <c r="F120" s="408">
        <f>IF(Init!$R$9="Yes",SUMPRODUCT('Staging Table'!L122:AI122,LS_Demand_Rates_Restatement!$C$4:$Z$4)-IF(Init!$R$15="No",('Staging Table'!AV122*Rates_previous!$H$35), 0),SUMPRODUCT('Staging Table'!BN122:CK122,LS_Demand_Rates_Restatement!$C$4:$Z$4)-IF(Init!$R$15="No", 'Staging Table'!CX122*Rates_previous!$H$35, 0))</f>
        <v>915.53441442147232</v>
      </c>
      <c r="G120" s="408">
        <f>IF(Init!$R$9="Yes",SUMPRODUCT('Staging Table'!AJ122:AU122,LS_Demand_Rates_Restatement!$C$10:$N$10),SUMPRODUCT(LS_Demand_Rates_Restatement!$C$10:$N$10,'Staging Table'!CL122:CW122))*1000</f>
        <v>11306.810902742163</v>
      </c>
      <c r="H120" s="409">
        <f>IF(Init!$R$9="Yes",'Staging Table'!BF122,'Staging Table'!DH122)*Rates_previous!$H$33</f>
        <v>0</v>
      </c>
      <c r="I120" s="409">
        <f>IF(Init!$R$9="Yes",IF('Staging Table'!D122=1,'Staging Table'!H122*-1*('Staging Table'!F122/'Staging Table'!E122),'Staging Table'!H122*SUM(D120:H120)*(-1)),IF('Staging Table'!D122=1,'Staging Table'!BJ122*-1*('Staging Table'!BH122/'Staging Table'!BG122),'Staging Table'!BJ122*SUM(D120:H120)*(-1)))</f>
        <v>0</v>
      </c>
      <c r="J120" s="407">
        <f>IF(Init!$R$9="Yes",'Staging Table'!K122,'Staging Table'!BM122)*(-1)*Rates_previous!$H$32</f>
        <v>0</v>
      </c>
      <c r="K120" s="407">
        <f>IF(Init!$R$12="No",0,'Staging Table'!$AW122*-1)</f>
        <v>0</v>
      </c>
      <c r="L120" s="407">
        <f>IF('Staging Table'!C122=1,"",SUM(D120:K120))</f>
        <v>149199.31531716365</v>
      </c>
      <c r="M120" s="407">
        <f>IF('Staging Table'!C122=1,"",IF(Init!$R$9="Yes",(RT1SC!$C$3*'Staging Table'!F122*'Staging Table'!$F$2)+SUM('Staging Table'!L122:AI122)-IF(Init!$R$15="No",'Staging Table'!AV122, 0),X120))</f>
        <v>3987.9360000000001</v>
      </c>
      <c r="N120" s="169">
        <f>IF('Staging Table'!C122=1,"",IF(M120=0, 0, L120/M120))</f>
        <v>37.412665428222432</v>
      </c>
      <c r="O120" s="407">
        <f>'Staging Table'!BH122*Rates_current!$E$75*100*12</f>
        <v>165347.96256000001</v>
      </c>
      <c r="P120" s="407">
        <f>'Staging Table'!BH122*Rates_current!$E$76*100*12</f>
        <v>-23257.615920000004</v>
      </c>
      <c r="Q120" s="408">
        <f>SUMPRODUCT('Staging Table'!BN122:CK122, LS_Demand_Rates_Restatement!$C$5:$Z$5)-IF(Init!$R$15="No",('Staging Table'!CX122*Rates_current!$H$35), 0)</f>
        <v>3447.684126855529</v>
      </c>
      <c r="R120" s="408">
        <f>SUMPRODUCT('Staging Table'!CL122:CW122, LS_Demand_Rates_Restatement!$C$11:$N$11)*1000</f>
        <v>11108.529996296294</v>
      </c>
      <c r="S120" s="409">
        <f>'Staging Table'!DH122*Rates_current!$H$33</f>
        <v>0</v>
      </c>
      <c r="T120" s="409">
        <f>IF('Staging Table'!D122=1, 'Staging Table'!BJ122*-1*('Staging Table'!BH122/'Staging Table'!BG122),SUM(O120:S120)*'Staging Table'!BJ122*-1)</f>
        <v>0</v>
      </c>
      <c r="U120" s="407">
        <f>'Staging Table'!BM122*Rates_current!$H$32*-1</f>
        <v>0</v>
      </c>
      <c r="V120" s="407">
        <f>IF(Init!$R$12="No",0,'Staging Table'!$CY122*-1)</f>
        <v>0</v>
      </c>
      <c r="W120" s="407">
        <f>IF('Staging Table'!C122=1,"",SUM(O120:V120))</f>
        <v>156646.56076315182</v>
      </c>
      <c r="X120" s="407">
        <f>IF('Staging Table'!C122=1,"",(RT1SC!$C$4*'Staging Table'!BH122*'Staging Table'!$BH$2)+SUM('Staging Table'!BN122:CK122)-IF(Init!$R$15="No",'Staging Table'!CX122, 0))</f>
        <v>3950.76</v>
      </c>
      <c r="Y120" s="169">
        <f>IF('Staging Table'!C122=1,"",IF(X120=0, 0, W120/X120))</f>
        <v>39.649728346736275</v>
      </c>
      <c r="Z120" s="160">
        <f>IF('Staging Table'!C122=1,"",Y120/N120-1)</f>
        <v>5.9794267339912777E-2</v>
      </c>
      <c r="AA120" s="97">
        <f t="shared" si="1"/>
        <v>21</v>
      </c>
      <c r="AB120" s="397"/>
      <c r="AC120" s="397"/>
      <c r="AD120" s="397"/>
    </row>
    <row r="121" spans="2:30">
      <c r="B121" s="274">
        <v>10408</v>
      </c>
      <c r="C121" s="275" t="s">
        <v>124</v>
      </c>
      <c r="D121" s="407">
        <f>IF(Init!$R$9="Yes",'Staging Table'!F123,'Staging Table'!BH123)*Rates_previous!$E$75*100*12</f>
        <v>525015.45684</v>
      </c>
      <c r="E121" s="407">
        <f>IF(Init!$R$9="Yes",'Staging Table'!F123,'Staging Table'!BH123)*Rates_previous!$E$76*100*12</f>
        <v>-78049.067039999994</v>
      </c>
      <c r="F121" s="408">
        <f>IF(Init!$R$9="Yes",SUMPRODUCT('Staging Table'!L123:AI123,LS_Demand_Rates_Restatement!$C$4:$Z$4)-IF(Init!$R$15="No",('Staging Table'!AV123*Rates_previous!$H$35), 0),SUMPRODUCT('Staging Table'!BN123:CK123,LS_Demand_Rates_Restatement!$C$4:$Z$4)-IF(Init!$R$15="No", 'Staging Table'!CX123*Rates_previous!$H$35, 0))</f>
        <v>-28394.414883256795</v>
      </c>
      <c r="G121" s="408">
        <f>IF(Init!$R$9="Yes",SUMPRODUCT('Staging Table'!AJ123:AU123,LS_Demand_Rates_Restatement!$C$10:$N$10),SUMPRODUCT(LS_Demand_Rates_Restatement!$C$10:$N$10,'Staging Table'!CL123:CW123))*1000</f>
        <v>29315.548615464748</v>
      </c>
      <c r="H121" s="409">
        <f>IF(Init!$R$9="Yes",'Staging Table'!BF123,'Staging Table'!DH123)*Rates_previous!$H$33</f>
        <v>-8560.2772789834507</v>
      </c>
      <c r="I121" s="409">
        <f>IF(Init!$R$9="Yes",IF('Staging Table'!D123=1,'Staging Table'!H123*-1*('Staging Table'!F123/'Staging Table'!E123),'Staging Table'!H123*SUM(D121:H121)*(-1)),IF('Staging Table'!D123=1,'Staging Table'!BJ123*-1*('Staging Table'!BH123/'Staging Table'!BG123),'Staging Table'!BJ123*SUM(D121:H121)*(-1)))</f>
        <v>0</v>
      </c>
      <c r="J121" s="407">
        <f>IF(Init!$R$9="Yes",'Staging Table'!K123,'Staging Table'!BM123)*(-1)*Rates_previous!$H$32</f>
        <v>0</v>
      </c>
      <c r="K121" s="407">
        <f>IF(Init!$R$12="No",0,'Staging Table'!$AW123*-1)</f>
        <v>0</v>
      </c>
      <c r="L121" s="407">
        <f>IF('Staging Table'!C123=1,"",SUM(D121:K121))</f>
        <v>439327.24625322456</v>
      </c>
      <c r="M121" s="407">
        <f>IF('Staging Table'!C123=1,"",IF(Init!$R$9="Yes",(RT1SC!$C$3*'Staging Table'!F123*'Staging Table'!$F$2)+SUM('Staging Table'!L123:AI123)-IF(Init!$R$15="No",'Staging Table'!AV123, 0),X121))</f>
        <v>12041.84103062334</v>
      </c>
      <c r="N121" s="169">
        <f>IF('Staging Table'!C123=1,"",IF(M121=0, 0, L121/M121))</f>
        <v>36.483395282829356</v>
      </c>
      <c r="O121" s="407">
        <f>'Staging Table'!BH123*Rates_current!$E$75*100*12</f>
        <v>529419.20832000009</v>
      </c>
      <c r="P121" s="407">
        <f>'Staging Table'!BH123*Rates_current!$E$76*100*12</f>
        <v>-74467.374240000005</v>
      </c>
      <c r="Q121" s="408">
        <f>SUMPRODUCT('Staging Table'!BN123:CK123, LS_Demand_Rates_Restatement!$C$5:$Z$5)-IF(Init!$R$15="No",('Staging Table'!CX123*Rates_current!$H$35), 0)</f>
        <v>-15635.389701258413</v>
      </c>
      <c r="R121" s="408">
        <f>SUMPRODUCT('Staging Table'!CL123:CW123, LS_Demand_Rates_Restatement!$C$11:$N$11)*1000</f>
        <v>28447.470553338677</v>
      </c>
      <c r="S121" s="409">
        <f>'Staging Table'!DH123*Rates_current!$H$33</f>
        <v>-7635.1948984621104</v>
      </c>
      <c r="T121" s="409">
        <f>IF('Staging Table'!D123=1, 'Staging Table'!BJ123*-1*('Staging Table'!BH123/'Staging Table'!BG123),SUM(O121:S121)*'Staging Table'!BJ123*-1)</f>
        <v>0</v>
      </c>
      <c r="U121" s="407">
        <f>'Staging Table'!BM123*Rates_current!$H$32*-1</f>
        <v>0</v>
      </c>
      <c r="V121" s="407">
        <f>IF(Init!$R$12="No",0,'Staging Table'!$CY123*-1)</f>
        <v>0</v>
      </c>
      <c r="W121" s="407">
        <f>IF('Staging Table'!C123=1,"",SUM(O121:V121))</f>
        <v>460128.72003361827</v>
      </c>
      <c r="X121" s="407">
        <f>IF('Staging Table'!C123=1,"",(RT1SC!$C$4*'Staging Table'!BH123*'Staging Table'!$BH$2)+SUM('Staging Table'!BN123:CK123)-IF(Init!$R$15="No",'Staging Table'!CX123, 0))</f>
        <v>12041.841184434345</v>
      </c>
      <c r="Y121" s="169">
        <f>IF('Staging Table'!C123=1,"",IF(X121=0, 0, W121/X121))</f>
        <v>38.210827811646851</v>
      </c>
      <c r="Z121" s="160">
        <f>IF('Staging Table'!C123=1,"",Y121/N121-1)</f>
        <v>4.734845853643721E-2</v>
      </c>
      <c r="AA121" s="97">
        <f t="shared" si="1"/>
        <v>82</v>
      </c>
      <c r="AB121" s="397"/>
      <c r="AC121" s="397"/>
      <c r="AD121" s="397"/>
    </row>
    <row r="122" spans="2:30">
      <c r="B122" s="274">
        <v>10409</v>
      </c>
      <c r="C122" s="275" t="s">
        <v>125</v>
      </c>
      <c r="D122" s="407">
        <f>IF(Init!$R$9="Yes",'Staging Table'!F124,'Staging Table'!BH124)*Rates_previous!$E$75*100*12</f>
        <v>7168280.3463599999</v>
      </c>
      <c r="E122" s="407">
        <f>IF(Init!$R$9="Yes",'Staging Table'!F124,'Staging Table'!BH124)*Rates_previous!$E$76*100*12</f>
        <v>-1065640.2321599999</v>
      </c>
      <c r="F122" s="408">
        <f>IF(Init!$R$9="Yes",SUMPRODUCT('Staging Table'!L124:AI124,LS_Demand_Rates_Restatement!$C$4:$Z$4)-IF(Init!$R$15="No",('Staging Table'!AV124*Rates_previous!$H$35), 0),SUMPRODUCT('Staging Table'!BN124:CK124,LS_Demand_Rates_Restatement!$C$4:$Z$4)-IF(Init!$R$15="No", 'Staging Table'!CX124*Rates_previous!$H$35, 0))</f>
        <v>-162242.57805179287</v>
      </c>
      <c r="G122" s="408">
        <f>IF(Init!$R$9="Yes",SUMPRODUCT('Staging Table'!AJ124:AU124,LS_Demand_Rates_Restatement!$C$10:$N$10),SUMPRODUCT(LS_Demand_Rates_Restatement!$C$10:$N$10,'Staging Table'!CL124:CW124))*1000</f>
        <v>181905.6633639957</v>
      </c>
      <c r="H122" s="409">
        <f>IF(Init!$R$9="Yes",'Staging Table'!BF124,'Staging Table'!DH124)*Rates_previous!$H$33</f>
        <v>-59178.494899684658</v>
      </c>
      <c r="I122" s="409">
        <f>IF(Init!$R$9="Yes",IF('Staging Table'!D124=1,'Staging Table'!H124*-1*('Staging Table'!F124/'Staging Table'!E124),'Staging Table'!H124*SUM(D122:H122)*(-1)),IF('Staging Table'!D124=1,'Staging Table'!BJ124*-1*('Staging Table'!BH124/'Staging Table'!BG124),'Staging Table'!BJ124*SUM(D122:H122)*(-1)))</f>
        <v>0</v>
      </c>
      <c r="J122" s="407">
        <f>IF(Init!$R$9="Yes",'Staging Table'!K124,'Staging Table'!BM124)*(-1)*Rates_previous!$H$32</f>
        <v>0</v>
      </c>
      <c r="K122" s="407">
        <f>IF(Init!$R$12="No",0,'Staging Table'!$AW124*-1)</f>
        <v>0</v>
      </c>
      <c r="L122" s="407">
        <f>IF('Staging Table'!C124=1,"",SUM(D122:K122))</f>
        <v>6063124.7046125187</v>
      </c>
      <c r="M122" s="407">
        <f>IF('Staging Table'!C124=1,"",IF(Init!$R$9="Yes",(RT1SC!$C$3*'Staging Table'!F124*'Staging Table'!$F$2)+SUM('Staging Table'!L124:AI124)-IF(Init!$R$15="No",'Staging Table'!AV124, 0),X122))</f>
        <v>170943.21241811474</v>
      </c>
      <c r="N122" s="169">
        <f>IF('Staging Table'!C124=1,"",IF(M122=0, 0, L122/M122))</f>
        <v>35.468648440878447</v>
      </c>
      <c r="O122" s="407">
        <f>'Staging Table'!BH124*Rates_current!$E$75*100*12</f>
        <v>7139006.5622399999</v>
      </c>
      <c r="P122" s="407">
        <f>'Staging Table'!BH124*Rates_current!$E$76*100*12</f>
        <v>-1004162.7976800001</v>
      </c>
      <c r="Q122" s="408">
        <f>SUMPRODUCT('Staging Table'!BN124:CK124, LS_Demand_Rates_Restatement!$C$5:$Z$5)-IF(Init!$R$15="No",('Staging Table'!CX124*Rates_current!$H$35), 0)</f>
        <v>57249.797854339944</v>
      </c>
      <c r="R122" s="408">
        <f>SUMPRODUCT('Staging Table'!CL124:CW124, LS_Demand_Rates_Restatement!$C$11:$N$11)*1000</f>
        <v>163605.09830198542</v>
      </c>
      <c r="S122" s="409">
        <f>'Staging Table'!DH124*Rates_current!$H$33</f>
        <v>6038.5847095492572</v>
      </c>
      <c r="T122" s="409">
        <f>IF('Staging Table'!D124=1, 'Staging Table'!BJ124*-1*('Staging Table'!BH124/'Staging Table'!BG124),SUM(O122:S122)*'Staging Table'!BJ124*-1)</f>
        <v>0</v>
      </c>
      <c r="U122" s="407">
        <f>'Staging Table'!BM124*Rates_current!$H$32*-1</f>
        <v>0</v>
      </c>
      <c r="V122" s="407">
        <f>IF(Init!$R$12="No",0,'Staging Table'!$CY124*-1)</f>
        <v>0</v>
      </c>
      <c r="W122" s="407">
        <f>IF('Staging Table'!C124=1,"",SUM(O122:V122))</f>
        <v>6361737.2454258744</v>
      </c>
      <c r="X122" s="407">
        <f>IF('Staging Table'!C124=1,"",(RT1SC!$C$4*'Staging Table'!BH124*'Staging Table'!$BH$2)+SUM('Staging Table'!BN124:CK124)-IF(Init!$R$15="No",'Staging Table'!CX124, 0))</f>
        <v>170943.21448702348</v>
      </c>
      <c r="Y122" s="169">
        <f>IF('Staging Table'!C124=1,"",IF(X122=0, 0, W122/X122))</f>
        <v>37.215500273096843</v>
      </c>
      <c r="Z122" s="160">
        <f>IF('Staging Table'!C124=1,"",Y122/N122-1)</f>
        <v>4.9250589154254509E-2</v>
      </c>
      <c r="AA122" s="97">
        <f t="shared" si="1"/>
        <v>69</v>
      </c>
      <c r="AB122" s="397"/>
      <c r="AC122" s="397"/>
      <c r="AD122" s="397"/>
    </row>
    <row r="123" spans="2:30">
      <c r="B123" s="274">
        <v>10426</v>
      </c>
      <c r="C123" s="275" t="s">
        <v>126</v>
      </c>
      <c r="D123" s="407">
        <f>IF(Init!$R$9="Yes",'Staging Table'!F125,'Staging Table'!BH125)*Rates_previous!$E$75*100*12</f>
        <v>9149279.26248</v>
      </c>
      <c r="E123" s="407">
        <f>IF(Init!$R$9="Yes",'Staging Table'!F125,'Staging Table'!BH125)*Rates_previous!$E$76*100*12</f>
        <v>-1360136.54688</v>
      </c>
      <c r="F123" s="408">
        <f>IF(Init!$R$9="Yes",SUMPRODUCT('Staging Table'!L125:AI125,LS_Demand_Rates_Restatement!$C$4:$Z$4)-IF(Init!$R$15="No",('Staging Table'!AV125*Rates_previous!$H$35), 0),SUMPRODUCT('Staging Table'!BN125:CK125,LS_Demand_Rates_Restatement!$C$4:$Z$4)-IF(Init!$R$15="No", 'Staging Table'!CX125*Rates_previous!$H$35, 0))</f>
        <v>-1712338.9700816115</v>
      </c>
      <c r="G123" s="408">
        <f>IF(Init!$R$9="Yes",SUMPRODUCT('Staging Table'!AJ125:AU125,LS_Demand_Rates_Restatement!$C$10:$N$10),SUMPRODUCT(LS_Demand_Rates_Restatement!$C$10:$N$10,'Staging Table'!CL125:CW125))*1000</f>
        <v>41144.453191666682</v>
      </c>
      <c r="H123" s="409">
        <f>IF(Init!$R$9="Yes",'Staging Table'!BF125,'Staging Table'!DH125)*Rates_previous!$H$33</f>
        <v>-602366.64307707932</v>
      </c>
      <c r="I123" s="409">
        <f>IF(Init!$R$9="Yes",IF('Staging Table'!D125=1,'Staging Table'!H125*-1*('Staging Table'!F125/'Staging Table'!E125),'Staging Table'!H125*SUM(D123:H123)*(-1)),IF('Staging Table'!D125=1,'Staging Table'!BJ125*-1*('Staging Table'!BH125/'Staging Table'!BG125),'Staging Table'!BJ125*SUM(D123:H123)*(-1)))</f>
        <v>0</v>
      </c>
      <c r="J123" s="407">
        <f>IF(Init!$R$9="Yes",'Staging Table'!K125,'Staging Table'!BM125)*(-1)*Rates_previous!$H$32</f>
        <v>0</v>
      </c>
      <c r="K123" s="407">
        <f>IF(Init!$R$12="No",0,'Staging Table'!$AW125*-1)</f>
        <v>0</v>
      </c>
      <c r="L123" s="407">
        <f>IF('Staging Table'!C125=1,"",SUM(D123:K123))</f>
        <v>5515581.5556329759</v>
      </c>
      <c r="M123" s="407">
        <f>IF('Staging Table'!C125=1,"",IF(Init!$R$9="Yes",(RT1SC!$C$3*'Staging Table'!F125*'Staging Table'!$F$2)+SUM('Staging Table'!L125:AI125)-IF(Init!$R$15="No",'Staging Table'!AV125, 0),X123))</f>
        <v>158659.79653366335</v>
      </c>
      <c r="N123" s="169">
        <f>IF('Staging Table'!C125=1,"",IF(M123=0, 0, L123/M123))</f>
        <v>34.763573861401731</v>
      </c>
      <c r="O123" s="407">
        <f>'Staging Table'!BH125*Rates_current!$E$75*100*12</f>
        <v>6644491.3151999991</v>
      </c>
      <c r="P123" s="407">
        <f>'Staging Table'!BH125*Rates_current!$E$76*100*12</f>
        <v>-934604.96640000003</v>
      </c>
      <c r="Q123" s="408">
        <f>SUMPRODUCT('Staging Table'!BN125:CK125, LS_Demand_Rates_Restatement!$C$5:$Z$5)-IF(Init!$R$15="No",('Staging Table'!CX125*Rates_current!$H$35), 0)</f>
        <v>90728.993877411413</v>
      </c>
      <c r="R123" s="408">
        <f>SUMPRODUCT('Staging Table'!CL125:CW125, LS_Demand_Rates_Restatement!$C$11:$N$11)*1000</f>
        <v>46785.044205128172</v>
      </c>
      <c r="S123" s="409">
        <f>'Staging Table'!DH125*Rates_current!$H$33</f>
        <v>-16.851486954627035</v>
      </c>
      <c r="T123" s="409">
        <f>IF('Staging Table'!D125=1, 'Staging Table'!BJ125*-1*('Staging Table'!BH125/'Staging Table'!BG125),SUM(O123:S123)*'Staging Table'!BJ125*-1)</f>
        <v>0</v>
      </c>
      <c r="U123" s="407">
        <f>'Staging Table'!BM125*Rates_current!$H$32*-1</f>
        <v>0</v>
      </c>
      <c r="V123" s="407">
        <f>IF(Init!$R$12="No",0,'Staging Table'!$CY125*-1)</f>
        <v>0</v>
      </c>
      <c r="W123" s="407">
        <f>IF('Staging Table'!C125=1,"",SUM(O123:V123))</f>
        <v>5847383.5353955841</v>
      </c>
      <c r="X123" s="407">
        <f>IF('Staging Table'!C125=1,"",(RT1SC!$C$4*'Staging Table'!BH125*'Staging Table'!$BH$2)+SUM('Staging Table'!BN125:CK125)-IF(Init!$R$15="No",'Staging Table'!CX125, 0))</f>
        <v>158659.79831474865</v>
      </c>
      <c r="Y123" s="169">
        <f>IF('Staging Table'!C125=1,"",IF(X123=0, 0, W123/X123))</f>
        <v>36.85485294640025</v>
      </c>
      <c r="Z123" s="160">
        <f>IF('Staging Table'!C125=1,"",Y123/N123-1)</f>
        <v>6.0157194807881398E-2</v>
      </c>
      <c r="AA123" s="97">
        <f t="shared" si="1"/>
        <v>19</v>
      </c>
      <c r="AB123" s="397"/>
      <c r="AC123" s="397"/>
      <c r="AD123" s="397"/>
    </row>
    <row r="124" spans="2:30">
      <c r="B124" s="274">
        <v>10434</v>
      </c>
      <c r="C124" s="275" t="s">
        <v>127</v>
      </c>
      <c r="D124" s="407">
        <f>IF(Init!$R$9="Yes",'Staging Table'!F126,'Staging Table'!BH126)*Rates_previous!$E$75*100*12</f>
        <v>9532458.8603999987</v>
      </c>
      <c r="E124" s="407">
        <f>IF(Init!$R$9="Yes",'Staging Table'!F126,'Staging Table'!BH126)*Rates_previous!$E$76*100*12</f>
        <v>-1417100.2223999999</v>
      </c>
      <c r="F124" s="408">
        <f>IF(Init!$R$9="Yes",SUMPRODUCT('Staging Table'!L126:AI126,LS_Demand_Rates_Restatement!$C$4:$Z$4)-IF(Init!$R$15="No",('Staging Table'!AV126*Rates_previous!$H$35), 0),SUMPRODUCT('Staging Table'!BN126:CK126,LS_Demand_Rates_Restatement!$C$4:$Z$4)-IF(Init!$R$15="No", 'Staging Table'!CX126*Rates_previous!$H$35, 0))</f>
        <v>85107.625700570992</v>
      </c>
      <c r="G124" s="408">
        <f>IF(Init!$R$9="Yes",SUMPRODUCT('Staging Table'!AJ126:AU126,LS_Demand_Rates_Restatement!$C$10:$N$10),SUMPRODUCT(LS_Demand_Rates_Restatement!$C$10:$N$10,'Staging Table'!CL126:CW126))*1000</f>
        <v>556409.95348661859</v>
      </c>
      <c r="H124" s="409">
        <f>IF(Init!$R$9="Yes",'Staging Table'!BF126,'Staging Table'!DH126)*Rates_previous!$H$33</f>
        <v>0</v>
      </c>
      <c r="I124" s="409">
        <f>IF(Init!$R$9="Yes",IF('Staging Table'!D126=1,'Staging Table'!H126*-1*('Staging Table'!F126/'Staging Table'!E126),'Staging Table'!H126*SUM(D124:H124)*(-1)),IF('Staging Table'!D126=1,'Staging Table'!BJ126*-1*('Staging Table'!BH126/'Staging Table'!BG126),'Staging Table'!BJ126*SUM(D124:H124)*(-1)))</f>
        <v>0</v>
      </c>
      <c r="J124" s="407">
        <f>IF(Init!$R$9="Yes",'Staging Table'!K126,'Staging Table'!BM126)*(-1)*Rates_previous!$H$32</f>
        <v>0</v>
      </c>
      <c r="K124" s="407">
        <f>IF(Init!$R$12="No",0,'Staging Table'!$AW126*-1)</f>
        <v>0</v>
      </c>
      <c r="L124" s="407">
        <f>IF('Staging Table'!C126=1,"",SUM(D124:K124))</f>
        <v>8756876.2171871886</v>
      </c>
      <c r="M124" s="407">
        <f>IF('Staging Table'!C126=1,"",IF(Init!$R$9="Yes",(RT1SC!$C$3*'Staging Table'!F126*'Staging Table'!$F$2)+SUM('Staging Table'!L126:AI126)-IF(Init!$R$15="No",'Staging Table'!AV126, 0),X124))</f>
        <v>236219.32800000001</v>
      </c>
      <c r="N124" s="169">
        <f>IF('Staging Table'!C126=1,"",IF(M124=0, 0, L124/M124))</f>
        <v>37.070955587458059</v>
      </c>
      <c r="O124" s="407">
        <f>'Staging Table'!BH126*Rates_current!$E$75*100*12</f>
        <v>9802662.87744</v>
      </c>
      <c r="P124" s="407">
        <f>'Staging Table'!BH126*Rates_current!$E$76*100*12</f>
        <v>-1378829.0140799999</v>
      </c>
      <c r="Q124" s="408">
        <f>SUMPRODUCT('Staging Table'!BN126:CK126, LS_Demand_Rates_Restatement!$C$5:$Z$5)-IF(Init!$R$15="No",('Staging Table'!CX126*Rates_current!$H$35), 0)</f>
        <v>151494.12288285</v>
      </c>
      <c r="R124" s="408">
        <f>SUMPRODUCT('Staging Table'!CL126:CW126, LS_Demand_Rates_Restatement!$C$11:$N$11)*1000</f>
        <v>525896.32419689256</v>
      </c>
      <c r="S124" s="409">
        <f>'Staging Table'!DH126*Rates_current!$H$33</f>
        <v>0</v>
      </c>
      <c r="T124" s="409">
        <f>IF('Staging Table'!D126=1, 'Staging Table'!BJ126*-1*('Staging Table'!BH126/'Staging Table'!BG126),SUM(O124:S124)*'Staging Table'!BJ126*-1)</f>
        <v>0</v>
      </c>
      <c r="U124" s="407">
        <f>'Staging Table'!BM126*Rates_current!$H$32*-1</f>
        <v>0</v>
      </c>
      <c r="V124" s="407">
        <f>IF(Init!$R$12="No",0,'Staging Table'!$CY126*-1)</f>
        <v>0</v>
      </c>
      <c r="W124" s="407">
        <f>IF('Staging Table'!C126=1,"",SUM(O124:V124))</f>
        <v>9101224.3104397431</v>
      </c>
      <c r="X124" s="407">
        <f>IF('Staging Table'!C126=1,"",(RT1SC!$C$4*'Staging Table'!BH126*'Staging Table'!$BH$2)+SUM('Staging Table'!BN126:CK126)-IF(Init!$R$15="No",'Staging Table'!CX126, 0))</f>
        <v>234074.4114149643</v>
      </c>
      <c r="Y124" s="169">
        <f>IF('Staging Table'!C126=1,"",IF(X124=0, 0, W124/X124))</f>
        <v>38.881756683370241</v>
      </c>
      <c r="Z124" s="160">
        <f>IF('Staging Table'!C126=1,"",Y124/N124-1)</f>
        <v>4.8846895560599402E-2</v>
      </c>
      <c r="AA124" s="97">
        <f t="shared" si="1"/>
        <v>71</v>
      </c>
      <c r="AB124" s="397"/>
      <c r="AC124" s="397"/>
      <c r="AD124" s="397"/>
    </row>
    <row r="125" spans="2:30">
      <c r="B125" s="274">
        <v>10436</v>
      </c>
      <c r="C125" s="275" t="s">
        <v>128</v>
      </c>
      <c r="D125" s="407">
        <f>IF(Init!$R$9="Yes",'Staging Table'!F127,'Staging Table'!BH127)*Rates_previous!$E$75*100*12</f>
        <v>6722475.1423199996</v>
      </c>
      <c r="E125" s="407">
        <f>IF(Init!$R$9="Yes",'Staging Table'!F127,'Staging Table'!BH127)*Rates_previous!$E$76*100*12</f>
        <v>-999366.60192000004</v>
      </c>
      <c r="F125" s="408">
        <f>IF(Init!$R$9="Yes",SUMPRODUCT('Staging Table'!L127:AI127,LS_Demand_Rates_Restatement!$C$4:$Z$4)-IF(Init!$R$15="No",('Staging Table'!AV127*Rates_previous!$H$35), 0),SUMPRODUCT('Staging Table'!BN127:CK127,LS_Demand_Rates_Restatement!$C$4:$Z$4)-IF(Init!$R$15="No", 'Staging Table'!CX127*Rates_previous!$H$35, 0))</f>
        <v>-54420.981245909759</v>
      </c>
      <c r="G125" s="408">
        <f>IF(Init!$R$9="Yes",SUMPRODUCT('Staging Table'!AJ127:AU127,LS_Demand_Rates_Restatement!$C$10:$N$10),SUMPRODUCT(LS_Demand_Rates_Restatement!$C$10:$N$10,'Staging Table'!CL127:CW127))*1000</f>
        <v>458080.01515030261</v>
      </c>
      <c r="H125" s="409">
        <f>IF(Init!$R$9="Yes",'Staging Table'!BF127,'Staging Table'!DH127)*Rates_previous!$H$33</f>
        <v>0</v>
      </c>
      <c r="I125" s="409">
        <f>IF(Init!$R$9="Yes",IF('Staging Table'!D127=1,'Staging Table'!H127*-1*('Staging Table'!F127/'Staging Table'!E127),'Staging Table'!H127*SUM(D125:H125)*(-1)),IF('Staging Table'!D127=1,'Staging Table'!BJ127*-1*('Staging Table'!BH127/'Staging Table'!BG127),'Staging Table'!BJ127*SUM(D125:H125)*(-1)))</f>
        <v>-450746.29044157412</v>
      </c>
      <c r="J125" s="407">
        <f>IF(Init!$R$9="Yes",'Staging Table'!K127,'Staging Table'!BM127)*(-1)*Rates_previous!$H$32</f>
        <v>-457420.54665999993</v>
      </c>
      <c r="K125" s="407">
        <f>IF(Init!$R$12="No",0,'Staging Table'!$AW127*-1)</f>
        <v>0</v>
      </c>
      <c r="L125" s="407">
        <f>IF('Staging Table'!C127=1,"",SUM(D125:K125))</f>
        <v>5218600.7372028185</v>
      </c>
      <c r="M125" s="407">
        <f>IF('Staging Table'!C127=1,"",IF(Init!$R$9="Yes",(RT1SC!$C$3*'Staging Table'!F127*'Staging Table'!$F$2)+SUM('Staging Table'!L127:AI127)-IF(Init!$R$15="No",'Staging Table'!AV127, 0),X125))</f>
        <v>166588.56</v>
      </c>
      <c r="N125" s="169">
        <f>IF('Staging Table'!C127=1,"",IF(M125=0, 0, L125/M125))</f>
        <v>31.326285173500622</v>
      </c>
      <c r="O125" s="407">
        <f>'Staging Table'!BH127*Rates_current!$E$75*100*12</f>
        <v>6913277.2944000009</v>
      </c>
      <c r="P125" s="407">
        <f>'Staging Table'!BH127*Rates_current!$E$76*100*12</f>
        <v>-972412.03080000007</v>
      </c>
      <c r="Q125" s="408">
        <f>SUMPRODUCT('Staging Table'!BN127:CK127, LS_Demand_Rates_Restatement!$C$5:$Z$5)-IF(Init!$R$15="No",('Staging Table'!CX127*Rates_current!$H$35), 0)</f>
        <v>-100880.58537859033</v>
      </c>
      <c r="R125" s="408">
        <f>SUMPRODUCT('Staging Table'!CL127:CW127, LS_Demand_Rates_Restatement!$C$11:$N$11)*1000</f>
        <v>428729.95456115552</v>
      </c>
      <c r="S125" s="409">
        <f>'Staging Table'!DH127*Rates_current!$H$33</f>
        <v>0</v>
      </c>
      <c r="T125" s="409">
        <f>IF('Staging Table'!D127=1, 'Staging Table'!BJ127*-1*('Staging Table'!BH127/'Staging Table'!BG127),SUM(O125:S125)*'Staging Table'!BJ127*-1)</f>
        <v>-468917.81741832185</v>
      </c>
      <c r="U125" s="407">
        <f>'Staging Table'!BM127*Rates_current!$H$32*-1</f>
        <v>-457031.9140799999</v>
      </c>
      <c r="V125" s="407">
        <f>IF(Init!$R$12="No",0,'Staging Table'!$CY127*-1)</f>
        <v>0</v>
      </c>
      <c r="W125" s="407">
        <f>IF('Staging Table'!C127=1,"",SUM(O125:V125))</f>
        <v>5342764.9012842448</v>
      </c>
      <c r="X125" s="407">
        <f>IF('Staging Table'!C127=1,"",(RT1SC!$C$4*'Staging Table'!BH127*'Staging Table'!$BH$2)+SUM('Staging Table'!BN127:CK127)-IF(Init!$R$15="No",'Staging Table'!CX127, 0))</f>
        <v>165082.19999999998</v>
      </c>
      <c r="Y125" s="169">
        <f>IF('Staging Table'!C127=1,"",IF(X125=0, 0, W125/X125))</f>
        <v>32.364270050218892</v>
      </c>
      <c r="Z125" s="160">
        <f>IF('Staging Table'!C127=1,"",Y125/N125-1)</f>
        <v>3.3134630262394271E-2</v>
      </c>
      <c r="AA125" s="97">
        <f t="shared" si="1"/>
        <v>106</v>
      </c>
      <c r="AB125" s="397"/>
      <c r="AC125" s="397"/>
      <c r="AD125" s="397"/>
    </row>
    <row r="126" spans="2:30">
      <c r="B126" s="274">
        <v>10440</v>
      </c>
      <c r="C126" s="275" t="s">
        <v>129</v>
      </c>
      <c r="D126" s="407">
        <f>IF(Init!$R$9="Yes",'Staging Table'!F128,'Staging Table'!BH128)*Rates_previous!$E$75*100*12</f>
        <v>1756734.8878799998</v>
      </c>
      <c r="E126" s="407">
        <f>IF(Init!$R$9="Yes",'Staging Table'!F128,'Staging Table'!BH128)*Rates_previous!$E$76*100*12</f>
        <v>-261157.10928</v>
      </c>
      <c r="F126" s="408">
        <f>IF(Init!$R$9="Yes",SUMPRODUCT('Staging Table'!L128:AI128,LS_Demand_Rates_Restatement!$C$4:$Z$4)-IF(Init!$R$15="No",('Staging Table'!AV128*Rates_previous!$H$35), 0),SUMPRODUCT('Staging Table'!BN128:CK128,LS_Demand_Rates_Restatement!$C$4:$Z$4)-IF(Init!$R$15="No", 'Staging Table'!CX128*Rates_previous!$H$35, 0))</f>
        <v>2955.3459145010274</v>
      </c>
      <c r="G126" s="408">
        <f>IF(Init!$R$9="Yes",SUMPRODUCT('Staging Table'!AJ128:AU128,LS_Demand_Rates_Restatement!$C$10:$N$10),SUMPRODUCT(LS_Demand_Rates_Restatement!$C$10:$N$10,'Staging Table'!CL128:CW128))*1000</f>
        <v>90281.148104727574</v>
      </c>
      <c r="H126" s="409">
        <f>IF(Init!$R$9="Yes",'Staging Table'!BF128,'Staging Table'!DH128)*Rates_previous!$H$33</f>
        <v>-3769.3202931614978</v>
      </c>
      <c r="I126" s="409">
        <f>IF(Init!$R$9="Yes",IF('Staging Table'!D128=1,'Staging Table'!H128*-1*('Staging Table'!F128/'Staging Table'!E128),'Staging Table'!H128*SUM(D126:H126)*(-1)),IF('Staging Table'!D128=1,'Staging Table'!BJ128*-1*('Staging Table'!BH128/'Staging Table'!BG128),'Staging Table'!BJ128*SUM(D126:H126)*(-1)))</f>
        <v>-97401.012320436799</v>
      </c>
      <c r="J126" s="407">
        <f>IF(Init!$R$9="Yes",'Staging Table'!K128,'Staging Table'!BM128)*(-1)*Rates_previous!$H$32</f>
        <v>0</v>
      </c>
      <c r="K126" s="407">
        <f>IF(Init!$R$12="No",0,'Staging Table'!$AW128*-1)</f>
        <v>0</v>
      </c>
      <c r="L126" s="407">
        <f>IF('Staging Table'!C128=1,"",SUM(D126:K126))</f>
        <v>1487643.94000563</v>
      </c>
      <c r="M126" s="407">
        <f>IF('Staging Table'!C128=1,"",IF(Init!$R$9="Yes",(RT1SC!$C$3*'Staging Table'!F128*'Staging Table'!$F$2)+SUM('Staging Table'!L128:AI128)-IF(Init!$R$15="No",'Staging Table'!AV128, 0),X126))</f>
        <v>43107.592102467628</v>
      </c>
      <c r="N126" s="169">
        <f>IF('Staging Table'!C128=1,"",IF(M126=0, 0, L126/M126))</f>
        <v>34.510021725859097</v>
      </c>
      <c r="O126" s="407">
        <f>'Staging Table'!BH128*Rates_current!$E$75*100*12</f>
        <v>1801248.2208</v>
      </c>
      <c r="P126" s="407">
        <f>'Staging Table'!BH128*Rates_current!$E$76*100*12</f>
        <v>-253361.08559999996</v>
      </c>
      <c r="Q126" s="408">
        <f>SUMPRODUCT('Staging Table'!BN128:CK128, LS_Demand_Rates_Restatement!$C$5:$Z$5)-IF(Init!$R$15="No",('Staging Table'!CX128*Rates_current!$H$35), 0)</f>
        <v>35561.657181522321</v>
      </c>
      <c r="R126" s="408">
        <f>SUMPRODUCT('Staging Table'!CL128:CW128, LS_Demand_Rates_Restatement!$C$11:$N$11)*1000</f>
        <v>89368.86512467057</v>
      </c>
      <c r="S126" s="409">
        <f>'Staging Table'!DH128*Rates_current!$H$33</f>
        <v>1223.9060006606669</v>
      </c>
      <c r="T126" s="409">
        <f>IF('Staging Table'!D128=1, 'Staging Table'!BJ128*-1*('Staging Table'!BH128/'Staging Table'!BG128),SUM(O126:S126)*'Staging Table'!BJ128*-1)</f>
        <v>-92072.285992876961</v>
      </c>
      <c r="U126" s="407">
        <f>'Staging Table'!BM128*Rates_current!$H$32*-1</f>
        <v>0</v>
      </c>
      <c r="V126" s="407">
        <f>IF(Init!$R$12="No",0,'Staging Table'!$CY128*-1)</f>
        <v>0</v>
      </c>
      <c r="W126" s="407">
        <f>IF('Staging Table'!C128=1,"",SUM(O126:V126))</f>
        <v>1581969.2775139769</v>
      </c>
      <c r="X126" s="407">
        <f>IF('Staging Table'!C128=1,"",(RT1SC!$C$4*'Staging Table'!BH128*'Staging Table'!$BH$2)+SUM('Staging Table'!BN128:CK128)-IF(Init!$R$15="No",'Staging Table'!CX128, 0))</f>
        <v>43107.592627502796</v>
      </c>
      <c r="Y126" s="169">
        <f>IF('Staging Table'!C128=1,"",IF(X126=0, 0, W126/X126))</f>
        <v>36.698158748597685</v>
      </c>
      <c r="Z126" s="160">
        <f>IF('Staging Table'!C128=1,"",Y126/N126-1)</f>
        <v>6.3405843094528347E-2</v>
      </c>
      <c r="AA126" s="97">
        <f t="shared" si="1"/>
        <v>11</v>
      </c>
      <c r="AB126" s="397"/>
      <c r="AC126" s="397"/>
      <c r="AD126" s="397"/>
    </row>
    <row r="127" spans="2:30">
      <c r="B127" s="274">
        <v>10442</v>
      </c>
      <c r="C127" s="275" t="s">
        <v>130</v>
      </c>
      <c r="D127" s="407">
        <f>IF(Init!$R$9="Yes",'Staging Table'!F129,'Staging Table'!BH129)*Rates_previous!$E$75*100*12</f>
        <v>4481320.0521600004</v>
      </c>
      <c r="E127" s="407">
        <f>IF(Init!$R$9="Yes",'Staging Table'!F129,'Staging Table'!BH129)*Rates_previous!$E$76*100*12</f>
        <v>-666195.33695999999</v>
      </c>
      <c r="F127" s="408">
        <f>IF(Init!$R$9="Yes",SUMPRODUCT('Staging Table'!L129:AI129,LS_Demand_Rates_Restatement!$C$4:$Z$4)-IF(Init!$R$15="No",('Staging Table'!AV129*Rates_previous!$H$35), 0),SUMPRODUCT('Staging Table'!BN129:CK129,LS_Demand_Rates_Restatement!$C$4:$Z$4)-IF(Init!$R$15="No", 'Staging Table'!CX129*Rates_previous!$H$35, 0))</f>
        <v>-58760.519457209244</v>
      </c>
      <c r="G127" s="408">
        <f>IF(Init!$R$9="Yes",SUMPRODUCT('Staging Table'!AJ129:AU129,LS_Demand_Rates_Restatement!$C$10:$N$10),SUMPRODUCT(LS_Demand_Rates_Restatement!$C$10:$N$10,'Staging Table'!CL129:CW129))*1000</f>
        <v>392167.71682722564</v>
      </c>
      <c r="H127" s="409">
        <f>IF(Init!$R$9="Yes",'Staging Table'!BF129,'Staging Table'!DH129)*Rates_previous!$H$33</f>
        <v>-25322.892086711872</v>
      </c>
      <c r="I127" s="409">
        <f>IF(Init!$R$9="Yes",IF('Staging Table'!D129=1,'Staging Table'!H129*-1*('Staging Table'!F129/'Staging Table'!E129),'Staging Table'!H129*SUM(D127:H127)*(-1)),IF('Staging Table'!D129=1,'Staging Table'!BJ129*-1*('Staging Table'!BH129/'Staging Table'!BG129),'Staging Table'!BJ129*SUM(D127:H127)*(-1)))</f>
        <v>-288624.63143383135</v>
      </c>
      <c r="J127" s="407">
        <f>IF(Init!$R$9="Yes",'Staging Table'!K129,'Staging Table'!BM129)*(-1)*Rates_previous!$H$32</f>
        <v>-114561.2941</v>
      </c>
      <c r="K127" s="407">
        <f>IF(Init!$R$12="No",0,'Staging Table'!$AW129*-1)</f>
        <v>0</v>
      </c>
      <c r="L127" s="407">
        <f>IF('Staging Table'!C129=1,"",SUM(D127:K127))</f>
        <v>3720023.0949494732</v>
      </c>
      <c r="M127" s="407">
        <f>IF('Staging Table'!C129=1,"",IF(Init!$R$9="Yes",(RT1SC!$C$3*'Staging Table'!F129*'Staging Table'!$F$2)+SUM('Staging Table'!L129:AI129)-IF(Init!$R$15="No",'Staging Table'!AV129, 0),X127))</f>
        <v>108185.98426138848</v>
      </c>
      <c r="N127" s="169">
        <f>IF('Staging Table'!C129=1,"",IF(M127=0, 0, L127/M127))</f>
        <v>34.385443921844015</v>
      </c>
      <c r="O127" s="407">
        <f>'Staging Table'!BH129*Rates_current!$E$75*100*12</f>
        <v>4787447.7110400004</v>
      </c>
      <c r="P127" s="407">
        <f>'Staging Table'!BH129*Rates_current!$E$76*100*12</f>
        <v>-673395.77928000002</v>
      </c>
      <c r="Q127" s="408">
        <f>SUMPRODUCT('Staging Table'!BN129:CK129, LS_Demand_Rates_Restatement!$C$5:$Z$5)-IF(Init!$R$15="No",('Staging Table'!CX129*Rates_current!$H$35), 0)</f>
        <v>-103005.24697752004</v>
      </c>
      <c r="R127" s="408">
        <f>SUMPRODUCT('Staging Table'!CL129:CW129, LS_Demand_Rates_Restatement!$C$11:$N$11)*1000</f>
        <v>387349.44658755331</v>
      </c>
      <c r="S127" s="409">
        <f>'Staging Table'!DH129*Rates_current!$H$33</f>
        <v>-78183.182735443595</v>
      </c>
      <c r="T127" s="409">
        <f>IF('Staging Table'!D129=1, 'Staging Table'!BJ129*-1*('Staging Table'!BH129/'Staging Table'!BG129),SUM(O127:S127)*'Staging Table'!BJ129*-1)</f>
        <v>-302414.90640442132</v>
      </c>
      <c r="U127" s="407">
        <f>'Staging Table'!BM129*Rates_current!$H$32*-1</f>
        <v>-114463.9608</v>
      </c>
      <c r="V127" s="407">
        <f>IF(Init!$R$12="No",0,'Staging Table'!$CY129*-1)</f>
        <v>0</v>
      </c>
      <c r="W127" s="407">
        <f>IF('Staging Table'!C129=1,"",SUM(O127:V127))</f>
        <v>3903334.0814301688</v>
      </c>
      <c r="X127" s="407">
        <f>IF('Staging Table'!C129=1,"",(RT1SC!$C$4*'Staging Table'!BH129*'Staging Table'!$BH$2)+SUM('Staging Table'!BN129:CK129)-IF(Init!$R$15="No",'Staging Table'!CX129, 0))</f>
        <v>108185.98566780835</v>
      </c>
      <c r="Y127" s="169">
        <f>IF('Staging Table'!C129=1,"",IF(X127=0, 0, W127/X127))</f>
        <v>36.079849504866495</v>
      </c>
      <c r="Z127" s="160">
        <f>IF('Staging Table'!C129=1,"",Y127/N127-1)</f>
        <v>4.9276827336409035E-2</v>
      </c>
      <c r="AA127" s="97">
        <f t="shared" si="1"/>
        <v>68</v>
      </c>
      <c r="AB127" s="397"/>
      <c r="AC127" s="397"/>
      <c r="AD127" s="397"/>
    </row>
    <row r="128" spans="2:30">
      <c r="B128" s="274">
        <v>10446</v>
      </c>
      <c r="C128" s="275" t="s">
        <v>131</v>
      </c>
      <c r="D128" s="407">
        <f>IF(Init!$R$9="Yes",'Staging Table'!F130,'Staging Table'!BH130)*Rates_previous!$E$75*100*12</f>
        <v>33617326.352399997</v>
      </c>
      <c r="E128" s="407">
        <f>IF(Init!$R$9="Yes",'Staging Table'!F130,'Staging Table'!BH130)*Rates_previous!$E$76*100*12</f>
        <v>-4997568.9743999997</v>
      </c>
      <c r="F128" s="408">
        <f>IF(Init!$R$9="Yes",SUMPRODUCT('Staging Table'!L130:AI130,LS_Demand_Rates_Restatement!$C$4:$Z$4)-IF(Init!$R$15="No",('Staging Table'!AV130*Rates_previous!$H$35), 0),SUMPRODUCT('Staging Table'!BN130:CK130,LS_Demand_Rates_Restatement!$C$4:$Z$4)-IF(Init!$R$15="No", 'Staging Table'!CX130*Rates_previous!$H$35, 0))</f>
        <v>-1401681.8946012633</v>
      </c>
      <c r="G128" s="408">
        <f>IF(Init!$R$9="Yes",SUMPRODUCT('Staging Table'!AJ130:AU130,LS_Demand_Rates_Restatement!$C$10:$N$10),SUMPRODUCT(LS_Demand_Rates_Restatement!$C$10:$N$10,'Staging Table'!CL130:CW130))*1000</f>
        <v>1007967.6125051548</v>
      </c>
      <c r="H128" s="409">
        <f>IF(Init!$R$9="Yes",'Staging Table'!BF130,'Staging Table'!DH130)*Rates_previous!$H$33</f>
        <v>-79729.898146506908</v>
      </c>
      <c r="I128" s="409">
        <f>IF(Init!$R$9="Yes",IF('Staging Table'!D130=1,'Staging Table'!H130*-1*('Staging Table'!F130/'Staging Table'!E130),'Staging Table'!H130*SUM(D128:H128)*(-1)),IF('Staging Table'!D130=1,'Staging Table'!BJ130*-1*('Staging Table'!BH130/'Staging Table'!BG130),'Staging Table'!BJ130*SUM(D128:H128)*(-1)))</f>
        <v>-1629390.071018175</v>
      </c>
      <c r="J128" s="407">
        <f>IF(Init!$R$9="Yes",'Staging Table'!K130,'Staging Table'!BM130)*(-1)*Rates_previous!$H$32</f>
        <v>-84406.671799999996</v>
      </c>
      <c r="K128" s="407">
        <f>IF(Init!$R$12="No",0,'Staging Table'!$AW130*-1)</f>
        <v>0</v>
      </c>
      <c r="L128" s="407">
        <f>IF('Staging Table'!C130=1,"",SUM(D128:K128))</f>
        <v>26432516.454939213</v>
      </c>
      <c r="M128" s="407">
        <f>IF('Staging Table'!C130=1,"",IF(Init!$R$9="Yes",(RT1SC!$C$3*'Staging Table'!F130*'Staging Table'!$F$2)+SUM('Staging Table'!L130:AI130)-IF(Init!$R$15="No",'Staging Table'!AV130, 0),X128))</f>
        <v>780259.72396084666</v>
      </c>
      <c r="N128" s="169">
        <f>IF('Staging Table'!C130=1,"",IF(M128=0, 0, L128/M128))</f>
        <v>33.876561410551027</v>
      </c>
      <c r="O128" s="407">
        <f>'Staging Table'!BH130*Rates_current!$E$75*100*12</f>
        <v>34569953.300160006</v>
      </c>
      <c r="P128" s="407">
        <f>'Staging Table'!BH130*Rates_current!$E$76*100*12</f>
        <v>-4862561.8591200002</v>
      </c>
      <c r="Q128" s="408">
        <f>SUMPRODUCT('Staging Table'!BN130:CK130, LS_Demand_Rates_Restatement!$C$5:$Z$5)-IF(Init!$R$15="No",('Staging Table'!CX130*Rates_current!$H$35), 0)</f>
        <v>-472154.58503499016</v>
      </c>
      <c r="R128" s="408">
        <f>SUMPRODUCT('Staging Table'!CL130:CW130, LS_Demand_Rates_Restatement!$C$11:$N$11)*1000</f>
        <v>928881.17754230753</v>
      </c>
      <c r="S128" s="409">
        <f>'Staging Table'!DH130*Rates_current!$H$33</f>
        <v>-18495.786949555117</v>
      </c>
      <c r="T128" s="409">
        <f>IF('Staging Table'!D130=1, 'Staging Table'!BJ130*-1*('Staging Table'!BH130/'Staging Table'!BG130),SUM(O128:S128)*'Staging Table'!BJ130*-1)</f>
        <v>-1854054.6178089299</v>
      </c>
      <c r="U128" s="407">
        <f>'Staging Table'!BM130*Rates_current!$H$32*-1</f>
        <v>-84334.958400000003</v>
      </c>
      <c r="V128" s="407">
        <f>IF(Init!$R$12="No",0,'Staging Table'!$CY130*-1)</f>
        <v>0</v>
      </c>
      <c r="W128" s="407">
        <f>IF('Staging Table'!C130=1,"",SUM(O128:V128))</f>
        <v>28207232.670388836</v>
      </c>
      <c r="X128" s="407">
        <f>IF('Staging Table'!C130=1,"",(RT1SC!$C$4*'Staging Table'!BH130*'Staging Table'!$BH$2)+SUM('Staging Table'!BN130:CK130)-IF(Init!$R$15="No",'Staging Table'!CX130, 0))</f>
        <v>803356.83004317211</v>
      </c>
      <c r="Y128" s="169">
        <f>IF('Staging Table'!C130=1,"",IF(X128=0, 0, W128/X128))</f>
        <v>35.111710780965154</v>
      </c>
      <c r="Z128" s="160">
        <f>IF('Staging Table'!C130=1,"",Y128/N128-1)</f>
        <v>3.6460293459106285E-2</v>
      </c>
      <c r="AA128" s="97">
        <f t="shared" si="1"/>
        <v>104</v>
      </c>
      <c r="AB128" s="397"/>
      <c r="AC128" s="397"/>
      <c r="AD128" s="397"/>
    </row>
    <row r="129" spans="1:30">
      <c r="B129" s="274">
        <v>10448</v>
      </c>
      <c r="C129" s="275" t="s">
        <v>132</v>
      </c>
      <c r="D129" s="407">
        <f>IF(Init!$R$9="Yes",'Staging Table'!F131,'Staging Table'!BH131)*Rates_previous!$E$75*100*12</f>
        <v>2934987.3982799998</v>
      </c>
      <c r="E129" s="407">
        <f>IF(Init!$R$9="Yes",'Staging Table'!F131,'Staging Table'!BH131)*Rates_previous!$E$76*100*12</f>
        <v>-436316.73167999997</v>
      </c>
      <c r="F129" s="408">
        <f>IF(Init!$R$9="Yes",SUMPRODUCT('Staging Table'!L131:AI131,LS_Demand_Rates_Restatement!$C$4:$Z$4)-IF(Init!$R$15="No",('Staging Table'!AV131*Rates_previous!$H$35), 0),SUMPRODUCT('Staging Table'!BN131:CK131,LS_Demand_Rates_Restatement!$C$4:$Z$4)-IF(Init!$R$15="No", 'Staging Table'!CX131*Rates_previous!$H$35, 0))</f>
        <v>0</v>
      </c>
      <c r="G129" s="408">
        <f>IF(Init!$R$9="Yes",SUMPRODUCT('Staging Table'!AJ131:AU131,LS_Demand_Rates_Restatement!$C$10:$N$10),SUMPRODUCT(LS_Demand_Rates_Restatement!$C$10:$N$10,'Staging Table'!CL131:CW131))*1000</f>
        <v>0</v>
      </c>
      <c r="H129" s="409">
        <f>IF(Init!$R$9="Yes",'Staging Table'!BF131,'Staging Table'!DH131)*Rates_previous!$H$33</f>
        <v>-12.136169185095786</v>
      </c>
      <c r="I129" s="409">
        <f>IF(Init!$R$9="Yes",IF('Staging Table'!D131=1,'Staging Table'!H131*-1*('Staging Table'!F131/'Staging Table'!E131),'Staging Table'!H131*SUM(D129:H129)*(-1)),IF('Staging Table'!D131=1,'Staging Table'!BJ131*-1*('Staging Table'!BH131/'Staging Table'!BG131),'Staging Table'!BJ131*SUM(D129:H129)*(-1)))</f>
        <v>-174906.09713015708</v>
      </c>
      <c r="J129" s="407">
        <f>IF(Init!$R$9="Yes",'Staging Table'!K131,'Staging Table'!BM131)*(-1)*Rates_previous!$H$32</f>
        <v>0</v>
      </c>
      <c r="K129" s="407">
        <f>IF(Init!$R$12="No",0,'Staging Table'!$AW131*-1)</f>
        <v>0</v>
      </c>
      <c r="L129" s="407" t="str">
        <f>IF('Staging Table'!C131=1,"",SUM(D129:K129))</f>
        <v/>
      </c>
      <c r="M129" s="407" t="str">
        <f>IF('Staging Table'!C131=1,"",IF(Init!$R$9="Yes",(RT1SC!$C$3*'Staging Table'!F131*'Staging Table'!$F$2)+SUM('Staging Table'!L131:AI131)-IF(Init!$R$15="No",'Staging Table'!AV131, 0),X129))</f>
        <v/>
      </c>
      <c r="N129" s="169" t="str">
        <f>IF('Staging Table'!C131=1,"",IF(M129=0, 0, L129/M129))</f>
        <v/>
      </c>
      <c r="O129" s="407">
        <f>'Staging Table'!BH131*Rates_current!$E$75*100*12</f>
        <v>2990530.6387200002</v>
      </c>
      <c r="P129" s="407">
        <f>'Staging Table'!BH131*Rates_current!$E$76*100*12</f>
        <v>-420643.90704000002</v>
      </c>
      <c r="Q129" s="408">
        <f>SUMPRODUCT('Staging Table'!BN131:CK131, LS_Demand_Rates_Restatement!$C$5:$Z$5)-IF(Init!$R$15="No",('Staging Table'!CX131*Rates_current!$H$35), 0)</f>
        <v>0</v>
      </c>
      <c r="R129" s="408">
        <f>SUMPRODUCT('Staging Table'!CL131:CW131, LS_Demand_Rates_Restatement!$C$11:$N$11)*1000</f>
        <v>0</v>
      </c>
      <c r="S129" s="409">
        <f>'Staging Table'!DH131*Rates_current!$H$33</f>
        <v>-15.610375188047328</v>
      </c>
      <c r="T129" s="409">
        <f>IF('Staging Table'!D131=1, 'Staging Table'!BJ131*-1*('Staging Table'!BH131/'Staging Table'!BG131),SUM(O129:S129)*'Staging Table'!BJ131*-1)</f>
        <v>-179890.97849133689</v>
      </c>
      <c r="U129" s="407">
        <f>'Staging Table'!BM131*Rates_current!$H$32*-1</f>
        <v>0</v>
      </c>
      <c r="V129" s="407">
        <f>IF(Init!$R$12="No",0,'Staging Table'!$CY131*-1)</f>
        <v>0</v>
      </c>
      <c r="W129" s="407" t="str">
        <f>IF('Staging Table'!C131=1,"",SUM(O129:V129))</f>
        <v/>
      </c>
      <c r="X129" s="407" t="str">
        <f>IF('Staging Table'!C131=1,"",(RT1SC!$C$4*'Staging Table'!BH131*'Staging Table'!$BH$2)+SUM('Staging Table'!BN131:CK131)-IF(Init!$R$15="No",'Staging Table'!CX131, 0))</f>
        <v/>
      </c>
      <c r="Y129" s="169" t="str">
        <f>IF('Staging Table'!C131=1,"",IF(X129=0, 0, W129/X129))</f>
        <v/>
      </c>
      <c r="Z129" s="160" t="str">
        <f>IF('Staging Table'!C131=1,"",Y129/N129-1)</f>
        <v/>
      </c>
      <c r="AA129" s="97" t="str">
        <f t="shared" si="1"/>
        <v/>
      </c>
      <c r="AB129" s="397"/>
      <c r="AC129" s="397"/>
      <c r="AD129" s="397"/>
    </row>
    <row r="130" spans="1:30">
      <c r="B130" s="274">
        <v>10451</v>
      </c>
      <c r="C130" s="275" t="s">
        <v>133</v>
      </c>
      <c r="D130" s="407">
        <f>IF(Init!$R$9="Yes",'Staging Table'!F132,'Staging Table'!BH132)*Rates_previous!$E$75*100*12</f>
        <v>9213142.5287999995</v>
      </c>
      <c r="E130" s="407">
        <f>IF(Init!$R$9="Yes",'Staging Table'!F132,'Staging Table'!BH132)*Rates_previous!$E$76*100*12</f>
        <v>-1369630.4928000001</v>
      </c>
      <c r="F130" s="408">
        <f>IF(Init!$R$9="Yes",SUMPRODUCT('Staging Table'!L132:AI132,LS_Demand_Rates_Restatement!$C$4:$Z$4)-IF(Init!$R$15="No",('Staging Table'!AV132*Rates_previous!$H$35), 0),SUMPRODUCT('Staging Table'!BN132:CK132,LS_Demand_Rates_Restatement!$C$4:$Z$4)-IF(Init!$R$15="No", 'Staging Table'!CX132*Rates_previous!$H$35, 0))</f>
        <v>7549.4284355031559</v>
      </c>
      <c r="G130" s="408">
        <f>IF(Init!$R$9="Yes",SUMPRODUCT('Staging Table'!AJ132:AU132,LS_Demand_Rates_Restatement!$C$10:$N$10),SUMPRODUCT(LS_Demand_Rates_Restatement!$C$10:$N$10,'Staging Table'!CL132:CW132))*1000</f>
        <v>191899.25181931091</v>
      </c>
      <c r="H130" s="409">
        <f>IF(Init!$R$9="Yes",'Staging Table'!BF132,'Staging Table'!DH132)*Rates_previous!$H$33</f>
        <v>15372.277755886962</v>
      </c>
      <c r="I130" s="409">
        <f>IF(Init!$R$9="Yes",IF('Staging Table'!D132=1,'Staging Table'!H132*-1*('Staging Table'!F132/'Staging Table'!E132),'Staging Table'!H132*SUM(D130:H130)*(-1)),IF('Staging Table'!D132=1,'Staging Table'!BJ132*-1*('Staging Table'!BH132/'Staging Table'!BG132),'Staging Table'!BJ132*SUM(D130:H130)*(-1)))</f>
        <v>0</v>
      </c>
      <c r="J130" s="407">
        <f>IF(Init!$R$9="Yes",'Staging Table'!K132,'Staging Table'!BM132)*(-1)*Rates_previous!$H$32</f>
        <v>0</v>
      </c>
      <c r="K130" s="407">
        <f>IF(Init!$R$12="No",0,'Staging Table'!$AW132*-1)</f>
        <v>0</v>
      </c>
      <c r="L130" s="407">
        <f>IF('Staging Table'!C132=1,"",SUM(D130:K130))</f>
        <v>8058332.9940107008</v>
      </c>
      <c r="M130" s="407">
        <f>IF('Staging Table'!C132=1,"",IF(Init!$R$9="Yes",(RT1SC!$C$3*'Staging Table'!F132*'Staging Table'!$F$2)+SUM('Staging Table'!L132:AI132)-IF(Init!$R$15="No",'Staging Table'!AV132, 0),X130))</f>
        <v>230041.92453738835</v>
      </c>
      <c r="N130" s="169">
        <f>IF('Staging Table'!C132=1,"",IF(M130=0, 0, L130/M130))</f>
        <v>35.029845147643918</v>
      </c>
      <c r="O130" s="407">
        <f>'Staging Table'!BH132*Rates_current!$E$75*100*12</f>
        <v>9605977.7817600016</v>
      </c>
      <c r="P130" s="407">
        <f>'Staging Table'!BH132*Rates_current!$E$76*100*12</f>
        <v>-1351163.5603199999</v>
      </c>
      <c r="Q130" s="408">
        <f>SUMPRODUCT('Staging Table'!BN132:CK132, LS_Demand_Rates_Restatement!$C$5:$Z$5)-IF(Init!$R$15="No",('Staging Table'!CX132*Rates_current!$H$35), 0)</f>
        <v>-12349.096515104226</v>
      </c>
      <c r="R130" s="408">
        <f>SUMPRODUCT('Staging Table'!CL132:CW132, LS_Demand_Rates_Restatement!$C$11:$N$11)*1000</f>
        <v>178400.1715376603</v>
      </c>
      <c r="S130" s="409">
        <f>'Staging Table'!DH132*Rates_current!$H$33</f>
        <v>8431.9236671726758</v>
      </c>
      <c r="T130" s="409">
        <f>IF('Staging Table'!D132=1, 'Staging Table'!BJ132*-1*('Staging Table'!BH132/'Staging Table'!BG132),SUM(O130:S130)*'Staging Table'!BJ132*-1)</f>
        <v>0</v>
      </c>
      <c r="U130" s="407">
        <f>'Staging Table'!BM132*Rates_current!$H$32*-1</f>
        <v>0</v>
      </c>
      <c r="V130" s="407">
        <f>IF(Init!$R$12="No",0,'Staging Table'!$CY132*-1)</f>
        <v>0</v>
      </c>
      <c r="W130" s="407">
        <f>IF('Staging Table'!C132=1,"",SUM(O130:V130))</f>
        <v>8429297.2201297302</v>
      </c>
      <c r="X130" s="407">
        <f>IF('Staging Table'!C132=1,"",(RT1SC!$C$4*'Staging Table'!BH132*'Staging Table'!$BH$2)+SUM('Staging Table'!BN132:CK132)-IF(Init!$R$15="No",'Staging Table'!CX132, 0))</f>
        <v>230041.92734644489</v>
      </c>
      <c r="Y130" s="169">
        <f>IF('Staging Table'!C132=1,"",IF(X130=0, 0, W130/X130))</f>
        <v>36.642438695252039</v>
      </c>
      <c r="Z130" s="160">
        <f>IF('Staging Table'!C132=1,"",Y130/N130-1)</f>
        <v>4.6034846594706691E-2</v>
      </c>
      <c r="AA130" s="97">
        <f t="shared" si="1"/>
        <v>89</v>
      </c>
      <c r="AB130" s="397"/>
      <c r="AC130" s="397"/>
      <c r="AD130" s="397"/>
    </row>
    <row r="131" spans="1:30">
      <c r="B131" s="274">
        <v>10482</v>
      </c>
      <c r="C131" s="275" t="s">
        <v>134</v>
      </c>
      <c r="D131" s="407">
        <f>IF(Init!$R$9="Yes",'Staging Table'!F133,'Staging Table'!BH133)*Rates_previous!$E$75*100*12</f>
        <v>1006465.27464</v>
      </c>
      <c r="E131" s="407">
        <f>IF(Init!$R$9="Yes",'Staging Table'!F133,'Staging Table'!BH133)*Rates_previous!$E$76*100*12</f>
        <v>-149621.64384</v>
      </c>
      <c r="F131" s="408">
        <f>IF(Init!$R$9="Yes",SUMPRODUCT('Staging Table'!L133:AI133,LS_Demand_Rates_Restatement!$C$4:$Z$4)-IF(Init!$R$15="No",('Staging Table'!AV133*Rates_previous!$H$35), 0),SUMPRODUCT('Staging Table'!BN133:CK133,LS_Demand_Rates_Restatement!$C$4:$Z$4)-IF(Init!$R$15="No", 'Staging Table'!CX133*Rates_previous!$H$35, 0))</f>
        <v>-35416.280705630415</v>
      </c>
      <c r="G131" s="408">
        <f>IF(Init!$R$9="Yes",SUMPRODUCT('Staging Table'!AJ133:AU133,LS_Demand_Rates_Restatement!$C$10:$N$10),SUMPRODUCT(LS_Demand_Rates_Restatement!$C$10:$N$10,'Staging Table'!CL133:CW133))*1000</f>
        <v>57197.328415188742</v>
      </c>
      <c r="H131" s="409">
        <f>IF(Init!$R$9="Yes",'Staging Table'!BF133,'Staging Table'!DH133)*Rates_previous!$H$33</f>
        <v>-11518.58423045571</v>
      </c>
      <c r="I131" s="409">
        <f>IF(Init!$R$9="Yes",IF('Staging Table'!D133=1,'Staging Table'!H133*-1*('Staging Table'!F133/'Staging Table'!E133),'Staging Table'!H133*SUM(D131:H131)*(-1)),IF('Staging Table'!D133=1,'Staging Table'!BJ133*-1*('Staging Table'!BH133/'Staging Table'!BG133),'Staging Table'!BJ133*SUM(D131:H131)*(-1)))</f>
        <v>0</v>
      </c>
      <c r="J131" s="407">
        <f>IF(Init!$R$9="Yes",'Staging Table'!K133,'Staging Table'!BM133)*(-1)*Rates_previous!$H$32</f>
        <v>0</v>
      </c>
      <c r="K131" s="407">
        <f>IF(Init!$R$12="No",0,'Staging Table'!$AW133*-1)</f>
        <v>0</v>
      </c>
      <c r="L131" s="407">
        <f>IF('Staging Table'!C133=1,"",SUM(D131:K131))</f>
        <v>867106.09427910252</v>
      </c>
      <c r="M131" s="407">
        <f>IF('Staging Table'!C133=1,"",IF(Init!$R$9="Yes",(RT1SC!$C$3*'Staging Table'!F133*'Staging Table'!$F$2)+SUM('Staging Table'!L133:AI133)-IF(Init!$R$15="No",'Staging Table'!AV133, 0),X131))</f>
        <v>23636.241058705567</v>
      </c>
      <c r="N131" s="169">
        <f>IF('Staging Table'!C133=1,"",IF(M131=0, 0, L131/M131))</f>
        <v>36.685448084805977</v>
      </c>
      <c r="O131" s="407">
        <f>'Staging Table'!BH133*Rates_current!$E$75*100*12</f>
        <v>994635.50976000004</v>
      </c>
      <c r="P131" s="407">
        <f>'Staging Table'!BH133*Rates_current!$E$76*100*12</f>
        <v>-139904.05632</v>
      </c>
      <c r="Q131" s="408">
        <f>SUMPRODUCT('Staging Table'!BN133:CK133, LS_Demand_Rates_Restatement!$C$5:$Z$5)-IF(Init!$R$15="No",('Staging Table'!CX133*Rates_current!$H$35), 0)</f>
        <v>-2597.8887420561828</v>
      </c>
      <c r="R131" s="408">
        <f>SUMPRODUCT('Staging Table'!CL133:CW133, LS_Demand_Rates_Restatement!$C$11:$N$11)*1000</f>
        <v>54278.49204764067</v>
      </c>
      <c r="S131" s="409">
        <f>'Staging Table'!DH133*Rates_current!$H$33</f>
        <v>-1429.5128320962613</v>
      </c>
      <c r="T131" s="409">
        <f>IF('Staging Table'!D133=1, 'Staging Table'!BJ133*-1*('Staging Table'!BH133/'Staging Table'!BG133),SUM(O131:S131)*'Staging Table'!BJ133*-1)</f>
        <v>0</v>
      </c>
      <c r="U131" s="407">
        <f>'Staging Table'!BM133*Rates_current!$H$32*-1</f>
        <v>0</v>
      </c>
      <c r="V131" s="407">
        <f>IF(Init!$R$12="No",0,'Staging Table'!$CY133*-1)</f>
        <v>0</v>
      </c>
      <c r="W131" s="407">
        <f>IF('Staging Table'!C133=1,"",SUM(O131:V131))</f>
        <v>904982.54391348828</v>
      </c>
      <c r="X131" s="407">
        <f>IF('Staging Table'!C133=1,"",(RT1SC!$C$4*'Staging Table'!BH133*'Staging Table'!$BH$2)+SUM('Staging Table'!BN133:CK133)-IF(Init!$R$15="No",'Staging Table'!CX133, 0))</f>
        <v>23636.241346502251</v>
      </c>
      <c r="Y131" s="169">
        <f>IF('Staging Table'!C133=1,"",IF(X131=0, 0, W131/X131))</f>
        <v>38.287921105840702</v>
      </c>
      <c r="Z131" s="160">
        <f>IF('Staging Table'!C133=1,"",Y131/N131-1)</f>
        <v>4.3681435138267277E-2</v>
      </c>
      <c r="AA131" s="97">
        <f t="shared" si="1"/>
        <v>96</v>
      </c>
      <c r="AB131" s="397"/>
      <c r="AC131" s="397"/>
      <c r="AD131" s="397"/>
    </row>
    <row r="132" spans="1:30">
      <c r="B132" s="274">
        <v>10502</v>
      </c>
      <c r="C132" s="275" t="s">
        <v>135</v>
      </c>
      <c r="D132" s="407">
        <f>IF(Init!$R$9="Yes",'Staging Table'!F134,'Staging Table'!BH134)*Rates_previous!$E$75*100*12</f>
        <v>4083536.0638800003</v>
      </c>
      <c r="E132" s="407">
        <f>IF(Init!$R$9="Yes",'Staging Table'!F134,'Staging Table'!BH134)*Rates_previous!$E$76*100*12</f>
        <v>-607060.56527999998</v>
      </c>
      <c r="F132" s="408">
        <f>IF(Init!$R$9="Yes",SUMPRODUCT('Staging Table'!L134:AI134,LS_Demand_Rates_Restatement!$C$4:$Z$4)-IF(Init!$R$15="No",('Staging Table'!AV134*Rates_previous!$H$35), 0),SUMPRODUCT('Staging Table'!BN134:CK134,LS_Demand_Rates_Restatement!$C$4:$Z$4)-IF(Init!$R$15="No", 'Staging Table'!CX134*Rates_previous!$H$35, 0))</f>
        <v>31664.027356017148</v>
      </c>
      <c r="G132" s="408">
        <f>IF(Init!$R$9="Yes",SUMPRODUCT('Staging Table'!AJ134:AU134,LS_Demand_Rates_Restatement!$C$10:$N$10),SUMPRODUCT(LS_Demand_Rates_Restatement!$C$10:$N$10,'Staging Table'!CL134:CW134))*1000</f>
        <v>523563.03821258905</v>
      </c>
      <c r="H132" s="409">
        <f>IF(Init!$R$9="Yes",'Staging Table'!BF134,'Staging Table'!DH134)*Rates_previous!$H$33</f>
        <v>0</v>
      </c>
      <c r="I132" s="409">
        <f>IF(Init!$R$9="Yes",IF('Staging Table'!D134=1,'Staging Table'!H134*-1*('Staging Table'!F134/'Staging Table'!E134),'Staging Table'!H134*SUM(D132:H132)*(-1)),IF('Staging Table'!D134=1,'Staging Table'!BJ134*-1*('Staging Table'!BH134/'Staging Table'!BG134),'Staging Table'!BJ134*SUM(D132:H132)*(-1)))</f>
        <v>-287218.49067137152</v>
      </c>
      <c r="J132" s="407">
        <f>IF(Init!$R$9="Yes",'Staging Table'!K134,'Staging Table'!BM134)*(-1)*Rates_previous!$H$32</f>
        <v>-84622.733689999994</v>
      </c>
      <c r="K132" s="407">
        <f>IF(Init!$R$12="No",0,'Staging Table'!$AW134*-1)</f>
        <v>0</v>
      </c>
      <c r="L132" s="407">
        <f>IF('Staging Table'!C134=1,"",SUM(D132:K132))</f>
        <v>3659861.3398072352</v>
      </c>
      <c r="M132" s="407">
        <f>IF('Staging Table'!C134=1,"",IF(Init!$R$9="Yes",(RT1SC!$C$3*'Staging Table'!F134*'Staging Table'!$F$2)+SUM('Staging Table'!L134:AI134)-IF(Init!$R$15="No",'Staging Table'!AV134, 0),X132))</f>
        <v>101191.67999999999</v>
      </c>
      <c r="N132" s="169">
        <f>IF('Staging Table'!C134=1,"",IF(M132=0, 0, L132/M132))</f>
        <v>36.167611208819096</v>
      </c>
      <c r="O132" s="407">
        <f>'Staging Table'!BH134*Rates_current!$E$75*100*12</f>
        <v>6091632.9503999986</v>
      </c>
      <c r="P132" s="407">
        <f>'Staging Table'!BH134*Rates_current!$E$76*100*12</f>
        <v>-856840.67279999983</v>
      </c>
      <c r="Q132" s="408">
        <f>SUMPRODUCT('Staging Table'!BN134:CK134, LS_Demand_Rates_Restatement!$C$5:$Z$5)-IF(Init!$R$15="No",('Staging Table'!CX134*Rates_current!$H$35), 0)</f>
        <v>-23410.304397510969</v>
      </c>
      <c r="R132" s="408">
        <f>SUMPRODUCT('Staging Table'!CL134:CW134, LS_Demand_Rates_Restatement!$C$11:$N$11)*1000</f>
        <v>295904.15575909015</v>
      </c>
      <c r="S132" s="409">
        <f>'Staging Table'!DH134*Rates_current!$H$33</f>
        <v>31.532307396875694</v>
      </c>
      <c r="T132" s="409">
        <f>IF('Staging Table'!D134=1, 'Staging Table'!BJ134*-1*('Staging Table'!BH134/'Staging Table'!BG134),SUM(O132:S132)*'Staging Table'!BJ134*-1)</f>
        <v>-385512.23628882825</v>
      </c>
      <c r="U132" s="407">
        <f>'Staging Table'!BM134*Rates_current!$H$32*-1</f>
        <v>-84550.836719999992</v>
      </c>
      <c r="V132" s="407">
        <f>IF(Init!$R$12="No",0,'Staging Table'!$CY134*-1)</f>
        <v>0</v>
      </c>
      <c r="W132" s="407">
        <f>IF('Staging Table'!C134=1,"",SUM(O132:V132))</f>
        <v>5037254.5882601468</v>
      </c>
      <c r="X132" s="407">
        <f>IF('Staging Table'!C134=1,"",(RT1SC!$C$4*'Staging Table'!BH134*'Staging Table'!$BH$2)+SUM('Staging Table'!BN134:CK134)-IF(Init!$R$15="No",'Staging Table'!CX134, 0))</f>
        <v>145462.27312214879</v>
      </c>
      <c r="Y132" s="169">
        <f>IF('Staging Table'!C134=1,"",IF(X132=0, 0, W132/X132))</f>
        <v>34.62928551948464</v>
      </c>
      <c r="Z132" s="160">
        <f>IF('Staging Table'!C134=1,"",Y132/N132-1)</f>
        <v>-4.2533240043217235E-2</v>
      </c>
      <c r="AA132" s="97">
        <f t="shared" ref="AA132" si="2">IF(Z132="","",RANK(Z132,$Z$4:$Z$138))</f>
        <v>118</v>
      </c>
      <c r="AB132" s="397"/>
      <c r="AC132" s="397"/>
      <c r="AD132" s="397"/>
    </row>
    <row r="133" spans="1:30" s="138" customFormat="1">
      <c r="A133" s="140"/>
      <c r="B133" s="296">
        <v>10999</v>
      </c>
      <c r="C133" s="297" t="s">
        <v>320</v>
      </c>
      <c r="D133" s="407">
        <f>IF(Init!$R$9="Yes",'Staging Table'!F135,'Staging Table'!BH135)*Rates_previous!$E$75*100*12</f>
        <v>0</v>
      </c>
      <c r="E133" s="407">
        <f>IF(Init!$R$9="Yes",'Staging Table'!F135,'Staging Table'!BH135)*Rates_previous!$E$76*100*12</f>
        <v>0</v>
      </c>
      <c r="F133" s="408">
        <f>IF(Init!$R$9="Yes",SUMPRODUCT('Staging Table'!L135:AI135,LS_Demand_Rates_Restatement!$C$4:$Z$4)-IF(Init!$R$15="No",('Staging Table'!AV135*Rates_previous!$H$35), 0),SUMPRODUCT('Staging Table'!BN135:CK135,LS_Demand_Rates_Restatement!$C$4:$Z$4)-IF(Init!$R$15="No", 'Staging Table'!CX135*Rates_previous!$H$35, 0))</f>
        <v>0</v>
      </c>
      <c r="G133" s="408">
        <f>IF(Init!$R$9="Yes",SUMPRODUCT('Staging Table'!AJ135:AU135,LS_Demand_Rates_Restatement!$C$10:$N$10),SUMPRODUCT(LS_Demand_Rates_Restatement!$C$10:$N$10,'Staging Table'!CL135:CW135))*1000</f>
        <v>0</v>
      </c>
      <c r="H133" s="409">
        <f>IF(Init!$R$9="Yes",'Staging Table'!BF135,'Staging Table'!DH135)*Rates_previous!$H$33</f>
        <v>0</v>
      </c>
      <c r="I133" s="409">
        <f>IF(Init!$R$9="Yes",IF('Staging Table'!D135=1,'Staging Table'!H135*-1*('Staging Table'!F135/'Staging Table'!E135),'Staging Table'!H135*SUM(D133:H133)*(-1)),IF('Staging Table'!D135=1,'Staging Table'!BJ135*-1*('Staging Table'!BH135/'Staging Table'!BG135),'Staging Table'!BJ135*SUM(D133:H133)*(-1)))</f>
        <v>0</v>
      </c>
      <c r="J133" s="407">
        <f>IF(Init!$R$9="Yes",'Staging Table'!K135,'Staging Table'!BM135)*(-1)*Rates_previous!$H$32</f>
        <v>0</v>
      </c>
      <c r="K133" s="407">
        <f>IF(Init!$R$12="No",0,'Staging Table'!$AW135*-1)</f>
        <v>0</v>
      </c>
      <c r="L133" s="407">
        <f>IF('Staging Table'!C135=1,"",SUM(D133:K133))</f>
        <v>0</v>
      </c>
      <c r="M133" s="407">
        <f>IF('Staging Table'!C135=1,"",IF(Init!$R$9="Yes",(RT1SC!$C$3*'Staging Table'!F135*'Staging Table'!$F$2)+SUM('Staging Table'!L135:AI135)-IF(Init!$R$15="No",'Staging Table'!AV135, 0),X133))</f>
        <v>0</v>
      </c>
      <c r="N133" s="169">
        <f>IF('Staging Table'!C135=1,"",IF(M133=0, 0, L133/M133))</f>
        <v>0</v>
      </c>
      <c r="O133" s="407">
        <f>'Staging Table'!BH135*Rates_current!$E$75*100*12</f>
        <v>1470297.5222400001</v>
      </c>
      <c r="P133" s="407">
        <f>'Staging Table'!BH135*Rates_current!$E$76*100*12</f>
        <v>-206810.01768000002</v>
      </c>
      <c r="Q133" s="408">
        <f>SUMPRODUCT('Staging Table'!BN135:CK135, LS_Demand_Rates_Restatement!$C$5:$Z$5)-IF(Init!$R$15="No",('Staging Table'!CX135*Rates_current!$H$35), 0)</f>
        <v>-1298.2301876219462</v>
      </c>
      <c r="R133" s="408">
        <f>SUMPRODUCT('Staging Table'!CL135:CW135, LS_Demand_Rates_Restatement!$C$11:$N$11)*1000</f>
        <v>29008.689270423776</v>
      </c>
      <c r="S133" s="409">
        <f>'Staging Table'!DH135*Rates_current!$H$33</f>
        <v>0</v>
      </c>
      <c r="T133" s="409">
        <f>IF('Staging Table'!D135=1, 'Staging Table'!BJ135*-1*('Staging Table'!BH135/'Staging Table'!BG135),SUM(O133:S133)*'Staging Table'!BJ135*-1)</f>
        <v>0</v>
      </c>
      <c r="U133" s="407">
        <f>'Staging Table'!BM135*Rates_current!$H$32*-1</f>
        <v>0</v>
      </c>
      <c r="V133" s="407">
        <f>IF(Init!$R$12="No",0,'Staging Table'!$CY135*-1)</f>
        <v>0</v>
      </c>
      <c r="W133" s="407">
        <f>IF('Staging Table'!C135=1,"",SUM(O133:V133))</f>
        <v>1291197.9636428019</v>
      </c>
      <c r="X133" s="407">
        <f>IF('Staging Table'!C135=1,"",(RT1SC!$C$4*'Staging Table'!BH135*'Staging Table'!$BH$2)+SUM('Staging Table'!BN135:CK135)-IF(Init!$R$15="No",'Staging Table'!CX135, 0))</f>
        <v>35110.080000000002</v>
      </c>
      <c r="Y133" s="169">
        <f>IF('Staging Table'!C135=1,"",IF(X133=0, 0, W133/X133))</f>
        <v>36.775705542191922</v>
      </c>
      <c r="Z133" s="160"/>
      <c r="AA133" s="97"/>
      <c r="AB133" s="397"/>
      <c r="AC133" s="397"/>
      <c r="AD133" s="397"/>
    </row>
    <row r="134" spans="1:30">
      <c r="B134" s="274">
        <v>10597</v>
      </c>
      <c r="C134" s="275" t="s">
        <v>136</v>
      </c>
      <c r="D134" s="407">
        <f>IF(Init!$R$9="Yes",'Staging Table'!F136,'Staging Table'!BH136)*Rates_previous!$E$75*100*12</f>
        <v>4430328.4519200008</v>
      </c>
      <c r="E134" s="407">
        <f>IF(Init!$R$9="Yes",'Staging Table'!F136,'Staging Table'!BH136)*Rates_previous!$E$76*100*12</f>
        <v>-658614.89951999998</v>
      </c>
      <c r="F134" s="408">
        <f>IF(Init!$R$9="Yes",SUMPRODUCT('Staging Table'!L136:AI136,LS_Demand_Rates_Restatement!$C$4:$Z$4)-IF(Init!$R$15="No",('Staging Table'!AV136*Rates_previous!$H$35), 0),SUMPRODUCT('Staging Table'!BN136:CK136,LS_Demand_Rates_Restatement!$C$4:$Z$4)-IF(Init!$R$15="No", 'Staging Table'!CX136*Rates_previous!$H$35, 0))</f>
        <v>-1721.0414941301306</v>
      </c>
      <c r="G134" s="408">
        <f>IF(Init!$R$9="Yes",SUMPRODUCT('Staging Table'!AJ136:AU136,LS_Demand_Rates_Restatement!$C$10:$N$10),SUMPRODUCT(LS_Demand_Rates_Restatement!$C$10:$N$10,'Staging Table'!CL136:CW136))*1000</f>
        <v>204714.68212651354</v>
      </c>
      <c r="H134" s="409">
        <f>IF(Init!$R$9="Yes",'Staging Table'!BF136,'Staging Table'!DH136)*Rates_previous!$H$33</f>
        <v>-11293.199513034144</v>
      </c>
      <c r="I134" s="409">
        <f>IF(Init!$R$9="Yes",IF('Staging Table'!D136=1,'Staging Table'!H136*-1*('Staging Table'!F136/'Staging Table'!E136),'Staging Table'!H136*SUM(D134:H134)*(-1)),IF('Staging Table'!D136=1,'Staging Table'!BJ136*-1*('Staging Table'!BH136/'Staging Table'!BG136),'Staging Table'!BJ136*SUM(D134:H134)*(-1)))</f>
        <v>0</v>
      </c>
      <c r="J134" s="407">
        <f>IF(Init!$R$9="Yes",'Staging Table'!K136,'Staging Table'!BM136)*(-1)*Rates_previous!$H$32</f>
        <v>0</v>
      </c>
      <c r="K134" s="407">
        <f>IF(Init!$R$12="No",0,'Staging Table'!$AW136*-1)</f>
        <v>0</v>
      </c>
      <c r="L134" s="407">
        <f>IF('Staging Table'!C136=1,"",SUM(D134:K134))</f>
        <v>3963413.9935193504</v>
      </c>
      <c r="M134" s="407">
        <f>IF('Staging Table'!C136=1,"",IF(Init!$R$9="Yes",(RT1SC!$C$3*'Staging Table'!F136*'Staging Table'!$F$2)+SUM('Staging Table'!L136:AI136)-IF(Init!$R$15="No",'Staging Table'!AV136, 0),X134))</f>
        <v>108506.36425841422</v>
      </c>
      <c r="N134" s="169">
        <f>IF('Staging Table'!C136=1,"",IF(M134=0, 0, L134/M134))</f>
        <v>36.527018674040626</v>
      </c>
      <c r="O134" s="407">
        <f>'Staging Table'!BH136*Rates_current!$E$75*100*12</f>
        <v>4563247.0838399995</v>
      </c>
      <c r="P134" s="407">
        <f>'Staging Table'!BH136*Rates_current!$E$76*100*12</f>
        <v>-641860.02888</v>
      </c>
      <c r="Q134" s="408">
        <f>SUMPRODUCT('Staging Table'!BN136:CK136, LS_Demand_Rates_Restatement!$C$5:$Z$5)-IF(Init!$R$15="No",('Staging Table'!CX136*Rates_current!$H$35), 0)</f>
        <v>35831.838429009324</v>
      </c>
      <c r="R134" s="408">
        <f>SUMPRODUCT('Staging Table'!CL136:CW136, LS_Demand_Rates_Restatement!$C$11:$N$11)*1000</f>
        <v>194446.42185316954</v>
      </c>
      <c r="S134" s="409">
        <f>'Staging Table'!DH136*Rates_current!$H$33</f>
        <v>-5855.7487312825178</v>
      </c>
      <c r="T134" s="409">
        <f>IF('Staging Table'!D136=1, 'Staging Table'!BJ136*-1*('Staging Table'!BH136/'Staging Table'!BG136),SUM(O134:S134)*'Staging Table'!BJ136*-1)</f>
        <v>0</v>
      </c>
      <c r="U134" s="407">
        <f>'Staging Table'!BM136*Rates_current!$H$32*-1</f>
        <v>0</v>
      </c>
      <c r="V134" s="407">
        <f>IF(Init!$R$12="No",0,'Staging Table'!$CY136*-1)</f>
        <v>0</v>
      </c>
      <c r="W134" s="407">
        <f>IF('Staging Table'!C136=1,"",SUM(O134:V134))</f>
        <v>4145809.5665108957</v>
      </c>
      <c r="X134" s="407">
        <f>IF('Staging Table'!C136=1,"",(RT1SC!$C$4*'Staging Table'!BH136*'Staging Table'!$BH$2)+SUM('Staging Table'!BN136:CK136)-IF(Init!$R$15="No",'Staging Table'!CX136, 0))</f>
        <v>108506.36558970333</v>
      </c>
      <c r="Y134" s="169">
        <f>IF('Staging Table'!C136=1,"",IF(X134=0, 0, W134/X134))</f>
        <v>38.207984794067336</v>
      </c>
      <c r="Z134" s="160">
        <f>IF('Staging Table'!C136=1,"",Y134/N134-1)</f>
        <v>4.6019800713200665E-2</v>
      </c>
      <c r="AA134" s="97">
        <f>IF(Z134="","",RANK(Z134,$Z$4:$Z$138))</f>
        <v>90</v>
      </c>
      <c r="AB134" s="397"/>
      <c r="AC134" s="397"/>
      <c r="AD134" s="397"/>
    </row>
    <row r="135" spans="1:30">
      <c r="B135" s="274">
        <v>10706</v>
      </c>
      <c r="C135" s="275" t="s">
        <v>137</v>
      </c>
      <c r="D135" s="407">
        <f>IF(Init!$R$9="Yes",'Staging Table'!F137,'Staging Table'!BH137)*Rates_previous!$E$75*100*12</f>
        <v>5853390.1498799995</v>
      </c>
      <c r="E135" s="407">
        <f>IF(Init!$R$9="Yes",'Staging Table'!F137,'Staging Table'!BH137)*Rates_previous!$E$76*100*12</f>
        <v>-870167.98127999995</v>
      </c>
      <c r="F135" s="408">
        <f>IF(Init!$R$9="Yes",SUMPRODUCT('Staging Table'!L137:AI137,LS_Demand_Rates_Restatement!$C$4:$Z$4)-IF(Init!$R$15="No",('Staging Table'!AV137*Rates_previous!$H$35), 0),SUMPRODUCT('Staging Table'!BN137:CK137,LS_Demand_Rates_Restatement!$C$4:$Z$4)-IF(Init!$R$15="No", 'Staging Table'!CX137*Rates_previous!$H$35, 0))</f>
        <v>110279.99410465319</v>
      </c>
      <c r="G135" s="408">
        <f>IF(Init!$R$9="Yes",SUMPRODUCT('Staging Table'!AJ137:AU137,LS_Demand_Rates_Restatement!$C$10:$N$10),SUMPRODUCT(LS_Demand_Rates_Restatement!$C$10:$N$10,'Staging Table'!CL137:CW137))*1000</f>
        <v>307903.79338855937</v>
      </c>
      <c r="H135" s="409">
        <f>IF(Init!$R$9="Yes",'Staging Table'!BF137,'Staging Table'!DH137)*Rates_previous!$H$33</f>
        <v>46409.824799999828</v>
      </c>
      <c r="I135" s="409">
        <f>IF(Init!$R$9="Yes",IF('Staging Table'!D137=1,'Staging Table'!H137*-1*('Staging Table'!F137/'Staging Table'!E137),'Staging Table'!H137*SUM(D135:H135)*(-1)),IF('Staging Table'!D137=1,'Staging Table'!BJ137*-1*('Staging Table'!BH137/'Staging Table'!BG137),'Staging Table'!BJ137*SUM(D135:H135)*(-1)))</f>
        <v>0</v>
      </c>
      <c r="J135" s="407">
        <f>IF(Init!$R$9="Yes",'Staging Table'!K137,'Staging Table'!BM137)*(-1)*Rates_previous!$H$32</f>
        <v>0</v>
      </c>
      <c r="K135" s="407">
        <f>IF(Init!$R$12="No",0,'Staging Table'!$AW137*-1)</f>
        <v>0</v>
      </c>
      <c r="L135" s="407">
        <f>IF('Staging Table'!C137=1,"",SUM(D135:K135))</f>
        <v>5447815.7808932122</v>
      </c>
      <c r="M135" s="407">
        <f>IF('Staging Table'!C137=1,"",IF(Init!$R$9="Yes",(RT1SC!$C$3*'Staging Table'!F137*'Staging Table'!$F$2)+SUM('Staging Table'!L137:AI137)-IF(Init!$R$15="No",'Staging Table'!AV137, 0),X135))</f>
        <v>150294.24</v>
      </c>
      <c r="N135" s="169">
        <f>IF('Staging Table'!C137=1,"",IF(M135=0, 0, L135/M135))</f>
        <v>36.247668446197359</v>
      </c>
      <c r="O135" s="407">
        <f>'Staging Table'!BH137*Rates_current!$E$75*100*12</f>
        <v>6236853.8112000003</v>
      </c>
      <c r="P135" s="407">
        <f>'Staging Table'!BH137*Rates_current!$E$76*100*12</f>
        <v>-877267.23840000015</v>
      </c>
      <c r="Q135" s="408">
        <f>SUMPRODUCT('Staging Table'!BN137:CK137, LS_Demand_Rates_Restatement!$C$5:$Z$5)-IF(Init!$R$15="No",('Staging Table'!CX137*Rates_current!$H$35), 0)</f>
        <v>-38216.663635725956</v>
      </c>
      <c r="R135" s="408">
        <f>SUMPRODUCT('Staging Table'!CL137:CW137, LS_Demand_Rates_Restatement!$C$11:$N$11)*1000</f>
        <v>286792.2992171474</v>
      </c>
      <c r="S135" s="409">
        <f>'Staging Table'!DH137*Rates_current!$H$33</f>
        <v>0</v>
      </c>
      <c r="T135" s="409">
        <f>IF('Staging Table'!D137=1, 'Staging Table'!BJ137*-1*('Staging Table'!BH137/'Staging Table'!BG137),SUM(O135:S135)*'Staging Table'!BJ137*-1)</f>
        <v>0</v>
      </c>
      <c r="U135" s="407">
        <f>'Staging Table'!BM137*Rates_current!$H$32*-1</f>
        <v>0</v>
      </c>
      <c r="V135" s="407">
        <f>IF(Init!$R$12="No",0,'Staging Table'!$CY137*-1)</f>
        <v>0</v>
      </c>
      <c r="W135" s="407">
        <f>IF('Staging Table'!C137=1,"",SUM(O135:V135))</f>
        <v>5608162.2083814219</v>
      </c>
      <c r="X135" s="407">
        <f>IF('Staging Table'!C137=1,"",(RT1SC!$C$4*'Staging Table'!BH137*'Staging Table'!$BH$2)+SUM('Staging Table'!BN137:CK137)-IF(Init!$R$15="No",'Staging Table'!CX137, 0))</f>
        <v>148928.76</v>
      </c>
      <c r="Y135" s="169">
        <f>IF('Staging Table'!C137=1,"",IF(X135=0, 0, W135/X135))</f>
        <v>37.656676980197922</v>
      </c>
      <c r="Z135" s="160">
        <f>IF('Staging Table'!C137=1,"",Y135/N135-1)</f>
        <v>3.8871701116223845E-2</v>
      </c>
      <c r="AA135" s="97">
        <f>IF(Z135="","",RANK(Z135,$Z$4:$Z$138))</f>
        <v>102</v>
      </c>
      <c r="AB135" s="397"/>
      <c r="AC135" s="397"/>
      <c r="AD135" s="397"/>
    </row>
    <row r="136" spans="1:30">
      <c r="B136" s="274">
        <v>11680</v>
      </c>
      <c r="C136" s="275" t="s">
        <v>138</v>
      </c>
      <c r="D136" s="407">
        <f>IF(Init!$R$9="Yes",'Staging Table'!F138,'Staging Table'!BH138)*Rates_previous!$E$75*100*12</f>
        <v>2221600.0589999999</v>
      </c>
      <c r="E136" s="407">
        <f>IF(Init!$R$9="Yes",'Staging Table'!F138,'Staging Table'!BH138)*Rates_previous!$E$76*100*12</f>
        <v>-330264.20400000003</v>
      </c>
      <c r="F136" s="408">
        <f>IF(Init!$R$9="Yes",SUMPRODUCT('Staging Table'!L138:AI138,LS_Demand_Rates_Restatement!$C$4:$Z$4)-IF(Init!$R$15="No",('Staging Table'!AV138*Rates_previous!$H$35), 0),SUMPRODUCT('Staging Table'!BN138:CK138,LS_Demand_Rates_Restatement!$C$4:$Z$4)-IF(Init!$R$15="No", 'Staging Table'!CX138*Rates_previous!$H$35, 0))</f>
        <v>21260.631726819734</v>
      </c>
      <c r="G136" s="408">
        <f>IF(Init!$R$9="Yes",SUMPRODUCT('Staging Table'!AJ138:AU138,LS_Demand_Rates_Restatement!$C$10:$N$10),SUMPRODUCT(LS_Demand_Rates_Restatement!$C$10:$N$10,'Staging Table'!CL138:CW138))*1000</f>
        <v>46879.435403347568</v>
      </c>
      <c r="H136" s="409">
        <f>IF(Init!$R$9="Yes",'Staging Table'!BF138,'Staging Table'!DH138)*Rates_previous!$H$33</f>
        <v>0</v>
      </c>
      <c r="I136" s="409">
        <f>IF(Init!$R$9="Yes",IF('Staging Table'!D138=1,'Staging Table'!H138*-1*('Staging Table'!F138/'Staging Table'!E138),'Staging Table'!H138*SUM(D136:H136)*(-1)),IF('Staging Table'!D138=1,'Staging Table'!BJ138*-1*('Staging Table'!BH138/'Staging Table'!BG138),'Staging Table'!BJ138*SUM(D136:H136)*(-1)))</f>
        <v>0</v>
      </c>
      <c r="J136" s="407">
        <f>IF(Init!$R$9="Yes",'Staging Table'!K138,'Staging Table'!BM138)*(-1)*Rates_previous!$H$32</f>
        <v>0</v>
      </c>
      <c r="K136" s="407">
        <f>IF(Init!$R$12="No",0,'Staging Table'!$AW138*-1)</f>
        <v>0</v>
      </c>
      <c r="L136" s="407">
        <f>IF('Staging Table'!C138=1,"",SUM(D136:K136))</f>
        <v>1959475.9221301673</v>
      </c>
      <c r="M136" s="407">
        <f>IF('Staging Table'!C138=1,"",IF(Init!$R$9="Yes",(RT1SC!$C$3*'Staging Table'!F138*'Staging Table'!$F$2)+SUM('Staging Table'!L138:AI138)-IF(Init!$R$15="No",'Staging Table'!AV138, 0),X136))</f>
        <v>55049.328000000001</v>
      </c>
      <c r="N136" s="169">
        <f>IF('Staging Table'!C138=1,"",IF(M136=0, 0, L136/M136))</f>
        <v>35.594910843056383</v>
      </c>
      <c r="O136" s="407">
        <f>'Staging Table'!BH138*Rates_current!$E$75*100*12</f>
        <v>2284298.66304</v>
      </c>
      <c r="P136" s="407">
        <f>'Staging Table'!BH138*Rates_current!$E$76*100*12</f>
        <v>-321306.29327999998</v>
      </c>
      <c r="Q136" s="408">
        <f>SUMPRODUCT('Staging Table'!BN138:CK138, LS_Demand_Rates_Restatement!$C$5:$Z$5)-IF(Init!$R$15="No",('Staging Table'!CX138*Rates_current!$H$35), 0)</f>
        <v>34697.516265711689</v>
      </c>
      <c r="R136" s="408">
        <f>SUMPRODUCT('Staging Table'!CL138:CW138, LS_Demand_Rates_Restatement!$C$11:$N$11)*1000</f>
        <v>40005.69941812678</v>
      </c>
      <c r="S136" s="409">
        <f>'Staging Table'!DH138*Rates_current!$H$33</f>
        <v>0</v>
      </c>
      <c r="T136" s="409">
        <f>IF('Staging Table'!D138=1, 'Staging Table'!BJ138*-1*('Staging Table'!BH138/'Staging Table'!BG138),SUM(O136:S136)*'Staging Table'!BJ138*-1)</f>
        <v>0</v>
      </c>
      <c r="U136" s="407">
        <f>'Staging Table'!BM138*Rates_current!$H$32*-1</f>
        <v>0</v>
      </c>
      <c r="V136" s="407">
        <f>IF(Init!$R$12="No",0,'Staging Table'!$CY138*-1)</f>
        <v>0</v>
      </c>
      <c r="W136" s="407">
        <f>IF('Staging Table'!C138=1,"",SUM(O136:V136))</f>
        <v>2037695.5854438387</v>
      </c>
      <c r="X136" s="407">
        <f>IF('Staging Table'!C138=1,"",(RT1SC!$C$4*'Staging Table'!BH138*'Staging Table'!$BH$2)+SUM('Staging Table'!BN138:CK138)-IF(Init!$R$15="No",'Staging Table'!CX138, 0))</f>
        <v>54548.520000000004</v>
      </c>
      <c r="Y136" s="169">
        <f>IF('Staging Table'!C138=1,"",IF(X136=0, 0, W136/X136))</f>
        <v>37.355653012104426</v>
      </c>
      <c r="Z136" s="160">
        <f>IF('Staging Table'!C138=1,"",Y136/N136-1)</f>
        <v>4.9466121064649871E-2</v>
      </c>
      <c r="AA136" s="97">
        <f>IF(Z136="","",RANK(Z136,$Z$4:$Z$138))</f>
        <v>65</v>
      </c>
      <c r="AB136" s="397"/>
      <c r="AC136" s="397"/>
      <c r="AD136" s="397"/>
    </row>
    <row r="137" spans="1:30">
      <c r="B137" s="274">
        <v>12026</v>
      </c>
      <c r="C137" s="275" t="s">
        <v>139</v>
      </c>
      <c r="D137" s="407">
        <f>IF(Init!$R$9="Yes",'Staging Table'!F139,'Staging Table'!BH139)*Rates_previous!$E$75*100*12</f>
        <v>14960836.497599998</v>
      </c>
      <c r="E137" s="407">
        <f>IF(Init!$R$9="Yes",'Staging Table'!F139,'Staging Table'!BH139)*Rates_previous!$E$76*100*12</f>
        <v>-2224085.6255999999</v>
      </c>
      <c r="F137" s="408">
        <f>IF(Init!$R$9="Yes",SUMPRODUCT('Staging Table'!L139:AI139,LS_Demand_Rates_Restatement!$C$4:$Z$4)-IF(Init!$R$15="No",('Staging Table'!AV139*Rates_previous!$H$35), 0),SUMPRODUCT('Staging Table'!BN139:CK139,LS_Demand_Rates_Restatement!$C$4:$Z$4)-IF(Init!$R$15="No", 'Staging Table'!CX139*Rates_previous!$H$35, 0))</f>
        <v>288682.74271580402</v>
      </c>
      <c r="G137" s="408">
        <f>IF(Init!$R$9="Yes",SUMPRODUCT('Staging Table'!AJ139:AU139,LS_Demand_Rates_Restatement!$C$10:$N$10),SUMPRODUCT(LS_Demand_Rates_Restatement!$C$10:$N$10,'Staging Table'!CL139:CW139))*1000</f>
        <v>1062383.8291164527</v>
      </c>
      <c r="H137" s="409">
        <f>IF(Init!$R$9="Yes",'Staging Table'!BF139,'Staging Table'!DH139)*Rates_previous!$H$33</f>
        <v>67926.554322885539</v>
      </c>
      <c r="I137" s="409">
        <f>IF(Init!$R$9="Yes",IF('Staging Table'!D139=1,'Staging Table'!H139*-1*('Staging Table'!F139/'Staging Table'!E139),'Staging Table'!H139*SUM(D137:H137)*(-1)),IF('Staging Table'!D139=1,'Staging Table'!BJ139*-1*('Staging Table'!BH139/'Staging Table'!BG139),'Staging Table'!BJ139*SUM(D137:H137)*(-1)))</f>
        <v>0</v>
      </c>
      <c r="J137" s="407">
        <f>IF(Init!$R$9="Yes",'Staging Table'!K139,'Staging Table'!BM139)*(-1)*Rates_previous!$H$32</f>
        <v>0</v>
      </c>
      <c r="K137" s="407">
        <f>IF(Init!$R$12="No",0,'Staging Table'!$AW139*-1)</f>
        <v>0</v>
      </c>
      <c r="L137" s="407">
        <f>IF('Staging Table'!C139=1,"",SUM(D137:K137))</f>
        <v>14155743.998155139</v>
      </c>
      <c r="M137" s="407">
        <f>IF('Staging Table'!C139=1,"",IF(Init!$R$9="Yes",(RT1SC!$C$3*'Staging Table'!F139*'Staging Table'!$F$2)+SUM('Staging Table'!L139:AI139)-IF(Init!$R$15="No",'Staging Table'!AV139, 0),X137))</f>
        <v>378412.82087264245</v>
      </c>
      <c r="N137" s="169">
        <f>IF('Staging Table'!C139=1,"",IF(M137=0, 0, L137/M137))</f>
        <v>37.408203996659395</v>
      </c>
      <c r="O137" s="407">
        <f>'Staging Table'!BH139*Rates_current!$E$75*100*12</f>
        <v>16075439.743679998</v>
      </c>
      <c r="P137" s="407">
        <f>'Staging Table'!BH139*Rates_current!$E$76*100*12</f>
        <v>-2261149.1397599997</v>
      </c>
      <c r="Q137" s="408">
        <f>SUMPRODUCT('Staging Table'!BN139:CK139, LS_Demand_Rates_Restatement!$C$5:$Z$5)-IF(Init!$R$15="No",('Staging Table'!CX139*Rates_current!$H$35), 0)</f>
        <v>101716.93101832557</v>
      </c>
      <c r="R137" s="408">
        <f>SUMPRODUCT('Staging Table'!CL139:CW139, LS_Demand_Rates_Restatement!$C$11:$N$11)*1000</f>
        <v>1038558.5748972844</v>
      </c>
      <c r="S137" s="409">
        <f>'Staging Table'!DH139*Rates_current!$H$33</f>
        <v>-69492.273597215841</v>
      </c>
      <c r="T137" s="409">
        <f>IF('Staging Table'!D139=1, 'Staging Table'!BJ139*-1*('Staging Table'!BH139/'Staging Table'!BG139),SUM(O137:S137)*'Staging Table'!BJ139*-1)</f>
        <v>0</v>
      </c>
      <c r="U137" s="407">
        <f>'Staging Table'!BM139*Rates_current!$H$32*-1</f>
        <v>0</v>
      </c>
      <c r="V137" s="407">
        <f>IF(Init!$R$12="No",0,'Staging Table'!$CY139*-1)</f>
        <v>0</v>
      </c>
      <c r="W137" s="407">
        <f>IF('Staging Table'!C139=1,"",SUM(O137:V137))</f>
        <v>14885073.836238392</v>
      </c>
      <c r="X137" s="407">
        <f>IF('Staging Table'!C139=1,"",(RT1SC!$C$4*'Staging Table'!BH139*'Staging Table'!$BH$2)+SUM('Staging Table'!BN139:CK139)-IF(Init!$R$15="No",'Staging Table'!CX139, 0))</f>
        <v>378412.82560021838</v>
      </c>
      <c r="Y137" s="169">
        <f>IF('Staging Table'!C139=1,"",IF(X137=0, 0, W137/X137))</f>
        <v>39.335542638198049</v>
      </c>
      <c r="Z137" s="160">
        <f>IF('Staging Table'!C139=1,"",Y137/N137-1)</f>
        <v>5.1521817024703154E-2</v>
      </c>
      <c r="AA137" s="97">
        <f>IF(Z137="","",RANK(Z137,$Z$4:$Z$138))</f>
        <v>49</v>
      </c>
      <c r="AB137" s="412"/>
      <c r="AC137" s="412"/>
      <c r="AD137" s="397"/>
    </row>
    <row r="138" spans="1:30">
      <c r="B138" s="274">
        <v>10298</v>
      </c>
      <c r="C138" s="275" t="s">
        <v>140</v>
      </c>
      <c r="D138" s="407">
        <f>IF(Init!$R$9="Yes",'Staging Table'!F140,'Staging Table'!BH140)*Rates_previous!$E$75*100*12</f>
        <v>184446519.34968001</v>
      </c>
      <c r="E138" s="407">
        <f>IF(Init!$R$9="Yes",'Staging Table'!F140,'Staging Table'!BH140)*Rates_previous!$E$76*100*12</f>
        <v>-27419914.150080003</v>
      </c>
      <c r="F138" s="408">
        <f>IF(Init!$R$9="Yes",SUMPRODUCT('Staging Table'!L140:AI140,LS_Demand_Rates_Restatement!$C$4:$Z$4)-IF(Init!$R$15="No",('Staging Table'!AV140*Rates_previous!$H$35), 0),SUMPRODUCT('Staging Table'!BN140:CK140,LS_Demand_Rates_Restatement!$C$4:$Z$4)-IF(Init!$R$15="No", 'Staging Table'!CX140*Rates_previous!$H$35, 0))</f>
        <v>1711868.934204651</v>
      </c>
      <c r="G138" s="408">
        <f>IF(Init!$R$9="Yes",SUMPRODUCT('Staging Table'!AJ140:AU140,LS_Demand_Rates_Restatement!$C$10:$N$10),SUMPRODUCT(LS_Demand_Rates_Restatement!$C$10:$N$10,'Staging Table'!CL140:CW140))*1000</f>
        <v>2291540.3413564814</v>
      </c>
      <c r="H138" s="409">
        <f>IF(Init!$R$9="Yes",'Staging Table'!BF140,'Staging Table'!DH140)*Rates_previous!$H$33</f>
        <v>0</v>
      </c>
      <c r="I138" s="409">
        <f>IF(Init!$R$9="Yes",IF('Staging Table'!D140=1,'Staging Table'!H140*-1*('Staging Table'!F140/'Staging Table'!E140),'Staging Table'!H140*SUM(D138:H138)*(-1)),IF('Staging Table'!D140=1,'Staging Table'!BJ140*-1*('Staging Table'!BH140/'Staging Table'!BG140),'Staging Table'!BJ140*SUM(D138:H138)*(-1)))</f>
        <v>-11029317.878627338</v>
      </c>
      <c r="J138" s="407">
        <f>IF(Init!$R$9="Yes",'Staging Table'!K140,'Staging Table'!BM140)*(-1)*Rates_previous!$H$32</f>
        <v>-5264188.2662599999</v>
      </c>
      <c r="K138" s="407">
        <f>IF(Init!$R$12="No",0,'Staging Table'!$AW140*-1)</f>
        <v>0</v>
      </c>
      <c r="L138" s="407">
        <f>IF('Staging Table'!C140=1,"",SUM(D138:K138))</f>
        <v>144736508.33027381</v>
      </c>
      <c r="M138" s="407">
        <f>IF('Staging Table'!C140=1,"",IF(Init!$R$9="Yes",(RT1SC!$C$3*'Staging Table'!F140*'Staging Table'!$F$2)+SUM('Staging Table'!L140:AI140)-IF(Init!$R$15="No",'Staging Table'!AV140, 0),X138))</f>
        <v>4611512.1599999992</v>
      </c>
      <c r="N138" s="169">
        <f>IF('Staging Table'!C140=1,"",IF(M138=0, 0, L138/M138))</f>
        <v>31.385910588225322</v>
      </c>
      <c r="O138" s="407">
        <f>'Staging Table'!BH140*Rates_current!$E$75*100*12</f>
        <v>189467618.89824003</v>
      </c>
      <c r="P138" s="407">
        <f>'Staging Table'!BH140*Rates_current!$E$76*100*12</f>
        <v>-26650253.449680001</v>
      </c>
      <c r="Q138" s="408">
        <f>SUMPRODUCT('Staging Table'!BN140:CK140, LS_Demand_Rates_Restatement!$C$5:$Z$5)-IF(Init!$R$15="No",('Staging Table'!CX140*Rates_current!$H$35), 0)</f>
        <v>2124984.513056681</v>
      </c>
      <c r="R138" s="408">
        <f>SUMPRODUCT('Staging Table'!CL140:CW140, LS_Demand_Rates_Restatement!$C$11:$N$11)*1000</f>
        <v>1955430.1418094574</v>
      </c>
      <c r="S138" s="409">
        <f>'Staging Table'!DH140*Rates_current!$H$33</f>
        <v>0</v>
      </c>
      <c r="T138" s="409">
        <f>IF('Staging Table'!D140=1, 'Staging Table'!BJ140*-1*('Staging Table'!BH140/'Staging Table'!BG140),SUM(O138:S138)*'Staging Table'!BJ140*-1)</f>
        <v>-12130361.663685353</v>
      </c>
      <c r="U138" s="407">
        <f>'Staging Table'!BM140*Rates_current!$H$32*-1</f>
        <v>-5259715.7188799996</v>
      </c>
      <c r="V138" s="407">
        <f>IF(Init!$R$12="No",0,'Staging Table'!$CY140*-1)</f>
        <v>0</v>
      </c>
      <c r="W138" s="407">
        <f>IF('Staging Table'!C140=1,"",SUM(O138:V138))</f>
        <v>149507702.72086084</v>
      </c>
      <c r="X138" s="407">
        <f>IF('Staging Table'!C140=1,"",(RT1SC!$C$4*'Staging Table'!BH140*'Staging Table'!$BH$2)+SUM('Staging Table'!BN140:CK140)-IF(Init!$R$15="No",'Staging Table'!CX140, 0))</f>
        <v>4569680.28</v>
      </c>
      <c r="Y138" s="169">
        <f>IF('Staging Table'!C140=1,"",IF(X138=0, 0, W138/X138))</f>
        <v>32.717322342048149</v>
      </c>
      <c r="Z138" s="160">
        <f>IF('Staging Table'!C140=1,"",Y138/N138-1)</f>
        <v>4.2420682684360944E-2</v>
      </c>
      <c r="AA138" s="97">
        <f>IF(Z138="","",RANK(Z138,$Z$4:$Z$138))</f>
        <v>98</v>
      </c>
      <c r="AB138" s="412"/>
      <c r="AC138" s="412"/>
      <c r="AD138" s="397"/>
    </row>
    <row r="139" spans="1:30">
      <c r="B139" s="394"/>
      <c r="C139" s="394"/>
      <c r="D139" s="394"/>
      <c r="E139" s="394"/>
      <c r="F139" s="394"/>
      <c r="G139" s="394"/>
      <c r="H139" s="394"/>
      <c r="I139" s="394"/>
      <c r="J139" s="394"/>
      <c r="K139" s="407">
        <f>IF(Init!$R$12="No",0,'Staging Table'!$AW141*-1)</f>
        <v>0</v>
      </c>
      <c r="L139" s="394"/>
      <c r="M139" s="397"/>
      <c r="N139" s="397"/>
      <c r="O139" s="394"/>
      <c r="P139" s="394"/>
      <c r="Q139" s="394"/>
      <c r="R139" s="394"/>
      <c r="S139" s="394"/>
      <c r="T139" s="394"/>
      <c r="U139" s="394"/>
      <c r="V139" s="407">
        <f>IF(Init!$R$12="No",0,'Staging Table'!$CY141*-1)</f>
        <v>0</v>
      </c>
      <c r="W139" s="394"/>
      <c r="X139" s="397"/>
      <c r="Y139" s="397"/>
      <c r="Z139" s="397"/>
      <c r="AA139" s="97"/>
      <c r="AB139" s="397"/>
      <c r="AC139" s="397"/>
      <c r="AD139" s="413"/>
    </row>
    <row r="140" spans="1:30">
      <c r="A140" s="20"/>
      <c r="B140" s="2"/>
      <c r="C140" s="2"/>
      <c r="D140" s="2"/>
      <c r="E140" s="2"/>
      <c r="F140" s="2"/>
      <c r="G140" s="2"/>
      <c r="H140" s="2"/>
      <c r="I140" s="2"/>
      <c r="J140" s="98"/>
      <c r="K140" s="98"/>
      <c r="L140" s="2"/>
      <c r="O140" s="2"/>
      <c r="P140" s="2"/>
      <c r="Q140" s="140"/>
      <c r="R140" s="2"/>
      <c r="S140" s="2"/>
      <c r="T140" s="2"/>
      <c r="U140" s="2"/>
      <c r="V140" s="98"/>
      <c r="W140" s="98"/>
      <c r="X140" s="2"/>
    </row>
    <row r="141" spans="1:30">
      <c r="A141" s="20"/>
      <c r="B141" s="2"/>
      <c r="C141" s="2"/>
      <c r="D141" s="2"/>
      <c r="E141" s="2"/>
      <c r="F141" s="2"/>
      <c r="G141" s="2"/>
      <c r="H141" s="2"/>
      <c r="I141" s="2"/>
      <c r="J141" s="98"/>
      <c r="K141" s="98"/>
      <c r="L141" s="2"/>
      <c r="O141" s="2"/>
      <c r="P141" s="2"/>
      <c r="Q141" s="140"/>
      <c r="R141" s="2"/>
      <c r="S141" s="2"/>
      <c r="T141" s="2"/>
      <c r="U141" s="2"/>
      <c r="V141" s="98"/>
      <c r="W141" s="98"/>
      <c r="X141" s="2"/>
    </row>
    <row r="142" spans="1:30">
      <c r="A142" s="20"/>
      <c r="B142" s="2"/>
      <c r="C142" s="2"/>
      <c r="D142" s="2"/>
      <c r="E142" s="2"/>
      <c r="F142" s="2"/>
      <c r="G142" s="2"/>
      <c r="H142" s="2"/>
      <c r="I142" s="2"/>
      <c r="J142" s="98"/>
      <c r="K142" s="98"/>
      <c r="L142" s="2"/>
      <c r="O142" s="2"/>
      <c r="P142" s="2"/>
      <c r="Q142" s="140"/>
      <c r="R142" s="2"/>
      <c r="S142" s="2"/>
      <c r="T142" s="2"/>
      <c r="U142" s="2"/>
      <c r="V142" s="98"/>
      <c r="W142" s="98"/>
      <c r="X142" s="2"/>
    </row>
    <row r="143" spans="1:30">
      <c r="B143" s="2"/>
      <c r="C143" s="2"/>
      <c r="D143" s="2"/>
      <c r="E143" s="2"/>
      <c r="F143" s="2"/>
      <c r="G143" s="2"/>
      <c r="H143" s="2"/>
      <c r="I143" s="2"/>
      <c r="J143" s="98"/>
      <c r="K143" s="98"/>
      <c r="L143" s="2"/>
      <c r="O143" s="2"/>
      <c r="P143" s="2"/>
      <c r="Q143" s="140"/>
      <c r="R143" s="2"/>
      <c r="S143" s="2"/>
      <c r="T143" s="2"/>
      <c r="U143" s="2"/>
      <c r="V143" s="98"/>
      <c r="W143" s="98"/>
      <c r="X143" s="2"/>
    </row>
    <row r="144" spans="1:30">
      <c r="B144" s="3"/>
      <c r="C144" s="4"/>
    </row>
    <row r="145" spans="2:3">
      <c r="B145" s="3"/>
      <c r="C145" s="4"/>
    </row>
    <row r="146" spans="2:3">
      <c r="B146" s="3"/>
      <c r="C146" s="4"/>
    </row>
    <row r="147" spans="2:3">
      <c r="B147" s="3"/>
      <c r="C147" s="4"/>
    </row>
    <row r="148" spans="2:3">
      <c r="B148" s="3"/>
      <c r="C148" s="4"/>
    </row>
    <row r="149" spans="2:3">
      <c r="B149" s="3"/>
      <c r="C149" s="4"/>
    </row>
    <row r="150" spans="2:3">
      <c r="B150" s="3"/>
      <c r="C150" s="4"/>
    </row>
    <row r="151" spans="2:3">
      <c r="B151" s="3"/>
      <c r="C151" s="4"/>
    </row>
    <row r="152" spans="2:3">
      <c r="B152" s="3"/>
      <c r="C152" s="4"/>
    </row>
    <row r="153" spans="2:3">
      <c r="B153" s="3"/>
      <c r="C153" s="4"/>
    </row>
    <row r="154" spans="2:3">
      <c r="B154" s="3"/>
      <c r="C154" s="4"/>
    </row>
    <row r="155" spans="2:3">
      <c r="B155" s="3"/>
      <c r="C155" s="4"/>
    </row>
    <row r="156" spans="2:3">
      <c r="B156" s="3"/>
      <c r="C156" s="4"/>
    </row>
    <row r="157" spans="2:3">
      <c r="B157" s="3"/>
      <c r="C157" s="4"/>
    </row>
    <row r="158" spans="2:3">
      <c r="B158" s="3"/>
      <c r="C158" s="4"/>
    </row>
    <row r="159" spans="2:3">
      <c r="B159" s="3"/>
      <c r="C159" s="4"/>
    </row>
    <row r="160" spans="2:3">
      <c r="B160" s="3"/>
      <c r="C160" s="4"/>
    </row>
    <row r="161" spans="2:3">
      <c r="B161" s="3"/>
      <c r="C161" s="4"/>
    </row>
    <row r="162" spans="2:3">
      <c r="B162" s="3"/>
      <c r="C162" s="4"/>
    </row>
    <row r="163" spans="2:3">
      <c r="B163" s="3"/>
      <c r="C163" s="4"/>
    </row>
    <row r="164" spans="2:3">
      <c r="B164" s="3"/>
      <c r="C164" s="4"/>
    </row>
    <row r="165" spans="2:3">
      <c r="B165" s="3"/>
      <c r="C165" s="4"/>
    </row>
    <row r="166" spans="2:3">
      <c r="B166" s="3"/>
      <c r="C166" s="4"/>
    </row>
    <row r="167" spans="2:3">
      <c r="B167" s="3"/>
      <c r="C167" s="4"/>
    </row>
    <row r="168" spans="2:3">
      <c r="B168" s="23"/>
      <c r="C168" s="23"/>
    </row>
    <row r="169" spans="2:3">
      <c r="B169" s="23"/>
      <c r="C169" s="23"/>
    </row>
    <row r="170" spans="2:3">
      <c r="B170" s="23"/>
      <c r="C170" s="23"/>
    </row>
  </sheetData>
  <conditionalFormatting sqref="B2">
    <cfRule type="expression" dxfId="1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AD170"/>
  <sheetViews>
    <sheetView topLeftCell="B1" zoomScale="85" zoomScaleNormal="85" workbookViewId="0">
      <pane xSplit="2" ySplit="3" topLeftCell="I91" activePane="bottomRight" state="frozen"/>
      <selection activeCell="B1" sqref="B1"/>
      <selection pane="topRight" activeCell="D1" sqref="D1"/>
      <selection pane="bottomLeft" activeCell="B4" sqref="B4"/>
      <selection pane="bottomRight" activeCell="Z116" sqref="Z116"/>
    </sheetView>
  </sheetViews>
  <sheetFormatPr defaultRowHeight="15"/>
  <cols>
    <col min="1" max="1" width="9.5703125" style="2" customWidth="1"/>
    <col min="2" max="2" width="9.140625" style="24"/>
    <col min="3" max="3" width="28.140625" style="24" customWidth="1"/>
    <col min="4" max="4" width="15.28515625" bestFit="1" customWidth="1"/>
    <col min="5" max="5" width="15" bestFit="1" customWidth="1"/>
    <col min="6" max="6" width="14.28515625" bestFit="1" customWidth="1"/>
    <col min="7" max="7" width="13.42578125" bestFit="1" customWidth="1"/>
    <col min="8" max="8" width="14" bestFit="1" customWidth="1"/>
    <col min="9" max="9" width="14" customWidth="1"/>
    <col min="10" max="11" width="14" style="97" customWidth="1"/>
    <col min="12" max="12" width="15.28515625" bestFit="1" customWidth="1"/>
    <col min="13" max="13" width="13.28515625" bestFit="1" customWidth="1"/>
    <col min="14" max="14" width="13.42578125" bestFit="1" customWidth="1"/>
    <col min="15" max="15" width="11.85546875" bestFit="1" customWidth="1"/>
    <col min="16" max="16" width="11.5703125" bestFit="1" customWidth="1"/>
    <col min="17" max="17" width="12.5703125" style="138" bestFit="1" customWidth="1"/>
    <col min="18" max="18" width="9.85546875" bestFit="1" customWidth="1"/>
    <col min="19" max="19" width="5.28515625" bestFit="1" customWidth="1"/>
    <col min="20" max="20" width="11.5703125" bestFit="1" customWidth="1"/>
    <col min="21" max="21" width="12.140625" bestFit="1" customWidth="1"/>
    <col min="22" max="22" width="11.140625" style="97" bestFit="1" customWidth="1"/>
    <col min="23" max="23" width="14" style="97" customWidth="1"/>
    <col min="24" max="24" width="15.28515625" bestFit="1" customWidth="1"/>
    <col min="25" max="25" width="13.28515625" bestFit="1" customWidth="1"/>
    <col min="26" max="26" width="13.42578125" bestFit="1" customWidth="1"/>
    <col min="28" max="28" width="13.5703125" style="97" bestFit="1" customWidth="1"/>
    <col min="29" max="29" width="10.85546875" bestFit="1" customWidth="1"/>
  </cols>
  <sheetData>
    <row r="1" spans="1:30" ht="15.75">
      <c r="B1" s="85" t="s">
        <v>219</v>
      </c>
      <c r="C1" s="86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97"/>
      <c r="AB1" s="397"/>
      <c r="AC1" s="397"/>
      <c r="AD1" s="397"/>
    </row>
    <row r="2" spans="1:30">
      <c r="A2" s="87" t="s">
        <v>0</v>
      </c>
      <c r="B2" s="88"/>
      <c r="C2" s="86"/>
      <c r="D2" s="318" t="s">
        <v>149</v>
      </c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18" t="s">
        <v>150</v>
      </c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97"/>
      <c r="AB2" s="397"/>
      <c r="AC2" s="397"/>
      <c r="AD2" s="397"/>
    </row>
    <row r="3" spans="1:30" s="104" customFormat="1" ht="15" customHeight="1">
      <c r="A3" s="102" t="s">
        <v>1</v>
      </c>
      <c r="B3" s="103" t="s">
        <v>2</v>
      </c>
      <c r="C3" s="89" t="s">
        <v>3</v>
      </c>
      <c r="D3" s="405" t="s">
        <v>163</v>
      </c>
      <c r="E3" s="405" t="s">
        <v>402</v>
      </c>
      <c r="F3" s="405" t="s">
        <v>213</v>
      </c>
      <c r="G3" s="405" t="s">
        <v>208</v>
      </c>
      <c r="H3" s="406" t="s">
        <v>372</v>
      </c>
      <c r="I3" s="406" t="s">
        <v>403</v>
      </c>
      <c r="J3" s="405" t="s">
        <v>220</v>
      </c>
      <c r="K3" s="405" t="s">
        <v>414</v>
      </c>
      <c r="L3" s="405" t="s">
        <v>183</v>
      </c>
      <c r="M3" s="405" t="s">
        <v>222</v>
      </c>
      <c r="N3" s="405" t="s">
        <v>228</v>
      </c>
      <c r="O3" s="410" t="s">
        <v>163</v>
      </c>
      <c r="P3" s="410" t="s">
        <v>402</v>
      </c>
      <c r="Q3" s="411" t="s">
        <v>213</v>
      </c>
      <c r="R3" s="411" t="s">
        <v>208</v>
      </c>
      <c r="S3" s="410" t="s">
        <v>372</v>
      </c>
      <c r="T3" s="410" t="s">
        <v>403</v>
      </c>
      <c r="U3" s="411" t="s">
        <v>220</v>
      </c>
      <c r="V3" s="411" t="s">
        <v>414</v>
      </c>
      <c r="W3" s="410" t="s">
        <v>183</v>
      </c>
      <c r="X3" s="411" t="s">
        <v>222</v>
      </c>
      <c r="Y3" s="411" t="s">
        <v>228</v>
      </c>
      <c r="Z3" s="419" t="s">
        <v>229</v>
      </c>
      <c r="AA3" s="420" t="s">
        <v>231</v>
      </c>
    </row>
    <row r="4" spans="1:30">
      <c r="B4" s="274">
        <v>10005</v>
      </c>
      <c r="C4" s="275" t="s">
        <v>7</v>
      </c>
      <c r="D4" s="407">
        <f>IF(Init!$R$9="Yes",'Staging Table'!F6,'Staging Table'!BH6)*Rates_previous!$E$75*100*12</f>
        <v>190599.67079999999</v>
      </c>
      <c r="E4" s="407">
        <f>IF(Init!$R$9="Yes",'Staging Table'!F6,'Staging Table'!BH6)*Rates_previous!$E$76*100*12</f>
        <v>-28334.644800000002</v>
      </c>
      <c r="F4" s="408"/>
      <c r="G4" s="408">
        <f>IF(Init!$R$9="Yes",SUMPRODUCT('Staging Table'!AJ6:AU6,LS_Demand_Rates_Restatement!$C$10:$N$10),SUMPRODUCT(LS_Demand_Rates_Restatement!$C$10:$N$10,'Staging Table'!CL6:CW6))*1000</f>
        <v>10811.057676486822</v>
      </c>
      <c r="H4" s="409"/>
      <c r="I4" s="409">
        <f>IF(Init!$R$9="Yes",IF('Staging Table'!D6=1,'Staging Table'!H6*-1*('Staging Table'!F6/'Staging Table'!E6),'Staging Table'!H6*SUM(D4:H4)*(-1)),IF('Staging Table'!D6=1,'Staging Table'!BJ6*-1*('Staging Table'!BH6/'Staging Table'!BG6),'Staging Table'!BJ6*SUM(D4:H4)*(-1)))</f>
        <v>-10384.565020589207</v>
      </c>
      <c r="J4" s="407">
        <f>IF(Init!$R$9="Yes",'Staging Table'!K6,'Staging Table'!BM6)*(-1)*Rates_previous!$H$32</f>
        <v>0</v>
      </c>
      <c r="K4" s="407">
        <f>IF(Init!$R$12="No",0,'Staging Table'!$AW6)</f>
        <v>0</v>
      </c>
      <c r="L4" s="407">
        <f>IF('Staging Table'!C6=1,"",SUM(D4:J4)-K4)</f>
        <v>162691.51865589758</v>
      </c>
      <c r="M4" s="407">
        <f>IF('Staging Table'!C6=1,"",IF(Init!$R$9="Yes",(RT1SC!$C$3*'Staging Table'!F6*'Staging Table'!$F$2),X4))</f>
        <v>4723.1352352800004</v>
      </c>
      <c r="N4" s="169">
        <f>IF('Staging Table'!C6=1,"",IF(M4=0, 0, L4/M4))</f>
        <v>34.445661737706473</v>
      </c>
      <c r="O4" s="407">
        <f>'Staging Table'!BH6*Rates_current!$E$75*100*12</f>
        <v>194901.68160000001</v>
      </c>
      <c r="P4" s="407">
        <f>'Staging Table'!BH6*Rates_current!$E$76*100*12</f>
        <v>-27414.601200000005</v>
      </c>
      <c r="Q4" s="408"/>
      <c r="R4" s="408">
        <f>SUMPRODUCT('Staging Table'!CL6:CW6, LS_Demand_Rates_Restatement!$C$11:$N$11)*1000</f>
        <v>10648.681530511036</v>
      </c>
      <c r="S4" s="409"/>
      <c r="T4" s="409">
        <f>IF('Staging Table'!D6=1, 'Staging Table'!BJ6*-1*('Staging Table'!BH6/'Staging Table'!BG6),SUM(O4:S4)*'Staging Table'!BJ6*-1)</f>
        <v>-8016.1092868729966</v>
      </c>
      <c r="U4" s="407">
        <f>'Staging Table'!BM6*Rates_current!$H$32*-1</f>
        <v>0</v>
      </c>
      <c r="V4" s="407">
        <f>IF(Init!$R$12="No",0,'Staging Table'!$CY6)</f>
        <v>0</v>
      </c>
      <c r="W4" s="407">
        <f>IF('Staging Table'!C6=1,"",SUM(O4:U4)-V4)</f>
        <v>170119.65264363805</v>
      </c>
      <c r="X4" s="407">
        <f>IF('Staging Table'!C6=1,"",(RT1SC!$C$4*'Staging Table'!BH6*'Staging Table'!$BH$2))</f>
        <v>4654.0190984399997</v>
      </c>
      <c r="Y4" s="169">
        <f>IF('Staging Table'!C6=1,"",IF(X4=0, 0, W4/X4))</f>
        <v>36.553277725194803</v>
      </c>
      <c r="Z4" s="160">
        <f ca="1">IF('Staging Table'!C6=1,"",(Y4/N4-1)+(RAND()/100000000000000))</f>
        <v>6.1186688864842062E-2</v>
      </c>
      <c r="AA4" s="97">
        <f ca="1">IF(Z4="","",RANK(Z4,$Z$4:$Z$138))</f>
        <v>1</v>
      </c>
      <c r="AB4" s="397"/>
      <c r="AC4" s="397"/>
      <c r="AD4" s="397"/>
    </row>
    <row r="5" spans="1:30">
      <c r="B5" s="274">
        <v>10015</v>
      </c>
      <c r="C5" s="275" t="s">
        <v>8</v>
      </c>
      <c r="D5" s="407">
        <f>IF(Init!$R$9="Yes",'Staging Table'!F7,'Staging Table'!BH7)*Rates_previous!$E$75*100*12</f>
        <v>201243.54851999998</v>
      </c>
      <c r="E5" s="407">
        <f>IF(Init!$R$9="Yes",'Staging Table'!F7,'Staging Table'!BH7)*Rates_previous!$E$76*100*12</f>
        <v>-29916.969119999998</v>
      </c>
      <c r="F5" s="408"/>
      <c r="G5" s="408">
        <f>IF(Init!$R$9="Yes",SUMPRODUCT('Staging Table'!AJ7:AU7,LS_Demand_Rates_Restatement!$C$10:$N$10),SUMPRODUCT(LS_Demand_Rates_Restatement!$C$10:$N$10,'Staging Table'!CL7:CW7))*1000</f>
        <v>44373.415375783479</v>
      </c>
      <c r="H5" s="409"/>
      <c r="I5" s="409">
        <f>IF(Init!$R$9="Yes",IF('Staging Table'!D7=1,'Staging Table'!H7*-1*('Staging Table'!F7/'Staging Table'!E7),'Staging Table'!H7*SUM(D5:H5)*(-1)),IF('Staging Table'!D7=1,'Staging Table'!BJ7*-1*('Staging Table'!BH7/'Staging Table'!BG7),'Staging Table'!BJ7*SUM(D5:H5)*(-1)))</f>
        <v>0</v>
      </c>
      <c r="J5" s="407">
        <f>IF(Init!$R$9="Yes",'Staging Table'!K7,'Staging Table'!BM7)*(-1)*Rates_previous!$H$32</f>
        <v>0</v>
      </c>
      <c r="K5" s="407">
        <f>IF(Init!$R$12="No",0,'Staging Table'!$AW7)</f>
        <v>0</v>
      </c>
      <c r="L5" s="407">
        <f>IF('Staging Table'!C7=1,"",SUM(D5:J5)-K5)</f>
        <v>215699.99477578347</v>
      </c>
      <c r="M5" s="407">
        <f>IF('Staging Table'!C7=1,"",IF(Init!$R$9="Yes",(RT1SC!$C$3*'Staging Table'!F7*'Staging Table'!$F$2),X5))</f>
        <v>4986.8947354319998</v>
      </c>
      <c r="N5" s="169">
        <f>IF('Staging Table'!C7=1,"",IF(M5=0, 0, L5/M5))</f>
        <v>43.253368322220666</v>
      </c>
      <c r="O5" s="407">
        <f>'Staging Table'!BH7*Rates_current!$E$75*100*12</f>
        <v>206876.03328000003</v>
      </c>
      <c r="P5" s="407">
        <f>'Staging Table'!BH7*Rates_current!$E$76*100*12</f>
        <v>-29098.896959999998</v>
      </c>
      <c r="Q5" s="408"/>
      <c r="R5" s="408">
        <f>SUMPRODUCT('Staging Table'!CL7:CW7, LS_Demand_Rates_Restatement!$C$11:$N$11)*1000</f>
        <v>41595.271653463329</v>
      </c>
      <c r="S5" s="409"/>
      <c r="T5" s="409">
        <f>IF('Staging Table'!D7=1, 'Staging Table'!BJ7*-1*('Staging Table'!BH7/'Staging Table'!BG7),SUM(O5:S5)*'Staging Table'!BJ7*-1)</f>
        <v>0</v>
      </c>
      <c r="U5" s="407">
        <f>'Staging Table'!BM7*Rates_current!$H$32*-1</f>
        <v>0</v>
      </c>
      <c r="V5" s="407">
        <f>IF(Init!$R$12="No",0,'Staging Table'!$CY7)</f>
        <v>0</v>
      </c>
      <c r="W5" s="407">
        <f>IF('Staging Table'!C7=1,"",SUM(O5:U5)-V5)</f>
        <v>219372.40797346339</v>
      </c>
      <c r="X5" s="407">
        <f>IF('Staging Table'!C7=1,"",(RT1SC!$C$4*'Staging Table'!BH7*'Staging Table'!$BH$2))</f>
        <v>4939.9522979519988</v>
      </c>
      <c r="Y5" s="169">
        <f>IF('Staging Table'!C7=1,"",IF(X5=0, 0, W5/X5))</f>
        <v>44.407798849476869</v>
      </c>
      <c r="Z5" s="160">
        <f ca="1">IF('Staging Table'!C7=1,"",(Y5/N5-1)+(RAND()/100000000000000))</f>
        <v>2.6689956690916301E-2</v>
      </c>
      <c r="AA5" s="97">
        <f t="shared" ref="AA5:AA67" ca="1" si="0">IF(Z5="","",RANK(Z5,$Z$4:$Z$138))</f>
        <v>116</v>
      </c>
      <c r="AB5" s="397"/>
      <c r="AC5" s="397"/>
      <c r="AD5" s="397"/>
    </row>
    <row r="6" spans="1:30">
      <c r="B6" s="274">
        <v>10024</v>
      </c>
      <c r="C6" s="275" t="s">
        <v>9</v>
      </c>
      <c r="D6" s="407">
        <f>IF(Init!$R$9="Yes",'Staging Table'!F8,'Staging Table'!BH8)*Rates_previous!$E$75*100*12</f>
        <v>36851827.519080006</v>
      </c>
      <c r="E6" s="407">
        <f>IF(Init!$R$9="Yes",'Staging Table'!F8,'Staging Table'!BH8)*Rates_previous!$E$76*100*12</f>
        <v>-5478411.5764800012</v>
      </c>
      <c r="F6" s="408"/>
      <c r="G6" s="408">
        <f>IF(Init!$R$9="Yes",SUMPRODUCT('Staging Table'!AJ8:AU8,LS_Demand_Rates_Restatement!$C$10:$N$10),SUMPRODUCT(LS_Demand_Rates_Restatement!$C$10:$N$10,'Staging Table'!CL8:CW8))*1000</f>
        <v>0</v>
      </c>
      <c r="H6" s="409"/>
      <c r="I6" s="409">
        <f>IF(Init!$R$9="Yes",IF('Staging Table'!D8=1,'Staging Table'!H8*-1*('Staging Table'!F8/'Staging Table'!E8),'Staging Table'!H8*SUM(D6:H6)*(-1)),IF('Staging Table'!D8=1,'Staging Table'!BJ8*-1*('Staging Table'!BH8/'Staging Table'!BG8),'Staging Table'!BJ8*SUM(D6:H6)*(-1)))</f>
        <v>0</v>
      </c>
      <c r="J6" s="407">
        <f>IF(Init!$R$9="Yes",'Staging Table'!K8,'Staging Table'!BM8)*(-1)*Rates_previous!$H$32</f>
        <v>-3675055.3840000001</v>
      </c>
      <c r="K6" s="407">
        <f>IF(Init!$R$12="No",0,'Staging Table'!$AW8)</f>
        <v>0</v>
      </c>
      <c r="L6" s="407">
        <f>IF('Staging Table'!C8=1,"",SUM(D6:J6)-K6)</f>
        <v>27698360.558600005</v>
      </c>
      <c r="M6" s="407">
        <f>IF('Staging Table'!C8=1,"",IF(Init!$R$9="Yes",(RT1SC!$C$3*'Staging Table'!F8*'Staging Table'!$F$2),X6))</f>
        <v>913202.86288672814</v>
      </c>
      <c r="N6" s="169">
        <f>IF('Staging Table'!C8=1,"",IF(M6=0, 0, L6/M6))</f>
        <v>30.331004954411377</v>
      </c>
      <c r="O6" s="407">
        <f>'Staging Table'!BH8*Rates_current!$E$75*100*12</f>
        <v>37785194.112959996</v>
      </c>
      <c r="P6" s="407">
        <f>'Staging Table'!BH8*Rates_current!$E$76*100*12</f>
        <v>-5314813.1887199981</v>
      </c>
      <c r="Q6" s="408"/>
      <c r="R6" s="408">
        <f>SUMPRODUCT('Staging Table'!CL8:CW8, LS_Demand_Rates_Restatement!$C$11:$N$11)*1000</f>
        <v>0</v>
      </c>
      <c r="S6" s="409"/>
      <c r="T6" s="409">
        <f>IF('Staging Table'!D8=1, 'Staging Table'!BJ8*-1*('Staging Table'!BH8/'Staging Table'!BG8),SUM(O6:S6)*'Staging Table'!BJ8*-1)</f>
        <v>0</v>
      </c>
      <c r="U6" s="407">
        <f>'Staging Table'!BM8*Rates_current!$H$32*-1</f>
        <v>-3671932.9920000001</v>
      </c>
      <c r="V6" s="407">
        <f>IF(Init!$R$12="No",0,'Staging Table'!$CY8)</f>
        <v>0</v>
      </c>
      <c r="W6" s="407">
        <f>IF('Staging Table'!C8=1,"",SUM(O6:U6)-V6)</f>
        <v>28798447.932239998</v>
      </c>
      <c r="X6" s="407">
        <f>IF('Staging Table'!C8=1,"",(RT1SC!$C$4*'Staging Table'!BH8*'Staging Table'!$BH$2))</f>
        <v>902265.25290266378</v>
      </c>
      <c r="Y6" s="169">
        <f>IF('Staging Table'!C8=1,"",IF(X6=0, 0, W6/X6))</f>
        <v>31.917939696328713</v>
      </c>
      <c r="Z6" s="160">
        <f ca="1">IF('Staging Table'!C8=1,"",(Y6/N6-1)+(RAND()/100000000000000))</f>
        <v>5.2320546065085134E-2</v>
      </c>
      <c r="AA6" s="97">
        <f t="shared" ca="1" si="0"/>
        <v>6</v>
      </c>
      <c r="AB6" s="397"/>
      <c r="AC6" s="397"/>
      <c r="AD6" s="397"/>
    </row>
    <row r="7" spans="1:30">
      <c r="B7" s="274">
        <v>10025</v>
      </c>
      <c r="C7" s="275" t="s">
        <v>10</v>
      </c>
      <c r="D7" s="407">
        <f>IF(Init!$R$9="Yes",'Staging Table'!F9,'Staging Table'!BH9)*Rates_previous!$E$75*100*12</f>
        <v>23423956.945199996</v>
      </c>
      <c r="E7" s="407">
        <f>IF(Init!$R$9="Yes",'Staging Table'!F9,'Staging Table'!BH9)*Rates_previous!$E$76*100*12</f>
        <v>-3482217.4512</v>
      </c>
      <c r="F7" s="408"/>
      <c r="G7" s="408">
        <f>IF(Init!$R$9="Yes",SUMPRODUCT('Staging Table'!AJ9:AU9,LS_Demand_Rates_Restatement!$C$10:$N$10),SUMPRODUCT(LS_Demand_Rates_Restatement!$C$10:$N$10,'Staging Table'!CL9:CW9))*1000</f>
        <v>717507.05443244323</v>
      </c>
      <c r="H7" s="409"/>
      <c r="I7" s="409">
        <f>IF(Init!$R$9="Yes",IF('Staging Table'!D9=1,'Staging Table'!H9*-1*('Staging Table'!F9/'Staging Table'!E9),'Staging Table'!H9*SUM(D7:H7)*(-1)),IF('Staging Table'!D9=1,'Staging Table'!BJ9*-1*('Staging Table'!BH9/'Staging Table'!BG9),'Staging Table'!BJ9*SUM(D7:H7)*(-1)))</f>
        <v>-1304218.23460254</v>
      </c>
      <c r="J7" s="407">
        <f>IF(Init!$R$9="Yes",'Staging Table'!K9,'Staging Table'!BM9)*(-1)*Rates_previous!$H$32</f>
        <v>-975743.08689000004</v>
      </c>
      <c r="K7" s="407">
        <f>IF(Init!$R$12="No",0,'Staging Table'!$AW9)</f>
        <v>0</v>
      </c>
      <c r="L7" s="407">
        <f>IF('Staging Table'!C9=1,"",SUM(D7:J7)-K7)</f>
        <v>18379285.226939898</v>
      </c>
      <c r="M7" s="407">
        <f>IF('Staging Table'!C9=1,"",IF(Init!$R$9="Yes",(RT1SC!$C$3*'Staging Table'!F9*'Staging Table'!$F$2),X7))</f>
        <v>580454.91859032004</v>
      </c>
      <c r="N7" s="169">
        <f>IF('Staging Table'!C9=1,"",IF(M7=0, 0, L7/M7))</f>
        <v>31.663587710782817</v>
      </c>
      <c r="O7" s="407">
        <f>'Staging Table'!BH9*Rates_current!$E$75*100*12</f>
        <v>21534979.789439999</v>
      </c>
      <c r="P7" s="407">
        <f>'Staging Table'!BH9*Rates_current!$E$76*100*12</f>
        <v>-3029080.4980800003</v>
      </c>
      <c r="Q7" s="408"/>
      <c r="R7" s="408">
        <f>SUMPRODUCT('Staging Table'!CL9:CW9, LS_Demand_Rates_Restatement!$C$11:$N$11)*1000</f>
        <v>832948.73732605099</v>
      </c>
      <c r="S7" s="409"/>
      <c r="T7" s="409">
        <f>IF('Staging Table'!D9=1, 'Staging Table'!BJ9*-1*('Staging Table'!BH9/'Staging Table'!BG9),SUM(O7:S7)*'Staging Table'!BJ9*-1)</f>
        <v>-1279107.5548883886</v>
      </c>
      <c r="U7" s="407">
        <f>'Staging Table'!BM9*Rates_current!$H$32*-1</f>
        <v>-974914.07831999997</v>
      </c>
      <c r="V7" s="407">
        <f>IF(Init!$R$12="No",0,'Staging Table'!$CY9)</f>
        <v>0</v>
      </c>
      <c r="W7" s="407">
        <f>IF('Staging Table'!C9=1,"",SUM(O7:U7)-V7)</f>
        <v>17084826.39547766</v>
      </c>
      <c r="X7" s="407">
        <f>IF('Staging Table'!C9=1,"",(RT1SC!$C$4*'Staging Table'!BH9*'Staging Table'!$BH$2))</f>
        <v>514229.56642449589</v>
      </c>
      <c r="Y7" s="169">
        <f>IF('Staging Table'!C9=1,"",IF(X7=0, 0, W7/X7))</f>
        <v>33.224123059027214</v>
      </c>
      <c r="Z7" s="160">
        <f ca="1">IF('Staging Table'!C9=1,"",(Y7/N7-1)+(RAND()/100000000000000))</f>
        <v>4.9284855604446877E-2</v>
      </c>
      <c r="AA7" s="97">
        <f t="shared" ca="1" si="0"/>
        <v>14</v>
      </c>
      <c r="AB7" s="397"/>
      <c r="AC7" s="397"/>
      <c r="AD7" s="397"/>
    </row>
    <row r="8" spans="1:30">
      <c r="B8" s="274">
        <v>10027</v>
      </c>
      <c r="C8" s="275" t="s">
        <v>11</v>
      </c>
      <c r="D8" s="407">
        <f>IF(Init!$R$9="Yes",'Staging Table'!F10,'Staging Table'!BH10)*Rates_previous!$E$75*100*12</f>
        <v>21480087.835079998</v>
      </c>
      <c r="E8" s="407">
        <f>IF(Init!$R$9="Yes",'Staging Table'!F10,'Staging Table'!BH10)*Rates_previous!$E$76*100*12</f>
        <v>-3193240.8724799994</v>
      </c>
      <c r="F8" s="408"/>
      <c r="G8" s="408">
        <f>IF(Init!$R$9="Yes",SUMPRODUCT('Staging Table'!AJ10:AU10,LS_Demand_Rates_Restatement!$C$10:$N$10),SUMPRODUCT(LS_Demand_Rates_Restatement!$C$10:$N$10,'Staging Table'!CL10:CW10))*1000</f>
        <v>946038.85478826577</v>
      </c>
      <c r="H8" s="409"/>
      <c r="I8" s="409">
        <f>IF(Init!$R$9="Yes",IF('Staging Table'!D10=1,'Staging Table'!H10*-1*('Staging Table'!F10/'Staging Table'!E10),'Staging Table'!H10*SUM(D8:H8)*(-1)),IF('Staging Table'!D10=1,'Staging Table'!BJ10*-1*('Staging Table'!BH10/'Staging Table'!BG10),'Staging Table'!BJ10*SUM(D8:H8)*(-1)))</f>
        <v>-1348609.9535152654</v>
      </c>
      <c r="J8" s="407">
        <f>IF(Init!$R$9="Yes",'Staging Table'!K10,'Staging Table'!BM10)*(-1)*Rates_previous!$H$32</f>
        <v>-2467810.4857999999</v>
      </c>
      <c r="K8" s="407">
        <f>IF(Init!$R$12="No",0,'Staging Table'!$AW10)</f>
        <v>0</v>
      </c>
      <c r="L8" s="407">
        <f>IF('Staging Table'!C10=1,"",SUM(D8:J8)-K8)</f>
        <v>15416465.378073001</v>
      </c>
      <c r="M8" s="407">
        <f>IF('Staging Table'!C10=1,"",IF(Init!$R$9="Yes",(RT1SC!$C$3*'Staging Table'!F10*'Staging Table'!$F$2),X8))</f>
        <v>532285.07313232799</v>
      </c>
      <c r="N8" s="169">
        <f>IF('Staging Table'!C10=1,"",IF(M8=0, 0, L8/M8))</f>
        <v>28.96279861344226</v>
      </c>
      <c r="O8" s="407">
        <f>'Staging Table'!BH10*Rates_current!$E$75*100*12</f>
        <v>22088857.248</v>
      </c>
      <c r="P8" s="407">
        <f>'Staging Table'!BH10*Rates_current!$E$76*100*12</f>
        <v>-3106988.1359999999</v>
      </c>
      <c r="Q8" s="408"/>
      <c r="R8" s="408">
        <f>SUMPRODUCT('Staging Table'!CL10:CW10, LS_Demand_Rates_Restatement!$C$11:$N$11)*1000</f>
        <v>855574.82225295587</v>
      </c>
      <c r="S8" s="409"/>
      <c r="T8" s="409">
        <f>IF('Staging Table'!D10=1, 'Staging Table'!BJ10*-1*('Staging Table'!BH10/'Staging Table'!BG10),SUM(O8:S8)*'Staging Table'!BJ10*-1)</f>
        <v>-1470007.5726919093</v>
      </c>
      <c r="U8" s="407">
        <f>'Staging Table'!BM10*Rates_current!$H$32*-1</f>
        <v>-2465713.7903999998</v>
      </c>
      <c r="V8" s="407">
        <f>IF(Init!$R$12="No",0,'Staging Table'!$CY10)</f>
        <v>0</v>
      </c>
      <c r="W8" s="407">
        <f>IF('Staging Table'!C10=1,"",SUM(O8:U8)-V8)</f>
        <v>15901722.571161045</v>
      </c>
      <c r="X8" s="407">
        <f>IF('Staging Table'!C10=1,"",(RT1SC!$C$4*'Staging Table'!BH10*'Staging Table'!$BH$2))</f>
        <v>527455.49782319996</v>
      </c>
      <c r="Y8" s="169">
        <f>IF('Staging Table'!C10=1,"",IF(X8=0, 0, W8/X8))</f>
        <v>30.147989047013802</v>
      </c>
      <c r="Z8" s="160">
        <f ca="1">IF('Staging Table'!C10=1,"",(Y8/N8-1)+(RAND()/100000000000000))</f>
        <v>4.0921129528611586E-2</v>
      </c>
      <c r="AA8" s="97">
        <f t="shared" ca="1" si="0"/>
        <v>97</v>
      </c>
      <c r="AB8" s="397"/>
      <c r="AC8" s="397"/>
      <c r="AD8" s="397"/>
    </row>
    <row r="9" spans="1:30">
      <c r="B9" s="274">
        <v>10029</v>
      </c>
      <c r="C9" s="275" t="s">
        <v>12</v>
      </c>
      <c r="D9" s="407">
        <f>IF(Init!$R$9="Yes",'Staging Table'!F11,'Staging Table'!BH11)*Rates_previous!$E$75*100*12</f>
        <v>6183350.3591999998</v>
      </c>
      <c r="E9" s="407">
        <f>IF(Init!$R$9="Yes",'Staging Table'!F11,'Staging Table'!BH11)*Rates_previous!$E$76*100*12</f>
        <v>-919220.03519999993</v>
      </c>
      <c r="F9" s="408"/>
      <c r="G9" s="408">
        <f>IF(Init!$R$9="Yes",SUMPRODUCT('Staging Table'!AJ11:AU11,LS_Demand_Rates_Restatement!$C$10:$N$10),SUMPRODUCT(LS_Demand_Rates_Restatement!$C$10:$N$10,'Staging Table'!CL11:CW11))*1000</f>
        <v>0</v>
      </c>
      <c r="H9" s="409"/>
      <c r="I9" s="409">
        <f>IF(Init!$R$9="Yes",IF('Staging Table'!D11=1,'Staging Table'!H11*-1*('Staging Table'!F11/'Staging Table'!E11),'Staging Table'!H11*SUM(D9:H9)*(-1)),IF('Staging Table'!D11=1,'Staging Table'!BJ11*-1*('Staging Table'!BH11/'Staging Table'!BG11),'Staging Table'!BJ11*SUM(D9:H9)*(-1)))</f>
        <v>-326428.72139124002</v>
      </c>
      <c r="J9" s="407">
        <f>IF(Init!$R$9="Yes",'Staging Table'!K11,'Staging Table'!BM11)*(-1)*Rates_previous!$H$32</f>
        <v>0</v>
      </c>
      <c r="K9" s="407">
        <f>IF(Init!$R$12="No",0,'Staging Table'!$AW11)</f>
        <v>0</v>
      </c>
      <c r="L9" s="407" t="str">
        <f>IF('Staging Table'!C11=1,"",SUM(D9:J9)-K9)</f>
        <v/>
      </c>
      <c r="M9" s="407" t="str">
        <f>IF('Staging Table'!C11=1,"",IF(Init!$R$9="Yes",(RT1SC!$C$3*'Staging Table'!F11*'Staging Table'!$F$2),X9))</f>
        <v/>
      </c>
      <c r="N9" s="169" t="str">
        <f>IF('Staging Table'!C11=1,"",IF(M9=0, 0, L9/M9))</f>
        <v/>
      </c>
      <c r="O9" s="407">
        <f>'Staging Table'!BH11*Rates_current!$E$75*100*12</f>
        <v>6358635.5155199999</v>
      </c>
      <c r="P9" s="407">
        <f>'Staging Table'!BH11*Rates_current!$E$76*100*12</f>
        <v>-894396.88463999983</v>
      </c>
      <c r="Q9" s="408"/>
      <c r="R9" s="408">
        <f>SUMPRODUCT('Staging Table'!CL11:CW11, LS_Demand_Rates_Restatement!$C$11:$N$11)*1000</f>
        <v>0</v>
      </c>
      <c r="S9" s="409"/>
      <c r="T9" s="409">
        <f>IF('Staging Table'!D11=1, 'Staging Table'!BJ11*-1*('Staging Table'!BH11/'Staging Table'!BG11),SUM(O9:S9)*'Staging Table'!BJ11*-1)</f>
        <v>-347191.78958984371</v>
      </c>
      <c r="U9" s="407">
        <f>'Staging Table'!BM11*Rates_current!$H$32*-1</f>
        <v>0</v>
      </c>
      <c r="V9" s="407">
        <f>IF(Init!$R$12="No",0,'Staging Table'!$CY11)</f>
        <v>0</v>
      </c>
      <c r="W9" s="407" t="str">
        <f>IF('Staging Table'!C11=1,"",SUM(O9:U9)-V9)</f>
        <v/>
      </c>
      <c r="X9" s="407" t="str">
        <f>IF('Staging Table'!C11=1,"",(RT1SC!$C$4*'Staging Table'!BH11*'Staging Table'!$BH$2))</f>
        <v/>
      </c>
      <c r="Y9" s="169" t="str">
        <f>IF('Staging Table'!C11=1,"",IF(X9=0, 0, W9/X9))</f>
        <v/>
      </c>
      <c r="Z9" s="160" t="str">
        <f ca="1">IF('Staging Table'!C11=1,"",(Y9/N9-1)+(RAND()/100000000000000))</f>
        <v/>
      </c>
      <c r="AA9" s="97" t="str">
        <f t="shared" ca="1" si="0"/>
        <v/>
      </c>
      <c r="AB9" s="397"/>
      <c r="AC9" s="397"/>
      <c r="AD9" s="397"/>
    </row>
    <row r="10" spans="1:30">
      <c r="B10" s="274">
        <v>10044</v>
      </c>
      <c r="C10" s="275" t="s">
        <v>13</v>
      </c>
      <c r="D10" s="407">
        <f>IF(Init!$R$9="Yes",'Staging Table'!F12,'Staging Table'!BH12)*Rates_previous!$E$75*100*12</f>
        <v>7128922.7520000003</v>
      </c>
      <c r="E10" s="407">
        <f>IF(Init!$R$9="Yes",'Staging Table'!F12,'Staging Table'!BH12)*Rates_previous!$E$76*100*12</f>
        <v>-1059789.3120000002</v>
      </c>
      <c r="F10" s="408"/>
      <c r="G10" s="408">
        <f>IF(Init!$R$9="Yes",SUMPRODUCT('Staging Table'!AJ12:AU12,LS_Demand_Rates_Restatement!$C$10:$N$10),SUMPRODUCT(LS_Demand_Rates_Restatement!$C$10:$N$10,'Staging Table'!CL12:CW12))*1000</f>
        <v>276884.06033333333</v>
      </c>
      <c r="H10" s="409"/>
      <c r="I10" s="409">
        <f>IF(Init!$R$9="Yes",IF('Staging Table'!D12=1,'Staging Table'!H12*-1*('Staging Table'!F12/'Staging Table'!E12),'Staging Table'!H12*SUM(D10:H10)*(-1)),IF('Staging Table'!D12=1,'Staging Table'!BJ12*-1*('Staging Table'!BH12/'Staging Table'!BG12),'Staging Table'!BJ12*SUM(D10:H10)*(-1)))</f>
        <v>0</v>
      </c>
      <c r="J10" s="407">
        <f>IF(Init!$R$9="Yes",'Staging Table'!K12,'Staging Table'!BM12)*(-1)*Rates_previous!$H$32</f>
        <v>0</v>
      </c>
      <c r="K10" s="407">
        <f>IF(Init!$R$12="No",0,'Staging Table'!$AW12)</f>
        <v>0</v>
      </c>
      <c r="L10" s="407">
        <f>IF('Staging Table'!C12=1,"",SUM(D10:J10)-K10)</f>
        <v>6346017.5003333334</v>
      </c>
      <c r="M10" s="407">
        <f>IF('Staging Table'!C12=1,"",IF(Init!$R$9="Yes",(RT1SC!$C$3*'Staging Table'!F12*'Staging Table'!$F$2),X10))</f>
        <v>176657.52568319999</v>
      </c>
      <c r="N10" s="169">
        <f>IF('Staging Table'!C12=1,"",IF(M10=0, 0, L10/M10))</f>
        <v>35.922712467475904</v>
      </c>
      <c r="O10" s="407">
        <f>'Staging Table'!BH12*Rates_current!$E$75*100*12</f>
        <v>7330850.9625599999</v>
      </c>
      <c r="P10" s="407">
        <f>'Staging Table'!BH12*Rates_current!$E$76*100*12</f>
        <v>-1031147.36592</v>
      </c>
      <c r="Q10" s="408"/>
      <c r="R10" s="408">
        <f>SUMPRODUCT('Staging Table'!CL12:CW12, LS_Demand_Rates_Restatement!$C$11:$N$11)*1000</f>
        <v>253628.26207773326</v>
      </c>
      <c r="S10" s="409"/>
      <c r="T10" s="409">
        <f>IF('Staging Table'!D12=1, 'Staging Table'!BJ12*-1*('Staging Table'!BH12/'Staging Table'!BG12),SUM(O10:S10)*'Staging Table'!BJ12*-1)</f>
        <v>0</v>
      </c>
      <c r="U10" s="407">
        <f>'Staging Table'!BM12*Rates_current!$H$32*-1</f>
        <v>0</v>
      </c>
      <c r="V10" s="407">
        <f>IF(Init!$R$12="No",0,'Staging Table'!$CY12)</f>
        <v>0</v>
      </c>
      <c r="W10" s="407">
        <f>IF('Staging Table'!C12=1,"",SUM(O10:U10)-V10)</f>
        <v>6553331.8587177331</v>
      </c>
      <c r="X10" s="407">
        <f>IF('Staging Table'!C12=1,"",(RT1SC!$C$4*'Staging Table'!BH12*'Staging Table'!$BH$2))</f>
        <v>175051.95495230399</v>
      </c>
      <c r="Y10" s="169">
        <f>IF('Staging Table'!C12=1,"",IF(X10=0, 0, W10/X10))</f>
        <v>37.436496270511832</v>
      </c>
      <c r="Z10" s="160">
        <f ca="1">IF('Staging Table'!C12=1,"",(Y10/N10-1)+(RAND()/100000000000000))</f>
        <v>4.2140019476717971E-2</v>
      </c>
      <c r="AA10" s="97">
        <f t="shared" ca="1" si="0"/>
        <v>79</v>
      </c>
      <c r="AB10" s="397"/>
      <c r="AC10" s="397"/>
      <c r="AD10" s="397"/>
    </row>
    <row r="11" spans="1:30">
      <c r="B11" s="274">
        <v>10046</v>
      </c>
      <c r="C11" s="275" t="s">
        <v>14</v>
      </c>
      <c r="D11" s="407">
        <f>IF(Init!$R$9="Yes",'Staging Table'!F13,'Staging Table'!BH13)*Rates_previous!$E$75*100*12</f>
        <v>28730796.350759998</v>
      </c>
      <c r="E11" s="407">
        <f>IF(Init!$R$9="Yes",'Staging Table'!F13,'Staging Table'!BH13)*Rates_previous!$E$76*100*12</f>
        <v>-4271134.9185600001</v>
      </c>
      <c r="F11" s="408"/>
      <c r="G11" s="408">
        <f>IF(Init!$R$9="Yes",SUMPRODUCT('Staging Table'!AJ13:AU13,LS_Demand_Rates_Restatement!$C$10:$N$10),SUMPRODUCT(LS_Demand_Rates_Restatement!$C$10:$N$10,'Staging Table'!CL13:CW13))*1000</f>
        <v>0</v>
      </c>
      <c r="H11" s="409"/>
      <c r="I11" s="409">
        <f>IF(Init!$R$9="Yes",IF('Staging Table'!D13=1,'Staging Table'!H13*-1*('Staging Table'!F13/'Staging Table'!E13),'Staging Table'!H13*SUM(D11:H11)*(-1)),IF('Staging Table'!D13=1,'Staging Table'!BJ13*-1*('Staging Table'!BH13/'Staging Table'!BG13),'Staging Table'!BJ13*SUM(D11:H11)*(-1)))</f>
        <v>-1738592.7346007761</v>
      </c>
      <c r="J11" s="407">
        <f>IF(Init!$R$9="Yes",'Staging Table'!K13,'Staging Table'!BM13)*(-1)*Rates_previous!$H$32</f>
        <v>-483575.82889</v>
      </c>
      <c r="K11" s="407">
        <f>IF(Init!$R$12="No",0,'Staging Table'!$AW13)</f>
        <v>0</v>
      </c>
      <c r="L11" s="407" t="str">
        <f>IF('Staging Table'!C13=1,"",SUM(D11:J11)-K11)</f>
        <v/>
      </c>
      <c r="M11" s="407" t="str">
        <f>IF('Staging Table'!C13=1,"",IF(Init!$R$9="Yes",(RT1SC!$C$3*'Staging Table'!F13*'Staging Table'!$F$2),X11))</f>
        <v/>
      </c>
      <c r="N11" s="169" t="str">
        <f>IF('Staging Table'!C13=1,"",IF(M11=0, 0, L11/M11))</f>
        <v/>
      </c>
      <c r="O11" s="407">
        <f>'Staging Table'!BH13*Rates_current!$E$75*100*12</f>
        <v>29545311.516479999</v>
      </c>
      <c r="P11" s="407">
        <f>'Staging Table'!BH13*Rates_current!$E$76*100*12</f>
        <v>-4155802.6893600002</v>
      </c>
      <c r="Q11" s="408"/>
      <c r="R11" s="408">
        <f>SUMPRODUCT('Staging Table'!CL13:CW13, LS_Demand_Rates_Restatement!$C$11:$N$11)*1000</f>
        <v>0</v>
      </c>
      <c r="S11" s="409"/>
      <c r="T11" s="409">
        <f>IF('Staging Table'!D13=1, 'Staging Table'!BJ13*-1*('Staging Table'!BH13/'Staging Table'!BG13),SUM(O11:S11)*'Staging Table'!BJ13*-1)</f>
        <v>-1822945.7379556368</v>
      </c>
      <c r="U11" s="407">
        <f>'Staging Table'!BM13*Rates_current!$H$32*-1</f>
        <v>-483164.97432000004</v>
      </c>
      <c r="V11" s="407">
        <f>IF(Init!$R$12="No",0,'Staging Table'!$CY13)</f>
        <v>0</v>
      </c>
      <c r="W11" s="407" t="str">
        <f>IF('Staging Table'!C13=1,"",SUM(O11:U11)-V11)</f>
        <v/>
      </c>
      <c r="X11" s="407" t="str">
        <f>IF('Staging Table'!C13=1,"",(RT1SC!$C$4*'Staging Table'!BH13*'Staging Table'!$BH$2))</f>
        <v/>
      </c>
      <c r="Y11" s="169" t="str">
        <f>IF('Staging Table'!C13=1,"",IF(X11=0, 0, W11/X11))</f>
        <v/>
      </c>
      <c r="Z11" s="160" t="str">
        <f ca="1">IF('Staging Table'!C13=1,"",(Y11/N11-1)+(RAND()/100000000000000))</f>
        <v/>
      </c>
      <c r="AA11" s="97" t="str">
        <f t="shared" ca="1" si="0"/>
        <v/>
      </c>
      <c r="AB11" s="397"/>
      <c r="AC11" s="397"/>
      <c r="AD11" s="397"/>
    </row>
    <row r="12" spans="1:30">
      <c r="B12" s="274">
        <v>10047</v>
      </c>
      <c r="C12" s="275" t="s">
        <v>15</v>
      </c>
      <c r="D12" s="407">
        <f>IF(Init!$R$9="Yes",'Staging Table'!F14,'Staging Table'!BH14)*Rates_previous!$E$75*100*12</f>
        <v>54271399.769999996</v>
      </c>
      <c r="E12" s="407">
        <f>IF(Init!$R$9="Yes",'Staging Table'!F14,'Staging Table'!BH14)*Rates_previous!$E$76*100*12</f>
        <v>-8068014.1200000001</v>
      </c>
      <c r="F12" s="408"/>
      <c r="G12" s="408">
        <f>IF(Init!$R$9="Yes",SUMPRODUCT('Staging Table'!AJ14:AU14,LS_Demand_Rates_Restatement!$C$10:$N$10),SUMPRODUCT(LS_Demand_Rates_Restatement!$C$10:$N$10,'Staging Table'!CL14:CW14))*1000</f>
        <v>1787498.3079689103</v>
      </c>
      <c r="H12" s="409"/>
      <c r="I12" s="409">
        <f>IF(Init!$R$9="Yes",IF('Staging Table'!D14=1,'Staging Table'!H14*-1*('Staging Table'!F14/'Staging Table'!E14),'Staging Table'!H14*SUM(D12:H12)*(-1)),IF('Staging Table'!D14=1,'Staging Table'!BJ14*-1*('Staging Table'!BH14/'Staging Table'!BG14),'Staging Table'!BJ14*SUM(D12:H12)*(-1)))</f>
        <v>0</v>
      </c>
      <c r="J12" s="407">
        <f>IF(Init!$R$9="Yes",'Staging Table'!K14,'Staging Table'!BM14)*(-1)*Rates_previous!$H$32</f>
        <v>0</v>
      </c>
      <c r="K12" s="407">
        <f>IF(Init!$R$12="No",0,'Staging Table'!$AW14)</f>
        <v>0</v>
      </c>
      <c r="L12" s="407">
        <f>IF('Staging Table'!C14=1,"",SUM(D12:J12)-K12)</f>
        <v>47990883.957968906</v>
      </c>
      <c r="M12" s="407">
        <f>IF('Staging Table'!C14=1,"",IF(Init!$R$9="Yes",(RT1SC!$C$3*'Staging Table'!F14*'Staging Table'!$F$2),X12))</f>
        <v>1344866.7536819999</v>
      </c>
      <c r="N12" s="169">
        <f>IF('Staging Table'!C14=1,"",IF(M12=0, 0, L12/M12))</f>
        <v>35.684489802858621</v>
      </c>
      <c r="O12" s="407">
        <f>'Staging Table'!BH14*Rates_current!$E$75*100*12</f>
        <v>56078436.651839986</v>
      </c>
      <c r="P12" s="407">
        <f>'Staging Table'!BH14*Rates_current!$E$76*100*12</f>
        <v>-7887915.4048800003</v>
      </c>
      <c r="Q12" s="408"/>
      <c r="R12" s="408">
        <f>SUMPRODUCT('Staging Table'!CL14:CW14, LS_Demand_Rates_Restatement!$C$11:$N$11)*1000</f>
        <v>1701446.8931888714</v>
      </c>
      <c r="S12" s="409"/>
      <c r="T12" s="409">
        <f>IF('Staging Table'!D14=1, 'Staging Table'!BJ14*-1*('Staging Table'!BH14/'Staging Table'!BG14),SUM(O12:S12)*'Staging Table'!BJ14*-1)</f>
        <v>0</v>
      </c>
      <c r="U12" s="407">
        <f>'Staging Table'!BM14*Rates_current!$H$32*-1</f>
        <v>0</v>
      </c>
      <c r="V12" s="407">
        <f>IF(Init!$R$12="No",0,'Staging Table'!$CY14)</f>
        <v>0</v>
      </c>
      <c r="W12" s="407">
        <f>IF('Staging Table'!C14=1,"",SUM(O12:U12)-V12)</f>
        <v>49891968.140148856</v>
      </c>
      <c r="X12" s="407">
        <f>IF('Staging Table'!C14=1,"",(RT1SC!$C$4*'Staging Table'!BH14*'Staging Table'!$BH$2))</f>
        <v>1339086.0101656558</v>
      </c>
      <c r="Y12" s="169">
        <f>IF('Staging Table'!C14=1,"",IF(X12=0, 0, W12/X12))</f>
        <v>37.258225208384346</v>
      </c>
      <c r="Z12" s="160">
        <f ca="1">IF('Staging Table'!C14=1,"",(Y12/N12-1)+(RAND()/100000000000000))</f>
        <v>4.4101384501228198E-2</v>
      </c>
      <c r="AA12" s="97">
        <f t="shared" ca="1" si="0"/>
        <v>54</v>
      </c>
      <c r="AB12" s="397"/>
      <c r="AC12" s="397"/>
      <c r="AD12" s="397"/>
    </row>
    <row r="13" spans="1:30">
      <c r="B13" s="274">
        <v>10055</v>
      </c>
      <c r="C13" s="275" t="s">
        <v>16</v>
      </c>
      <c r="D13" s="407">
        <f>IF(Init!$R$9="Yes",'Staging Table'!F15,'Staging Table'!BH15)*Rates_previous!$E$75*100*12</f>
        <v>139608.07056000002</v>
      </c>
      <c r="E13" s="407">
        <f>IF(Init!$R$9="Yes",'Staging Table'!F15,'Staging Table'!BH15)*Rates_previous!$E$76*100*12</f>
        <v>-20754.20736</v>
      </c>
      <c r="F13" s="408"/>
      <c r="G13" s="408">
        <f>IF(Init!$R$9="Yes",SUMPRODUCT('Staging Table'!AJ15:AU15,LS_Demand_Rates_Restatement!$C$10:$N$10),SUMPRODUCT(LS_Demand_Rates_Restatement!$C$10:$N$10,'Staging Table'!CL15:CW15))*1000</f>
        <v>13552.647198210467</v>
      </c>
      <c r="H13" s="409"/>
      <c r="I13" s="409">
        <f>IF(Init!$R$9="Yes",IF('Staging Table'!D15=1,'Staging Table'!H15*-1*('Staging Table'!F15/'Staging Table'!E15),'Staging Table'!H15*SUM(D13:H13)*(-1)),IF('Staging Table'!D15=1,'Staging Table'!BJ15*-1*('Staging Table'!BH15/'Staging Table'!BG15),'Staging Table'!BJ15*SUM(D13:H13)*(-1)))</f>
        <v>0</v>
      </c>
      <c r="J13" s="407">
        <f>IF(Init!$R$9="Yes",'Staging Table'!K15,'Staging Table'!BM15)*(-1)*Rates_previous!$H$32</f>
        <v>0</v>
      </c>
      <c r="K13" s="407">
        <f>IF(Init!$R$12="No",0,'Staging Table'!$AW15)</f>
        <v>0</v>
      </c>
      <c r="L13" s="407">
        <f>IF('Staging Table'!C15=1,"",SUM(D13:J13)-K13)</f>
        <v>132406.51039821049</v>
      </c>
      <c r="M13" s="407">
        <f>IF('Staging Table'!C15=1,"",IF(Init!$R$9="Yes",(RT1SC!$C$3*'Staging Table'!F15*'Staging Table'!$F$2),X13))</f>
        <v>3459.5432112960002</v>
      </c>
      <c r="N13" s="169">
        <f>IF('Staging Table'!C15=1,"",IF(M13=0, 0, L13/M13))</f>
        <v>38.272830345312812</v>
      </c>
      <c r="O13" s="407">
        <f>'Staging Table'!BH15*Rates_current!$E$75*100*12</f>
        <v>143437.44672000001</v>
      </c>
      <c r="P13" s="407">
        <f>'Staging Table'!BH15*Rates_current!$E$76*100*12</f>
        <v>-20175.713039999999</v>
      </c>
      <c r="Q13" s="408"/>
      <c r="R13" s="408">
        <f>SUMPRODUCT('Staging Table'!CL15:CW15, LS_Demand_Rates_Restatement!$C$11:$N$11)*1000</f>
        <v>13953.626133404556</v>
      </c>
      <c r="S13" s="409"/>
      <c r="T13" s="409">
        <f>IF('Staging Table'!D15=1, 'Staging Table'!BJ15*-1*('Staging Table'!BH15/'Staging Table'!BG15),SUM(O13:S13)*'Staging Table'!BJ15*-1)</f>
        <v>0</v>
      </c>
      <c r="U13" s="407">
        <f>'Staging Table'!BM15*Rates_current!$H$32*-1</f>
        <v>0</v>
      </c>
      <c r="V13" s="407">
        <f>IF(Init!$R$12="No",0,'Staging Table'!$CY15)</f>
        <v>0</v>
      </c>
      <c r="W13" s="407">
        <f>IF('Staging Table'!C15=1,"",SUM(O13:U13)-V13)</f>
        <v>137215.35981340456</v>
      </c>
      <c r="X13" s="407">
        <f>IF('Staging Table'!C15=1,"",(RT1SC!$C$4*'Staging Table'!BH15*'Staging Table'!$BH$2))</f>
        <v>3425.1147090479999</v>
      </c>
      <c r="Y13" s="169">
        <f>IF('Staging Table'!C15=1,"",IF(X13=0, 0, W13/X13))</f>
        <v>40.061537048942562</v>
      </c>
      <c r="Z13" s="160">
        <f ca="1">IF('Staging Table'!C15=1,"",(Y13/N13-1)+(RAND()/100000000000000))</f>
        <v>4.6735678743682466E-2</v>
      </c>
      <c r="AA13" s="97">
        <f t="shared" ca="1" si="0"/>
        <v>30</v>
      </c>
      <c r="AB13" s="397"/>
      <c r="AC13" s="397"/>
      <c r="AD13" s="397"/>
    </row>
    <row r="14" spans="1:30">
      <c r="B14" s="274">
        <v>10057</v>
      </c>
      <c r="C14" s="275" t="s">
        <v>17</v>
      </c>
      <c r="D14" s="407">
        <f>IF(Init!$R$9="Yes",'Staging Table'!F16,'Staging Table'!BH16)*Rates_previous!$E$75*100*12</f>
        <v>7395267.2270399993</v>
      </c>
      <c r="E14" s="407">
        <f>IF(Init!$R$9="Yes",'Staging Table'!F16,'Staging Table'!BH16)*Rates_previous!$E$76*100*12</f>
        <v>-1099384.2182399998</v>
      </c>
      <c r="F14" s="408"/>
      <c r="G14" s="408">
        <f>IF(Init!$R$9="Yes",SUMPRODUCT('Staging Table'!AJ16:AU16,LS_Demand_Rates_Restatement!$C$10:$N$10),SUMPRODUCT(LS_Demand_Rates_Restatement!$C$10:$N$10,'Staging Table'!CL16:CW16))*1000</f>
        <v>388885.0192866096</v>
      </c>
      <c r="H14" s="409"/>
      <c r="I14" s="409">
        <f>IF(Init!$R$9="Yes",IF('Staging Table'!D16=1,'Staging Table'!H16*-1*('Staging Table'!F16/'Staging Table'!E16),'Staging Table'!H16*SUM(D14:H14)*(-1)),IF('Staging Table'!D16=1,'Staging Table'!BJ16*-1*('Staging Table'!BH16/'Staging Table'!BG16),'Staging Table'!BJ16*SUM(D14:H14)*(-1)))</f>
        <v>0</v>
      </c>
      <c r="J14" s="407">
        <f>IF(Init!$R$9="Yes",'Staging Table'!K16,'Staging Table'!BM16)*(-1)*Rates_previous!$H$32</f>
        <v>0</v>
      </c>
      <c r="K14" s="407">
        <f>IF(Init!$R$12="No",0,'Staging Table'!$AW16)</f>
        <v>0</v>
      </c>
      <c r="L14" s="407">
        <f>IF('Staging Table'!C16=1,"",SUM(D14:J14)-K14)</f>
        <v>6684768.0280866092</v>
      </c>
      <c r="M14" s="407">
        <f>IF('Staging Table'!C16=1,"",IF(Init!$R$9="Yes",(RT1SC!$C$3*'Staging Table'!F16*'Staging Table'!$F$2),X14))</f>
        <v>183257.64712886399</v>
      </c>
      <c r="N14" s="169">
        <f>IF('Staging Table'!C16=1,"",IF(M14=0, 0, L14/M14))</f>
        <v>36.477430179958503</v>
      </c>
      <c r="O14" s="407">
        <f>'Staging Table'!BH16*Rates_current!$E$75*100*12</f>
        <v>7605241.95744</v>
      </c>
      <c r="P14" s="407">
        <f>'Staging Table'!BH16*Rates_current!$E$76*100*12</f>
        <v>-1069742.8240799999</v>
      </c>
      <c r="Q14" s="408"/>
      <c r="R14" s="408">
        <f>SUMPRODUCT('Staging Table'!CL16:CW16, LS_Demand_Rates_Restatement!$C$11:$N$11)*1000</f>
        <v>366095.36841774383</v>
      </c>
      <c r="S14" s="409"/>
      <c r="T14" s="409">
        <f>IF('Staging Table'!D16=1, 'Staging Table'!BJ16*-1*('Staging Table'!BH16/'Staging Table'!BG16),SUM(O14:S14)*'Staging Table'!BJ16*-1)</f>
        <v>0</v>
      </c>
      <c r="U14" s="407">
        <f>'Staging Table'!BM16*Rates_current!$H$32*-1</f>
        <v>0</v>
      </c>
      <c r="V14" s="407">
        <f>IF(Init!$R$12="No",0,'Staging Table'!$CY16)</f>
        <v>0</v>
      </c>
      <c r="W14" s="407">
        <f>IF('Staging Table'!C16=1,"",SUM(O14:U14)-V14)</f>
        <v>6901594.5017777439</v>
      </c>
      <c r="X14" s="407">
        <f>IF('Staging Table'!C16=1,"",(RT1SC!$C$4*'Staging Table'!BH16*'Staging Table'!$BH$2))</f>
        <v>181604.08380069601</v>
      </c>
      <c r="Y14" s="169">
        <f>IF('Staging Table'!C16=1,"",IF(X14=0, 0, W14/X14))</f>
        <v>38.003520390829962</v>
      </c>
      <c r="Z14" s="160">
        <f ca="1">IF('Staging Table'!C16=1,"",(Y14/N14-1)+(RAND()/100000000000000))</f>
        <v>4.183656039756322E-2</v>
      </c>
      <c r="AA14" s="97">
        <f t="shared" ca="1" si="0"/>
        <v>82</v>
      </c>
      <c r="AB14" s="397"/>
      <c r="AC14" s="397"/>
      <c r="AD14" s="397"/>
    </row>
    <row r="15" spans="1:30">
      <c r="B15" s="274">
        <v>10059</v>
      </c>
      <c r="C15" s="275" t="s">
        <v>18</v>
      </c>
      <c r="D15" s="407">
        <f>IF(Init!$R$9="Yes",'Staging Table'!F17,'Staging Table'!BH17)*Rates_previous!$E$75*100*12</f>
        <v>2678049.1407599999</v>
      </c>
      <c r="E15" s="407">
        <f>IF(Init!$R$9="Yes",'Staging Table'!F17,'Staging Table'!BH17)*Rates_previous!$E$76*100*12</f>
        <v>-398120.15856000001</v>
      </c>
      <c r="F15" s="408"/>
      <c r="G15" s="408">
        <f>IF(Init!$R$9="Yes",SUMPRODUCT('Staging Table'!AJ17:AU17,LS_Demand_Rates_Restatement!$C$10:$N$10),SUMPRODUCT(LS_Demand_Rates_Restatement!$C$10:$N$10,'Staging Table'!CL17:CW17))*1000</f>
        <v>136654.64149833508</v>
      </c>
      <c r="H15" s="409"/>
      <c r="I15" s="409">
        <f>IF(Init!$R$9="Yes",IF('Staging Table'!D17=1,'Staging Table'!H17*-1*('Staging Table'!F17/'Staging Table'!E17),'Staging Table'!H17*SUM(D15:H15)*(-1)),IF('Staging Table'!D17=1,'Staging Table'!BJ17*-1*('Staging Table'!BH17/'Staging Table'!BG17),'Staging Table'!BJ17*SUM(D15:H15)*(-1)))</f>
        <v>0</v>
      </c>
      <c r="J15" s="407">
        <f>IF(Init!$R$9="Yes",'Staging Table'!K17,'Staging Table'!BM17)*(-1)*Rates_previous!$H$32</f>
        <v>0</v>
      </c>
      <c r="K15" s="407">
        <f>IF(Init!$R$12="No",0,'Staging Table'!$AW17)</f>
        <v>0</v>
      </c>
      <c r="L15" s="407">
        <f>IF('Staging Table'!C17=1,"",SUM(D15:J15)-K15)</f>
        <v>2416583.6236983351</v>
      </c>
      <c r="M15" s="407">
        <f>IF('Staging Table'!C17=1,"",IF(Init!$R$9="Yes",(RT1SC!$C$3*'Staging Table'!F17*'Staging Table'!$F$2),X15))</f>
        <v>66363.117026616004</v>
      </c>
      <c r="N15" s="169">
        <f>IF('Staging Table'!C17=1,"",IF(M15=0, 0, L15/M15))</f>
        <v>36.414558748485625</v>
      </c>
      <c r="O15" s="407">
        <f>'Staging Table'!BH17*Rates_current!$E$75*100*12</f>
        <v>2738814.48</v>
      </c>
      <c r="P15" s="407">
        <f>'Staging Table'!BH17*Rates_current!$E$76*100*12</f>
        <v>-385237.86</v>
      </c>
      <c r="Q15" s="408"/>
      <c r="R15" s="408">
        <f>SUMPRODUCT('Staging Table'!CL17:CW17, LS_Demand_Rates_Restatement!$C$11:$N$11)*1000</f>
        <v>134987.69292956727</v>
      </c>
      <c r="S15" s="409"/>
      <c r="T15" s="409">
        <f>IF('Staging Table'!D17=1, 'Staging Table'!BJ17*-1*('Staging Table'!BH17/'Staging Table'!BG17),SUM(O15:S15)*'Staging Table'!BJ17*-1)</f>
        <v>0</v>
      </c>
      <c r="U15" s="407">
        <f>'Staging Table'!BM17*Rates_current!$H$32*-1</f>
        <v>0</v>
      </c>
      <c r="V15" s="407">
        <f>IF(Init!$R$12="No",0,'Staging Table'!$CY17)</f>
        <v>0</v>
      </c>
      <c r="W15" s="407">
        <f>IF('Staging Table'!C17=1,"",SUM(O15:U15)-V15)</f>
        <v>2488564.3129295674</v>
      </c>
      <c r="X15" s="407">
        <f>IF('Staging Table'!C17=1,"",(RT1SC!$C$4*'Staging Table'!BH17*'Staging Table'!$BH$2))</f>
        <v>65399.614781999997</v>
      </c>
      <c r="Y15" s="169">
        <f>IF('Staging Table'!C17=1,"",IF(X15=0, 0, W15/X15))</f>
        <v>38.051666225020298</v>
      </c>
      <c r="Z15" s="160">
        <f ca="1">IF('Staging Table'!C17=1,"",(Y15/N15-1)+(RAND()/100000000000000))</f>
        <v>4.4957498670859235E-2</v>
      </c>
      <c r="AA15" s="97">
        <f t="shared" ca="1" si="0"/>
        <v>43</v>
      </c>
      <c r="AB15" s="397"/>
      <c r="AC15" s="397"/>
      <c r="AD15" s="397"/>
    </row>
    <row r="16" spans="1:30">
      <c r="B16" s="274">
        <v>10061</v>
      </c>
      <c r="C16" s="275" t="s">
        <v>19</v>
      </c>
      <c r="D16" s="407">
        <f>IF(Init!$R$9="Yes",'Staging Table'!F18,'Staging Table'!BH18)*Rates_previous!$E$75*100*12</f>
        <v>3070139.89212</v>
      </c>
      <c r="E16" s="407">
        <f>IF(Init!$R$9="Yes",'Staging Table'!F18,'Staging Table'!BH18)*Rates_previous!$E$76*100*12</f>
        <v>-456408.57071999996</v>
      </c>
      <c r="F16" s="408"/>
      <c r="G16" s="408">
        <f>IF(Init!$R$9="Yes",SUMPRODUCT('Staging Table'!AJ18:AU18,LS_Demand_Rates_Restatement!$C$10:$N$10),SUMPRODUCT(LS_Demand_Rates_Restatement!$C$10:$N$10,'Staging Table'!CL18:CW18))*1000</f>
        <v>128169.57441235751</v>
      </c>
      <c r="H16" s="409"/>
      <c r="I16" s="409">
        <f>IF(Init!$R$9="Yes",IF('Staging Table'!D18=1,'Staging Table'!H18*-1*('Staging Table'!F18/'Staging Table'!E18),'Staging Table'!H18*SUM(D16:H16)*(-1)),IF('Staging Table'!D18=1,'Staging Table'!BJ18*-1*('Staging Table'!BH18/'Staging Table'!BG18),'Staging Table'!BJ18*SUM(D16:H16)*(-1)))</f>
        <v>0</v>
      </c>
      <c r="J16" s="407">
        <f>IF(Init!$R$9="Yes",'Staging Table'!K18,'Staging Table'!BM18)*(-1)*Rates_previous!$H$32</f>
        <v>0</v>
      </c>
      <c r="K16" s="407">
        <f>IF(Init!$R$12="No",0,'Staging Table'!$AW18)</f>
        <v>0</v>
      </c>
      <c r="L16" s="407">
        <f>IF('Staging Table'!C18=1,"",SUM(D16:J16)-K16)</f>
        <v>2741900.8958123573</v>
      </c>
      <c r="M16" s="407">
        <f>IF('Staging Table'!C18=1,"",IF(Init!$R$9="Yes",(RT1SC!$C$3*'Staging Table'!F18*'Staging Table'!$F$2),X16))</f>
        <v>76079.280939191987</v>
      </c>
      <c r="N16" s="169">
        <f>IF('Staging Table'!C18=1,"",IF(M16=0, 0, L16/M16))</f>
        <v>36.040047460541601</v>
      </c>
      <c r="O16" s="407">
        <f>'Staging Table'!BH18*Rates_current!$E$75*100*12</f>
        <v>3157152.4684800003</v>
      </c>
      <c r="P16" s="407">
        <f>'Staging Table'!BH18*Rates_current!$E$76*100*12</f>
        <v>-444080.70335999998</v>
      </c>
      <c r="Q16" s="408"/>
      <c r="R16" s="408">
        <f>SUMPRODUCT('Staging Table'!CL18:CW18, LS_Demand_Rates_Restatement!$C$11:$N$11)*1000</f>
        <v>121056.89934783652</v>
      </c>
      <c r="S16" s="409"/>
      <c r="T16" s="409">
        <f>IF('Staging Table'!D18=1, 'Staging Table'!BJ18*-1*('Staging Table'!BH18/'Staging Table'!BG18),SUM(O16:S16)*'Staging Table'!BJ18*-1)</f>
        <v>0</v>
      </c>
      <c r="U16" s="407">
        <f>'Staging Table'!BM18*Rates_current!$H$32*-1</f>
        <v>0</v>
      </c>
      <c r="V16" s="407">
        <f>IF(Init!$R$12="No",0,'Staging Table'!$CY18)</f>
        <v>0</v>
      </c>
      <c r="W16" s="407">
        <f>IF('Staging Table'!C18=1,"",SUM(O16:U16)-V16)</f>
        <v>2834128.6644678367</v>
      </c>
      <c r="X16" s="407">
        <f>IF('Staging Table'!C18=1,"",(RT1SC!$C$4*'Staging Table'!BH18*'Staging Table'!$BH$2))</f>
        <v>75389.025709631984</v>
      </c>
      <c r="Y16" s="169">
        <f>IF('Staging Table'!C18=1,"",IF(X16=0, 0, W16/X16))</f>
        <v>37.593384949472004</v>
      </c>
      <c r="Z16" s="160">
        <f ca="1">IF('Staging Table'!C18=1,"",(Y16/N16-1)+(RAND()/100000000000000))</f>
        <v>4.3100317518482714E-2</v>
      </c>
      <c r="AA16" s="97">
        <f t="shared" ca="1" si="0"/>
        <v>65</v>
      </c>
      <c r="AB16" s="397"/>
      <c r="AC16" s="397"/>
      <c r="AD16" s="397"/>
    </row>
    <row r="17" spans="2:30">
      <c r="B17" s="274">
        <v>10062</v>
      </c>
      <c r="C17" s="275" t="s">
        <v>20</v>
      </c>
      <c r="D17" s="407">
        <f>IF(Init!$R$9="Yes",'Staging Table'!F19,'Staging Table'!BH19)*Rates_previous!$E$75*100*12</f>
        <v>1867381.70976</v>
      </c>
      <c r="E17" s="407">
        <f>IF(Init!$R$9="Yes",'Staging Table'!F19,'Staging Table'!BH19)*Rates_previous!$E$76*100*12</f>
        <v>-277605.92255999998</v>
      </c>
      <c r="F17" s="408"/>
      <c r="G17" s="408">
        <f>IF(Init!$R$9="Yes",SUMPRODUCT('Staging Table'!AJ19:AU19,LS_Demand_Rates_Restatement!$C$10:$N$10),SUMPRODUCT(LS_Demand_Rates_Restatement!$C$10:$N$10,'Staging Table'!CL19:CW19))*1000</f>
        <v>138549.79958681445</v>
      </c>
      <c r="H17" s="409"/>
      <c r="I17" s="409">
        <f>IF(Init!$R$9="Yes",IF('Staging Table'!D19=1,'Staging Table'!H19*-1*('Staging Table'!F19/'Staging Table'!E19),'Staging Table'!H19*SUM(D17:H17)*(-1)),IF('Staging Table'!D19=1,'Staging Table'!BJ19*-1*('Staging Table'!BH19/'Staging Table'!BG19),'Staging Table'!BJ19*SUM(D17:H17)*(-1)))</f>
        <v>0</v>
      </c>
      <c r="J17" s="407">
        <f>IF(Init!$R$9="Yes",'Staging Table'!K19,'Staging Table'!BM19)*(-1)*Rates_previous!$H$32</f>
        <v>0</v>
      </c>
      <c r="K17" s="407">
        <f>IF(Init!$R$12="No",0,'Staging Table'!$AW19)</f>
        <v>0</v>
      </c>
      <c r="L17" s="407">
        <f>IF('Staging Table'!C19=1,"",SUM(D17:J17)-K17)</f>
        <v>1728325.5867868145</v>
      </c>
      <c r="M17" s="407">
        <f>IF('Staging Table'!C19=1,"",IF(Init!$R$9="Yes",(RT1SC!$C$3*'Staging Table'!F19*'Staging Table'!$F$2),X17))</f>
        <v>46274.457422015999</v>
      </c>
      <c r="N17" s="169">
        <f>IF('Staging Table'!C19=1,"",IF(M17=0, 0, L17/M17))</f>
        <v>37.349451145904283</v>
      </c>
      <c r="O17" s="407">
        <f>'Staging Table'!BH19*Rates_current!$E$75*100*12</f>
        <v>1920227.4172800002</v>
      </c>
      <c r="P17" s="407">
        <f>'Staging Table'!BH19*Rates_current!$E$76*100*12</f>
        <v>-270096.53496000002</v>
      </c>
      <c r="Q17" s="408"/>
      <c r="R17" s="408">
        <f>SUMPRODUCT('Staging Table'!CL19:CW19, LS_Demand_Rates_Restatement!$C$11:$N$11)*1000</f>
        <v>131803.750495958</v>
      </c>
      <c r="S17" s="409"/>
      <c r="T17" s="409">
        <f>IF('Staging Table'!D19=1, 'Staging Table'!BJ19*-1*('Staging Table'!BH19/'Staging Table'!BG19),SUM(O17:S17)*'Staging Table'!BJ19*-1)</f>
        <v>0</v>
      </c>
      <c r="U17" s="407">
        <f>'Staging Table'!BM19*Rates_current!$H$32*-1</f>
        <v>0</v>
      </c>
      <c r="V17" s="407">
        <f>IF(Init!$R$12="No",0,'Staging Table'!$CY19)</f>
        <v>0</v>
      </c>
      <c r="W17" s="407">
        <f>IF('Staging Table'!C19=1,"",SUM(O17:U17)-V17)</f>
        <v>1781934.632815958</v>
      </c>
      <c r="X17" s="407">
        <f>IF('Staging Table'!C19=1,"",(RT1SC!$C$4*'Staging Table'!BH19*'Staging Table'!$BH$2))</f>
        <v>45852.734568551998</v>
      </c>
      <c r="Y17" s="169">
        <f>IF('Staging Table'!C19=1,"",IF(X17=0, 0, W17/X17))</f>
        <v>38.862123482556569</v>
      </c>
      <c r="Z17" s="160">
        <f ca="1">IF('Staging Table'!C19=1,"",(Y17/N17-1)+(RAND()/100000000000000))</f>
        <v>4.05005238428639E-2</v>
      </c>
      <c r="AA17" s="97">
        <f t="shared" ca="1" si="0"/>
        <v>103</v>
      </c>
      <c r="AB17" s="397"/>
      <c r="AC17" s="397"/>
      <c r="AD17" s="397"/>
    </row>
    <row r="18" spans="2:30">
      <c r="B18" s="274">
        <v>10064</v>
      </c>
      <c r="C18" s="275" t="s">
        <v>21</v>
      </c>
      <c r="D18" s="407">
        <f>IF(Init!$R$9="Yes",'Staging Table'!F20,'Staging Table'!BH20)*Rates_previous!$E$75*100*12</f>
        <v>4874648.4637199994</v>
      </c>
      <c r="E18" s="407">
        <f>IF(Init!$R$9="Yes",'Staging Table'!F20,'Staging Table'!BH20)*Rates_previous!$E$76*100*12</f>
        <v>-724667.74031999998</v>
      </c>
      <c r="F18" s="408"/>
      <c r="G18" s="408">
        <f>IF(Init!$R$9="Yes",SUMPRODUCT('Staging Table'!AJ20:AU20,LS_Demand_Rates_Restatement!$C$10:$N$10),SUMPRODUCT(LS_Demand_Rates_Restatement!$C$10:$N$10,'Staging Table'!CL20:CW20))*1000</f>
        <v>197834.14621120013</v>
      </c>
      <c r="H18" s="409"/>
      <c r="I18" s="409">
        <f>IF(Init!$R$9="Yes",IF('Staging Table'!D20=1,'Staging Table'!H20*-1*('Staging Table'!F20/'Staging Table'!E20),'Staging Table'!H20*SUM(D18:H18)*(-1)),IF('Staging Table'!D20=1,'Staging Table'!BJ20*-1*('Staging Table'!BH20/'Staging Table'!BG20),'Staging Table'!BJ20*SUM(D18:H18)*(-1)))</f>
        <v>0</v>
      </c>
      <c r="J18" s="407">
        <f>IF(Init!$R$9="Yes",'Staging Table'!K20,'Staging Table'!BM20)*(-1)*Rates_previous!$H$32</f>
        <v>0</v>
      </c>
      <c r="K18" s="407">
        <f>IF(Init!$R$12="No",0,'Staging Table'!$AW20)</f>
        <v>0</v>
      </c>
      <c r="L18" s="407">
        <f>IF('Staging Table'!C20=1,"",SUM(D18:J18)-K18)</f>
        <v>4347814.8696111999</v>
      </c>
      <c r="M18" s="407">
        <f>IF('Staging Table'!C20=1,"",IF(Init!$R$9="Yes",(RT1SC!$C$3*'Staging Table'!F20*'Staging Table'!$F$2),X18))</f>
        <v>120795.71712775198</v>
      </c>
      <c r="N18" s="169">
        <f>IF('Staging Table'!C20=1,"",IF(M18=0, 0, L18/M18))</f>
        <v>35.993121055881538</v>
      </c>
      <c r="O18" s="407">
        <f>'Staging Table'!BH20*Rates_current!$E$75*100*12</f>
        <v>5076615.565440001</v>
      </c>
      <c r="P18" s="407">
        <f>'Staging Table'!BH20*Rates_current!$E$76*100*12</f>
        <v>-714069.73008000012</v>
      </c>
      <c r="Q18" s="408"/>
      <c r="R18" s="408">
        <f>SUMPRODUCT('Staging Table'!CL20:CW20, LS_Demand_Rates_Restatement!$C$11:$N$11)*1000</f>
        <v>183844.84561081737</v>
      </c>
      <c r="S18" s="409"/>
      <c r="T18" s="409">
        <f>IF('Staging Table'!D20=1, 'Staging Table'!BJ20*-1*('Staging Table'!BH20/'Staging Table'!BG20),SUM(O18:S18)*'Staging Table'!BJ20*-1)</f>
        <v>0</v>
      </c>
      <c r="U18" s="407">
        <f>'Staging Table'!BM20*Rates_current!$H$32*-1</f>
        <v>0</v>
      </c>
      <c r="V18" s="407">
        <f>IF(Init!$R$12="No",0,'Staging Table'!$CY20)</f>
        <v>0</v>
      </c>
      <c r="W18" s="407">
        <f>IF('Staging Table'!C20=1,"",SUM(O18:U18)-V18)</f>
        <v>4546390.6809708178</v>
      </c>
      <c r="X18" s="407">
        <f>IF('Staging Table'!C20=1,"",(RT1SC!$C$4*'Staging Table'!BH20*'Staging Table'!$BH$2))</f>
        <v>121223.50922289601</v>
      </c>
      <c r="Y18" s="169">
        <f>IF('Staging Table'!C20=1,"",IF(X18=0, 0, W18/X18))</f>
        <v>37.504199557622783</v>
      </c>
      <c r="Z18" s="160">
        <f ca="1">IF('Staging Table'!C20=1,"",(Y18/N18-1)+(RAND()/100000000000000))</f>
        <v>4.1982424902671567E-2</v>
      </c>
      <c r="AA18" s="97">
        <f t="shared" ca="1" si="0"/>
        <v>80</v>
      </c>
      <c r="AB18" s="397"/>
      <c r="AC18" s="397"/>
      <c r="AD18" s="397"/>
    </row>
    <row r="19" spans="2:30">
      <c r="B19" s="274">
        <v>10065</v>
      </c>
      <c r="C19" s="275" t="s">
        <v>22</v>
      </c>
      <c r="D19" s="407">
        <f>IF(Init!$R$9="Yes",'Staging Table'!F21,'Staging Table'!BH21)*Rates_previous!$E$75*100*12</f>
        <v>775517.88132000004</v>
      </c>
      <c r="E19" s="407">
        <f>IF(Init!$R$9="Yes",'Staging Table'!F21,'Staging Table'!BH21)*Rates_previous!$E$76*100*12</f>
        <v>-115288.88592</v>
      </c>
      <c r="F19" s="408"/>
      <c r="G19" s="408">
        <f>IF(Init!$R$9="Yes",SUMPRODUCT('Staging Table'!AJ21:AU21,LS_Demand_Rates_Restatement!$C$10:$N$10),SUMPRODUCT(LS_Demand_Rates_Restatement!$C$10:$N$10,'Staging Table'!CL21:CW21))*1000</f>
        <v>59361.636120771007</v>
      </c>
      <c r="H19" s="409"/>
      <c r="I19" s="409">
        <f>IF(Init!$R$9="Yes",IF('Staging Table'!D21=1,'Staging Table'!H21*-1*('Staging Table'!F21/'Staging Table'!E21),'Staging Table'!H21*SUM(D19:H19)*(-1)),IF('Staging Table'!D21=1,'Staging Table'!BJ21*-1*('Staging Table'!BH21/'Staging Table'!BG21),'Staging Table'!BJ21*SUM(D19:H19)*(-1)))</f>
        <v>-39577.484733642406</v>
      </c>
      <c r="J19" s="407">
        <f>IF(Init!$R$9="Yes",'Staging Table'!K21,'Staging Table'!BM21)*(-1)*Rates_previous!$H$32</f>
        <v>0</v>
      </c>
      <c r="K19" s="407">
        <f>IF(Init!$R$12="No",0,'Staging Table'!$AW21)</f>
        <v>0</v>
      </c>
      <c r="L19" s="407">
        <f>IF('Staging Table'!C21=1,"",SUM(D19:J19)-K19)</f>
        <v>680013.14678712864</v>
      </c>
      <c r="M19" s="407">
        <f>IF('Staging Table'!C21=1,"",IF(Init!$R$9="Yes",(RT1SC!$C$3*'Staging Table'!F21*'Staging Table'!$F$2),X19))</f>
        <v>19217.639859912</v>
      </c>
      <c r="N19" s="169">
        <f>IF('Staging Table'!C21=1,"",IF(M19=0, 0, L19/M19))</f>
        <v>35.384841829908375</v>
      </c>
      <c r="O19" s="407">
        <f>'Staging Table'!BH21*Rates_current!$E$75*100*12</f>
        <v>858076.94592000009</v>
      </c>
      <c r="P19" s="407">
        <f>'Staging Table'!BH21*Rates_current!$E$76*100*12</f>
        <v>-120695.91744000002</v>
      </c>
      <c r="Q19" s="408"/>
      <c r="R19" s="408">
        <f>SUMPRODUCT('Staging Table'!CL21:CW21, LS_Demand_Rates_Restatement!$C$11:$N$11)*1000</f>
        <v>57811.119748513171</v>
      </c>
      <c r="S19" s="409"/>
      <c r="T19" s="409">
        <f>IF('Staging Table'!D21=1, 'Staging Table'!BJ21*-1*('Staging Table'!BH21/'Staging Table'!BG21),SUM(O19:S19)*'Staging Table'!BJ21*-1)</f>
        <v>-48129.693212787781</v>
      </c>
      <c r="U19" s="407">
        <f>'Staging Table'!BM21*Rates_current!$H$32*-1</f>
        <v>0</v>
      </c>
      <c r="V19" s="407">
        <f>IF(Init!$R$12="No",0,'Staging Table'!$CY21)</f>
        <v>0</v>
      </c>
      <c r="W19" s="407">
        <f>IF('Staging Table'!C21=1,"",SUM(O19:U19)-V19)</f>
        <v>747062.45501572557</v>
      </c>
      <c r="X19" s="407">
        <f>IF('Staging Table'!C21=1,"",(RT1SC!$C$4*'Staging Table'!BH21*'Staging Table'!$BH$2))</f>
        <v>20489.851403327997</v>
      </c>
      <c r="Y19" s="169">
        <f>IF('Staging Table'!C21=1,"",IF(X19=0, 0, W19/X19))</f>
        <v>36.460120686594458</v>
      </c>
      <c r="Z19" s="160">
        <f ca="1">IF('Staging Table'!C21=1,"",(Y19/N19-1)+(RAND()/100000000000000))</f>
        <v>3.0388121045026213E-2</v>
      </c>
      <c r="AA19" s="97">
        <f t="shared" ca="1" si="0"/>
        <v>114</v>
      </c>
      <c r="AB19" s="397"/>
      <c r="AC19" s="397"/>
      <c r="AD19" s="397"/>
    </row>
    <row r="20" spans="2:30">
      <c r="B20" s="274">
        <v>10066</v>
      </c>
      <c r="C20" s="275" t="s">
        <v>23</v>
      </c>
      <c r="D20" s="407">
        <f>IF(Init!$R$9="Yes",'Staging Table'!F22,'Staging Table'!BH22)*Rates_previous!$E$75*100*12</f>
        <v>8554954.8344400004</v>
      </c>
      <c r="E20" s="407">
        <f>IF(Init!$R$9="Yes",'Staging Table'!F22,'Staging Table'!BH22)*Rates_previous!$E$76*100*12</f>
        <v>-1271783.9726400001</v>
      </c>
      <c r="F20" s="408"/>
      <c r="G20" s="408">
        <f>IF(Init!$R$9="Yes",SUMPRODUCT('Staging Table'!AJ22:AU22,LS_Demand_Rates_Restatement!$C$10:$N$10),SUMPRODUCT(LS_Demand_Rates_Restatement!$C$10:$N$10,'Staging Table'!CL22:CW22))*1000</f>
        <v>367692.28990768339</v>
      </c>
      <c r="H20" s="409"/>
      <c r="I20" s="409">
        <f>IF(Init!$R$9="Yes",IF('Staging Table'!D22=1,'Staging Table'!H22*-1*('Staging Table'!F22/'Staging Table'!E22),'Staging Table'!H22*SUM(D20:H20)*(-1)),IF('Staging Table'!D22=1,'Staging Table'!BJ22*-1*('Staging Table'!BH22/'Staging Table'!BG22),'Staging Table'!BJ22*SUM(D20:H20)*(-1)))</f>
        <v>0</v>
      </c>
      <c r="J20" s="407">
        <f>IF(Init!$R$9="Yes",'Staging Table'!K22,'Staging Table'!BM22)*(-1)*Rates_previous!$H$32</f>
        <v>0</v>
      </c>
      <c r="K20" s="407">
        <f>IF(Init!$R$12="No",0,'Staging Table'!$AW22)</f>
        <v>0</v>
      </c>
      <c r="L20" s="407">
        <f>IF('Staging Table'!C22=1,"",SUM(D20:J20)-K20)</f>
        <v>7650863.1517076837</v>
      </c>
      <c r="M20" s="407">
        <f>IF('Staging Table'!C22=1,"",IF(Init!$R$9="Yes",(RT1SC!$C$3*'Staging Table'!F22*'Staging Table'!$F$2),X20))</f>
        <v>211995.16476170401</v>
      </c>
      <c r="N20" s="169">
        <f>IF('Staging Table'!C22=1,"",IF(M20=0, 0, L20/M20))</f>
        <v>36.089800257037645</v>
      </c>
      <c r="O20" s="407">
        <f>'Staging Table'!BH22*Rates_current!$E$75*100*12</f>
        <v>8797072.1097600013</v>
      </c>
      <c r="P20" s="407">
        <f>'Staging Table'!BH22*Rates_current!$E$76*100*12</f>
        <v>-1237384.0063200002</v>
      </c>
      <c r="Q20" s="408"/>
      <c r="R20" s="408">
        <f>SUMPRODUCT('Staging Table'!CL22:CW22, LS_Demand_Rates_Restatement!$C$11:$N$11)*1000</f>
        <v>354685.52222031693</v>
      </c>
      <c r="S20" s="409"/>
      <c r="T20" s="409">
        <f>IF('Staging Table'!D22=1, 'Staging Table'!BJ22*-1*('Staging Table'!BH22/'Staging Table'!BG22),SUM(O20:S20)*'Staging Table'!BJ22*-1)</f>
        <v>0</v>
      </c>
      <c r="U20" s="407">
        <f>'Staging Table'!BM22*Rates_current!$H$32*-1</f>
        <v>0</v>
      </c>
      <c r="V20" s="407">
        <f>IF(Init!$R$12="No",0,'Staging Table'!$CY22)</f>
        <v>0</v>
      </c>
      <c r="W20" s="407">
        <f>IF('Staging Table'!C22=1,"",SUM(O20:U20)-V20)</f>
        <v>7914373.6256603189</v>
      </c>
      <c r="X20" s="407">
        <f>IF('Staging Table'!C22=1,"",(RT1SC!$C$4*'Staging Table'!BH22*'Staging Table'!$BH$2))</f>
        <v>210063.56267978399</v>
      </c>
      <c r="Y20" s="169">
        <f>IF('Staging Table'!C22=1,"",IF(X20=0, 0, W20/X20))</f>
        <v>37.676089678269456</v>
      </c>
      <c r="Z20" s="160">
        <f ca="1">IF('Staging Table'!C22=1,"",(Y20/N20-1)+(RAND()/100000000000000))</f>
        <v>4.3953954023971453E-2</v>
      </c>
      <c r="AA20" s="97">
        <f t="shared" ca="1" si="0"/>
        <v>57</v>
      </c>
      <c r="AB20" s="397"/>
      <c r="AC20" s="397"/>
      <c r="AD20" s="397"/>
    </row>
    <row r="21" spans="2:30">
      <c r="B21" s="274">
        <v>10067</v>
      </c>
      <c r="C21" s="275" t="s">
        <v>24</v>
      </c>
      <c r="D21" s="407">
        <f>IF(Init!$R$9="Yes",'Staging Table'!F23,'Staging Table'!BH23)*Rates_previous!$E$75*100*12</f>
        <v>5552143.6572000012</v>
      </c>
      <c r="E21" s="407">
        <f>IF(Init!$R$9="Yes",'Staging Table'!F23,'Staging Table'!BH23)*Rates_previous!$E$76*100*12</f>
        <v>-825384.52320000005</v>
      </c>
      <c r="F21" s="408"/>
      <c r="G21" s="408">
        <f>IF(Init!$R$9="Yes",SUMPRODUCT('Staging Table'!AJ23:AU23,LS_Demand_Rates_Restatement!$C$10:$N$10),SUMPRODUCT(LS_Demand_Rates_Restatement!$C$10:$N$10,'Staging Table'!CL23:CW23))*1000</f>
        <v>410397.42966660438</v>
      </c>
      <c r="H21" s="409"/>
      <c r="I21" s="409">
        <f>IF(Init!$R$9="Yes",IF('Staging Table'!D23=1,'Staging Table'!H23*-1*('Staging Table'!F23/'Staging Table'!E23),'Staging Table'!H23*SUM(D21:H21)*(-1)),IF('Staging Table'!D23=1,'Staging Table'!BJ23*-1*('Staging Table'!BH23/'Staging Table'!BG23),'Staging Table'!BJ23*SUM(D21:H21)*(-1)))</f>
        <v>0</v>
      </c>
      <c r="J21" s="407">
        <f>IF(Init!$R$9="Yes",'Staging Table'!K23,'Staging Table'!BM23)*(-1)*Rates_previous!$H$32</f>
        <v>0</v>
      </c>
      <c r="K21" s="407">
        <f>IF(Init!$R$12="No",0,'Staging Table'!$AW23)</f>
        <v>0</v>
      </c>
      <c r="L21" s="407">
        <f>IF('Staging Table'!C23=1,"",SUM(D21:J21)-K21)</f>
        <v>5137156.5636666063</v>
      </c>
      <c r="M21" s="407">
        <f>IF('Staging Table'!C23=1,"",IF(Init!$R$9="Yes",(RT1SC!$C$3*'Staging Table'!F23*'Staging Table'!$F$2),X21))</f>
        <v>137584.31600952</v>
      </c>
      <c r="N21" s="169">
        <f>IF('Staging Table'!C23=1,"",IF(M21=0, 0, L21/M21))</f>
        <v>37.338242560374006</v>
      </c>
      <c r="O21" s="407">
        <f>'Staging Table'!BH23*Rates_current!$E$75*100*12</f>
        <v>5709218.0169600006</v>
      </c>
      <c r="P21" s="407">
        <f>'Staging Table'!BH23*Rates_current!$E$76*100*12</f>
        <v>-803050.71672000003</v>
      </c>
      <c r="Q21" s="408"/>
      <c r="R21" s="408">
        <f>SUMPRODUCT('Staging Table'!CL23:CW23, LS_Demand_Rates_Restatement!$C$11:$N$11)*1000</f>
        <v>391210.62890056096</v>
      </c>
      <c r="S21" s="409"/>
      <c r="T21" s="409">
        <f>IF('Staging Table'!D23=1, 'Staging Table'!BJ23*-1*('Staging Table'!BH23/'Staging Table'!BG23),SUM(O21:S21)*'Staging Table'!BJ23*-1)</f>
        <v>0</v>
      </c>
      <c r="U21" s="407">
        <f>'Staging Table'!BM23*Rates_current!$H$32*-1</f>
        <v>0</v>
      </c>
      <c r="V21" s="407">
        <f>IF(Init!$R$12="No",0,'Staging Table'!$CY23)</f>
        <v>0</v>
      </c>
      <c r="W21" s="407">
        <f>IF('Staging Table'!C23=1,"",SUM(O21:U21)-V21)</f>
        <v>5297377.9291405613</v>
      </c>
      <c r="X21" s="407">
        <f>IF('Staging Table'!C23=1,"",(RT1SC!$C$4*'Staging Table'!BH23*'Staging Table'!$BH$2))</f>
        <v>136329.29931626399</v>
      </c>
      <c r="Y21" s="169">
        <f>IF('Staging Table'!C23=1,"",IF(X21=0, 0, W21/X21))</f>
        <v>38.857222590511675</v>
      </c>
      <c r="Z21" s="160">
        <f ca="1">IF('Staging Table'!C23=1,"",(Y21/N21-1)+(RAND()/100000000000000))</f>
        <v>4.0681615576358784E-2</v>
      </c>
      <c r="AA21" s="97">
        <f t="shared" ca="1" si="0"/>
        <v>100</v>
      </c>
      <c r="AB21" s="397"/>
      <c r="AC21" s="397"/>
      <c r="AD21" s="397"/>
    </row>
    <row r="22" spans="2:30">
      <c r="B22" s="274">
        <v>10068</v>
      </c>
      <c r="C22" s="275" t="s">
        <v>25</v>
      </c>
      <c r="D22" s="407">
        <f>IF(Init!$R$9="Yes",'Staging Table'!F24,'Staging Table'!BH24)*Rates_previous!$E$75*100*12</f>
        <v>923789.5732799999</v>
      </c>
      <c r="E22" s="407">
        <f>IF(Init!$R$9="Yes",'Staging Table'!F24,'Staging Table'!BH24)*Rates_previous!$E$76*100*12</f>
        <v>-137331.03168000001</v>
      </c>
      <c r="F22" s="408"/>
      <c r="G22" s="408">
        <f>IF(Init!$R$9="Yes",SUMPRODUCT('Staging Table'!AJ24:AU24,LS_Demand_Rates_Restatement!$C$10:$N$10),SUMPRODUCT(LS_Demand_Rates_Restatement!$C$10:$N$10,'Staging Table'!CL24:CW24))*1000</f>
        <v>38277.985563479357</v>
      </c>
      <c r="H22" s="409"/>
      <c r="I22" s="409">
        <f>IF(Init!$R$9="Yes",IF('Staging Table'!D24=1,'Staging Table'!H24*-1*('Staging Table'!F24/'Staging Table'!E24),'Staging Table'!H24*SUM(D22:H22)*(-1)),IF('Staging Table'!D24=1,'Staging Table'!BJ24*-1*('Staging Table'!BH24/'Staging Table'!BG24),'Staging Table'!BJ24*SUM(D22:H22)*(-1)))</f>
        <v>0</v>
      </c>
      <c r="J22" s="407">
        <f>IF(Init!$R$9="Yes",'Staging Table'!K24,'Staging Table'!BM24)*(-1)*Rates_previous!$H$32</f>
        <v>0</v>
      </c>
      <c r="K22" s="407">
        <f>IF(Init!$R$12="No",0,'Staging Table'!$AW24)</f>
        <v>0</v>
      </c>
      <c r="L22" s="407">
        <f>IF('Staging Table'!C24=1,"",SUM(D22:J22)-K22)</f>
        <v>824736.52716347924</v>
      </c>
      <c r="M22" s="407">
        <f>IF('Staging Table'!C24=1,"",IF(Init!$R$9="Yes",(RT1SC!$C$3*'Staging Table'!F24*'Staging Table'!$F$2),X22))</f>
        <v>22891.871036447999</v>
      </c>
      <c r="N22" s="169">
        <f>IF('Staging Table'!C24=1,"",IF(M22=0, 0, L22/M22))</f>
        <v>36.027484422323958</v>
      </c>
      <c r="O22" s="407">
        <f>'Staging Table'!BH24*Rates_current!$E$75*100*12</f>
        <v>966610.43136000016</v>
      </c>
      <c r="P22" s="407">
        <f>'Staging Table'!BH24*Rates_current!$E$76*100*12</f>
        <v>-135962.08752</v>
      </c>
      <c r="Q22" s="408"/>
      <c r="R22" s="408">
        <f>SUMPRODUCT('Staging Table'!CL24:CW24, LS_Demand_Rates_Restatement!$C$11:$N$11)*1000</f>
        <v>37411.406326700489</v>
      </c>
      <c r="S22" s="409"/>
      <c r="T22" s="409">
        <f>IF('Staging Table'!D24=1, 'Staging Table'!BJ24*-1*('Staging Table'!BH24/'Staging Table'!BG24),SUM(O22:S22)*'Staging Table'!BJ24*-1)</f>
        <v>0</v>
      </c>
      <c r="U22" s="407">
        <f>'Staging Table'!BM24*Rates_current!$H$32*-1</f>
        <v>0</v>
      </c>
      <c r="V22" s="407">
        <f>IF(Init!$R$12="No",0,'Staging Table'!$CY24)</f>
        <v>0</v>
      </c>
      <c r="W22" s="407">
        <f>IF('Staging Table'!C24=1,"",SUM(O22:U22)-V22)</f>
        <v>868059.75016670069</v>
      </c>
      <c r="X22" s="407">
        <f>IF('Staging Table'!C24=1,"",(RT1SC!$C$4*'Staging Table'!BH24*'Staging Table'!$BH$2))</f>
        <v>23081.501254223997</v>
      </c>
      <c r="Y22" s="169">
        <f>IF('Staging Table'!C24=1,"",IF(X22=0, 0, W22/X22))</f>
        <v>37.6084614516936</v>
      </c>
      <c r="Z22" s="160">
        <f ca="1">IF('Staging Table'!C24=1,"",(Y22/N22-1)+(RAND()/100000000000000))</f>
        <v>4.3882526207966309E-2</v>
      </c>
      <c r="AA22" s="97">
        <f t="shared" ca="1" si="0"/>
        <v>59</v>
      </c>
      <c r="AB22" s="397"/>
      <c r="AC22" s="397"/>
      <c r="AD22" s="397"/>
    </row>
    <row r="23" spans="2:30">
      <c r="B23" s="274">
        <v>10070</v>
      </c>
      <c r="C23" s="275" t="s">
        <v>26</v>
      </c>
      <c r="D23" s="407">
        <f>IF(Init!$R$9="Yes",'Staging Table'!F25,'Staging Table'!BH25)*Rates_previous!$E$75*100*12</f>
        <v>125746.27632</v>
      </c>
      <c r="E23" s="407">
        <f>IF(Init!$R$9="Yes",'Staging Table'!F25,'Staging Table'!BH25)*Rates_previous!$E$76*100*12</f>
        <v>-18693.50592</v>
      </c>
      <c r="F23" s="408"/>
      <c r="G23" s="408">
        <f>IF(Init!$R$9="Yes",SUMPRODUCT('Staging Table'!AJ25:AU25,LS_Demand_Rates_Restatement!$C$10:$N$10),SUMPRODUCT(LS_Demand_Rates_Restatement!$C$10:$N$10,'Staging Table'!CL25:CW25))*1000</f>
        <v>7265.3339423254965</v>
      </c>
      <c r="H23" s="409"/>
      <c r="I23" s="409">
        <f>IF(Init!$R$9="Yes",IF('Staging Table'!D25=1,'Staging Table'!H25*-1*('Staging Table'!F25/'Staging Table'!E25),'Staging Table'!H25*SUM(D23:H23)*(-1)),IF('Staging Table'!D25=1,'Staging Table'!BJ25*-1*('Staging Table'!BH25/'Staging Table'!BG25),'Staging Table'!BJ25*SUM(D23:H23)*(-1)))</f>
        <v>0</v>
      </c>
      <c r="J23" s="407">
        <f>IF(Init!$R$9="Yes",'Staging Table'!K25,'Staging Table'!BM25)*(-1)*Rates_previous!$H$32</f>
        <v>0</v>
      </c>
      <c r="K23" s="407">
        <f>IF(Init!$R$12="No",0,'Staging Table'!$AW25)</f>
        <v>0</v>
      </c>
      <c r="L23" s="407">
        <f>IF('Staging Table'!C25=1,"",SUM(D23:J23)-K23)</f>
        <v>114318.1043423255</v>
      </c>
      <c r="M23" s="407">
        <f>IF('Staging Table'!C25=1,"",IF(Init!$R$9="Yes",(RT1SC!$C$3*'Staging Table'!F25*'Staging Table'!$F$2),X23))</f>
        <v>3116.0424669120002</v>
      </c>
      <c r="N23" s="169">
        <f>IF('Staging Table'!C25=1,"",IF(M23=0, 0, L23/M23))</f>
        <v>36.686953260818299</v>
      </c>
      <c r="O23" s="407">
        <f>'Staging Table'!BH25*Rates_current!$E$75*100*12</f>
        <v>129424.90752000001</v>
      </c>
      <c r="P23" s="407">
        <f>'Staging Table'!BH25*Rates_current!$E$76*100*12</f>
        <v>-18204.728640000001</v>
      </c>
      <c r="Q23" s="408"/>
      <c r="R23" s="408">
        <f>SUMPRODUCT('Staging Table'!CL25:CW25, LS_Demand_Rates_Restatement!$C$11:$N$11)*1000</f>
        <v>7098.1157498575467</v>
      </c>
      <c r="S23" s="409"/>
      <c r="T23" s="409">
        <f>IF('Staging Table'!D25=1, 'Staging Table'!BJ25*-1*('Staging Table'!BH25/'Staging Table'!BG25),SUM(O23:S23)*'Staging Table'!BJ25*-1)</f>
        <v>0</v>
      </c>
      <c r="U23" s="407">
        <f>'Staging Table'!BM25*Rates_current!$H$32*-1</f>
        <v>0</v>
      </c>
      <c r="V23" s="407">
        <f>IF(Init!$R$12="No",0,'Staging Table'!$CY25)</f>
        <v>0</v>
      </c>
      <c r="W23" s="407">
        <f>IF('Staging Table'!C25=1,"",SUM(O23:U23)-V23)</f>
        <v>118318.29462985756</v>
      </c>
      <c r="X23" s="407">
        <f>IF('Staging Table'!C25=1,"",(RT1SC!$C$4*'Staging Table'!BH25*'Staging Table'!$BH$2))</f>
        <v>3090.5120287679997</v>
      </c>
      <c r="Y23" s="169">
        <f>IF('Staging Table'!C25=1,"",IF(X23=0, 0, W23/X23))</f>
        <v>38.284366321338638</v>
      </c>
      <c r="Z23" s="160">
        <f ca="1">IF('Staging Table'!C25=1,"",(Y23/N23-1)+(RAND()/100000000000000))</f>
        <v>4.3541720381195609E-2</v>
      </c>
      <c r="AA23" s="97">
        <f t="shared" ca="1" si="0"/>
        <v>63</v>
      </c>
      <c r="AB23" s="397"/>
      <c r="AC23" s="397"/>
      <c r="AD23" s="397"/>
    </row>
    <row r="24" spans="2:30">
      <c r="B24" s="274">
        <v>10071</v>
      </c>
      <c r="C24" s="275" t="s">
        <v>27</v>
      </c>
      <c r="D24" s="407">
        <f>IF(Init!$R$9="Yes",'Staging Table'!F26,'Staging Table'!BH26)*Rates_previous!$E$75*100*12</f>
        <v>672049.48860000004</v>
      </c>
      <c r="E24" s="407">
        <f>IF(Init!$R$9="Yes",'Staging Table'!F26,'Staging Table'!BH26)*Rates_previous!$E$76*100*12</f>
        <v>-99907.221600000004</v>
      </c>
      <c r="F24" s="408"/>
      <c r="G24" s="408">
        <f>IF(Init!$R$9="Yes",SUMPRODUCT('Staging Table'!AJ26:AU26,LS_Demand_Rates_Restatement!$C$10:$N$10),SUMPRODUCT(LS_Demand_Rates_Restatement!$C$10:$N$10,'Staging Table'!CL26:CW26))*1000</f>
        <v>26459.907901210827</v>
      </c>
      <c r="H24" s="409"/>
      <c r="I24" s="409">
        <f>IF(Init!$R$9="Yes",IF('Staging Table'!D26=1,'Staging Table'!H26*-1*('Staging Table'!F26/'Staging Table'!E26),'Staging Table'!H26*SUM(D24:H24)*(-1)),IF('Staging Table'!D26=1,'Staging Table'!BJ26*-1*('Staging Table'!BH26/'Staging Table'!BG26),'Staging Table'!BJ26*SUM(D24:H24)*(-1)))</f>
        <v>0</v>
      </c>
      <c r="J24" s="407">
        <f>IF(Init!$R$9="Yes",'Staging Table'!K26,'Staging Table'!BM26)*(-1)*Rates_previous!$H$32</f>
        <v>0</v>
      </c>
      <c r="K24" s="407">
        <f>IF(Init!$R$12="No",0,'Staging Table'!$AW26)</f>
        <v>0</v>
      </c>
      <c r="L24" s="407">
        <f>IF('Staging Table'!C26=1,"",SUM(D24:J24)-K24)</f>
        <v>598602.17490121082</v>
      </c>
      <c r="M24" s="407">
        <f>IF('Staging Table'!C26=1,"",IF(Init!$R$9="Yes",(RT1SC!$C$3*'Staging Table'!F26*'Staging Table'!$F$2),X24))</f>
        <v>16653.652160759997</v>
      </c>
      <c r="N24" s="169">
        <f>IF('Staging Table'!C26=1,"",IF(M24=0, 0, L24/M24))</f>
        <v>35.944198252901025</v>
      </c>
      <c r="O24" s="407">
        <f>'Staging Table'!BH26*Rates_current!$E$75*100*12</f>
        <v>684831.00671999983</v>
      </c>
      <c r="P24" s="407">
        <f>'Staging Table'!BH26*Rates_current!$E$76*100*12</f>
        <v>-96327.383039999986</v>
      </c>
      <c r="Q24" s="408"/>
      <c r="R24" s="408">
        <f>SUMPRODUCT('Staging Table'!CL26:CW26, LS_Demand_Rates_Restatement!$C$11:$N$11)*1000</f>
        <v>23833.213248949429</v>
      </c>
      <c r="S24" s="409"/>
      <c r="T24" s="409">
        <f>IF('Staging Table'!D26=1, 'Staging Table'!BJ26*-1*('Staging Table'!BH26/'Staging Table'!BG26),SUM(O24:S24)*'Staging Table'!BJ26*-1)</f>
        <v>0</v>
      </c>
      <c r="U24" s="407">
        <f>'Staging Table'!BM26*Rates_current!$H$32*-1</f>
        <v>0</v>
      </c>
      <c r="V24" s="407">
        <f>IF(Init!$R$12="No",0,'Staging Table'!$CY26)</f>
        <v>0</v>
      </c>
      <c r="W24" s="407">
        <f>IF('Staging Table'!C26=1,"",SUM(O24:U24)-V24)</f>
        <v>612336.83692894923</v>
      </c>
      <c r="X24" s="407">
        <f>IF('Staging Table'!C26=1,"",(RT1SC!$C$4*'Staging Table'!BH26*'Staging Table'!$BH$2))</f>
        <v>16352.945538047998</v>
      </c>
      <c r="Y24" s="169">
        <f>IF('Staging Table'!C26=1,"",IF(X24=0, 0, W24/X24))</f>
        <v>37.445048386190741</v>
      </c>
      <c r="Z24" s="160">
        <f ca="1">IF('Staging Table'!C26=1,"",(Y24/N24-1)+(RAND()/100000000000000))</f>
        <v>4.1755003762504031E-2</v>
      </c>
      <c r="AA24" s="97">
        <f t="shared" ca="1" si="0"/>
        <v>83</v>
      </c>
      <c r="AB24" s="397"/>
      <c r="AC24" s="397"/>
      <c r="AD24" s="397"/>
    </row>
    <row r="25" spans="2:30">
      <c r="B25" s="274">
        <v>10072</v>
      </c>
      <c r="C25" s="275" t="s">
        <v>28</v>
      </c>
      <c r="D25" s="407">
        <f>IF(Init!$R$9="Yes",'Staging Table'!F27,'Staging Table'!BH27)*Rates_previous!$E$75*100*12</f>
        <v>8418069.616320001</v>
      </c>
      <c r="E25" s="407">
        <f>IF(Init!$R$9="Yes",'Staging Table'!F27,'Staging Table'!BH27)*Rates_previous!$E$76*100*12</f>
        <v>-1251434.5459199999</v>
      </c>
      <c r="F25" s="408"/>
      <c r="G25" s="408">
        <f>IF(Init!$R$9="Yes",SUMPRODUCT('Staging Table'!AJ27:AU27,LS_Demand_Rates_Restatement!$C$10:$N$10),SUMPRODUCT(LS_Demand_Rates_Restatement!$C$10:$N$10,'Staging Table'!CL27:CW27))*1000</f>
        <v>383339.68617718125</v>
      </c>
      <c r="H25" s="409"/>
      <c r="I25" s="409">
        <f>IF(Init!$R$9="Yes",IF('Staging Table'!D27=1,'Staging Table'!H27*-1*('Staging Table'!F27/'Staging Table'!E27),'Staging Table'!H27*SUM(D25:H25)*(-1)),IF('Staging Table'!D27=1,'Staging Table'!BJ27*-1*('Staging Table'!BH27/'Staging Table'!BG27),'Staging Table'!BJ27*SUM(D25:H25)*(-1)))</f>
        <v>0</v>
      </c>
      <c r="J25" s="407">
        <f>IF(Init!$R$9="Yes",'Staging Table'!K27,'Staging Table'!BM27)*(-1)*Rates_previous!$H$32</f>
        <v>0</v>
      </c>
      <c r="K25" s="407">
        <f>IF(Init!$R$12="No",0,'Staging Table'!$AW27)</f>
        <v>0</v>
      </c>
      <c r="L25" s="407">
        <f>IF('Staging Table'!C27=1,"",SUM(D25:J25)-K25)</f>
        <v>7549974.7565771826</v>
      </c>
      <c r="M25" s="407">
        <f>IF('Staging Table'!C27=1,"",IF(Init!$R$9="Yes",(RT1SC!$C$3*'Staging Table'!F27*'Staging Table'!$F$2),X25))</f>
        <v>208603.09491091198</v>
      </c>
      <c r="N25" s="169">
        <f>IF('Staging Table'!C27=1,"",IF(M25=0, 0, L25/M25))</f>
        <v>36.193014105574733</v>
      </c>
      <c r="O25" s="407">
        <f>'Staging Table'!BH27*Rates_current!$E$75*100*12</f>
        <v>8656691.9443199988</v>
      </c>
      <c r="P25" s="407">
        <f>'Staging Table'!BH27*Rates_current!$E$76*100*12</f>
        <v>-1217638.3262400001</v>
      </c>
      <c r="Q25" s="408"/>
      <c r="R25" s="408">
        <f>SUMPRODUCT('Staging Table'!CL27:CW27, LS_Demand_Rates_Restatement!$C$11:$N$11)*1000</f>
        <v>359544.2522933138</v>
      </c>
      <c r="S25" s="409"/>
      <c r="T25" s="409">
        <f>IF('Staging Table'!D27=1, 'Staging Table'!BJ27*-1*('Staging Table'!BH27/'Staging Table'!BG27),SUM(O25:S25)*'Staging Table'!BJ27*-1)</f>
        <v>0</v>
      </c>
      <c r="U25" s="407">
        <f>'Staging Table'!BM27*Rates_current!$H$32*-1</f>
        <v>0</v>
      </c>
      <c r="V25" s="407">
        <f>IF(Init!$R$12="No",0,'Staging Table'!$CY27)</f>
        <v>0</v>
      </c>
      <c r="W25" s="407">
        <f>IF('Staging Table'!C27=1,"",SUM(O25:U25)-V25)</f>
        <v>7798597.8703733124</v>
      </c>
      <c r="X25" s="407">
        <f>IF('Staging Table'!C27=1,"",(RT1SC!$C$4*'Staging Table'!BH27*'Staging Table'!$BH$2))</f>
        <v>206711.45219188798</v>
      </c>
      <c r="Y25" s="169">
        <f>IF('Staging Table'!C27=1,"",IF(X25=0, 0, W25/X25))</f>
        <v>37.726975393380528</v>
      </c>
      <c r="Z25" s="160">
        <f ca="1">IF('Staging Table'!C27=1,"",(Y25/N25-1)+(RAND()/100000000000000))</f>
        <v>4.2382800264472657E-2</v>
      </c>
      <c r="AA25" s="97">
        <f t="shared" ca="1" si="0"/>
        <v>75</v>
      </c>
      <c r="AB25" s="397"/>
      <c r="AC25" s="397"/>
      <c r="AD25" s="397"/>
    </row>
    <row r="26" spans="2:30">
      <c r="B26" s="274">
        <v>10074</v>
      </c>
      <c r="C26" s="275" t="s">
        <v>29</v>
      </c>
      <c r="D26" s="407">
        <f>IF(Init!$R$9="Yes",'Staging Table'!F28,'Staging Table'!BH28)*Rates_previous!$E$75*100*12</f>
        <v>9365869.7974800002</v>
      </c>
      <c r="E26" s="407">
        <f>IF(Init!$R$9="Yes",'Staging Table'!F28,'Staging Table'!BH28)*Rates_previous!$E$76*100*12</f>
        <v>-1392335.0068800002</v>
      </c>
      <c r="F26" s="408"/>
      <c r="G26" s="408">
        <f>IF(Init!$R$9="Yes",SUMPRODUCT('Staging Table'!AJ28:AU28,LS_Demand_Rates_Restatement!$C$10:$N$10),SUMPRODUCT(LS_Demand_Rates_Restatement!$C$10:$N$10,'Staging Table'!CL28:CW28))*1000</f>
        <v>680909.1563787394</v>
      </c>
      <c r="H26" s="409"/>
      <c r="I26" s="409">
        <f>IF(Init!$R$9="Yes",IF('Staging Table'!D28=1,'Staging Table'!H28*-1*('Staging Table'!F28/'Staging Table'!E28),'Staging Table'!H28*SUM(D26:H26)*(-1)),IF('Staging Table'!D28=1,'Staging Table'!BJ28*-1*('Staging Table'!BH28/'Staging Table'!BG28),'Staging Table'!BJ28*SUM(D26:H26)*(-1)))</f>
        <v>0</v>
      </c>
      <c r="J26" s="407">
        <f>IF(Init!$R$9="Yes",'Staging Table'!K28,'Staging Table'!BM28)*(-1)*Rates_previous!$H$32</f>
        <v>0</v>
      </c>
      <c r="K26" s="407">
        <f>IF(Init!$R$12="No",0,'Staging Table'!$AW28)</f>
        <v>0</v>
      </c>
      <c r="L26" s="407">
        <f>IF('Staging Table'!C28=1,"",SUM(D26:J26)-K26)</f>
        <v>8654443.9469787385</v>
      </c>
      <c r="M26" s="407">
        <f>IF('Staging Table'!C28=1,"",IF(Init!$R$9="Yes",(RT1SC!$C$3*'Staging Table'!F28*'Staging Table'!$F$2),X26))</f>
        <v>232089.95830816799</v>
      </c>
      <c r="N26" s="169">
        <f>IF('Staging Table'!C28=1,"",IF(M26=0, 0, L26/M26))</f>
        <v>37.289178773893383</v>
      </c>
      <c r="O26" s="407">
        <f>'Staging Table'!BH28*Rates_current!$E$75*100*12</f>
        <v>9631455.1257600002</v>
      </c>
      <c r="P26" s="407">
        <f>'Staging Table'!BH28*Rates_current!$E$76*100*12</f>
        <v>-1354747.1683200002</v>
      </c>
      <c r="Q26" s="408"/>
      <c r="R26" s="408">
        <f>SUMPRODUCT('Staging Table'!CL28:CW28, LS_Demand_Rates_Restatement!$C$11:$N$11)*1000</f>
        <v>656615.57947039721</v>
      </c>
      <c r="S26" s="409"/>
      <c r="T26" s="409">
        <f>IF('Staging Table'!D28=1, 'Staging Table'!BJ28*-1*('Staging Table'!BH28/'Staging Table'!BG28),SUM(O26:S26)*'Staging Table'!BJ28*-1)</f>
        <v>0</v>
      </c>
      <c r="U26" s="407">
        <f>'Staging Table'!BM28*Rates_current!$H$32*-1</f>
        <v>0</v>
      </c>
      <c r="V26" s="407">
        <f>IF(Init!$R$12="No",0,'Staging Table'!$CY28)</f>
        <v>0</v>
      </c>
      <c r="W26" s="407">
        <f>IF('Staging Table'!C28=1,"",SUM(O26:U26)-V26)</f>
        <v>8933323.5369103979</v>
      </c>
      <c r="X26" s="407">
        <f>IF('Staging Table'!C28=1,"",(RT1SC!$C$4*'Staging Table'!BH28*'Staging Table'!$BH$2))</f>
        <v>229987.631369184</v>
      </c>
      <c r="Y26" s="169">
        <f>IF('Staging Table'!C28=1,"",IF(X26=0, 0, W26/X26))</f>
        <v>38.842625943524425</v>
      </c>
      <c r="Z26" s="160">
        <f ca="1">IF('Staging Table'!C28=1,"",(Y26/N26-1)+(RAND()/100000000000000))</f>
        <v>4.1659463166263636E-2</v>
      </c>
      <c r="AA26" s="97">
        <f t="shared" ca="1" si="0"/>
        <v>84</v>
      </c>
      <c r="AB26" s="397"/>
      <c r="AC26" s="397"/>
      <c r="AD26" s="397"/>
    </row>
    <row r="27" spans="2:30">
      <c r="B27" s="274">
        <v>10076</v>
      </c>
      <c r="C27" s="275" t="s">
        <v>30</v>
      </c>
      <c r="D27" s="407">
        <f>IF(Init!$R$9="Yes",'Staging Table'!F29,'Staging Table'!BH29)*Rates_previous!$E$75*100*12</f>
        <v>1690891.36524</v>
      </c>
      <c r="E27" s="407">
        <f>IF(Init!$R$9="Yes",'Staging Table'!F29,'Staging Table'!BH29)*Rates_previous!$E$76*100*12</f>
        <v>-251368.77743999998</v>
      </c>
      <c r="F27" s="408"/>
      <c r="G27" s="408">
        <f>IF(Init!$R$9="Yes",SUMPRODUCT('Staging Table'!AJ29:AU29,LS_Demand_Rates_Restatement!$C$10:$N$10),SUMPRODUCT(LS_Demand_Rates_Restatement!$C$10:$N$10,'Staging Table'!CL29:CW29))*1000</f>
        <v>50462.916083867531</v>
      </c>
      <c r="H27" s="409"/>
      <c r="I27" s="409">
        <f>IF(Init!$R$9="Yes",IF('Staging Table'!D29=1,'Staging Table'!H29*-1*('Staging Table'!F29/'Staging Table'!E29),'Staging Table'!H29*SUM(D27:H27)*(-1)),IF('Staging Table'!D29=1,'Staging Table'!BJ29*-1*('Staging Table'!BH29/'Staging Table'!BG29),'Staging Table'!BJ29*SUM(D27:H27)*(-1)))</f>
        <v>0</v>
      </c>
      <c r="J27" s="407">
        <f>IF(Init!$R$9="Yes",'Staging Table'!K29,'Staging Table'!BM29)*(-1)*Rates_previous!$H$32</f>
        <v>0</v>
      </c>
      <c r="K27" s="407">
        <f>IF(Init!$R$12="No",0,'Staging Table'!$AW29)</f>
        <v>0</v>
      </c>
      <c r="L27" s="407">
        <f>IF('Staging Table'!C29=1,"",SUM(D27:J27)-K27)</f>
        <v>1489985.5038838673</v>
      </c>
      <c r="M27" s="407">
        <f>IF('Staging Table'!C29=1,"",IF(Init!$R$9="Yes",(RT1SC!$C$3*'Staging Table'!F29*'Staging Table'!$F$2),X27))</f>
        <v>41900.956872984003</v>
      </c>
      <c r="N27" s="169">
        <f>IF('Staging Table'!C29=1,"",IF(M27=0, 0, L27/M27))</f>
        <v>35.559701140012585</v>
      </c>
      <c r="O27" s="407">
        <f>'Staging Table'!BH29*Rates_current!$E$75*100*12</f>
        <v>1738828.7279999997</v>
      </c>
      <c r="P27" s="407">
        <f>'Staging Table'!BH29*Rates_current!$E$76*100*12</f>
        <v>-244581.24599999998</v>
      </c>
      <c r="Q27" s="408"/>
      <c r="R27" s="408">
        <f>SUMPRODUCT('Staging Table'!CL29:CW29, LS_Demand_Rates_Restatement!$C$11:$N$11)*1000</f>
        <v>44539.320075400639</v>
      </c>
      <c r="S27" s="409"/>
      <c r="T27" s="409">
        <f>IF('Staging Table'!D29=1, 'Staging Table'!BJ29*-1*('Staging Table'!BH29/'Staging Table'!BG29),SUM(O27:S27)*'Staging Table'!BJ29*-1)</f>
        <v>0</v>
      </c>
      <c r="U27" s="407">
        <f>'Staging Table'!BM29*Rates_current!$H$32*-1</f>
        <v>0</v>
      </c>
      <c r="V27" s="407">
        <f>IF(Init!$R$12="No",0,'Staging Table'!$CY29)</f>
        <v>0</v>
      </c>
      <c r="W27" s="407">
        <f>IF('Staging Table'!C29=1,"",SUM(O27:U27)-V27)</f>
        <v>1538786.8020754003</v>
      </c>
      <c r="X27" s="407">
        <f>IF('Staging Table'!C29=1,"",(RT1SC!$C$4*'Staging Table'!BH29*'Staging Table'!$BH$2))</f>
        <v>41521.150780199998</v>
      </c>
      <c r="Y27" s="169">
        <f>IF('Staging Table'!C29=1,"",IF(X27=0, 0, W27/X27))</f>
        <v>37.060311989454647</v>
      </c>
      <c r="Z27" s="160">
        <f ca="1">IF('Staging Table'!C29=1,"",(Y27/N27-1)+(RAND()/100000000000000))</f>
        <v>4.2199759878010688E-2</v>
      </c>
      <c r="AA27" s="97">
        <f t="shared" ca="1" si="0"/>
        <v>78</v>
      </c>
      <c r="AB27" s="397"/>
      <c r="AC27" s="397"/>
      <c r="AD27" s="397"/>
    </row>
    <row r="28" spans="2:30">
      <c r="B28" s="274">
        <v>10078</v>
      </c>
      <c r="C28" s="275" t="s">
        <v>31</v>
      </c>
      <c r="D28" s="407">
        <f>IF(Init!$R$9="Yes",'Staging Table'!F30,'Staging Table'!BH30)*Rates_previous!$E$75*100*12</f>
        <v>1249541.7379200002</v>
      </c>
      <c r="E28" s="407">
        <f>IF(Init!$R$9="Yes",'Staging Table'!F30,'Staging Table'!BH30)*Rates_previous!$E$76*100*12</f>
        <v>-185757.51552000002</v>
      </c>
      <c r="F28" s="408"/>
      <c r="G28" s="408">
        <f>IF(Init!$R$9="Yes",SUMPRODUCT('Staging Table'!AJ30:AU30,LS_Demand_Rates_Restatement!$C$10:$N$10),SUMPRODUCT(LS_Demand_Rates_Restatement!$C$10:$N$10,'Staging Table'!CL30:CW30))*1000</f>
        <v>95481.567114120349</v>
      </c>
      <c r="H28" s="409"/>
      <c r="I28" s="409">
        <f>IF(Init!$R$9="Yes",IF('Staging Table'!D30=1,'Staging Table'!H30*-1*('Staging Table'!F30/'Staging Table'!E30),'Staging Table'!H30*SUM(D28:H28)*(-1)),IF('Staging Table'!D30=1,'Staging Table'!BJ30*-1*('Staging Table'!BH30/'Staging Table'!BG30),'Staging Table'!BJ30*SUM(D28:H28)*(-1)))</f>
        <v>0</v>
      </c>
      <c r="J28" s="407">
        <f>IF(Init!$R$9="Yes",'Staging Table'!K30,'Staging Table'!BM30)*(-1)*Rates_previous!$H$32</f>
        <v>0</v>
      </c>
      <c r="K28" s="407">
        <f>IF(Init!$R$12="No",0,'Staging Table'!$AW30)</f>
        <v>0</v>
      </c>
      <c r="L28" s="407">
        <f>IF('Staging Table'!C30=1,"",SUM(D28:J28)-K28)</f>
        <v>1159265.7895141207</v>
      </c>
      <c r="M28" s="407">
        <f>IF('Staging Table'!C30=1,"",IF(Init!$R$9="Yes",(RT1SC!$C$3*'Staging Table'!F30*'Staging Table'!$F$2),X28))</f>
        <v>30964.138529472002</v>
      </c>
      <c r="N28" s="169">
        <f>IF('Staging Table'!C30=1,"",IF(M28=0, 0, L28/M28))</f>
        <v>37.438980852340492</v>
      </c>
      <c r="O28" s="407">
        <f>'Staging Table'!BH30*Rates_current!$E$75*100*12</f>
        <v>1341891.7084799998</v>
      </c>
      <c r="P28" s="407">
        <f>'Staging Table'!BH30*Rates_current!$E$76*100*12</f>
        <v>-188748.63335999998</v>
      </c>
      <c r="Q28" s="408"/>
      <c r="R28" s="408">
        <f>SUMPRODUCT('Staging Table'!CL30:CW30, LS_Demand_Rates_Restatement!$C$11:$N$11)*1000</f>
        <v>95973.557971527785</v>
      </c>
      <c r="S28" s="409"/>
      <c r="T28" s="409">
        <f>IF('Staging Table'!D30=1, 'Staging Table'!BJ30*-1*('Staging Table'!BH30/'Staging Table'!BG30),SUM(O28:S28)*'Staging Table'!BJ30*-1)</f>
        <v>0</v>
      </c>
      <c r="U28" s="407">
        <f>'Staging Table'!BM30*Rates_current!$H$32*-1</f>
        <v>0</v>
      </c>
      <c r="V28" s="407">
        <f>IF(Init!$R$12="No",0,'Staging Table'!$CY30)</f>
        <v>0</v>
      </c>
      <c r="W28" s="407">
        <f>IF('Staging Table'!C30=1,"",SUM(O28:U28)-V28)</f>
        <v>1249116.6330915275</v>
      </c>
      <c r="X28" s="407">
        <f>IF('Staging Table'!C30=1,"",(RT1SC!$C$4*'Staging Table'!BH30*'Staging Table'!$BH$2))</f>
        <v>32042.769400631994</v>
      </c>
      <c r="Y28" s="169">
        <f>IF('Staging Table'!C30=1,"",IF(X28=0, 0, W28/X28))</f>
        <v>38.982792575565909</v>
      </c>
      <c r="Z28" s="160">
        <f ca="1">IF('Staging Table'!C30=1,"",(Y28/N28-1)+(RAND()/100000000000000))</f>
        <v>4.1235409941160248E-2</v>
      </c>
      <c r="AA28" s="97">
        <f t="shared" ca="1" si="0"/>
        <v>93</v>
      </c>
      <c r="AB28" s="397"/>
      <c r="AC28" s="397"/>
      <c r="AD28" s="397"/>
    </row>
    <row r="29" spans="2:30">
      <c r="B29" s="274">
        <v>10079</v>
      </c>
      <c r="C29" s="275" t="s">
        <v>32</v>
      </c>
      <c r="D29" s="407">
        <f>IF(Init!$R$9="Yes",'Staging Table'!F31,'Staging Table'!BH31)*Rates_previous!$E$75*100*12</f>
        <v>30951901.345679998</v>
      </c>
      <c r="E29" s="407">
        <f>IF(Init!$R$9="Yes",'Staging Table'!F31,'Staging Table'!BH31)*Rates_previous!$E$76*100*12</f>
        <v>-4601325.5260800002</v>
      </c>
      <c r="F29" s="408"/>
      <c r="G29" s="408">
        <f>IF(Init!$R$9="Yes",SUMPRODUCT('Staging Table'!AJ31:AU31,LS_Demand_Rates_Restatement!$C$10:$N$10),SUMPRODUCT(LS_Demand_Rates_Restatement!$C$10:$N$10,'Staging Table'!CL31:CW31))*1000</f>
        <v>1661839.2056651979</v>
      </c>
      <c r="H29" s="409"/>
      <c r="I29" s="409">
        <f>IF(Init!$R$9="Yes",IF('Staging Table'!D31=1,'Staging Table'!H31*-1*('Staging Table'!F31/'Staging Table'!E31),'Staging Table'!H31*SUM(D29:H29)*(-1)),IF('Staging Table'!D31=1,'Staging Table'!BJ31*-1*('Staging Table'!BH31/'Staging Table'!BG31),'Staging Table'!BJ31*SUM(D29:H29)*(-1)))</f>
        <v>0</v>
      </c>
      <c r="J29" s="407">
        <f>IF(Init!$R$9="Yes",'Staging Table'!K31,'Staging Table'!BM31)*(-1)*Rates_previous!$H$32</f>
        <v>0</v>
      </c>
      <c r="K29" s="407">
        <f>IF(Init!$R$12="No",0,'Staging Table'!$AW31)</f>
        <v>0</v>
      </c>
      <c r="L29" s="407">
        <f>IF('Staging Table'!C31=1,"",SUM(D29:J29)-K29)</f>
        <v>28012415.025265194</v>
      </c>
      <c r="M29" s="407">
        <f>IF('Staging Table'!C31=1,"",IF(Init!$R$9="Yes",(RT1SC!$C$3*'Staging Table'!F31*'Staging Table'!$F$2),X29))</f>
        <v>767000.35855828796</v>
      </c>
      <c r="N29" s="169">
        <f>IF('Staging Table'!C31=1,"",IF(M29=0, 0, L29/M29))</f>
        <v>36.522036414584541</v>
      </c>
      <c r="O29" s="407">
        <f>'Staging Table'!BH31*Rates_current!$E$75*100*12</f>
        <v>31829355.406079996</v>
      </c>
      <c r="P29" s="407">
        <f>'Staging Table'!BH31*Rates_current!$E$76*100*12</f>
        <v>-4477073.1465599993</v>
      </c>
      <c r="Q29" s="408"/>
      <c r="R29" s="408">
        <f>SUMPRODUCT('Staging Table'!CL31:CW31, LS_Demand_Rates_Restatement!$C$11:$N$11)*1000</f>
        <v>1578013.9550939547</v>
      </c>
      <c r="S29" s="409"/>
      <c r="T29" s="409">
        <f>IF('Staging Table'!D31=1, 'Staging Table'!BJ31*-1*('Staging Table'!BH31/'Staging Table'!BG31),SUM(O29:S29)*'Staging Table'!BJ31*-1)</f>
        <v>0</v>
      </c>
      <c r="U29" s="407">
        <f>'Staging Table'!BM31*Rates_current!$H$32*-1</f>
        <v>0</v>
      </c>
      <c r="V29" s="407">
        <f>IF(Init!$R$12="No",0,'Staging Table'!$CY31)</f>
        <v>0</v>
      </c>
      <c r="W29" s="407">
        <f>IF('Staging Table'!C31=1,"",SUM(O29:U29)-V29)</f>
        <v>28930296.214613952</v>
      </c>
      <c r="X29" s="407">
        <f>IF('Staging Table'!C31=1,"",(RT1SC!$C$4*'Staging Table'!BH31*'Staging Table'!$BH$2))</f>
        <v>760046.94641347195</v>
      </c>
      <c r="Y29" s="169">
        <f>IF('Staging Table'!C31=1,"",IF(X29=0, 0, W29/X29))</f>
        <v>38.063827966326208</v>
      </c>
      <c r="Z29" s="160">
        <f ca="1">IF('Staging Table'!C31=1,"",(Y29/N29-1)+(RAND()/100000000000000))</f>
        <v>4.2215377429668237E-2</v>
      </c>
      <c r="AA29" s="97">
        <f t="shared" ca="1" si="0"/>
        <v>77</v>
      </c>
      <c r="AB29" s="397"/>
      <c r="AC29" s="397"/>
      <c r="AD29" s="397"/>
    </row>
    <row r="30" spans="2:30">
      <c r="B30" s="274">
        <v>10080</v>
      </c>
      <c r="C30" s="275" t="s">
        <v>33</v>
      </c>
      <c r="D30" s="407">
        <f>IF(Init!$R$9="Yes",'Staging Table'!F32,'Staging Table'!BH32)*Rates_previous!$E$75*100*12</f>
        <v>2610225.3618000001</v>
      </c>
      <c r="E30" s="407">
        <f>IF(Init!$R$9="Yes",'Staging Table'!F32,'Staging Table'!BH32)*Rates_previous!$E$76*100*12</f>
        <v>-388037.4408000001</v>
      </c>
      <c r="F30" s="408"/>
      <c r="G30" s="408">
        <f>IF(Init!$R$9="Yes",SUMPRODUCT('Staging Table'!AJ32:AU32,LS_Demand_Rates_Restatement!$C$10:$N$10),SUMPRODUCT(LS_Demand_Rates_Restatement!$C$10:$N$10,'Staging Table'!CL32:CW32))*1000</f>
        <v>109871.9963934829</v>
      </c>
      <c r="H30" s="409"/>
      <c r="I30" s="409">
        <f>IF(Init!$R$9="Yes",IF('Staging Table'!D32=1,'Staging Table'!H32*-1*('Staging Table'!F32/'Staging Table'!E32),'Staging Table'!H32*SUM(D30:H30)*(-1)),IF('Staging Table'!D32=1,'Staging Table'!BJ32*-1*('Staging Table'!BH32/'Staging Table'!BG32),'Staging Table'!BJ32*SUM(D30:H30)*(-1)))</f>
        <v>0</v>
      </c>
      <c r="J30" s="407">
        <f>IF(Init!$R$9="Yes",'Staging Table'!K32,'Staging Table'!BM32)*(-1)*Rates_previous!$H$32</f>
        <v>0</v>
      </c>
      <c r="K30" s="407">
        <f>IF(Init!$R$12="No",0,'Staging Table'!$AW32)</f>
        <v>0</v>
      </c>
      <c r="L30" s="407">
        <f>IF('Staging Table'!C32=1,"",SUM(D30:J30)-K30)</f>
        <v>2332059.9173934832</v>
      </c>
      <c r="M30" s="407">
        <f>IF('Staging Table'!C32=1,"",IF(Init!$R$9="Yes",(RT1SC!$C$3*'Staging Table'!F32*'Staging Table'!$F$2),X30))</f>
        <v>64682.416955880006</v>
      </c>
      <c r="N30" s="169">
        <f>IF('Staging Table'!C32=1,"",IF(M30=0, 0, L30/M30))</f>
        <v>36.054000872975813</v>
      </c>
      <c r="O30" s="407">
        <f>'Staging Table'!BH32*Rates_current!$E$75*100*12</f>
        <v>2684547.73728</v>
      </c>
      <c r="P30" s="407">
        <f>'Staging Table'!BH32*Rates_current!$E$76*100*12</f>
        <v>-377604.77496000007</v>
      </c>
      <c r="Q30" s="408"/>
      <c r="R30" s="408">
        <f>SUMPRODUCT('Staging Table'!CL32:CW32, LS_Demand_Rates_Restatement!$C$11:$N$11)*1000</f>
        <v>102342.1385473736</v>
      </c>
      <c r="S30" s="409"/>
      <c r="T30" s="409">
        <f>IF('Staging Table'!D32=1, 'Staging Table'!BJ32*-1*('Staging Table'!BH32/'Staging Table'!BG32),SUM(O30:S30)*'Staging Table'!BJ32*-1)</f>
        <v>0</v>
      </c>
      <c r="U30" s="407">
        <f>'Staging Table'!BM32*Rates_current!$H$32*-1</f>
        <v>0</v>
      </c>
      <c r="V30" s="407">
        <f>IF(Init!$R$12="No",0,'Staging Table'!$CY32)</f>
        <v>0</v>
      </c>
      <c r="W30" s="407">
        <f>IF('Staging Table'!C32=1,"",SUM(O30:U30)-V30)</f>
        <v>2409285.1008673734</v>
      </c>
      <c r="X30" s="407">
        <f>IF('Staging Table'!C32=1,"",(RT1SC!$C$4*'Staging Table'!BH32*'Staging Table'!$BH$2))</f>
        <v>64103.789856552001</v>
      </c>
      <c r="Y30" s="169">
        <f>IF('Staging Table'!C32=1,"",IF(X30=0, 0, W30/X30))</f>
        <v>37.58412889875531</v>
      </c>
      <c r="Z30" s="160">
        <f ca="1">IF('Staging Table'!C32=1,"",(Y30/N30-1)+(RAND()/100000000000000))</f>
        <v>4.2439895399423583E-2</v>
      </c>
      <c r="AA30" s="97">
        <f t="shared" ca="1" si="0"/>
        <v>73</v>
      </c>
      <c r="AB30" s="397"/>
      <c r="AC30" s="397"/>
      <c r="AD30" s="397"/>
    </row>
    <row r="31" spans="2:30">
      <c r="B31" s="274">
        <v>10081</v>
      </c>
      <c r="C31" s="275" t="s">
        <v>34</v>
      </c>
      <c r="D31" s="407">
        <f>IF(Init!$R$9="Yes",'Staging Table'!F33,'Staging Table'!BH33)*Rates_previous!$E$75*100*12</f>
        <v>3523371.05736</v>
      </c>
      <c r="E31" s="407">
        <f>IF(Init!$R$9="Yes",'Staging Table'!F33,'Staging Table'!BH33)*Rates_previous!$E$76*100*12</f>
        <v>-523786.14815999998</v>
      </c>
      <c r="F31" s="408"/>
      <c r="G31" s="408">
        <f>IF(Init!$R$9="Yes",SUMPRODUCT('Staging Table'!AJ33:AU33,LS_Demand_Rates_Restatement!$C$10:$N$10),SUMPRODUCT(LS_Demand_Rates_Restatement!$C$10:$N$10,'Staging Table'!CL33:CW33))*1000</f>
        <v>197381.99451573179</v>
      </c>
      <c r="H31" s="409"/>
      <c r="I31" s="409">
        <f>IF(Init!$R$9="Yes",IF('Staging Table'!D33=1,'Staging Table'!H33*-1*('Staging Table'!F33/'Staging Table'!E33),'Staging Table'!H33*SUM(D31:H31)*(-1)),IF('Staging Table'!D33=1,'Staging Table'!BJ33*-1*('Staging Table'!BH33/'Staging Table'!BG33),'Staging Table'!BJ33*SUM(D31:H31)*(-1)))</f>
        <v>0</v>
      </c>
      <c r="J31" s="407">
        <f>IF(Init!$R$9="Yes",'Staging Table'!K33,'Staging Table'!BM33)*(-1)*Rates_previous!$H$32</f>
        <v>0</v>
      </c>
      <c r="K31" s="407">
        <f>IF(Init!$R$12="No",0,'Staging Table'!$AW33)</f>
        <v>0</v>
      </c>
      <c r="L31" s="407">
        <f>IF('Staging Table'!C33=1,"",SUM(D31:J31)-K31)</f>
        <v>3196966.903715732</v>
      </c>
      <c r="M31" s="407">
        <f>IF('Staging Table'!C33=1,"",IF(Init!$R$9="Yes",(RT1SC!$C$3*'Staging Table'!F33*'Staging Table'!$F$2),X31))</f>
        <v>87310.528492176003</v>
      </c>
      <c r="N31" s="169">
        <f>IF('Staging Table'!C33=1,"",IF(M31=0, 0, L31/M31))</f>
        <v>36.61605259899688</v>
      </c>
      <c r="O31" s="407">
        <f>'Staging Table'!BH33*Rates_current!$E$75*100*12</f>
        <v>3556637.2224000003</v>
      </c>
      <c r="P31" s="407">
        <f>'Staging Table'!BH33*Rates_current!$E$76*100*12</f>
        <v>-500271.67680000002</v>
      </c>
      <c r="Q31" s="408"/>
      <c r="R31" s="408">
        <f>SUMPRODUCT('Staging Table'!CL33:CW33, LS_Demand_Rates_Restatement!$C$11:$N$11)*1000</f>
        <v>190549.65987535607</v>
      </c>
      <c r="S31" s="409"/>
      <c r="T31" s="409">
        <f>IF('Staging Table'!D33=1, 'Staging Table'!BJ33*-1*('Staging Table'!BH33/'Staging Table'!BG33),SUM(O31:S31)*'Staging Table'!BJ33*-1)</f>
        <v>0</v>
      </c>
      <c r="U31" s="407">
        <f>'Staging Table'!BM33*Rates_current!$H$32*-1</f>
        <v>0</v>
      </c>
      <c r="V31" s="407">
        <f>IF(Init!$R$12="No",0,'Staging Table'!$CY33)</f>
        <v>0</v>
      </c>
      <c r="W31" s="407">
        <f>IF('Staging Table'!C33=1,"",SUM(O31:U31)-V31)</f>
        <v>3246915.2054753564</v>
      </c>
      <c r="X31" s="407">
        <f>IF('Staging Table'!C33=1,"",(RT1SC!$C$4*'Staging Table'!BH33*'Staging Table'!$BH$2))</f>
        <v>84928.243940159999</v>
      </c>
      <c r="Y31" s="169">
        <f>IF('Staging Table'!C33=1,"",IF(X31=0, 0, W31/X31))</f>
        <v>38.231276838399204</v>
      </c>
      <c r="Z31" s="160">
        <f ca="1">IF('Staging Table'!C33=1,"",(Y31/N31-1)+(RAND()/100000000000000))</f>
        <v>4.4112462287826781E-2</v>
      </c>
      <c r="AA31" s="97">
        <f t="shared" ca="1" si="0"/>
        <v>53</v>
      </c>
      <c r="AB31" s="397"/>
      <c r="AC31" s="397"/>
      <c r="AD31" s="397"/>
    </row>
    <row r="32" spans="2:30">
      <c r="B32" s="274">
        <v>10082</v>
      </c>
      <c r="C32" s="275" t="s">
        <v>35</v>
      </c>
      <c r="D32" s="407">
        <f>IF(Init!$R$9="Yes",'Staging Table'!F34,'Staging Table'!BH34)*Rates_previous!$E$75*100*12</f>
        <v>40347.722519999996</v>
      </c>
      <c r="E32" s="407">
        <f>IF(Init!$R$9="Yes",'Staging Table'!F34,'Staging Table'!BH34)*Rates_previous!$E$76*100*12</f>
        <v>-5998.1131200000009</v>
      </c>
      <c r="F32" s="408"/>
      <c r="G32" s="408">
        <f>IF(Init!$R$9="Yes",SUMPRODUCT('Staging Table'!AJ34:AU34,LS_Demand_Rates_Restatement!$C$10:$N$10),SUMPRODUCT(LS_Demand_Rates_Restatement!$C$10:$N$10,'Staging Table'!CL34:CW34))*1000</f>
        <v>3533.3347552439454</v>
      </c>
      <c r="H32" s="409"/>
      <c r="I32" s="409">
        <f>IF(Init!$R$9="Yes",IF('Staging Table'!D34=1,'Staging Table'!H34*-1*('Staging Table'!F34/'Staging Table'!E34),'Staging Table'!H34*SUM(D32:H32)*(-1)),IF('Staging Table'!D34=1,'Staging Table'!BJ34*-1*('Staging Table'!BH34/'Staging Table'!BG34),'Staging Table'!BJ34*SUM(D32:H32)*(-1)))</f>
        <v>0</v>
      </c>
      <c r="J32" s="407">
        <f>IF(Init!$R$9="Yes",'Staging Table'!K34,'Staging Table'!BM34)*(-1)*Rates_previous!$H$32</f>
        <v>0</v>
      </c>
      <c r="K32" s="407">
        <f>IF(Init!$R$12="No",0,'Staging Table'!$AW34)</f>
        <v>0</v>
      </c>
      <c r="L32" s="407">
        <f>IF('Staging Table'!C34=1,"",SUM(D32:J32)-K32)</f>
        <v>37882.944155243938</v>
      </c>
      <c r="M32" s="407">
        <f>IF('Staging Table'!C34=1,"",IF(Init!$R$9="Yes",(RT1SC!$C$3*'Staging Table'!F34*'Staging Table'!$F$2),X32))</f>
        <v>999.83252383199999</v>
      </c>
      <c r="N32" s="169">
        <f>IF('Staging Table'!C34=1,"",IF(M32=0, 0, L32/M32))</f>
        <v>37.889289708292523</v>
      </c>
      <c r="O32" s="407">
        <f>'Staging Table'!BH34*Rates_current!$E$75*100*12</f>
        <v>36942.148800000003</v>
      </c>
      <c r="P32" s="407">
        <f>'Staging Table'!BH34*Rates_current!$E$76*100*12</f>
        <v>-5196.231600000001</v>
      </c>
      <c r="Q32" s="408"/>
      <c r="R32" s="408">
        <f>SUMPRODUCT('Staging Table'!CL34:CW34, LS_Demand_Rates_Restatement!$C$11:$N$11)*1000</f>
        <v>3527.3625460024932</v>
      </c>
      <c r="S32" s="409"/>
      <c r="T32" s="409">
        <f>IF('Staging Table'!D34=1, 'Staging Table'!BJ34*-1*('Staging Table'!BH34/'Staging Table'!BG34),SUM(O32:S32)*'Staging Table'!BJ34*-1)</f>
        <v>0</v>
      </c>
      <c r="U32" s="407">
        <f>'Staging Table'!BM34*Rates_current!$H$32*-1</f>
        <v>0</v>
      </c>
      <c r="V32" s="407">
        <f>IF(Init!$R$12="No",0,'Staging Table'!$CY34)</f>
        <v>0</v>
      </c>
      <c r="W32" s="407">
        <f>IF('Staging Table'!C34=1,"",SUM(O32:U32)-V32)</f>
        <v>35273.279746002496</v>
      </c>
      <c r="X32" s="407">
        <f>IF('Staging Table'!C34=1,"",(RT1SC!$C$4*'Staging Table'!BH34*'Staging Table'!$BH$2))</f>
        <v>882.13433892</v>
      </c>
      <c r="Y32" s="169">
        <f>IF('Staging Table'!C34=1,"",IF(X32=0, 0, W32/X32))</f>
        <v>39.986290284524792</v>
      </c>
      <c r="Z32" s="160">
        <f ca="1">IF('Staging Table'!C34=1,"",(Y32/N32-1)+(RAND()/100000000000000))</f>
        <v>5.5345470774911976E-2</v>
      </c>
      <c r="AA32" s="97">
        <f t="shared" ca="1" si="0"/>
        <v>3</v>
      </c>
      <c r="AB32" s="397"/>
      <c r="AC32" s="397"/>
      <c r="AD32" s="397"/>
    </row>
    <row r="33" spans="2:30">
      <c r="B33" s="274">
        <v>10083</v>
      </c>
      <c r="C33" s="275" t="s">
        <v>36</v>
      </c>
      <c r="D33" s="407">
        <f>IF(Init!$R$9="Yes",'Staging Table'!F35,'Staging Table'!BH35)*Rates_previous!$E$75*100*12</f>
        <v>2935729.9944000002</v>
      </c>
      <c r="E33" s="407">
        <f>IF(Init!$R$9="Yes",'Staging Table'!F35,'Staging Table'!BH35)*Rates_previous!$E$76*100*12</f>
        <v>-436427.12639999995</v>
      </c>
      <c r="F33" s="408"/>
      <c r="G33" s="408">
        <f>IF(Init!$R$9="Yes",SUMPRODUCT('Staging Table'!AJ35:AU35,LS_Demand_Rates_Restatement!$C$10:$N$10),SUMPRODUCT(LS_Demand_Rates_Restatement!$C$10:$N$10,'Staging Table'!CL35:CW35))*1000</f>
        <v>136395.97254754274</v>
      </c>
      <c r="H33" s="409"/>
      <c r="I33" s="409">
        <f>IF(Init!$R$9="Yes",IF('Staging Table'!D35=1,'Staging Table'!H35*-1*('Staging Table'!F35/'Staging Table'!E35),'Staging Table'!H35*SUM(D33:H33)*(-1)),IF('Staging Table'!D35=1,'Staging Table'!BJ35*-1*('Staging Table'!BH35/'Staging Table'!BG35),'Staging Table'!BJ35*SUM(D33:H33)*(-1)))</f>
        <v>0</v>
      </c>
      <c r="J33" s="407">
        <f>IF(Init!$R$9="Yes",'Staging Table'!K35,'Staging Table'!BM35)*(-1)*Rates_previous!$H$32</f>
        <v>0</v>
      </c>
      <c r="K33" s="407">
        <f>IF(Init!$R$12="No",0,'Staging Table'!$AW35)</f>
        <v>0</v>
      </c>
      <c r="L33" s="407">
        <f>IF('Staging Table'!C35=1,"",SUM(D33:J33)-K33)</f>
        <v>2635698.840547543</v>
      </c>
      <c r="M33" s="407">
        <f>IF('Staging Table'!C35=1,"",IF(Init!$R$9="Yes",(RT1SC!$C$3*'Staging Table'!F35*'Staging Table'!$F$2),X33))</f>
        <v>72748.550507039996</v>
      </c>
      <c r="N33" s="169">
        <f>IF('Staging Table'!C35=1,"",IF(M33=0, 0, L33/M33))</f>
        <v>36.230259189734404</v>
      </c>
      <c r="O33" s="407">
        <f>'Staging Table'!BH35*Rates_current!$E$75*100*12</f>
        <v>3018810.4905600003</v>
      </c>
      <c r="P33" s="407">
        <f>'Staging Table'!BH35*Rates_current!$E$76*100*12</f>
        <v>-424621.71192000003</v>
      </c>
      <c r="Q33" s="408"/>
      <c r="R33" s="408">
        <f>SUMPRODUCT('Staging Table'!CL35:CW35, LS_Demand_Rates_Restatement!$C$11:$N$11)*1000</f>
        <v>128593.16362791134</v>
      </c>
      <c r="S33" s="409"/>
      <c r="T33" s="409">
        <f>IF('Staging Table'!D35=1, 'Staging Table'!BJ35*-1*('Staging Table'!BH35/'Staging Table'!BG35),SUM(O33:S33)*'Staging Table'!BJ35*-1)</f>
        <v>0</v>
      </c>
      <c r="U33" s="407">
        <f>'Staging Table'!BM35*Rates_current!$H$32*-1</f>
        <v>0</v>
      </c>
      <c r="V33" s="407">
        <f>IF(Init!$R$12="No",0,'Staging Table'!$CY35)</f>
        <v>0</v>
      </c>
      <c r="W33" s="407">
        <f>IF('Staging Table'!C35=1,"",SUM(O33:U33)-V33)</f>
        <v>2722781.9422679115</v>
      </c>
      <c r="X33" s="407">
        <f>IF('Staging Table'!C35=1,"",(RT1SC!$C$4*'Staging Table'!BH35*'Staging Table'!$BH$2))</f>
        <v>72085.584702503998</v>
      </c>
      <c r="Y33" s="169">
        <f>IF('Staging Table'!C35=1,"",IF(X33=0, 0, W33/X33))</f>
        <v>37.771517752193965</v>
      </c>
      <c r="Z33" s="160">
        <f ca="1">IF('Staging Table'!C35=1,"",(Y33/N33-1)+(RAND()/100000000000000))</f>
        <v>4.2540644117066387E-2</v>
      </c>
      <c r="AA33" s="97">
        <f t="shared" ca="1" si="0"/>
        <v>71</v>
      </c>
      <c r="AB33" s="397"/>
      <c r="AC33" s="397"/>
      <c r="AD33" s="397"/>
    </row>
    <row r="34" spans="2:30">
      <c r="B34" s="274">
        <v>10086</v>
      </c>
      <c r="C34" s="275" t="s">
        <v>37</v>
      </c>
      <c r="D34" s="407">
        <f>IF(Init!$R$9="Yes",'Staging Table'!F36,'Staging Table'!BH36)*Rates_previous!$E$75*100*12</f>
        <v>1384941.7637999998</v>
      </c>
      <c r="E34" s="407">
        <f>IF(Init!$R$9="Yes",'Staging Table'!F36,'Staging Table'!BH36)*Rates_previous!$E$76*100*12</f>
        <v>-205886.15280000001</v>
      </c>
      <c r="F34" s="408"/>
      <c r="G34" s="408">
        <f>IF(Init!$R$9="Yes",SUMPRODUCT('Staging Table'!AJ36:AU36,LS_Demand_Rates_Restatement!$C$10:$N$10),SUMPRODUCT(LS_Demand_Rates_Restatement!$C$10:$N$10,'Staging Table'!CL36:CW36))*1000</f>
        <v>71125.620328828358</v>
      </c>
      <c r="H34" s="409"/>
      <c r="I34" s="409">
        <f>IF(Init!$R$9="Yes",IF('Staging Table'!D36=1,'Staging Table'!H36*-1*('Staging Table'!F36/'Staging Table'!E36),'Staging Table'!H36*SUM(D34:H34)*(-1)),IF('Staging Table'!D36=1,'Staging Table'!BJ36*-1*('Staging Table'!BH36/'Staging Table'!BG36),'Staging Table'!BJ36*SUM(D34:H34)*(-1)))</f>
        <v>0</v>
      </c>
      <c r="J34" s="407">
        <f>IF(Init!$R$9="Yes",'Staging Table'!K36,'Staging Table'!BM36)*(-1)*Rates_previous!$H$32</f>
        <v>0</v>
      </c>
      <c r="K34" s="407">
        <f>IF(Init!$R$12="No",0,'Staging Table'!$AW36)</f>
        <v>0</v>
      </c>
      <c r="L34" s="407">
        <f>IF('Staging Table'!C36=1,"",SUM(D34:J34)-K34)</f>
        <v>1250181.2313288283</v>
      </c>
      <c r="M34" s="407">
        <f>IF('Staging Table'!C36=1,"",IF(Init!$R$9="Yes",(RT1SC!$C$3*'Staging Table'!F36*'Staging Table'!$F$2),X34))</f>
        <v>34319.404729080001</v>
      </c>
      <c r="N34" s="169">
        <f>IF('Staging Table'!C36=1,"",IF(M34=0, 0, L34/M34))</f>
        <v>36.427823885578853</v>
      </c>
      <c r="O34" s="407">
        <f>'Staging Table'!BH36*Rates_current!$E$75*100*12</f>
        <v>1424183.5296</v>
      </c>
      <c r="P34" s="407">
        <f>'Staging Table'!BH36*Rates_current!$E$76*100*12</f>
        <v>-200323.68719999999</v>
      </c>
      <c r="Q34" s="408"/>
      <c r="R34" s="408">
        <f>SUMPRODUCT('Staging Table'!CL36:CW36, LS_Demand_Rates_Restatement!$C$11:$N$11)*1000</f>
        <v>68287.601050525307</v>
      </c>
      <c r="S34" s="409"/>
      <c r="T34" s="409">
        <f>IF('Staging Table'!D36=1, 'Staging Table'!BJ36*-1*('Staging Table'!BH36/'Staging Table'!BG36),SUM(O34:S34)*'Staging Table'!BJ36*-1)</f>
        <v>0</v>
      </c>
      <c r="U34" s="407">
        <f>'Staging Table'!BM36*Rates_current!$H$32*-1</f>
        <v>0</v>
      </c>
      <c r="V34" s="407">
        <f>IF(Init!$R$12="No",0,'Staging Table'!$CY36)</f>
        <v>0</v>
      </c>
      <c r="W34" s="407">
        <f>IF('Staging Table'!C36=1,"",SUM(O34:U34)-V34)</f>
        <v>1292147.4434505252</v>
      </c>
      <c r="X34" s="407">
        <f>IF('Staging Table'!C36=1,"",(RT1SC!$C$4*'Staging Table'!BH36*'Staging Table'!$BH$2))</f>
        <v>34007.799686639999</v>
      </c>
      <c r="Y34" s="169">
        <f>IF('Staging Table'!C36=1,"",IF(X34=0, 0, W34/X34))</f>
        <v>37.995620279960271</v>
      </c>
      <c r="Z34" s="160">
        <f ca="1">IF('Staging Table'!C36=1,"",(Y34/N34-1)+(RAND()/100000000000000))</f>
        <v>4.3038431263584059E-2</v>
      </c>
      <c r="AA34" s="97">
        <f t="shared" ca="1" si="0"/>
        <v>66</v>
      </c>
      <c r="AB34" s="397"/>
      <c r="AC34" s="397"/>
      <c r="AD34" s="397"/>
    </row>
    <row r="35" spans="2:30">
      <c r="B35" s="274">
        <v>10087</v>
      </c>
      <c r="C35" s="275" t="s">
        <v>38</v>
      </c>
      <c r="D35" s="407">
        <f>IF(Init!$R$9="Yes",'Staging Table'!F37,'Staging Table'!BH37)*Rates_previous!$E$75*100*12</f>
        <v>29573642.946960002</v>
      </c>
      <c r="E35" s="407">
        <f>IF(Init!$R$9="Yes",'Staging Table'!F37,'Staging Table'!BH37)*Rates_previous!$E$76*100*12</f>
        <v>-4396432.92576</v>
      </c>
      <c r="F35" s="408"/>
      <c r="G35" s="408">
        <f>IF(Init!$R$9="Yes",SUMPRODUCT('Staging Table'!AJ37:AU37,LS_Demand_Rates_Restatement!$C$10:$N$10),SUMPRODUCT(LS_Demand_Rates_Restatement!$C$10:$N$10,'Staging Table'!CL37:CW37))*1000</f>
        <v>121940.68507115396</v>
      </c>
      <c r="H35" s="409"/>
      <c r="I35" s="409">
        <f>IF(Init!$R$9="Yes",IF('Staging Table'!D37=1,'Staging Table'!H37*-1*('Staging Table'!F37/'Staging Table'!E37),'Staging Table'!H37*SUM(D35:H35)*(-1)),IF('Staging Table'!D37=1,'Staging Table'!BJ37*-1*('Staging Table'!BH37/'Staging Table'!BG37),'Staging Table'!BJ37*SUM(D35:H35)*(-1)))</f>
        <v>0</v>
      </c>
      <c r="J35" s="407">
        <f>IF(Init!$R$9="Yes",'Staging Table'!K37,'Staging Table'!BM37)*(-1)*Rates_previous!$H$32</f>
        <v>0</v>
      </c>
      <c r="K35" s="407">
        <f>IF(Init!$R$12="No",0,'Staging Table'!$AW37)</f>
        <v>0</v>
      </c>
      <c r="L35" s="407">
        <f>IF('Staging Table'!C37=1,"",SUM(D35:J35)-K35)</f>
        <v>25299150.706271157</v>
      </c>
      <c r="M35" s="407">
        <f>IF('Staging Table'!C37=1,"",IF(Init!$R$9="Yes",(RT1SC!$C$3*'Staging Table'!F37*'Staging Table'!$F$2),X35))</f>
        <v>732846.57025953603</v>
      </c>
      <c r="N35" s="169">
        <f>IF('Staging Table'!C37=1,"",IF(M35=0, 0, L35/M35))</f>
        <v>34.521756303384919</v>
      </c>
      <c r="O35" s="407">
        <f>'Staging Table'!BH37*Rates_current!$E$75*100*12</f>
        <v>11306080.946880002</v>
      </c>
      <c r="P35" s="407">
        <f>'Staging Table'!BH37*Rates_current!$E$76*100*12</f>
        <v>-1590297.7221599999</v>
      </c>
      <c r="Q35" s="408"/>
      <c r="R35" s="408">
        <f>SUMPRODUCT('Staging Table'!CL37:CW37, LS_Demand_Rates_Restatement!$C$11:$N$11)*1000</f>
        <v>95551.31824511227</v>
      </c>
      <c r="S35" s="409"/>
      <c r="T35" s="409">
        <f>IF('Staging Table'!D37=1, 'Staging Table'!BJ37*-1*('Staging Table'!BH37/'Staging Table'!BG37),SUM(O35:S35)*'Staging Table'!BJ37*-1)</f>
        <v>0</v>
      </c>
      <c r="U35" s="407">
        <f>'Staging Table'!BM37*Rates_current!$H$32*-1</f>
        <v>0</v>
      </c>
      <c r="V35" s="407">
        <f>IF(Init!$R$12="No",0,'Staging Table'!$CY37)</f>
        <v>0</v>
      </c>
      <c r="W35" s="407">
        <f>IF('Staging Table'!C37=1,"",SUM(O35:U35)-V35)</f>
        <v>9811334.5429651141</v>
      </c>
      <c r="X35" s="407">
        <f>IF('Staging Table'!C37=1,"",(RT1SC!$C$4*'Staging Table'!BH37*'Staging Table'!$BH$2))</f>
        <v>269975.693505192</v>
      </c>
      <c r="Y35" s="169">
        <f>IF('Staging Table'!C37=1,"",IF(X35=0, 0, W35/X35))</f>
        <v>36.341547698539124</v>
      </c>
      <c r="Z35" s="160">
        <f ca="1">IF('Staging Table'!C37=1,"",(Y35/N35-1)+(RAND()/100000000000000))</f>
        <v>5.2714334090117367E-2</v>
      </c>
      <c r="AA35" s="97">
        <f t="shared" ca="1" si="0"/>
        <v>5</v>
      </c>
      <c r="AB35" s="397"/>
      <c r="AC35" s="397"/>
      <c r="AD35" s="397"/>
    </row>
    <row r="36" spans="2:30">
      <c r="B36" s="274">
        <v>10089</v>
      </c>
      <c r="C36" s="275" t="s">
        <v>39</v>
      </c>
      <c r="D36" s="407">
        <f>IF(Init!$R$9="Yes",'Staging Table'!F38,'Staging Table'!BH38)*Rates_previous!$E$75*100*12</f>
        <v>36348347.349720001</v>
      </c>
      <c r="E36" s="407">
        <f>IF(Init!$R$9="Yes",'Staging Table'!F38,'Staging Table'!BH38)*Rates_previous!$E$76*100*12</f>
        <v>-5403563.9563200008</v>
      </c>
      <c r="F36" s="408"/>
      <c r="G36" s="408">
        <f>IF(Init!$R$9="Yes",SUMPRODUCT('Staging Table'!AJ38:AU38,LS_Demand_Rates_Restatement!$C$10:$N$10),SUMPRODUCT(LS_Demand_Rates_Restatement!$C$10:$N$10,'Staging Table'!CL38:CW38))*1000</f>
        <v>1779263.0941462254</v>
      </c>
      <c r="H36" s="409"/>
      <c r="I36" s="409">
        <f>IF(Init!$R$9="Yes",IF('Staging Table'!D38=1,'Staging Table'!H38*-1*('Staging Table'!F38/'Staging Table'!E38),'Staging Table'!H38*SUM(D36:H36)*(-1)),IF('Staging Table'!D38=1,'Staging Table'!BJ38*-1*('Staging Table'!BH38/'Staging Table'!BG38),'Staging Table'!BJ38*SUM(D36:H36)*(-1)))</f>
        <v>0</v>
      </c>
      <c r="J36" s="407">
        <f>IF(Init!$R$9="Yes",'Staging Table'!K38,'Staging Table'!BM38)*(-1)*Rates_previous!$H$32</f>
        <v>0</v>
      </c>
      <c r="K36" s="407">
        <f>IF(Init!$R$12="No",0,'Staging Table'!$AW38)</f>
        <v>0</v>
      </c>
      <c r="L36" s="407">
        <f>IF('Staging Table'!C38=1,"",SUM(D36:J36)-K36)</f>
        <v>32724046.487546224</v>
      </c>
      <c r="M36" s="407">
        <f>IF('Staging Table'!C38=1,"",IF(Init!$R$9="Yes",(RT1SC!$C$3*'Staging Table'!F38*'Staging Table'!$F$2),X36))</f>
        <v>900726.42513535195</v>
      </c>
      <c r="N36" s="169">
        <f>IF('Staging Table'!C38=1,"",IF(M36=0, 0, L36/M36))</f>
        <v>36.330727704173647</v>
      </c>
      <c r="O36" s="407">
        <f>'Staging Table'!BH38*Rates_current!$E$75*100*12</f>
        <v>37488637.8288</v>
      </c>
      <c r="P36" s="407">
        <f>'Staging Table'!BH38*Rates_current!$E$76*100*12</f>
        <v>-5273099.9916000003</v>
      </c>
      <c r="Q36" s="408"/>
      <c r="R36" s="408">
        <f>SUMPRODUCT('Staging Table'!CL38:CW38, LS_Demand_Rates_Restatement!$C$11:$N$11)*1000</f>
        <v>1670417.4363388983</v>
      </c>
      <c r="S36" s="409"/>
      <c r="T36" s="409">
        <f>IF('Staging Table'!D38=1, 'Staging Table'!BJ38*-1*('Staging Table'!BH38/'Staging Table'!BG38),SUM(O36:S36)*'Staging Table'!BJ38*-1)</f>
        <v>0</v>
      </c>
      <c r="U36" s="407">
        <f>'Staging Table'!BM38*Rates_current!$H$32*-1</f>
        <v>0</v>
      </c>
      <c r="V36" s="407">
        <f>IF(Init!$R$12="No",0,'Staging Table'!$CY38)</f>
        <v>0</v>
      </c>
      <c r="W36" s="407">
        <f>IF('Staging Table'!C38=1,"",SUM(O36:U36)-V36)</f>
        <v>33885955.273538902</v>
      </c>
      <c r="X36" s="407">
        <f>IF('Staging Table'!C38=1,"",(RT1SC!$C$4*'Staging Table'!BH38*'Staging Table'!$BH$2))</f>
        <v>895183.84345091996</v>
      </c>
      <c r="Y36" s="169">
        <f>IF('Staging Table'!C38=1,"",IF(X36=0, 0, W36/X36))</f>
        <v>37.853626963271665</v>
      </c>
      <c r="Z36" s="160">
        <f ca="1">IF('Staging Table'!C38=1,"",(Y36/N36-1)+(RAND()/100000000000000))</f>
        <v>4.1917664614336853E-2</v>
      </c>
      <c r="AA36" s="97">
        <f ca="1">IF(Z36="","",RANK(Z36,$Z$4:$Z$138))</f>
        <v>81</v>
      </c>
      <c r="AB36" s="397"/>
      <c r="AC36" s="397"/>
      <c r="AD36" s="397"/>
    </row>
    <row r="37" spans="2:30">
      <c r="B37" s="274">
        <v>10091</v>
      </c>
      <c r="C37" s="275" t="s">
        <v>40</v>
      </c>
      <c r="D37" s="407">
        <f>IF(Init!$R$9="Yes",'Staging Table'!F39,'Staging Table'!BH39)*Rates_previous!$E$75*100*12</f>
        <v>3307275.5864399998</v>
      </c>
      <c r="E37" s="407">
        <f>IF(Init!$R$9="Yes",'Staging Table'!F39,'Staging Table'!BH39)*Rates_previous!$E$76*100*12</f>
        <v>-491661.28463999997</v>
      </c>
      <c r="F37" s="408"/>
      <c r="G37" s="408">
        <f>IF(Init!$R$9="Yes",SUMPRODUCT('Staging Table'!AJ39:AU39,LS_Demand_Rates_Restatement!$C$10:$N$10),SUMPRODUCT(LS_Demand_Rates_Restatement!$C$10:$N$10,'Staging Table'!CL39:CW39))*1000</f>
        <v>202798.61035109509</v>
      </c>
      <c r="H37" s="409"/>
      <c r="I37" s="409">
        <f>IF(Init!$R$9="Yes",IF('Staging Table'!D39=1,'Staging Table'!H39*-1*('Staging Table'!F39/'Staging Table'!E39),'Staging Table'!H39*SUM(D37:H37)*(-1)),IF('Staging Table'!D39=1,'Staging Table'!BJ39*-1*('Staging Table'!BH39/'Staging Table'!BG39),'Staging Table'!BJ39*SUM(D37:H37)*(-1)))</f>
        <v>0</v>
      </c>
      <c r="J37" s="407">
        <f>IF(Init!$R$9="Yes",'Staging Table'!K39,'Staging Table'!BM39)*(-1)*Rates_previous!$H$32</f>
        <v>0</v>
      </c>
      <c r="K37" s="407">
        <f>IF(Init!$R$12="No",0,'Staging Table'!$AW39)</f>
        <v>0</v>
      </c>
      <c r="L37" s="407">
        <f>IF('Staging Table'!C39=1,"",SUM(D37:J37)-K37)</f>
        <v>3018412.9121510945</v>
      </c>
      <c r="M37" s="407">
        <f>IF('Staging Table'!C39=1,"",IF(Init!$R$9="Yes",(RT1SC!$C$3*'Staging Table'!F39*'Staging Table'!$F$2),X37))</f>
        <v>81955.597244903998</v>
      </c>
      <c r="N37" s="169">
        <f>IF('Staging Table'!C39=1,"",IF(M37=0, 0, L37/M37))</f>
        <v>36.829856820289102</v>
      </c>
      <c r="O37" s="407">
        <f>'Staging Table'!BH39*Rates_current!$E$75*100*12</f>
        <v>3400970.65056</v>
      </c>
      <c r="P37" s="407">
        <f>'Staging Table'!BH39*Rates_current!$E$76*100*12</f>
        <v>-478375.83192000003</v>
      </c>
      <c r="Q37" s="408"/>
      <c r="R37" s="408">
        <f>SUMPRODUCT('Staging Table'!CL39:CW39, LS_Demand_Rates_Restatement!$C$11:$N$11)*1000</f>
        <v>192062.59850649041</v>
      </c>
      <c r="S37" s="409"/>
      <c r="T37" s="409">
        <f>IF('Staging Table'!D39=1, 'Staging Table'!BJ39*-1*('Staging Table'!BH39/'Staging Table'!BG39),SUM(O37:S37)*'Staging Table'!BJ39*-1)</f>
        <v>0</v>
      </c>
      <c r="U37" s="407">
        <f>'Staging Table'!BM39*Rates_current!$H$32*-1</f>
        <v>0</v>
      </c>
      <c r="V37" s="407">
        <f>IF(Init!$R$12="No",0,'Staging Table'!$CY39)</f>
        <v>0</v>
      </c>
      <c r="W37" s="407">
        <f>IF('Staging Table'!C39=1,"",SUM(O37:U37)-V37)</f>
        <v>3114657.4171464904</v>
      </c>
      <c r="X37" s="407">
        <f>IF('Staging Table'!C39=1,"",(RT1SC!$C$4*'Staging Table'!BH39*'Staging Table'!$BH$2))</f>
        <v>81211.112346504</v>
      </c>
      <c r="Y37" s="169">
        <f>IF('Staging Table'!C39=1,"",IF(X37=0, 0, W37/X37))</f>
        <v>38.352601351612577</v>
      </c>
      <c r="Z37" s="160">
        <f ca="1">IF('Staging Table'!C39=1,"",(Y37/N37-1)+(RAND()/100000000000000))</f>
        <v>4.1345382871131334E-2</v>
      </c>
      <c r="AA37" s="97">
        <f t="shared" ca="1" si="0"/>
        <v>90</v>
      </c>
      <c r="AB37" s="397"/>
      <c r="AC37" s="397"/>
      <c r="AD37" s="397"/>
    </row>
    <row r="38" spans="2:30">
      <c r="B38" s="274">
        <v>10094</v>
      </c>
      <c r="C38" s="275" t="s">
        <v>41</v>
      </c>
      <c r="D38" s="407">
        <f>IF(Init!$R$9="Yes",'Staging Table'!F40,'Staging Table'!BH40)*Rates_previous!$E$75*100*12</f>
        <v>1042604.95248</v>
      </c>
      <c r="E38" s="407">
        <f>IF(Init!$R$9="Yes",'Staging Table'!F40,'Staging Table'!BH40)*Rates_previous!$E$76*100*12</f>
        <v>-154994.18687999999</v>
      </c>
      <c r="F38" s="408"/>
      <c r="G38" s="408">
        <f>IF(Init!$R$9="Yes",SUMPRODUCT('Staging Table'!AJ40:AU40,LS_Demand_Rates_Restatement!$C$10:$N$10),SUMPRODUCT(LS_Demand_Rates_Restatement!$C$10:$N$10,'Staging Table'!CL40:CW40))*1000</f>
        <v>57009.878895254646</v>
      </c>
      <c r="H38" s="409"/>
      <c r="I38" s="409">
        <f>IF(Init!$R$9="Yes",IF('Staging Table'!D40=1,'Staging Table'!H40*-1*('Staging Table'!F40/'Staging Table'!E40),'Staging Table'!H40*SUM(D38:H38)*(-1)),IF('Staging Table'!D40=1,'Staging Table'!BJ40*-1*('Staging Table'!BH40/'Staging Table'!BG40),'Staging Table'!BJ40*SUM(D38:H38)*(-1)))</f>
        <v>0</v>
      </c>
      <c r="J38" s="407">
        <f>IF(Init!$R$9="Yes",'Staging Table'!K40,'Staging Table'!BM40)*(-1)*Rates_previous!$H$32</f>
        <v>0</v>
      </c>
      <c r="K38" s="407">
        <f>IF(Init!$R$12="No",0,'Staging Table'!$AW40)</f>
        <v>0</v>
      </c>
      <c r="L38" s="407">
        <f>IF('Staging Table'!C40=1,"",SUM(D38:J38)-K38)</f>
        <v>944620.64449525473</v>
      </c>
      <c r="M38" s="407">
        <f>IF('Staging Table'!C40=1,"",IF(Init!$R$9="Yes",(RT1SC!$C$3*'Staging Table'!F40*'Staging Table'!$F$2),X38))</f>
        <v>25836.163131167999</v>
      </c>
      <c r="N38" s="169">
        <f>IF('Staging Table'!C40=1,"",IF(M38=0, 0, L38/M38))</f>
        <v>36.561955414954461</v>
      </c>
      <c r="O38" s="407">
        <f>'Staging Table'!BH40*Rates_current!$E$75*100*12</f>
        <v>1096035.3388799999</v>
      </c>
      <c r="P38" s="407">
        <f>'Staging Table'!BH40*Rates_current!$E$76*100*12</f>
        <v>-154166.81615999999</v>
      </c>
      <c r="Q38" s="408"/>
      <c r="R38" s="408">
        <f>SUMPRODUCT('Staging Table'!CL40:CW40, LS_Demand_Rates_Restatement!$C$11:$N$11)*1000</f>
        <v>53354.945680929515</v>
      </c>
      <c r="S38" s="409"/>
      <c r="T38" s="409">
        <f>IF('Staging Table'!D40=1, 'Staging Table'!BJ40*-1*('Staging Table'!BH40/'Staging Table'!BG40),SUM(O38:S38)*'Staging Table'!BJ40*-1)</f>
        <v>0</v>
      </c>
      <c r="U38" s="407">
        <f>'Staging Table'!BM40*Rates_current!$H$32*-1</f>
        <v>0</v>
      </c>
      <c r="V38" s="407">
        <f>IF(Init!$R$12="No",0,'Staging Table'!$CY40)</f>
        <v>0</v>
      </c>
      <c r="W38" s="407">
        <f>IF('Staging Table'!C40=1,"",SUM(O38:U38)-V38)</f>
        <v>995223.46840092947</v>
      </c>
      <c r="X38" s="407">
        <f>IF('Staging Table'!C40=1,"",(RT1SC!$C$4*'Staging Table'!BH40*'Staging Table'!$BH$2))</f>
        <v>26172.013282991997</v>
      </c>
      <c r="Y38" s="169">
        <f>IF('Staging Table'!C40=1,"",IF(X38=0, 0, W38/X38))</f>
        <v>38.026248024552245</v>
      </c>
      <c r="Z38" s="160">
        <f ca="1">IF('Staging Table'!C40=1,"",(Y38/N38-1)+(RAND()/100000000000000))</f>
        <v>4.0049625163070944E-2</v>
      </c>
      <c r="AA38" s="97">
        <f t="shared" ca="1" si="0"/>
        <v>104</v>
      </c>
      <c r="AB38" s="397"/>
      <c r="AC38" s="397"/>
      <c r="AD38" s="397"/>
    </row>
    <row r="39" spans="2:30">
      <c r="B39" s="274">
        <v>10095</v>
      </c>
      <c r="C39" s="275" t="s">
        <v>42</v>
      </c>
      <c r="D39" s="407">
        <f>IF(Init!$R$9="Yes",'Staging Table'!F41,'Staging Table'!BH41)*Rates_previous!$E$75*100*12</f>
        <v>1278502.9865999999</v>
      </c>
      <c r="E39" s="407">
        <f>IF(Init!$R$9="Yes",'Staging Table'!F41,'Staging Table'!BH41)*Rates_previous!$E$76*100*12</f>
        <v>-190062.90960000001</v>
      </c>
      <c r="F39" s="408"/>
      <c r="G39" s="408">
        <f>IF(Init!$R$9="Yes",SUMPRODUCT('Staging Table'!AJ41:AU41,LS_Demand_Rates_Restatement!$C$10:$N$10),SUMPRODUCT(LS_Demand_Rates_Restatement!$C$10:$N$10,'Staging Table'!CL41:CW41))*1000</f>
        <v>62133.003839618927</v>
      </c>
      <c r="H39" s="409"/>
      <c r="I39" s="409">
        <f>IF(Init!$R$9="Yes",IF('Staging Table'!D41=1,'Staging Table'!H41*-1*('Staging Table'!F41/'Staging Table'!E41),'Staging Table'!H41*SUM(D39:H39)*(-1)),IF('Staging Table'!D41=1,'Staging Table'!BJ41*-1*('Staging Table'!BH41/'Staging Table'!BG41),'Staging Table'!BJ41*SUM(D39:H39)*(-1)))</f>
        <v>0</v>
      </c>
      <c r="J39" s="407">
        <f>IF(Init!$R$9="Yes",'Staging Table'!K41,'Staging Table'!BM41)*(-1)*Rates_previous!$H$32</f>
        <v>0</v>
      </c>
      <c r="K39" s="407">
        <f>IF(Init!$R$12="No",0,'Staging Table'!$AW41)</f>
        <v>0</v>
      </c>
      <c r="L39" s="407">
        <f>IF('Staging Table'!C41=1,"",SUM(D39:J39)-K39)</f>
        <v>1150573.080839619</v>
      </c>
      <c r="M39" s="407">
        <f>IF('Staging Table'!C41=1,"",IF(Init!$R$9="Yes",(RT1SC!$C$3*'Staging Table'!F41*'Staging Table'!$F$2),X39))</f>
        <v>31681.809727560005</v>
      </c>
      <c r="N39" s="169">
        <f>IF('Staging Table'!C41=1,"",IF(M39=0, 0, L39/M39))</f>
        <v>36.316520133593741</v>
      </c>
      <c r="O39" s="407">
        <f>'Staging Table'!BH41*Rates_current!$E$75*100*12</f>
        <v>1314885.7238400001</v>
      </c>
      <c r="P39" s="407">
        <f>'Staging Table'!BH41*Rates_current!$E$76*100*12</f>
        <v>-184950.00888000001</v>
      </c>
      <c r="Q39" s="408"/>
      <c r="R39" s="408">
        <f>SUMPRODUCT('Staging Table'!CL41:CW41, LS_Demand_Rates_Restatement!$C$11:$N$11)*1000</f>
        <v>58676.212653231829</v>
      </c>
      <c r="S39" s="409"/>
      <c r="T39" s="409">
        <f>IF('Staging Table'!D41=1, 'Staging Table'!BJ41*-1*('Staging Table'!BH41/'Staging Table'!BG41),SUM(O39:S39)*'Staging Table'!BJ41*-1)</f>
        <v>0</v>
      </c>
      <c r="U39" s="407">
        <f>'Staging Table'!BM41*Rates_current!$H$32*-1</f>
        <v>0</v>
      </c>
      <c r="V39" s="407">
        <f>IF(Init!$R$12="No",0,'Staging Table'!$CY41)</f>
        <v>0</v>
      </c>
      <c r="W39" s="407">
        <f>IF('Staging Table'!C41=1,"",SUM(O39:U39)-V39)</f>
        <v>1188611.9276132318</v>
      </c>
      <c r="X39" s="407">
        <f>IF('Staging Table'!C41=1,"",(RT1SC!$C$4*'Staging Table'!BH41*'Staging Table'!$BH$2))</f>
        <v>31397.898780455998</v>
      </c>
      <c r="Y39" s="169">
        <f>IF('Staging Table'!C41=1,"",IF(X39=0, 0, W39/X39))</f>
        <v>37.856416313855298</v>
      </c>
      <c r="Z39" s="160">
        <f ca="1">IF('Staging Table'!C41=1,"",(Y39/N39-1)+(RAND()/100000000000000))</f>
        <v>4.2402085183187353E-2</v>
      </c>
      <c r="AA39" s="97">
        <f t="shared" ca="1" si="0"/>
        <v>74</v>
      </c>
      <c r="AB39" s="397"/>
      <c r="AC39" s="397"/>
      <c r="AD39" s="397"/>
    </row>
    <row r="40" spans="2:30">
      <c r="B40" s="274">
        <v>10097</v>
      </c>
      <c r="C40" s="275" t="s">
        <v>43</v>
      </c>
      <c r="D40" s="407">
        <f>IF(Init!$R$9="Yes",'Staging Table'!F42,'Staging Table'!BH42)*Rates_previous!$E$75*100*12</f>
        <v>715367.59559999988</v>
      </c>
      <c r="E40" s="407">
        <f>IF(Init!$R$9="Yes",'Staging Table'!F42,'Staging Table'!BH42)*Rates_previous!$E$76*100*12</f>
        <v>-106346.9136</v>
      </c>
      <c r="F40" s="408"/>
      <c r="G40" s="408">
        <f>IF(Init!$R$9="Yes",SUMPRODUCT('Staging Table'!AJ42:AU42,LS_Demand_Rates_Restatement!$C$10:$N$10),SUMPRODUCT(LS_Demand_Rates_Restatement!$C$10:$N$10,'Staging Table'!CL42:CW42))*1000</f>
        <v>37981.071805822641</v>
      </c>
      <c r="H40" s="409"/>
      <c r="I40" s="409">
        <f>IF(Init!$R$9="Yes",IF('Staging Table'!D42=1,'Staging Table'!H42*-1*('Staging Table'!F42/'Staging Table'!E42),'Staging Table'!H42*SUM(D40:H40)*(-1)),IF('Staging Table'!D42=1,'Staging Table'!BJ42*-1*('Staging Table'!BH42/'Staging Table'!BG42),'Staging Table'!BJ42*SUM(D40:H40)*(-1)))</f>
        <v>0</v>
      </c>
      <c r="J40" s="407">
        <f>IF(Init!$R$9="Yes",'Staging Table'!K42,'Staging Table'!BM42)*(-1)*Rates_previous!$H$32</f>
        <v>0</v>
      </c>
      <c r="K40" s="407">
        <f>IF(Init!$R$12="No",0,'Staging Table'!$AW42)</f>
        <v>0</v>
      </c>
      <c r="L40" s="407">
        <f>IF('Staging Table'!C42=1,"",SUM(D40:J40)-K40)</f>
        <v>647001.75380582258</v>
      </c>
      <c r="M40" s="407">
        <f>IF('Staging Table'!C42=1,"",IF(Init!$R$9="Yes",(RT1SC!$C$3*'Staging Table'!F42*'Staging Table'!$F$2),X40))</f>
        <v>17727.09198696</v>
      </c>
      <c r="N40" s="169">
        <f>IF('Staging Table'!C42=1,"",IF(M40=0, 0, L40/M40))</f>
        <v>36.497906948401649</v>
      </c>
      <c r="O40" s="407">
        <f>'Staging Table'!BH42*Rates_current!$E$75*100*12</f>
        <v>735530.92128000013</v>
      </c>
      <c r="P40" s="407">
        <f>'Staging Table'!BH42*Rates_current!$E$76*100*12</f>
        <v>-103458.76295999999</v>
      </c>
      <c r="Q40" s="408"/>
      <c r="R40" s="408">
        <f>SUMPRODUCT('Staging Table'!CL42:CW42, LS_Demand_Rates_Restatement!$C$11:$N$11)*1000</f>
        <v>36169.394992441237</v>
      </c>
      <c r="S40" s="409"/>
      <c r="T40" s="409">
        <f>IF('Staging Table'!D42=1, 'Staging Table'!BJ42*-1*('Staging Table'!BH42/'Staging Table'!BG42),SUM(O40:S40)*'Staging Table'!BJ42*-1)</f>
        <v>0</v>
      </c>
      <c r="U40" s="407">
        <f>'Staging Table'!BM42*Rates_current!$H$32*-1</f>
        <v>0</v>
      </c>
      <c r="V40" s="407">
        <f>IF(Init!$R$12="No",0,'Staging Table'!$CY42)</f>
        <v>0</v>
      </c>
      <c r="W40" s="407">
        <f>IF('Staging Table'!C42=1,"",SUM(O40:U40)-V40)</f>
        <v>668241.55331244145</v>
      </c>
      <c r="X40" s="407">
        <f>IF('Staging Table'!C42=1,"",(RT1SC!$C$4*'Staging Table'!BH42*'Staging Table'!$BH$2))</f>
        <v>17563.598872152001</v>
      </c>
      <c r="Y40" s="169">
        <f>IF('Staging Table'!C42=1,"",IF(X40=0, 0, W40/X40))</f>
        <v>38.046960544741957</v>
      </c>
      <c r="Z40" s="160">
        <f ca="1">IF('Staging Table'!C42=1,"",(Y40/N40-1)+(RAND()/100000000000000))</f>
        <v>4.2442258361022438E-2</v>
      </c>
      <c r="AA40" s="97">
        <f t="shared" ca="1" si="0"/>
        <v>72</v>
      </c>
      <c r="AB40" s="397"/>
      <c r="AC40" s="397"/>
      <c r="AD40" s="397"/>
    </row>
    <row r="41" spans="2:30">
      <c r="B41" s="274">
        <v>10101</v>
      </c>
      <c r="C41" s="275" t="s">
        <v>44</v>
      </c>
      <c r="D41" s="407">
        <f>IF(Init!$R$9="Yes",'Staging Table'!F43,'Staging Table'!BH43)*Rates_previous!$E$75*100*12</f>
        <v>26686924.29648</v>
      </c>
      <c r="E41" s="407">
        <f>IF(Init!$R$9="Yes",'Staging Table'!F43,'Staging Table'!BH43)*Rates_previous!$E$76*100*12</f>
        <v>-3967291.8508799993</v>
      </c>
      <c r="F41" s="408"/>
      <c r="G41" s="408">
        <f>IF(Init!$R$9="Yes",SUMPRODUCT('Staging Table'!AJ43:AU43,LS_Demand_Rates_Restatement!$C$10:$N$10),SUMPRODUCT(LS_Demand_Rates_Restatement!$C$10:$N$10,'Staging Table'!CL43:CW43))*1000</f>
        <v>2252444.6663425216</v>
      </c>
      <c r="H41" s="409"/>
      <c r="I41" s="409">
        <f>IF(Init!$R$9="Yes",IF('Staging Table'!D43=1,'Staging Table'!H43*-1*('Staging Table'!F43/'Staging Table'!E43),'Staging Table'!H43*SUM(D41:H41)*(-1)),IF('Staging Table'!D43=1,'Staging Table'!BJ43*-1*('Staging Table'!BH43/'Staging Table'!BG43),'Staging Table'!BJ43*SUM(D41:H41)*(-1)))</f>
        <v>-1428652.5315742316</v>
      </c>
      <c r="J41" s="407">
        <f>IF(Init!$R$9="Yes",'Staging Table'!K43,'Staging Table'!BM43)*(-1)*Rates_previous!$H$32</f>
        <v>0</v>
      </c>
      <c r="K41" s="407">
        <f>IF(Init!$R$12="No",0,'Staging Table'!$AW43)</f>
        <v>0</v>
      </c>
      <c r="L41" s="407">
        <f>IF('Staging Table'!C43=1,"",SUM(D41:J41)-K41)</f>
        <v>23543424.580368292</v>
      </c>
      <c r="M41" s="407">
        <f>IF('Staging Table'!C43=1,"",IF(Init!$R$9="Yes",(RT1SC!$C$3*'Staging Table'!F43*'Staging Table'!$F$2),X41))</f>
        <v>661312.540241568</v>
      </c>
      <c r="N41" s="169">
        <f>IF('Staging Table'!C43=1,"",IF(M41=0, 0, L41/M41))</f>
        <v>35.601055700181064</v>
      </c>
      <c r="O41" s="407">
        <f>'Staging Table'!BH43*Rates_current!$E$75*100*12</f>
        <v>27443430.636480004</v>
      </c>
      <c r="P41" s="407">
        <f>'Staging Table'!BH43*Rates_current!$E$76*100*12</f>
        <v>-3860155.02936</v>
      </c>
      <c r="Q41" s="408"/>
      <c r="R41" s="408">
        <f>SUMPRODUCT('Staging Table'!CL43:CW43, LS_Demand_Rates_Restatement!$C$11:$N$11)*1000</f>
        <v>2218839.7319674054</v>
      </c>
      <c r="S41" s="409"/>
      <c r="T41" s="409">
        <f>IF('Staging Table'!D43=1, 'Staging Table'!BJ43*-1*('Staging Table'!BH43/'Staging Table'!BG43),SUM(O41:S41)*'Staging Table'!BJ43*-1)</f>
        <v>-1454154.1455790289</v>
      </c>
      <c r="U41" s="407">
        <f>'Staging Table'!BM43*Rates_current!$H$32*-1</f>
        <v>0</v>
      </c>
      <c r="V41" s="407">
        <f>IF(Init!$R$12="No",0,'Staging Table'!$CY43)</f>
        <v>0</v>
      </c>
      <c r="W41" s="407">
        <f>IF('Staging Table'!C43=1,"",SUM(O41:U41)-V41)</f>
        <v>24347961.193508379</v>
      </c>
      <c r="X41" s="407">
        <f>IF('Staging Table'!C43=1,"",(RT1SC!$C$4*'Staging Table'!BH43*'Staging Table'!$BH$2))</f>
        <v>655316.30748583202</v>
      </c>
      <c r="Y41" s="169">
        <f>IF('Staging Table'!C43=1,"",IF(X41=0, 0, W41/X41))</f>
        <v>37.154517467940146</v>
      </c>
      <c r="Z41" s="160">
        <f ca="1">IF('Staging Table'!C43=1,"",(Y41/N41-1)+(RAND()/100000000000000))</f>
        <v>4.36352725279247E-2</v>
      </c>
      <c r="AA41" s="97">
        <f t="shared" ca="1" si="0"/>
        <v>61</v>
      </c>
      <c r="AB41" s="397"/>
      <c r="AC41" s="397"/>
      <c r="AD41" s="397"/>
    </row>
    <row r="42" spans="2:30">
      <c r="B42" s="274">
        <v>10103</v>
      </c>
      <c r="C42" s="275" t="s">
        <v>45</v>
      </c>
      <c r="D42" s="407">
        <f>IF(Init!$R$9="Yes",'Staging Table'!F44,'Staging Table'!BH44)*Rates_previous!$E$75*100*12</f>
        <v>51255469.394639991</v>
      </c>
      <c r="E42" s="407">
        <f>IF(Init!$R$9="Yes",'Staging Table'!F44,'Staging Table'!BH44)*Rates_previous!$E$76*100*12</f>
        <v>-7619664.3638400007</v>
      </c>
      <c r="F42" s="408"/>
      <c r="G42" s="408">
        <f>IF(Init!$R$9="Yes",SUMPRODUCT('Staging Table'!AJ44:AU44,LS_Demand_Rates_Restatement!$C$10:$N$10),SUMPRODUCT(LS_Demand_Rates_Restatement!$C$10:$N$10,'Staging Table'!CL44:CW44))*1000</f>
        <v>0</v>
      </c>
      <c r="H42" s="409"/>
      <c r="I42" s="409">
        <f>IF(Init!$R$9="Yes",IF('Staging Table'!D44=1,'Staging Table'!H44*-1*('Staging Table'!F44/'Staging Table'!E44),'Staging Table'!H44*SUM(D42:H42)*(-1)),IF('Staging Table'!D44=1,'Staging Table'!BJ44*-1*('Staging Table'!BH44/'Staging Table'!BG44),'Staging Table'!BJ44*SUM(D42:H42)*(-1)))</f>
        <v>0</v>
      </c>
      <c r="J42" s="407">
        <f>IF(Init!$R$9="Yes",'Staging Table'!K44,'Staging Table'!BM44)*(-1)*Rates_previous!$H$32</f>
        <v>0</v>
      </c>
      <c r="K42" s="407">
        <f>IF(Init!$R$12="No",0,'Staging Table'!$AW44)</f>
        <v>0</v>
      </c>
      <c r="L42" s="407">
        <f>IF('Staging Table'!C44=1,"",SUM(D42:J42)-K42)</f>
        <v>43635805.030799992</v>
      </c>
      <c r="M42" s="407">
        <f>IF('Staging Table'!C44=1,"",IF(Init!$R$9="Yes",(RT1SC!$C$3*'Staging Table'!F44*'Staging Table'!$F$2),X42))</f>
        <v>1270130.8060110239</v>
      </c>
      <c r="N42" s="169">
        <f>IF('Staging Table'!C44=1,"",IF(M42=0, 0, L42/M42))</f>
        <v>34.355363104562997</v>
      </c>
      <c r="O42" s="407">
        <f>'Staging Table'!BH44*Rates_current!$E$75*100*12</f>
        <v>53939613.623040006</v>
      </c>
      <c r="P42" s="407">
        <f>'Staging Table'!BH44*Rates_current!$E$76*100*12</f>
        <v>-7587071.5132800005</v>
      </c>
      <c r="Q42" s="408"/>
      <c r="R42" s="408">
        <f>SUMPRODUCT('Staging Table'!CL44:CW44, LS_Demand_Rates_Restatement!$C$11:$N$11)*1000</f>
        <v>0</v>
      </c>
      <c r="S42" s="409"/>
      <c r="T42" s="409">
        <f>IF('Staging Table'!D44=1, 'Staging Table'!BJ44*-1*('Staging Table'!BH44/'Staging Table'!BG44),SUM(O42:S42)*'Staging Table'!BJ44*-1)</f>
        <v>0</v>
      </c>
      <c r="U42" s="407">
        <f>'Staging Table'!BM44*Rates_current!$H$32*-1</f>
        <v>0</v>
      </c>
      <c r="V42" s="407">
        <f>IF(Init!$R$12="No",0,'Staging Table'!$CY44)</f>
        <v>0</v>
      </c>
      <c r="W42" s="407">
        <f>IF('Staging Table'!C44=1,"",SUM(O42:U42)-V42)</f>
        <v>46352542.109760001</v>
      </c>
      <c r="X42" s="407">
        <f>IF('Staging Table'!C44=1,"",(RT1SC!$C$4*'Staging Table'!BH44*'Staging Table'!$BH$2))</f>
        <v>1288013.4737847361</v>
      </c>
      <c r="Y42" s="169">
        <f>IF('Staging Table'!C44=1,"",IF(X42=0, 0, W42/X42))</f>
        <v>35.987622065440313</v>
      </c>
      <c r="Z42" s="160">
        <f ca="1">IF('Staging Table'!C44=1,"",(Y42/N42-1)+(RAND()/100000000000000))</f>
        <v>4.7511037968359031E-2</v>
      </c>
      <c r="AA42" s="97">
        <f t="shared" ca="1" si="0"/>
        <v>18</v>
      </c>
      <c r="AB42" s="397"/>
      <c r="AC42" s="397"/>
      <c r="AD42" s="397"/>
    </row>
    <row r="43" spans="2:30">
      <c r="B43" s="274">
        <v>10105</v>
      </c>
      <c r="C43" s="275" t="s">
        <v>46</v>
      </c>
      <c r="D43" s="407">
        <f>IF(Init!$R$9="Yes",'Staging Table'!F45,'Staging Table'!BH45)*Rates_previous!$E$75*100*12</f>
        <v>11899112.694840003</v>
      </c>
      <c r="E43" s="407">
        <f>IF(Init!$R$9="Yes",'Staging Table'!F45,'Staging Table'!BH45)*Rates_previous!$E$76*100*12</f>
        <v>-1768928.1950400001</v>
      </c>
      <c r="F43" s="408"/>
      <c r="G43" s="408">
        <f>IF(Init!$R$9="Yes",SUMPRODUCT('Staging Table'!AJ45:AU45,LS_Demand_Rates_Restatement!$C$10:$N$10),SUMPRODUCT(LS_Demand_Rates_Restatement!$C$10:$N$10,'Staging Table'!CL45:CW45))*1000</f>
        <v>0</v>
      </c>
      <c r="H43" s="409"/>
      <c r="I43" s="409">
        <f>IF(Init!$R$9="Yes",IF('Staging Table'!D45=1,'Staging Table'!H45*-1*('Staging Table'!F45/'Staging Table'!E45),'Staging Table'!H45*SUM(D43:H43)*(-1)),IF('Staging Table'!D45=1,'Staging Table'!BJ45*-1*('Staging Table'!BH45/'Staging Table'!BG45),'Staging Table'!BJ45*SUM(D43:H43)*(-1)))</f>
        <v>0</v>
      </c>
      <c r="J43" s="407">
        <f>IF(Init!$R$9="Yes",'Staging Table'!K45,'Staging Table'!BM45)*(-1)*Rates_previous!$H$32</f>
        <v>0</v>
      </c>
      <c r="K43" s="407">
        <f>IF(Init!$R$12="No",0,'Staging Table'!$AW45)</f>
        <v>0</v>
      </c>
      <c r="L43" s="407">
        <f>IF('Staging Table'!C45=1,"",SUM(D43:J43)-K43)</f>
        <v>10130184.499800002</v>
      </c>
      <c r="M43" s="407">
        <f>IF('Staging Table'!C45=1,"",IF(Init!$R$9="Yes",(RT1SC!$C$3*'Staging Table'!F45*'Staging Table'!$F$2),X43))</f>
        <v>294864.71934434405</v>
      </c>
      <c r="N43" s="169">
        <f>IF('Staging Table'!C45=1,"",IF(M43=0, 0, L43/M43))</f>
        <v>34.355363104563004</v>
      </c>
      <c r="O43" s="407">
        <f>'Staging Table'!BH45*Rates_current!$E$75*100*12</f>
        <v>12517019.1072</v>
      </c>
      <c r="P43" s="407">
        <f>'Staging Table'!BH45*Rates_current!$E$76*100*12</f>
        <v>-1760626.6104000001</v>
      </c>
      <c r="Q43" s="408"/>
      <c r="R43" s="408">
        <f>SUMPRODUCT('Staging Table'!CL45:CW45, LS_Demand_Rates_Restatement!$C$11:$N$11)*1000</f>
        <v>0</v>
      </c>
      <c r="S43" s="409"/>
      <c r="T43" s="409">
        <f>IF('Staging Table'!D45=1, 'Staging Table'!BJ45*-1*('Staging Table'!BH45/'Staging Table'!BG45),SUM(O43:S43)*'Staging Table'!BJ45*-1)</f>
        <v>0</v>
      </c>
      <c r="U43" s="407">
        <f>'Staging Table'!BM45*Rates_current!$H$32*-1</f>
        <v>0</v>
      </c>
      <c r="V43" s="407">
        <f>IF(Init!$R$12="No",0,'Staging Table'!$CY45)</f>
        <v>0</v>
      </c>
      <c r="W43" s="407">
        <f>IF('Staging Table'!C45=1,"",SUM(O43:U43)-V43)</f>
        <v>10756392.4968</v>
      </c>
      <c r="X43" s="407">
        <f>IF('Staging Table'!C45=1,"",(RT1SC!$C$4*'Staging Table'!BH45*'Staging Table'!$BH$2))</f>
        <v>298891.44876647997</v>
      </c>
      <c r="Y43" s="169">
        <f>IF('Staging Table'!C45=1,"",IF(X43=0, 0, W43/X43))</f>
        <v>35.98762206544032</v>
      </c>
      <c r="Z43" s="160">
        <f ca="1">IF('Staging Table'!C45=1,"",(Y43/N43-1)+(RAND()/100000000000000))</f>
        <v>4.751103796835876E-2</v>
      </c>
      <c r="AA43" s="97">
        <f t="shared" ca="1" si="0"/>
        <v>19</v>
      </c>
      <c r="AB43" s="397"/>
      <c r="AC43" s="397"/>
      <c r="AD43" s="397"/>
    </row>
    <row r="44" spans="2:30">
      <c r="B44" s="274">
        <v>10106</v>
      </c>
      <c r="C44" s="275" t="s">
        <v>47</v>
      </c>
      <c r="D44" s="407">
        <f>IF(Init!$R$9="Yes",'Staging Table'!F46,'Staging Table'!BH46)*Rates_previous!$E$75*100*12</f>
        <v>8202964.2735599997</v>
      </c>
      <c r="E44" s="407">
        <f>IF(Init!$R$9="Yes",'Staging Table'!F46,'Staging Table'!BH46)*Rates_previous!$E$76*100*12</f>
        <v>-1219456.8753599999</v>
      </c>
      <c r="F44" s="408"/>
      <c r="G44" s="408">
        <f>IF(Init!$R$9="Yes",SUMPRODUCT('Staging Table'!AJ46:AU46,LS_Demand_Rates_Restatement!$C$10:$N$10),SUMPRODUCT(LS_Demand_Rates_Restatement!$C$10:$N$10,'Staging Table'!CL46:CW46))*1000</f>
        <v>0</v>
      </c>
      <c r="H44" s="409"/>
      <c r="I44" s="409">
        <f>IF(Init!$R$9="Yes",IF('Staging Table'!D46=1,'Staging Table'!H46*-1*('Staging Table'!F46/'Staging Table'!E46),'Staging Table'!H46*SUM(D44:H44)*(-1)),IF('Staging Table'!D46=1,'Staging Table'!BJ46*-1*('Staging Table'!BH46/'Staging Table'!BG46),'Staging Table'!BJ46*SUM(D44:H44)*(-1)))</f>
        <v>-488845.51787400001</v>
      </c>
      <c r="J44" s="407">
        <f>IF(Init!$R$9="Yes",'Staging Table'!K46,'Staging Table'!BM46)*(-1)*Rates_previous!$H$32</f>
        <v>0</v>
      </c>
      <c r="K44" s="407">
        <f>IF(Init!$R$12="No",0,'Staging Table'!$AW46)</f>
        <v>0</v>
      </c>
      <c r="L44" s="407" t="str">
        <f>IF('Staging Table'!C46=1,"",SUM(D44:J44)-K44)</f>
        <v/>
      </c>
      <c r="M44" s="407" t="str">
        <f>IF('Staging Table'!C46=1,"",IF(Init!$R$9="Yes",(RT1SC!$C$3*'Staging Table'!F46*'Staging Table'!$F$2),X44))</f>
        <v/>
      </c>
      <c r="N44" s="169" t="str">
        <f>IF('Staging Table'!C46=1,"",IF(M44=0, 0, L44/M44))</f>
        <v/>
      </c>
      <c r="O44" s="407">
        <f>'Staging Table'!BH46*Rates_current!$E$75*100*12</f>
        <v>8619495.0220799986</v>
      </c>
      <c r="P44" s="407">
        <f>'Staging Table'!BH46*Rates_current!$E$76*100*12</f>
        <v>-1212406.2585599998</v>
      </c>
      <c r="Q44" s="408"/>
      <c r="R44" s="408">
        <f>SUMPRODUCT('Staging Table'!CL46:CW46, LS_Demand_Rates_Restatement!$C$11:$N$11)*1000</f>
        <v>0</v>
      </c>
      <c r="S44" s="409"/>
      <c r="T44" s="409">
        <f>IF('Staging Table'!D46=1, 'Staging Table'!BJ46*-1*('Staging Table'!BH46/'Staging Table'!BG46),SUM(O44:S44)*'Staging Table'!BJ46*-1)</f>
        <v>-520107.13545787369</v>
      </c>
      <c r="U44" s="407">
        <f>'Staging Table'!BM46*Rates_current!$H$32*-1</f>
        <v>0</v>
      </c>
      <c r="V44" s="407">
        <f>IF(Init!$R$12="No",0,'Staging Table'!$CY46)</f>
        <v>0</v>
      </c>
      <c r="W44" s="407" t="str">
        <f>IF('Staging Table'!C46=1,"",SUM(O44:U44)-V44)</f>
        <v/>
      </c>
      <c r="X44" s="407" t="str">
        <f>IF('Staging Table'!C46=1,"",(RT1SC!$C$4*'Staging Table'!BH46*'Staging Table'!$BH$2))</f>
        <v/>
      </c>
      <c r="Y44" s="169" t="str">
        <f>IF('Staging Table'!C46=1,"",IF(X44=0, 0, W44/X44))</f>
        <v/>
      </c>
      <c r="Z44" s="160" t="str">
        <f ca="1">IF('Staging Table'!C46=1,"",(Y44/N44-1)+(RAND()/100000000000000))</f>
        <v/>
      </c>
      <c r="AA44" s="97" t="str">
        <f t="shared" ca="1" si="0"/>
        <v/>
      </c>
      <c r="AB44" s="397"/>
      <c r="AC44" s="397"/>
      <c r="AD44" s="397"/>
    </row>
    <row r="45" spans="2:30">
      <c r="B45" s="274">
        <v>10109</v>
      </c>
      <c r="C45" s="275" t="s">
        <v>48</v>
      </c>
      <c r="D45" s="407">
        <f>IF(Init!$R$9="Yes",'Staging Table'!F47,'Staging Table'!BH47)*Rates_previous!$E$75*100*12</f>
        <v>4253590.5753600001</v>
      </c>
      <c r="E45" s="407">
        <f>IF(Init!$R$9="Yes",'Staging Table'!F47,'Staging Table'!BH47)*Rates_previous!$E$76*100*12</f>
        <v>-632340.95615999994</v>
      </c>
      <c r="F45" s="408"/>
      <c r="G45" s="408">
        <f>IF(Init!$R$9="Yes",SUMPRODUCT('Staging Table'!AJ47:AU47,LS_Demand_Rates_Restatement!$C$10:$N$10),SUMPRODUCT(LS_Demand_Rates_Restatement!$C$10:$N$10,'Staging Table'!CL47:CW47))*1000</f>
        <v>341558.98097298783</v>
      </c>
      <c r="H45" s="409"/>
      <c r="I45" s="409">
        <f>IF(Init!$R$9="Yes",IF('Staging Table'!D47=1,'Staging Table'!H47*-1*('Staging Table'!F47/'Staging Table'!E47),'Staging Table'!H47*SUM(D45:H45)*(-1)),IF('Staging Table'!D47=1,'Staging Table'!BJ47*-1*('Staging Table'!BH47/'Staging Table'!BG47),'Staging Table'!BJ47*SUM(D45:H45)*(-1)))</f>
        <v>-291583.45680072851</v>
      </c>
      <c r="J45" s="407">
        <f>IF(Init!$R$9="Yes",'Staging Table'!K47,'Staging Table'!BM47)*(-1)*Rates_previous!$H$32</f>
        <v>-248350.94295000003</v>
      </c>
      <c r="K45" s="407">
        <f>IF(Init!$R$12="No",0,'Staging Table'!$AW47)</f>
        <v>0</v>
      </c>
      <c r="L45" s="407">
        <f>IF('Staging Table'!C47=1,"",SUM(D45:J45)-K45)</f>
        <v>3422874.2004222595</v>
      </c>
      <c r="M45" s="407">
        <f>IF('Staging Table'!C47=1,"",IF(Init!$R$9="Yes",(RT1SC!$C$3*'Staging Table'!F47*'Staging Table'!$F$2),X45))</f>
        <v>105405.656990976</v>
      </c>
      <c r="N45" s="169">
        <f>IF('Staging Table'!C47=1,"",IF(M45=0, 0, L45/M45))</f>
        <v>32.473344392846954</v>
      </c>
      <c r="O45" s="407">
        <f>'Staging Table'!BH47*Rates_current!$E$75*100*12</f>
        <v>4374459.9648000002</v>
      </c>
      <c r="P45" s="407">
        <f>'Staging Table'!BH47*Rates_current!$E$76*100*12</f>
        <v>-615305.49360000005</v>
      </c>
      <c r="Q45" s="408"/>
      <c r="R45" s="408">
        <f>SUMPRODUCT('Staging Table'!CL47:CW47, LS_Demand_Rates_Restatement!$C$11:$N$11)*1000</f>
        <v>330834.95169613604</v>
      </c>
      <c r="S45" s="409"/>
      <c r="T45" s="409">
        <f>IF('Staging Table'!D47=1, 'Staging Table'!BJ47*-1*('Staging Table'!BH47/'Staging Table'!BG47),SUM(O45:S45)*'Staging Table'!BJ47*-1)</f>
        <v>-339986.37336251681</v>
      </c>
      <c r="U45" s="407">
        <f>'Staging Table'!BM47*Rates_current!$H$32*-1</f>
        <v>-248139.93960000004</v>
      </c>
      <c r="V45" s="407">
        <f>IF(Init!$R$12="No",0,'Staging Table'!$CY47)</f>
        <v>0</v>
      </c>
      <c r="W45" s="407">
        <f>IF('Staging Table'!C47=1,"",SUM(O45:U45)-V45)</f>
        <v>3501863.1099336189</v>
      </c>
      <c r="X45" s="407">
        <f>IF('Staging Table'!C47=1,"",(RT1SC!$C$4*'Staging Table'!BH47*'Staging Table'!$BH$2))</f>
        <v>104456.87309831999</v>
      </c>
      <c r="Y45" s="169">
        <f>IF('Staging Table'!C47=1,"",IF(X45=0, 0, W45/X45))</f>
        <v>33.524487245922934</v>
      </c>
      <c r="Z45" s="160">
        <f ca="1">IF('Staging Table'!C47=1,"",(Y45/N45-1)+(RAND()/100000000000000))</f>
        <v>3.2369405514871358E-2</v>
      </c>
      <c r="AA45" s="97">
        <f t="shared" ca="1" si="0"/>
        <v>112</v>
      </c>
      <c r="AB45" s="397"/>
      <c r="AC45" s="397"/>
      <c r="AD45" s="397"/>
    </row>
    <row r="46" spans="2:30">
      <c r="B46" s="274">
        <v>10111</v>
      </c>
      <c r="C46" s="275" t="s">
        <v>49</v>
      </c>
      <c r="D46" s="407">
        <f>IF(Init!$R$9="Yes",'Staging Table'!F48,'Staging Table'!BH48)*Rates_previous!$E$75*100*12</f>
        <v>1029733.2864</v>
      </c>
      <c r="E46" s="407">
        <f>IF(Init!$R$9="Yes",'Staging Table'!F48,'Staging Table'!BH48)*Rates_previous!$E$76*100*12</f>
        <v>-153080.67839999998</v>
      </c>
      <c r="F46" s="408"/>
      <c r="G46" s="408">
        <f>IF(Init!$R$9="Yes",SUMPRODUCT('Staging Table'!AJ48:AU48,LS_Demand_Rates_Restatement!$C$10:$N$10),SUMPRODUCT(LS_Demand_Rates_Restatement!$C$10:$N$10,'Staging Table'!CL48:CW48))*1000</f>
        <v>81078.530136111105</v>
      </c>
      <c r="H46" s="409"/>
      <c r="I46" s="409">
        <f>IF(Init!$R$9="Yes",IF('Staging Table'!D48=1,'Staging Table'!H48*-1*('Staging Table'!F48/'Staging Table'!E48),'Staging Table'!H48*SUM(D46:H46)*(-1)),IF('Staging Table'!D48=1,'Staging Table'!BJ48*-1*('Staging Table'!BH48/'Staging Table'!BG48),'Staging Table'!BJ48*SUM(D46:H46)*(-1)))</f>
        <v>-67041.179669527788</v>
      </c>
      <c r="J46" s="407">
        <f>IF(Init!$R$9="Yes",'Staging Table'!K48,'Staging Table'!BM48)*(-1)*Rates_previous!$H$32</f>
        <v>-61529.428729999992</v>
      </c>
      <c r="K46" s="407">
        <f>IF(Init!$R$12="No",0,'Staging Table'!$AW48)</f>
        <v>0</v>
      </c>
      <c r="L46" s="407">
        <f>IF('Staging Table'!C48=1,"",SUM(D46:J46)-K46)</f>
        <v>829160.52973658324</v>
      </c>
      <c r="M46" s="407">
        <f>IF('Staging Table'!C48=1,"",IF(Init!$R$9="Yes",(RT1SC!$C$3*'Staging Table'!F48*'Staging Table'!$F$2),X46))</f>
        <v>25517.198154239999</v>
      </c>
      <c r="N46" s="169">
        <f>IF('Staging Table'!C48=1,"",IF(M46=0, 0, L46/M46))</f>
        <v>32.494183911755528</v>
      </c>
      <c r="O46" s="407">
        <f>'Staging Table'!BH48*Rates_current!$E$75*100*12</f>
        <v>1082277.5731200003</v>
      </c>
      <c r="P46" s="407">
        <f>'Staging Table'!BH48*Rates_current!$E$76*100*12</f>
        <v>-152231.66784000001</v>
      </c>
      <c r="Q46" s="408"/>
      <c r="R46" s="408">
        <f>SUMPRODUCT('Staging Table'!CL48:CW48, LS_Demand_Rates_Restatement!$C$11:$N$11)*1000</f>
        <v>79976.186937455495</v>
      </c>
      <c r="S46" s="409"/>
      <c r="T46" s="409">
        <f>IF('Staging Table'!D48=1, 'Staging Table'!BJ48*-1*('Staging Table'!BH48/'Staging Table'!BG48),SUM(O46:S46)*'Staging Table'!BJ48*-1)</f>
        <v>-70701.54645522192</v>
      </c>
      <c r="U46" s="407">
        <f>'Staging Table'!BM48*Rates_current!$H$32*-1</f>
        <v>-61477.152239999996</v>
      </c>
      <c r="V46" s="407">
        <f>IF(Init!$R$12="No",0,'Staging Table'!$CY48)</f>
        <v>0</v>
      </c>
      <c r="W46" s="407">
        <f>IF('Staging Table'!C48=1,"",SUM(O46:U46)-V46)</f>
        <v>877843.39352223394</v>
      </c>
      <c r="X46" s="407">
        <f>IF('Staging Table'!C48=1,"",(RT1SC!$C$4*'Staging Table'!BH48*'Staging Table'!$BH$2))</f>
        <v>25843.494287808</v>
      </c>
      <c r="Y46" s="169">
        <f>IF('Staging Table'!C48=1,"",IF(X46=0, 0, W46/X46))</f>
        <v>33.967674175406216</v>
      </c>
      <c r="Z46" s="160">
        <f ca="1">IF('Staging Table'!C48=1,"",(Y46/N46-1)+(RAND()/100000000000000))</f>
        <v>4.5346276972284695E-2</v>
      </c>
      <c r="AA46" s="97">
        <f t="shared" ca="1" si="0"/>
        <v>41</v>
      </c>
      <c r="AB46" s="397"/>
      <c r="AC46" s="397"/>
      <c r="AD46" s="397"/>
    </row>
    <row r="47" spans="2:30">
      <c r="B47" s="274">
        <v>10112</v>
      </c>
      <c r="C47" s="275" t="s">
        <v>50</v>
      </c>
      <c r="D47" s="407">
        <f>IF(Init!$R$9="Yes",'Staging Table'!F49,'Staging Table'!BH49)*Rates_previous!$E$75*100*12</f>
        <v>19834494.833159998</v>
      </c>
      <c r="E47" s="407">
        <f>IF(Init!$R$9="Yes",'Staging Table'!F49,'Staging Table'!BH49)*Rates_previous!$E$76*100*12</f>
        <v>-2948606.1729600001</v>
      </c>
      <c r="F47" s="408"/>
      <c r="G47" s="408">
        <f>IF(Init!$R$9="Yes",SUMPRODUCT('Staging Table'!AJ49:AU49,LS_Demand_Rates_Restatement!$C$10:$N$10),SUMPRODUCT(LS_Demand_Rates_Restatement!$C$10:$N$10,'Staging Table'!CL49:CW49))*1000</f>
        <v>1260165.8245147793</v>
      </c>
      <c r="H47" s="409"/>
      <c r="I47" s="409">
        <f>IF(Init!$R$9="Yes",IF('Staging Table'!D49=1,'Staging Table'!H49*-1*('Staging Table'!F49/'Staging Table'!E49),'Staging Table'!H49*SUM(D47:H47)*(-1)),IF('Staging Table'!D49=1,'Staging Table'!BJ49*-1*('Staging Table'!BH49/'Staging Table'!BG49),'Staging Table'!BJ49*SUM(D47:H47)*(-1)))</f>
        <v>0</v>
      </c>
      <c r="J47" s="407">
        <f>IF(Init!$R$9="Yes",'Staging Table'!K49,'Staging Table'!BM49)*(-1)*Rates_previous!$H$32</f>
        <v>0</v>
      </c>
      <c r="K47" s="407">
        <f>IF(Init!$R$12="No",0,'Staging Table'!$AW49)</f>
        <v>0</v>
      </c>
      <c r="L47" s="407">
        <f>IF('Staging Table'!C49=1,"",SUM(D47:J47)-K47)</f>
        <v>18146054.48471478</v>
      </c>
      <c r="M47" s="407">
        <f>IF('Staging Table'!C49=1,"",IF(Init!$R$9="Yes",(RT1SC!$C$3*'Staging Table'!F49*'Staging Table'!$F$2),X47))</f>
        <v>491506.62762045604</v>
      </c>
      <c r="N47" s="169">
        <f>IF('Staging Table'!C49=1,"",IF(M47=0, 0, L47/M47))</f>
        <v>36.91924679137238</v>
      </c>
      <c r="O47" s="407">
        <f>'Staging Table'!BH49*Rates_current!$E$75*100*12</f>
        <v>20555885.459520001</v>
      </c>
      <c r="P47" s="407">
        <f>'Staging Table'!BH49*Rates_current!$E$76*100*12</f>
        <v>-2891362.4426400005</v>
      </c>
      <c r="Q47" s="408"/>
      <c r="R47" s="408">
        <f>SUMPRODUCT('Staging Table'!CL49:CW49, LS_Demand_Rates_Restatement!$C$11:$N$11)*1000</f>
        <v>1201987.4765862892</v>
      </c>
      <c r="S47" s="409"/>
      <c r="T47" s="409">
        <f>IF('Staging Table'!D49=1, 'Staging Table'!BJ49*-1*('Staging Table'!BH49/'Staging Table'!BG49),SUM(O47:S47)*'Staging Table'!BJ49*-1)</f>
        <v>0</v>
      </c>
      <c r="U47" s="407">
        <f>'Staging Table'!BM49*Rates_current!$H$32*-1</f>
        <v>0</v>
      </c>
      <c r="V47" s="407">
        <f>IF(Init!$R$12="No",0,'Staging Table'!$CY49)</f>
        <v>0</v>
      </c>
      <c r="W47" s="407">
        <f>IF('Staging Table'!C49=1,"",SUM(O47:U47)-V47)</f>
        <v>18866510.493466292</v>
      </c>
      <c r="X47" s="407">
        <f>IF('Staging Table'!C49=1,"",(RT1SC!$C$4*'Staging Table'!BH49*'Staging Table'!$BH$2))</f>
        <v>490849.964600568</v>
      </c>
      <c r="Y47" s="169">
        <f>IF('Staging Table'!C49=1,"",IF(X47=0, 0, W47/X47))</f>
        <v>38.436410011395282</v>
      </c>
      <c r="Z47" s="160">
        <f ca="1">IF('Staging Table'!C49=1,"",(Y47/N47-1)+(RAND()/100000000000000))</f>
        <v>4.1094100012290483E-2</v>
      </c>
      <c r="AA47" s="97">
        <f t="shared" ca="1" si="0"/>
        <v>95</v>
      </c>
      <c r="AB47" s="397"/>
      <c r="AC47" s="397"/>
      <c r="AD47" s="397"/>
    </row>
    <row r="48" spans="2:30">
      <c r="B48" s="274">
        <v>10113</v>
      </c>
      <c r="C48" s="275" t="s">
        <v>51</v>
      </c>
      <c r="D48" s="407">
        <f>IF(Init!$R$9="Yes",'Staging Table'!F50,'Staging Table'!BH50)*Rates_previous!$E$75*100*12</f>
        <v>13230835.070040001</v>
      </c>
      <c r="E48" s="407">
        <f>IF(Init!$R$9="Yes",'Staging Table'!F50,'Staging Table'!BH50)*Rates_previous!$E$76*100*12</f>
        <v>-1966902.7262400002</v>
      </c>
      <c r="F48" s="408"/>
      <c r="G48" s="408">
        <f>IF(Init!$R$9="Yes",SUMPRODUCT('Staging Table'!AJ50:AU50,LS_Demand_Rates_Restatement!$C$10:$N$10),SUMPRODUCT(LS_Demand_Rates_Restatement!$C$10:$N$10,'Staging Table'!CL50:CW50))*1000</f>
        <v>837243.15781430714</v>
      </c>
      <c r="H48" s="409"/>
      <c r="I48" s="409">
        <f>IF(Init!$R$9="Yes",IF('Staging Table'!D50=1,'Staging Table'!H50*-1*('Staging Table'!F50/'Staging Table'!E50),'Staging Table'!H50*SUM(D48:H48)*(-1)),IF('Staging Table'!D50=1,'Staging Table'!BJ50*-1*('Staging Table'!BH50/'Staging Table'!BG50),'Staging Table'!BJ50*SUM(D48:H48)*(-1)))</f>
        <v>-895607.99887447502</v>
      </c>
      <c r="J48" s="407">
        <f>IF(Init!$R$9="Yes",'Staging Table'!K50,'Staging Table'!BM50)*(-1)*Rates_previous!$H$32</f>
        <v>-1584900.6727399998</v>
      </c>
      <c r="K48" s="407">
        <f>IF(Init!$R$12="No",0,'Staging Table'!$AW50)</f>
        <v>0</v>
      </c>
      <c r="L48" s="407">
        <f>IF('Staging Table'!C50=1,"",SUM(D48:J48)-K48)</f>
        <v>9620666.8299998343</v>
      </c>
      <c r="M48" s="407">
        <f>IF('Staging Table'!C50=1,"",IF(Init!$R$9="Yes",(RT1SC!$C$3*'Staging Table'!F50*'Staging Table'!$F$2),X48))</f>
        <v>327865.32657266402</v>
      </c>
      <c r="N48" s="169">
        <f>IF('Staging Table'!C50=1,"",IF(M48=0, 0, L48/M48))</f>
        <v>29.343349388510678</v>
      </c>
      <c r="O48" s="407">
        <f>'Staging Table'!BH50*Rates_current!$E$75*100*12</f>
        <v>13605920.789760001</v>
      </c>
      <c r="P48" s="407">
        <f>'Staging Table'!BH50*Rates_current!$E$76*100*12</f>
        <v>-1913790.0163200004</v>
      </c>
      <c r="Q48" s="408"/>
      <c r="R48" s="408">
        <f>SUMPRODUCT('Staging Table'!CL50:CW50, LS_Demand_Rates_Restatement!$C$11:$N$11)*1000</f>
        <v>783073.86395730032</v>
      </c>
      <c r="S48" s="409"/>
      <c r="T48" s="409">
        <f>IF('Staging Table'!D50=1, 'Staging Table'!BJ50*-1*('Staging Table'!BH50/'Staging Table'!BG50),SUM(O48:S48)*'Staging Table'!BJ50*-1)</f>
        <v>-997939.00642463041</v>
      </c>
      <c r="U48" s="407">
        <f>'Staging Table'!BM50*Rates_current!$H$32*-1</f>
        <v>-1583554.1131199999</v>
      </c>
      <c r="V48" s="407">
        <f>IF(Init!$R$12="No",0,'Staging Table'!$CY50)</f>
        <v>0</v>
      </c>
      <c r="W48" s="407">
        <f>IF('Staging Table'!C50=1,"",SUM(O48:U48)-V48)</f>
        <v>9893711.5178526714</v>
      </c>
      <c r="X48" s="407">
        <f>IF('Staging Table'!C50=1,"",(RT1SC!$C$4*'Staging Table'!BH50*'Staging Table'!$BH$2))</f>
        <v>324893.11886678403</v>
      </c>
      <c r="Y48" s="169">
        <f>IF('Staging Table'!C50=1,"",IF(X48=0, 0, W48/X48))</f>
        <v>30.452203950522545</v>
      </c>
      <c r="Z48" s="160">
        <f ca="1">IF('Staging Table'!C50=1,"",(Y48/N48-1)+(RAND()/100000000000000))</f>
        <v>3.7788956786441917E-2</v>
      </c>
      <c r="AA48" s="97">
        <f t="shared" ca="1" si="0"/>
        <v>110</v>
      </c>
      <c r="AB48" s="397"/>
      <c r="AC48" s="397"/>
      <c r="AD48" s="397"/>
    </row>
    <row r="49" spans="2:30">
      <c r="B49" s="274">
        <v>10116</v>
      </c>
      <c r="C49" s="275" t="s">
        <v>52</v>
      </c>
      <c r="D49" s="407">
        <f>IF(Init!$R$9="Yes",'Staging Table'!F51,'Staging Table'!BH51)*Rates_previous!$E$75*100*12</f>
        <v>70299.099359999993</v>
      </c>
      <c r="E49" s="407">
        <f>IF(Init!$R$9="Yes",'Staging Table'!F51,'Staging Table'!BH51)*Rates_previous!$E$76*100*12</f>
        <v>-10450.70016</v>
      </c>
      <c r="F49" s="408"/>
      <c r="G49" s="408">
        <f>IF(Init!$R$9="Yes",SUMPRODUCT('Staging Table'!AJ51:AU51,LS_Demand_Rates_Restatement!$C$10:$N$10),SUMPRODUCT(LS_Demand_Rates_Restatement!$C$10:$N$10,'Staging Table'!CL51:CW51))*1000</f>
        <v>31957.014443340457</v>
      </c>
      <c r="H49" s="409"/>
      <c r="I49" s="409">
        <f>IF(Init!$R$9="Yes",IF('Staging Table'!D51=1,'Staging Table'!H51*-1*('Staging Table'!F51/'Staging Table'!E51),'Staging Table'!H51*SUM(D49:H49)*(-1)),IF('Staging Table'!D51=1,'Staging Table'!BJ51*-1*('Staging Table'!BH51/'Staging Table'!BG51),'Staging Table'!BJ51*SUM(D49:H49)*(-1)))</f>
        <v>0</v>
      </c>
      <c r="J49" s="407">
        <f>IF(Init!$R$9="Yes",'Staging Table'!K51,'Staging Table'!BM51)*(-1)*Rates_previous!$H$32</f>
        <v>0</v>
      </c>
      <c r="K49" s="407">
        <f>IF(Init!$R$12="No",0,'Staging Table'!$AW51)</f>
        <v>0</v>
      </c>
      <c r="L49" s="407">
        <f>IF('Staging Table'!C51=1,"",SUM(D49:J49)-K49)</f>
        <v>91805.413643340449</v>
      </c>
      <c r="M49" s="407">
        <f>IF('Staging Table'!C51=1,"",IF(Init!$R$9="Yes",(RT1SC!$C$3*'Staging Table'!F51*'Staging Table'!$F$2),X49))</f>
        <v>1742.0394893760001</v>
      </c>
      <c r="N49" s="169">
        <f>IF('Staging Table'!C51=1,"",IF(M49=0, 0, L49/M49))</f>
        <v>52.699961282866909</v>
      </c>
      <c r="O49" s="407">
        <f>'Staging Table'!BH51*Rates_current!$E$75*100*12</f>
        <v>82291.821120000008</v>
      </c>
      <c r="P49" s="407">
        <f>'Staging Table'!BH51*Rates_current!$E$76*100*12</f>
        <v>-11575.05384</v>
      </c>
      <c r="Q49" s="408"/>
      <c r="R49" s="408">
        <f>SUMPRODUCT('Staging Table'!CL51:CW51, LS_Demand_Rates_Restatement!$C$11:$N$11)*1000</f>
        <v>29500.881507647791</v>
      </c>
      <c r="S49" s="409"/>
      <c r="T49" s="409">
        <f>IF('Staging Table'!D51=1, 'Staging Table'!BJ51*-1*('Staging Table'!BH51/'Staging Table'!BG51),SUM(O49:S49)*'Staging Table'!BJ51*-1)</f>
        <v>0</v>
      </c>
      <c r="U49" s="407">
        <f>'Staging Table'!BM51*Rates_current!$H$32*-1</f>
        <v>0</v>
      </c>
      <c r="V49" s="407">
        <f>IF(Init!$R$12="No",0,'Staging Table'!$CY51)</f>
        <v>0</v>
      </c>
      <c r="W49" s="407">
        <f>IF('Staging Table'!C51=1,"",SUM(O49:U49)-V49)</f>
        <v>100217.64878764779</v>
      </c>
      <c r="X49" s="407">
        <f>IF('Staging Table'!C51=1,"",(RT1SC!$C$4*'Staging Table'!BH51*'Staging Table'!$BH$2))</f>
        <v>1965.0302860079998</v>
      </c>
      <c r="Y49" s="169">
        <f>IF('Staging Table'!C51=1,"",IF(X49=0, 0, W49/X49))</f>
        <v>51.00056192581237</v>
      </c>
      <c r="Z49" s="160">
        <f ca="1">IF('Staging Table'!C51=1,"",(Y49/N49-1)+(RAND()/100000000000000))</f>
        <v>-3.2246690807469752E-2</v>
      </c>
      <c r="AA49" s="97">
        <f t="shared" ca="1" si="0"/>
        <v>118</v>
      </c>
      <c r="AB49" s="397"/>
      <c r="AC49" s="397"/>
      <c r="AD49" s="397"/>
    </row>
    <row r="50" spans="2:30">
      <c r="B50" s="274">
        <v>10118</v>
      </c>
      <c r="C50" s="275" t="s">
        <v>53</v>
      </c>
      <c r="D50" s="407">
        <f>IF(Init!$R$9="Yes",'Staging Table'!F52,'Staging Table'!BH52)*Rates_previous!$E$75*100*12</f>
        <v>16032155.166719999</v>
      </c>
      <c r="E50" s="407">
        <f>IF(Init!$R$9="Yes",'Staging Table'!F52,'Staging Table'!BH52)*Rates_previous!$E$76*100*12</f>
        <v>-2383348.4083199995</v>
      </c>
      <c r="F50" s="408"/>
      <c r="G50" s="408">
        <f>IF(Init!$R$9="Yes",SUMPRODUCT('Staging Table'!AJ52:AU52,LS_Demand_Rates_Restatement!$C$10:$N$10),SUMPRODUCT(LS_Demand_Rates_Restatement!$C$10:$N$10,'Staging Table'!CL52:CW52))*1000</f>
        <v>0</v>
      </c>
      <c r="H50" s="409"/>
      <c r="I50" s="409">
        <f>IF(Init!$R$9="Yes",IF('Staging Table'!D52=1,'Staging Table'!H52*-1*('Staging Table'!F52/'Staging Table'!E52),'Staging Table'!H52*SUM(D50:H50)*(-1)),IF('Staging Table'!D52=1,'Staging Table'!BJ52*-1*('Staging Table'!BH52/'Staging Table'!BG52),'Staging Table'!BJ52*SUM(D50:H50)*(-1)))</f>
        <v>-896453.62789171212</v>
      </c>
      <c r="J50" s="407">
        <f>IF(Init!$R$9="Yes",'Staging Table'!K52,'Staging Table'!BM52)*(-1)*Rates_previous!$H$32</f>
        <v>0</v>
      </c>
      <c r="K50" s="407">
        <f>IF(Init!$R$12="No",0,'Staging Table'!$AW52)</f>
        <v>0</v>
      </c>
      <c r="L50" s="407" t="str">
        <f>IF('Staging Table'!C52=1,"",SUM(D50:J50)-K50)</f>
        <v/>
      </c>
      <c r="M50" s="407" t="str">
        <f>IF('Staging Table'!C52=1,"",IF(Init!$R$9="Yes",(RT1SC!$C$3*'Staging Table'!F52*'Staging Table'!$F$2),X50))</f>
        <v/>
      </c>
      <c r="N50" s="169" t="str">
        <f>IF('Staging Table'!C52=1,"",IF(M50=0, 0, L50/M50))</f>
        <v/>
      </c>
      <c r="O50" s="407">
        <f>'Staging Table'!BH52*Rates_current!$E$75*100*12</f>
        <v>16486644.07584</v>
      </c>
      <c r="P50" s="407">
        <f>'Staging Table'!BH52*Rates_current!$E$76*100*12</f>
        <v>-2318988.5728799999</v>
      </c>
      <c r="Q50" s="408"/>
      <c r="R50" s="408">
        <f>SUMPRODUCT('Staging Table'!CL52:CW52, LS_Demand_Rates_Restatement!$C$11:$N$11)*1000</f>
        <v>0</v>
      </c>
      <c r="S50" s="409"/>
      <c r="T50" s="409">
        <f>IF('Staging Table'!D52=1, 'Staging Table'!BJ52*-1*('Staging Table'!BH52/'Staging Table'!BG52),SUM(O50:S50)*'Staging Table'!BJ52*-1)</f>
        <v>-948314.91035794897</v>
      </c>
      <c r="U50" s="407">
        <f>'Staging Table'!BM52*Rates_current!$H$32*-1</f>
        <v>0</v>
      </c>
      <c r="V50" s="407">
        <f>IF(Init!$R$12="No",0,'Staging Table'!$CY52)</f>
        <v>0</v>
      </c>
      <c r="W50" s="407" t="str">
        <f>IF('Staging Table'!C52=1,"",SUM(O50:U50)-V50)</f>
        <v/>
      </c>
      <c r="X50" s="407" t="str">
        <f>IF('Staging Table'!C52=1,"",(RT1SC!$C$4*'Staging Table'!BH52*'Staging Table'!$BH$2))</f>
        <v/>
      </c>
      <c r="Y50" s="169" t="str">
        <f>IF('Staging Table'!C52=1,"",IF(X50=0, 0, W50/X50))</f>
        <v/>
      </c>
      <c r="Z50" s="160" t="str">
        <f ca="1">IF('Staging Table'!C52=1,"",(Y50/N50-1)+(RAND()/100000000000000))</f>
        <v/>
      </c>
      <c r="AA50" s="97" t="str">
        <f t="shared" ca="1" si="0"/>
        <v/>
      </c>
      <c r="AB50" s="397"/>
      <c r="AC50" s="397"/>
      <c r="AD50" s="397"/>
    </row>
    <row r="51" spans="2:30">
      <c r="B51" s="274">
        <v>10121</v>
      </c>
      <c r="C51" s="275" t="s">
        <v>54</v>
      </c>
      <c r="D51" s="407">
        <f>IF(Init!$R$9="Yes",'Staging Table'!F53,'Staging Table'!BH53)*Rates_previous!$E$75*100*12</f>
        <v>14090018.78088</v>
      </c>
      <c r="E51" s="407">
        <f>IF(Init!$R$9="Yes",'Staging Table'!F53,'Staging Table'!BH53)*Rates_previous!$E$76*100*12</f>
        <v>-2094629.4172799997</v>
      </c>
      <c r="F51" s="408"/>
      <c r="G51" s="408">
        <f>IF(Init!$R$9="Yes",SUMPRODUCT('Staging Table'!AJ53:AU53,LS_Demand_Rates_Restatement!$C$10:$N$10),SUMPRODUCT(LS_Demand_Rates_Restatement!$C$10:$N$10,'Staging Table'!CL53:CW53))*1000</f>
        <v>0</v>
      </c>
      <c r="H51" s="409"/>
      <c r="I51" s="409">
        <f>IF(Init!$R$9="Yes",IF('Staging Table'!D53=1,'Staging Table'!H53*-1*('Staging Table'!F53/'Staging Table'!E53),'Staging Table'!H53*SUM(D51:H51)*(-1)),IF('Staging Table'!D53=1,'Staging Table'!BJ53*-1*('Staging Table'!BH53/'Staging Table'!BG53),'Staging Table'!BJ53*SUM(D51:H51)*(-1)))</f>
        <v>-659746.41499800002</v>
      </c>
      <c r="J51" s="407">
        <f>IF(Init!$R$9="Yes",'Staging Table'!K53,'Staging Table'!BM53)*(-1)*Rates_previous!$H$32</f>
        <v>0</v>
      </c>
      <c r="K51" s="407">
        <f>IF(Init!$R$12="No",0,'Staging Table'!$AW53)</f>
        <v>0</v>
      </c>
      <c r="L51" s="407" t="str">
        <f>IF('Staging Table'!C53=1,"",SUM(D51:J51)-K51)</f>
        <v/>
      </c>
      <c r="M51" s="407" t="str">
        <f>IF('Staging Table'!C53=1,"",IF(Init!$R$9="Yes",(RT1SC!$C$3*'Staging Table'!F53*'Staging Table'!$F$2),X51))</f>
        <v/>
      </c>
      <c r="N51" s="169" t="str">
        <f>IF('Staging Table'!C53=1,"",IF(M51=0, 0, L51/M51))</f>
        <v/>
      </c>
      <c r="O51" s="407">
        <f>'Staging Table'!BH53*Rates_current!$E$75*100*12</f>
        <v>14253045.32736</v>
      </c>
      <c r="P51" s="407">
        <f>'Staging Table'!BH53*Rates_current!$E$76*100*12</f>
        <v>-2004813.6595200002</v>
      </c>
      <c r="Q51" s="408"/>
      <c r="R51" s="408">
        <f>SUMPRODUCT('Staging Table'!CL53:CW53, LS_Demand_Rates_Restatement!$C$11:$N$11)*1000</f>
        <v>0</v>
      </c>
      <c r="S51" s="409"/>
      <c r="T51" s="409">
        <f>IF('Staging Table'!D53=1, 'Staging Table'!BJ53*-1*('Staging Table'!BH53/'Staging Table'!BG53),SUM(O51:S51)*'Staging Table'!BJ53*-1)</f>
        <v>-734893.90007039998</v>
      </c>
      <c r="U51" s="407">
        <f>'Staging Table'!BM53*Rates_current!$H$32*-1</f>
        <v>0</v>
      </c>
      <c r="V51" s="407">
        <f>IF(Init!$R$12="No",0,'Staging Table'!$CY53)</f>
        <v>0</v>
      </c>
      <c r="W51" s="407" t="str">
        <f>IF('Staging Table'!C53=1,"",SUM(O51:U51)-V51)</f>
        <v/>
      </c>
      <c r="X51" s="407" t="str">
        <f>IF('Staging Table'!C53=1,"",(RT1SC!$C$4*'Staging Table'!BH53*'Staging Table'!$BH$2))</f>
        <v/>
      </c>
      <c r="Y51" s="169" t="str">
        <f>IF('Staging Table'!C53=1,"",IF(X51=0, 0, W51/X51))</f>
        <v/>
      </c>
      <c r="Z51" s="160" t="str">
        <f ca="1">IF('Staging Table'!C53=1,"",(Y51/N51-1)+(RAND()/100000000000000))</f>
        <v/>
      </c>
      <c r="AA51" s="97" t="str">
        <f t="shared" ca="1" si="0"/>
        <v/>
      </c>
      <c r="AB51" s="397"/>
      <c r="AC51" s="397"/>
      <c r="AD51" s="397"/>
    </row>
    <row r="52" spans="2:30">
      <c r="B52" s="274">
        <v>10123</v>
      </c>
      <c r="C52" s="275" t="s">
        <v>55</v>
      </c>
      <c r="D52" s="407">
        <f>IF(Init!$R$9="Yes",'Staging Table'!F54,'Staging Table'!BH54)*Rates_previous!$E$75*100*12</f>
        <v>93914893.636199996</v>
      </c>
      <c r="E52" s="407">
        <f>IF(Init!$R$9="Yes",'Staging Table'!F54,'Staging Table'!BH54)*Rates_previous!$E$76*100*12</f>
        <v>-13961436.247199997</v>
      </c>
      <c r="F52" s="408"/>
      <c r="G52" s="408">
        <f>IF(Init!$R$9="Yes",SUMPRODUCT('Staging Table'!AJ54:AU54,LS_Demand_Rates_Restatement!$C$10:$N$10),SUMPRODUCT(LS_Demand_Rates_Restatement!$C$10:$N$10,'Staging Table'!CL54:CW54))*1000</f>
        <v>0</v>
      </c>
      <c r="H52" s="409"/>
      <c r="I52" s="409">
        <f>IF(Init!$R$9="Yes",IF('Staging Table'!D54=1,'Staging Table'!H54*-1*('Staging Table'!F54/'Staging Table'!E54),'Staging Table'!H54*SUM(D52:H52)*(-1)),IF('Staging Table'!D54=1,'Staging Table'!BJ54*-1*('Staging Table'!BH54/'Staging Table'!BG54),'Staging Table'!BJ54*SUM(D52:H52)*(-1)))</f>
        <v>0</v>
      </c>
      <c r="J52" s="407">
        <f>IF(Init!$R$9="Yes",'Staging Table'!K54,'Staging Table'!BM54)*(-1)*Rates_previous!$H$32</f>
        <v>0</v>
      </c>
      <c r="K52" s="407">
        <f>IF(Init!$R$12="No",0,'Staging Table'!$AW54)</f>
        <v>0</v>
      </c>
      <c r="L52" s="407">
        <f>IF('Staging Table'!C54=1,"",SUM(D52:J52)-K52)</f>
        <v>79953457.388999999</v>
      </c>
      <c r="M52" s="407">
        <f>IF('Staging Table'!C54=1,"",IF(Init!$R$9="Yes",(RT1SC!$C$3*'Staging Table'!F54*'Staging Table'!$F$2),X52))</f>
        <v>2327248.2129109199</v>
      </c>
      <c r="N52" s="169">
        <f>IF('Staging Table'!C54=1,"",IF(M52=0, 0, L52/M52))</f>
        <v>34.355363104563004</v>
      </c>
      <c r="O52" s="407">
        <f>'Staging Table'!BH54*Rates_current!$E$75*100*12</f>
        <v>96573655.84608002</v>
      </c>
      <c r="P52" s="407">
        <f>'Staging Table'!BH54*Rates_current!$E$76*100*12</f>
        <v>-13583916.97656</v>
      </c>
      <c r="Q52" s="408"/>
      <c r="R52" s="408">
        <f>SUMPRODUCT('Staging Table'!CL54:CW54, LS_Demand_Rates_Restatement!$C$11:$N$11)*1000</f>
        <v>0</v>
      </c>
      <c r="S52" s="409"/>
      <c r="T52" s="409">
        <f>IF('Staging Table'!D54=1, 'Staging Table'!BJ54*-1*('Staging Table'!BH54/'Staging Table'!BG54),SUM(O52:S52)*'Staging Table'!BJ54*-1)</f>
        <v>0</v>
      </c>
      <c r="U52" s="407">
        <f>'Staging Table'!BM54*Rates_current!$H$32*-1</f>
        <v>0</v>
      </c>
      <c r="V52" s="407">
        <f>IF(Init!$R$12="No",0,'Staging Table'!$CY54)</f>
        <v>0</v>
      </c>
      <c r="W52" s="407">
        <f>IF('Staging Table'!C54=1,"",SUM(O52:U52)-V52)</f>
        <v>82989738.869520023</v>
      </c>
      <c r="X52" s="407">
        <f>IF('Staging Table'!C54=1,"",(RT1SC!$C$4*'Staging Table'!BH54*'Staging Table'!$BH$2))</f>
        <v>2306063.4214344723</v>
      </c>
      <c r="Y52" s="169">
        <f>IF('Staging Table'!C54=1,"",IF(X52=0, 0, W52/X52))</f>
        <v>35.98762206544032</v>
      </c>
      <c r="Z52" s="160">
        <f ca="1">IF('Staging Table'!C54=1,"",(Y52/N52-1)+(RAND()/100000000000000))</f>
        <v>4.7511037968352925E-2</v>
      </c>
      <c r="AA52" s="97">
        <f t="shared" ca="1" si="0"/>
        <v>26</v>
      </c>
      <c r="AB52" s="397"/>
      <c r="AC52" s="397"/>
      <c r="AD52" s="397"/>
    </row>
    <row r="53" spans="2:30">
      <c r="B53" s="274">
        <v>10136</v>
      </c>
      <c r="C53" s="275" t="s">
        <v>56</v>
      </c>
      <c r="D53" s="407">
        <f>IF(Init!$R$9="Yes",'Staging Table'!F55,'Staging Table'!BH55)*Rates_previous!$E$75*100*12</f>
        <v>6389049.4844399989</v>
      </c>
      <c r="E53" s="407">
        <f>IF(Init!$R$9="Yes",'Staging Table'!F55,'Staging Table'!BH55)*Rates_previous!$E$76*100*12</f>
        <v>-949799.37263999972</v>
      </c>
      <c r="F53" s="408"/>
      <c r="G53" s="408">
        <f>IF(Init!$R$9="Yes",SUMPRODUCT('Staging Table'!AJ55:AU55,LS_Demand_Rates_Restatement!$C$10:$N$10),SUMPRODUCT(LS_Demand_Rates_Restatement!$C$10:$N$10,'Staging Table'!CL55:CW55))*1000</f>
        <v>0</v>
      </c>
      <c r="H53" s="409"/>
      <c r="I53" s="409">
        <f>IF(Init!$R$9="Yes",IF('Staging Table'!D55=1,'Staging Table'!H55*-1*('Staging Table'!F55/'Staging Table'!E55),'Staging Table'!H55*SUM(D53:H53)*(-1)),IF('Staging Table'!D55=1,'Staging Table'!BJ55*-1*('Staging Table'!BH55/'Staging Table'!BG55),'Staging Table'!BJ55*SUM(D53:H53)*(-1)))</f>
        <v>-380747.50782599999</v>
      </c>
      <c r="J53" s="407">
        <f>IF(Init!$R$9="Yes",'Staging Table'!K55,'Staging Table'!BM55)*(-1)*Rates_previous!$H$32</f>
        <v>0</v>
      </c>
      <c r="K53" s="407">
        <f>IF(Init!$R$12="No",0,'Staging Table'!$AW55)</f>
        <v>0</v>
      </c>
      <c r="L53" s="407" t="str">
        <f>IF('Staging Table'!C55=1,"",SUM(D53:J53)-K53)</f>
        <v/>
      </c>
      <c r="M53" s="407" t="str">
        <f>IF('Staging Table'!C55=1,"",IF(Init!$R$9="Yes",(RT1SC!$C$3*'Staging Table'!F55*'Staging Table'!$F$2),X53))</f>
        <v/>
      </c>
      <c r="N53" s="169" t="str">
        <f>IF('Staging Table'!C55=1,"",IF(M53=0, 0, L53/M53))</f>
        <v/>
      </c>
      <c r="O53" s="407">
        <f>'Staging Table'!BH55*Rates_current!$E$75*100*12</f>
        <v>6645255.63552</v>
      </c>
      <c r="P53" s="407">
        <f>'Staging Table'!BH55*Rates_current!$E$76*100*12</f>
        <v>-934712.47464000015</v>
      </c>
      <c r="Q53" s="408"/>
      <c r="R53" s="408">
        <f>SUMPRODUCT('Staging Table'!CL55:CW55, LS_Demand_Rates_Restatement!$C$11:$N$11)*1000</f>
        <v>0</v>
      </c>
      <c r="S53" s="409"/>
      <c r="T53" s="409">
        <f>IF('Staging Table'!D55=1, 'Staging Table'!BJ55*-1*('Staging Table'!BH55/'Staging Table'!BG55),SUM(O53:S53)*'Staging Table'!BJ55*-1)</f>
        <v>-399738.02126160002</v>
      </c>
      <c r="U53" s="407">
        <f>'Staging Table'!BM55*Rates_current!$H$32*-1</f>
        <v>0</v>
      </c>
      <c r="V53" s="407">
        <f>IF(Init!$R$12="No",0,'Staging Table'!$CY55)</f>
        <v>0</v>
      </c>
      <c r="W53" s="407" t="str">
        <f>IF('Staging Table'!C55=1,"",SUM(O53:U53)-V53)</f>
        <v/>
      </c>
      <c r="X53" s="407" t="str">
        <f>IF('Staging Table'!C55=1,"",(RT1SC!$C$4*'Staging Table'!BH55*'Staging Table'!$BH$2))</f>
        <v/>
      </c>
      <c r="Y53" s="169" t="str">
        <f>IF('Staging Table'!C55=1,"",IF(X53=0, 0, W53/X53))</f>
        <v/>
      </c>
      <c r="Z53" s="160" t="str">
        <f ca="1">IF('Staging Table'!C55=1,"",(Y53/N53-1)+(RAND()/100000000000000))</f>
        <v/>
      </c>
      <c r="AA53" s="97" t="str">
        <f t="shared" ca="1" si="0"/>
        <v/>
      </c>
      <c r="AB53" s="397"/>
      <c r="AC53" s="397"/>
      <c r="AD53" s="397"/>
    </row>
    <row r="54" spans="2:30">
      <c r="B54" s="274">
        <v>10142</v>
      </c>
      <c r="C54" s="275" t="s">
        <v>57</v>
      </c>
      <c r="D54" s="407">
        <f>IF(Init!$R$9="Yes",'Staging Table'!F56,'Staging Table'!BH56)*Rates_previous!$E$75*100*12</f>
        <v>943344.60443999991</v>
      </c>
      <c r="E54" s="407">
        <f>IF(Init!$R$9="Yes",'Staging Table'!F56,'Staging Table'!BH56)*Rates_previous!$E$76*100*12</f>
        <v>-140238.09263999999</v>
      </c>
      <c r="F54" s="408"/>
      <c r="G54" s="408">
        <f>IF(Init!$R$9="Yes",SUMPRODUCT('Staging Table'!AJ56:AU56,LS_Demand_Rates_Restatement!$C$10:$N$10),SUMPRODUCT(LS_Demand_Rates_Restatement!$C$10:$N$10,'Staging Table'!CL56:CW56))*1000</f>
        <v>82906.441588666305</v>
      </c>
      <c r="H54" s="409"/>
      <c r="I54" s="409">
        <f>IF(Init!$R$9="Yes",IF('Staging Table'!D56=1,'Staging Table'!H56*-1*('Staging Table'!F56/'Staging Table'!E56),'Staging Table'!H56*SUM(D54:H54)*(-1)),IF('Staging Table'!D56=1,'Staging Table'!BJ56*-1*('Staging Table'!BH56/'Staging Table'!BG56),'Staging Table'!BJ56*SUM(D54:H54)*(-1)))</f>
        <v>-30514.286114705665</v>
      </c>
      <c r="J54" s="407">
        <f>IF(Init!$R$9="Yes",'Staging Table'!K56,'Staging Table'!BM56)*(-1)*Rates_previous!$H$32</f>
        <v>-67906.826679999998</v>
      </c>
      <c r="K54" s="407">
        <f>IF(Init!$R$12="No",0,'Staging Table'!$AW56)</f>
        <v>0</v>
      </c>
      <c r="L54" s="407">
        <f>IF('Staging Table'!C56=1,"",SUM(D54:J54)-K54)</f>
        <v>787591.8405939606</v>
      </c>
      <c r="M54" s="407">
        <f>IF('Staging Table'!C56=1,"",IF(Init!$R$9="Yes",(RT1SC!$C$3*'Staging Table'!F56*'Staging Table'!$F$2),X54))</f>
        <v>23376.452443703998</v>
      </c>
      <c r="N54" s="169">
        <f>IF('Staging Table'!C56=1,"",IF(M54=0, 0, L54/M54))</f>
        <v>33.691675094442459</v>
      </c>
      <c r="O54" s="407">
        <f>'Staging Table'!BH56*Rates_current!$E$75*100*12</f>
        <v>969922.48607999994</v>
      </c>
      <c r="P54" s="407">
        <f>'Staging Table'!BH56*Rates_current!$E$76*100*12</f>
        <v>-136427.95656000002</v>
      </c>
      <c r="Q54" s="408"/>
      <c r="R54" s="408">
        <f>SUMPRODUCT('Staging Table'!CL56:CW56, LS_Demand_Rates_Restatement!$C$11:$N$11)*1000</f>
        <v>80471.869350756795</v>
      </c>
      <c r="S54" s="409"/>
      <c r="T54" s="409">
        <f>IF('Staging Table'!D56=1, 'Staging Table'!BJ56*-1*('Staging Table'!BH56/'Staging Table'!BG56),SUM(O54:S54)*'Staging Table'!BJ56*-1)</f>
        <v>-29700.451206874211</v>
      </c>
      <c r="U54" s="407">
        <f>'Staging Table'!BM56*Rates_current!$H$32*-1</f>
        <v>-67849.131840000002</v>
      </c>
      <c r="V54" s="407">
        <f>IF(Init!$R$12="No",0,'Staging Table'!$CY56)</f>
        <v>0</v>
      </c>
      <c r="W54" s="407">
        <f>IF('Staging Table'!C56=1,"",SUM(O54:U54)-V54)</f>
        <v>816416.81582388235</v>
      </c>
      <c r="X54" s="407">
        <f>IF('Staging Table'!C56=1,"",(RT1SC!$C$4*'Staging Table'!BH56*'Staging Table'!$BH$2))</f>
        <v>23160.589160471995</v>
      </c>
      <c r="Y54" s="169">
        <f>IF('Staging Table'!C56=1,"",IF(X54=0, 0, W54/X54))</f>
        <v>35.250261129680368</v>
      </c>
      <c r="Z54" s="160">
        <f ca="1">IF('Staging Table'!C56=1,"",(Y54/N54-1)+(RAND()/100000000000000))</f>
        <v>4.6260271442996242E-2</v>
      </c>
      <c r="AA54" s="97">
        <f t="shared" ca="1" si="0"/>
        <v>34</v>
      </c>
      <c r="AB54" s="397"/>
      <c r="AC54" s="397"/>
      <c r="AD54" s="397"/>
    </row>
    <row r="55" spans="2:30">
      <c r="B55" s="274">
        <v>10144</v>
      </c>
      <c r="C55" s="275" t="s">
        <v>58</v>
      </c>
      <c r="D55" s="407">
        <f>IF(Init!$R$9="Yes",'Staging Table'!F57,'Staging Table'!BH57)*Rates_previous!$E$75*100*12</f>
        <v>1175777.1900000002</v>
      </c>
      <c r="E55" s="407">
        <f>IF(Init!$R$9="Yes",'Staging Table'!F57,'Staging Table'!BH57)*Rates_previous!$E$76*100*12</f>
        <v>-174791.63999999998</v>
      </c>
      <c r="F55" s="408"/>
      <c r="G55" s="408">
        <f>IF(Init!$R$9="Yes",SUMPRODUCT('Staging Table'!AJ57:AU57,LS_Demand_Rates_Restatement!$C$10:$N$10),SUMPRODUCT(LS_Demand_Rates_Restatement!$C$10:$N$10,'Staging Table'!CL57:CW57))*1000</f>
        <v>67507.716139476484</v>
      </c>
      <c r="H55" s="409"/>
      <c r="I55" s="409">
        <f>IF(Init!$R$9="Yes",IF('Staging Table'!D57=1,'Staging Table'!H57*-1*('Staging Table'!F57/'Staging Table'!E57),'Staging Table'!H57*SUM(D55:H55)*(-1)),IF('Staging Table'!D57=1,'Staging Table'!BJ57*-1*('Staging Table'!BH57/'Staging Table'!BG57),'Staging Table'!BJ57*SUM(D55:H55)*(-1)))</f>
        <v>0</v>
      </c>
      <c r="J55" s="407">
        <f>IF(Init!$R$9="Yes",'Staging Table'!K57,'Staging Table'!BM57)*(-1)*Rates_previous!$H$32</f>
        <v>0</v>
      </c>
      <c r="K55" s="407">
        <f>IF(Init!$R$12="No",0,'Staging Table'!$AW57)</f>
        <v>0</v>
      </c>
      <c r="L55" s="407">
        <f>IF('Staging Table'!C57=1,"",SUM(D55:J55)-K55)</f>
        <v>1068493.2661394766</v>
      </c>
      <c r="M55" s="407">
        <f>IF('Staging Table'!C57=1,"",IF(Init!$R$9="Yes",(RT1SC!$C$3*'Staging Table'!F57*'Staging Table'!$F$2),X55))</f>
        <v>29136.223854</v>
      </c>
      <c r="N55" s="169">
        <f>IF('Staging Table'!C57=1,"",IF(M55=0, 0, L55/M55))</f>
        <v>36.672331716479015</v>
      </c>
      <c r="O55" s="407">
        <f>'Staging Table'!BH57*Rates_current!$E$75*100*12</f>
        <v>1196925.62112</v>
      </c>
      <c r="P55" s="407">
        <f>'Staging Table'!BH57*Rates_current!$E$76*100*12</f>
        <v>-168357.90383999998</v>
      </c>
      <c r="Q55" s="408"/>
      <c r="R55" s="408">
        <f>SUMPRODUCT('Staging Table'!CL57:CW57, LS_Demand_Rates_Restatement!$C$11:$N$11)*1000</f>
        <v>70089.021543304858</v>
      </c>
      <c r="S55" s="409"/>
      <c r="T55" s="409">
        <f>IF('Staging Table'!D57=1, 'Staging Table'!BJ57*-1*('Staging Table'!BH57/'Staging Table'!BG57),SUM(O55:S55)*'Staging Table'!BJ57*-1)</f>
        <v>0</v>
      </c>
      <c r="U55" s="407">
        <f>'Staging Table'!BM57*Rates_current!$H$32*-1</f>
        <v>0</v>
      </c>
      <c r="V55" s="407">
        <f>IF(Init!$R$12="No",0,'Staging Table'!$CY57)</f>
        <v>0</v>
      </c>
      <c r="W55" s="407">
        <f>IF('Staging Table'!C57=1,"",SUM(O55:U55)-V55)</f>
        <v>1098656.7388233049</v>
      </c>
      <c r="X55" s="407">
        <f>IF('Staging Table'!C57=1,"",(RT1SC!$C$4*'Staging Table'!BH57*'Staging Table'!$BH$2))</f>
        <v>28581.152581007995</v>
      </c>
      <c r="Y55" s="169">
        <f>IF('Staging Table'!C57=1,"",IF(X55=0, 0, W55/X55))</f>
        <v>38.439903209269303</v>
      </c>
      <c r="Z55" s="160">
        <f ca="1">IF('Staging Table'!C57=1,"",(Y55/N55-1)+(RAND()/100000000000000))</f>
        <v>4.8199048439456028E-2</v>
      </c>
      <c r="AA55" s="97">
        <f t="shared" ca="1" si="0"/>
        <v>16</v>
      </c>
      <c r="AB55" s="397"/>
      <c r="AC55" s="397"/>
      <c r="AD55" s="397"/>
    </row>
    <row r="56" spans="2:30">
      <c r="B56" s="274">
        <v>10156</v>
      </c>
      <c r="C56" s="275" t="s">
        <v>59</v>
      </c>
      <c r="D56" s="407">
        <f>IF(Init!$R$9="Yes",'Staging Table'!F58,'Staging Table'!BH58)*Rates_previous!$E$75*100*12</f>
        <v>11278549.870560002</v>
      </c>
      <c r="E56" s="407">
        <f>IF(Init!$R$9="Yes",'Staging Table'!F58,'Staging Table'!BH58)*Rates_previous!$E$76*100*12</f>
        <v>-1676675.0073599999</v>
      </c>
      <c r="F56" s="408"/>
      <c r="G56" s="408">
        <f>IF(Init!$R$9="Yes",SUMPRODUCT('Staging Table'!AJ58:AU58,LS_Demand_Rates_Restatement!$C$10:$N$10),SUMPRODUCT(LS_Demand_Rates_Restatement!$C$10:$N$10,'Staging Table'!CL58:CW58))*1000</f>
        <v>690499.90803568379</v>
      </c>
      <c r="H56" s="409"/>
      <c r="I56" s="409">
        <f>IF(Init!$R$9="Yes",IF('Staging Table'!D58=1,'Staging Table'!H58*-1*('Staging Table'!F58/'Staging Table'!E58),'Staging Table'!H58*SUM(D56:H56)*(-1)),IF('Staging Table'!D58=1,'Staging Table'!BJ58*-1*('Staging Table'!BH58/'Staging Table'!BG58),'Staging Table'!BJ58*SUM(D56:H56)*(-1)))</f>
        <v>0</v>
      </c>
      <c r="J56" s="407">
        <f>IF(Init!$R$9="Yes",'Staging Table'!K58,'Staging Table'!BM58)*(-1)*Rates_previous!$H$32</f>
        <v>0</v>
      </c>
      <c r="K56" s="407">
        <f>IF(Init!$R$12="No",0,'Staging Table'!$AW58)</f>
        <v>0</v>
      </c>
      <c r="L56" s="407">
        <f>IF('Staging Table'!C58=1,"",SUM(D56:J56)-K56)</f>
        <v>10292374.771235686</v>
      </c>
      <c r="M56" s="407">
        <f>IF('Staging Table'!C58=1,"",IF(Init!$R$9="Yes",(RT1SC!$C$3*'Staging Table'!F58*'Staging Table'!$F$2),X56))</f>
        <v>279486.92709129606</v>
      </c>
      <c r="N56" s="169">
        <f>IF('Staging Table'!C58=1,"",IF(M56=0, 0, L56/M56))</f>
        <v>36.825961336909401</v>
      </c>
      <c r="O56" s="407">
        <f>'Staging Table'!BH58*Rates_current!$E$75*100*12</f>
        <v>11600853.81696</v>
      </c>
      <c r="P56" s="407">
        <f>'Staging Table'!BH58*Rates_current!$E$76*100*12</f>
        <v>-1631760.06672</v>
      </c>
      <c r="Q56" s="408"/>
      <c r="R56" s="408">
        <f>SUMPRODUCT('Staging Table'!CL58:CW58, LS_Demand_Rates_Restatement!$C$11:$N$11)*1000</f>
        <v>708839.73543319979</v>
      </c>
      <c r="S56" s="409"/>
      <c r="T56" s="409">
        <f>IF('Staging Table'!D58=1, 'Staging Table'!BJ58*-1*('Staging Table'!BH58/'Staging Table'!BG58),SUM(O56:S56)*'Staging Table'!BJ58*-1)</f>
        <v>0</v>
      </c>
      <c r="U56" s="407">
        <f>'Staging Table'!BM58*Rates_current!$H$32*-1</f>
        <v>0</v>
      </c>
      <c r="V56" s="407">
        <f>IF(Init!$R$12="No",0,'Staging Table'!$CY58)</f>
        <v>0</v>
      </c>
      <c r="W56" s="407">
        <f>IF('Staging Table'!C58=1,"",SUM(O56:U56)-V56)</f>
        <v>10677933.4856732</v>
      </c>
      <c r="X56" s="407">
        <f>IF('Staging Table'!C58=1,"",(RT1SC!$C$4*'Staging Table'!BH58*'Staging Table'!$BH$2))</f>
        <v>277014.51716126397</v>
      </c>
      <c r="Y56" s="169">
        <f>IF('Staging Table'!C58=1,"",IF(X56=0, 0, W56/X56))</f>
        <v>38.546476174232566</v>
      </c>
      <c r="Z56" s="160">
        <f ca="1">IF('Staging Table'!C58=1,"",(Y56/N56-1)+(RAND()/100000000000000))</f>
        <v>4.6720160855619745E-2</v>
      </c>
      <c r="AA56" s="97">
        <f t="shared" ca="1" si="0"/>
        <v>31</v>
      </c>
      <c r="AB56" s="397"/>
      <c r="AC56" s="397"/>
      <c r="AD56" s="397"/>
    </row>
    <row r="57" spans="2:30">
      <c r="B57" s="274">
        <v>10157</v>
      </c>
      <c r="C57" s="275" t="s">
        <v>60</v>
      </c>
      <c r="D57" s="407">
        <f>IF(Init!$R$9="Yes",'Staging Table'!F59,'Staging Table'!BH59)*Rates_previous!$E$75*100*12</f>
        <v>7773001.1200799998</v>
      </c>
      <c r="E57" s="407">
        <f>IF(Init!$R$9="Yes",'Staging Table'!F59,'Staging Table'!BH59)*Rates_previous!$E$76*100*12</f>
        <v>-1155538.3324800001</v>
      </c>
      <c r="F57" s="408"/>
      <c r="G57" s="408">
        <f>IF(Init!$R$9="Yes",SUMPRODUCT('Staging Table'!AJ59:AU59,LS_Demand_Rates_Restatement!$C$10:$N$10),SUMPRODUCT(LS_Demand_Rates_Restatement!$C$10:$N$10,'Staging Table'!CL59:CW59))*1000</f>
        <v>0</v>
      </c>
      <c r="H57" s="409"/>
      <c r="I57" s="409">
        <f>IF(Init!$R$9="Yes",IF('Staging Table'!D59=1,'Staging Table'!H59*-1*('Staging Table'!F59/'Staging Table'!E59),'Staging Table'!H59*SUM(D57:H57)*(-1)),IF('Staging Table'!D59=1,'Staging Table'!BJ59*-1*('Staging Table'!BH59/'Staging Table'!BG59),'Staging Table'!BJ59*SUM(D57:H57)*(-1)))</f>
        <v>-375287.23706398957</v>
      </c>
      <c r="J57" s="407">
        <f>IF(Init!$R$9="Yes",'Staging Table'!K59,'Staging Table'!BM59)*(-1)*Rates_previous!$H$32</f>
        <v>0</v>
      </c>
      <c r="K57" s="407">
        <f>IF(Init!$R$12="No",0,'Staging Table'!$AW59)</f>
        <v>0</v>
      </c>
      <c r="L57" s="407">
        <f>IF('Staging Table'!C59=1,"",SUM(D57:J57)-K57)</f>
        <v>6242175.5505360095</v>
      </c>
      <c r="M57" s="407">
        <f>IF('Staging Table'!C59=1,"",IF(Init!$R$9="Yes",(RT1SC!$C$3*'Staging Table'!F59*'Staging Table'!$F$2),X57))</f>
        <v>192618.04241332802</v>
      </c>
      <c r="N57" s="169">
        <f>IF('Staging Table'!C59=1,"",IF(M57=0, 0, L57/M57))</f>
        <v>32.407013758042886</v>
      </c>
      <c r="O57" s="407">
        <f>'Staging Table'!BH59*Rates_current!$E$75*100*12</f>
        <v>8606501.5766400006</v>
      </c>
      <c r="P57" s="407">
        <f>'Staging Table'!BH59*Rates_current!$E$76*100*12</f>
        <v>-1210578.6184800002</v>
      </c>
      <c r="Q57" s="408"/>
      <c r="R57" s="408">
        <f>SUMPRODUCT('Staging Table'!CL59:CW59, LS_Demand_Rates_Restatement!$C$11:$N$11)*1000</f>
        <v>0</v>
      </c>
      <c r="S57" s="409"/>
      <c r="T57" s="409">
        <f>IF('Staging Table'!D59=1, 'Staging Table'!BJ59*-1*('Staging Table'!BH59/'Staging Table'!BG59),SUM(O57:S57)*'Staging Table'!BJ59*-1)</f>
        <v>-390326.35180345009</v>
      </c>
      <c r="U57" s="407">
        <f>'Staging Table'!BM59*Rates_current!$H$32*-1</f>
        <v>0</v>
      </c>
      <c r="V57" s="407">
        <f>IF(Init!$R$12="No",0,'Staging Table'!$CY59)</f>
        <v>0</v>
      </c>
      <c r="W57" s="407">
        <f>IF('Staging Table'!C59=1,"",SUM(O57:U57)-V57)</f>
        <v>7005596.60635655</v>
      </c>
      <c r="X57" s="407">
        <f>IF('Staging Table'!C59=1,"",(RT1SC!$C$4*'Staging Table'!BH59*'Staging Table'!$BH$2))</f>
        <v>205512.96622797599</v>
      </c>
      <c r="Y57" s="169">
        <f>IF('Staging Table'!C59=1,"",IF(X57=0, 0, W57/X57))</f>
        <v>34.088343596701463</v>
      </c>
      <c r="Z57" s="160">
        <f ca="1">IF('Staging Table'!C59=1,"",(Y57/N57-1)+(RAND()/100000000000000))</f>
        <v>5.1881665222593701E-2</v>
      </c>
      <c r="AA57" s="97">
        <f t="shared" ca="1" si="0"/>
        <v>9</v>
      </c>
      <c r="AB57" s="397"/>
      <c r="AC57" s="397"/>
      <c r="AD57" s="397"/>
    </row>
    <row r="58" spans="2:30">
      <c r="B58" s="274">
        <v>10158</v>
      </c>
      <c r="C58" s="275" t="s">
        <v>61</v>
      </c>
      <c r="D58" s="407">
        <f>IF(Init!$R$9="Yes",'Staging Table'!F60,'Staging Table'!BH60)*Rates_previous!$E$75*100*12</f>
        <v>971315.72496000002</v>
      </c>
      <c r="E58" s="407">
        <f>IF(Init!$R$9="Yes",'Staging Table'!F60,'Staging Table'!BH60)*Rates_previous!$E$76*100*12</f>
        <v>-144396.29376</v>
      </c>
      <c r="F58" s="408"/>
      <c r="G58" s="408">
        <f>IF(Init!$R$9="Yes",SUMPRODUCT('Staging Table'!AJ60:AU60,LS_Demand_Rates_Restatement!$C$10:$N$10),SUMPRODUCT(LS_Demand_Rates_Restatement!$C$10:$N$10,'Staging Table'!CL60:CW60))*1000</f>
        <v>28534.606268126787</v>
      </c>
      <c r="H58" s="409"/>
      <c r="I58" s="409">
        <f>IF(Init!$R$9="Yes",IF('Staging Table'!D60=1,'Staging Table'!H60*-1*('Staging Table'!F60/'Staging Table'!E60),'Staging Table'!H60*SUM(D58:H58)*(-1)),IF('Staging Table'!D60=1,'Staging Table'!BJ60*-1*('Staging Table'!BH60/'Staging Table'!BG60),'Staging Table'!BJ60*SUM(D58:H58)*(-1)))</f>
        <v>0</v>
      </c>
      <c r="J58" s="407">
        <f>IF(Init!$R$9="Yes",'Staging Table'!K60,'Staging Table'!BM60)*(-1)*Rates_previous!$H$32</f>
        <v>0</v>
      </c>
      <c r="K58" s="407">
        <f>IF(Init!$R$12="No",0,'Staging Table'!$AW60)</f>
        <v>0</v>
      </c>
      <c r="L58" s="407">
        <f>IF('Staging Table'!C60=1,"",SUM(D58:J58)-K58)</f>
        <v>855454.03746812674</v>
      </c>
      <c r="M58" s="407">
        <f>IF('Staging Table'!C60=1,"",IF(Init!$R$9="Yes",(RT1SC!$C$3*'Staging Table'!F60*'Staging Table'!$F$2),X58))</f>
        <v>24069.587874335997</v>
      </c>
      <c r="N58" s="169">
        <f>IF('Staging Table'!C60=1,"",IF(M58=0, 0, L58/M58))</f>
        <v>35.540867668126864</v>
      </c>
      <c r="O58" s="407">
        <f>'Staging Table'!BH60*Rates_current!$E$75*100*12</f>
        <v>967374.75167999999</v>
      </c>
      <c r="P58" s="407">
        <f>'Staging Table'!BH60*Rates_current!$E$76*100*12</f>
        <v>-136069.59576</v>
      </c>
      <c r="Q58" s="408"/>
      <c r="R58" s="408">
        <f>SUMPRODUCT('Staging Table'!CL60:CW60, LS_Demand_Rates_Restatement!$C$11:$N$11)*1000</f>
        <v>28618.265455484328</v>
      </c>
      <c r="S58" s="409"/>
      <c r="T58" s="409">
        <f>IF('Staging Table'!D60=1, 'Staging Table'!BJ60*-1*('Staging Table'!BH60/'Staging Table'!BG60),SUM(O58:S58)*'Staging Table'!BJ60*-1)</f>
        <v>0</v>
      </c>
      <c r="U58" s="407">
        <f>'Staging Table'!BM60*Rates_current!$H$32*-1</f>
        <v>0</v>
      </c>
      <c r="V58" s="407">
        <f>IF(Init!$R$12="No",0,'Staging Table'!$CY60)</f>
        <v>0</v>
      </c>
      <c r="W58" s="407">
        <f>IF('Staging Table'!C60=1,"",SUM(O58:U58)-V58)</f>
        <v>859923.42137548432</v>
      </c>
      <c r="X58" s="407">
        <f>IF('Staging Table'!C60=1,"",(RT1SC!$C$4*'Staging Table'!BH60*'Staging Table'!$BH$2))</f>
        <v>23099.752309511998</v>
      </c>
      <c r="Y58" s="169">
        <f>IF('Staging Table'!C60=1,"",IF(X58=0, 0, W58/X58))</f>
        <v>37.226521300030811</v>
      </c>
      <c r="Z58" s="160">
        <f ca="1">IF('Staging Table'!C60=1,"",(Y58/N58-1)+(RAND()/100000000000000))</f>
        <v>4.7428601002217033E-2</v>
      </c>
      <c r="AA58" s="97">
        <f t="shared" ca="1" si="0"/>
        <v>29</v>
      </c>
      <c r="AB58" s="397"/>
      <c r="AC58" s="397"/>
      <c r="AD58" s="397"/>
    </row>
    <row r="59" spans="2:30">
      <c r="B59" s="274">
        <v>10170</v>
      </c>
      <c r="C59" s="275" t="s">
        <v>62</v>
      </c>
      <c r="D59" s="407">
        <f>IF(Init!$R$9="Yes",'Staging Table'!F61,'Staging Table'!BH61)*Rates_previous!$E$75*100*12</f>
        <v>38084042.014200002</v>
      </c>
      <c r="E59" s="407">
        <f>IF(Init!$R$9="Yes",'Staging Table'!F61,'Staging Table'!BH61)*Rates_previous!$E$76*100*12</f>
        <v>-5661593.2152000014</v>
      </c>
      <c r="F59" s="408"/>
      <c r="G59" s="408">
        <f>IF(Init!$R$9="Yes",SUMPRODUCT('Staging Table'!AJ61:AU61,LS_Demand_Rates_Restatement!$C$10:$N$10),SUMPRODUCT(LS_Demand_Rates_Restatement!$C$10:$N$10,'Staging Table'!CL61:CW61))*1000</f>
        <v>0</v>
      </c>
      <c r="H59" s="409"/>
      <c r="I59" s="409">
        <f>IF(Init!$R$9="Yes",IF('Staging Table'!D61=1,'Staging Table'!H61*-1*('Staging Table'!F61/'Staging Table'!E61),'Staging Table'!H61*SUM(D59:H59)*(-1)),IF('Staging Table'!D61=1,'Staging Table'!BJ61*-1*('Staging Table'!BH61/'Staging Table'!BG61),'Staging Table'!BJ61*SUM(D59:H59)*(-1)))</f>
        <v>0</v>
      </c>
      <c r="J59" s="407">
        <f>IF(Init!$R$9="Yes",'Staging Table'!K61,'Staging Table'!BM61)*(-1)*Rates_previous!$H$32</f>
        <v>0</v>
      </c>
      <c r="K59" s="407">
        <f>IF(Init!$R$12="No",0,'Staging Table'!$AW61)</f>
        <v>0</v>
      </c>
      <c r="L59" s="407">
        <f>IF('Staging Table'!C61=1,"",SUM(D59:J59)-K59)</f>
        <v>32422448.799000002</v>
      </c>
      <c r="M59" s="407">
        <f>IF('Staging Table'!C61=1,"",IF(Init!$R$9="Yes",(RT1SC!$C$3*'Staging Table'!F61*'Staging Table'!$F$2),X59))</f>
        <v>943737.62548572023</v>
      </c>
      <c r="N59" s="169">
        <f>IF('Staging Table'!C61=1,"",IF(M59=0, 0, L59/M59))</f>
        <v>34.355363104562997</v>
      </c>
      <c r="O59" s="407">
        <f>'Staging Table'!BH61*Rates_current!$E$75*100*12</f>
        <v>41260303.834559999</v>
      </c>
      <c r="P59" s="407">
        <f>'Staging Table'!BH61*Rates_current!$E$76*100*12</f>
        <v>-5803617.3199199997</v>
      </c>
      <c r="Q59" s="408"/>
      <c r="R59" s="408">
        <f>SUMPRODUCT('Staging Table'!CL61:CW61, LS_Demand_Rates_Restatement!$C$11:$N$11)*1000</f>
        <v>0</v>
      </c>
      <c r="S59" s="409"/>
      <c r="T59" s="409">
        <f>IF('Staging Table'!D61=1, 'Staging Table'!BJ61*-1*('Staging Table'!BH61/'Staging Table'!BG61),SUM(O59:S59)*'Staging Table'!BJ61*-1)</f>
        <v>0</v>
      </c>
      <c r="U59" s="407">
        <f>'Staging Table'!BM61*Rates_current!$H$32*-1</f>
        <v>0</v>
      </c>
      <c r="V59" s="407">
        <f>IF(Init!$R$12="No",0,'Staging Table'!$CY61)</f>
        <v>0</v>
      </c>
      <c r="W59" s="407">
        <f>IF('Staging Table'!C61=1,"",SUM(O59:U59)-V59)</f>
        <v>35456686.514640003</v>
      </c>
      <c r="X59" s="407">
        <f>IF('Staging Table'!C61=1,"",(RT1SC!$C$4*'Staging Table'!BH61*'Staging Table'!$BH$2))</f>
        <v>985246.71761210379</v>
      </c>
      <c r="Y59" s="169">
        <f>IF('Staging Table'!C61=1,"",IF(X59=0, 0, W59/X59))</f>
        <v>35.987622065440327</v>
      </c>
      <c r="Z59" s="160">
        <f ca="1">IF('Staging Table'!C61=1,"",(Y59/N59-1)+(RAND()/100000000000000))</f>
        <v>4.7511037968351121E-2</v>
      </c>
      <c r="AA59" s="97">
        <f ca="1">IF(Z59="","",RANK(Z59,$Z$4:$Z$138))</f>
        <v>28</v>
      </c>
      <c r="AB59" s="397"/>
      <c r="AC59" s="397"/>
      <c r="AD59" s="397"/>
    </row>
    <row r="60" spans="2:30">
      <c r="B60" s="274">
        <v>10172</v>
      </c>
      <c r="C60" s="275" t="s">
        <v>63</v>
      </c>
      <c r="D60" s="407">
        <f>IF(Init!$R$9="Yes",'Staging Table'!F62,'Staging Table'!BH62)*Rates_previous!$E$75*100*12</f>
        <v>2010207.6968399999</v>
      </c>
      <c r="E60" s="407">
        <f>IF(Init!$R$9="Yes",'Staging Table'!F62,'Staging Table'!BH62)*Rates_previous!$E$76*100*12</f>
        <v>-298838.50703999994</v>
      </c>
      <c r="F60" s="408"/>
      <c r="G60" s="408">
        <f>IF(Init!$R$9="Yes",SUMPRODUCT('Staging Table'!AJ62:AU62,LS_Demand_Rates_Restatement!$C$10:$N$10),SUMPRODUCT(LS_Demand_Rates_Restatement!$C$10:$N$10,'Staging Table'!CL62:CW62))*1000</f>
        <v>115324.83579940349</v>
      </c>
      <c r="H60" s="409"/>
      <c r="I60" s="409">
        <f>IF(Init!$R$9="Yes",IF('Staging Table'!D62=1,'Staging Table'!H62*-1*('Staging Table'!F62/'Staging Table'!E62),'Staging Table'!H62*SUM(D60:H60)*(-1)),IF('Staging Table'!D62=1,'Staging Table'!BJ62*-1*('Staging Table'!BH62/'Staging Table'!BG62),'Staging Table'!BJ62*SUM(D60:H60)*(-1)))</f>
        <v>0</v>
      </c>
      <c r="J60" s="407">
        <f>IF(Init!$R$9="Yes",'Staging Table'!K62,'Staging Table'!BM62)*(-1)*Rates_previous!$H$32</f>
        <v>0</v>
      </c>
      <c r="K60" s="407">
        <f>IF(Init!$R$12="No",0,'Staging Table'!$AW62)</f>
        <v>0</v>
      </c>
      <c r="L60" s="407">
        <f>IF('Staging Table'!C62=1,"",SUM(D60:J60)-K60)</f>
        <v>1826694.0255994033</v>
      </c>
      <c r="M60" s="407">
        <f>IF('Staging Table'!C62=1,"",IF(Init!$R$9="Yes",(RT1SC!$C$3*'Staging Table'!F62*'Staging Table'!$F$2),X60))</f>
        <v>49813.741877544002</v>
      </c>
      <c r="N60" s="169">
        <f>IF('Staging Table'!C62=1,"",IF(M60=0, 0, L60/M60))</f>
        <v>36.670484022058091</v>
      </c>
      <c r="O60" s="407">
        <f>'Staging Table'!BH62*Rates_current!$E$75*100*12</f>
        <v>2026213.1683199997</v>
      </c>
      <c r="P60" s="407">
        <f>'Staging Table'!BH62*Rates_current!$E$76*100*12</f>
        <v>-285004.34424000001</v>
      </c>
      <c r="Q60" s="408"/>
      <c r="R60" s="408">
        <f>SUMPRODUCT('Staging Table'!CL62:CW62, LS_Demand_Rates_Restatement!$C$11:$N$11)*1000</f>
        <v>109089.11664051817</v>
      </c>
      <c r="S60" s="409"/>
      <c r="T60" s="409">
        <f>IF('Staging Table'!D62=1, 'Staging Table'!BJ62*-1*('Staging Table'!BH62/'Staging Table'!BG62),SUM(O60:S60)*'Staging Table'!BJ62*-1)</f>
        <v>0</v>
      </c>
      <c r="U60" s="407">
        <f>'Staging Table'!BM62*Rates_current!$H$32*-1</f>
        <v>0</v>
      </c>
      <c r="V60" s="407">
        <f>IF(Init!$R$12="No",0,'Staging Table'!$CY62)</f>
        <v>0</v>
      </c>
      <c r="W60" s="407">
        <f>IF('Staging Table'!C62=1,"",SUM(O60:U60)-V60)</f>
        <v>1850297.9407205179</v>
      </c>
      <c r="X60" s="407">
        <f>IF('Staging Table'!C62=1,"",(RT1SC!$C$4*'Staging Table'!BH62*'Staging Table'!$BH$2))</f>
        <v>48383.547568487993</v>
      </c>
      <c r="Y60" s="169">
        <f>IF('Staging Table'!C62=1,"",IF(X60=0, 0, W60/X60))</f>
        <v>38.242295856900114</v>
      </c>
      <c r="Z60" s="160">
        <f ca="1">IF('Staging Table'!C62=1,"",(Y60/N60-1)+(RAND()/100000000000000))</f>
        <v>4.2863133028096814E-2</v>
      </c>
      <c r="AA60" s="97">
        <f t="shared" ca="1" si="0"/>
        <v>69</v>
      </c>
      <c r="AB60" s="397"/>
      <c r="AC60" s="397"/>
      <c r="AD60" s="397"/>
    </row>
    <row r="61" spans="2:30">
      <c r="B61" s="274">
        <v>10173</v>
      </c>
      <c r="C61" s="275" t="s">
        <v>64</v>
      </c>
      <c r="D61" s="407">
        <f>IF(Init!$R$9="Yes",'Staging Table'!F63,'Staging Table'!BH63)*Rates_previous!$E$75*100*12</f>
        <v>11629302.77124</v>
      </c>
      <c r="E61" s="407">
        <f>IF(Init!$R$9="Yes",'Staging Table'!F63,'Staging Table'!BH63)*Rates_previous!$E$76*100*12</f>
        <v>-1728818.11344</v>
      </c>
      <c r="F61" s="408"/>
      <c r="G61" s="408">
        <f>IF(Init!$R$9="Yes",SUMPRODUCT('Staging Table'!AJ63:AU63,LS_Demand_Rates_Restatement!$C$10:$N$10),SUMPRODUCT(LS_Demand_Rates_Restatement!$C$10:$N$10,'Staging Table'!CL63:CW63))*1000</f>
        <v>0</v>
      </c>
      <c r="H61" s="409"/>
      <c r="I61" s="409">
        <f>IF(Init!$R$9="Yes",IF('Staging Table'!D63=1,'Staging Table'!H63*-1*('Staging Table'!F63/'Staging Table'!E63),'Staging Table'!H63*SUM(D61:H61)*(-1)),IF('Staging Table'!D63=1,'Staging Table'!BJ63*-1*('Staging Table'!BH63/'Staging Table'!BG63),'Staging Table'!BJ63*SUM(D61:H61)*(-1)))</f>
        <v>-728180.64658119006</v>
      </c>
      <c r="J61" s="407">
        <f>IF(Init!$R$9="Yes",'Staging Table'!K63,'Staging Table'!BM63)*(-1)*Rates_previous!$H$32</f>
        <v>-521528.65291999996</v>
      </c>
      <c r="K61" s="407">
        <f>IF(Init!$R$12="No",0,'Staging Table'!$AW63)</f>
        <v>0</v>
      </c>
      <c r="L61" s="407" t="str">
        <f>IF('Staging Table'!C63=1,"",SUM(D61:J61)-K61)</f>
        <v/>
      </c>
      <c r="M61" s="407" t="str">
        <f>IF('Staging Table'!C63=1,"",IF(Init!$R$9="Yes",(RT1SC!$C$3*'Staging Table'!F63*'Staging Table'!$F$2),X61))</f>
        <v/>
      </c>
      <c r="N61" s="169" t="str">
        <f>IF('Staging Table'!C63=1,"",IF(M61=0, 0, L61/M61))</f>
        <v/>
      </c>
      <c r="O61" s="407">
        <f>'Staging Table'!BH63*Rates_current!$E$75*100*12</f>
        <v>11958555.72672</v>
      </c>
      <c r="P61" s="407">
        <f>'Staging Table'!BH63*Rates_current!$E$76*100*12</f>
        <v>-1682073.9230399998</v>
      </c>
      <c r="Q61" s="408"/>
      <c r="R61" s="408">
        <f>SUMPRODUCT('Staging Table'!CL63:CW63, LS_Demand_Rates_Restatement!$C$11:$N$11)*1000</f>
        <v>0</v>
      </c>
      <c r="S61" s="409"/>
      <c r="T61" s="409">
        <f>IF('Staging Table'!D63=1, 'Staging Table'!BJ63*-1*('Staging Table'!BH63/'Staging Table'!BG63),SUM(O61:S61)*'Staging Table'!BJ63*-1)</f>
        <v>-773043.75681115361</v>
      </c>
      <c r="U61" s="407">
        <f>'Staging Table'!BM63*Rates_current!$H$32*-1</f>
        <v>-521085.55296</v>
      </c>
      <c r="V61" s="407">
        <f>IF(Init!$R$12="No",0,'Staging Table'!$CY63)</f>
        <v>0</v>
      </c>
      <c r="W61" s="407" t="str">
        <f>IF('Staging Table'!C63=1,"",SUM(O61:U61)-V61)</f>
        <v/>
      </c>
      <c r="X61" s="407" t="str">
        <f>IF('Staging Table'!C63=1,"",(RT1SC!$C$4*'Staging Table'!BH63*'Staging Table'!$BH$2))</f>
        <v/>
      </c>
      <c r="Y61" s="169" t="str">
        <f>IF('Staging Table'!C63=1,"",IF(X61=0, 0, W61/X61))</f>
        <v/>
      </c>
      <c r="Z61" s="160" t="str">
        <f ca="1">IF('Staging Table'!C63=1,"",(Y61/N61-1)+(RAND()/100000000000000))</f>
        <v/>
      </c>
      <c r="AA61" s="97" t="str">
        <f t="shared" ca="1" si="0"/>
        <v/>
      </c>
      <c r="AB61" s="397"/>
      <c r="AC61" s="397"/>
      <c r="AD61" s="397"/>
    </row>
    <row r="62" spans="2:30">
      <c r="B62" s="274">
        <v>10174</v>
      </c>
      <c r="C62" s="275" t="s">
        <v>65</v>
      </c>
      <c r="D62" s="407">
        <f>IF(Init!$R$9="Yes",'Staging Table'!F64,'Staging Table'!BH64)*Rates_previous!$E$75*100*12</f>
        <v>177975.53675999999</v>
      </c>
      <c r="E62" s="407">
        <f>IF(Init!$R$9="Yes",'Staging Table'!F64,'Staging Table'!BH64)*Rates_previous!$E$76*100*12</f>
        <v>-26457.934559999998</v>
      </c>
      <c r="F62" s="408"/>
      <c r="G62" s="408">
        <f>IF(Init!$R$9="Yes",SUMPRODUCT('Staging Table'!AJ64:AU64,LS_Demand_Rates_Restatement!$C$10:$N$10),SUMPRODUCT(LS_Demand_Rates_Restatement!$C$10:$N$10,'Staging Table'!CL64:CW64))*1000</f>
        <v>11321.409468598646</v>
      </c>
      <c r="H62" s="409"/>
      <c r="I62" s="409">
        <f>IF(Init!$R$9="Yes",IF('Staging Table'!D64=1,'Staging Table'!H64*-1*('Staging Table'!F64/'Staging Table'!E64),'Staging Table'!H64*SUM(D62:H62)*(-1)),IF('Staging Table'!D64=1,'Staging Table'!BJ64*-1*('Staging Table'!BH64/'Staging Table'!BG64),'Staging Table'!BJ64*SUM(D62:H62)*(-1)))</f>
        <v>0</v>
      </c>
      <c r="J62" s="407">
        <f>IF(Init!$R$9="Yes",'Staging Table'!K64,'Staging Table'!BM64)*(-1)*Rates_previous!$H$32</f>
        <v>0</v>
      </c>
      <c r="K62" s="407">
        <f>IF(Init!$R$12="No",0,'Staging Table'!$AW64)</f>
        <v>0</v>
      </c>
      <c r="L62" s="407">
        <f>IF('Staging Table'!C64=1,"",SUM(D62:J62)-K62)</f>
        <v>162839.01166859863</v>
      </c>
      <c r="M62" s="407">
        <f>IF('Staging Table'!C64=1,"",IF(Init!$R$9="Yes",(RT1SC!$C$3*'Staging Table'!F64*'Staging Table'!$F$2),X62))</f>
        <v>4410.304200216</v>
      </c>
      <c r="N62" s="169">
        <f>IF('Staging Table'!C64=1,"",IF(M62=0, 0, L62/M62))</f>
        <v>36.922399062772904</v>
      </c>
      <c r="O62" s="407">
        <f>'Staging Table'!BH64*Rates_current!$E$75*100*12</f>
        <v>183182.10336000001</v>
      </c>
      <c r="P62" s="407">
        <f>'Staging Table'!BH64*Rates_current!$E$76*100*12</f>
        <v>-25766.141520000001</v>
      </c>
      <c r="Q62" s="408"/>
      <c r="R62" s="408">
        <f>SUMPRODUCT('Staging Table'!CL64:CW64, LS_Demand_Rates_Restatement!$C$11:$N$11)*1000</f>
        <v>11192.249008564811</v>
      </c>
      <c r="S62" s="409"/>
      <c r="T62" s="409">
        <f>IF('Staging Table'!D64=1, 'Staging Table'!BJ64*-1*('Staging Table'!BH64/'Staging Table'!BG64),SUM(O62:S62)*'Staging Table'!BJ64*-1)</f>
        <v>0</v>
      </c>
      <c r="U62" s="407">
        <f>'Staging Table'!BM64*Rates_current!$H$32*-1</f>
        <v>0</v>
      </c>
      <c r="V62" s="407">
        <f>IF(Init!$R$12="No",0,'Staging Table'!$CY64)</f>
        <v>0</v>
      </c>
      <c r="W62" s="407">
        <f>IF('Staging Table'!C64=1,"",SUM(O62:U62)-V62)</f>
        <v>168608.21084856481</v>
      </c>
      <c r="X62" s="407">
        <f>IF('Staging Table'!C64=1,"",(RT1SC!$C$4*'Staging Table'!BH64*'Staging Table'!$BH$2))</f>
        <v>4374.169584024</v>
      </c>
      <c r="Y62" s="169">
        <f>IF('Staging Table'!C64=1,"",IF(X62=0, 0, W62/X62))</f>
        <v>38.546336078139511</v>
      </c>
      <c r="Z62" s="160">
        <f ca="1">IF('Staging Table'!C64=1,"",(Y62/N62-1)+(RAND()/100000000000000))</f>
        <v>4.3982434960579631E-2</v>
      </c>
      <c r="AA62" s="97">
        <f t="shared" ca="1" si="0"/>
        <v>56</v>
      </c>
      <c r="AB62" s="397"/>
      <c r="AC62" s="397"/>
      <c r="AD62" s="397"/>
    </row>
    <row r="63" spans="2:30">
      <c r="B63" s="274">
        <v>10177</v>
      </c>
      <c r="C63" s="275" t="s">
        <v>66</v>
      </c>
      <c r="D63" s="407">
        <f>IF(Init!$R$9="Yes",'Staging Table'!F65,'Staging Table'!BH65)*Rates_previous!$E$75*100*12</f>
        <v>4094427.4736400004</v>
      </c>
      <c r="E63" s="407">
        <f>IF(Init!$R$9="Yes",'Staging Table'!F65,'Staging Table'!BH65)*Rates_previous!$E$76*100*12</f>
        <v>-608679.68784000003</v>
      </c>
      <c r="F63" s="408"/>
      <c r="G63" s="408">
        <f>IF(Init!$R$9="Yes",SUMPRODUCT('Staging Table'!AJ65:AU65,LS_Demand_Rates_Restatement!$C$10:$N$10),SUMPRODUCT(LS_Demand_Rates_Restatement!$C$10:$N$10,'Staging Table'!CL65:CW65))*1000</f>
        <v>93642.490324127531</v>
      </c>
      <c r="H63" s="409"/>
      <c r="I63" s="409">
        <f>IF(Init!$R$9="Yes",IF('Staging Table'!D65=1,'Staging Table'!H65*-1*('Staging Table'!F65/'Staging Table'!E65),'Staging Table'!H65*SUM(D63:H63)*(-1)),IF('Staging Table'!D65=1,'Staging Table'!BJ65*-1*('Staging Table'!BH65/'Staging Table'!BG65),'Staging Table'!BJ65*SUM(D63:H63)*(-1)))</f>
        <v>-267666.80484856229</v>
      </c>
      <c r="J63" s="407">
        <f>IF(Init!$R$9="Yes",'Staging Table'!K65,'Staging Table'!BM65)*(-1)*Rates_previous!$H$32</f>
        <v>0</v>
      </c>
      <c r="K63" s="407">
        <f>IF(Init!$R$12="No",0,'Staging Table'!$AW65)</f>
        <v>0</v>
      </c>
      <c r="L63" s="407">
        <f>IF('Staging Table'!C65=1,"",SUM(D63:J63)-K63)</f>
        <v>3311723.4712755657</v>
      </c>
      <c r="M63" s="407">
        <f>IF('Staging Table'!C65=1,"",IF(Init!$R$9="Yes",(RT1SC!$C$3*'Staging Table'!F65*'Staging Table'!$F$2),X63))</f>
        <v>101461.532372424</v>
      </c>
      <c r="N63" s="169">
        <f>IF('Staging Table'!C65=1,"",IF(M63=0, 0, L63/M63))</f>
        <v>32.640187801615063</v>
      </c>
      <c r="O63" s="407">
        <f>'Staging Table'!BH65*Rates_current!$E$75*100*12</f>
        <v>3624406.95744</v>
      </c>
      <c r="P63" s="407">
        <f>'Staging Table'!BH65*Rates_current!$E$76*100*12</f>
        <v>-509804.07407999999</v>
      </c>
      <c r="Q63" s="408"/>
      <c r="R63" s="408">
        <f>SUMPRODUCT('Staging Table'!CL65:CW65, LS_Demand_Rates_Restatement!$C$11:$N$11)*1000</f>
        <v>86901.920079202289</v>
      </c>
      <c r="S63" s="409"/>
      <c r="T63" s="409">
        <f>IF('Staging Table'!D65=1, 'Staging Table'!BJ65*-1*('Staging Table'!BH65/'Staging Table'!BG65),SUM(O63:S63)*'Staging Table'!BJ65*-1)</f>
        <v>-224105.33624074419</v>
      </c>
      <c r="U63" s="407">
        <f>'Staging Table'!BM65*Rates_current!$H$32*-1</f>
        <v>0</v>
      </c>
      <c r="V63" s="407">
        <f>IF(Init!$R$12="No",0,'Staging Table'!$CY65)</f>
        <v>0</v>
      </c>
      <c r="W63" s="407">
        <f>IF('Staging Table'!C65=1,"",SUM(O63:U63)-V63)</f>
        <v>2977399.467198458</v>
      </c>
      <c r="X63" s="407">
        <f>IF('Staging Table'!C65=1,"",(RT1SC!$C$4*'Staging Table'!BH65*'Staging Table'!$BH$2))</f>
        <v>86546.504175695998</v>
      </c>
      <c r="Y63" s="169">
        <f>IF('Staging Table'!C65=1,"",IF(X63=0, 0, W63/X63))</f>
        <v>34.402307702158716</v>
      </c>
      <c r="Z63" s="160">
        <f ca="1">IF('Staging Table'!C65=1,"",(Y63/N63-1)+(RAND()/100000000000000))</f>
        <v>5.3986205938941205E-2</v>
      </c>
      <c r="AA63" s="97">
        <f t="shared" ca="1" si="0"/>
        <v>4</v>
      </c>
      <c r="AB63" s="397"/>
      <c r="AC63" s="397"/>
      <c r="AD63" s="397"/>
    </row>
    <row r="64" spans="2:30">
      <c r="B64" s="274">
        <v>10179</v>
      </c>
      <c r="C64" s="275" t="s">
        <v>67</v>
      </c>
      <c r="D64" s="407">
        <f>IF(Init!$R$9="Yes",'Staging Table'!F66,'Staging Table'!BH66)*Rates_previous!$E$75*100*12</f>
        <v>58557417.042599991</v>
      </c>
      <c r="E64" s="407">
        <f>IF(Init!$R$9="Yes",'Staging Table'!F66,'Staging Table'!BH66)*Rates_previous!$E$76*100*12</f>
        <v>-8705175.6456000004</v>
      </c>
      <c r="F64" s="408"/>
      <c r="G64" s="408">
        <f>IF(Init!$R$9="Yes",SUMPRODUCT('Staging Table'!AJ66:AU66,LS_Demand_Rates_Restatement!$C$10:$N$10),SUMPRODUCT(LS_Demand_Rates_Restatement!$C$10:$N$10,'Staging Table'!CL66:CW66))*1000</f>
        <v>4690527.7016564095</v>
      </c>
      <c r="H64" s="409"/>
      <c r="I64" s="409">
        <f>IF(Init!$R$9="Yes",IF('Staging Table'!D66=1,'Staging Table'!H66*-1*('Staging Table'!F66/'Staging Table'!E66),'Staging Table'!H66*SUM(D64:H64)*(-1)),IF('Staging Table'!D66=1,'Staging Table'!BJ66*-1*('Staging Table'!BH66/'Staging Table'!BG66),'Staging Table'!BJ66*SUM(D64:H64)*(-1)))</f>
        <v>0</v>
      </c>
      <c r="J64" s="407">
        <f>IF(Init!$R$9="Yes",'Staging Table'!K66,'Staging Table'!BM66)*(-1)*Rates_previous!$H$32</f>
        <v>0</v>
      </c>
      <c r="K64" s="407">
        <f>IF(Init!$R$12="No",0,'Staging Table'!$AW66)</f>
        <v>0</v>
      </c>
      <c r="L64" s="407">
        <f>IF('Staging Table'!C66=1,"",SUM(D64:J64)-K64)</f>
        <v>54542769.098656401</v>
      </c>
      <c r="M64" s="407">
        <f>IF('Staging Table'!C66=1,"",IF(Init!$R$9="Yes",(RT1SC!$C$3*'Staging Table'!F66*'Staging Table'!$F$2),X64))</f>
        <v>1451075.9570571601</v>
      </c>
      <c r="N64" s="169">
        <f>IF('Staging Table'!C66=1,"",IF(M64=0, 0, L64/M64))</f>
        <v>37.587811191683798</v>
      </c>
      <c r="O64" s="407">
        <f>'Staging Table'!BH66*Rates_current!$E$75*100*12</f>
        <v>60216976.411199994</v>
      </c>
      <c r="P64" s="407">
        <f>'Staging Table'!BH66*Rates_current!$E$76*100*12</f>
        <v>-8470036.6884000003</v>
      </c>
      <c r="Q64" s="408"/>
      <c r="R64" s="408">
        <f>SUMPRODUCT('Staging Table'!CL66:CW66, LS_Demand_Rates_Restatement!$C$11:$N$11)*1000</f>
        <v>4499939.1989033027</v>
      </c>
      <c r="S64" s="409"/>
      <c r="T64" s="409">
        <f>IF('Staging Table'!D66=1, 'Staging Table'!BJ66*-1*('Staging Table'!BH66/'Staging Table'!BG66),SUM(O64:S64)*'Staging Table'!BJ66*-1)</f>
        <v>0</v>
      </c>
      <c r="U64" s="407">
        <f>'Staging Table'!BM66*Rates_current!$H$32*-1</f>
        <v>0</v>
      </c>
      <c r="V64" s="407">
        <f>IF(Init!$R$12="No",0,'Staging Table'!$CY66)</f>
        <v>0</v>
      </c>
      <c r="W64" s="407">
        <f>IF('Staging Table'!C66=1,"",SUM(O64:U64)-V64)</f>
        <v>56246878.921703294</v>
      </c>
      <c r="X64" s="407">
        <f>IF('Staging Table'!C66=1,"",(RT1SC!$C$4*'Staging Table'!BH66*'Staging Table'!$BH$2))</f>
        <v>1437909.3908650801</v>
      </c>
      <c r="Y64" s="169">
        <f>IF('Staging Table'!C66=1,"",IF(X64=0, 0, W64/X64))</f>
        <v>39.117123289572405</v>
      </c>
      <c r="Z64" s="160">
        <f ca="1">IF('Staging Table'!C66=1,"",(Y64/N64-1)+(RAND()/100000000000000))</f>
        <v>4.0686383415350871E-2</v>
      </c>
      <c r="AA64" s="97">
        <f t="shared" ca="1" si="0"/>
        <v>99</v>
      </c>
      <c r="AB64" s="397"/>
      <c r="AC64" s="397"/>
      <c r="AD64" s="397"/>
    </row>
    <row r="65" spans="2:30">
      <c r="B65" s="274">
        <v>10183</v>
      </c>
      <c r="C65" s="275" t="s">
        <v>68</v>
      </c>
      <c r="D65" s="407">
        <f>IF(Init!$R$9="Yes",'Staging Table'!F67,'Staging Table'!BH67)*Rates_previous!$E$75*100*12</f>
        <v>21883812.592319999</v>
      </c>
      <c r="E65" s="407">
        <f>IF(Init!$R$9="Yes",'Staging Table'!F67,'Staging Table'!BH67)*Rates_previous!$E$76*100*12</f>
        <v>-3253258.8019199995</v>
      </c>
      <c r="F65" s="408"/>
      <c r="G65" s="408">
        <f>IF(Init!$R$9="Yes",SUMPRODUCT('Staging Table'!AJ67:AU67,LS_Demand_Rates_Restatement!$C$10:$N$10),SUMPRODUCT(LS_Demand_Rates_Restatement!$C$10:$N$10,'Staging Table'!CL67:CW67))*1000</f>
        <v>0</v>
      </c>
      <c r="H65" s="409"/>
      <c r="I65" s="409">
        <f>IF(Init!$R$9="Yes",IF('Staging Table'!D67=1,'Staging Table'!H67*-1*('Staging Table'!F67/'Staging Table'!E67),'Staging Table'!H67*SUM(D65:H65)*(-1)),IF('Staging Table'!D67=1,'Staging Table'!BJ67*-1*('Staging Table'!BH67/'Staging Table'!BG67),'Staging Table'!BJ67*SUM(D65:H65)*(-1)))</f>
        <v>0</v>
      </c>
      <c r="J65" s="407">
        <f>IF(Init!$R$9="Yes",'Staging Table'!K67,'Staging Table'!BM67)*(-1)*Rates_previous!$H$32</f>
        <v>-1111173.2971900001</v>
      </c>
      <c r="K65" s="407">
        <f>IF(Init!$R$12="No",0,'Staging Table'!$AW67)</f>
        <v>0</v>
      </c>
      <c r="L65" s="407">
        <f>IF('Staging Table'!C67=1,"",SUM(D65:J65)-K65)</f>
        <v>17519380.493209999</v>
      </c>
      <c r="M65" s="407">
        <f>IF('Staging Table'!C67=1,"",IF(Init!$R$9="Yes",(RT1SC!$C$3*'Staging Table'!F67*'Staging Table'!$F$2),X65))</f>
        <v>542289.53231251193</v>
      </c>
      <c r="N65" s="169">
        <f>IF('Staging Table'!C67=1,"",IF(M65=0, 0, L65/M65))</f>
        <v>32.306322451958906</v>
      </c>
      <c r="O65" s="407">
        <f>'Staging Table'!BH67*Rates_current!$E$75*100*12</f>
        <v>22503373.634879995</v>
      </c>
      <c r="P65" s="407">
        <f>'Staging Table'!BH67*Rates_current!$E$76*100*12</f>
        <v>-3165293.4381599994</v>
      </c>
      <c r="Q65" s="408"/>
      <c r="R65" s="408">
        <f>SUMPRODUCT('Staging Table'!CL67:CW67, LS_Demand_Rates_Restatement!$C$11:$N$11)*1000</f>
        <v>0</v>
      </c>
      <c r="S65" s="409"/>
      <c r="T65" s="409">
        <f>IF('Staging Table'!D67=1, 'Staging Table'!BJ67*-1*('Staging Table'!BH67/'Staging Table'!BG67),SUM(O65:S65)*'Staging Table'!BJ67*-1)</f>
        <v>0</v>
      </c>
      <c r="U65" s="407">
        <f>'Staging Table'!BM67*Rates_current!$H$32*-1</f>
        <v>-1110229.2247200001</v>
      </c>
      <c r="V65" s="407">
        <f>IF(Init!$R$12="No",0,'Staging Table'!$CY67)</f>
        <v>0</v>
      </c>
      <c r="W65" s="407">
        <f>IF('Staging Table'!C67=1,"",SUM(O65:U65)-V65)</f>
        <v>18227850.971999995</v>
      </c>
      <c r="X65" s="407">
        <f>IF('Staging Table'!C67=1,"",(RT1SC!$C$4*'Staging Table'!BH67*'Staging Table'!$BH$2))</f>
        <v>537353.6534743919</v>
      </c>
      <c r="Y65" s="169">
        <f>IF('Staging Table'!C67=1,"",IF(X65=0, 0, W65/X65))</f>
        <v>33.921516777904742</v>
      </c>
      <c r="Z65" s="160">
        <f ca="1">IF('Staging Table'!C67=1,"",(Y65/N65-1)+(RAND()/100000000000000))</f>
        <v>4.9996229943777414E-2</v>
      </c>
      <c r="AA65" s="97">
        <f t="shared" ca="1" si="0"/>
        <v>13</v>
      </c>
      <c r="AB65" s="397"/>
      <c r="AC65" s="397"/>
      <c r="AD65" s="397"/>
    </row>
    <row r="66" spans="2:30">
      <c r="B66" s="274">
        <v>10186</v>
      </c>
      <c r="C66" s="275" t="s">
        <v>69</v>
      </c>
      <c r="D66" s="407">
        <f>IF(Init!$R$9="Yes",'Staging Table'!F68,'Staging Table'!BH68)*Rates_previous!$E$75*100*12</f>
        <v>7482646.0371599989</v>
      </c>
      <c r="E66" s="407">
        <f>IF(Init!$R$9="Yes",'Staging Table'!F68,'Staging Table'!BH68)*Rates_previous!$E$76*100*12</f>
        <v>-1112373.9969599999</v>
      </c>
      <c r="F66" s="408"/>
      <c r="G66" s="408">
        <f>IF(Init!$R$9="Yes",SUMPRODUCT('Staging Table'!AJ68:AU68,LS_Demand_Rates_Restatement!$C$10:$N$10),SUMPRODUCT(LS_Demand_Rates_Restatement!$C$10:$N$10,'Staging Table'!CL68:CW68))*1000</f>
        <v>371993.16627625533</v>
      </c>
      <c r="H66" s="409"/>
      <c r="I66" s="409">
        <f>IF(Init!$R$9="Yes",IF('Staging Table'!D68=1,'Staging Table'!H68*-1*('Staging Table'!F68/'Staging Table'!E68),'Staging Table'!H68*SUM(D66:H66)*(-1)),IF('Staging Table'!D68=1,'Staging Table'!BJ68*-1*('Staging Table'!BH68/'Staging Table'!BG68),'Staging Table'!BJ68*SUM(D66:H66)*(-1)))</f>
        <v>-483622.68326054176</v>
      </c>
      <c r="J66" s="407">
        <f>IF(Init!$R$9="Yes",'Staging Table'!K68,'Staging Table'!BM68)*(-1)*Rates_previous!$H$32</f>
        <v>0</v>
      </c>
      <c r="K66" s="407">
        <f>IF(Init!$R$12="No",0,'Staging Table'!$AW68)</f>
        <v>0</v>
      </c>
      <c r="L66" s="407">
        <f>IF('Staging Table'!C68=1,"",SUM(D66:J66)-K66)</f>
        <v>6258642.523215713</v>
      </c>
      <c r="M66" s="407">
        <f>IF('Staging Table'!C68=1,"",IF(Init!$R$9="Yes",(RT1SC!$C$3*'Staging Table'!F68*'Staging Table'!$F$2),X66))</f>
        <v>185422.92860685597</v>
      </c>
      <c r="N66" s="169">
        <f>IF('Staging Table'!C68=1,"",IF(M66=0, 0, L66/M66))</f>
        <v>33.753336603185872</v>
      </c>
      <c r="O66" s="407">
        <f>'Staging Table'!BH68*Rates_current!$E$75*100*12</f>
        <v>6723216.3081600014</v>
      </c>
      <c r="P66" s="407">
        <f>'Staging Table'!BH68*Rates_current!$E$76*100*12</f>
        <v>-945678.31511999993</v>
      </c>
      <c r="Q66" s="408"/>
      <c r="R66" s="408">
        <f>SUMPRODUCT('Staging Table'!CL68:CW68, LS_Demand_Rates_Restatement!$C$11:$N$11)*1000</f>
        <v>350521.7778915955</v>
      </c>
      <c r="S66" s="409"/>
      <c r="T66" s="409">
        <f>IF('Staging Table'!D68=1, 'Staging Table'!BJ68*-1*('Staging Table'!BH68/'Staging Table'!BG68),SUM(O66:S66)*'Staging Table'!BJ68*-1)</f>
        <v>-428964.18396521185</v>
      </c>
      <c r="U66" s="407">
        <f>'Staging Table'!BM68*Rates_current!$H$32*-1</f>
        <v>0</v>
      </c>
      <c r="V66" s="407">
        <f>IF(Init!$R$12="No",0,'Staging Table'!$CY68)</f>
        <v>0</v>
      </c>
      <c r="W66" s="407">
        <f>IF('Staging Table'!C68=1,"",SUM(O66:U66)-V66)</f>
        <v>5699095.5869663851</v>
      </c>
      <c r="X66" s="407">
        <f>IF('Staging Table'!C68=1,"",(RT1SC!$C$4*'Staging Table'!BH68*'Staging Table'!$BH$2))</f>
        <v>160542.365998344</v>
      </c>
      <c r="Y66" s="169">
        <f>IF('Staging Table'!C68=1,"",IF(X66=0, 0, W66/X66))</f>
        <v>35.49901330733578</v>
      </c>
      <c r="Z66" s="160">
        <f ca="1">IF('Staging Table'!C68=1,"",(Y66/N66-1)+(RAND()/100000000000000))</f>
        <v>5.1718641172364473E-2</v>
      </c>
      <c r="AA66" s="97">
        <f t="shared" ca="1" si="0"/>
        <v>10</v>
      </c>
      <c r="AB66" s="397"/>
      <c r="AC66" s="397"/>
      <c r="AD66" s="397"/>
    </row>
    <row r="67" spans="2:30">
      <c r="B67" s="274">
        <v>10190</v>
      </c>
      <c r="C67" s="275" t="s">
        <v>70</v>
      </c>
      <c r="D67" s="407">
        <f>IF(Init!$R$9="Yes",'Staging Table'!F69,'Staging Table'!BH69)*Rates_previous!$E$75*100*12</f>
        <v>1822330.87848</v>
      </c>
      <c r="E67" s="407">
        <f>IF(Init!$R$9="Yes",'Staging Table'!F69,'Staging Table'!BH69)*Rates_previous!$E$76*100*12</f>
        <v>-270908.64288000006</v>
      </c>
      <c r="F67" s="408"/>
      <c r="G67" s="408">
        <f>IF(Init!$R$9="Yes",SUMPRODUCT('Staging Table'!AJ69:AU69,LS_Demand_Rates_Restatement!$C$10:$N$10),SUMPRODUCT(LS_Demand_Rates_Restatement!$C$10:$N$10,'Staging Table'!CL69:CW69))*1000</f>
        <v>117699.74862021902</v>
      </c>
      <c r="H67" s="409"/>
      <c r="I67" s="409">
        <f>IF(Init!$R$9="Yes",IF('Staging Table'!D69=1,'Staging Table'!H69*-1*('Staging Table'!F69/'Staging Table'!E69),'Staging Table'!H69*SUM(D67:H67)*(-1)),IF('Staging Table'!D69=1,'Staging Table'!BJ69*-1*('Staging Table'!BH69/'Staging Table'!BG69),'Staging Table'!BJ69*SUM(D67:H67)*(-1)))</f>
        <v>0</v>
      </c>
      <c r="J67" s="407">
        <f>IF(Init!$R$9="Yes",'Staging Table'!K69,'Staging Table'!BM69)*(-1)*Rates_previous!$H$32</f>
        <v>0</v>
      </c>
      <c r="K67" s="407">
        <f>IF(Init!$R$12="No",0,'Staging Table'!$AW69)</f>
        <v>0</v>
      </c>
      <c r="L67" s="407">
        <f>IF('Staging Table'!C69=1,"",SUM(D67:J67)-K67)</f>
        <v>1669121.9842202188</v>
      </c>
      <c r="M67" s="407">
        <f>IF('Staging Table'!C69=1,"",IF(Init!$R$9="Yes",(RT1SC!$C$3*'Staging Table'!F69*'Staging Table'!$F$2),X67))</f>
        <v>45158.080002768002</v>
      </c>
      <c r="N67" s="169">
        <f>IF('Staging Table'!C69=1,"",IF(M67=0, 0, L67/M67))</f>
        <v>36.961757101229914</v>
      </c>
      <c r="O67" s="407">
        <f>'Staging Table'!BH69*Rates_current!$E$75*100*12</f>
        <v>1873858.6512000002</v>
      </c>
      <c r="P67" s="407">
        <f>'Staging Table'!BH69*Rates_current!$E$76*100*12</f>
        <v>-263574.36839999998</v>
      </c>
      <c r="Q67" s="408"/>
      <c r="R67" s="408">
        <f>SUMPRODUCT('Staging Table'!CL69:CW69, LS_Demand_Rates_Restatement!$C$11:$N$11)*1000</f>
        <v>116699.55940157587</v>
      </c>
      <c r="S67" s="409"/>
      <c r="T67" s="409">
        <f>IF('Staging Table'!D69=1, 'Staging Table'!BJ69*-1*('Staging Table'!BH69/'Staging Table'!BG69),SUM(O67:S67)*'Staging Table'!BJ69*-1)</f>
        <v>0</v>
      </c>
      <c r="U67" s="407">
        <f>'Staging Table'!BM69*Rates_current!$H$32*-1</f>
        <v>0</v>
      </c>
      <c r="V67" s="407">
        <f>IF(Init!$R$12="No",0,'Staging Table'!$CY69)</f>
        <v>0</v>
      </c>
      <c r="W67" s="407">
        <f>IF('Staging Table'!C69=1,"",SUM(O67:U67)-V67)</f>
        <v>1726983.8422015761</v>
      </c>
      <c r="X67" s="407">
        <f>IF('Staging Table'!C69=1,"",(RT1SC!$C$4*'Staging Table'!BH69*'Staging Table'!$BH$2))</f>
        <v>44745.503881079996</v>
      </c>
      <c r="Y67" s="169">
        <f>IF('Staging Table'!C69=1,"",IF(X67=0, 0, W67/X67))</f>
        <v>38.595695486889056</v>
      </c>
      <c r="Z67" s="160">
        <f ca="1">IF('Staging Table'!C69=1,"",(Y67/N67-1)+(RAND()/100000000000000))</f>
        <v>4.4206188065802524E-2</v>
      </c>
      <c r="AA67" s="97">
        <f t="shared" ca="1" si="0"/>
        <v>52</v>
      </c>
      <c r="AB67" s="397"/>
      <c r="AC67" s="397"/>
      <c r="AD67" s="397"/>
    </row>
    <row r="68" spans="2:30">
      <c r="B68" s="274">
        <v>10191</v>
      </c>
      <c r="C68" s="275" t="s">
        <v>71</v>
      </c>
      <c r="D68" s="407">
        <f>IF(Init!$R$9="Yes",'Staging Table'!F70,'Staging Table'!BH70)*Rates_previous!$E$75*100*12</f>
        <v>21219931.661039997</v>
      </c>
      <c r="E68" s="407">
        <f>IF(Init!$R$9="Yes",'Staging Table'!F70,'Staging Table'!BH70)*Rates_previous!$E$76*100*12</f>
        <v>-3154565.9222399993</v>
      </c>
      <c r="F68" s="408"/>
      <c r="G68" s="408">
        <f>IF(Init!$R$9="Yes",SUMPRODUCT('Staging Table'!AJ70:AU70,LS_Demand_Rates_Restatement!$C$10:$N$10),SUMPRODUCT(LS_Demand_Rates_Restatement!$C$10:$N$10,'Staging Table'!CL70:CW70))*1000</f>
        <v>0</v>
      </c>
      <c r="H68" s="409"/>
      <c r="I68" s="409">
        <f>IF(Init!$R$9="Yes",IF('Staging Table'!D70=1,'Staging Table'!H70*-1*('Staging Table'!F70/'Staging Table'!E70),'Staging Table'!H70*SUM(D68:H68)*(-1)),IF('Staging Table'!D70=1,'Staging Table'!BJ70*-1*('Staging Table'!BH70/'Staging Table'!BG70),'Staging Table'!BJ70*SUM(D68:H68)*(-1)))</f>
        <v>0</v>
      </c>
      <c r="J68" s="407">
        <f>IF(Init!$R$9="Yes",'Staging Table'!K70,'Staging Table'!BM70)*(-1)*Rates_previous!$H$32</f>
        <v>0</v>
      </c>
      <c r="K68" s="407">
        <f>IF(Init!$R$12="No",0,'Staging Table'!$AW70)</f>
        <v>0</v>
      </c>
      <c r="L68" s="407">
        <f>IF('Staging Table'!C70=1,"",SUM(D68:J68)-K68)</f>
        <v>18065365.738799997</v>
      </c>
      <c r="M68" s="407">
        <f>IF('Staging Table'!C70=1,"",IF(Init!$R$9="Yes",(RT1SC!$C$3*'Staging Table'!F70*'Staging Table'!$F$2),X68))</f>
        <v>525838.30023326399</v>
      </c>
      <c r="N68" s="169">
        <f>IF('Staging Table'!C70=1,"",IF(M68=0, 0, L68/M68))</f>
        <v>34.355363104562997</v>
      </c>
      <c r="O68" s="407">
        <f>'Staging Table'!BH70*Rates_current!$E$75*100*12</f>
        <v>22246307.233920004</v>
      </c>
      <c r="P68" s="407">
        <f>'Staging Table'!BH70*Rates_current!$E$76*100*12</f>
        <v>-3129134.8334400007</v>
      </c>
      <c r="Q68" s="408"/>
      <c r="R68" s="408">
        <f>SUMPRODUCT('Staging Table'!CL70:CW70, LS_Demand_Rates_Restatement!$C$11:$N$11)*1000</f>
        <v>0</v>
      </c>
      <c r="S68" s="409"/>
      <c r="T68" s="409">
        <f>IF('Staging Table'!D70=1, 'Staging Table'!BJ70*-1*('Staging Table'!BH70/'Staging Table'!BG70),SUM(O68:S68)*'Staging Table'!BJ70*-1)</f>
        <v>0</v>
      </c>
      <c r="U68" s="407">
        <f>'Staging Table'!BM70*Rates_current!$H$32*-1</f>
        <v>0</v>
      </c>
      <c r="V68" s="407">
        <f>IF(Init!$R$12="No",0,'Staging Table'!$CY70)</f>
        <v>0</v>
      </c>
      <c r="W68" s="407">
        <f>IF('Staging Table'!C70=1,"",SUM(O68:U68)-V68)</f>
        <v>19117172.400480002</v>
      </c>
      <c r="X68" s="407">
        <f>IF('Staging Table'!C70=1,"",(RT1SC!$C$4*'Staging Table'!BH70*'Staging Table'!$BH$2))</f>
        <v>531215.21521252813</v>
      </c>
      <c r="Y68" s="169">
        <f>IF('Staging Table'!C70=1,"",IF(X68=0, 0, W68/X68))</f>
        <v>35.987622065440313</v>
      </c>
      <c r="Z68" s="160">
        <f ca="1">IF('Staging Table'!C70=1,"",(Y68/N68-1)+(RAND()/100000000000000))</f>
        <v>4.7511037968354389E-2</v>
      </c>
      <c r="AA68" s="97">
        <f t="shared" ref="AA68:AA131" ca="1" si="1">IF(Z68="","",RANK(Z68,$Z$4:$Z$138))</f>
        <v>24</v>
      </c>
      <c r="AB68" s="397"/>
      <c r="AC68" s="397"/>
      <c r="AD68" s="397"/>
    </row>
    <row r="69" spans="2:30">
      <c r="B69" s="274">
        <v>10197</v>
      </c>
      <c r="C69" s="275" t="s">
        <v>72</v>
      </c>
      <c r="D69" s="407">
        <f>IF(Init!$R$9="Yes",'Staging Table'!F71,'Staging Table'!BH71)*Rates_previous!$E$75*100*12</f>
        <v>7986621.2706000013</v>
      </c>
      <c r="E69" s="407">
        <f>IF(Init!$R$9="Yes",'Staging Table'!F71,'Staging Table'!BH71)*Rates_previous!$E$76*100*12</f>
        <v>-1187295.2135999999</v>
      </c>
      <c r="F69" s="408"/>
      <c r="G69" s="408">
        <f>IF(Init!$R$9="Yes",SUMPRODUCT('Staging Table'!AJ71:AU71,LS_Demand_Rates_Restatement!$C$10:$N$10),SUMPRODUCT(LS_Demand_Rates_Restatement!$C$10:$N$10,'Staging Table'!CL71:CW71))*1000</f>
        <v>390796.44247742172</v>
      </c>
      <c r="H69" s="409"/>
      <c r="I69" s="409">
        <f>IF(Init!$R$9="Yes",IF('Staging Table'!D71=1,'Staging Table'!H71*-1*('Staging Table'!F71/'Staging Table'!E71),'Staging Table'!H71*SUM(D69:H69)*(-1)),IF('Staging Table'!D71=1,'Staging Table'!BJ71*-1*('Staging Table'!BH71/'Staging Table'!BG71),'Staging Table'!BJ71*SUM(D69:H69)*(-1)))</f>
        <v>-515747.48688751564</v>
      </c>
      <c r="J69" s="407">
        <f>IF(Init!$R$9="Yes",'Staging Table'!K71,'Staging Table'!BM71)*(-1)*Rates_previous!$H$32</f>
        <v>-1175813.6428499997</v>
      </c>
      <c r="K69" s="407">
        <f>IF(Init!$R$12="No",0,'Staging Table'!$AW71)</f>
        <v>0</v>
      </c>
      <c r="L69" s="407">
        <f>IF('Staging Table'!C71=1,"",SUM(D69:J69)-K69)</f>
        <v>5498561.3697399087</v>
      </c>
      <c r="M69" s="407">
        <f>IF('Staging Table'!C71=1,"",IF(Init!$R$9="Yes",(RT1SC!$C$3*'Staging Table'!F71*'Staging Table'!$F$2),X69))</f>
        <v>197911.63424196001</v>
      </c>
      <c r="N69" s="169">
        <f>IF('Staging Table'!C71=1,"",IF(M69=0, 0, L69/M69))</f>
        <v>27.782911251278716</v>
      </c>
      <c r="O69" s="407">
        <f>'Staging Table'!BH71*Rates_current!$E$75*100*12</f>
        <v>8212621.8383999988</v>
      </c>
      <c r="P69" s="407">
        <f>'Staging Table'!BH71*Rates_current!$E$76*100*12</f>
        <v>-1155176.0388</v>
      </c>
      <c r="Q69" s="408"/>
      <c r="R69" s="408">
        <f>SUMPRODUCT('Staging Table'!CL71:CW71, LS_Demand_Rates_Restatement!$C$11:$N$11)*1000</f>
        <v>345281.55937356659</v>
      </c>
      <c r="S69" s="409"/>
      <c r="T69" s="409">
        <f>IF('Staging Table'!D71=1, 'Staging Table'!BJ71*-1*('Staging Table'!BH71/'Staging Table'!BG71),SUM(O69:S69)*'Staging Table'!BJ71*-1)</f>
        <v>-532125.38294014521</v>
      </c>
      <c r="U69" s="407">
        <f>'Staging Table'!BM71*Rates_current!$H$32*-1</f>
        <v>-1174814.6507999997</v>
      </c>
      <c r="V69" s="407">
        <f>IF(Init!$R$12="No",0,'Staging Table'!$CY71)</f>
        <v>0</v>
      </c>
      <c r="W69" s="407">
        <f>IF('Staging Table'!C71=1,"",SUM(O69:U69)-V69)</f>
        <v>5695787.3252334204</v>
      </c>
      <c r="X69" s="407">
        <f>IF('Staging Table'!C71=1,"",(RT1SC!$C$4*'Staging Table'!BH71*'Staging Table'!$BH$2))</f>
        <v>196107.58906956</v>
      </c>
      <c r="Y69" s="169">
        <f>IF('Staging Table'!C71=1,"",IF(X69=0, 0, W69/X69))</f>
        <v>29.04419636311528</v>
      </c>
      <c r="Z69" s="160">
        <f ca="1">IF('Staging Table'!C71=1,"",(Y69/N69-1)+(RAND()/100000000000000))</f>
        <v>4.5397874269875689E-2</v>
      </c>
      <c r="AA69" s="97">
        <f t="shared" ca="1" si="1"/>
        <v>40</v>
      </c>
      <c r="AB69" s="397"/>
      <c r="AC69" s="397"/>
      <c r="AD69" s="397"/>
    </row>
    <row r="70" spans="2:30">
      <c r="B70" s="274">
        <v>10202</v>
      </c>
      <c r="C70" s="275" t="s">
        <v>73</v>
      </c>
      <c r="D70" s="407">
        <f>IF(Init!$R$9="Yes",'Staging Table'!F72,'Staging Table'!BH72)*Rates_previous!$E$75*100*12</f>
        <v>4597907.6430000002</v>
      </c>
      <c r="E70" s="407">
        <f>IF(Init!$R$9="Yes",'Staging Table'!F72,'Staging Table'!BH72)*Rates_previous!$E$76*100*12</f>
        <v>-683527.30799999996</v>
      </c>
      <c r="F70" s="408"/>
      <c r="G70" s="408">
        <f>IF(Init!$R$9="Yes",SUMPRODUCT('Staging Table'!AJ72:AU72,LS_Demand_Rates_Restatement!$C$10:$N$10),SUMPRODUCT(LS_Demand_Rates_Restatement!$C$10:$N$10,'Staging Table'!CL72:CW72))*1000</f>
        <v>228363.5245214031</v>
      </c>
      <c r="H70" s="409"/>
      <c r="I70" s="409">
        <f>IF(Init!$R$9="Yes",IF('Staging Table'!D72=1,'Staging Table'!H72*-1*('Staging Table'!F72/'Staging Table'!E72),'Staging Table'!H72*SUM(D70:H70)*(-1)),IF('Staging Table'!D72=1,'Staging Table'!BJ72*-1*('Staging Table'!BH72/'Staging Table'!BG72),'Staging Table'!BJ72*SUM(D70:H70)*(-1)))</f>
        <v>0</v>
      </c>
      <c r="J70" s="407">
        <f>IF(Init!$R$9="Yes",'Staging Table'!K72,'Staging Table'!BM72)*(-1)*Rates_previous!$H$32</f>
        <v>0</v>
      </c>
      <c r="K70" s="407">
        <f>IF(Init!$R$12="No",0,'Staging Table'!$AW72)</f>
        <v>0</v>
      </c>
      <c r="L70" s="407">
        <f>IF('Staging Table'!C72=1,"",SUM(D70:J70)-K70)</f>
        <v>4142743.859521403</v>
      </c>
      <c r="M70" s="407">
        <f>IF('Staging Table'!C72=1,"",IF(Init!$R$9="Yes",(RT1SC!$C$3*'Staging Table'!F72*'Staging Table'!$F$2),X70))</f>
        <v>113937.97012380001</v>
      </c>
      <c r="N70" s="169">
        <f>IF('Staging Table'!C72=1,"",IF(M70=0, 0, L70/M70))</f>
        <v>36.35964248810189</v>
      </c>
      <c r="O70" s="407">
        <f>'Staging Table'!BH72*Rates_current!$E$75*100*12</f>
        <v>4728085.4995200001</v>
      </c>
      <c r="P70" s="407">
        <f>'Staging Table'!BH72*Rates_current!$E$76*100*12</f>
        <v>-665045.97263999993</v>
      </c>
      <c r="Q70" s="408"/>
      <c r="R70" s="408">
        <f>SUMPRODUCT('Staging Table'!CL72:CW72, LS_Demand_Rates_Restatement!$C$11:$N$11)*1000</f>
        <v>224373.45413775818</v>
      </c>
      <c r="S70" s="409"/>
      <c r="T70" s="409">
        <f>IF('Staging Table'!D72=1, 'Staging Table'!BJ72*-1*('Staging Table'!BH72/'Staging Table'!BG72),SUM(O70:S70)*'Staging Table'!BJ72*-1)</f>
        <v>0</v>
      </c>
      <c r="U70" s="407">
        <f>'Staging Table'!BM72*Rates_current!$H$32*-1</f>
        <v>0</v>
      </c>
      <c r="V70" s="407">
        <f>IF(Init!$R$12="No",0,'Staging Table'!$CY72)</f>
        <v>0</v>
      </c>
      <c r="W70" s="407">
        <f>IF('Staging Table'!C72=1,"",SUM(O70:U70)-V70)</f>
        <v>4287412.9810177581</v>
      </c>
      <c r="X70" s="407">
        <f>IF('Staging Table'!C72=1,"",(RT1SC!$C$4*'Staging Table'!BH72*'Staging Table'!$BH$2))</f>
        <v>112901.02801156799</v>
      </c>
      <c r="Y70" s="169">
        <f>IF('Staging Table'!C72=1,"",IF(X70=0, 0, W70/X70))</f>
        <v>37.974968488138693</v>
      </c>
      <c r="Z70" s="160">
        <f ca="1">IF('Staging Table'!C72=1,"",(Y70/N70-1)+(RAND()/100000000000000))</f>
        <v>4.4426344416493652E-2</v>
      </c>
      <c r="AA70" s="97">
        <f t="shared" ca="1" si="1"/>
        <v>47</v>
      </c>
      <c r="AB70" s="397"/>
      <c r="AC70" s="397"/>
      <c r="AD70" s="397"/>
    </row>
    <row r="71" spans="2:30">
      <c r="B71" s="274">
        <v>10203</v>
      </c>
      <c r="C71" s="275" t="s">
        <v>74</v>
      </c>
      <c r="D71" s="407">
        <f>IF(Init!$R$9="Yes",'Staging Table'!F73,'Staging Table'!BH73)*Rates_previous!$E$75*100*12</f>
        <v>2181004.8044400001</v>
      </c>
      <c r="E71" s="407">
        <f>IF(Init!$R$9="Yes",'Staging Table'!F73,'Staging Table'!BH73)*Rates_previous!$E$76*100*12</f>
        <v>-324229.29264</v>
      </c>
      <c r="F71" s="408"/>
      <c r="G71" s="408">
        <f>IF(Init!$R$9="Yes",SUMPRODUCT('Staging Table'!AJ73:AU73,LS_Demand_Rates_Restatement!$C$10:$N$10),SUMPRODUCT(LS_Demand_Rates_Restatement!$C$10:$N$10,'Staging Table'!CL73:CW73))*1000</f>
        <v>135164.05823806973</v>
      </c>
      <c r="H71" s="409"/>
      <c r="I71" s="409">
        <f>IF(Init!$R$9="Yes",IF('Staging Table'!D73=1,'Staging Table'!H73*-1*('Staging Table'!F73/'Staging Table'!E73),'Staging Table'!H73*SUM(D71:H71)*(-1)),IF('Staging Table'!D73=1,'Staging Table'!BJ73*-1*('Staging Table'!BH73/'Staging Table'!BG73),'Staging Table'!BJ73*SUM(D71:H71)*(-1)))</f>
        <v>-141646.82282540714</v>
      </c>
      <c r="J71" s="407">
        <f>IF(Init!$R$9="Yes",'Staging Table'!K73,'Staging Table'!BM73)*(-1)*Rates_previous!$H$32</f>
        <v>0</v>
      </c>
      <c r="K71" s="407">
        <f>IF(Init!$R$12="No",0,'Staging Table'!$AW73)</f>
        <v>0</v>
      </c>
      <c r="L71" s="407">
        <f>IF('Staging Table'!C73=1,"",SUM(D71:J71)-K71)</f>
        <v>1850292.7472126626</v>
      </c>
      <c r="M71" s="407">
        <f>IF('Staging Table'!C73=1,"",IF(Init!$R$9="Yes",(RT1SC!$C$3*'Staging Table'!F73*'Staging Table'!$F$2),X71))</f>
        <v>54046.161763704004</v>
      </c>
      <c r="N71" s="169">
        <f>IF('Staging Table'!C73=1,"",IF(M71=0, 0, L71/M71))</f>
        <v>34.235414446308951</v>
      </c>
      <c r="O71" s="407">
        <f>'Staging Table'!BH73*Rates_current!$E$75*100*12</f>
        <v>2243025.3657600004</v>
      </c>
      <c r="P71" s="407">
        <f>'Staging Table'!BH73*Rates_current!$E$76*100*12</f>
        <v>-315500.84832000005</v>
      </c>
      <c r="Q71" s="408"/>
      <c r="R71" s="408">
        <f>SUMPRODUCT('Staging Table'!CL73:CW73, LS_Demand_Rates_Restatement!$C$11:$N$11)*1000</f>
        <v>128099.54408568374</v>
      </c>
      <c r="S71" s="409"/>
      <c r="T71" s="409">
        <f>IF('Staging Table'!D73=1, 'Staging Table'!BJ73*-1*('Staging Table'!BH73/'Staging Table'!BG73),SUM(O71:S71)*'Staging Table'!BJ73*-1)</f>
        <v>-150106.95428667925</v>
      </c>
      <c r="U71" s="407">
        <f>'Staging Table'!BM73*Rates_current!$H$32*-1</f>
        <v>0</v>
      </c>
      <c r="V71" s="407">
        <f>IF(Init!$R$12="No",0,'Staging Table'!$CY73)</f>
        <v>0</v>
      </c>
      <c r="W71" s="407">
        <f>IF('Staging Table'!C73=1,"",SUM(O71:U71)-V71)</f>
        <v>1905517.1072390049</v>
      </c>
      <c r="X71" s="407">
        <f>IF('Staging Table'!C73=1,"",(RT1SC!$C$4*'Staging Table'!BH73*'Staging Table'!$BH$2))</f>
        <v>53560.763585184002</v>
      </c>
      <c r="Y71" s="169">
        <f>IF('Staging Table'!C73=1,"",IF(X71=0, 0, W71/X71))</f>
        <v>35.576735275785161</v>
      </c>
      <c r="Z71" s="160">
        <f ca="1">IF('Staging Table'!C73=1,"",(Y71/N71-1)+(RAND()/100000000000000))</f>
        <v>3.9179336694748997E-2</v>
      </c>
      <c r="AA71" s="97">
        <f t="shared" ca="1" si="1"/>
        <v>108</v>
      </c>
      <c r="AB71" s="397"/>
      <c r="AC71" s="397"/>
      <c r="AD71" s="397"/>
    </row>
    <row r="72" spans="2:30">
      <c r="B72" s="274">
        <v>10204</v>
      </c>
      <c r="C72" s="275" t="s">
        <v>75</v>
      </c>
      <c r="D72" s="407">
        <f>IF(Init!$R$9="Yes",'Staging Table'!F74,'Staging Table'!BH74)*Rates_previous!$E$75*100*12</f>
        <v>13684066.23528</v>
      </c>
      <c r="E72" s="407">
        <f>IF(Init!$R$9="Yes",'Staging Table'!F74,'Staging Table'!BH74)*Rates_previous!$E$76*100*12</f>
        <v>-2034280.3036799999</v>
      </c>
      <c r="F72" s="408"/>
      <c r="G72" s="408">
        <f>IF(Init!$R$9="Yes",SUMPRODUCT('Staging Table'!AJ74:AU74,LS_Demand_Rates_Restatement!$C$10:$N$10),SUMPRODUCT(LS_Demand_Rates_Restatement!$C$10:$N$10,'Staging Table'!CL74:CW74))*1000</f>
        <v>0</v>
      </c>
      <c r="H72" s="409"/>
      <c r="I72" s="409">
        <f>IF(Init!$R$9="Yes",IF('Staging Table'!D74=1,'Staging Table'!H74*-1*('Staging Table'!F74/'Staging Table'!E74),'Staging Table'!H74*SUM(D72:H72)*(-1)),IF('Staging Table'!D74=1,'Staging Table'!BJ74*-1*('Staging Table'!BH74/'Staging Table'!BG74),'Staging Table'!BJ74*SUM(D72:H72)*(-1)))</f>
        <v>0</v>
      </c>
      <c r="J72" s="407">
        <f>IF(Init!$R$9="Yes",'Staging Table'!K74,'Staging Table'!BM74)*(-1)*Rates_previous!$H$32</f>
        <v>0</v>
      </c>
      <c r="K72" s="407">
        <f>IF(Init!$R$12="No",0,'Staging Table'!$AW74)</f>
        <v>0</v>
      </c>
      <c r="L72" s="407">
        <f>IF('Staging Table'!C74=1,"",SUM(D72:J72)-K72)</f>
        <v>11649785.931600001</v>
      </c>
      <c r="M72" s="407">
        <f>IF('Staging Table'!C74=1,"",IF(Init!$R$9="Yes",(RT1SC!$C$3*'Staging Table'!F74*'Staging Table'!$F$2),X72))</f>
        <v>339096.57412564795</v>
      </c>
      <c r="N72" s="169">
        <f>IF('Staging Table'!C74=1,"",IF(M72=0, 0, L72/M72))</f>
        <v>34.355363104563011</v>
      </c>
      <c r="O72" s="407">
        <f>'Staging Table'!BH74*Rates_current!$E$75*100*12</f>
        <v>10109664.872639999</v>
      </c>
      <c r="P72" s="407">
        <f>'Staging Table'!BH74*Rates_current!$E$76*100*12</f>
        <v>-1422011.4904799999</v>
      </c>
      <c r="Q72" s="408"/>
      <c r="R72" s="408">
        <f>SUMPRODUCT('Staging Table'!CL74:CW74, LS_Demand_Rates_Restatement!$C$11:$N$11)*1000</f>
        <v>0</v>
      </c>
      <c r="S72" s="409"/>
      <c r="T72" s="409">
        <f>IF('Staging Table'!D74=1, 'Staging Table'!BJ74*-1*('Staging Table'!BH74/'Staging Table'!BG74),SUM(O72:S72)*'Staging Table'!BJ74*-1)</f>
        <v>0</v>
      </c>
      <c r="U72" s="407">
        <f>'Staging Table'!BM74*Rates_current!$H$32*-1</f>
        <v>0</v>
      </c>
      <c r="V72" s="407">
        <f>IF(Init!$R$12="No",0,'Staging Table'!$CY74)</f>
        <v>0</v>
      </c>
      <c r="W72" s="407">
        <f>IF('Staging Table'!C74=1,"",SUM(O72:U72)-V72)</f>
        <v>8687653.3821599986</v>
      </c>
      <c r="X72" s="407">
        <f>IF('Staging Table'!C74=1,"",(RT1SC!$C$4*'Staging Table'!BH74*'Staging Table'!$BH$2))</f>
        <v>241406.70829437597</v>
      </c>
      <c r="Y72" s="169">
        <f>IF('Staging Table'!C74=1,"",IF(X72=0, 0, W72/X72))</f>
        <v>35.98762206544032</v>
      </c>
      <c r="Z72" s="160">
        <f ca="1">IF('Staging Table'!C74=1,"",(Y72/N72-1)+(RAND()/100000000000000))</f>
        <v>4.7511037968358122E-2</v>
      </c>
      <c r="AA72" s="97">
        <f t="shared" ca="1" si="1"/>
        <v>20</v>
      </c>
      <c r="AB72" s="397"/>
      <c r="AC72" s="397"/>
      <c r="AD72" s="397"/>
    </row>
    <row r="73" spans="2:30">
      <c r="B73" s="274">
        <v>10209</v>
      </c>
      <c r="C73" s="275" t="s">
        <v>76</v>
      </c>
      <c r="D73" s="407">
        <f>IF(Init!$R$9="Yes",'Staging Table'!F75,'Staging Table'!BH75)*Rates_previous!$E$75*100*12</f>
        <v>37818687.667319998</v>
      </c>
      <c r="E73" s="407">
        <f>IF(Init!$R$9="Yes",'Staging Table'!F75,'Staging Table'!BH75)*Rates_previous!$E$76*100*12</f>
        <v>-5622145.5019199997</v>
      </c>
      <c r="F73" s="408"/>
      <c r="G73" s="408">
        <f>IF(Init!$R$9="Yes",SUMPRODUCT('Staging Table'!AJ75:AU75,LS_Demand_Rates_Restatement!$C$10:$N$10),SUMPRODUCT(LS_Demand_Rates_Restatement!$C$10:$N$10,'Staging Table'!CL75:CW75))*1000</f>
        <v>2568146.6247324077</v>
      </c>
      <c r="H73" s="409"/>
      <c r="I73" s="409">
        <f>IF(Init!$R$9="Yes",IF('Staging Table'!D75=1,'Staging Table'!H75*-1*('Staging Table'!F75/'Staging Table'!E75),'Staging Table'!H75*SUM(D73:H73)*(-1)),IF('Staging Table'!D75=1,'Staging Table'!BJ75*-1*('Staging Table'!BH75/'Staging Table'!BG75),'Staging Table'!BJ75*SUM(D73:H73)*(-1)))</f>
        <v>-2495757.0082436055</v>
      </c>
      <c r="J73" s="407">
        <f>IF(Init!$R$9="Yes",'Staging Table'!K75,'Staging Table'!BM75)*(-1)*Rates_previous!$H$32</f>
        <v>-707526.49077000003</v>
      </c>
      <c r="K73" s="407">
        <f>IF(Init!$R$12="No",0,'Staging Table'!$AW75)</f>
        <v>0</v>
      </c>
      <c r="L73" s="407">
        <f>IF('Staging Table'!C75=1,"",SUM(D73:J73)-K73)</f>
        <v>31561405.291118797</v>
      </c>
      <c r="M73" s="407">
        <f>IF('Staging Table'!C75=1,"",IF(Init!$R$9="Yes",(RT1SC!$C$3*'Staging Table'!F75*'Staging Table'!$F$2),X73))</f>
        <v>937162.03980751196</v>
      </c>
      <c r="N73" s="169">
        <f>IF('Staging Table'!C75=1,"",IF(M73=0, 0, L73/M73))</f>
        <v>33.677639458808365</v>
      </c>
      <c r="O73" s="407">
        <f>'Staging Table'!BH75*Rates_current!$E$75*100*12</f>
        <v>37861880.918399997</v>
      </c>
      <c r="P73" s="407">
        <f>'Staging Table'!BH75*Rates_current!$E$76*100*12</f>
        <v>-5325599.8487999998</v>
      </c>
      <c r="Q73" s="408"/>
      <c r="R73" s="408">
        <f>SUMPRODUCT('Staging Table'!CL75:CW75, LS_Demand_Rates_Restatement!$C$11:$N$11)*1000</f>
        <v>2462191.0599062946</v>
      </c>
      <c r="S73" s="409"/>
      <c r="T73" s="409">
        <f>IF('Staging Table'!D75=1, 'Staging Table'!BJ75*-1*('Staging Table'!BH75/'Staging Table'!BG75),SUM(O73:S73)*'Staging Table'!BJ75*-1)</f>
        <v>-2578669.8741953257</v>
      </c>
      <c r="U73" s="407">
        <f>'Staging Table'!BM75*Rates_current!$H$32*-1</f>
        <v>-706925.36375999998</v>
      </c>
      <c r="V73" s="407">
        <f>IF(Init!$R$12="No",0,'Staging Table'!$CY75)</f>
        <v>0</v>
      </c>
      <c r="W73" s="407">
        <f>IF('Staging Table'!C75=1,"",SUM(O73:U73)-V73)</f>
        <v>31712876.891550966</v>
      </c>
      <c r="X73" s="407">
        <f>IF('Staging Table'!C75=1,"",(RT1SC!$C$4*'Staging Table'!BH75*'Staging Table'!$BH$2))</f>
        <v>904096.44211655995</v>
      </c>
      <c r="Y73" s="169">
        <f>IF('Staging Table'!C75=1,"",IF(X73=0, 0, W73/X73))</f>
        <v>35.076873897776501</v>
      </c>
      <c r="Z73" s="160">
        <f ca="1">IF('Staging Table'!C75=1,"",(Y73/N73-1)+(RAND()/100000000000000))</f>
        <v>4.1547877507259467E-2</v>
      </c>
      <c r="AA73" s="97">
        <f t="shared" ca="1" si="1"/>
        <v>86</v>
      </c>
      <c r="AB73" s="397"/>
      <c r="AC73" s="397"/>
      <c r="AD73" s="397"/>
    </row>
    <row r="74" spans="2:30">
      <c r="B74" s="274">
        <v>10230</v>
      </c>
      <c r="C74" s="275" t="s">
        <v>77</v>
      </c>
      <c r="D74" s="407">
        <f>IF(Init!$R$9="Yes",'Staging Table'!F76,'Staging Table'!BH76)*Rates_previous!$E$75*100*12</f>
        <v>3405793.3383599999</v>
      </c>
      <c r="E74" s="407">
        <f>IF(Init!$R$9="Yes",'Staging Table'!F76,'Staging Table'!BH76)*Rates_previous!$E$76*100*12</f>
        <v>-506306.98415999999</v>
      </c>
      <c r="F74" s="408"/>
      <c r="G74" s="408">
        <f>IF(Init!$R$9="Yes",SUMPRODUCT('Staging Table'!AJ76:AU76,LS_Demand_Rates_Restatement!$C$10:$N$10),SUMPRODUCT(LS_Demand_Rates_Restatement!$C$10:$N$10,'Staging Table'!CL76:CW76))*1000</f>
        <v>294055.22526582971</v>
      </c>
      <c r="H74" s="409"/>
      <c r="I74" s="409">
        <f>IF(Init!$R$9="Yes",IF('Staging Table'!D76=1,'Staging Table'!H76*-1*('Staging Table'!F76/'Staging Table'!E76),'Staging Table'!H76*SUM(D74:H74)*(-1)),IF('Staging Table'!D76=1,'Staging Table'!BJ76*-1*('Staging Table'!BH76/'Staging Table'!BG76),'Staging Table'!BJ76*SUM(D74:H74)*(-1)))</f>
        <v>-243731.09334483213</v>
      </c>
      <c r="J74" s="407">
        <f>IF(Init!$R$9="Yes",'Staging Table'!K76,'Staging Table'!BM76)*(-1)*Rates_previous!$H$32</f>
        <v>0</v>
      </c>
      <c r="K74" s="407">
        <f>IF(Init!$R$12="No",0,'Staging Table'!$AW76)</f>
        <v>0</v>
      </c>
      <c r="L74" s="407">
        <f>IF('Staging Table'!C76=1,"",SUM(D74:J74)-K74)</f>
        <v>2949810.4861209975</v>
      </c>
      <c r="M74" s="407">
        <f>IF('Staging Table'!C76=1,"",IF(Init!$R$9="Yes",(RT1SC!$C$3*'Staging Table'!F76*'Staging Table'!$F$2),X74))</f>
        <v>84396.90610677599</v>
      </c>
      <c r="N74" s="169">
        <f>IF('Staging Table'!C76=1,"",IF(M74=0, 0, L74/M74))</f>
        <v>34.951642449890301</v>
      </c>
      <c r="O74" s="407">
        <f>'Staging Table'!BH76*Rates_current!$E$75*100*12</f>
        <v>3502370.4796799999</v>
      </c>
      <c r="P74" s="407">
        <f>'Staging Table'!BH76*Rates_current!$E$76*100*12</f>
        <v>-492638.59175999998</v>
      </c>
      <c r="Q74" s="408"/>
      <c r="R74" s="408">
        <f>SUMPRODUCT('Staging Table'!CL76:CW76, LS_Demand_Rates_Restatement!$C$11:$N$11)*1000</f>
        <v>289448.04091493052</v>
      </c>
      <c r="S74" s="409"/>
      <c r="T74" s="409">
        <f>IF('Staging Table'!D76=1, 'Staging Table'!BJ76*-1*('Staging Table'!BH76/'Staging Table'!BG76),SUM(O74:S74)*'Staging Table'!BJ76*-1)</f>
        <v>-246400.04952947338</v>
      </c>
      <c r="U74" s="407">
        <f>'Staging Table'!BM76*Rates_current!$H$32*-1</f>
        <v>0</v>
      </c>
      <c r="V74" s="407">
        <f>IF(Init!$R$12="No",0,'Staging Table'!$CY76)</f>
        <v>0</v>
      </c>
      <c r="W74" s="407">
        <f>IF('Staging Table'!C76=1,"",SUM(O74:U74)-V74)</f>
        <v>3052779.8793054568</v>
      </c>
      <c r="X74" s="407">
        <f>IF('Staging Table'!C76=1,"",(RT1SC!$C$4*'Staging Table'!BH76*'Staging Table'!$BH$2))</f>
        <v>83632.419014711981</v>
      </c>
      <c r="Y74" s="169">
        <f>IF('Staging Table'!C76=1,"",IF(X74=0, 0, W74/X74))</f>
        <v>36.50235058689902</v>
      </c>
      <c r="Z74" s="160">
        <f ca="1">IF('Staging Table'!C76=1,"",(Y74/N74-1)+(RAND()/100000000000000))</f>
        <v>4.4367246524456963E-2</v>
      </c>
      <c r="AA74" s="97">
        <f t="shared" ca="1" si="1"/>
        <v>49</v>
      </c>
      <c r="AB74" s="397"/>
      <c r="AC74" s="397"/>
      <c r="AD74" s="397"/>
    </row>
    <row r="75" spans="2:30">
      <c r="B75" s="274">
        <v>10231</v>
      </c>
      <c r="C75" s="275" t="s">
        <v>78</v>
      </c>
      <c r="D75" s="407">
        <f>IF(Init!$R$9="Yes",'Staging Table'!F77,'Staging Table'!BH77)*Rates_previous!$E$75*100*12</f>
        <v>12867705.567360001</v>
      </c>
      <c r="E75" s="407">
        <f>IF(Init!$R$9="Yes",'Staging Table'!F77,'Staging Table'!BH77)*Rates_previous!$E$76*100*12</f>
        <v>-1912919.7081599999</v>
      </c>
      <c r="F75" s="408"/>
      <c r="G75" s="408">
        <f>IF(Init!$R$9="Yes",SUMPRODUCT('Staging Table'!AJ77:AU77,LS_Demand_Rates_Restatement!$C$10:$N$10),SUMPRODUCT(LS_Demand_Rates_Restatement!$C$10:$N$10,'Staging Table'!CL77:CW77))*1000</f>
        <v>693316.66195297334</v>
      </c>
      <c r="H75" s="409"/>
      <c r="I75" s="409">
        <f>IF(Init!$R$9="Yes",IF('Staging Table'!D77=1,'Staging Table'!H77*-1*('Staging Table'!F77/'Staging Table'!E77),'Staging Table'!H77*SUM(D75:H75)*(-1)),IF('Staging Table'!D77=1,'Staging Table'!BJ77*-1*('Staging Table'!BH77/'Staging Table'!BG77),'Staging Table'!BJ77*SUM(D75:H75)*(-1)))</f>
        <v>-891312.80491862551</v>
      </c>
      <c r="J75" s="407">
        <f>IF(Init!$R$9="Yes",'Staging Table'!K77,'Staging Table'!BM77)*(-1)*Rates_previous!$H$32</f>
        <v>-254617.22032999998</v>
      </c>
      <c r="K75" s="407">
        <f>IF(Init!$R$12="No",0,'Staging Table'!$AW77)</f>
        <v>0</v>
      </c>
      <c r="L75" s="407">
        <f>IF('Staging Table'!C77=1,"",SUM(D75:J75)-K75)</f>
        <v>10502172.495904347</v>
      </c>
      <c r="M75" s="407">
        <f>IF('Staging Table'!C77=1,"",IF(Init!$R$9="Yes",(RT1SC!$C$3*'Staging Table'!F77*'Staging Table'!$F$2),X75))</f>
        <v>318866.83385817596</v>
      </c>
      <c r="N75" s="169">
        <f>IF('Staging Table'!C77=1,"",IF(M75=0, 0, L75/M75))</f>
        <v>32.935919891171409</v>
      </c>
      <c r="O75" s="407">
        <f>'Staging Table'!BH77*Rates_current!$E$75*100*12</f>
        <v>13232677.70016</v>
      </c>
      <c r="P75" s="407">
        <f>'Staging Table'!BH77*Rates_current!$E$76*100*12</f>
        <v>-1861290.15912</v>
      </c>
      <c r="Q75" s="408"/>
      <c r="R75" s="408">
        <f>SUMPRODUCT('Staging Table'!CL77:CW77, LS_Demand_Rates_Restatement!$C$11:$N$11)*1000</f>
        <v>642554.02000246604</v>
      </c>
      <c r="S75" s="409"/>
      <c r="T75" s="409">
        <f>IF('Staging Table'!D77=1, 'Staging Table'!BJ77*-1*('Staging Table'!BH77/'Staging Table'!BG77),SUM(O75:S75)*'Staging Table'!BJ77*-1)</f>
        <v>-1016510.4833329159</v>
      </c>
      <c r="U75" s="407">
        <f>'Staging Table'!BM77*Rates_current!$H$32*-1</f>
        <v>-254400.89304</v>
      </c>
      <c r="V75" s="407">
        <f>IF(Init!$R$12="No",0,'Staging Table'!$CY77)</f>
        <v>0</v>
      </c>
      <c r="W75" s="407">
        <f>IF('Staging Table'!C77=1,"",SUM(O75:U75)-V75)</f>
        <v>10743030.184669551</v>
      </c>
      <c r="X75" s="407">
        <f>IF('Staging Table'!C77=1,"",(RT1SC!$C$4*'Staging Table'!BH77*'Staging Table'!$BH$2))</f>
        <v>315980.52020114404</v>
      </c>
      <c r="Y75" s="169">
        <f>IF('Staging Table'!C77=1,"",IF(X75=0, 0, W75/X75))</f>
        <v>33.999026831878268</v>
      </c>
      <c r="Z75" s="160">
        <f ca="1">IF('Staging Table'!C77=1,"",(Y75/N75-1)+(RAND()/100000000000000))</f>
        <v>3.2278040031060724E-2</v>
      </c>
      <c r="AA75" s="97">
        <f t="shared" ca="1" si="1"/>
        <v>113</v>
      </c>
      <c r="AB75" s="397"/>
      <c r="AC75" s="397"/>
      <c r="AD75" s="397"/>
    </row>
    <row r="76" spans="2:30">
      <c r="B76" s="274">
        <v>10234</v>
      </c>
      <c r="C76" s="275" t="s">
        <v>79</v>
      </c>
      <c r="D76" s="407">
        <f>IF(Init!$R$9="Yes",'Staging Table'!F78,'Staging Table'!BH78)*Rates_previous!$E$75*100*12</f>
        <v>17901517.132800002</v>
      </c>
      <c r="E76" s="407">
        <f>IF(Init!$R$9="Yes",'Staging Table'!F78,'Staging Table'!BH78)*Rates_previous!$E$76*100*12</f>
        <v>-2661248.7168000001</v>
      </c>
      <c r="F76" s="408"/>
      <c r="G76" s="408">
        <f>IF(Init!$R$9="Yes",SUMPRODUCT('Staging Table'!AJ78:AU78,LS_Demand_Rates_Restatement!$C$10:$N$10),SUMPRODUCT(LS_Demand_Rates_Restatement!$C$10:$N$10,'Staging Table'!CL78:CW78))*1000</f>
        <v>790854.14558159723</v>
      </c>
      <c r="H76" s="409"/>
      <c r="I76" s="409">
        <f>IF(Init!$R$9="Yes",IF('Staging Table'!D78=1,'Staging Table'!H78*-1*('Staging Table'!F78/'Staging Table'!E78),'Staging Table'!H78*SUM(D76:H76)*(-1)),IF('Staging Table'!D78=1,'Staging Table'!BJ78*-1*('Staging Table'!BH78/'Staging Table'!BG78),'Staging Table'!BJ78*SUM(D76:H76)*(-1)))</f>
        <v>-823358.45476283098</v>
      </c>
      <c r="J76" s="407">
        <f>IF(Init!$R$9="Yes",'Staging Table'!K78,'Staging Table'!BM78)*(-1)*Rates_previous!$H$32</f>
        <v>0</v>
      </c>
      <c r="K76" s="407">
        <f>IF(Init!$R$12="No",0,'Staging Table'!$AW78)</f>
        <v>0</v>
      </c>
      <c r="L76" s="407">
        <f>IF('Staging Table'!C78=1,"",SUM(D76:J76)-K76)</f>
        <v>15207764.106818767</v>
      </c>
      <c r="M76" s="407">
        <f>IF('Staging Table'!C78=1,"",IF(Init!$R$9="Yes",(RT1SC!$C$3*'Staging Table'!F78*'Staging Table'!$F$2),X76))</f>
        <v>443606.67560448003</v>
      </c>
      <c r="N76" s="169">
        <f>IF('Staging Table'!C78=1,"",IF(M76=0, 0, L76/M76))</f>
        <v>34.282090291125421</v>
      </c>
      <c r="O76" s="407">
        <f>'Staging Table'!BH78*Rates_current!$E$75*100*12</f>
        <v>18408909.680640001</v>
      </c>
      <c r="P76" s="407">
        <f>'Staging Table'!BH78*Rates_current!$E$76*100*12</f>
        <v>-2589371.79648</v>
      </c>
      <c r="Q76" s="408"/>
      <c r="R76" s="408">
        <f>SUMPRODUCT('Staging Table'!CL78:CW78, LS_Demand_Rates_Restatement!$C$11:$N$11)*1000</f>
        <v>751354.93545985571</v>
      </c>
      <c r="S76" s="409"/>
      <c r="T76" s="409">
        <f>IF('Staging Table'!D78=1, 'Staging Table'!BJ78*-1*('Staging Table'!BH78/'Staging Table'!BG78),SUM(O76:S76)*'Staging Table'!BJ78*-1)</f>
        <v>-878936.58702180488</v>
      </c>
      <c r="U76" s="407">
        <f>'Staging Table'!BM78*Rates_current!$H$32*-1</f>
        <v>0</v>
      </c>
      <c r="V76" s="407">
        <f>IF(Init!$R$12="No",0,'Staging Table'!$CY78)</f>
        <v>0</v>
      </c>
      <c r="W76" s="407">
        <f>IF('Staging Table'!C78=1,"",SUM(O76:U76)-V76)</f>
        <v>15691956.232598051</v>
      </c>
      <c r="X76" s="407">
        <f>IF('Staging Table'!C78=1,"",(RT1SC!$C$4*'Staging Table'!BH78*'Staging Table'!$BH$2))</f>
        <v>439582.75029657601</v>
      </c>
      <c r="Y76" s="169">
        <f>IF('Staging Table'!C78=1,"",IF(X76=0, 0, W76/X76))</f>
        <v>35.697388539498107</v>
      </c>
      <c r="Z76" s="160">
        <f ca="1">IF('Staging Table'!C78=1,"",(Y76/N76-1)+(RAND()/100000000000000))</f>
        <v>4.1283895945496203E-2</v>
      </c>
      <c r="AA76" s="97">
        <f t="shared" ca="1" si="1"/>
        <v>91</v>
      </c>
      <c r="AB76" s="397"/>
      <c r="AC76" s="397"/>
      <c r="AD76" s="397"/>
    </row>
    <row r="77" spans="2:30">
      <c r="B77" s="274">
        <v>10235</v>
      </c>
      <c r="C77" s="275" t="s">
        <v>80</v>
      </c>
      <c r="D77" s="407">
        <f>IF(Init!$R$9="Yes",'Staging Table'!F79,'Staging Table'!BH79)*Rates_previous!$E$75*100*12</f>
        <v>11252063.942279998</v>
      </c>
      <c r="E77" s="407">
        <f>IF(Init!$R$9="Yes",'Staging Table'!F79,'Staging Table'!BH79)*Rates_previous!$E$76*100*12</f>
        <v>-1672737.5956799998</v>
      </c>
      <c r="F77" s="408"/>
      <c r="G77" s="408">
        <f>IF(Init!$R$9="Yes",SUMPRODUCT('Staging Table'!AJ79:AU79,LS_Demand_Rates_Restatement!$C$10:$N$10),SUMPRODUCT(LS_Demand_Rates_Restatement!$C$10:$N$10,'Staging Table'!CL79:CW79))*1000</f>
        <v>529488.7924500712</v>
      </c>
      <c r="H77" s="409"/>
      <c r="I77" s="409">
        <f>IF(Init!$R$9="Yes",IF('Staging Table'!D79=1,'Staging Table'!H79*-1*('Staging Table'!F79/'Staging Table'!E79),'Staging Table'!H79*SUM(D77:H77)*(-1)),IF('Staging Table'!D79=1,'Staging Table'!BJ79*-1*('Staging Table'!BH79/'Staging Table'!BG79),'Staging Table'!BJ79*SUM(D77:H77)*(-1)))</f>
        <v>0</v>
      </c>
      <c r="J77" s="407">
        <f>IF(Init!$R$9="Yes",'Staging Table'!K79,'Staging Table'!BM79)*(-1)*Rates_previous!$H$32</f>
        <v>0</v>
      </c>
      <c r="K77" s="407">
        <f>IF(Init!$R$12="No",0,'Staging Table'!$AW79)</f>
        <v>0</v>
      </c>
      <c r="L77" s="407">
        <f>IF('Staging Table'!C79=1,"",SUM(D77:J77)-K77)</f>
        <v>10108815.139050068</v>
      </c>
      <c r="M77" s="407">
        <f>IF('Staging Table'!C79=1,"",IF(Init!$R$9="Yes",(RT1SC!$C$3*'Staging Table'!F79*'Staging Table'!$F$2),X77))</f>
        <v>278830.59531184798</v>
      </c>
      <c r="N77" s="169">
        <f>IF('Staging Table'!C79=1,"",IF(M77=0, 0, L77/M77))</f>
        <v>36.254325418429175</v>
      </c>
      <c r="O77" s="407">
        <f>'Staging Table'!BH79*Rates_current!$E$75*100*12</f>
        <v>11407990.32288</v>
      </c>
      <c r="P77" s="407">
        <f>'Staging Table'!BH79*Rates_current!$E$76*100*12</f>
        <v>-1604632.1541599999</v>
      </c>
      <c r="Q77" s="408"/>
      <c r="R77" s="408">
        <f>SUMPRODUCT('Staging Table'!CL79:CW79, LS_Demand_Rates_Restatement!$C$11:$N$11)*1000</f>
        <v>510987.619539165</v>
      </c>
      <c r="S77" s="409"/>
      <c r="T77" s="409">
        <f>IF('Staging Table'!D79=1, 'Staging Table'!BJ79*-1*('Staging Table'!BH79/'Staging Table'!BG79),SUM(O77:S77)*'Staging Table'!BJ79*-1)</f>
        <v>0</v>
      </c>
      <c r="U77" s="407">
        <f>'Staging Table'!BM79*Rates_current!$H$32*-1</f>
        <v>0</v>
      </c>
      <c r="V77" s="407">
        <f>IF(Init!$R$12="No",0,'Staging Table'!$CY79)</f>
        <v>0</v>
      </c>
      <c r="W77" s="407">
        <f>IF('Staging Table'!C79=1,"",SUM(O77:U77)-V77)</f>
        <v>10314345.788259165</v>
      </c>
      <c r="X77" s="407">
        <f>IF('Staging Table'!C79=1,"",(RT1SC!$C$4*'Staging Table'!BH79*'Staging Table'!$BH$2))</f>
        <v>272409.16754359199</v>
      </c>
      <c r="Y77" s="169">
        <f>IF('Staging Table'!C79=1,"",IF(X77=0, 0, W77/X77))</f>
        <v>37.863431254047732</v>
      </c>
      <c r="Z77" s="160">
        <f ca="1">IF('Staging Table'!C79=1,"",(Y77/N77-1)+(RAND()/100000000000000))</f>
        <v>4.4383830537384386E-2</v>
      </c>
      <c r="AA77" s="97">
        <f t="shared" ca="1" si="1"/>
        <v>48</v>
      </c>
      <c r="AB77" s="397"/>
      <c r="AC77" s="397"/>
      <c r="AD77" s="397"/>
    </row>
    <row r="78" spans="2:30">
      <c r="B78" s="274">
        <v>10236</v>
      </c>
      <c r="C78" s="275" t="s">
        <v>81</v>
      </c>
      <c r="D78" s="407">
        <f>IF(Init!$R$9="Yes",'Staging Table'!F80,'Staging Table'!BH80)*Rates_previous!$E$75*100*12</f>
        <v>9710434.3971599992</v>
      </c>
      <c r="E78" s="407">
        <f>IF(Init!$R$9="Yes",'Staging Table'!F80,'Staging Table'!BH80)*Rates_previous!$E$76*100*12</f>
        <v>-1443558.1569600001</v>
      </c>
      <c r="F78" s="408"/>
      <c r="G78" s="408">
        <f>IF(Init!$R$9="Yes",SUMPRODUCT('Staging Table'!AJ80:AU80,LS_Demand_Rates_Restatement!$C$10:$N$10),SUMPRODUCT(LS_Demand_Rates_Restatement!$C$10:$N$10,'Staging Table'!CL80:CW80))*1000</f>
        <v>0</v>
      </c>
      <c r="H78" s="409"/>
      <c r="I78" s="409">
        <f>IF(Init!$R$9="Yes",IF('Staging Table'!D80=1,'Staging Table'!H80*-1*('Staging Table'!F80/'Staging Table'!E80),'Staging Table'!H80*SUM(D78:H78)*(-1)),IF('Staging Table'!D80=1,'Staging Table'!BJ80*-1*('Staging Table'!BH80/'Staging Table'!BG80),'Staging Table'!BJ80*SUM(D78:H78)*(-1)))</f>
        <v>-537346.95561299997</v>
      </c>
      <c r="J78" s="407">
        <f>IF(Init!$R$9="Yes",'Staging Table'!K80,'Staging Table'!BM80)*(-1)*Rates_previous!$H$32</f>
        <v>0</v>
      </c>
      <c r="K78" s="407">
        <f>IF(Init!$R$12="No",0,'Staging Table'!$AW80)</f>
        <v>0</v>
      </c>
      <c r="L78" s="407" t="str">
        <f>IF('Staging Table'!C80=1,"",SUM(D78:J78)-K78)</f>
        <v/>
      </c>
      <c r="M78" s="407" t="str">
        <f>IF('Staging Table'!C80=1,"",IF(Init!$R$9="Yes",(RT1SC!$C$3*'Staging Table'!F80*'Staging Table'!$F$2),X78))</f>
        <v/>
      </c>
      <c r="N78" s="169" t="str">
        <f>IF('Staging Table'!C80=1,"",IF(M78=0, 0, L78/M78))</f>
        <v/>
      </c>
      <c r="O78" s="407">
        <f>'Staging Table'!BH80*Rates_current!$E$75*100*12</f>
        <v>10057691.090880001</v>
      </c>
      <c r="P78" s="407">
        <f>'Staging Table'!BH80*Rates_current!$E$76*100*12</f>
        <v>-1414700.93016</v>
      </c>
      <c r="Q78" s="408"/>
      <c r="R78" s="408">
        <f>SUMPRODUCT('Staging Table'!CL80:CW80, LS_Demand_Rates_Restatement!$C$11:$N$11)*1000</f>
        <v>0</v>
      </c>
      <c r="S78" s="409"/>
      <c r="T78" s="409">
        <f>IF('Staging Table'!D80=1, 'Staging Table'!BJ80*-1*('Staging Table'!BH80/'Staging Table'!BG80),SUM(O78:S78)*'Staging Table'!BJ80*-1)</f>
        <v>-561794.36044680013</v>
      </c>
      <c r="U78" s="407">
        <f>'Staging Table'!BM80*Rates_current!$H$32*-1</f>
        <v>0</v>
      </c>
      <c r="V78" s="407">
        <f>IF(Init!$R$12="No",0,'Staging Table'!$CY80)</f>
        <v>0</v>
      </c>
      <c r="W78" s="407" t="str">
        <f>IF('Staging Table'!C80=1,"",SUM(O78:U78)-V78)</f>
        <v/>
      </c>
      <c r="X78" s="407" t="str">
        <f>IF('Staging Table'!C80=1,"",(RT1SC!$C$4*'Staging Table'!BH80*'Staging Table'!$BH$2))</f>
        <v/>
      </c>
      <c r="Y78" s="169" t="str">
        <f>IF('Staging Table'!C80=1,"",IF(X78=0, 0, W78/X78))</f>
        <v/>
      </c>
      <c r="Z78" s="160" t="str">
        <f ca="1">IF('Staging Table'!C80=1,"",(Y78/N78-1)+(RAND()/100000000000000))</f>
        <v/>
      </c>
      <c r="AA78" s="97" t="str">
        <f t="shared" ca="1" si="1"/>
        <v/>
      </c>
      <c r="AB78" s="397"/>
      <c r="AC78" s="397"/>
      <c r="AD78" s="397"/>
    </row>
    <row r="79" spans="2:30">
      <c r="B79" s="274">
        <v>10237</v>
      </c>
      <c r="C79" s="275" t="s">
        <v>82</v>
      </c>
      <c r="D79" s="407">
        <f>IF(Init!$R$9="Yes",'Staging Table'!F81,'Staging Table'!BH81)*Rates_previous!$E$75*100*12</f>
        <v>14562062.381160002</v>
      </c>
      <c r="E79" s="407">
        <f>IF(Init!$R$9="Yes",'Staging Table'!F81,'Staging Table'!BH81)*Rates_previous!$E$76*100*12</f>
        <v>-2164803.66096</v>
      </c>
      <c r="F79" s="408"/>
      <c r="G79" s="408">
        <f>IF(Init!$R$9="Yes",SUMPRODUCT('Staging Table'!AJ81:AU81,LS_Demand_Rates_Restatement!$C$10:$N$10),SUMPRODUCT(LS_Demand_Rates_Restatement!$C$10:$N$10,'Staging Table'!CL81:CW81))*1000</f>
        <v>0</v>
      </c>
      <c r="H79" s="409"/>
      <c r="I79" s="409">
        <f>IF(Init!$R$9="Yes",IF('Staging Table'!D81=1,'Staging Table'!H81*-1*('Staging Table'!F81/'Staging Table'!E81),'Staging Table'!H81*SUM(D79:H79)*(-1)),IF('Staging Table'!D81=1,'Staging Table'!BJ81*-1*('Staging Table'!BH81/'Staging Table'!BG81),'Staging Table'!BJ81*SUM(D79:H79)*(-1)))</f>
        <v>-707696.43689439399</v>
      </c>
      <c r="J79" s="407">
        <f>IF(Init!$R$9="Yes",'Staging Table'!K81,'Staging Table'!BM81)*(-1)*Rates_previous!$H$32</f>
        <v>0</v>
      </c>
      <c r="K79" s="407">
        <f>IF(Init!$R$12="No",0,'Staging Table'!$AW81)</f>
        <v>0</v>
      </c>
      <c r="L79" s="407">
        <f>IF('Staging Table'!C81=1,"",SUM(D79:J79)-K79)</f>
        <v>11689562.283305608</v>
      </c>
      <c r="M79" s="407">
        <f>IF('Staging Table'!C81=1,"",IF(Init!$R$9="Yes",(RT1SC!$C$3*'Staging Table'!F81*'Staging Table'!$F$2),X79))</f>
        <v>360853.66591725597</v>
      </c>
      <c r="N79" s="169">
        <f>IF('Staging Table'!C81=1,"",IF(M79=0, 0, L79/M79))</f>
        <v>32.39419018673911</v>
      </c>
      <c r="O79" s="407">
        <f>'Staging Table'!BH81*Rates_current!$E$75*100*12</f>
        <v>15335832.447360003</v>
      </c>
      <c r="P79" s="407">
        <f>'Staging Table'!BH81*Rates_current!$E$76*100*12</f>
        <v>-2157116.9995200005</v>
      </c>
      <c r="Q79" s="408"/>
      <c r="R79" s="408">
        <f>SUMPRODUCT('Staging Table'!CL81:CW81, LS_Demand_Rates_Restatement!$C$11:$N$11)*1000</f>
        <v>0</v>
      </c>
      <c r="S79" s="409"/>
      <c r="T79" s="409">
        <f>IF('Staging Table'!D81=1, 'Staging Table'!BJ81*-1*('Staging Table'!BH81/'Staging Table'!BG81),SUM(O79:S79)*'Staging Table'!BJ81*-1)</f>
        <v>-718168.17688458937</v>
      </c>
      <c r="U79" s="407">
        <f>'Staging Table'!BM81*Rates_current!$H$32*-1</f>
        <v>0</v>
      </c>
      <c r="V79" s="407">
        <f>IF(Init!$R$12="No",0,'Staging Table'!$CY81)</f>
        <v>0</v>
      </c>
      <c r="W79" s="407">
        <f>IF('Staging Table'!C81=1,"",SUM(O79:U79)-V79)</f>
        <v>12460547.270955414</v>
      </c>
      <c r="X79" s="407">
        <f>IF('Staging Table'!C81=1,"",(RT1SC!$C$4*'Staging Table'!BH81*'Staging Table'!$BH$2))</f>
        <v>366201.34066862403</v>
      </c>
      <c r="Y79" s="169">
        <f>IF('Staging Table'!C81=1,"",IF(X79=0, 0, W79/X79))</f>
        <v>34.026492770901612</v>
      </c>
      <c r="Z79" s="160">
        <f ca="1">IF('Staging Table'!C81=1,"",(Y79/N79-1)+(RAND()/100000000000000))</f>
        <v>5.0388744856814327E-2</v>
      </c>
      <c r="AA79" s="97">
        <f t="shared" ca="1" si="1"/>
        <v>12</v>
      </c>
      <c r="AB79" s="397"/>
      <c r="AC79" s="397"/>
      <c r="AD79" s="397"/>
    </row>
    <row r="80" spans="2:30">
      <c r="B80" s="274">
        <v>10239</v>
      </c>
      <c r="C80" s="275" t="s">
        <v>83</v>
      </c>
      <c r="D80" s="407">
        <f>IF(Init!$R$9="Yes",'Staging Table'!F82,'Staging Table'!BH82)*Rates_previous!$E$75*100*12</f>
        <v>4866479.9063999997</v>
      </c>
      <c r="E80" s="407">
        <f>IF(Init!$R$9="Yes",'Staging Table'!F82,'Staging Table'!BH82)*Rates_previous!$E$76*100*12</f>
        <v>-723453.39839999995</v>
      </c>
      <c r="F80" s="408"/>
      <c r="G80" s="408">
        <f>IF(Init!$R$9="Yes",SUMPRODUCT('Staging Table'!AJ82:AU82,LS_Demand_Rates_Restatement!$C$10:$N$10),SUMPRODUCT(LS_Demand_Rates_Restatement!$C$10:$N$10,'Staging Table'!CL82:CW82))*1000</f>
        <v>0</v>
      </c>
      <c r="H80" s="409"/>
      <c r="I80" s="409">
        <f>IF(Init!$R$9="Yes",IF('Staging Table'!D82=1,'Staging Table'!H82*-1*('Staging Table'!F82/'Staging Table'!E82),'Staging Table'!H82*SUM(D80:H80)*(-1)),IF('Staging Table'!D82=1,'Staging Table'!BJ82*-1*('Staging Table'!BH82/'Staging Table'!BG82),'Staging Table'!BJ82*SUM(D80:H80)*(-1)))</f>
        <v>-290011.85556</v>
      </c>
      <c r="J80" s="407">
        <f>IF(Init!$R$9="Yes",'Staging Table'!K82,'Staging Table'!BM82)*(-1)*Rates_previous!$H$32</f>
        <v>0</v>
      </c>
      <c r="K80" s="407">
        <f>IF(Init!$R$12="No",0,'Staging Table'!$AW82)</f>
        <v>0</v>
      </c>
      <c r="L80" s="407" t="str">
        <f>IF('Staging Table'!C82=1,"",SUM(D80:J80)-K80)</f>
        <v/>
      </c>
      <c r="M80" s="407" t="str">
        <f>IF('Staging Table'!C82=1,"",IF(Init!$R$9="Yes",(RT1SC!$C$3*'Staging Table'!F82*'Staging Table'!$F$2),X80))</f>
        <v/>
      </c>
      <c r="N80" s="169" t="str">
        <f>IF('Staging Table'!C82=1,"",IF(M80=0, 0, L80/M80))</f>
        <v/>
      </c>
      <c r="O80" s="407">
        <f>'Staging Table'!BH82*Rates_current!$E$75*100*12</f>
        <v>4992540.33024</v>
      </c>
      <c r="P80" s="407">
        <f>'Staging Table'!BH82*Rates_current!$E$76*100*12</f>
        <v>-702243.82368000003</v>
      </c>
      <c r="Q80" s="408"/>
      <c r="R80" s="408">
        <f>SUMPRODUCT('Staging Table'!CL82:CW82, LS_Demand_Rates_Restatement!$C$11:$N$11)*1000</f>
        <v>0</v>
      </c>
      <c r="S80" s="409"/>
      <c r="T80" s="409">
        <f>IF('Staging Table'!D82=1, 'Staging Table'!BJ82*-1*('Staging Table'!BH82/'Staging Table'!BG82),SUM(O80:S80)*'Staging Table'!BJ82*-1)</f>
        <v>-300320.75545920001</v>
      </c>
      <c r="U80" s="407">
        <f>'Staging Table'!BM82*Rates_current!$H$32*-1</f>
        <v>0</v>
      </c>
      <c r="V80" s="407">
        <f>IF(Init!$R$12="No",0,'Staging Table'!$CY82)</f>
        <v>0</v>
      </c>
      <c r="W80" s="407" t="str">
        <f>IF('Staging Table'!C82=1,"",SUM(O80:U80)-V80)</f>
        <v/>
      </c>
      <c r="X80" s="407" t="str">
        <f>IF('Staging Table'!C82=1,"",(RT1SC!$C$4*'Staging Table'!BH82*'Staging Table'!$BH$2))</f>
        <v/>
      </c>
      <c r="Y80" s="169" t="str">
        <f>IF('Staging Table'!C82=1,"",IF(X80=0, 0, W80/X80))</f>
        <v/>
      </c>
      <c r="Z80" s="160" t="str">
        <f ca="1">IF('Staging Table'!C82=1,"",(Y80/N80-1)+(RAND()/100000000000000))</f>
        <v/>
      </c>
      <c r="AA80" s="97" t="str">
        <f t="shared" ca="1" si="1"/>
        <v/>
      </c>
      <c r="AB80" s="397"/>
      <c r="AC80" s="397"/>
      <c r="AD80" s="397"/>
    </row>
    <row r="81" spans="2:30">
      <c r="B81" s="274">
        <v>10242</v>
      </c>
      <c r="C81" s="275" t="s">
        <v>84</v>
      </c>
      <c r="D81" s="407">
        <f>IF(Init!$R$9="Yes",'Staging Table'!F83,'Staging Table'!BH83)*Rates_previous!$E$75*100*12</f>
        <v>3343662.7963199997</v>
      </c>
      <c r="E81" s="407">
        <f>IF(Init!$R$9="Yes",'Staging Table'!F83,'Staging Table'!BH83)*Rates_previous!$E$76*100*12</f>
        <v>-497070.62592000008</v>
      </c>
      <c r="F81" s="408"/>
      <c r="G81" s="408">
        <f>IF(Init!$R$9="Yes",SUMPRODUCT('Staging Table'!AJ83:AU83,LS_Demand_Rates_Restatement!$C$10:$N$10),SUMPRODUCT(LS_Demand_Rates_Restatement!$C$10:$N$10,'Staging Table'!CL83:CW83))*1000</f>
        <v>197367.12902540958</v>
      </c>
      <c r="H81" s="409"/>
      <c r="I81" s="409">
        <f>IF(Init!$R$9="Yes",IF('Staging Table'!D83=1,'Staging Table'!H83*-1*('Staging Table'!F83/'Staging Table'!E83),'Staging Table'!H83*SUM(D81:H81)*(-1)),IF('Staging Table'!D83=1,'Staging Table'!BJ83*-1*('Staging Table'!BH83/'Staging Table'!BG83),'Staging Table'!BJ83*SUM(D81:H81)*(-1)))</f>
        <v>-213746.82200565224</v>
      </c>
      <c r="J81" s="407">
        <f>IF(Init!$R$9="Yes",'Staging Table'!K83,'Staging Table'!BM83)*(-1)*Rates_previous!$H$32</f>
        <v>-442068.18238000001</v>
      </c>
      <c r="K81" s="407">
        <f>IF(Init!$R$12="No",0,'Staging Table'!$AW83)</f>
        <v>0</v>
      </c>
      <c r="L81" s="407">
        <f>IF('Staging Table'!C83=1,"",SUM(D81:J81)-K81)</f>
        <v>2388144.2950397567</v>
      </c>
      <c r="M81" s="407">
        <f>IF('Staging Table'!C83=1,"",IF(Init!$R$9="Yes",(RT1SC!$C$3*'Staging Table'!F83*'Staging Table'!$F$2),X81))</f>
        <v>82857.286698911994</v>
      </c>
      <c r="N81" s="169">
        <f>IF('Staging Table'!C83=1,"",IF(M81=0, 0, L81/M81))</f>
        <v>28.822381110762532</v>
      </c>
      <c r="O81" s="407">
        <f>'Staging Table'!BH83*Rates_current!$E$75*100*12</f>
        <v>3388231.9785599997</v>
      </c>
      <c r="P81" s="407">
        <f>'Staging Table'!BH83*Rates_current!$E$76*100*12</f>
        <v>-476584.02791999996</v>
      </c>
      <c r="Q81" s="408"/>
      <c r="R81" s="408">
        <f>SUMPRODUCT('Staging Table'!CL83:CW83, LS_Demand_Rates_Restatement!$C$11:$N$11)*1000</f>
        <v>184799.09028383193</v>
      </c>
      <c r="S81" s="409"/>
      <c r="T81" s="409">
        <f>IF('Staging Table'!D83=1, 'Staging Table'!BJ83*-1*('Staging Table'!BH83/'Staging Table'!BG83),SUM(O81:S81)*'Staging Table'!BJ83*-1)</f>
        <v>-216751.29286466827</v>
      </c>
      <c r="U81" s="407">
        <f>'Staging Table'!BM83*Rates_current!$H$32*-1</f>
        <v>-441692.59343999997</v>
      </c>
      <c r="V81" s="407">
        <f>IF(Init!$R$12="No",0,'Staging Table'!$CY83)</f>
        <v>0</v>
      </c>
      <c r="W81" s="407">
        <f>IF('Staging Table'!C83=1,"",SUM(O81:U81)-V81)</f>
        <v>2438003.1546191638</v>
      </c>
      <c r="X81" s="407">
        <f>IF('Staging Table'!C83=1,"",(RT1SC!$C$4*'Staging Table'!BH83*'Staging Table'!$BH$2))</f>
        <v>80906.928091704001</v>
      </c>
      <c r="Y81" s="169">
        <f>IF('Staging Table'!C83=1,"",IF(X81=0, 0, W81/X81))</f>
        <v>30.133428769608059</v>
      </c>
      <c r="Z81" s="160">
        <f ca="1">IF('Staging Table'!C83=1,"",(Y81/N81-1)+(RAND()/100000000000000))</f>
        <v>4.5487139102331396E-2</v>
      </c>
      <c r="AA81" s="97">
        <f t="shared" ca="1" si="1"/>
        <v>38</v>
      </c>
      <c r="AB81" s="397"/>
      <c r="AC81" s="397"/>
      <c r="AD81" s="397"/>
    </row>
    <row r="82" spans="2:30">
      <c r="B82" s="274">
        <v>10244</v>
      </c>
      <c r="C82" s="275" t="s">
        <v>85</v>
      </c>
      <c r="D82" s="407">
        <f>IF(Init!$R$9="Yes",'Staging Table'!F84,'Staging Table'!BH84)*Rates_previous!$E$75*100*12</f>
        <v>30200394.072240002</v>
      </c>
      <c r="E82" s="407">
        <f>IF(Init!$R$9="Yes",'Staging Table'!F84,'Staging Table'!BH84)*Rates_previous!$E$76*100*12</f>
        <v>-4489606.0694399998</v>
      </c>
      <c r="F82" s="408"/>
      <c r="G82" s="408">
        <f>IF(Init!$R$9="Yes",SUMPRODUCT('Staging Table'!AJ84:AU84,LS_Demand_Rates_Restatement!$C$10:$N$10),SUMPRODUCT(LS_Demand_Rates_Restatement!$C$10:$N$10,'Staging Table'!CL84:CW84))*1000</f>
        <v>1745449.8420375534</v>
      </c>
      <c r="H82" s="409"/>
      <c r="I82" s="409">
        <f>IF(Init!$R$9="Yes",IF('Staging Table'!D84=1,'Staging Table'!H84*-1*('Staging Table'!F84/'Staging Table'!E84),'Staging Table'!H84*SUM(D82:H82)*(-1)),IF('Staging Table'!D84=1,'Staging Table'!BJ84*-1*('Staging Table'!BH84/'Staging Table'!BG84),'Staging Table'!BJ84*SUM(D82:H82)*(-1)))</f>
        <v>-1726448.2356833857</v>
      </c>
      <c r="J82" s="407">
        <f>IF(Init!$R$9="Yes",'Staging Table'!K84,'Staging Table'!BM84)*(-1)*Rates_previous!$H$32</f>
        <v>0</v>
      </c>
      <c r="K82" s="407">
        <f>IF(Init!$R$12="No",0,'Staging Table'!$AW84)</f>
        <v>0</v>
      </c>
      <c r="L82" s="407">
        <f>IF('Staging Table'!C84=1,"",SUM(D82:J82)-K82)</f>
        <v>25729789.609154172</v>
      </c>
      <c r="M82" s="407">
        <f>IF('Staging Table'!C84=1,"",IF(Init!$R$9="Yes",(RT1SC!$C$3*'Staging Table'!F84*'Staging Table'!$F$2),X82))</f>
        <v>748377.71105918405</v>
      </c>
      <c r="N82" s="169">
        <f>IF('Staging Table'!C84=1,"",IF(M82=0, 0, L82/M82))</f>
        <v>34.380753500446488</v>
      </c>
      <c r="O82" s="407">
        <f>'Staging Table'!BH84*Rates_current!$E$75*100*12</f>
        <v>31056627.56256</v>
      </c>
      <c r="P82" s="407">
        <f>'Staging Table'!BH84*Rates_current!$E$76*100*12</f>
        <v>-4368382.31592</v>
      </c>
      <c r="Q82" s="408"/>
      <c r="R82" s="408">
        <f>SUMPRODUCT('Staging Table'!CL84:CW84, LS_Demand_Rates_Restatement!$C$11:$N$11)*1000</f>
        <v>1666096.002384705</v>
      </c>
      <c r="S82" s="409"/>
      <c r="T82" s="409">
        <f>IF('Staging Table'!D84=1, 'Staging Table'!BJ84*-1*('Staging Table'!BH84/'Staging Table'!BG84),SUM(O82:S82)*'Staging Table'!BJ84*-1)</f>
        <v>-1676482.2030253639</v>
      </c>
      <c r="U82" s="407">
        <f>'Staging Table'!BM84*Rates_current!$H$32*-1</f>
        <v>0</v>
      </c>
      <c r="V82" s="407">
        <f>IF(Init!$R$12="No",0,'Staging Table'!$CY84)</f>
        <v>0</v>
      </c>
      <c r="W82" s="407">
        <f>IF('Staging Table'!C84=1,"",SUM(O82:U82)-V82)</f>
        <v>26677859.045999341</v>
      </c>
      <c r="X82" s="407">
        <f>IF('Staging Table'!C84=1,"",(RT1SC!$C$4*'Staging Table'!BH84*'Staging Table'!$BH$2))</f>
        <v>741595.1295173039</v>
      </c>
      <c r="Y82" s="169">
        <f>IF('Staging Table'!C84=1,"",IF(X82=0, 0, W82/X82))</f>
        <v>35.973616848540615</v>
      </c>
      <c r="Z82" s="160">
        <f ca="1">IF('Staging Table'!C84=1,"",(Y82/N82-1)+(RAND()/100000000000000))</f>
        <v>4.6330088375569241E-2</v>
      </c>
      <c r="AA82" s="97">
        <f t="shared" ca="1" si="1"/>
        <v>33</v>
      </c>
      <c r="AB82" s="397"/>
      <c r="AC82" s="397"/>
      <c r="AD82" s="397"/>
    </row>
    <row r="83" spans="2:30">
      <c r="B83" s="274">
        <v>10246</v>
      </c>
      <c r="C83" s="275" t="s">
        <v>86</v>
      </c>
      <c r="D83" s="407">
        <f>IF(Init!$R$9="Yes",'Staging Table'!F85,'Staging Table'!BH85)*Rates_previous!$E$75*100*12</f>
        <v>3154548.31776</v>
      </c>
      <c r="E83" s="407">
        <f>IF(Init!$R$9="Yes",'Staging Table'!F85,'Staging Table'!BH85)*Rates_previous!$E$76*100*12</f>
        <v>-468956.77056000003</v>
      </c>
      <c r="F83" s="408"/>
      <c r="G83" s="408">
        <f>IF(Init!$R$9="Yes",SUMPRODUCT('Staging Table'!AJ85:AU85,LS_Demand_Rates_Restatement!$C$10:$N$10),SUMPRODUCT(LS_Demand_Rates_Restatement!$C$10:$N$10,'Staging Table'!CL85:CW85))*1000</f>
        <v>138398.44985053421</v>
      </c>
      <c r="H83" s="409"/>
      <c r="I83" s="409">
        <f>IF(Init!$R$9="Yes",IF('Staging Table'!D85=1,'Staging Table'!H85*-1*('Staging Table'!F85/'Staging Table'!E85),'Staging Table'!H85*SUM(D83:H83)*(-1)),IF('Staging Table'!D85=1,'Staging Table'!BJ85*-1*('Staging Table'!BH85/'Staging Table'!BG85),'Staging Table'!BJ85*SUM(D83:H83)*(-1)))</f>
        <v>-190195.72630135345</v>
      </c>
      <c r="J83" s="407">
        <f>IF(Init!$R$9="Yes",'Staging Table'!K85,'Staging Table'!BM85)*(-1)*Rates_previous!$H$32</f>
        <v>0</v>
      </c>
      <c r="K83" s="407">
        <f>IF(Init!$R$12="No",0,'Staging Table'!$AW85)</f>
        <v>0</v>
      </c>
      <c r="L83" s="407">
        <f>IF('Staging Table'!C85=1,"",SUM(D83:J83)-K83)</f>
        <v>2633794.2707491806</v>
      </c>
      <c r="M83" s="407">
        <f>IF('Staging Table'!C85=1,"",IF(Init!$R$9="Yes",(RT1SC!$C$3*'Staging Table'!F85*'Staging Table'!$F$2),X83))</f>
        <v>78170.955114815995</v>
      </c>
      <c r="N83" s="169">
        <f>IF('Staging Table'!C85=1,"",IF(M83=0, 0, L83/M83))</f>
        <v>33.692747733230512</v>
      </c>
      <c r="O83" s="407">
        <f>'Staging Table'!BH85*Rates_current!$E$75*100*12</f>
        <v>3244030.2115200004</v>
      </c>
      <c r="P83" s="407">
        <f>'Staging Table'!BH85*Rates_current!$E$76*100*12</f>
        <v>-456300.80663999997</v>
      </c>
      <c r="Q83" s="408"/>
      <c r="R83" s="408">
        <f>SUMPRODUCT('Staging Table'!CL85:CW85, LS_Demand_Rates_Restatement!$C$11:$N$11)*1000</f>
        <v>136853.4733604879</v>
      </c>
      <c r="S83" s="409"/>
      <c r="T83" s="409">
        <f>IF('Staging Table'!D85=1, 'Staging Table'!BJ85*-1*('Staging Table'!BH85/'Staging Table'!BG85),SUM(O83:S83)*'Staging Table'!BJ85*-1)</f>
        <v>-190398.84495278078</v>
      </c>
      <c r="U83" s="407">
        <f>'Staging Table'!BM85*Rates_current!$H$32*-1</f>
        <v>0</v>
      </c>
      <c r="V83" s="407">
        <f>IF(Init!$R$12="No",0,'Staging Table'!$CY85)</f>
        <v>0</v>
      </c>
      <c r="W83" s="407">
        <f>IF('Staging Table'!C85=1,"",SUM(O83:U83)-V83)</f>
        <v>2734184.0332877073</v>
      </c>
      <c r="X83" s="407">
        <f>IF('Staging Table'!C85=1,"",(RT1SC!$C$4*'Staging Table'!BH85*'Staging Table'!$BH$2))</f>
        <v>77463.562327367996</v>
      </c>
      <c r="Y83" s="169">
        <f>IF('Staging Table'!C85=1,"",IF(X83=0, 0, W83/X83))</f>
        <v>35.296389052349532</v>
      </c>
      <c r="Z83" s="160">
        <f ca="1">IF('Staging Table'!C85=1,"",(Y83/N83-1)+(RAND()/100000000000000))</f>
        <v>4.7596038524862667E-2</v>
      </c>
      <c r="AA83" s="97">
        <f t="shared" ca="1" si="1"/>
        <v>17</v>
      </c>
      <c r="AB83" s="397"/>
      <c r="AC83" s="397"/>
      <c r="AD83" s="397"/>
    </row>
    <row r="84" spans="2:30">
      <c r="B84" s="274">
        <v>10247</v>
      </c>
      <c r="C84" s="275" t="s">
        <v>87</v>
      </c>
      <c r="D84" s="407">
        <f>IF(Init!$R$9="Yes",'Staging Table'!F86,'Staging Table'!BH86)*Rates_previous!$E$75*100*12</f>
        <v>28056271.541759998</v>
      </c>
      <c r="E84" s="407">
        <f>IF(Init!$R$9="Yes",'Staging Table'!F86,'Staging Table'!BH86)*Rates_previous!$E$76*100*12</f>
        <v>-4170859.7145600002</v>
      </c>
      <c r="F84" s="408"/>
      <c r="G84" s="408">
        <f>IF(Init!$R$9="Yes",SUMPRODUCT('Staging Table'!AJ86:AU86,LS_Demand_Rates_Restatement!$C$10:$N$10),SUMPRODUCT(LS_Demand_Rates_Restatement!$C$10:$N$10,'Staging Table'!CL86:CW86))*1000</f>
        <v>1243952.9214656337</v>
      </c>
      <c r="H84" s="409"/>
      <c r="I84" s="409">
        <f>IF(Init!$R$9="Yes",IF('Staging Table'!D86=1,'Staging Table'!H86*-1*('Staging Table'!F86/'Staging Table'!E86),'Staging Table'!H86*SUM(D84:H84)*(-1)),IF('Staging Table'!D86=1,'Staging Table'!BJ86*-1*('Staging Table'!BH86/'Staging Table'!BG86),'Staging Table'!BJ86*SUM(D84:H84)*(-1)))</f>
        <v>-1268279.0388651544</v>
      </c>
      <c r="J84" s="407">
        <f>IF(Init!$R$9="Yes",'Staging Table'!K86,'Staging Table'!BM86)*(-1)*Rates_previous!$H$32</f>
        <v>0</v>
      </c>
      <c r="K84" s="407">
        <f>IF(Init!$R$12="No",0,'Staging Table'!$AW86)</f>
        <v>0</v>
      </c>
      <c r="L84" s="407">
        <f>IF('Staging Table'!C86=1,"",SUM(D84:J84)-K84)</f>
        <v>23861085.709800478</v>
      </c>
      <c r="M84" s="407">
        <f>IF('Staging Table'!C86=1,"",IF(Init!$R$9="Yes",(RT1SC!$C$3*'Staging Table'!F86*'Staging Table'!$F$2),X84))</f>
        <v>695245.50663321593</v>
      </c>
      <c r="N84" s="169">
        <f>IF('Staging Table'!C86=1,"",IF(M84=0, 0, L84/M84))</f>
        <v>34.320373856639172</v>
      </c>
      <c r="O84" s="407">
        <f>'Staging Table'!BH86*Rates_current!$E$75*100*12</f>
        <v>28851563.43936</v>
      </c>
      <c r="P84" s="407">
        <f>'Staging Table'!BH86*Rates_current!$E$76*100*12</f>
        <v>-4058221.0435199998</v>
      </c>
      <c r="Q84" s="408"/>
      <c r="R84" s="408">
        <f>SUMPRODUCT('Staging Table'!CL86:CW86, LS_Demand_Rates_Restatement!$C$11:$N$11)*1000</f>
        <v>1181340.7296301727</v>
      </c>
      <c r="S84" s="409"/>
      <c r="T84" s="409">
        <f>IF('Staging Table'!D86=1, 'Staging Table'!BJ86*-1*('Staging Table'!BH86/'Staging Table'!BG86),SUM(O84:S84)*'Staging Table'!BJ86*-1)</f>
        <v>-1331348.6561672117</v>
      </c>
      <c r="U84" s="407">
        <f>'Staging Table'!BM86*Rates_current!$H$32*-1</f>
        <v>0</v>
      </c>
      <c r="V84" s="407">
        <f>IF(Init!$R$12="No",0,'Staging Table'!$CY86)</f>
        <v>0</v>
      </c>
      <c r="W84" s="407">
        <f>IF('Staging Table'!C86=1,"",SUM(O84:U84)-V84)</f>
        <v>24643334.46930296</v>
      </c>
      <c r="X84" s="407">
        <f>IF('Staging Table'!C86=1,"",(RT1SC!$C$4*'Staging Table'!BH86*'Staging Table'!$BH$2))</f>
        <v>688940.83501142391</v>
      </c>
      <c r="Y84" s="169">
        <f>IF('Staging Table'!C86=1,"",IF(X84=0, 0, W84/X84))</f>
        <v>35.769885042297325</v>
      </c>
      <c r="Z84" s="160">
        <f ca="1">IF('Staging Table'!C86=1,"",(Y84/N84-1)+(RAND()/100000000000000))</f>
        <v>4.2234714333620187E-2</v>
      </c>
      <c r="AA84" s="97">
        <f t="shared" ca="1" si="1"/>
        <v>76</v>
      </c>
      <c r="AB84" s="397"/>
      <c r="AC84" s="397"/>
      <c r="AD84" s="397"/>
    </row>
    <row r="85" spans="2:30">
      <c r="B85" s="274">
        <v>10256</v>
      </c>
      <c r="C85" s="275" t="s">
        <v>88</v>
      </c>
      <c r="D85" s="407">
        <f>IF(Init!$R$9="Yes",'Staging Table'!F87,'Staging Table'!BH87)*Rates_previous!$E$75*100*12</f>
        <v>16104434.522399999</v>
      </c>
      <c r="E85" s="407">
        <f>IF(Init!$R$9="Yes",'Staging Table'!F87,'Staging Table'!BH87)*Rates_previous!$E$76*100*12</f>
        <v>-2394093.4944000002</v>
      </c>
      <c r="F85" s="408"/>
      <c r="G85" s="408">
        <f>IF(Init!$R$9="Yes",SUMPRODUCT('Staging Table'!AJ87:AU87,LS_Demand_Rates_Restatement!$C$10:$N$10),SUMPRODUCT(LS_Demand_Rates_Restatement!$C$10:$N$10,'Staging Table'!CL87:CW87))*1000</f>
        <v>1037542.9013998219</v>
      </c>
      <c r="H85" s="409"/>
      <c r="I85" s="409">
        <f>IF(Init!$R$9="Yes",IF('Staging Table'!D87=1,'Staging Table'!H87*-1*('Staging Table'!F87/'Staging Table'!E87),'Staging Table'!H87*SUM(D85:H85)*(-1)),IF('Staging Table'!D87=1,'Staging Table'!BJ87*-1*('Staging Table'!BH87/'Staging Table'!BG87),'Staging Table'!BJ87*SUM(D85:H85)*(-1)))</f>
        <v>-958612.4554109883</v>
      </c>
      <c r="J85" s="407">
        <f>IF(Init!$R$9="Yes",'Staging Table'!K87,'Staging Table'!BM87)*(-1)*Rates_previous!$H$32</f>
        <v>-488329.22578000004</v>
      </c>
      <c r="K85" s="407">
        <f>IF(Init!$R$12="No",0,'Staging Table'!$AW87)</f>
        <v>0</v>
      </c>
      <c r="L85" s="407">
        <f>IF('Staging Table'!C87=1,"",SUM(D85:J85)-K85)</f>
        <v>13300942.24820883</v>
      </c>
      <c r="M85" s="407">
        <f>IF('Staging Table'!C87=1,"",IF(Init!$R$9="Yes",(RT1SC!$C$3*'Staging Table'!F87*'Staging Table'!$F$2),X85))</f>
        <v>399074.25767183997</v>
      </c>
      <c r="N85" s="169">
        <f>IF('Staging Table'!C87=1,"",IF(M85=0, 0, L85/M85))</f>
        <v>33.329491924147703</v>
      </c>
      <c r="O85" s="407">
        <f>'Staging Table'!BH87*Rates_current!$E$75*100*12</f>
        <v>16402059.293759998</v>
      </c>
      <c r="P85" s="407">
        <f>'Staging Table'!BH87*Rates_current!$E$76*100*12</f>
        <v>-2307090.9943200001</v>
      </c>
      <c r="Q85" s="408"/>
      <c r="R85" s="408">
        <f>SUMPRODUCT('Staging Table'!CL87:CW87, LS_Demand_Rates_Restatement!$C$11:$N$11)*1000</f>
        <v>1003110.7547582709</v>
      </c>
      <c r="S85" s="409"/>
      <c r="T85" s="409">
        <f>IF('Staging Table'!D87=1, 'Staging Table'!BJ87*-1*('Staging Table'!BH87/'Staging Table'!BG87),SUM(O85:S85)*'Staging Table'!BJ87*-1)</f>
        <v>-981375.13852288749</v>
      </c>
      <c r="U85" s="407">
        <f>'Staging Table'!BM87*Rates_current!$H$32*-1</f>
        <v>-487914.33264000004</v>
      </c>
      <c r="V85" s="407">
        <f>IF(Init!$R$12="No",0,'Staging Table'!$CY87)</f>
        <v>0</v>
      </c>
      <c r="W85" s="407">
        <f>IF('Staging Table'!C87=1,"",SUM(O85:U85)-V85)</f>
        <v>13628789.583035382</v>
      </c>
      <c r="X85" s="407">
        <f>IF('Staging Table'!C87=1,"",(RT1SC!$C$4*'Staging Table'!BH87*'Staging Table'!$BH$2))</f>
        <v>391661.56279538397</v>
      </c>
      <c r="Y85" s="169">
        <f>IF('Staging Table'!C87=1,"",IF(X85=0, 0, W85/X85))</f>
        <v>34.79736302373761</v>
      </c>
      <c r="Z85" s="160">
        <f ca="1">IF('Staging Table'!C87=1,"",(Y85/N85-1)+(RAND()/100000000000000))</f>
        <v>4.4041208396775944E-2</v>
      </c>
      <c r="AA85" s="97">
        <f t="shared" ca="1" si="1"/>
        <v>55</v>
      </c>
      <c r="AB85" s="397"/>
      <c r="AC85" s="397"/>
      <c r="AD85" s="397"/>
    </row>
    <row r="86" spans="2:30">
      <c r="B86" s="274">
        <v>10258</v>
      </c>
      <c r="C86" s="275" t="s">
        <v>89</v>
      </c>
      <c r="D86" s="407">
        <f>IF(Init!$R$9="Yes",'Staging Table'!F88,'Staging Table'!BH88)*Rates_previous!$E$75*100*12</f>
        <v>13092959.723760001</v>
      </c>
      <c r="E86" s="407">
        <f>IF(Init!$R$9="Yes",'Staging Table'!F88,'Staging Table'!BH88)*Rates_previous!$E$76*100*12</f>
        <v>-1946406.1065599998</v>
      </c>
      <c r="F86" s="408"/>
      <c r="G86" s="408">
        <f>IF(Init!$R$9="Yes",SUMPRODUCT('Staging Table'!AJ88:AU88,LS_Demand_Rates_Restatement!$C$10:$N$10),SUMPRODUCT(LS_Demand_Rates_Restatement!$C$10:$N$10,'Staging Table'!CL88:CW88))*1000</f>
        <v>922483.19454636739</v>
      </c>
      <c r="H86" s="409"/>
      <c r="I86" s="409">
        <f>IF(Init!$R$9="Yes",IF('Staging Table'!D88=1,'Staging Table'!H88*-1*('Staging Table'!F88/'Staging Table'!E88),'Staging Table'!H88*SUM(D86:H86)*(-1)),IF('Staging Table'!D88=1,'Staging Table'!BJ88*-1*('Staging Table'!BH88/'Staging Table'!BG88),'Staging Table'!BJ88*SUM(D86:H86)*(-1)))</f>
        <v>-784487.39276351407</v>
      </c>
      <c r="J86" s="407">
        <f>IF(Init!$R$9="Yes",'Staging Table'!K88,'Staging Table'!BM88)*(-1)*Rates_previous!$H$32</f>
        <v>-216415.24893999999</v>
      </c>
      <c r="K86" s="407">
        <f>IF(Init!$R$12="No",0,'Staging Table'!$AW88)</f>
        <v>0</v>
      </c>
      <c r="L86" s="407">
        <f>IF('Staging Table'!C88=1,"",SUM(D86:J86)-K86)</f>
        <v>11068134.170042856</v>
      </c>
      <c r="M86" s="407">
        <f>IF('Staging Table'!C88=1,"",IF(Init!$R$9="Yes",(RT1SC!$C$3*'Staging Table'!F88*'Staging Table'!$F$2),X86))</f>
        <v>324448.72095441597</v>
      </c>
      <c r="N86" s="169">
        <f>IF('Staging Table'!C88=1,"",IF(M86=0, 0, L86/M86))</f>
        <v>34.113662514939897</v>
      </c>
      <c r="O86" s="407">
        <f>'Staging Table'!BH88*Rates_current!$E$75*100*12</f>
        <v>13699422.642240001</v>
      </c>
      <c r="P86" s="407">
        <f>'Staging Table'!BH88*Rates_current!$E$76*100*12</f>
        <v>-1926941.8576799999</v>
      </c>
      <c r="Q86" s="408"/>
      <c r="R86" s="408">
        <f>SUMPRODUCT('Staging Table'!CL88:CW88, LS_Demand_Rates_Restatement!$C$11:$N$11)*1000</f>
        <v>879532.90829740907</v>
      </c>
      <c r="S86" s="409"/>
      <c r="T86" s="409">
        <f>IF('Staging Table'!D88=1, 'Staging Table'!BJ88*-1*('Staging Table'!BH88/'Staging Table'!BG88),SUM(O86:S86)*'Staging Table'!BJ88*-1)</f>
        <v>-860545.63530075899</v>
      </c>
      <c r="U86" s="407">
        <f>'Staging Table'!BM88*Rates_current!$H$32*-1</f>
        <v>-216231.37872000001</v>
      </c>
      <c r="V86" s="407">
        <f>IF(Init!$R$12="No",0,'Staging Table'!$CY88)</f>
        <v>0</v>
      </c>
      <c r="W86" s="407">
        <f>IF('Staging Table'!C88=1,"",SUM(O86:U86)-V86)</f>
        <v>11575236.678836649</v>
      </c>
      <c r="X86" s="407">
        <f>IF('Staging Table'!C88=1,"",(RT1SC!$C$4*'Staging Table'!BH88*'Staging Table'!$BH$2))</f>
        <v>327125.83129701595</v>
      </c>
      <c r="Y86" s="169">
        <f>IF('Staging Table'!C88=1,"",IF(X86=0, 0, W86/X86))</f>
        <v>35.384661104083953</v>
      </c>
      <c r="Z86" s="160">
        <f ca="1">IF('Staging Table'!C88=1,"",(Y86/N86-1)+(RAND()/100000000000000))</f>
        <v>3.7257758195489238E-2</v>
      </c>
      <c r="AA86" s="97">
        <f t="shared" ca="1" si="1"/>
        <v>111</v>
      </c>
      <c r="AB86" s="397"/>
      <c r="AC86" s="397"/>
      <c r="AD86" s="397"/>
    </row>
    <row r="87" spans="2:30">
      <c r="B87" s="274">
        <v>10259</v>
      </c>
      <c r="C87" s="275" t="s">
        <v>90</v>
      </c>
      <c r="D87" s="407">
        <f>IF(Init!$R$9="Yes",'Staging Table'!F89,'Staging Table'!BH89)*Rates_previous!$E$75*100*12</f>
        <v>9427505.27544</v>
      </c>
      <c r="E87" s="407">
        <f>IF(Init!$R$9="Yes",'Staging Table'!F89,'Staging Table'!BH89)*Rates_previous!$E$76*100*12</f>
        <v>-1401497.7686400001</v>
      </c>
      <c r="F87" s="408"/>
      <c r="G87" s="408">
        <f>IF(Init!$R$9="Yes",SUMPRODUCT('Staging Table'!AJ89:AU89,LS_Demand_Rates_Restatement!$C$10:$N$10),SUMPRODUCT(LS_Demand_Rates_Restatement!$C$10:$N$10,'Staging Table'!CL89:CW89))*1000</f>
        <v>674551.55147799128</v>
      </c>
      <c r="H87" s="409"/>
      <c r="I87" s="409">
        <f>IF(Init!$R$9="Yes",IF('Staging Table'!D89=1,'Staging Table'!H89*-1*('Staging Table'!F89/'Staging Table'!E89),'Staging Table'!H89*SUM(D87:H87)*(-1)),IF('Staging Table'!D89=1,'Staging Table'!BJ89*-1*('Staging Table'!BH89/'Staging Table'!BG89),'Staging Table'!BJ89*SUM(D87:H87)*(-1)))</f>
        <v>-565536.33878806944</v>
      </c>
      <c r="J87" s="407">
        <f>IF(Init!$R$9="Yes",'Staging Table'!K89,'Staging Table'!BM89)*(-1)*Rates_previous!$H$32</f>
        <v>0</v>
      </c>
      <c r="K87" s="407">
        <f>IF(Init!$R$12="No",0,'Staging Table'!$AW89)</f>
        <v>0</v>
      </c>
      <c r="L87" s="407">
        <f>IF('Staging Table'!C89=1,"",SUM(D87:J87)-K87)</f>
        <v>8135022.7194899209</v>
      </c>
      <c r="M87" s="407">
        <f>IF('Staging Table'!C89=1,"",IF(Init!$R$9="Yes",(RT1SC!$C$3*'Staging Table'!F89*'Staging Table'!$F$2),X87))</f>
        <v>233617.30983230399</v>
      </c>
      <c r="N87" s="169">
        <f>IF('Staging Table'!C89=1,"",IF(M87=0, 0, L87/M87))</f>
        <v>34.822003238242203</v>
      </c>
      <c r="O87" s="407">
        <f>'Staging Table'!BH89*Rates_current!$E$75*100*12</f>
        <v>9740752.9315200001</v>
      </c>
      <c r="P87" s="407">
        <f>'Staging Table'!BH89*Rates_current!$E$76*100*12</f>
        <v>-1370120.8466399999</v>
      </c>
      <c r="Q87" s="408"/>
      <c r="R87" s="408">
        <f>SUMPRODUCT('Staging Table'!CL89:CW89, LS_Demand_Rates_Restatement!$C$11:$N$11)*1000</f>
        <v>643914.65480721148</v>
      </c>
      <c r="S87" s="409"/>
      <c r="T87" s="409">
        <f>IF('Staging Table'!D89=1, 'Staging Table'!BJ89*-1*('Staging Table'!BH89/'Staging Table'!BG89),SUM(O87:S87)*'Staging Table'!BJ89*-1)</f>
        <v>-601437.16837990703</v>
      </c>
      <c r="U87" s="407">
        <f>'Staging Table'!BM89*Rates_current!$H$32*-1</f>
        <v>0</v>
      </c>
      <c r="V87" s="407">
        <f>IF(Init!$R$12="No",0,'Staging Table'!$CY89)</f>
        <v>0</v>
      </c>
      <c r="W87" s="407">
        <f>IF('Staging Table'!C89=1,"",SUM(O87:U87)-V87)</f>
        <v>8413109.5713073052</v>
      </c>
      <c r="X87" s="407">
        <f>IF('Staging Table'!C89=1,"",(RT1SC!$C$4*'Staging Table'!BH89*'Staging Table'!$BH$2))</f>
        <v>232597.53227536799</v>
      </c>
      <c r="Y87" s="169">
        <f>IF('Staging Table'!C89=1,"",IF(X87=0, 0, W87/X87))</f>
        <v>36.170244322915593</v>
      </c>
      <c r="Z87" s="160">
        <f ca="1">IF('Staging Table'!C89=1,"",(Y87/N87-1)+(RAND()/100000000000000))</f>
        <v>3.8718079354859242E-2</v>
      </c>
      <c r="AA87" s="97">
        <f t="shared" ca="1" si="1"/>
        <v>109</v>
      </c>
      <c r="AB87" s="397"/>
      <c r="AC87" s="397"/>
      <c r="AD87" s="397"/>
    </row>
    <row r="88" spans="2:30">
      <c r="B88" s="274">
        <v>10260</v>
      </c>
      <c r="C88" s="275" t="s">
        <v>91</v>
      </c>
      <c r="D88" s="407">
        <f>IF(Init!$R$9="Yes",'Staging Table'!F90,'Staging Table'!BH90)*Rates_previous!$E$75*100*12</f>
        <v>9095069.7457199991</v>
      </c>
      <c r="E88" s="407">
        <f>IF(Init!$R$9="Yes",'Staging Table'!F90,'Staging Table'!BH90)*Rates_previous!$E$76*100*12</f>
        <v>-1352077.7323200002</v>
      </c>
      <c r="F88" s="408"/>
      <c r="G88" s="408">
        <f>IF(Init!$R$9="Yes",SUMPRODUCT('Staging Table'!AJ90:AU90,LS_Demand_Rates_Restatement!$C$10:$N$10),SUMPRODUCT(LS_Demand_Rates_Restatement!$C$10:$N$10,'Staging Table'!CL90:CW90))*1000</f>
        <v>456615.19791183231</v>
      </c>
      <c r="H88" s="409"/>
      <c r="I88" s="409">
        <f>IF(Init!$R$9="Yes",IF('Staging Table'!D90=1,'Staging Table'!H90*-1*('Staging Table'!F90/'Staging Table'!E90),'Staging Table'!H90*SUM(D88:H88)*(-1)),IF('Staging Table'!D90=1,'Staging Table'!BJ90*-1*('Staging Table'!BH90/'Staging Table'!BG90),'Staging Table'!BJ90*SUM(D88:H88)*(-1)))</f>
        <v>0</v>
      </c>
      <c r="J88" s="407">
        <f>IF(Init!$R$9="Yes",'Staging Table'!K90,'Staging Table'!BM90)*(-1)*Rates_previous!$H$32</f>
        <v>0</v>
      </c>
      <c r="K88" s="407">
        <f>IF(Init!$R$12="No",0,'Staging Table'!$AW90)</f>
        <v>0</v>
      </c>
      <c r="L88" s="407">
        <f>IF('Staging Table'!C90=1,"",SUM(D88:J88)-K88)</f>
        <v>8199607.2113118311</v>
      </c>
      <c r="M88" s="407">
        <f>IF('Staging Table'!C90=1,"",IF(Init!$R$9="Yes",(RT1SC!$C$3*'Staging Table'!F90*'Staging Table'!$F$2),X88))</f>
        <v>225379.42590895199</v>
      </c>
      <c r="N88" s="169">
        <f>IF('Staging Table'!C90=1,"",IF(M88=0, 0, L88/M88))</f>
        <v>36.381347490982961</v>
      </c>
      <c r="O88" s="407">
        <f>'Staging Table'!BH90*Rates_current!$E$75*100*12</f>
        <v>9488017.6790400017</v>
      </c>
      <c r="P88" s="407">
        <f>'Staging Table'!BH90*Rates_current!$E$76*100*12</f>
        <v>-1334571.4552800001</v>
      </c>
      <c r="Q88" s="408"/>
      <c r="R88" s="408">
        <f>SUMPRODUCT('Staging Table'!CL90:CW90, LS_Demand_Rates_Restatement!$C$11:$N$11)*1000</f>
        <v>430414.22707783122</v>
      </c>
      <c r="S88" s="409"/>
      <c r="T88" s="409">
        <f>IF('Staging Table'!D90=1, 'Staging Table'!BJ90*-1*('Staging Table'!BH90/'Staging Table'!BG90),SUM(O88:S88)*'Staging Table'!BJ90*-1)</f>
        <v>0</v>
      </c>
      <c r="U88" s="407">
        <f>'Staging Table'!BM90*Rates_current!$H$32*-1</f>
        <v>0</v>
      </c>
      <c r="V88" s="407">
        <f>IF(Init!$R$12="No",0,'Staging Table'!$CY90)</f>
        <v>0</v>
      </c>
      <c r="W88" s="407">
        <f>IF('Staging Table'!C90=1,"",SUM(O88:U88)-V88)</f>
        <v>8583860.4508378319</v>
      </c>
      <c r="X88" s="407">
        <f>IF('Staging Table'!C90=1,"",(RT1SC!$C$4*'Staging Table'!BH90*'Staging Table'!$BH$2))</f>
        <v>226562.516660136</v>
      </c>
      <c r="Y88" s="169">
        <f>IF('Staging Table'!C90=1,"",IF(X88=0, 0, W88/X88))</f>
        <v>37.887381272844834</v>
      </c>
      <c r="Z88" s="160">
        <f ca="1">IF('Staging Table'!C90=1,"",(Y88/N88-1)+(RAND()/100000000000000))</f>
        <v>4.1395766944461183E-2</v>
      </c>
      <c r="AA88" s="97">
        <f t="shared" ca="1" si="1"/>
        <v>88</v>
      </c>
      <c r="AB88" s="397"/>
      <c r="AC88" s="397"/>
      <c r="AD88" s="397"/>
    </row>
    <row r="89" spans="2:30">
      <c r="B89" s="274">
        <v>10273</v>
      </c>
      <c r="C89" s="275" t="s">
        <v>92</v>
      </c>
      <c r="D89" s="407">
        <f>IF(Init!$R$9="Yes",'Staging Table'!F91,'Staging Table'!BH91)*Rates_previous!$E$75*100*12</f>
        <v>2064417.2135999999</v>
      </c>
      <c r="E89" s="407">
        <f>IF(Init!$R$9="Yes",'Staging Table'!F91,'Staging Table'!BH91)*Rates_previous!$E$76*100*12</f>
        <v>-306897.32160000002</v>
      </c>
      <c r="F89" s="408"/>
      <c r="G89" s="408">
        <f>IF(Init!$R$9="Yes",SUMPRODUCT('Staging Table'!AJ91:AU91,LS_Demand_Rates_Restatement!$C$10:$N$10),SUMPRODUCT(LS_Demand_Rates_Restatement!$C$10:$N$10,'Staging Table'!CL91:CW91))*1000</f>
        <v>114150.55748870202</v>
      </c>
      <c r="H89" s="409"/>
      <c r="I89" s="409">
        <f>IF(Init!$R$9="Yes",IF('Staging Table'!D91=1,'Staging Table'!H91*-1*('Staging Table'!F91/'Staging Table'!E91),'Staging Table'!H91*SUM(D89:H89)*(-1)),IF('Staging Table'!D91=1,'Staging Table'!BJ91*-1*('Staging Table'!BH91/'Staging Table'!BG91),'Staging Table'!BJ91*SUM(D89:H89)*(-1)))</f>
        <v>-154599.9791277668</v>
      </c>
      <c r="J89" s="407">
        <f>IF(Init!$R$9="Yes",'Staging Table'!K91,'Staging Table'!BM91)*(-1)*Rates_previous!$H$32</f>
        <v>-112074.23424999999</v>
      </c>
      <c r="K89" s="407">
        <f>IF(Init!$R$12="No",0,'Staging Table'!$AW91)</f>
        <v>0</v>
      </c>
      <c r="L89" s="407">
        <f>IF('Staging Table'!C91=1,"",SUM(D89:J89)-K89)</f>
        <v>1604996.2361109352</v>
      </c>
      <c r="M89" s="407">
        <f>IF('Staging Table'!C91=1,"",IF(Init!$R$9="Yes",(RT1SC!$C$3*'Staging Table'!F91*'Staging Table'!$F$2),X89))</f>
        <v>51157.075145759998</v>
      </c>
      <c r="N89" s="169">
        <f>IF('Staging Table'!C91=1,"",IF(M89=0, 0, L89/M89))</f>
        <v>31.373885851329025</v>
      </c>
      <c r="O89" s="407">
        <f>'Staging Table'!BH91*Rates_current!$E$75*100*12</f>
        <v>2123027.07552</v>
      </c>
      <c r="P89" s="407">
        <f>'Staging Table'!BH91*Rates_current!$E$76*100*12</f>
        <v>-298622.05463999999</v>
      </c>
      <c r="Q89" s="408"/>
      <c r="R89" s="408">
        <f>SUMPRODUCT('Staging Table'!CL91:CW91, LS_Demand_Rates_Restatement!$C$11:$N$11)*1000</f>
        <v>108772.53797894415</v>
      </c>
      <c r="S89" s="409"/>
      <c r="T89" s="409">
        <f>IF('Staging Table'!D91=1, 'Staging Table'!BJ91*-1*('Staging Table'!BH91/'Staging Table'!BG91),SUM(O89:S89)*'Staging Table'!BJ91*-1)</f>
        <v>-185995.26546077122</v>
      </c>
      <c r="U89" s="407">
        <f>'Staging Table'!BM91*Rates_current!$H$32*-1</f>
        <v>-111979.014</v>
      </c>
      <c r="V89" s="407">
        <f>IF(Init!$R$12="No",0,'Staging Table'!$CY91)</f>
        <v>0</v>
      </c>
      <c r="W89" s="407">
        <f>IF('Staging Table'!C91=1,"",SUM(O89:U89)-V89)</f>
        <v>1635203.2793981729</v>
      </c>
      <c r="X89" s="407">
        <f>IF('Staging Table'!C91=1,"",(RT1SC!$C$4*'Staging Table'!BH91*'Staging Table'!$BH$2))</f>
        <v>50695.347904968003</v>
      </c>
      <c r="Y89" s="169">
        <f>IF('Staging Table'!C91=1,"",IF(X89=0, 0, W89/X89))</f>
        <v>32.255489842252913</v>
      </c>
      <c r="Z89" s="160">
        <f ca="1">IF('Staging Table'!C91=1,"",(Y89/N89-1)+(RAND()/100000000000000))</f>
        <v>2.8099929830230103E-2</v>
      </c>
      <c r="AA89" s="97">
        <f ca="1">IF(Z89="","",RANK(Z89,$Z$4:$Z$138))</f>
        <v>115</v>
      </c>
      <c r="AB89" s="397"/>
      <c r="AC89" s="397"/>
      <c r="AD89" s="397"/>
    </row>
    <row r="90" spans="2:30">
      <c r="B90" s="274">
        <v>10278</v>
      </c>
      <c r="C90" s="275" t="s">
        <v>93</v>
      </c>
      <c r="D90" s="407">
        <f>IF(Init!$R$9="Yes",'Staging Table'!F92,'Staging Table'!BH92)*Rates_previous!$E$75*100*12</f>
        <v>12611014.841879999</v>
      </c>
      <c r="E90" s="407">
        <f>IF(Init!$R$9="Yes",'Staging Table'!F92,'Staging Table'!BH92)*Rates_previous!$E$76*100*12</f>
        <v>-1874759.93328</v>
      </c>
      <c r="F90" s="408"/>
      <c r="G90" s="408">
        <f>IF(Init!$R$9="Yes",SUMPRODUCT('Staging Table'!AJ92:AU92,LS_Demand_Rates_Restatement!$C$10:$N$10),SUMPRODUCT(LS_Demand_Rates_Restatement!$C$10:$N$10,'Staging Table'!CL92:CW92))*1000</f>
        <v>0</v>
      </c>
      <c r="H90" s="409"/>
      <c r="I90" s="409">
        <f>IF(Init!$R$9="Yes",IF('Staging Table'!D92=1,'Staging Table'!H92*-1*('Staging Table'!F92/'Staging Table'!E92),'Staging Table'!H92*SUM(D90:H90)*(-1)),IF('Staging Table'!D92=1,'Staging Table'!BJ92*-1*('Staging Table'!BH92/'Staging Table'!BG92),'Staging Table'!BJ92*SUM(D90:H90)*(-1)))</f>
        <v>-784498.14617140184</v>
      </c>
      <c r="J90" s="407">
        <f>IF(Init!$R$9="Yes",'Staging Table'!K92,'Staging Table'!BM92)*(-1)*Rates_previous!$H$32</f>
        <v>0</v>
      </c>
      <c r="K90" s="407">
        <f>IF(Init!$R$12="No",0,'Staging Table'!$AW92)</f>
        <v>0</v>
      </c>
      <c r="L90" s="407" t="str">
        <f>IF('Staging Table'!C92=1,"",SUM(D90:J90)-K90)</f>
        <v/>
      </c>
      <c r="M90" s="407" t="str">
        <f>IF('Staging Table'!C92=1,"",IF(Init!$R$9="Yes",(RT1SC!$C$3*'Staging Table'!F92*'Staging Table'!$F$2),X90))</f>
        <v/>
      </c>
      <c r="N90" s="169" t="str">
        <f>IF('Staging Table'!C92=1,"",IF(M90=0, 0, L90/M90))</f>
        <v/>
      </c>
      <c r="O90" s="407">
        <f>'Staging Table'!BH92*Rates_current!$E$75*100*12</f>
        <v>12193456.838399999</v>
      </c>
      <c r="P90" s="407">
        <f>'Staging Table'!BH92*Rates_current!$E$76*100*12</f>
        <v>-1715114.7888000002</v>
      </c>
      <c r="Q90" s="408"/>
      <c r="R90" s="408">
        <f>SUMPRODUCT('Staging Table'!CL92:CW92, LS_Demand_Rates_Restatement!$C$11:$N$11)*1000</f>
        <v>0</v>
      </c>
      <c r="S90" s="409"/>
      <c r="T90" s="409">
        <f>IF('Staging Table'!D92=1, 'Staging Table'!BJ92*-1*('Staging Table'!BH92/'Staging Table'!BG92),SUM(O90:S90)*'Staging Table'!BJ92*-1)</f>
        <v>-733483.94347199996</v>
      </c>
      <c r="U90" s="407">
        <f>'Staging Table'!BM92*Rates_current!$H$32*-1</f>
        <v>0</v>
      </c>
      <c r="V90" s="407">
        <f>IF(Init!$R$12="No",0,'Staging Table'!$CY92)</f>
        <v>0</v>
      </c>
      <c r="W90" s="407" t="str">
        <f>IF('Staging Table'!C92=1,"",SUM(O90:U90)-V90)</f>
        <v/>
      </c>
      <c r="X90" s="407" t="str">
        <f>IF('Staging Table'!C92=1,"",(RT1SC!$C$4*'Staging Table'!BH92*'Staging Table'!$BH$2))</f>
        <v/>
      </c>
      <c r="Y90" s="169" t="str">
        <f>IF('Staging Table'!C92=1,"",IF(X90=0, 0, W90/X90))</f>
        <v/>
      </c>
      <c r="Z90" s="160" t="str">
        <f ca="1">IF('Staging Table'!C92=1,"",(Y90/N90-1)+(RAND()/100000000000000))</f>
        <v/>
      </c>
      <c r="AA90" s="97" t="str">
        <f t="shared" ca="1" si="1"/>
        <v/>
      </c>
      <c r="AB90" s="397"/>
      <c r="AC90" s="397"/>
      <c r="AD90" s="397"/>
    </row>
    <row r="91" spans="2:30">
      <c r="B91" s="274">
        <v>10279</v>
      </c>
      <c r="C91" s="275" t="s">
        <v>94</v>
      </c>
      <c r="D91" s="407">
        <f>IF(Init!$R$9="Yes",'Staging Table'!F93,'Staging Table'!BH93)*Rates_previous!$E$75*100*12</f>
        <v>22733590.085639998</v>
      </c>
      <c r="E91" s="407">
        <f>IF(Init!$R$9="Yes",'Staging Table'!F93,'Staging Table'!BH93)*Rates_previous!$E$76*100*12</f>
        <v>-3379587.1598400003</v>
      </c>
      <c r="F91" s="408"/>
      <c r="G91" s="408">
        <f>IF(Init!$R$9="Yes",SUMPRODUCT('Staging Table'!AJ93:AU93,LS_Demand_Rates_Restatement!$C$10:$N$10),SUMPRODUCT(LS_Demand_Rates_Restatement!$C$10:$N$10,'Staging Table'!CL93:CW93))*1000</f>
        <v>0</v>
      </c>
      <c r="H91" s="409"/>
      <c r="I91" s="409">
        <f>IF(Init!$R$9="Yes",IF('Staging Table'!D93=1,'Staging Table'!H93*-1*('Staging Table'!F93/'Staging Table'!E93),'Staging Table'!H93*SUM(D91:H91)*(-1)),IF('Staging Table'!D93=1,'Staging Table'!BJ93*-1*('Staging Table'!BH93/'Staging Table'!BG93),'Staging Table'!BJ93*SUM(D91:H91)*(-1)))</f>
        <v>0</v>
      </c>
      <c r="J91" s="407">
        <f>IF(Init!$R$9="Yes",'Staging Table'!K93,'Staging Table'!BM93)*(-1)*Rates_previous!$H$32</f>
        <v>0</v>
      </c>
      <c r="K91" s="407">
        <f>IF(Init!$R$12="No",0,'Staging Table'!$AW93)</f>
        <v>0</v>
      </c>
      <c r="L91" s="407">
        <f>IF('Staging Table'!C93=1,"",SUM(D91:J91)-K91)</f>
        <v>19354002.925799999</v>
      </c>
      <c r="M91" s="407">
        <f>IF('Staging Table'!C93=1,"",IF(Init!$R$9="Yes",(RT1SC!$C$3*'Staging Table'!F93*'Staging Table'!$F$2),X91))</f>
        <v>563347.35473162413</v>
      </c>
      <c r="N91" s="169">
        <f>IF('Staging Table'!C93=1,"",IF(M91=0, 0, L91/M91))</f>
        <v>34.35536310456299</v>
      </c>
      <c r="O91" s="407">
        <f>'Staging Table'!BH93*Rates_current!$E$75*100*12</f>
        <v>23377756.080960002</v>
      </c>
      <c r="P91" s="407">
        <f>'Staging Table'!BH93*Rates_current!$E$76*100*12</f>
        <v>-3288282.8647200004</v>
      </c>
      <c r="Q91" s="408"/>
      <c r="R91" s="408">
        <f>SUMPRODUCT('Staging Table'!CL93:CW93, LS_Demand_Rates_Restatement!$C$11:$N$11)*1000</f>
        <v>0</v>
      </c>
      <c r="S91" s="409"/>
      <c r="T91" s="409">
        <f>IF('Staging Table'!D93=1, 'Staging Table'!BJ93*-1*('Staging Table'!BH93/'Staging Table'!BG93),SUM(O91:S91)*'Staging Table'!BJ93*-1)</f>
        <v>0</v>
      </c>
      <c r="U91" s="407">
        <f>'Staging Table'!BM93*Rates_current!$H$32*-1</f>
        <v>0</v>
      </c>
      <c r="V91" s="407">
        <f>IF(Init!$R$12="No",0,'Staging Table'!$CY93)</f>
        <v>0</v>
      </c>
      <c r="W91" s="407">
        <f>IF('Staging Table'!C93=1,"",SUM(O91:U91)-V91)</f>
        <v>20089473.21624</v>
      </c>
      <c r="X91" s="407">
        <f>IF('Staging Table'!C93=1,"",(RT1SC!$C$4*'Staging Table'!BH93*'Staging Table'!$BH$2))</f>
        <v>558232.86072386405</v>
      </c>
      <c r="Y91" s="169">
        <f>IF('Staging Table'!C93=1,"",IF(X91=0, 0, W91/X91))</f>
        <v>35.987622065440313</v>
      </c>
      <c r="Z91" s="160">
        <f ca="1">IF('Staging Table'!C93=1,"",(Y91/N91-1)+(RAND()/100000000000000))</f>
        <v>4.7511037968357359E-2</v>
      </c>
      <c r="AA91" s="97">
        <f t="shared" ca="1" si="1"/>
        <v>21</v>
      </c>
      <c r="AB91" s="397"/>
      <c r="AC91" s="397"/>
      <c r="AD91" s="397"/>
    </row>
    <row r="92" spans="2:30">
      <c r="B92" s="274">
        <v>10284</v>
      </c>
      <c r="C92" s="275" t="s">
        <v>95</v>
      </c>
      <c r="D92" s="407">
        <f>IF(Init!$R$9="Yes",'Staging Table'!F94,'Staging Table'!BH94)*Rates_previous!$E$75*100*12</f>
        <v>3462973.2396</v>
      </c>
      <c r="E92" s="407">
        <f>IF(Init!$R$9="Yes",'Staging Table'!F94,'Staging Table'!BH94)*Rates_previous!$E$76*100*12</f>
        <v>-514807.37760000001</v>
      </c>
      <c r="F92" s="408"/>
      <c r="G92" s="408">
        <f>IF(Init!$R$9="Yes",SUMPRODUCT('Staging Table'!AJ94:AU94,LS_Demand_Rates_Restatement!$C$10:$N$10),SUMPRODUCT(LS_Demand_Rates_Restatement!$C$10:$N$10,'Staging Table'!CL94:CW94))*1000</f>
        <v>180669.70787037033</v>
      </c>
      <c r="H92" s="409"/>
      <c r="I92" s="409">
        <f>IF(Init!$R$9="Yes",IF('Staging Table'!D94=1,'Staging Table'!H94*-1*('Staging Table'!F94/'Staging Table'!E94),'Staging Table'!H94*SUM(D92:H92)*(-1)),IF('Staging Table'!D94=1,'Staging Table'!BJ94*-1*('Staging Table'!BH94/'Staging Table'!BG94),'Staging Table'!BJ94*SUM(D92:H92)*(-1)))</f>
        <v>-172085.95634287034</v>
      </c>
      <c r="J92" s="407">
        <f>IF(Init!$R$9="Yes",'Staging Table'!K94,'Staging Table'!BM94)*(-1)*Rates_previous!$H$32</f>
        <v>0</v>
      </c>
      <c r="K92" s="407">
        <f>IF(Init!$R$12="No",0,'Staging Table'!$AW94)</f>
        <v>0</v>
      </c>
      <c r="L92" s="407">
        <f>IF('Staging Table'!C94=1,"",SUM(D92:J92)-K92)</f>
        <v>2956749.6135274996</v>
      </c>
      <c r="M92" s="407">
        <f>IF('Staging Table'!C94=1,"",IF(Init!$R$9="Yes",(RT1SC!$C$3*'Staging Table'!F94*'Staging Table'!$F$2),X92))</f>
        <v>85813.846677360008</v>
      </c>
      <c r="N92" s="169">
        <f>IF('Staging Table'!C94=1,"",IF(M92=0, 0, L92/M92))</f>
        <v>34.455390685889967</v>
      </c>
      <c r="O92" s="407">
        <f>'Staging Table'!BH94*Rates_current!$E$75*100*12</f>
        <v>3587210.0352000003</v>
      </c>
      <c r="P92" s="407">
        <f>'Staging Table'!BH94*Rates_current!$E$76*100*12</f>
        <v>-504572.00640000007</v>
      </c>
      <c r="Q92" s="408"/>
      <c r="R92" s="408">
        <f>SUMPRODUCT('Staging Table'!CL94:CW94, LS_Demand_Rates_Restatement!$C$11:$N$11)*1000</f>
        <v>180423.9616788016</v>
      </c>
      <c r="S92" s="409"/>
      <c r="T92" s="409">
        <f>IF('Staging Table'!D94=1, 'Staging Table'!BJ94*-1*('Staging Table'!BH94/'Staging Table'!BG94),SUM(O92:S92)*'Staging Table'!BJ94*-1)</f>
        <v>-179468.40947633411</v>
      </c>
      <c r="U92" s="407">
        <f>'Staging Table'!BM94*Rates_current!$H$32*-1</f>
        <v>0</v>
      </c>
      <c r="V92" s="407">
        <f>IF(Init!$R$12="No",0,'Staging Table'!$CY94)</f>
        <v>0</v>
      </c>
      <c r="W92" s="407">
        <f>IF('Staging Table'!C94=1,"",SUM(O92:U92)-V92)</f>
        <v>3083593.5810024678</v>
      </c>
      <c r="X92" s="407">
        <f>IF('Staging Table'!C94=1,"",(RT1SC!$C$4*'Staging Table'!BH94*'Staging Table'!$BH$2))</f>
        <v>85658.286151679989</v>
      </c>
      <c r="Y92" s="169">
        <f>IF('Staging Table'!C94=1,"",IF(X92=0, 0, W92/X92))</f>
        <v>35.998777462605005</v>
      </c>
      <c r="Z92" s="160">
        <f ca="1">IF('Staging Table'!C94=1,"",(Y92/N92-1)+(RAND()/100000000000000))</f>
        <v>4.4793767999481239E-2</v>
      </c>
      <c r="AA92" s="97">
        <f t="shared" ca="1" si="1"/>
        <v>44</v>
      </c>
      <c r="AB92" s="397"/>
      <c r="AC92" s="397"/>
      <c r="AD92" s="397"/>
    </row>
    <row r="93" spans="2:30">
      <c r="B93" s="274">
        <v>10285</v>
      </c>
      <c r="C93" s="275" t="s">
        <v>96</v>
      </c>
      <c r="D93" s="407">
        <f>IF(Init!$R$9="Yes",'Staging Table'!F95,'Staging Table'!BH95)*Rates_previous!$E$75*100*12</f>
        <v>2288433.7097999998</v>
      </c>
      <c r="E93" s="407">
        <f>IF(Init!$R$9="Yes",'Staging Table'!F95,'Staging Table'!BH95)*Rates_previous!$E$76*100*12</f>
        <v>-340199.72879999998</v>
      </c>
      <c r="F93" s="408"/>
      <c r="G93" s="408">
        <f>IF(Init!$R$9="Yes",SUMPRODUCT('Staging Table'!AJ95:AU95,LS_Demand_Rates_Restatement!$C$10:$N$10),SUMPRODUCT(LS_Demand_Rates_Restatement!$C$10:$N$10,'Staging Table'!CL95:CW95))*1000</f>
        <v>0</v>
      </c>
      <c r="H93" s="409"/>
      <c r="I93" s="409">
        <f>IF(Init!$R$9="Yes",IF('Staging Table'!D95=1,'Staging Table'!H95*-1*('Staging Table'!F95/'Staging Table'!E95),'Staging Table'!H95*SUM(D93:H93)*(-1)),IF('Staging Table'!D95=1,'Staging Table'!BJ95*-1*('Staging Table'!BH95/'Staging Table'!BG95),'Staging Table'!BJ95*SUM(D93:H93)*(-1)))</f>
        <v>-136376.37867000001</v>
      </c>
      <c r="J93" s="407">
        <f>IF(Init!$R$9="Yes",'Staging Table'!K95,'Staging Table'!BM95)*(-1)*Rates_previous!$H$32</f>
        <v>0</v>
      </c>
      <c r="K93" s="407">
        <f>IF(Init!$R$12="No",0,'Staging Table'!$AW95)</f>
        <v>0</v>
      </c>
      <c r="L93" s="407" t="str">
        <f>IF('Staging Table'!C95=1,"",SUM(D93:J93)-K93)</f>
        <v/>
      </c>
      <c r="M93" s="407" t="str">
        <f>IF('Staging Table'!C95=1,"",IF(Init!$R$9="Yes",(RT1SC!$C$3*'Staging Table'!F95*'Staging Table'!$F$2),X93))</f>
        <v/>
      </c>
      <c r="N93" s="169" t="str">
        <f>IF('Staging Table'!C95=1,"",IF(M93=0, 0, L93/M93))</f>
        <v/>
      </c>
      <c r="O93" s="407">
        <f>'Staging Table'!BH95*Rates_current!$E$75*100*12</f>
        <v>2356654.3199999998</v>
      </c>
      <c r="P93" s="407">
        <f>'Staging Table'!BH95*Rates_current!$E$76*100*12</f>
        <v>-331483.74</v>
      </c>
      <c r="Q93" s="408"/>
      <c r="R93" s="408">
        <f>SUMPRODUCT('Staging Table'!CL95:CW95, LS_Demand_Rates_Restatement!$C$11:$N$11)*1000</f>
        <v>0</v>
      </c>
      <c r="S93" s="409"/>
      <c r="T93" s="409">
        <f>IF('Staging Table'!D95=1, 'Staging Table'!BJ95*-1*('Staging Table'!BH95/'Staging Table'!BG95),SUM(O93:S93)*'Staging Table'!BJ95*-1)</f>
        <v>-146307.85588075966</v>
      </c>
      <c r="U93" s="407">
        <f>'Staging Table'!BM95*Rates_current!$H$32*-1</f>
        <v>0</v>
      </c>
      <c r="V93" s="407">
        <f>IF(Init!$R$12="No",0,'Staging Table'!$CY95)</f>
        <v>0</v>
      </c>
      <c r="W93" s="407" t="str">
        <f>IF('Staging Table'!C95=1,"",SUM(O93:U93)-V93)</f>
        <v/>
      </c>
      <c r="X93" s="407" t="str">
        <f>IF('Staging Table'!C95=1,"",(RT1SC!$C$4*'Staging Table'!BH95*'Staging Table'!$BH$2))</f>
        <v/>
      </c>
      <c r="Y93" s="169" t="str">
        <f>IF('Staging Table'!C95=1,"",IF(X93=0, 0, W93/X93))</f>
        <v/>
      </c>
      <c r="Z93" s="160" t="str">
        <f ca="1">IF('Staging Table'!C95=1,"",(Y93/N93-1)+(RAND()/100000000000000))</f>
        <v/>
      </c>
      <c r="AA93" s="97" t="str">
        <f t="shared" ca="1" si="1"/>
        <v/>
      </c>
      <c r="AB93" s="397"/>
      <c r="AC93" s="397"/>
      <c r="AD93" s="397"/>
    </row>
    <row r="94" spans="2:30">
      <c r="B94" s="274">
        <v>10286</v>
      </c>
      <c r="C94" s="275" t="s">
        <v>97</v>
      </c>
      <c r="D94" s="407">
        <f>IF(Init!$R$9="Yes",'Staging Table'!F96,'Staging Table'!BH96)*Rates_previous!$E$75*100*12</f>
        <v>7167537.75024</v>
      </c>
      <c r="E94" s="407">
        <f>IF(Init!$R$9="Yes",'Staging Table'!F96,'Staging Table'!BH96)*Rates_previous!$E$76*100*12</f>
        <v>-1065529.8374399999</v>
      </c>
      <c r="F94" s="408"/>
      <c r="G94" s="408">
        <f>IF(Init!$R$9="Yes",SUMPRODUCT('Staging Table'!AJ96:AU96,LS_Demand_Rates_Restatement!$C$10:$N$10),SUMPRODUCT(LS_Demand_Rates_Restatement!$C$10:$N$10,'Staging Table'!CL96:CW96))*1000</f>
        <v>0</v>
      </c>
      <c r="H94" s="409"/>
      <c r="I94" s="409">
        <f>IF(Init!$R$9="Yes",IF('Staging Table'!D96=1,'Staging Table'!H96*-1*('Staging Table'!F96/'Staging Table'!E96),'Staging Table'!H96*SUM(D94:H94)*(-1)),IF('Staging Table'!D96=1,'Staging Table'!BJ96*-1*('Staging Table'!BH96/'Staging Table'!BG96),'Staging Table'!BJ96*SUM(D94:H94)*(-1)))</f>
        <v>0</v>
      </c>
      <c r="J94" s="407">
        <f>IF(Init!$R$9="Yes",'Staging Table'!K96,'Staging Table'!BM96)*(-1)*Rates_previous!$H$32</f>
        <v>-652153.93726999999</v>
      </c>
      <c r="K94" s="407">
        <f>IF(Init!$R$12="No",0,'Staging Table'!$AW96)</f>
        <v>0</v>
      </c>
      <c r="L94" s="407">
        <f>IF('Staging Table'!C96=1,"",SUM(D94:J94)-K94)</f>
        <v>5449853.9755300004</v>
      </c>
      <c r="M94" s="407">
        <f>IF('Staging Table'!C96=1,"",IF(Init!$R$9="Yes",(RT1SC!$C$3*'Staging Table'!F96*'Staging Table'!$F$2),X94))</f>
        <v>177614.42061398402</v>
      </c>
      <c r="N94" s="169">
        <f>IF('Staging Table'!C96=1,"",IF(M94=0, 0, L94/M94))</f>
        <v>30.683623304294471</v>
      </c>
      <c r="O94" s="407">
        <f>'Staging Table'!BH96*Rates_current!$E$75*100*12</f>
        <v>7370595.6192000015</v>
      </c>
      <c r="P94" s="407">
        <f>'Staging Table'!BH96*Rates_current!$E$76*100*12</f>
        <v>-1036737.7944000002</v>
      </c>
      <c r="Q94" s="408"/>
      <c r="R94" s="408">
        <f>SUMPRODUCT('Staging Table'!CL96:CW96, LS_Demand_Rates_Restatement!$C$11:$N$11)*1000</f>
        <v>0</v>
      </c>
      <c r="S94" s="409"/>
      <c r="T94" s="409">
        <f>IF('Staging Table'!D96=1, 'Staging Table'!BJ96*-1*('Staging Table'!BH96/'Staging Table'!BG96),SUM(O94:S94)*'Staging Table'!BJ96*-1)</f>
        <v>0</v>
      </c>
      <c r="U94" s="407">
        <f>'Staging Table'!BM96*Rates_current!$H$32*-1</f>
        <v>-651599.85576000006</v>
      </c>
      <c r="V94" s="407">
        <f>IF(Init!$R$12="No",0,'Staging Table'!$CY96)</f>
        <v>0</v>
      </c>
      <c r="W94" s="407">
        <f>IF('Staging Table'!C96=1,"",SUM(O94:U94)-V94)</f>
        <v>5682257.9690400017</v>
      </c>
      <c r="X94" s="407">
        <f>IF('Staging Table'!C96=1,"",(RT1SC!$C$4*'Staging Table'!BH96*'Staging Table'!$BH$2))</f>
        <v>176001.00982728001</v>
      </c>
      <c r="Y94" s="169">
        <f>IF('Staging Table'!C96=1,"",IF(X94=0, 0, W94/X94))</f>
        <v>32.285371399950094</v>
      </c>
      <c r="Z94" s="160">
        <f ca="1">IF('Staging Table'!C96=1,"",(Y94/N94-1)+(RAND()/100000000000000))</f>
        <v>5.2202051881906075E-2</v>
      </c>
      <c r="AA94" s="97">
        <f t="shared" ca="1" si="1"/>
        <v>7</v>
      </c>
      <c r="AB94" s="397"/>
      <c r="AC94" s="397"/>
      <c r="AD94" s="397"/>
    </row>
    <row r="95" spans="2:30">
      <c r="B95" s="274">
        <v>10288</v>
      </c>
      <c r="C95" s="275" t="s">
        <v>98</v>
      </c>
      <c r="D95" s="407">
        <f>IF(Init!$R$9="Yes",'Staging Table'!F97,'Staging Table'!BH97)*Rates_previous!$E$75*100*12</f>
        <v>8682186.3030000012</v>
      </c>
      <c r="E95" s="407">
        <f>IF(Init!$R$9="Yes",'Staging Table'!F97,'Staging Table'!BH97)*Rates_previous!$E$76*100*12</f>
        <v>-1290698.2680000002</v>
      </c>
      <c r="F95" s="408"/>
      <c r="G95" s="408">
        <f>IF(Init!$R$9="Yes",SUMPRODUCT('Staging Table'!AJ97:AU97,LS_Demand_Rates_Restatement!$C$10:$N$10),SUMPRODUCT(LS_Demand_Rates_Restatement!$C$10:$N$10,'Staging Table'!CL97:CW97))*1000</f>
        <v>0</v>
      </c>
      <c r="H95" s="409"/>
      <c r="I95" s="409">
        <f>IF(Init!$R$9="Yes",IF('Staging Table'!D97=1,'Staging Table'!H97*-1*('Staging Table'!F97/'Staging Table'!E97),'Staging Table'!H97*SUM(D95:H95)*(-1)),IF('Staging Table'!D97=1,'Staging Table'!BJ97*-1*('Staging Table'!BH97/'Staging Table'!BG97),'Staging Table'!BJ97*SUM(D95:H95)*(-1)))</f>
        <v>-371052.69935700006</v>
      </c>
      <c r="J95" s="407">
        <f>IF(Init!$R$9="Yes",'Staging Table'!K97,'Staging Table'!BM97)*(-1)*Rates_previous!$H$32</f>
        <v>0</v>
      </c>
      <c r="K95" s="407">
        <f>IF(Init!$R$12="No",0,'Staging Table'!$AW97)</f>
        <v>0</v>
      </c>
      <c r="L95" s="407" t="str">
        <f>IF('Staging Table'!C97=1,"",SUM(D95:J95)-K95)</f>
        <v/>
      </c>
      <c r="M95" s="407" t="str">
        <f>IF('Staging Table'!C97=1,"",IF(Init!$R$9="Yes",(RT1SC!$C$3*'Staging Table'!F97*'Staging Table'!$F$2),X95))</f>
        <v/>
      </c>
      <c r="N95" s="169" t="str">
        <f>IF('Staging Table'!C97=1,"",IF(M95=0, 0, L95/M95))</f>
        <v/>
      </c>
      <c r="O95" s="407">
        <f>'Staging Table'!BH97*Rates_current!$E$75*100*12</f>
        <v>8928025.6579200011</v>
      </c>
      <c r="P95" s="407">
        <f>'Staging Table'!BH97*Rates_current!$E$76*100*12</f>
        <v>-1255803.75144</v>
      </c>
      <c r="Q95" s="408"/>
      <c r="R95" s="408">
        <f>SUMPRODUCT('Staging Table'!CL97:CW97, LS_Demand_Rates_Restatement!$C$11:$N$11)*1000</f>
        <v>0</v>
      </c>
      <c r="S95" s="409"/>
      <c r="T95" s="409">
        <f>IF('Staging Table'!D97=1, 'Staging Table'!BJ97*-1*('Staging Table'!BH97/'Staging Table'!BG97),SUM(O95:S95)*'Staging Table'!BJ97*-1)</f>
        <v>-430416.15701833734</v>
      </c>
      <c r="U95" s="407">
        <f>'Staging Table'!BM97*Rates_current!$H$32*-1</f>
        <v>0</v>
      </c>
      <c r="V95" s="407">
        <f>IF(Init!$R$12="No",0,'Staging Table'!$CY97)</f>
        <v>0</v>
      </c>
      <c r="W95" s="407" t="str">
        <f>IF('Staging Table'!C97=1,"",SUM(O95:U95)-V95)</f>
        <v/>
      </c>
      <c r="X95" s="407" t="str">
        <f>IF('Staging Table'!C97=1,"",(RT1SC!$C$4*'Staging Table'!BH97*'Staging Table'!$BH$2))</f>
        <v/>
      </c>
      <c r="Y95" s="169" t="str">
        <f>IF('Staging Table'!C97=1,"",IF(X95=0, 0, W95/X95))</f>
        <v/>
      </c>
      <c r="Z95" s="160" t="str">
        <f ca="1">IF('Staging Table'!C97=1,"",(Y95/N95-1)+(RAND()/100000000000000))</f>
        <v/>
      </c>
      <c r="AA95" s="97" t="str">
        <f t="shared" ca="1" si="1"/>
        <v/>
      </c>
      <c r="AB95" s="397"/>
      <c r="AC95" s="397"/>
      <c r="AD95" s="397"/>
    </row>
    <row r="96" spans="2:30">
      <c r="B96" s="274">
        <v>10291</v>
      </c>
      <c r="C96" s="275" t="s">
        <v>99</v>
      </c>
      <c r="D96" s="407">
        <f>IF(Init!$R$9="Yes",'Staging Table'!F98,'Staging Table'!BH98)*Rates_previous!$E$75*100*12</f>
        <v>27565910.570519999</v>
      </c>
      <c r="E96" s="407">
        <f>IF(Init!$R$9="Yes",'Staging Table'!F98,'Staging Table'!BH98)*Rates_previous!$E$76*100*12</f>
        <v>-4097962.4011200001</v>
      </c>
      <c r="F96" s="408"/>
      <c r="G96" s="408">
        <f>IF(Init!$R$9="Yes",SUMPRODUCT('Staging Table'!AJ98:AU98,LS_Demand_Rates_Restatement!$C$10:$N$10),SUMPRODUCT(LS_Demand_Rates_Restatement!$C$10:$N$10,'Staging Table'!CL98:CW98))*1000</f>
        <v>1516449.9562791842</v>
      </c>
      <c r="H96" s="409"/>
      <c r="I96" s="409">
        <f>IF(Init!$R$9="Yes",IF('Staging Table'!D98=1,'Staging Table'!H98*-1*('Staging Table'!F98/'Staging Table'!E98),'Staging Table'!H98*SUM(D96:H96)*(-1)),IF('Staging Table'!D98=1,'Staging Table'!BJ98*-1*('Staging Table'!BH98/'Staging Table'!BG98),'Staging Table'!BJ98*SUM(D96:H96)*(-1)))</f>
        <v>-1249219.9062839593</v>
      </c>
      <c r="J96" s="407">
        <f>IF(Init!$R$9="Yes",'Staging Table'!K98,'Staging Table'!BM98)*(-1)*Rates_previous!$H$32</f>
        <v>-426787.27376999991</v>
      </c>
      <c r="K96" s="407">
        <f>IF(Init!$R$12="No",0,'Staging Table'!$AW98)</f>
        <v>0</v>
      </c>
      <c r="L96" s="407">
        <f>IF('Staging Table'!C98=1,"",SUM(D96:J96)-K96)</f>
        <v>23308390.945625223</v>
      </c>
      <c r="M96" s="407">
        <f>IF('Staging Table'!C98=1,"",IF(Init!$R$9="Yes",(RT1SC!$C$3*'Staging Table'!F98*'Staging Table'!$F$2),X96))</f>
        <v>683094.16780063207</v>
      </c>
      <c r="N96" s="169">
        <f>IF('Staging Table'!C98=1,"",IF(M96=0, 0, L96/M96))</f>
        <v>34.121782975649722</v>
      </c>
      <c r="O96" s="407">
        <f>'Staging Table'!BH98*Rates_current!$E$75*100*12</f>
        <v>28397302.39584</v>
      </c>
      <c r="P96" s="407">
        <f>'Staging Table'!BH98*Rates_current!$E$76*100*12</f>
        <v>-3994325.3128800001</v>
      </c>
      <c r="Q96" s="408"/>
      <c r="R96" s="408">
        <f>SUMPRODUCT('Staging Table'!CL98:CW98, LS_Demand_Rates_Restatement!$C$11:$N$11)*1000</f>
        <v>1448112.6526966437</v>
      </c>
      <c r="S96" s="409"/>
      <c r="T96" s="409">
        <f>IF('Staging Table'!D98=1, 'Staging Table'!BJ98*-1*('Staging Table'!BH98/'Staging Table'!BG98),SUM(O96:S96)*'Staging Table'!BJ98*-1)</f>
        <v>-1292554.4867828323</v>
      </c>
      <c r="U96" s="407">
        <f>'Staging Table'!BM98*Rates_current!$H$32*-1</f>
        <v>-426424.66775999992</v>
      </c>
      <c r="V96" s="407">
        <f>IF(Init!$R$12="No",0,'Staging Table'!$CY98)</f>
        <v>0</v>
      </c>
      <c r="W96" s="407">
        <f>IF('Staging Table'!C98=1,"",SUM(O96:U96)-V96)</f>
        <v>24132110.581113812</v>
      </c>
      <c r="X96" s="407">
        <f>IF('Staging Table'!C98=1,"",(RT1SC!$C$4*'Staging Table'!BH98*'Staging Table'!$BH$2))</f>
        <v>678093.62448525603</v>
      </c>
      <c r="Y96" s="169">
        <f>IF('Staging Table'!C98=1,"",IF(X96=0, 0, W96/X96))</f>
        <v>35.588169110766387</v>
      </c>
      <c r="Z96" s="160">
        <f ca="1">IF('Staging Table'!C98=1,"",(Y96/N96-1)+(RAND()/100000000000000))</f>
        <v>4.2975073610992232E-2</v>
      </c>
      <c r="AA96" s="97">
        <f t="shared" ca="1" si="1"/>
        <v>68</v>
      </c>
      <c r="AB96" s="397"/>
      <c r="AC96" s="397"/>
      <c r="AD96" s="397"/>
    </row>
    <row r="97" spans="2:30">
      <c r="B97" s="274">
        <v>10294</v>
      </c>
      <c r="C97" s="275" t="s">
        <v>100</v>
      </c>
      <c r="D97" s="407">
        <f>IF(Init!$R$9="Yes",'Staging Table'!F99,'Staging Table'!BH99)*Rates_previous!$E$75*100*12</f>
        <v>5141983.0669199992</v>
      </c>
      <c r="E97" s="407">
        <f>IF(Init!$R$9="Yes",'Staging Table'!F99,'Staging Table'!BH99)*Rates_previous!$E$76*100*12</f>
        <v>-764409.83951999992</v>
      </c>
      <c r="F97" s="408"/>
      <c r="G97" s="408">
        <f>IF(Init!$R$9="Yes",SUMPRODUCT('Staging Table'!AJ99:AU99,LS_Demand_Rates_Restatement!$C$10:$N$10),SUMPRODUCT(LS_Demand_Rates_Restatement!$C$10:$N$10,'Staging Table'!CL99:CW99))*1000</f>
        <v>0</v>
      </c>
      <c r="H97" s="409"/>
      <c r="I97" s="409">
        <f>IF(Init!$R$9="Yes",IF('Staging Table'!D99=1,'Staging Table'!H99*-1*('Staging Table'!F99/'Staging Table'!E99),'Staging Table'!H99*SUM(D97:H97)*(-1)),IF('Staging Table'!D99=1,'Staging Table'!BJ99*-1*('Staging Table'!BH99/'Staging Table'!BG99),'Staging Table'!BJ99*SUM(D97:H97)*(-1)))</f>
        <v>0</v>
      </c>
      <c r="J97" s="407">
        <f>IF(Init!$R$9="Yes",'Staging Table'!K99,'Staging Table'!BM99)*(-1)*Rates_previous!$H$32</f>
        <v>0</v>
      </c>
      <c r="K97" s="407">
        <f>IF(Init!$R$12="No",0,'Staging Table'!$AW99)</f>
        <v>0</v>
      </c>
      <c r="L97" s="407">
        <f>IF('Staging Table'!C99=1,"",SUM(D97:J97)-K97)</f>
        <v>4377573.2273999993</v>
      </c>
      <c r="M97" s="407">
        <f>IF('Staging Table'!C99=1,"",IF(Init!$R$9="Yes",(RT1SC!$C$3*'Staging Table'!F99*'Staging Table'!$F$2),X97))</f>
        <v>127420.37434087199</v>
      </c>
      <c r="N97" s="169">
        <f>IF('Staging Table'!C99=1,"",IF(M97=0, 0, L97/M97))</f>
        <v>34.355363104562997</v>
      </c>
      <c r="O97" s="407">
        <f>'Staging Table'!BH99*Rates_current!$E$75*100*12</f>
        <v>5401451.70144</v>
      </c>
      <c r="P97" s="407">
        <f>'Staging Table'!BH99*Rates_current!$E$76*100*12</f>
        <v>-759760.73207999999</v>
      </c>
      <c r="Q97" s="408"/>
      <c r="R97" s="408">
        <f>SUMPRODUCT('Staging Table'!CL99:CW99, LS_Demand_Rates_Restatement!$C$11:$N$11)*1000</f>
        <v>0</v>
      </c>
      <c r="S97" s="409"/>
      <c r="T97" s="409">
        <f>IF('Staging Table'!D99=1, 'Staging Table'!BJ99*-1*('Staging Table'!BH99/'Staging Table'!BG99),SUM(O97:S97)*'Staging Table'!BJ99*-1)</f>
        <v>0</v>
      </c>
      <c r="U97" s="407">
        <f>'Staging Table'!BM99*Rates_current!$H$32*-1</f>
        <v>0</v>
      </c>
      <c r="V97" s="407">
        <f>IF(Init!$R$12="No",0,'Staging Table'!$CY99)</f>
        <v>0</v>
      </c>
      <c r="W97" s="407">
        <f>IF('Staging Table'!C99=1,"",SUM(O97:U97)-V97)</f>
        <v>4641690.9693599995</v>
      </c>
      <c r="X97" s="407">
        <f>IF('Staging Table'!C99=1,"",(RT1SC!$C$4*'Staging Table'!BH99*'Staging Table'!$BH$2))</f>
        <v>128980.20772029601</v>
      </c>
      <c r="Y97" s="169">
        <f>IF('Staging Table'!C99=1,"",IF(X97=0, 0, W97/X97))</f>
        <v>35.987622065440313</v>
      </c>
      <c r="Z97" s="160">
        <f ca="1">IF('Staging Table'!C99=1,"",(Y97/N97-1)+(RAND()/100000000000000))</f>
        <v>4.7511037968354118E-2</v>
      </c>
      <c r="AA97" s="97">
        <f t="shared" ca="1" si="1"/>
        <v>25</v>
      </c>
      <c r="AB97" s="397"/>
      <c r="AC97" s="397"/>
      <c r="AD97" s="397"/>
    </row>
    <row r="98" spans="2:30">
      <c r="B98" s="274">
        <v>10304</v>
      </c>
      <c r="C98" s="275" t="s">
        <v>101</v>
      </c>
      <c r="D98" s="407">
        <f>IF(Init!$R$9="Yes",'Staging Table'!F100,'Staging Table'!BH100)*Rates_previous!$E$75*100*12</f>
        <v>4916976.4425600003</v>
      </c>
      <c r="E98" s="407">
        <f>IF(Init!$R$9="Yes",'Staging Table'!F100,'Staging Table'!BH100)*Rates_previous!$E$76*100*12</f>
        <v>-730960.23936000001</v>
      </c>
      <c r="F98" s="408"/>
      <c r="G98" s="408">
        <f>IF(Init!$R$9="Yes",SUMPRODUCT('Staging Table'!AJ100:AU100,LS_Demand_Rates_Restatement!$C$10:$N$10),SUMPRODUCT(LS_Demand_Rates_Restatement!$C$10:$N$10,'Staging Table'!CL100:CW100))*1000</f>
        <v>237921.84597475073</v>
      </c>
      <c r="H98" s="409"/>
      <c r="I98" s="409">
        <f>IF(Init!$R$9="Yes",IF('Staging Table'!D100=1,'Staging Table'!H100*-1*('Staging Table'!F100/'Staging Table'!E100),'Staging Table'!H100*SUM(D98:H98)*(-1)),IF('Staging Table'!D100=1,'Staging Table'!BJ100*-1*('Staging Table'!BH100/'Staging Table'!BG100),'Staging Table'!BJ100*SUM(D98:H98)*(-1)))</f>
        <v>0</v>
      </c>
      <c r="J98" s="407">
        <f>IF(Init!$R$9="Yes",'Staging Table'!K100,'Staging Table'!BM100)*(-1)*Rates_previous!$H$32</f>
        <v>0</v>
      </c>
      <c r="K98" s="407">
        <f>IF(Init!$R$12="No",0,'Staging Table'!$AW100)</f>
        <v>0</v>
      </c>
      <c r="L98" s="407">
        <f>IF('Staging Table'!C100=1,"",SUM(D98:J98)-K98)</f>
        <v>4423938.0491747512</v>
      </c>
      <c r="M98" s="407">
        <f>IF('Staging Table'!C100=1,"",IF(Init!$R$9="Yes",(RT1SC!$C$3*'Staging Table'!F100*'Staging Table'!$F$2),X98))</f>
        <v>121844.62118649602</v>
      </c>
      <c r="N98" s="169">
        <f>IF('Staging Table'!C100=1,"",IF(M98=0, 0, L98/M98))</f>
        <v>36.308029079128971</v>
      </c>
      <c r="O98" s="407">
        <f>'Staging Table'!BH100*Rates_current!$E$75*100*12</f>
        <v>4988463.9551999997</v>
      </c>
      <c r="P98" s="407">
        <f>'Staging Table'!BH100*Rates_current!$E$76*100*12</f>
        <v>-701670.44640000002</v>
      </c>
      <c r="Q98" s="408"/>
      <c r="R98" s="408">
        <f>SUMPRODUCT('Staging Table'!CL100:CW100, LS_Demand_Rates_Restatement!$C$11:$N$11)*1000</f>
        <v>238020.36485596505</v>
      </c>
      <c r="S98" s="409"/>
      <c r="T98" s="409">
        <f>IF('Staging Table'!D100=1, 'Staging Table'!BJ100*-1*('Staging Table'!BH100/'Staging Table'!BG100),SUM(O98:S98)*'Staging Table'!BJ100*-1)</f>
        <v>0</v>
      </c>
      <c r="U98" s="407">
        <f>'Staging Table'!BM100*Rates_current!$H$32*-1</f>
        <v>0</v>
      </c>
      <c r="V98" s="407">
        <f>IF(Init!$R$12="No",0,'Staging Table'!$CY100)</f>
        <v>0</v>
      </c>
      <c r="W98" s="407">
        <f>IF('Staging Table'!C100=1,"",SUM(O98:U98)-V98)</f>
        <v>4524813.8736559646</v>
      </c>
      <c r="X98" s="407">
        <f>IF('Staging Table'!C100=1,"",(RT1SC!$C$4*'Staging Table'!BH100*'Staging Table'!$BH$2))</f>
        <v>119118.55417968</v>
      </c>
      <c r="Y98" s="169">
        <f>IF('Staging Table'!C100=1,"",IF(X98=0, 0, W98/X98))</f>
        <v>37.985802504206653</v>
      </c>
      <c r="Z98" s="160">
        <f ca="1">IF('Staging Table'!C100=1,"",(Y98/N98-1)+(RAND()/100000000000000))</f>
        <v>4.6209432669052045E-2</v>
      </c>
      <c r="AA98" s="97">
        <f t="shared" ca="1" si="1"/>
        <v>35</v>
      </c>
      <c r="AB98" s="397"/>
      <c r="AC98" s="397"/>
      <c r="AD98" s="397"/>
    </row>
    <row r="99" spans="2:30">
      <c r="B99" s="274">
        <v>10306</v>
      </c>
      <c r="C99" s="275" t="s">
        <v>102</v>
      </c>
      <c r="D99" s="407">
        <f>IF(Init!$R$9="Yes",'Staging Table'!F101,'Staging Table'!BH101)*Rates_previous!$E$75*100*12</f>
        <v>0</v>
      </c>
      <c r="E99" s="407">
        <f>IF(Init!$R$9="Yes",'Staging Table'!F101,'Staging Table'!BH101)*Rates_previous!$E$76*100*12</f>
        <v>0</v>
      </c>
      <c r="F99" s="408"/>
      <c r="G99" s="408">
        <f>IF(Init!$R$9="Yes",SUMPRODUCT('Staging Table'!AJ101:AU101,LS_Demand_Rates_Restatement!$C$10:$N$10),SUMPRODUCT(LS_Demand_Rates_Restatement!$C$10:$N$10,'Staging Table'!CL101:CW101))*1000</f>
        <v>0</v>
      </c>
      <c r="H99" s="409"/>
      <c r="I99" s="409">
        <v>0</v>
      </c>
      <c r="J99" s="407">
        <f>IF(Init!$R$9="Yes",'Staging Table'!K101,'Staging Table'!BM101)*(-1)*Rates_previous!$H$32</f>
        <v>0</v>
      </c>
      <c r="K99" s="407">
        <f>IF(Init!$R$12="No",0,'Staging Table'!$AW101)</f>
        <v>0</v>
      </c>
      <c r="L99" s="407">
        <f>IF('Staging Table'!C101=1,"",SUM(D99:J99)-K99)</f>
        <v>0</v>
      </c>
      <c r="M99" s="407">
        <f>IF('Staging Table'!C101=1,"",IF(Init!$R$9="Yes",(RT1SC!$C$3*'Staging Table'!F101*'Staging Table'!$F$2),X99))</f>
        <v>0</v>
      </c>
      <c r="N99" s="169">
        <f>IF('Staging Table'!C101=1,"",IF(M99=0, 0, L99/M99))</f>
        <v>0</v>
      </c>
      <c r="O99" s="407">
        <f>'Staging Table'!BH101*Rates_current!$E$75*100*12</f>
        <v>0</v>
      </c>
      <c r="P99" s="407">
        <f>'Staging Table'!BH101*Rates_current!$E$76*100*12</f>
        <v>0</v>
      </c>
      <c r="Q99" s="408"/>
      <c r="R99" s="408">
        <f>SUMPRODUCT('Staging Table'!CL101:CW101, LS_Demand_Rates_Restatement!$C$11:$N$11)*1000</f>
        <v>0</v>
      </c>
      <c r="S99" s="409"/>
      <c r="T99" s="409">
        <v>0</v>
      </c>
      <c r="U99" s="407">
        <f>'Staging Table'!BM101*Rates_current!$H$32*-1</f>
        <v>0</v>
      </c>
      <c r="V99" s="407">
        <f>IF(Init!$R$12="No",0,'Staging Table'!$CY101)</f>
        <v>0</v>
      </c>
      <c r="W99" s="407">
        <f>IF('Staging Table'!C101=1,"",SUM(O99:U99)-V99)</f>
        <v>0</v>
      </c>
      <c r="X99" s="407">
        <f>IF('Staging Table'!C101=1,"",(RT1SC!$C$4*'Staging Table'!BH101*'Staging Table'!$BH$2))</f>
        <v>0</v>
      </c>
      <c r="Y99" s="169">
        <f>IF('Staging Table'!C101=1,"",IF(X99=0, 0, W99/X99))</f>
        <v>0</v>
      </c>
      <c r="Z99" s="160"/>
      <c r="AA99" s="97" t="str">
        <f t="shared" si="1"/>
        <v/>
      </c>
      <c r="AB99" s="397"/>
      <c r="AC99" s="397"/>
      <c r="AD99" s="397"/>
    </row>
    <row r="100" spans="2:30">
      <c r="B100" s="274">
        <v>10307</v>
      </c>
      <c r="C100" s="275" t="s">
        <v>103</v>
      </c>
      <c r="D100" s="407">
        <f>IF(Init!$R$9="Yes",'Staging Table'!F102,'Staging Table'!BH102)*Rates_previous!$E$75*100*12</f>
        <v>25268070.643200003</v>
      </c>
      <c r="E100" s="407">
        <f>IF(Init!$R$9="Yes",'Staging Table'!F102,'Staging Table'!BH102)*Rates_previous!$E$76*100*12</f>
        <v>-3756364.3392000003</v>
      </c>
      <c r="F100" s="408"/>
      <c r="G100" s="408">
        <f>IF(Init!$R$9="Yes",SUMPRODUCT('Staging Table'!AJ102:AU102,LS_Demand_Rates_Restatement!$C$10:$N$10),SUMPRODUCT(LS_Demand_Rates_Restatement!$C$10:$N$10,'Staging Table'!CL102:CW102))*1000</f>
        <v>1745470.321483013</v>
      </c>
      <c r="H100" s="409"/>
      <c r="I100" s="409">
        <f>IF(Init!$R$9="Yes",IF('Staging Table'!D102=1,'Staging Table'!H102*-1*('Staging Table'!F102/'Staging Table'!E102),'Staging Table'!H102*SUM(D100:H100)*(-1)),IF('Staging Table'!D102=1,'Staging Table'!BJ102*-1*('Staging Table'!BH102/'Staging Table'!BG102),'Staging Table'!BJ102*SUM(D100:H100)*(-1)))</f>
        <v>0</v>
      </c>
      <c r="J100" s="407">
        <f>IF(Init!$R$9="Yes",'Staging Table'!K102,'Staging Table'!BM102)*(-1)*Rates_previous!$H$32</f>
        <v>0</v>
      </c>
      <c r="K100" s="407">
        <f>IF(Init!$R$12="No",0,'Staging Table'!$AW102)</f>
        <v>0</v>
      </c>
      <c r="L100" s="407">
        <f>IF('Staging Table'!C102=1,"",SUM(D100:J100)-K100)</f>
        <v>23257176.625483014</v>
      </c>
      <c r="M100" s="407">
        <f>IF('Staging Table'!C102=1,"",IF(Init!$R$9="Yes",(RT1SC!$C$3*'Staging Table'!F102*'Staging Table'!$F$2),X100))</f>
        <v>626152.78547712008</v>
      </c>
      <c r="N100" s="169">
        <f>IF('Staging Table'!C102=1,"",IF(M100=0, 0, L100/M100))</f>
        <v>37.142973991182288</v>
      </c>
      <c r="O100" s="407">
        <f>'Staging Table'!BH102*Rates_current!$E$75*100*12</f>
        <v>24674807.664000001</v>
      </c>
      <c r="P100" s="407">
        <f>'Staging Table'!BH102*Rates_current!$E$76*100*12</f>
        <v>-3470724.3479999998</v>
      </c>
      <c r="Q100" s="408"/>
      <c r="R100" s="408">
        <f>SUMPRODUCT('Staging Table'!CL102:CW102, LS_Demand_Rates_Restatement!$C$11:$N$11)*1000</f>
        <v>1697459.1110576924</v>
      </c>
      <c r="S100" s="409"/>
      <c r="T100" s="409">
        <f>IF('Staging Table'!D102=1, 'Staging Table'!BJ102*-1*('Staging Table'!BH102/'Staging Table'!BG102),SUM(O100:S100)*'Staging Table'!BJ102*-1)</f>
        <v>0</v>
      </c>
      <c r="U100" s="407">
        <f>'Staging Table'!BM102*Rates_current!$H$32*-1</f>
        <v>0</v>
      </c>
      <c r="V100" s="407">
        <f>IF(Init!$R$12="No",0,'Staging Table'!$CY102)</f>
        <v>0</v>
      </c>
      <c r="W100" s="407">
        <f>IF('Staging Table'!C102=1,"",SUM(O100:U100)-V100)</f>
        <v>22901542.427057691</v>
      </c>
      <c r="X100" s="407">
        <f>IF('Staging Table'!C102=1,"",(RT1SC!$C$4*'Staging Table'!BH102*'Staging Table'!$BH$2))</f>
        <v>589204.90154759982</v>
      </c>
      <c r="Y100" s="169">
        <f>IF('Staging Table'!C102=1,"",IF(X100=0, 0, W100/X100))</f>
        <v>38.868553820419223</v>
      </c>
      <c r="Z100" s="160">
        <f ca="1">IF('Staging Table'!C102=1,"",(Y100/N100-1)+(RAND()/100000000000000))</f>
        <v>4.6457772327192288E-2</v>
      </c>
      <c r="AA100" s="97">
        <f t="shared" ca="1" si="1"/>
        <v>32</v>
      </c>
      <c r="AB100" s="397"/>
      <c r="AC100" s="397"/>
      <c r="AD100" s="397"/>
    </row>
    <row r="101" spans="2:30">
      <c r="B101" s="274">
        <v>10326</v>
      </c>
      <c r="C101" s="275" t="s">
        <v>104</v>
      </c>
      <c r="D101" s="407">
        <f>IF(Init!$R$9="Yes",'Staging Table'!F103,'Staging Table'!BH103)*Rates_previous!$E$75*100*12</f>
        <v>10157724.793439999</v>
      </c>
      <c r="E101" s="407">
        <f>IF(Init!$R$9="Yes",'Staging Table'!F103,'Staging Table'!BH103)*Rates_previous!$E$76*100*12</f>
        <v>-1510052.5766399999</v>
      </c>
      <c r="F101" s="408"/>
      <c r="G101" s="408">
        <f>IF(Init!$R$9="Yes",SUMPRODUCT('Staging Table'!AJ103:AU103,LS_Demand_Rates_Restatement!$C$10:$N$10),SUMPRODUCT(LS_Demand_Rates_Restatement!$C$10:$N$10,'Staging Table'!CL103:CW103))*1000</f>
        <v>296558.84336805542</v>
      </c>
      <c r="H101" s="409"/>
      <c r="I101" s="409">
        <f>IF(Init!$R$9="Yes",IF('Staging Table'!D103=1,'Staging Table'!H103*-1*('Staging Table'!F103/'Staging Table'!E103),'Staging Table'!H103*SUM(D101:H101)*(-1)),IF('Staging Table'!D103=1,'Staging Table'!BJ103*-1*('Staging Table'!BH103/'Staging Table'!BG103),'Staging Table'!BJ103*SUM(D101:H101)*(-1)))</f>
        <v>0</v>
      </c>
      <c r="J101" s="407">
        <f>IF(Init!$R$9="Yes",'Staging Table'!K103,'Staging Table'!BM103)*(-1)*Rates_previous!$H$32</f>
        <v>0</v>
      </c>
      <c r="K101" s="407">
        <f>IF(Init!$R$12="No",0,'Staging Table'!$AW103)</f>
        <v>0</v>
      </c>
      <c r="L101" s="407">
        <f>IF('Staging Table'!C103=1,"",SUM(D101:J101)-K101)</f>
        <v>8944231.060168054</v>
      </c>
      <c r="M101" s="407">
        <f>IF('Staging Table'!C103=1,"",IF(Init!$R$9="Yes",(RT1SC!$C$3*'Staging Table'!F103*'Staging Table'!$F$2),X101))</f>
        <v>251712.43833110397</v>
      </c>
      <c r="N101" s="169">
        <f>IF('Staging Table'!C103=1,"",IF(M101=0, 0, L101/M101))</f>
        <v>35.533528336818861</v>
      </c>
      <c r="O101" s="407">
        <f>'Staging Table'!BH103*Rates_current!$E$75*100*12</f>
        <v>10512206.907839999</v>
      </c>
      <c r="P101" s="407">
        <f>'Staging Table'!BH103*Rates_current!$E$76*100*12</f>
        <v>-1478632.4968799998</v>
      </c>
      <c r="Q101" s="408"/>
      <c r="R101" s="408">
        <f>SUMPRODUCT('Staging Table'!CL103:CW103, LS_Demand_Rates_Restatement!$C$11:$N$11)*1000</f>
        <v>256797.1825947293</v>
      </c>
      <c r="S101" s="409"/>
      <c r="T101" s="409">
        <f>IF('Staging Table'!D103=1, 'Staging Table'!BJ103*-1*('Staging Table'!BH103/'Staging Table'!BG103),SUM(O101:S101)*'Staging Table'!BJ103*-1)</f>
        <v>0</v>
      </c>
      <c r="U101" s="407">
        <f>'Staging Table'!BM103*Rates_current!$H$32*-1</f>
        <v>0</v>
      </c>
      <c r="V101" s="407">
        <f>IF(Init!$R$12="No",0,'Staging Table'!$CY103)</f>
        <v>0</v>
      </c>
      <c r="W101" s="407">
        <f>IF('Staging Table'!C103=1,"",SUM(O101:U101)-V101)</f>
        <v>9290371.5935547277</v>
      </c>
      <c r="X101" s="407">
        <f>IF('Staging Table'!C103=1,"",(RT1SC!$C$4*'Staging Table'!BH103*'Staging Table'!$BH$2))</f>
        <v>251018.93074605596</v>
      </c>
      <c r="Y101" s="169">
        <f>IF('Staging Table'!C103=1,"",IF(X101=0, 0, W101/X101))</f>
        <v>37.010641253003179</v>
      </c>
      <c r="Z101" s="160">
        <f ca="1">IF('Staging Table'!C103=1,"",(Y101/N101-1)+(RAND()/100000000000000))</f>
        <v>4.1569553751688221E-2</v>
      </c>
      <c r="AA101" s="97">
        <f t="shared" ca="1" si="1"/>
        <v>85</v>
      </c>
      <c r="AB101" s="397"/>
      <c r="AC101" s="397"/>
      <c r="AD101" s="397"/>
    </row>
    <row r="102" spans="2:30">
      <c r="B102" s="274">
        <v>10331</v>
      </c>
      <c r="C102" s="275" t="s">
        <v>105</v>
      </c>
      <c r="D102" s="407">
        <f>IF(Init!$R$9="Yes",'Staging Table'!F104,'Staging Table'!BH104)*Rates_previous!$E$75*100*12</f>
        <v>12352343.86008</v>
      </c>
      <c r="E102" s="407">
        <f>IF(Init!$R$9="Yes",'Staging Table'!F104,'Staging Table'!BH104)*Rates_previous!$E$76*100*12</f>
        <v>-1836305.7724800003</v>
      </c>
      <c r="F102" s="408"/>
      <c r="G102" s="408">
        <f>IF(Init!$R$9="Yes",SUMPRODUCT('Staging Table'!AJ104:AU104,LS_Demand_Rates_Restatement!$C$10:$N$10),SUMPRODUCT(LS_Demand_Rates_Restatement!$C$10:$N$10,'Staging Table'!CL104:CW104))*1000</f>
        <v>0</v>
      </c>
      <c r="H102" s="409"/>
      <c r="I102" s="409">
        <f>IF(Init!$R$9="Yes",IF('Staging Table'!D104=1,'Staging Table'!H104*-1*('Staging Table'!F104/'Staging Table'!E104),'Staging Table'!H104*SUM(D102:H102)*(-1)),IF('Staging Table'!D104=1,'Staging Table'!BJ104*-1*('Staging Table'!BH104/'Staging Table'!BG104),'Staging Table'!BJ104*SUM(D102:H102)*(-1)))</f>
        <v>-736122.66613200004</v>
      </c>
      <c r="J102" s="407">
        <f>IF(Init!$R$9="Yes",'Staging Table'!K104,'Staging Table'!BM104)*(-1)*Rates_previous!$H$32</f>
        <v>-1566432.3186600001</v>
      </c>
      <c r="K102" s="407">
        <f>IF(Init!$R$12="No",0,'Staging Table'!$AW104)</f>
        <v>0</v>
      </c>
      <c r="L102" s="407" t="str">
        <f>IF('Staging Table'!C104=1,"",SUM(D102:J102)-K102)</f>
        <v/>
      </c>
      <c r="M102" s="407" t="str">
        <f>IF('Staging Table'!C104=1,"",IF(Init!$R$9="Yes",(RT1SC!$C$3*'Staging Table'!F104*'Staging Table'!$F$2),X102))</f>
        <v/>
      </c>
      <c r="N102" s="169" t="str">
        <f>IF('Staging Table'!C104=1,"",IF(M102=0, 0, L102/M102))</f>
        <v/>
      </c>
      <c r="O102" s="407">
        <f>'Staging Table'!BH104*Rates_current!$E$75*100*12</f>
        <v>13212295.824960001</v>
      </c>
      <c r="P102" s="407">
        <f>'Staging Table'!BH104*Rates_current!$E$76*100*12</f>
        <v>-1858423.2727199998</v>
      </c>
      <c r="Q102" s="408"/>
      <c r="R102" s="408">
        <f>SUMPRODUCT('Staging Table'!CL104:CW104, LS_Demand_Rates_Restatement!$C$11:$N$11)*1000</f>
        <v>0</v>
      </c>
      <c r="S102" s="409"/>
      <c r="T102" s="409">
        <f>IF('Staging Table'!D104=1, 'Staging Table'!BJ104*-1*('Staging Table'!BH104/'Staging Table'!BG104),SUM(O102:S102)*'Staging Table'!BJ104*-1)</f>
        <v>-796602.70435521775</v>
      </c>
      <c r="U102" s="407">
        <f>'Staging Table'!BM104*Rates_current!$H$32*-1</f>
        <v>-1565101.4500800001</v>
      </c>
      <c r="V102" s="407">
        <f>IF(Init!$R$12="No",0,'Staging Table'!$CY104)</f>
        <v>0</v>
      </c>
      <c r="W102" s="407" t="str">
        <f>IF('Staging Table'!C104=1,"",SUM(O102:U102)-V102)</f>
        <v/>
      </c>
      <c r="X102" s="407" t="str">
        <f>IF('Staging Table'!C104=1,"",(RT1SC!$C$4*'Staging Table'!BH104*'Staging Table'!$BH$2))</f>
        <v/>
      </c>
      <c r="Y102" s="169" t="str">
        <f>IF('Staging Table'!C104=1,"",IF(X102=0, 0, W102/X102))</f>
        <v/>
      </c>
      <c r="Z102" s="160" t="str">
        <f>IF('Staging Table'!C104=1,"",Y102/N102-1)</f>
        <v/>
      </c>
      <c r="AA102" s="97" t="str">
        <f t="shared" si="1"/>
        <v/>
      </c>
      <c r="AB102" s="397"/>
      <c r="AC102" s="397"/>
      <c r="AD102" s="397"/>
    </row>
    <row r="103" spans="2:30">
      <c r="B103" s="274">
        <v>10333</v>
      </c>
      <c r="C103" s="275" t="s">
        <v>106</v>
      </c>
      <c r="D103" s="407">
        <f>IF(Init!$R$9="Yes",'Staging Table'!F105,'Staging Table'!BH105)*Rates_previous!$E$75*100*12</f>
        <v>6498953.7101999987</v>
      </c>
      <c r="E103" s="407">
        <f>IF(Init!$R$9="Yes",'Staging Table'!F105,'Staging Table'!BH105)*Rates_previous!$E$76*100*12</f>
        <v>-966137.79120000009</v>
      </c>
      <c r="F103" s="408"/>
      <c r="G103" s="408">
        <f>IF(Init!$R$9="Yes",SUMPRODUCT('Staging Table'!AJ105:AU105,LS_Demand_Rates_Restatement!$C$10:$N$10),SUMPRODUCT(LS_Demand_Rates_Restatement!$C$10:$N$10,'Staging Table'!CL105:CW105))*1000</f>
        <v>374863.86836242885</v>
      </c>
      <c r="H103" s="409"/>
      <c r="I103" s="409">
        <f>IF(Init!$R$9="Yes",IF('Staging Table'!D105=1,'Staging Table'!H105*-1*('Staging Table'!F105/'Staging Table'!E105),'Staging Table'!H105*SUM(D103:H103)*(-1)),IF('Staging Table'!D105=1,'Staging Table'!BJ105*-1*('Staging Table'!BH105/'Staging Table'!BG105),'Staging Table'!BJ105*SUM(D103:H103)*(-1)))</f>
        <v>-388666.2532105741</v>
      </c>
      <c r="J103" s="407">
        <f>IF(Init!$R$9="Yes",'Staging Table'!K105,'Staging Table'!BM105)*(-1)*Rates_previous!$H$32</f>
        <v>0</v>
      </c>
      <c r="K103" s="407">
        <f>IF(Init!$R$12="No",0,'Staging Table'!$AW105)</f>
        <v>0</v>
      </c>
      <c r="L103" s="407">
        <f>IF('Staging Table'!C105=1,"",SUM(D103:J103)-K103)</f>
        <v>5519013.5341518531</v>
      </c>
      <c r="M103" s="407">
        <f>IF('Staging Table'!C105=1,"",IF(Init!$R$9="Yes",(RT1SC!$C$3*'Staging Table'!F105*'Staging Table'!$F$2),X103))</f>
        <v>161046.64363931998</v>
      </c>
      <c r="N103" s="169">
        <f>IF('Staging Table'!C105=1,"",IF(M103=0, 0, L103/M103))</f>
        <v>34.26965883568635</v>
      </c>
      <c r="O103" s="407">
        <f>'Staging Table'!BH105*Rates_current!$E$75*100*12</f>
        <v>6683216.8780800011</v>
      </c>
      <c r="P103" s="407">
        <f>'Staging Table'!BH105*Rates_current!$E$76*100*12</f>
        <v>-940052.05055999989</v>
      </c>
      <c r="Q103" s="408"/>
      <c r="R103" s="408">
        <f>SUMPRODUCT('Staging Table'!CL105:CW105, LS_Demand_Rates_Restatement!$C$11:$N$11)*1000</f>
        <v>355344.4110787661</v>
      </c>
      <c r="S103" s="409"/>
      <c r="T103" s="409">
        <f>IF('Staging Table'!D105=1, 'Staging Table'!BJ105*-1*('Staging Table'!BH105/'Staging Table'!BG105),SUM(O103:S103)*'Staging Table'!BJ105*-1)</f>
        <v>-407848.26632666565</v>
      </c>
      <c r="U103" s="407">
        <f>'Staging Table'!BM105*Rates_current!$H$32*-1</f>
        <v>0</v>
      </c>
      <c r="V103" s="407">
        <f>IF(Init!$R$12="No",0,'Staging Table'!$CY105)</f>
        <v>0</v>
      </c>
      <c r="W103" s="407">
        <f>IF('Staging Table'!C105=1,"",SUM(O103:U103)-V103)</f>
        <v>5690660.9722721018</v>
      </c>
      <c r="X103" s="407">
        <f>IF('Staging Table'!C105=1,"",(RT1SC!$C$4*'Staging Table'!BH105*'Staging Table'!$BH$2))</f>
        <v>159587.22743827198</v>
      </c>
      <c r="Y103" s="169">
        <f>IF('Staging Table'!C105=1,"",IF(X103=0, 0, W103/X103))</f>
        <v>35.658624212098914</v>
      </c>
      <c r="Z103" s="160">
        <f ca="1">IF('Staging Table'!C105=1,"",(Y103/N103-1)+(RAND()/100000000000000))</f>
        <v>4.0530469914287257E-2</v>
      </c>
      <c r="AA103" s="97">
        <f t="shared" ca="1" si="1"/>
        <v>102</v>
      </c>
      <c r="AB103" s="397"/>
      <c r="AC103" s="397"/>
      <c r="AD103" s="397"/>
    </row>
    <row r="104" spans="2:30">
      <c r="B104" s="274">
        <v>10338</v>
      </c>
      <c r="C104" s="275" t="s">
        <v>107</v>
      </c>
      <c r="D104" s="407">
        <f>IF(Init!$R$9="Yes",'Staging Table'!F106,'Staging Table'!BH106)*Rates_previous!$E$75*100*12</f>
        <v>832697.78256000008</v>
      </c>
      <c r="E104" s="407">
        <f>IF(Init!$R$9="Yes",'Staging Table'!F106,'Staging Table'!BH106)*Rates_previous!$E$76*100*12</f>
        <v>-123789.27935999999</v>
      </c>
      <c r="F104" s="408"/>
      <c r="G104" s="408">
        <f>IF(Init!$R$9="Yes",SUMPRODUCT('Staging Table'!AJ106:AU106,LS_Demand_Rates_Restatement!$C$10:$N$10),SUMPRODUCT(LS_Demand_Rates_Restatement!$C$10:$N$10,'Staging Table'!CL106:CW106))*1000</f>
        <v>38227.66677540954</v>
      </c>
      <c r="H104" s="409"/>
      <c r="I104" s="409">
        <f>IF(Init!$R$9="Yes",IF('Staging Table'!D106=1,'Staging Table'!H106*-1*('Staging Table'!F106/'Staging Table'!E106),'Staging Table'!H106*SUM(D104:H104)*(-1)),IF('Staging Table'!D106=1,'Staging Table'!BJ106*-1*('Staging Table'!BH106/'Staging Table'!BG106),'Staging Table'!BJ106*SUM(D104:H104)*(-1)))</f>
        <v>-31835.47220265221</v>
      </c>
      <c r="J104" s="407">
        <f>IF(Init!$R$9="Yes",'Staging Table'!K106,'Staging Table'!BM106)*(-1)*Rates_previous!$H$32</f>
        <v>-48906.8217</v>
      </c>
      <c r="K104" s="407">
        <f>IF(Init!$R$12="No",0,'Staging Table'!$AW106)</f>
        <v>0</v>
      </c>
      <c r="L104" s="407">
        <f>IF('Staging Table'!C106=1,"",SUM(D104:J104)-K104)</f>
        <v>666393.87607275753</v>
      </c>
      <c r="M104" s="407">
        <f>IF('Staging Table'!C106=1,"",IF(Init!$R$9="Yes",(RT1SC!$C$3*'Staging Table'!F106*'Staging Table'!$F$2),X104))</f>
        <v>20634.580430496</v>
      </c>
      <c r="N104" s="169">
        <f>IF('Staging Table'!C106=1,"",IF(M104=0, 0, L104/M104))</f>
        <v>32.295004898083079</v>
      </c>
      <c r="O104" s="407">
        <f>'Staging Table'!BH106*Rates_current!$E$75*100*12</f>
        <v>856548.30527999997</v>
      </c>
      <c r="P104" s="407">
        <f>'Staging Table'!BH106*Rates_current!$E$76*100*12</f>
        <v>-120480.90096</v>
      </c>
      <c r="Q104" s="408"/>
      <c r="R104" s="408">
        <f>SUMPRODUCT('Staging Table'!CL106:CW106, LS_Demand_Rates_Restatement!$C$11:$N$11)*1000</f>
        <v>35402.259976112895</v>
      </c>
      <c r="S104" s="409"/>
      <c r="T104" s="409">
        <f>IF('Staging Table'!D106=1, 'Staging Table'!BJ106*-1*('Staging Table'!BH106/'Staging Table'!BG106),SUM(O104:S104)*'Staging Table'!BJ106*-1)</f>
        <v>-31678.163345914902</v>
      </c>
      <c r="U104" s="407">
        <f>'Staging Table'!BM106*Rates_current!$H$32*-1</f>
        <v>-48865.2696</v>
      </c>
      <c r="V104" s="407">
        <f>IF(Init!$R$12="No",0,'Staging Table'!$CY106)</f>
        <v>0</v>
      </c>
      <c r="W104" s="407">
        <f>IF('Staging Table'!C106=1,"",SUM(O104:U104)-V104)</f>
        <v>690926.23135019792</v>
      </c>
      <c r="X104" s="407">
        <f>IF('Staging Table'!C106=1,"",(RT1SC!$C$4*'Staging Table'!BH106*'Staging Table'!$BH$2))</f>
        <v>20453.349292751998</v>
      </c>
      <c r="Y104" s="169">
        <f>IF('Staging Table'!C106=1,"",IF(X104=0, 0, W104/X104))</f>
        <v>33.78059121080183</v>
      </c>
      <c r="Z104" s="160">
        <f ca="1">IF('Staging Table'!C106=1,"",(Y104/N104-1)+(RAND()/100000000000000))</f>
        <v>4.6000498139178177E-2</v>
      </c>
      <c r="AA104" s="97">
        <f t="shared" ca="1" si="1"/>
        <v>36</v>
      </c>
      <c r="AB104" s="397"/>
      <c r="AC104" s="397"/>
      <c r="AD104" s="397"/>
    </row>
    <row r="105" spans="2:30">
      <c r="B105" s="274">
        <v>10342</v>
      </c>
      <c r="C105" s="275" t="s">
        <v>108</v>
      </c>
      <c r="D105" s="407">
        <f>IF(Init!$R$9="Yes",'Staging Table'!F107,'Staging Table'!BH107)*Rates_previous!$E$75*100*12</f>
        <v>13220686.2564</v>
      </c>
      <c r="E105" s="407">
        <f>IF(Init!$R$9="Yes",'Staging Table'!F107,'Staging Table'!BH107)*Rates_previous!$E$76*100*12</f>
        <v>-1965393.9983999999</v>
      </c>
      <c r="F105" s="408"/>
      <c r="G105" s="408">
        <f>IF(Init!$R$9="Yes",SUMPRODUCT('Staging Table'!AJ107:AU107,LS_Demand_Rates_Restatement!$C$10:$N$10),SUMPRODUCT(LS_Demand_Rates_Restatement!$C$10:$N$10,'Staging Table'!CL107:CW107))*1000</f>
        <v>704938.44241562509</v>
      </c>
      <c r="H105" s="409"/>
      <c r="I105" s="409">
        <f>IF(Init!$R$9="Yes",IF('Staging Table'!D107=1,'Staging Table'!H107*-1*('Staging Table'!F107/'Staging Table'!E107),'Staging Table'!H107*SUM(D105:H105)*(-1)),IF('Staging Table'!D107=1,'Staging Table'!BJ107*-1*('Staging Table'!BH107/'Staging Table'!BG107),'Staging Table'!BJ107*SUM(D105:H105)*(-1)))</f>
        <v>0</v>
      </c>
      <c r="J105" s="407">
        <f>IF(Init!$R$9="Yes",'Staging Table'!K107,'Staging Table'!BM107)*(-1)*Rates_previous!$H$32</f>
        <v>0</v>
      </c>
      <c r="K105" s="407">
        <f>IF(Init!$R$12="No",0,'Staging Table'!$AW107)</f>
        <v>0</v>
      </c>
      <c r="L105" s="407">
        <f>IF('Staging Table'!C107=1,"",SUM(D105:J105)-K105)</f>
        <v>11960230.700415626</v>
      </c>
      <c r="M105" s="407">
        <f>IF('Staging Table'!C107=1,"",IF(Init!$R$9="Yes",(RT1SC!$C$3*'Staging Table'!F107*'Staging Table'!$F$2),X105))</f>
        <v>327613.83495623997</v>
      </c>
      <c r="N105" s="169">
        <f>IF('Staging Table'!C107=1,"",IF(M105=0, 0, L105/M105))</f>
        <v>36.507098981375982</v>
      </c>
      <c r="O105" s="407">
        <f>'Staging Table'!BH107*Rates_current!$E$75*100*12</f>
        <v>13716492.462719999</v>
      </c>
      <c r="P105" s="407">
        <f>'Staging Table'!BH107*Rates_current!$E$76*100*12</f>
        <v>-1929342.8750400001</v>
      </c>
      <c r="Q105" s="408"/>
      <c r="R105" s="408">
        <f>SUMPRODUCT('Staging Table'!CL107:CW107, LS_Demand_Rates_Restatement!$C$11:$N$11)*1000</f>
        <v>695652.69790205674</v>
      </c>
      <c r="S105" s="409"/>
      <c r="T105" s="409">
        <f>IF('Staging Table'!D107=1, 'Staging Table'!BJ107*-1*('Staging Table'!BH107/'Staging Table'!BG107),SUM(O105:S105)*'Staging Table'!BJ107*-1)</f>
        <v>0</v>
      </c>
      <c r="U105" s="407">
        <f>'Staging Table'!BM107*Rates_current!$H$32*-1</f>
        <v>0</v>
      </c>
      <c r="V105" s="407">
        <f>IF(Init!$R$12="No",0,'Staging Table'!$CY107)</f>
        <v>0</v>
      </c>
      <c r="W105" s="407">
        <f>IF('Staging Table'!C107=1,"",SUM(O105:U105)-V105)</f>
        <v>12482802.285582056</v>
      </c>
      <c r="X105" s="407">
        <f>IF('Staging Table'!C107=1,"",(RT1SC!$C$4*'Staging Table'!BH107*'Staging Table'!$BH$2))</f>
        <v>327533.43819844798</v>
      </c>
      <c r="Y105" s="169">
        <f>IF('Staging Table'!C107=1,"",IF(X105=0, 0, W105/X105))</f>
        <v>38.111535586235014</v>
      </c>
      <c r="Z105" s="160">
        <f ca="1">IF('Staging Table'!C107=1,"",(Y105/N105-1)+(RAND()/100000000000000))</f>
        <v>4.3948619573353984E-2</v>
      </c>
      <c r="AA105" s="97">
        <f t="shared" ca="1" si="1"/>
        <v>58</v>
      </c>
      <c r="AB105" s="397"/>
      <c r="AC105" s="397"/>
      <c r="AD105" s="397"/>
    </row>
    <row r="106" spans="2:30">
      <c r="B106" s="274">
        <v>10343</v>
      </c>
      <c r="C106" s="275" t="s">
        <v>109</v>
      </c>
      <c r="D106" s="407">
        <f>IF(Init!$R$9="Yes",'Staging Table'!F108,'Staging Table'!BH108)*Rates_previous!$E$75*100*12</f>
        <v>4336018.7446799995</v>
      </c>
      <c r="E106" s="407">
        <f>IF(Init!$R$9="Yes",'Staging Table'!F108,'Staging Table'!BH108)*Rates_previous!$E$76*100*12</f>
        <v>-644594.77008000005</v>
      </c>
      <c r="F106" s="408"/>
      <c r="G106" s="408">
        <f>IF(Init!$R$9="Yes",SUMPRODUCT('Staging Table'!AJ108:AU108,LS_Demand_Rates_Restatement!$C$10:$N$10),SUMPRODUCT(LS_Demand_Rates_Restatement!$C$10:$N$10,'Staging Table'!CL108:CW108))*1000</f>
        <v>0</v>
      </c>
      <c r="H106" s="409"/>
      <c r="I106" s="409">
        <f>IF(Init!$R$9="Yes",IF('Staging Table'!D108=1,'Staging Table'!H108*-1*('Staging Table'!F108/'Staging Table'!E108),'Staging Table'!H108*SUM(D106:H106)*(-1)),IF('Staging Table'!D108=1,'Staging Table'!BJ108*-1*('Staging Table'!BH108/'Staging Table'!BG108),'Staging Table'!BJ108*SUM(D106:H106)*(-1)))</f>
        <v>-203028.31860299996</v>
      </c>
      <c r="J106" s="407">
        <f>IF(Init!$R$9="Yes",'Staging Table'!K108,'Staging Table'!BM108)*(-1)*Rates_previous!$H$32</f>
        <v>-123651.62996999999</v>
      </c>
      <c r="K106" s="407">
        <f>IF(Init!$R$12="No",0,'Staging Table'!$AW108)</f>
        <v>0</v>
      </c>
      <c r="L106" s="407">
        <f>IF('Staging Table'!C108=1,"",SUM(D106:J106)-K106)</f>
        <v>3364744.0260269991</v>
      </c>
      <c r="M106" s="407">
        <f>IF('Staging Table'!C108=1,"",IF(Init!$R$9="Yes",(RT1SC!$C$3*'Staging Table'!F108*'Staging Table'!$F$2),X106))</f>
        <v>107448.25963168799</v>
      </c>
      <c r="N106" s="169">
        <f>IF('Staging Table'!C108=1,"",IF(M106=0, 0, L106/M106))</f>
        <v>31.315016525727785</v>
      </c>
      <c r="O106" s="407">
        <f>'Staging Table'!BH108*Rates_current!$E$75*100*12</f>
        <v>4169367.3456000006</v>
      </c>
      <c r="P106" s="407">
        <f>'Staging Table'!BH108*Rates_current!$E$76*100*12</f>
        <v>-586457.44920000003</v>
      </c>
      <c r="Q106" s="408"/>
      <c r="R106" s="408">
        <f>SUMPRODUCT('Staging Table'!CL108:CW108, LS_Demand_Rates_Restatement!$C$11:$N$11)*1000</f>
        <v>0</v>
      </c>
      <c r="S106" s="409"/>
      <c r="T106" s="409">
        <f>IF('Staging Table'!D108=1, 'Staging Table'!BJ108*-1*('Staging Table'!BH108/'Staging Table'!BG108),SUM(O106:S106)*'Staging Table'!BJ108*-1)</f>
        <v>-214974.59378400003</v>
      </c>
      <c r="U106" s="407">
        <f>'Staging Table'!BM108*Rates_current!$H$32*-1</f>
        <v>-123546.57335999999</v>
      </c>
      <c r="V106" s="407">
        <f>IF(Init!$R$12="No",0,'Staging Table'!$CY108)</f>
        <v>0</v>
      </c>
      <c r="W106" s="407">
        <f>IF('Staging Table'!C108=1,"",SUM(O106:U106)-V106)</f>
        <v>3244388.7292560004</v>
      </c>
      <c r="X106" s="407">
        <f>IF('Staging Table'!C108=1,"",(RT1SC!$C$4*'Staging Table'!BH108*'Staging Table'!$BH$2))</f>
        <v>99559.506596039995</v>
      </c>
      <c r="Y106" s="169">
        <f>IF('Staging Table'!C108=1,"",IF(X106=0, 0, W106/X106))</f>
        <v>32.587432784495604</v>
      </c>
      <c r="Z106" s="160">
        <f ca="1">IF('Staging Table'!C108=1,"",(Y106/N106-1)+(RAND()/100000000000000))</f>
        <v>4.0632782605194831E-2</v>
      </c>
      <c r="AA106" s="97">
        <f t="shared" ca="1" si="1"/>
        <v>101</v>
      </c>
      <c r="AB106" s="397"/>
      <c r="AC106" s="397"/>
      <c r="AD106" s="397"/>
    </row>
    <row r="107" spans="2:30">
      <c r="B107" s="274">
        <v>10349</v>
      </c>
      <c r="C107" s="275" t="s">
        <v>110</v>
      </c>
      <c r="D107" s="407">
        <f>IF(Init!$R$9="Yes",'Staging Table'!F109,'Staging Table'!BH109)*Rates_previous!$E$75*100*12</f>
        <v>180262237.74552</v>
      </c>
      <c r="E107" s="407">
        <f>IF(Init!$R$9="Yes",'Staging Table'!F109,'Staging Table'!BH109)*Rates_previous!$E$76*100*12</f>
        <v>-26797876.701119997</v>
      </c>
      <c r="F107" s="408"/>
      <c r="G107" s="408">
        <f>IF(Init!$R$9="Yes",SUMPRODUCT('Staging Table'!AJ109:AU109,LS_Demand_Rates_Restatement!$C$10:$N$10),SUMPRODUCT(LS_Demand_Rates_Restatement!$C$10:$N$10,'Staging Table'!CL109:CW109))*1000</f>
        <v>0</v>
      </c>
      <c r="H107" s="409"/>
      <c r="I107" s="409">
        <f>IF(Init!$R$9="Yes",IF('Staging Table'!D109=1,'Staging Table'!H109*-1*('Staging Table'!F109/'Staging Table'!E109),'Staging Table'!H109*SUM(D107:H107)*(-1)),IF('Staging Table'!D109=1,'Staging Table'!BJ109*-1*('Staging Table'!BH109/'Staging Table'!BG109),'Staging Table'!BJ109*SUM(D107:H107)*(-1)))</f>
        <v>0</v>
      </c>
      <c r="J107" s="407">
        <f>IF(Init!$R$9="Yes",'Staging Table'!K109,'Staging Table'!BM109)*(-1)*Rates_previous!$H$32</f>
        <v>0</v>
      </c>
      <c r="K107" s="407">
        <f>IF(Init!$R$12="No",0,'Staging Table'!$AW109)</f>
        <v>0</v>
      </c>
      <c r="L107" s="407">
        <f>IF('Staging Table'!C109=1,"",SUM(D107:J107)-K107)</f>
        <v>153464361.04440001</v>
      </c>
      <c r="M107" s="407">
        <f>IF('Staging Table'!C109=1,"",IF(Init!$R$9="Yes",(RT1SC!$C$3*'Staging Table'!F109*'Staging Table'!$F$2),X107))</f>
        <v>4466969.5551556321</v>
      </c>
      <c r="N107" s="169">
        <f>IF('Staging Table'!C109=1,"",IF(M107=0, 0, L107/M107))</f>
        <v>34.355363104563004</v>
      </c>
      <c r="O107" s="407">
        <f>'Staging Table'!BH109*Rates_current!$E$75*100*12</f>
        <v>187406246.99519998</v>
      </c>
      <c r="P107" s="407">
        <f>'Staging Table'!BH109*Rates_current!$E$76*100*12</f>
        <v>-26360303.726400003</v>
      </c>
      <c r="Q107" s="408"/>
      <c r="R107" s="408">
        <f>SUMPRODUCT('Staging Table'!CL109:CW109, LS_Demand_Rates_Restatement!$C$11:$N$11)*1000</f>
        <v>0</v>
      </c>
      <c r="S107" s="409"/>
      <c r="T107" s="409">
        <f>IF('Staging Table'!D109=1, 'Staging Table'!BJ109*-1*('Staging Table'!BH109/'Staging Table'!BG109),SUM(O107:S107)*'Staging Table'!BJ109*-1)</f>
        <v>0</v>
      </c>
      <c r="U107" s="407">
        <f>'Staging Table'!BM109*Rates_current!$H$32*-1</f>
        <v>0</v>
      </c>
      <c r="V107" s="407">
        <f>IF(Init!$R$12="No",0,'Staging Table'!$CY109)</f>
        <v>0</v>
      </c>
      <c r="W107" s="407">
        <f>IF('Staging Table'!C109=1,"",SUM(O107:U107)-V107)</f>
        <v>161045943.26879996</v>
      </c>
      <c r="X107" s="407">
        <f>IF('Staging Table'!C109=1,"",(RT1SC!$C$4*'Staging Table'!BH109*'Staging Table'!$BH$2))</f>
        <v>4475037.0829156796</v>
      </c>
      <c r="Y107" s="169">
        <f>IF('Staging Table'!C109=1,"",IF(X107=0, 0, W107/X107))</f>
        <v>35.987622065440313</v>
      </c>
      <c r="Z107" s="160">
        <f ca="1">IF('Staging Table'!C109=1,"",(Y107/N107-1)+(RAND()/100000000000000))</f>
        <v>4.751103796835654E-2</v>
      </c>
      <c r="AA107" s="97">
        <f t="shared" ca="1" si="1"/>
        <v>22</v>
      </c>
      <c r="AB107" s="397"/>
      <c r="AC107" s="397"/>
      <c r="AD107" s="397"/>
    </row>
    <row r="108" spans="2:30">
      <c r="B108" s="274">
        <v>10352</v>
      </c>
      <c r="C108" s="275" t="s">
        <v>111</v>
      </c>
      <c r="D108" s="407">
        <f>IF(Init!$R$9="Yes",'Staging Table'!F110,'Staging Table'!BH110)*Rates_previous!$E$75*100*12</f>
        <v>5451398.1169199999</v>
      </c>
      <c r="E108" s="407">
        <f>IF(Init!$R$9="Yes",'Staging Table'!F110,'Staging Table'!BH110)*Rates_previous!$E$76*100*12</f>
        <v>-810407.63951999997</v>
      </c>
      <c r="F108" s="408"/>
      <c r="G108" s="408">
        <f>IF(Init!$R$9="Yes",SUMPRODUCT('Staging Table'!AJ110:AU110,LS_Demand_Rates_Restatement!$C$10:$N$10),SUMPRODUCT(LS_Demand_Rates_Restatement!$C$10:$N$10,'Staging Table'!CL110:CW110))*1000</f>
        <v>255961.1520086182</v>
      </c>
      <c r="H108" s="409"/>
      <c r="I108" s="409">
        <f>IF(Init!$R$9="Yes",IF('Staging Table'!D110=1,'Staging Table'!H110*-1*('Staging Table'!F110/'Staging Table'!E110),'Staging Table'!H110*SUM(D108:H108)*(-1)),IF('Staging Table'!D110=1,'Staging Table'!BJ110*-1*('Staging Table'!BH110/'Staging Table'!BG110),'Staging Table'!BJ110*SUM(D108:H108)*(-1)))</f>
        <v>-293817.09776451712</v>
      </c>
      <c r="J108" s="407">
        <f>IF(Init!$R$9="Yes",'Staging Table'!K110,'Staging Table'!BM110)*(-1)*Rates_previous!$H$32</f>
        <v>0</v>
      </c>
      <c r="K108" s="407">
        <f>IF(Init!$R$12="No",0,'Staging Table'!$AW110)</f>
        <v>0</v>
      </c>
      <c r="L108" s="407">
        <f>IF('Staging Table'!C110=1,"",SUM(D108:J108)-K108)</f>
        <v>4603134.5316441013</v>
      </c>
      <c r="M108" s="407">
        <f>IF('Staging Table'!C110=1,"",IF(Init!$R$9="Yes",(RT1SC!$C$3*'Staging Table'!F110*'Staging Table'!$F$2),X108))</f>
        <v>135087.801670872</v>
      </c>
      <c r="N108" s="169">
        <f>IF('Staging Table'!C110=1,"",IF(M108=0, 0, L108/M108))</f>
        <v>34.075130949715067</v>
      </c>
      <c r="O108" s="407">
        <f>'Staging Table'!BH110*Rates_current!$E$75*100*12</f>
        <v>5593805.6486399993</v>
      </c>
      <c r="P108" s="407">
        <f>'Staging Table'!BH110*Rates_current!$E$76*100*12</f>
        <v>-786816.97247999988</v>
      </c>
      <c r="Q108" s="408"/>
      <c r="R108" s="408">
        <f>SUMPRODUCT('Staging Table'!CL110:CW110, LS_Demand_Rates_Restatement!$C$11:$N$11)*1000</f>
        <v>240692.39678673435</v>
      </c>
      <c r="S108" s="409"/>
      <c r="T108" s="409">
        <f>IF('Staging Table'!D110=1, 'Staging Table'!BJ110*-1*('Staging Table'!BH110/'Staging Table'!BG110),SUM(O108:S108)*'Staging Table'!BJ110*-1)</f>
        <v>-227145.64828260301</v>
      </c>
      <c r="U108" s="407">
        <f>'Staging Table'!BM110*Rates_current!$H$32*-1</f>
        <v>0</v>
      </c>
      <c r="V108" s="407">
        <f>IF(Init!$R$12="No",0,'Staging Table'!$CY110)</f>
        <v>0</v>
      </c>
      <c r="W108" s="407">
        <f>IF('Staging Table'!C110=1,"",SUM(O108:U108)-V108)</f>
        <v>4820535.4246641304</v>
      </c>
      <c r="X108" s="407">
        <f>IF('Staging Table'!C110=1,"",(RT1SC!$C$4*'Staging Table'!BH110*'Staging Table'!$BH$2))</f>
        <v>133573.38996777599</v>
      </c>
      <c r="Y108" s="169">
        <f>IF('Staging Table'!C110=1,"",IF(X108=0, 0, W108/X108))</f>
        <v>36.089040083710266</v>
      </c>
      <c r="Z108" s="160">
        <f ca="1">IF('Staging Table'!C110=1,"",(Y108/N108-1)+(RAND()/100000000000000))</f>
        <v>5.9102021851874027E-2</v>
      </c>
      <c r="AA108" s="97">
        <f t="shared" ca="1" si="1"/>
        <v>2</v>
      </c>
      <c r="AB108" s="397"/>
      <c r="AC108" s="397"/>
      <c r="AD108" s="397"/>
    </row>
    <row r="109" spans="2:30">
      <c r="B109" s="274">
        <v>10354</v>
      </c>
      <c r="C109" s="275" t="s">
        <v>112</v>
      </c>
      <c r="D109" s="407">
        <f>IF(Init!$R$9="Yes",'Staging Table'!F111,'Staging Table'!BH111)*Rates_previous!$E$75*100*12</f>
        <v>138883049.21484002</v>
      </c>
      <c r="E109" s="407">
        <f>IF(Init!$R$9="Yes",'Staging Table'!F111,'Staging Table'!BH111)*Rates_previous!$E$76*100*12</f>
        <v>-20646425.31504</v>
      </c>
      <c r="F109" s="408"/>
      <c r="G109" s="408">
        <f>IF(Init!$R$9="Yes",SUMPRODUCT('Staging Table'!AJ111:AU111,LS_Demand_Rates_Restatement!$C$10:$N$10),SUMPRODUCT(LS_Demand_Rates_Restatement!$C$10:$N$10,'Staging Table'!CL111:CW111))*1000</f>
        <v>0</v>
      </c>
      <c r="H109" s="409"/>
      <c r="I109" s="409">
        <f>IF(Init!$R$9="Yes",IF('Staging Table'!D111=1,'Staging Table'!H111*-1*('Staging Table'!F111/'Staging Table'!E111),'Staging Table'!H111*SUM(D109:H109)*(-1)),IF('Staging Table'!D111=1,'Staging Table'!BJ111*-1*('Staging Table'!BH111/'Staging Table'!BG111),'Staging Table'!BJ111*SUM(D109:H109)*(-1)))</f>
        <v>0</v>
      </c>
      <c r="J109" s="407">
        <f>IF(Init!$R$9="Yes",'Staging Table'!K111,'Staging Table'!BM111)*(-1)*Rates_previous!$H$32</f>
        <v>0</v>
      </c>
      <c r="K109" s="407">
        <f>IF(Init!$R$12="No",0,'Staging Table'!$AW111)</f>
        <v>0</v>
      </c>
      <c r="L109" s="407">
        <f>IF('Staging Table'!C111=1,"",SUM(D109:J109)-K109)</f>
        <v>118236623.89980003</v>
      </c>
      <c r="M109" s="407">
        <f>IF('Staging Table'!C111=1,"",IF(Init!$R$9="Yes",(RT1SC!$C$3*'Staging Table'!F111*'Staging Table'!$F$2),X109))</f>
        <v>3441576.8955763448</v>
      </c>
      <c r="N109" s="169">
        <f>IF('Staging Table'!C111=1,"",IF(M109=0, 0, L109/M109))</f>
        <v>34.355363104563004</v>
      </c>
      <c r="O109" s="407">
        <f>'Staging Table'!BH111*Rates_current!$E$75*100*12</f>
        <v>145425953.4192</v>
      </c>
      <c r="P109" s="407">
        <f>'Staging Table'!BH111*Rates_current!$E$76*100*12</f>
        <v>-20455413.644400001</v>
      </c>
      <c r="Q109" s="408"/>
      <c r="R109" s="408">
        <f>SUMPRODUCT('Staging Table'!CL111:CW111, LS_Demand_Rates_Restatement!$C$11:$N$11)*1000</f>
        <v>0</v>
      </c>
      <c r="S109" s="409"/>
      <c r="T109" s="409">
        <f>IF('Staging Table'!D111=1, 'Staging Table'!BJ111*-1*('Staging Table'!BH111/'Staging Table'!BG111),SUM(O109:S109)*'Staging Table'!BJ111*-1)</f>
        <v>0</v>
      </c>
      <c r="U109" s="407">
        <f>'Staging Table'!BM111*Rates_current!$H$32*-1</f>
        <v>0</v>
      </c>
      <c r="V109" s="407">
        <f>IF(Init!$R$12="No",0,'Staging Table'!$CY111)</f>
        <v>0</v>
      </c>
      <c r="W109" s="407">
        <f>IF('Staging Table'!C111=1,"",SUM(O109:U109)-V109)</f>
        <v>124970539.7748</v>
      </c>
      <c r="X109" s="407">
        <f>IF('Staging Table'!C111=1,"",(RT1SC!$C$4*'Staging Table'!BH111*'Staging Table'!$BH$2))</f>
        <v>3472597.87122228</v>
      </c>
      <c r="Y109" s="169">
        <f>IF('Staging Table'!C111=1,"",IF(X109=0, 0, W109/X109))</f>
        <v>35.98762206544032</v>
      </c>
      <c r="Z109" s="160">
        <f ca="1">IF('Staging Table'!C111=1,"",(Y109/N109-1)+(RAND()/100000000000000))</f>
        <v>4.7511037968354673E-2</v>
      </c>
      <c r="AA109" s="97">
        <f t="shared" ca="1" si="1"/>
        <v>23</v>
      </c>
      <c r="AB109" s="397"/>
      <c r="AC109" s="397"/>
      <c r="AD109" s="397"/>
    </row>
    <row r="110" spans="2:30">
      <c r="B110" s="274">
        <v>10360</v>
      </c>
      <c r="C110" s="275" t="s">
        <v>113</v>
      </c>
      <c r="D110" s="407">
        <f>IF(Init!$R$9="Yes",'Staging Table'!F112,'Staging Table'!BH112)*Rates_previous!$E$75*100*12</f>
        <v>2374574.8597200001</v>
      </c>
      <c r="E110" s="407">
        <f>IF(Init!$R$9="Yes",'Staging Table'!F112,'Staging Table'!BH112)*Rates_previous!$E$76*100*12</f>
        <v>-353005.51632</v>
      </c>
      <c r="F110" s="408"/>
      <c r="G110" s="408">
        <f>IF(Init!$R$9="Yes",SUMPRODUCT('Staging Table'!AJ112:AU112,LS_Demand_Rates_Restatement!$C$10:$N$10),SUMPRODUCT(LS_Demand_Rates_Restatement!$C$10:$N$10,'Staging Table'!CL112:CW112))*1000</f>
        <v>129616.39409408832</v>
      </c>
      <c r="H110" s="409"/>
      <c r="I110" s="409">
        <f>IF(Init!$R$9="Yes",IF('Staging Table'!D112=1,'Staging Table'!H112*-1*('Staging Table'!F112/'Staging Table'!E112),'Staging Table'!H112*SUM(D110:H110)*(-1)),IF('Staging Table'!D112=1,'Staging Table'!BJ112*-1*('Staging Table'!BH112/'Staging Table'!BG112),'Staging Table'!BJ112*SUM(D110:H110)*(-1)))</f>
        <v>-104999.37584708644</v>
      </c>
      <c r="J110" s="407">
        <f>IF(Init!$R$9="Yes",'Staging Table'!K112,'Staging Table'!BM112)*(-1)*Rates_previous!$H$32</f>
        <v>-235509.93179999999</v>
      </c>
      <c r="K110" s="407">
        <f>IF(Init!$R$12="No",0,'Staging Table'!$AW112)</f>
        <v>0</v>
      </c>
      <c r="L110" s="407">
        <f>IF('Staging Table'!C112=1,"",SUM(D110:J110)-K110)</f>
        <v>1810676.4298470018</v>
      </c>
      <c r="M110" s="407">
        <f>IF('Staging Table'!C112=1,"",IF(Init!$R$9="Yes",(RT1SC!$C$3*'Staging Table'!F112*'Staging Table'!$F$2),X110))</f>
        <v>58842.904301351999</v>
      </c>
      <c r="N110" s="169">
        <f>IF('Staging Table'!C112=1,"",IF(M110=0, 0, L110/M110))</f>
        <v>30.771364047124351</v>
      </c>
      <c r="O110" s="407">
        <f>'Staging Table'!BH112*Rates_current!$E$75*100*12</f>
        <v>2442258.1958400002</v>
      </c>
      <c r="P110" s="407">
        <f>'Staging Table'!BH112*Rates_current!$E$76*100*12</f>
        <v>-343524.66287999996</v>
      </c>
      <c r="Q110" s="408"/>
      <c r="R110" s="408">
        <f>SUMPRODUCT('Staging Table'!CL112:CW112, LS_Demand_Rates_Restatement!$C$11:$N$11)*1000</f>
        <v>123262.52731915066</v>
      </c>
      <c r="S110" s="409"/>
      <c r="T110" s="409">
        <f>IF('Staging Table'!D112=1, 'Staging Table'!BJ112*-1*('Staging Table'!BH112/'Staging Table'!BG112),SUM(O110:S110)*'Staging Table'!BJ112*-1)</f>
        <v>-104616.06056677074</v>
      </c>
      <c r="U110" s="407">
        <f>'Staging Table'!BM112*Rates_current!$H$32*-1</f>
        <v>-235309.83840000001</v>
      </c>
      <c r="V110" s="407">
        <f>IF(Init!$R$12="No",0,'Staging Table'!$CY112)</f>
        <v>0</v>
      </c>
      <c r="W110" s="407">
        <f>IF('Staging Table'!C112=1,"",SUM(O110:U110)-V110)</f>
        <v>1882070.1613123801</v>
      </c>
      <c r="X110" s="407">
        <f>IF('Staging Table'!C112=1,"",(RT1SC!$C$4*'Staging Table'!BH112*'Staging Table'!$BH$2))</f>
        <v>58318.205330256002</v>
      </c>
      <c r="Y110" s="169">
        <f>IF('Staging Table'!C112=1,"",IF(X110=0, 0, W110/X110))</f>
        <v>32.272429349535308</v>
      </c>
      <c r="Z110" s="160">
        <f ca="1">IF('Staging Table'!C112=1,"",(Y110/N110-1)+(RAND()/100000000000000))</f>
        <v>4.8781240250259525E-2</v>
      </c>
      <c r="AA110" s="97">
        <f t="shared" ca="1" si="1"/>
        <v>15</v>
      </c>
      <c r="AB110" s="397"/>
      <c r="AC110" s="397"/>
      <c r="AD110" s="397"/>
    </row>
    <row r="111" spans="2:30">
      <c r="B111" s="274">
        <v>10363</v>
      </c>
      <c r="C111" s="275" t="s">
        <v>114</v>
      </c>
      <c r="D111" s="407">
        <f>IF(Init!$R$9="Yes",'Staging Table'!F113,'Staging Table'!BH113)*Rates_previous!$E$75*100*12</f>
        <v>32345259.19884</v>
      </c>
      <c r="E111" s="407">
        <f>IF(Init!$R$9="Yes",'Staging Table'!F113,'Staging Table'!BH113)*Rates_previous!$E$76*100*12</f>
        <v>-4808462.8190399995</v>
      </c>
      <c r="F111" s="408"/>
      <c r="G111" s="408">
        <f>IF(Init!$R$9="Yes",SUMPRODUCT('Staging Table'!AJ113:AU113,LS_Demand_Rates_Restatement!$C$10:$N$10),SUMPRODUCT(LS_Demand_Rates_Restatement!$C$10:$N$10,'Staging Table'!CL113:CW113))*1000</f>
        <v>1417330.8153726496</v>
      </c>
      <c r="H111" s="409"/>
      <c r="I111" s="409">
        <f>IF(Init!$R$9="Yes",IF('Staging Table'!D113=1,'Staging Table'!H113*-1*('Staging Table'!F113/'Staging Table'!E113),'Staging Table'!H113*SUM(D111:H111)*(-1)),IF('Staging Table'!D113=1,'Staging Table'!BJ113*-1*('Staging Table'!BH113/'Staging Table'!BG113),'Staging Table'!BJ113*SUM(D111:H111)*(-1)))</f>
        <v>0</v>
      </c>
      <c r="J111" s="407">
        <f>IF(Init!$R$9="Yes",'Staging Table'!K113,'Staging Table'!BM113)*(-1)*Rates_previous!$H$32</f>
        <v>0</v>
      </c>
      <c r="K111" s="407">
        <f>IF(Init!$R$12="No",0,'Staging Table'!$AW113)</f>
        <v>0</v>
      </c>
      <c r="L111" s="407">
        <f>IF('Staging Table'!C113=1,"",SUM(D111:J111)-K111)</f>
        <v>28954127.195172649</v>
      </c>
      <c r="M111" s="407">
        <f>IF('Staging Table'!C113=1,"",IF(Init!$R$9="Yes",(RT1SC!$C$3*'Staging Table'!F113*'Staging Table'!$F$2),X111))</f>
        <v>801528.31731074397</v>
      </c>
      <c r="N111" s="169">
        <f>IF('Staging Table'!C113=1,"",IF(M111=0, 0, L111/M111))</f>
        <v>36.123648497308729</v>
      </c>
      <c r="O111" s="407">
        <f>'Staging Table'!BH113*Rates_current!$E$75*100*12</f>
        <v>34626513.003839999</v>
      </c>
      <c r="P111" s="407">
        <f>'Staging Table'!BH113*Rates_current!$E$76*100*12</f>
        <v>-4870517.4688799996</v>
      </c>
      <c r="Q111" s="408"/>
      <c r="R111" s="408">
        <f>SUMPRODUCT('Staging Table'!CL113:CW113, LS_Demand_Rates_Restatement!$C$11:$N$11)*1000</f>
        <v>1329159.2755195599</v>
      </c>
      <c r="S111" s="409"/>
      <c r="T111" s="409">
        <f>IF('Staging Table'!D113=1, 'Staging Table'!BJ113*-1*('Staging Table'!BH113/'Staging Table'!BG113),SUM(O111:S111)*'Staging Table'!BJ113*-1)</f>
        <v>0</v>
      </c>
      <c r="U111" s="407">
        <f>'Staging Table'!BM113*Rates_current!$H$32*-1</f>
        <v>0</v>
      </c>
      <c r="V111" s="407">
        <f>IF(Init!$R$12="No",0,'Staging Table'!$CY113)</f>
        <v>0</v>
      </c>
      <c r="W111" s="407">
        <f>IF('Staging Table'!C113=1,"",SUM(O111:U111)-V111)</f>
        <v>31085154.810479563</v>
      </c>
      <c r="X111" s="407">
        <f>IF('Staging Table'!C113=1,"",(RT1SC!$C$4*'Staging Table'!BH113*'Staging Table'!$BH$2))</f>
        <v>826839.7250824559</v>
      </c>
      <c r="Y111" s="169">
        <f>IF('Staging Table'!C113=1,"",IF(X111=0, 0, W111/X111))</f>
        <v>37.59513950225314</v>
      </c>
      <c r="Z111" s="160">
        <f ca="1">IF('Staging Table'!C113=1,"",(Y111/N111-1)+(RAND()/100000000000000))</f>
        <v>4.0734838981016659E-2</v>
      </c>
      <c r="AA111" s="97">
        <f t="shared" ca="1" si="1"/>
        <v>98</v>
      </c>
      <c r="AB111" s="397"/>
      <c r="AC111" s="397"/>
      <c r="AD111" s="397"/>
    </row>
    <row r="112" spans="2:30">
      <c r="B112" s="274">
        <v>10369</v>
      </c>
      <c r="C112" s="275" t="s">
        <v>115</v>
      </c>
      <c r="D112" s="407">
        <f>IF(Init!$R$9="Yes",'Staging Table'!F114,'Staging Table'!BH114)*Rates_previous!$E$75*100*12</f>
        <v>5732842.0464000003</v>
      </c>
      <c r="E112" s="407">
        <f>IF(Init!$R$9="Yes",'Staging Table'!F114,'Staging Table'!BH114)*Rates_previous!$E$76*100*12</f>
        <v>-852247.23839999991</v>
      </c>
      <c r="F112" s="408"/>
      <c r="G112" s="408">
        <f>IF(Init!$R$9="Yes",SUMPRODUCT('Staging Table'!AJ114:AU114,LS_Demand_Rates_Restatement!$C$10:$N$10),SUMPRODUCT(LS_Demand_Rates_Restatement!$C$10:$N$10,'Staging Table'!CL114:CW114))*1000</f>
        <v>356753.68050996261</v>
      </c>
      <c r="H112" s="409"/>
      <c r="I112" s="409">
        <f>IF(Init!$R$9="Yes",IF('Staging Table'!D114=1,'Staging Table'!H114*-1*('Staging Table'!F114/'Staging Table'!E114),'Staging Table'!H114*SUM(D112:H112)*(-1)),IF('Staging Table'!D114=1,'Staging Table'!BJ114*-1*('Staging Table'!BH114/'Staging Table'!BG114),'Staging Table'!BJ114*SUM(D112:H112)*(-1)))</f>
        <v>-366614.39419569739</v>
      </c>
      <c r="J112" s="407">
        <f>IF(Init!$R$9="Yes",'Staging Table'!K114,'Staging Table'!BM114)*(-1)*Rates_previous!$H$32</f>
        <v>-543902.30477000005</v>
      </c>
      <c r="K112" s="407">
        <f>IF(Init!$R$12="No",0,'Staging Table'!$AW114)</f>
        <v>0</v>
      </c>
      <c r="L112" s="407">
        <f>IF('Staging Table'!C114=1,"",SUM(D112:J112)-K112)</f>
        <v>4326831.7895442648</v>
      </c>
      <c r="M112" s="407">
        <f>IF('Staging Table'!C114=1,"",IF(Init!$R$9="Yes",(RT1SC!$C$3*'Staging Table'!F114*'Staging Table'!$F$2),X112))</f>
        <v>142062.09357023999</v>
      </c>
      <c r="N112" s="169">
        <f>IF('Staging Table'!C114=1,"",IF(M112=0, 0, L112/M112))</f>
        <v>30.457328065526095</v>
      </c>
      <c r="O112" s="407">
        <f>'Staging Table'!BH114*Rates_current!$E$75*100*12</f>
        <v>5931380.4566400005</v>
      </c>
      <c r="P112" s="407">
        <f>'Staging Table'!BH114*Rates_current!$E$76*100*12</f>
        <v>-834299.77847999986</v>
      </c>
      <c r="Q112" s="408"/>
      <c r="R112" s="408">
        <f>SUMPRODUCT('Staging Table'!CL114:CW114, LS_Demand_Rates_Restatement!$C$11:$N$11)*1000</f>
        <v>333888.976002938</v>
      </c>
      <c r="S112" s="409"/>
      <c r="T112" s="409">
        <f>IF('Staging Table'!D114=1, 'Staging Table'!BJ114*-1*('Staging Table'!BH114/'Staging Table'!BG114),SUM(O112:S112)*'Staging Table'!BJ114*-1)</f>
        <v>-396791.99059747474</v>
      </c>
      <c r="U112" s="407">
        <f>'Staging Table'!BM114*Rates_current!$H$32*-1</f>
        <v>-543440.19576000003</v>
      </c>
      <c r="V112" s="407">
        <f>IF(Init!$R$12="No",0,'Staging Table'!$CY114)</f>
        <v>0</v>
      </c>
      <c r="W112" s="407">
        <f>IF('Staging Table'!C114=1,"",SUM(O112:U112)-V112)</f>
        <v>4490737.4678054638</v>
      </c>
      <c r="X112" s="407">
        <f>IF('Staging Table'!C114=1,"",(RT1SC!$C$4*'Staging Table'!BH114*'Staging Table'!$BH$2))</f>
        <v>141634.272719976</v>
      </c>
      <c r="Y112" s="169">
        <f>IF('Staging Table'!C114=1,"",IF(X112=0, 0, W112/X112))</f>
        <v>31.706573427210415</v>
      </c>
      <c r="Z112" s="160">
        <f ca="1">IF('Staging Table'!C114=1,"",(Y112/N112-1)+(RAND()/100000000000000))</f>
        <v>4.1016249324201032E-2</v>
      </c>
      <c r="AA112" s="97">
        <f t="shared" ca="1" si="1"/>
        <v>96</v>
      </c>
      <c r="AB112" s="397"/>
      <c r="AC112" s="397"/>
      <c r="AD112" s="397"/>
    </row>
    <row r="113" spans="2:30">
      <c r="B113" s="274">
        <v>10370</v>
      </c>
      <c r="C113" s="275" t="s">
        <v>116</v>
      </c>
      <c r="D113" s="407">
        <f>IF(Init!$R$9="Yes",'Staging Table'!F115,'Staging Table'!BH115)*Rates_previous!$E$75*100*12</f>
        <v>59270804.381879993</v>
      </c>
      <c r="E113" s="407">
        <f>IF(Init!$R$9="Yes",'Staging Table'!F115,'Staging Table'!BH115)*Rates_previous!$E$76*100*12</f>
        <v>-8811228.173279997</v>
      </c>
      <c r="F113" s="408"/>
      <c r="G113" s="408">
        <f>IF(Init!$R$9="Yes",SUMPRODUCT('Staging Table'!AJ115:AU115,LS_Demand_Rates_Restatement!$C$10:$N$10),SUMPRODUCT(LS_Demand_Rates_Restatement!$C$10:$N$10,'Staging Table'!CL115:CW115))*1000</f>
        <v>0</v>
      </c>
      <c r="H113" s="409"/>
      <c r="I113" s="409">
        <f>IF(Init!$R$9="Yes",IF('Staging Table'!D115=1,'Staging Table'!H115*-1*('Staging Table'!F115/'Staging Table'!E115),'Staging Table'!H115*SUM(D113:H113)*(-1)),IF('Staging Table'!D115=1,'Staging Table'!BJ115*-1*('Staging Table'!BH115/'Staging Table'!BG115),'Staging Table'!BJ115*SUM(D113:H113)*(-1)))</f>
        <v>0</v>
      </c>
      <c r="J113" s="407">
        <f>IF(Init!$R$9="Yes",'Staging Table'!K115,'Staging Table'!BM115)*(-1)*Rates_previous!$H$32</f>
        <v>0</v>
      </c>
      <c r="K113" s="407">
        <f>IF(Init!$R$12="No",0,'Staging Table'!$AW115)</f>
        <v>0</v>
      </c>
      <c r="L113" s="407">
        <f>IF('Staging Table'!C115=1,"",SUM(D113:J113)-K113)</f>
        <v>50459576.2086</v>
      </c>
      <c r="M113" s="407">
        <f>IF('Staging Table'!C115=1,"",IF(Init!$R$9="Yes",(RT1SC!$C$3*'Staging Table'!F115*'Staging Table'!$F$2),X113))</f>
        <v>1468753.9775092078</v>
      </c>
      <c r="N113" s="169">
        <f>IF('Staging Table'!C115=1,"",IF(M113=0, 0, L113/M113))</f>
        <v>34.355363104563004</v>
      </c>
      <c r="O113" s="407">
        <f>'Staging Table'!BH115*Rates_current!$E$75*100*12</f>
        <v>62395034.549759999</v>
      </c>
      <c r="P113" s="407">
        <f>'Staging Table'!BH115*Rates_current!$E$76*100*12</f>
        <v>-8776399.3363199998</v>
      </c>
      <c r="Q113" s="408"/>
      <c r="R113" s="408">
        <f>SUMPRODUCT('Staging Table'!CL115:CW115, LS_Demand_Rates_Restatement!$C$11:$N$11)*1000</f>
        <v>0</v>
      </c>
      <c r="S113" s="409"/>
      <c r="T113" s="409">
        <f>IF('Staging Table'!D115=1, 'Staging Table'!BJ115*-1*('Staging Table'!BH115/'Staging Table'!BG115),SUM(O113:S113)*'Staging Table'!BJ115*-1)</f>
        <v>0</v>
      </c>
      <c r="U113" s="407">
        <f>'Staging Table'!BM115*Rates_current!$H$32*-1</f>
        <v>0</v>
      </c>
      <c r="V113" s="407">
        <f>IF(Init!$R$12="No",0,'Staging Table'!$CY115)</f>
        <v>0</v>
      </c>
      <c r="W113" s="407">
        <f>IF('Staging Table'!C115=1,"",SUM(O113:U113)-V113)</f>
        <v>53618635.213440001</v>
      </c>
      <c r="X113" s="407">
        <f>IF('Staging Table'!C115=1,"",(RT1SC!$C$4*'Staging Table'!BH115*'Staging Table'!$BH$2))</f>
        <v>1489918.8147507838</v>
      </c>
      <c r="Y113" s="169">
        <f>IF('Staging Table'!C115=1,"",IF(X113=0, 0, W113/X113))</f>
        <v>35.98762206544032</v>
      </c>
      <c r="Z113" s="160">
        <f ca="1">IF('Staging Table'!C115=1,"",(Y113/N113-1)+(RAND()/100000000000000))</f>
        <v>4.7511037968351162E-2</v>
      </c>
      <c r="AA113" s="97">
        <f t="shared" ca="1" si="1"/>
        <v>27</v>
      </c>
      <c r="AB113" s="397"/>
      <c r="AC113" s="397"/>
      <c r="AD113" s="397"/>
    </row>
    <row r="114" spans="2:30">
      <c r="B114" s="274">
        <v>10371</v>
      </c>
      <c r="C114" s="275" t="s">
        <v>117</v>
      </c>
      <c r="D114" s="407">
        <f>IF(Init!$R$9="Yes",'Staging Table'!F116,'Staging Table'!BH116)*Rates_previous!$E$75*100*12</f>
        <v>3872638.7657999997</v>
      </c>
      <c r="E114" s="407">
        <f>IF(Init!$R$9="Yes",'Staging Table'!F116,'Staging Table'!BH116)*Rates_previous!$E$76*100*12</f>
        <v>-575708.46479999996</v>
      </c>
      <c r="F114" s="408"/>
      <c r="G114" s="408">
        <f>IF(Init!$R$9="Yes",SUMPRODUCT('Staging Table'!AJ116:AU116,LS_Demand_Rates_Restatement!$C$10:$N$10),SUMPRODUCT(LS_Demand_Rates_Restatement!$C$10:$N$10,'Staging Table'!CL116:CW116))*1000</f>
        <v>119579.04218284367</v>
      </c>
      <c r="H114" s="409"/>
      <c r="I114" s="409">
        <f>IF(Init!$R$9="Yes",IF('Staging Table'!D116=1,'Staging Table'!H116*-1*('Staging Table'!F116/'Staging Table'!E116),'Staging Table'!H116*SUM(D114:H114)*(-1)),IF('Staging Table'!D116=1,'Staging Table'!BJ116*-1*('Staging Table'!BH116/'Staging Table'!BG116),'Staging Table'!BJ116*SUM(D114:H114)*(-1)))</f>
        <v>0</v>
      </c>
      <c r="J114" s="407">
        <f>IF(Init!$R$9="Yes",'Staging Table'!K116,'Staging Table'!BM116)*(-1)*Rates_previous!$H$32</f>
        <v>0</v>
      </c>
      <c r="K114" s="407">
        <f>IF(Init!$R$12="No",0,'Staging Table'!$AW116)</f>
        <v>0</v>
      </c>
      <c r="L114" s="407">
        <f>IF('Staging Table'!C116=1,"",SUM(D114:J114)-K114)</f>
        <v>3416509.3431828436</v>
      </c>
      <c r="M114" s="407">
        <f>IF('Staging Table'!C116=1,"",IF(Init!$R$9="Yes",(RT1SC!$C$3*'Staging Table'!F116*'Staging Table'!$F$2),X114))</f>
        <v>95965.520462279994</v>
      </c>
      <c r="N114" s="169">
        <f>IF('Staging Table'!C116=1,"",IF(M114=0, 0, L114/M114))</f>
        <v>35.601425665437091</v>
      </c>
      <c r="O114" s="407">
        <f>'Staging Table'!BH116*Rates_current!$E$75*100*12</f>
        <v>3982108.8672000002</v>
      </c>
      <c r="P114" s="407">
        <f>'Staging Table'!BH116*Rates_current!$E$76*100*12</f>
        <v>-560117.93039999995</v>
      </c>
      <c r="Q114" s="408"/>
      <c r="R114" s="408">
        <f>SUMPRODUCT('Staging Table'!CL116:CW116, LS_Demand_Rates_Restatement!$C$11:$N$11)*1000</f>
        <v>116323.97243048434</v>
      </c>
      <c r="S114" s="409"/>
      <c r="T114" s="409">
        <f>IF('Staging Table'!D116=1, 'Staging Table'!BJ116*-1*('Staging Table'!BH116/'Staging Table'!BG116),SUM(O114:S114)*'Staging Table'!BJ116*-1)</f>
        <v>0</v>
      </c>
      <c r="U114" s="407">
        <f>'Staging Table'!BM116*Rates_current!$H$32*-1</f>
        <v>0</v>
      </c>
      <c r="V114" s="407">
        <f>IF(Init!$R$12="No",0,'Staging Table'!$CY116)</f>
        <v>0</v>
      </c>
      <c r="W114" s="407">
        <f>IF('Staging Table'!C116=1,"",SUM(O114:U114)-V114)</f>
        <v>3538314.9092304846</v>
      </c>
      <c r="X114" s="407">
        <f>IF('Staging Table'!C116=1,"",(RT1SC!$C$4*'Staging Table'!BH116*'Staging Table'!$BH$2))</f>
        <v>95087.99805047999</v>
      </c>
      <c r="Y114" s="169">
        <f>IF('Staging Table'!C116=1,"",IF(X114=0, 0, W114/X114))</f>
        <v>37.210951768614123</v>
      </c>
      <c r="Z114" s="160">
        <f ca="1">IF('Staging Table'!C116=1,"",(Y114/N114-1)+(RAND()/100000000000000))</f>
        <v>4.5209596893748608E-2</v>
      </c>
      <c r="AA114" s="97">
        <f t="shared" ca="1" si="1"/>
        <v>42</v>
      </c>
      <c r="AB114" s="397"/>
      <c r="AC114" s="397"/>
      <c r="AD114" s="397"/>
    </row>
    <row r="115" spans="2:30">
      <c r="B115" s="274">
        <v>10376</v>
      </c>
      <c r="C115" s="275" t="s">
        <v>118</v>
      </c>
      <c r="D115" s="407">
        <f>IF(Init!$R$9="Yes",'Staging Table'!F117,'Staging Table'!BH117)*Rates_previous!$E$75*100*12</f>
        <v>19436463.31284</v>
      </c>
      <c r="E115" s="407">
        <f>IF(Init!$R$9="Yes",'Staging Table'!F117,'Staging Table'!BH117)*Rates_previous!$E$76*100*12</f>
        <v>-2889434.60304</v>
      </c>
      <c r="F115" s="408"/>
      <c r="G115" s="408">
        <f>IF(Init!$R$9="Yes",SUMPRODUCT('Staging Table'!AJ117:AU117,LS_Demand_Rates_Restatement!$C$10:$N$10),SUMPRODUCT(LS_Demand_Rates_Restatement!$C$10:$N$10,'Staging Table'!CL117:CW117))*1000</f>
        <v>835001.33986840246</v>
      </c>
      <c r="H115" s="409"/>
      <c r="I115" s="409">
        <f>IF(Init!$R$9="Yes",IF('Staging Table'!D117=1,'Staging Table'!H117*-1*('Staging Table'!F117/'Staging Table'!E117),'Staging Table'!H117*SUM(D115:H115)*(-1)),IF('Staging Table'!D117=1,'Staging Table'!BJ117*-1*('Staging Table'!BH117/'Staging Table'!BG117),'Staging Table'!BJ117*SUM(D115:H115)*(-1)))</f>
        <v>0</v>
      </c>
      <c r="J115" s="407">
        <f>IF(Init!$R$9="Yes",'Staging Table'!K117,'Staging Table'!BM117)*(-1)*Rates_previous!$H$32</f>
        <v>0</v>
      </c>
      <c r="K115" s="407">
        <f>IF(Init!$R$12="No",0,'Staging Table'!$AW117)</f>
        <v>0</v>
      </c>
      <c r="L115" s="407">
        <f>IF('Staging Table'!C117=1,"",SUM(D115:J115)-K115)</f>
        <v>17382030.049668401</v>
      </c>
      <c r="M115" s="407">
        <f>IF('Staging Table'!C117=1,"",IF(Init!$R$9="Yes",(RT1SC!$C$3*'Staging Table'!F117*'Staging Table'!$F$2),X115))</f>
        <v>481643.24910314404</v>
      </c>
      <c r="N115" s="169">
        <f>IF('Staging Table'!C117=1,"",IF(M115=0, 0, L115/M115))</f>
        <v>36.089014186402586</v>
      </c>
      <c r="O115" s="407">
        <f>'Staging Table'!BH117*Rates_current!$E$75*100*12</f>
        <v>19899843.851519998</v>
      </c>
      <c r="P115" s="407">
        <f>'Staging Table'!BH117*Rates_current!$E$76*100*12</f>
        <v>-2799084.5366399996</v>
      </c>
      <c r="Q115" s="408"/>
      <c r="R115" s="408">
        <f>SUMPRODUCT('Staging Table'!CL117:CW117, LS_Demand_Rates_Restatement!$C$11:$N$11)*1000</f>
        <v>827625.96353482013</v>
      </c>
      <c r="S115" s="409"/>
      <c r="T115" s="409">
        <f>IF('Staging Table'!D117=1, 'Staging Table'!BJ117*-1*('Staging Table'!BH117/'Staging Table'!BG117),SUM(O115:S115)*'Staging Table'!BJ117*-1)</f>
        <v>0</v>
      </c>
      <c r="U115" s="407">
        <f>'Staging Table'!BM117*Rates_current!$H$32*-1</f>
        <v>0</v>
      </c>
      <c r="V115" s="407">
        <f>IF(Init!$R$12="No",0,'Staging Table'!$CY117)</f>
        <v>0</v>
      </c>
      <c r="W115" s="407">
        <f>IF('Staging Table'!C117=1,"",SUM(O115:U115)-V115)</f>
        <v>17928385.278414819</v>
      </c>
      <c r="X115" s="407">
        <f>IF('Staging Table'!C117=1,"",(RT1SC!$C$4*'Staging Table'!BH117*'Staging Table'!$BH$2))</f>
        <v>475184.47547836794</v>
      </c>
      <c r="Y115" s="169">
        <f>IF('Staging Table'!C117=1,"",IF(X115=0, 0, W115/X115))</f>
        <v>37.729316094273329</v>
      </c>
      <c r="Z115" s="160">
        <f ca="1">IF('Staging Table'!C117=1,"",(Y115/N115-1)+(RAND()/100000000000000))</f>
        <v>4.5451557623561512E-2</v>
      </c>
      <c r="AA115" s="97">
        <f t="shared" ca="1" si="1"/>
        <v>39</v>
      </c>
      <c r="AB115" s="397"/>
      <c r="AC115" s="397"/>
      <c r="AD115" s="397"/>
    </row>
    <row r="116" spans="2:30">
      <c r="B116" s="274">
        <v>10378</v>
      </c>
      <c r="C116" s="275" t="s">
        <v>119</v>
      </c>
      <c r="D116" s="407">
        <f>IF(Init!$R$9="Yes",'Staging Table'!F118,'Staging Table'!BH118)*Rates_previous!$E$75*100*12</f>
        <v>709179.29460000014</v>
      </c>
      <c r="E116" s="407">
        <f>IF(Init!$R$9="Yes",'Staging Table'!F118,'Staging Table'!BH118)*Rates_previous!$E$76*100*12</f>
        <v>-105426.95760000002</v>
      </c>
      <c r="F116" s="408"/>
      <c r="G116" s="408">
        <f>IF(Init!$R$9="Yes",SUMPRODUCT('Staging Table'!AJ118:AU118,LS_Demand_Rates_Restatement!$C$10:$N$10),SUMPRODUCT(LS_Demand_Rates_Restatement!$C$10:$N$10,'Staging Table'!CL118:CW118))*1000</f>
        <v>14295.171440064092</v>
      </c>
      <c r="H116" s="409"/>
      <c r="I116" s="409">
        <f>IF(Init!$R$9="Yes",IF('Staging Table'!D118=1,'Staging Table'!H118*-1*('Staging Table'!F118/'Staging Table'!E118),'Staging Table'!H118*SUM(D116:H116)*(-1)),IF('Staging Table'!D118=1,'Staging Table'!BJ118*-1*('Staging Table'!BH118/'Staging Table'!BG118),'Staging Table'!BJ118*SUM(D116:H116)*(-1)))</f>
        <v>0</v>
      </c>
      <c r="J116" s="407">
        <f>IF(Init!$R$9="Yes",'Staging Table'!K118,'Staging Table'!BM118)*(-1)*Rates_previous!$H$32</f>
        <v>0</v>
      </c>
      <c r="K116" s="407">
        <f>IF(Init!$R$12="No",0,'Staging Table'!$AW118)</f>
        <v>0</v>
      </c>
      <c r="L116" s="407">
        <f>IF('Staging Table'!C118=1,"",SUM(D116:J116)-K116)</f>
        <v>618047.50844006415</v>
      </c>
      <c r="M116" s="407">
        <f>IF('Staging Table'!C118=1,"",IF(Init!$R$9="Yes",(RT1SC!$C$3*'Staging Table'!F118*'Staging Table'!$F$2),X116))</f>
        <v>17573.743440360002</v>
      </c>
      <c r="N116" s="169">
        <f>IF('Staging Table'!C118=1,"",IF(M116=0, 0, L116/M116))</f>
        <v>35.168802283789532</v>
      </c>
      <c r="O116" s="407">
        <f>'Staging Table'!BH118*Rates_current!$E$75*100*12</f>
        <v>690690.79583999992</v>
      </c>
      <c r="P116" s="407">
        <f>'Staging Table'!BH118*Rates_current!$E$76*100*12</f>
        <v>-97151.612879999986</v>
      </c>
      <c r="Q116" s="408"/>
      <c r="R116" s="408">
        <f>SUMPRODUCT('Staging Table'!CL118:CW118, LS_Demand_Rates_Restatement!$C$11:$N$11)*1000</f>
        <v>13173.651148326202</v>
      </c>
      <c r="S116" s="409"/>
      <c r="T116" s="409">
        <f>IF('Staging Table'!D118=1, 'Staging Table'!BJ118*-1*('Staging Table'!BH118/'Staging Table'!BG118),SUM(O116:S116)*'Staging Table'!BJ118*-1)</f>
        <v>0</v>
      </c>
      <c r="U116" s="407">
        <f>'Staging Table'!BM118*Rates_current!$H$32*-1</f>
        <v>0</v>
      </c>
      <c r="V116" s="407">
        <f>IF(Init!$R$12="No",0,'Staging Table'!$CY118)</f>
        <v>0</v>
      </c>
      <c r="W116" s="407">
        <f>IF('Staging Table'!C118=1,"",SUM(O116:U116)-V116)</f>
        <v>606712.83410832612</v>
      </c>
      <c r="X116" s="407">
        <f>IF('Staging Table'!C118=1,"",(RT1SC!$C$4*'Staging Table'!BH118*'Staging Table'!$BH$2))</f>
        <v>16492.870295255998</v>
      </c>
      <c r="Y116" s="169">
        <f>IF('Staging Table'!C118=1,"",IF(X116=0, 0, W116/X116))</f>
        <v>36.7863703071042</v>
      </c>
      <c r="Z116" s="160">
        <f ca="1">IF('Staging Table'!C118=1,"",(Y116/N116-1)+(RAND()/100000000000000))</f>
        <v>4.5994401807098143E-2</v>
      </c>
      <c r="AA116" s="97">
        <f t="shared" ca="1" si="1"/>
        <v>37</v>
      </c>
      <c r="AB116" s="397"/>
      <c r="AC116" s="397"/>
      <c r="AD116" s="397"/>
    </row>
    <row r="117" spans="2:30">
      <c r="B117" s="274">
        <v>10379</v>
      </c>
      <c r="C117" s="275" t="s">
        <v>120</v>
      </c>
      <c r="D117" s="407">
        <f>IF(Init!$R$9="Yes",'Staging Table'!F119,'Staging Table'!BH119)*Rates_previous!$E$75*100*12</f>
        <v>1687673.4487199998</v>
      </c>
      <c r="E117" s="407">
        <f>IF(Init!$R$9="Yes",'Staging Table'!F119,'Staging Table'!BH119)*Rates_previous!$E$76*100*12</f>
        <v>-250890.40031999996</v>
      </c>
      <c r="F117" s="408"/>
      <c r="G117" s="408">
        <f>IF(Init!$R$9="Yes",SUMPRODUCT('Staging Table'!AJ119:AU119,LS_Demand_Rates_Restatement!$C$10:$N$10),SUMPRODUCT(LS_Demand_Rates_Restatement!$C$10:$N$10,'Staging Table'!CL119:CW119))*1000</f>
        <v>128527.57836964034</v>
      </c>
      <c r="H117" s="409"/>
      <c r="I117" s="409">
        <f>IF(Init!$R$9="Yes",IF('Staging Table'!D119=1,'Staging Table'!H119*-1*('Staging Table'!F119/'Staging Table'!E119),'Staging Table'!H119*SUM(D117:H117)*(-1)),IF('Staging Table'!D119=1,'Staging Table'!BJ119*-1*('Staging Table'!BH119/'Staging Table'!BG119),'Staging Table'!BJ119*SUM(D117:H117)*(-1)))</f>
        <v>0</v>
      </c>
      <c r="J117" s="407">
        <f>IF(Init!$R$9="Yes",'Staging Table'!K119,'Staging Table'!BM119)*(-1)*Rates_previous!$H$32</f>
        <v>0</v>
      </c>
      <c r="K117" s="407">
        <f>IF(Init!$R$12="No",0,'Staging Table'!$AW119)</f>
        <v>0</v>
      </c>
      <c r="L117" s="407">
        <f>IF('Staging Table'!C119=1,"",SUM(D117:J117)-K117)</f>
        <v>1565310.62676964</v>
      </c>
      <c r="M117" s="407">
        <f>IF('Staging Table'!C119=1,"",IF(Init!$R$9="Yes",(RT1SC!$C$3*'Staging Table'!F119*'Staging Table'!$F$2),X117))</f>
        <v>41821.215628751997</v>
      </c>
      <c r="N117" s="169">
        <f>IF('Staging Table'!C119=1,"",IF(M117=0, 0, L117/M117))</f>
        <v>37.428625716309696</v>
      </c>
      <c r="O117" s="407">
        <f>'Staging Table'!BH119*Rates_current!$E$75*100*12</f>
        <v>1724561.41536</v>
      </c>
      <c r="P117" s="407">
        <f>'Staging Table'!BH119*Rates_current!$E$76*100*12</f>
        <v>-242574.42552000005</v>
      </c>
      <c r="Q117" s="408"/>
      <c r="R117" s="408">
        <f>SUMPRODUCT('Staging Table'!CL119:CW119, LS_Demand_Rates_Restatement!$C$11:$N$11)*1000</f>
        <v>126527.14346480594</v>
      </c>
      <c r="S117" s="409"/>
      <c r="T117" s="409">
        <f>IF('Staging Table'!D119=1, 'Staging Table'!BJ119*-1*('Staging Table'!BH119/'Staging Table'!BG119),SUM(O117:S117)*'Staging Table'!BJ119*-1)</f>
        <v>0</v>
      </c>
      <c r="U117" s="407">
        <f>'Staging Table'!BM119*Rates_current!$H$32*-1</f>
        <v>0</v>
      </c>
      <c r="V117" s="407">
        <f>IF(Init!$R$12="No",0,'Staging Table'!$CY119)</f>
        <v>0</v>
      </c>
      <c r="W117" s="407">
        <f>IF('Staging Table'!C119=1,"",SUM(O117:U117)-V117)</f>
        <v>1608514.133304806</v>
      </c>
      <c r="X117" s="407">
        <f>IF('Staging Table'!C119=1,"",(RT1SC!$C$4*'Staging Table'!BH119*'Staging Table'!$BH$2))</f>
        <v>41180.464414824004</v>
      </c>
      <c r="Y117" s="169">
        <f>IF('Staging Table'!C119=1,"",IF(X117=0, 0, W117/X117))</f>
        <v>39.060126109840049</v>
      </c>
      <c r="Z117" s="160">
        <f ca="1">IF('Staging Table'!C119=1,"",(Y117/N117-1)+(RAND()/100000000000000))</f>
        <v>4.3589641946689128E-2</v>
      </c>
      <c r="AA117" s="97">
        <f t="shared" ca="1" si="1"/>
        <v>62</v>
      </c>
      <c r="AB117" s="397"/>
      <c r="AC117" s="397"/>
      <c r="AD117" s="397"/>
    </row>
    <row r="118" spans="2:30">
      <c r="B118" s="274">
        <v>10388</v>
      </c>
      <c r="C118" s="275" t="s">
        <v>121</v>
      </c>
      <c r="D118" s="407">
        <f>IF(Init!$R$9="Yes",'Staging Table'!F120,'Staging Table'!BH120)*Rates_previous!$E$75*100*12</f>
        <v>39743001.746279992</v>
      </c>
      <c r="E118" s="407">
        <f>IF(Init!$R$9="Yes",'Staging Table'!F120,'Staging Table'!BH120)*Rates_previous!$E$76*100*12</f>
        <v>-5908215.0196800008</v>
      </c>
      <c r="F118" s="408"/>
      <c r="G118" s="408">
        <f>IF(Init!$R$9="Yes",SUMPRODUCT('Staging Table'!AJ120:AU120,LS_Demand_Rates_Restatement!$C$10:$N$10),SUMPRODUCT(LS_Demand_Rates_Restatement!$C$10:$N$10,'Staging Table'!CL120:CW120))*1000</f>
        <v>0</v>
      </c>
      <c r="H118" s="409"/>
      <c r="I118" s="409">
        <f>IF(Init!$R$9="Yes",IF('Staging Table'!D120=1,'Staging Table'!H120*-1*('Staging Table'!F120/'Staging Table'!E120),'Staging Table'!H120*SUM(D118:H118)*(-1)),IF('Staging Table'!D120=1,'Staging Table'!BJ120*-1*('Staging Table'!BH120/'Staging Table'!BG120),'Staging Table'!BJ120*SUM(D118:H118)*(-1)))</f>
        <v>-2505804.3049719953</v>
      </c>
      <c r="J118" s="407">
        <f>IF(Init!$R$9="Yes",'Staging Table'!K120,'Staging Table'!BM120)*(-1)*Rates_previous!$H$32</f>
        <v>-2692651.4657900003</v>
      </c>
      <c r="K118" s="407">
        <f>IF(Init!$R$12="No",0,'Staging Table'!$AW120)</f>
        <v>0</v>
      </c>
      <c r="L118" s="407" t="str">
        <f>IF('Staging Table'!C120=1,"",SUM(D118:J118)-K118)</f>
        <v/>
      </c>
      <c r="M118" s="407" t="str">
        <f>IF('Staging Table'!C120=1,"",IF(Init!$R$9="Yes",(RT1SC!$C$3*'Staging Table'!F120*'Staging Table'!$F$2),X118))</f>
        <v/>
      </c>
      <c r="N118" s="169" t="str">
        <f>IF('Staging Table'!C120=1,"",IF(M118=0, 0, L118/M118))</f>
        <v/>
      </c>
      <c r="O118" s="407">
        <f>'Staging Table'!BH120*Rates_current!$E$75*100*12</f>
        <v>40869481.377599999</v>
      </c>
      <c r="P118" s="407">
        <f>'Staging Table'!BH120*Rates_current!$E$76*100*12</f>
        <v>-5748644.7731999997</v>
      </c>
      <c r="Q118" s="408"/>
      <c r="R118" s="408">
        <f>SUMPRODUCT('Staging Table'!CL120:CW120, LS_Demand_Rates_Restatement!$C$11:$N$11)*1000</f>
        <v>0</v>
      </c>
      <c r="S118" s="409"/>
      <c r="T118" s="409">
        <f>IF('Staging Table'!D120=1, 'Staging Table'!BJ120*-1*('Staging Table'!BH120/'Staging Table'!BG120),SUM(O118:S118)*'Staging Table'!BJ120*-1)</f>
        <v>-3138738.379451015</v>
      </c>
      <c r="U118" s="407">
        <f>'Staging Table'!BM120*Rates_current!$H$32*-1</f>
        <v>-2690363.7415200002</v>
      </c>
      <c r="V118" s="407">
        <f>IF(Init!$R$12="No",0,'Staging Table'!$CY120)</f>
        <v>0</v>
      </c>
      <c r="W118" s="407" t="str">
        <f>IF('Staging Table'!C120=1,"",SUM(O118:U118)-V118)</f>
        <v/>
      </c>
      <c r="X118" s="407" t="str">
        <f>IF('Staging Table'!C120=1,"",(RT1SC!$C$4*'Staging Table'!BH120*'Staging Table'!$BH$2))</f>
        <v/>
      </c>
      <c r="Y118" s="169" t="str">
        <f>IF('Staging Table'!C120=1,"",IF(X118=0, 0, W118/X118))</f>
        <v/>
      </c>
      <c r="Z118" s="160" t="str">
        <f>IF('Staging Table'!C120=1,"",Y118/N118-1)</f>
        <v/>
      </c>
      <c r="AA118" s="97" t="str">
        <f t="shared" si="1"/>
        <v/>
      </c>
      <c r="AB118" s="397"/>
      <c r="AC118" s="397"/>
      <c r="AD118" s="397"/>
    </row>
    <row r="119" spans="2:30">
      <c r="B119" s="274">
        <v>10391</v>
      </c>
      <c r="C119" s="275" t="s">
        <v>122</v>
      </c>
      <c r="D119" s="407">
        <f>IF(Init!$R$9="Yes",'Staging Table'!F121,'Staging Table'!BH121)*Rates_previous!$E$75*100*12</f>
        <v>10522091.956319999</v>
      </c>
      <c r="E119" s="407">
        <f>IF(Init!$R$9="Yes",'Staging Table'!F121,'Staging Table'!BH121)*Rates_previous!$E$76*100*12</f>
        <v>-1564219.5859199998</v>
      </c>
      <c r="F119" s="408"/>
      <c r="G119" s="408">
        <f>IF(Init!$R$9="Yes",SUMPRODUCT('Staging Table'!AJ121:AU121,LS_Demand_Rates_Restatement!$C$10:$N$10),SUMPRODUCT(LS_Demand_Rates_Restatement!$C$10:$N$10,'Staging Table'!CL121:CW121))*1000</f>
        <v>521848.75686478813</v>
      </c>
      <c r="H119" s="409"/>
      <c r="I119" s="409">
        <f>IF(Init!$R$9="Yes",IF('Staging Table'!D121=1,'Staging Table'!H121*-1*('Staging Table'!F121/'Staging Table'!E121),'Staging Table'!H121*SUM(D119:H119)*(-1)),IF('Staging Table'!D121=1,'Staging Table'!BJ121*-1*('Staging Table'!BH121/'Staging Table'!BG121),'Staging Table'!BJ121*SUM(D119:H119)*(-1)))</f>
        <v>-370277.90723096253</v>
      </c>
      <c r="J119" s="407">
        <f>IF(Init!$R$9="Yes",'Staging Table'!K121,'Staging Table'!BM121)*(-1)*Rates_previous!$H$32</f>
        <v>-521059.70080999995</v>
      </c>
      <c r="K119" s="407">
        <f>IF(Init!$R$12="No",0,'Staging Table'!$AW121)</f>
        <v>0</v>
      </c>
      <c r="L119" s="407">
        <f>IF('Staging Table'!C121=1,"",SUM(D119:J119)-K119)</f>
        <v>8588383.5192238241</v>
      </c>
      <c r="M119" s="407">
        <f>IF('Staging Table'!C121=1,"",IF(Init!$R$9="Yes",(RT1SC!$C$3*'Staging Table'!F121*'Staging Table'!$F$2),X119))</f>
        <v>260741.60075491198</v>
      </c>
      <c r="N119" s="169">
        <f>IF('Staging Table'!C121=1,"",IF(M119=0, 0, L119/M119))</f>
        <v>32.938294059552874</v>
      </c>
      <c r="O119" s="407">
        <f>'Staging Table'!BH121*Rates_current!$E$75*100*12</f>
        <v>10820737.543679999</v>
      </c>
      <c r="P119" s="407">
        <f>'Staging Table'!BH121*Rates_current!$E$76*100*12</f>
        <v>-1522029.9897599998</v>
      </c>
      <c r="Q119" s="408"/>
      <c r="R119" s="408">
        <f>SUMPRODUCT('Staging Table'!CL121:CW121, LS_Demand_Rates_Restatement!$C$11:$N$11)*1000</f>
        <v>513260.94746252679</v>
      </c>
      <c r="S119" s="409"/>
      <c r="T119" s="409">
        <f>IF('Staging Table'!D121=1, 'Staging Table'!BJ121*-1*('Staging Table'!BH121/'Staging Table'!BG121),SUM(O119:S119)*'Staging Table'!BJ121*-1)</f>
        <v>-408328.04976673209</v>
      </c>
      <c r="U119" s="407">
        <f>'Staging Table'!BM121*Rates_current!$H$32*-1</f>
        <v>-520616.99927999999</v>
      </c>
      <c r="V119" s="407">
        <f>IF(Init!$R$12="No",0,'Staging Table'!$CY121)</f>
        <v>0</v>
      </c>
      <c r="W119" s="407">
        <f>IF('Staging Table'!C121=1,"",SUM(O119:U119)-V119)</f>
        <v>8883023.4523357935</v>
      </c>
      <c r="X119" s="407">
        <f>IF('Staging Table'!C121=1,"",(RT1SC!$C$4*'Staging Table'!BH121*'Staging Table'!$BH$2))</f>
        <v>258386.27339731195</v>
      </c>
      <c r="Y119" s="169">
        <f>IF('Staging Table'!C121=1,"",IF(X119=0, 0, W119/X119))</f>
        <v>34.378852001463194</v>
      </c>
      <c r="Z119" s="160">
        <f ca="1">IF('Staging Table'!C121=1,"",(Y119/N119-1)+(RAND()/100000000000000))</f>
        <v>4.3735050130586185E-2</v>
      </c>
      <c r="AA119" s="97">
        <f t="shared" ca="1" si="1"/>
        <v>60</v>
      </c>
      <c r="AB119" s="397"/>
      <c r="AC119" s="397"/>
      <c r="AD119" s="397"/>
    </row>
    <row r="120" spans="2:30">
      <c r="B120" s="274">
        <v>10406</v>
      </c>
      <c r="C120" s="275" t="s">
        <v>123</v>
      </c>
      <c r="D120" s="407">
        <f>IF(Init!$R$9="Yes",'Staging Table'!F122,'Staging Table'!BH122)*Rates_previous!$E$75*100*12</f>
        <v>160895.826</v>
      </c>
      <c r="E120" s="407">
        <f>IF(Init!$R$9="Yes",'Staging Table'!F122,'Staging Table'!BH122)*Rates_previous!$E$76*100*12</f>
        <v>-23918.856</v>
      </c>
      <c r="F120" s="408"/>
      <c r="G120" s="408">
        <f>IF(Init!$R$9="Yes",SUMPRODUCT('Staging Table'!AJ122:AU122,LS_Demand_Rates_Restatement!$C$10:$N$10),SUMPRODUCT(LS_Demand_Rates_Restatement!$C$10:$N$10,'Staging Table'!CL122:CW122))*1000</f>
        <v>11306.810902742163</v>
      </c>
      <c r="H120" s="409"/>
      <c r="I120" s="409">
        <f>IF(Init!$R$9="Yes",IF('Staging Table'!D122=1,'Staging Table'!H122*-1*('Staging Table'!F122/'Staging Table'!E122),'Staging Table'!H122*SUM(D120:H120)*(-1)),IF('Staging Table'!D122=1,'Staging Table'!BJ122*-1*('Staging Table'!BH122/'Staging Table'!BG122),'Staging Table'!BJ122*SUM(D120:H120)*(-1)))</f>
        <v>0</v>
      </c>
      <c r="J120" s="407">
        <f>IF(Init!$R$9="Yes",'Staging Table'!K122,'Staging Table'!BM122)*(-1)*Rates_previous!$H$32</f>
        <v>0</v>
      </c>
      <c r="K120" s="407">
        <f>IF(Init!$R$12="No",0,'Staging Table'!$AW122)</f>
        <v>0</v>
      </c>
      <c r="L120" s="407">
        <f>IF('Staging Table'!C122=1,"",SUM(D120:J120)-K120)</f>
        <v>148283.78090274218</v>
      </c>
      <c r="M120" s="407">
        <f>IF('Staging Table'!C122=1,"",IF(Init!$R$9="Yes",(RT1SC!$C$3*'Staging Table'!F122*'Staging Table'!$F$2),X120))</f>
        <v>3987.0622115999995</v>
      </c>
      <c r="N120" s="169">
        <f>IF('Staging Table'!C122=1,"",IF(M120=0, 0, L120/M120))</f>
        <v>37.191238318610587</v>
      </c>
      <c r="O120" s="407">
        <f>'Staging Table'!BH122*Rates_current!$E$75*100*12</f>
        <v>165347.96256000001</v>
      </c>
      <c r="P120" s="407">
        <f>'Staging Table'!BH122*Rates_current!$E$76*100*12</f>
        <v>-23257.615920000004</v>
      </c>
      <c r="Q120" s="408"/>
      <c r="R120" s="408">
        <f>SUMPRODUCT('Staging Table'!CL122:CW122, LS_Demand_Rates_Restatement!$C$11:$N$11)*1000</f>
        <v>11108.529996296294</v>
      </c>
      <c r="S120" s="409"/>
      <c r="T120" s="409">
        <f>IF('Staging Table'!D122=1, 'Staging Table'!BJ122*-1*('Staging Table'!BH122/'Staging Table'!BG122),SUM(O120:S120)*'Staging Table'!BJ122*-1)</f>
        <v>0</v>
      </c>
      <c r="U120" s="407">
        <f>'Staging Table'!BM122*Rates_current!$H$32*-1</f>
        <v>0</v>
      </c>
      <c r="V120" s="407">
        <f>IF(Init!$R$12="No",0,'Staging Table'!$CY122)</f>
        <v>0</v>
      </c>
      <c r="W120" s="407">
        <f>IF('Staging Table'!C122=1,"",SUM(O120:U120)-V120)</f>
        <v>153198.87663629631</v>
      </c>
      <c r="X120" s="407">
        <f>IF('Staging Table'!C122=1,"",(RT1SC!$C$4*'Staging Table'!BH122*'Staging Table'!$BH$2))</f>
        <v>3948.311627304</v>
      </c>
      <c r="Y120" s="169">
        <f>IF('Staging Table'!C122=1,"",IF(X120=0, 0, W120/X120))</f>
        <v>38.801110727144938</v>
      </c>
      <c r="Z120" s="160">
        <f ca="1">IF('Staging Table'!C122=1,"",(Y120/N120-1)+(RAND()/100000000000000))</f>
        <v>4.3286335204630398E-2</v>
      </c>
      <c r="AA120" s="97">
        <f t="shared" ca="1" si="1"/>
        <v>64</v>
      </c>
      <c r="AB120" s="397"/>
      <c r="AC120" s="397"/>
      <c r="AD120" s="397"/>
    </row>
    <row r="121" spans="2:30">
      <c r="B121" s="274">
        <v>10408</v>
      </c>
      <c r="C121" s="275" t="s">
        <v>124</v>
      </c>
      <c r="D121" s="407">
        <f>IF(Init!$R$9="Yes",'Staging Table'!F123,'Staging Table'!BH123)*Rates_previous!$E$75*100*12</f>
        <v>525015.45684</v>
      </c>
      <c r="E121" s="407">
        <f>IF(Init!$R$9="Yes",'Staging Table'!F123,'Staging Table'!BH123)*Rates_previous!$E$76*100*12</f>
        <v>-78049.067039999994</v>
      </c>
      <c r="F121" s="408"/>
      <c r="G121" s="408">
        <f>IF(Init!$R$9="Yes",SUMPRODUCT('Staging Table'!AJ123:AU123,LS_Demand_Rates_Restatement!$C$10:$N$10),SUMPRODUCT(LS_Demand_Rates_Restatement!$C$10:$N$10,'Staging Table'!CL123:CW123))*1000</f>
        <v>29315.548615464748</v>
      </c>
      <c r="H121" s="409"/>
      <c r="I121" s="409">
        <f>IF(Init!$R$9="Yes",IF('Staging Table'!D123=1,'Staging Table'!H123*-1*('Staging Table'!F123/'Staging Table'!E123),'Staging Table'!H123*SUM(D121:H121)*(-1)),IF('Staging Table'!D123=1,'Staging Table'!BJ123*-1*('Staging Table'!BH123/'Staging Table'!BG123),'Staging Table'!BJ123*SUM(D121:H121)*(-1)))</f>
        <v>0</v>
      </c>
      <c r="J121" s="407">
        <f>IF(Init!$R$9="Yes",'Staging Table'!K123,'Staging Table'!BM123)*(-1)*Rates_previous!$H$32</f>
        <v>0</v>
      </c>
      <c r="K121" s="407">
        <f>IF(Init!$R$12="No",0,'Staging Table'!$AW123)</f>
        <v>0</v>
      </c>
      <c r="L121" s="407">
        <f>IF('Staging Table'!C123=1,"",SUM(D121:J121)-K121)</f>
        <v>476281.93841546477</v>
      </c>
      <c r="M121" s="407">
        <f>IF('Staging Table'!C123=1,"",IF(Init!$R$9="Yes",(RT1SC!$C$3*'Staging Table'!F123*'Staging Table'!$F$2),X121))</f>
        <v>13010.090693544</v>
      </c>
      <c r="N121" s="169">
        <f>IF('Staging Table'!C123=1,"",IF(M121=0, 0, L121/M121))</f>
        <v>36.6086562833732</v>
      </c>
      <c r="O121" s="407">
        <f>'Staging Table'!BH123*Rates_current!$E$75*100*12</f>
        <v>529419.20832000009</v>
      </c>
      <c r="P121" s="407">
        <f>'Staging Table'!BH123*Rates_current!$E$76*100*12</f>
        <v>-74467.374240000005</v>
      </c>
      <c r="Q121" s="408"/>
      <c r="R121" s="408">
        <f>SUMPRODUCT('Staging Table'!CL123:CW123, LS_Demand_Rates_Restatement!$C$11:$N$11)*1000</f>
        <v>28447.470553338677</v>
      </c>
      <c r="S121" s="409"/>
      <c r="T121" s="409">
        <f>IF('Staging Table'!D123=1, 'Staging Table'!BJ123*-1*('Staging Table'!BH123/'Staging Table'!BG123),SUM(O121:S121)*'Staging Table'!BJ123*-1)</f>
        <v>0</v>
      </c>
      <c r="U121" s="407">
        <f>'Staging Table'!BM123*Rates_current!$H$32*-1</f>
        <v>0</v>
      </c>
      <c r="V121" s="407">
        <f>IF(Init!$R$12="No",0,'Staging Table'!$CY123)</f>
        <v>0</v>
      </c>
      <c r="W121" s="407">
        <f>IF('Staging Table'!C123=1,"",SUM(O121:U121)-V121)</f>
        <v>483399.30463333876</v>
      </c>
      <c r="X121" s="407">
        <f>IF('Staging Table'!C123=1,"",(RT1SC!$C$4*'Staging Table'!BH123*'Staging Table'!$BH$2))</f>
        <v>12641.897629488001</v>
      </c>
      <c r="Y121" s="169">
        <f>IF('Staging Table'!C123=1,"",IF(X121=0, 0, W121/X121))</f>
        <v>38.237875262158447</v>
      </c>
      <c r="Z121" s="160">
        <f ca="1">IF('Staging Table'!C123=1,"",(Y121/N121-1)+(RAND()/100000000000000))</f>
        <v>4.4503654167864851E-2</v>
      </c>
      <c r="AA121" s="97">
        <f t="shared" ca="1" si="1"/>
        <v>46</v>
      </c>
      <c r="AB121" s="397"/>
      <c r="AC121" s="397"/>
      <c r="AD121" s="397"/>
    </row>
    <row r="122" spans="2:30">
      <c r="B122" s="274">
        <v>10409</v>
      </c>
      <c r="C122" s="275" t="s">
        <v>125</v>
      </c>
      <c r="D122" s="407">
        <f>IF(Init!$R$9="Yes",'Staging Table'!F124,'Staging Table'!BH124)*Rates_previous!$E$75*100*12</f>
        <v>7168280.3463599999</v>
      </c>
      <c r="E122" s="407">
        <f>IF(Init!$R$9="Yes",'Staging Table'!F124,'Staging Table'!BH124)*Rates_previous!$E$76*100*12</f>
        <v>-1065640.2321599999</v>
      </c>
      <c r="F122" s="408"/>
      <c r="G122" s="408">
        <f>IF(Init!$R$9="Yes",SUMPRODUCT('Staging Table'!AJ124:AU124,LS_Demand_Rates_Restatement!$C$10:$N$10),SUMPRODUCT(LS_Demand_Rates_Restatement!$C$10:$N$10,'Staging Table'!CL124:CW124))*1000</f>
        <v>181905.6633639957</v>
      </c>
      <c r="H122" s="409"/>
      <c r="I122" s="409">
        <f>IF(Init!$R$9="Yes",IF('Staging Table'!D124=1,'Staging Table'!H124*-1*('Staging Table'!F124/'Staging Table'!E124),'Staging Table'!H124*SUM(D122:H122)*(-1)),IF('Staging Table'!D124=1,'Staging Table'!BJ124*-1*('Staging Table'!BH124/'Staging Table'!BG124),'Staging Table'!BJ124*SUM(D122:H122)*(-1)))</f>
        <v>0</v>
      </c>
      <c r="J122" s="407">
        <f>IF(Init!$R$9="Yes",'Staging Table'!K124,'Staging Table'!BM124)*(-1)*Rates_previous!$H$32</f>
        <v>0</v>
      </c>
      <c r="K122" s="407">
        <f>IF(Init!$R$12="No",0,'Staging Table'!$AW124)</f>
        <v>0</v>
      </c>
      <c r="L122" s="407">
        <f>IF('Staging Table'!C124=1,"",SUM(D122:J122)-K122)</f>
        <v>6284545.7775639957</v>
      </c>
      <c r="M122" s="407">
        <f>IF('Staging Table'!C124=1,"",IF(Init!$R$9="Yes",(RT1SC!$C$3*'Staging Table'!F124*'Staging Table'!$F$2),X122))</f>
        <v>177632.822439576</v>
      </c>
      <c r="N122" s="169">
        <f>IF('Staging Table'!C124=1,"",IF(M122=0, 0, L122/M122))</f>
        <v>35.379417448043768</v>
      </c>
      <c r="O122" s="407">
        <f>'Staging Table'!BH124*Rates_current!$E$75*100*12</f>
        <v>7139006.5622399999</v>
      </c>
      <c r="P122" s="407">
        <f>'Staging Table'!BH124*Rates_current!$E$76*100*12</f>
        <v>-1004162.7976800001</v>
      </c>
      <c r="Q122" s="408"/>
      <c r="R122" s="408">
        <f>SUMPRODUCT('Staging Table'!CL124:CW124, LS_Demand_Rates_Restatement!$C$11:$N$11)*1000</f>
        <v>163605.09830198542</v>
      </c>
      <c r="S122" s="409"/>
      <c r="T122" s="409">
        <f>IF('Staging Table'!D124=1, 'Staging Table'!BJ124*-1*('Staging Table'!BH124/'Staging Table'!BG124),SUM(O122:S122)*'Staging Table'!BJ124*-1)</f>
        <v>0</v>
      </c>
      <c r="U122" s="407">
        <f>'Staging Table'!BM124*Rates_current!$H$32*-1</f>
        <v>0</v>
      </c>
      <c r="V122" s="407">
        <f>IF(Init!$R$12="No",0,'Staging Table'!$CY124)</f>
        <v>0</v>
      </c>
      <c r="W122" s="407">
        <f>IF('Staging Table'!C124=1,"",SUM(O122:U122)-V122)</f>
        <v>6298448.8628619853</v>
      </c>
      <c r="X122" s="407">
        <f>IF('Staging Table'!C124=1,"",(RT1SC!$C$4*'Staging Table'!BH124*'Staging Table'!$BH$2))</f>
        <v>170470.940075016</v>
      </c>
      <c r="Y122" s="169">
        <f>IF('Staging Table'!C124=1,"",IF(X122=0, 0, W122/X122))</f>
        <v>36.947346334163129</v>
      </c>
      <c r="Z122" s="160">
        <f ca="1">IF('Staging Table'!C124=1,"",(Y122/N122-1)+(RAND()/100000000000000))</f>
        <v>4.4317543905916308E-2</v>
      </c>
      <c r="AA122" s="97">
        <f t="shared" ca="1" si="1"/>
        <v>51</v>
      </c>
      <c r="AB122" s="397"/>
      <c r="AC122" s="397"/>
      <c r="AD122" s="397"/>
    </row>
    <row r="123" spans="2:30">
      <c r="B123" s="274">
        <v>10426</v>
      </c>
      <c r="C123" s="275" t="s">
        <v>126</v>
      </c>
      <c r="D123" s="407">
        <f>IF(Init!$R$9="Yes",'Staging Table'!F125,'Staging Table'!BH125)*Rates_previous!$E$75*100*12</f>
        <v>9149279.26248</v>
      </c>
      <c r="E123" s="407">
        <f>IF(Init!$R$9="Yes",'Staging Table'!F125,'Staging Table'!BH125)*Rates_previous!$E$76*100*12</f>
        <v>-1360136.54688</v>
      </c>
      <c r="F123" s="408"/>
      <c r="G123" s="408">
        <f>IF(Init!$R$9="Yes",SUMPRODUCT('Staging Table'!AJ125:AU125,LS_Demand_Rates_Restatement!$C$10:$N$10),SUMPRODUCT(LS_Demand_Rates_Restatement!$C$10:$N$10,'Staging Table'!CL125:CW125))*1000</f>
        <v>41144.453191666682</v>
      </c>
      <c r="H123" s="409"/>
      <c r="I123" s="409">
        <f>IF(Init!$R$9="Yes",IF('Staging Table'!D125=1,'Staging Table'!H125*-1*('Staging Table'!F125/'Staging Table'!E125),'Staging Table'!H125*SUM(D123:H123)*(-1)),IF('Staging Table'!D125=1,'Staging Table'!BJ125*-1*('Staging Table'!BH125/'Staging Table'!BG125),'Staging Table'!BJ125*SUM(D123:H123)*(-1)))</f>
        <v>0</v>
      </c>
      <c r="J123" s="407">
        <f>IF(Init!$R$9="Yes",'Staging Table'!K125,'Staging Table'!BM125)*(-1)*Rates_previous!$H$32</f>
        <v>0</v>
      </c>
      <c r="K123" s="407">
        <f>IF(Init!$R$12="No",0,'Staging Table'!$AW125)</f>
        <v>0</v>
      </c>
      <c r="L123" s="407">
        <f>IF('Staging Table'!C125=1,"",SUM(D123:J123)-K123)</f>
        <v>7830287.1687916666</v>
      </c>
      <c r="M123" s="407">
        <f>IF('Staging Table'!C125=1,"",IF(Init!$R$9="Yes",(RT1SC!$C$3*'Staging Table'!F125*'Staging Table'!$F$2),X123))</f>
        <v>226722.75917716802</v>
      </c>
      <c r="N123" s="169">
        <f>IF('Staging Table'!C125=1,"",IF(M123=0, 0, L123/M123))</f>
        <v>34.536837841995577</v>
      </c>
      <c r="O123" s="407">
        <f>'Staging Table'!BH125*Rates_current!$E$75*100*12</f>
        <v>6644491.3151999991</v>
      </c>
      <c r="P123" s="407">
        <f>'Staging Table'!BH125*Rates_current!$E$76*100*12</f>
        <v>-934604.96640000003</v>
      </c>
      <c r="Q123" s="408"/>
      <c r="R123" s="408">
        <f>SUMPRODUCT('Staging Table'!CL125:CW125, LS_Demand_Rates_Restatement!$C$11:$N$11)*1000</f>
        <v>46785.044205128172</v>
      </c>
      <c r="S123" s="409"/>
      <c r="T123" s="409">
        <f>IF('Staging Table'!D125=1, 'Staging Table'!BJ125*-1*('Staging Table'!BH125/'Staging Table'!BG125),SUM(O123:S123)*'Staging Table'!BJ125*-1)</f>
        <v>0</v>
      </c>
      <c r="U123" s="407">
        <f>'Staging Table'!BM125*Rates_current!$H$32*-1</f>
        <v>0</v>
      </c>
      <c r="V123" s="407">
        <f>IF(Init!$R$12="No",0,'Staging Table'!$CY125)</f>
        <v>0</v>
      </c>
      <c r="W123" s="407">
        <f>IF('Staging Table'!C125=1,"",SUM(O123:U123)-V123)</f>
        <v>5756671.3930051271</v>
      </c>
      <c r="X123" s="407">
        <f>IF('Staging Table'!C125=1,"",(RT1SC!$C$4*'Staging Table'!BH125*'Staging Table'!$BH$2))</f>
        <v>158662.50730368</v>
      </c>
      <c r="Y123" s="169">
        <f>IF('Staging Table'!C125=1,"",IF(X123=0, 0, W123/X123))</f>
        <v>36.282493519321861</v>
      </c>
      <c r="Z123" s="160">
        <f ca="1">IF('Staging Table'!C125=1,"",(Y123/N123-1)+(RAND()/100000000000000))</f>
        <v>5.0544745448693758E-2</v>
      </c>
      <c r="AA123" s="97">
        <f t="shared" ca="1" si="1"/>
        <v>11</v>
      </c>
      <c r="AB123" s="397"/>
      <c r="AC123" s="397"/>
      <c r="AD123" s="397"/>
    </row>
    <row r="124" spans="2:30">
      <c r="B124" s="274">
        <v>10434</v>
      </c>
      <c r="C124" s="275" t="s">
        <v>127</v>
      </c>
      <c r="D124" s="407">
        <f>IF(Init!$R$9="Yes",'Staging Table'!F126,'Staging Table'!BH126)*Rates_previous!$E$75*100*12</f>
        <v>9532458.8603999987</v>
      </c>
      <c r="E124" s="407">
        <f>IF(Init!$R$9="Yes",'Staging Table'!F126,'Staging Table'!BH126)*Rates_previous!$E$76*100*12</f>
        <v>-1417100.2223999999</v>
      </c>
      <c r="F124" s="408"/>
      <c r="G124" s="408">
        <f>IF(Init!$R$9="Yes",SUMPRODUCT('Staging Table'!AJ126:AU126,LS_Demand_Rates_Restatement!$C$10:$N$10),SUMPRODUCT(LS_Demand_Rates_Restatement!$C$10:$N$10,'Staging Table'!CL126:CW126))*1000</f>
        <v>556409.95348661859</v>
      </c>
      <c r="H124" s="409"/>
      <c r="I124" s="409">
        <f>IF(Init!$R$9="Yes",IF('Staging Table'!D126=1,'Staging Table'!H126*-1*('Staging Table'!F126/'Staging Table'!E126),'Staging Table'!H126*SUM(D124:H124)*(-1)),IF('Staging Table'!D126=1,'Staging Table'!BJ126*-1*('Staging Table'!BH126/'Staging Table'!BG126),'Staging Table'!BJ126*SUM(D124:H124)*(-1)))</f>
        <v>0</v>
      </c>
      <c r="J124" s="407">
        <f>IF(Init!$R$9="Yes",'Staging Table'!K126,'Staging Table'!BM126)*(-1)*Rates_previous!$H$32</f>
        <v>0</v>
      </c>
      <c r="K124" s="407">
        <f>IF(Init!$R$12="No",0,'Staging Table'!$AW126)</f>
        <v>0</v>
      </c>
      <c r="L124" s="407">
        <f>IF('Staging Table'!C126=1,"",SUM(D124:J124)-K124)</f>
        <v>8671768.5914866179</v>
      </c>
      <c r="M124" s="407">
        <f>IF('Staging Table'!C126=1,"",IF(Init!$R$9="Yes",(RT1SC!$C$3*'Staging Table'!F126*'Staging Table'!$F$2),X124))</f>
        <v>236218.10118264001</v>
      </c>
      <c r="N124" s="169">
        <f>IF('Staging Table'!C126=1,"",IF(M124=0, 0, L124/M124))</f>
        <v>36.710855552859378</v>
      </c>
      <c r="O124" s="407">
        <f>'Staging Table'!BH126*Rates_current!$E$75*100*12</f>
        <v>9802662.87744</v>
      </c>
      <c r="P124" s="407">
        <f>'Staging Table'!BH126*Rates_current!$E$76*100*12</f>
        <v>-1378829.0140799999</v>
      </c>
      <c r="Q124" s="408"/>
      <c r="R124" s="408">
        <f>SUMPRODUCT('Staging Table'!CL126:CW126, LS_Demand_Rates_Restatement!$C$11:$N$11)*1000</f>
        <v>525896.32419689256</v>
      </c>
      <c r="S124" s="409"/>
      <c r="T124" s="409">
        <f>IF('Staging Table'!D126=1, 'Staging Table'!BJ126*-1*('Staging Table'!BH126/'Staging Table'!BG126),SUM(O124:S124)*'Staging Table'!BJ126*-1)</f>
        <v>0</v>
      </c>
      <c r="U124" s="407">
        <f>'Staging Table'!BM126*Rates_current!$H$32*-1</f>
        <v>0</v>
      </c>
      <c r="V124" s="407">
        <f>IF(Init!$R$12="No",0,'Staging Table'!$CY126)</f>
        <v>0</v>
      </c>
      <c r="W124" s="407">
        <f>IF('Staging Table'!C126=1,"",SUM(O124:U124)-V124)</f>
        <v>8949730.1875568926</v>
      </c>
      <c r="X124" s="407">
        <f>IF('Staging Table'!C126=1,"",(RT1SC!$C$4*'Staging Table'!BH126*'Staging Table'!$BH$2))</f>
        <v>234075.86775369599</v>
      </c>
      <c r="Y124" s="169">
        <f>IF('Staging Table'!C126=1,"",IF(X124=0, 0, W124/X124))</f>
        <v>38.234313829284432</v>
      </c>
      <c r="Z124" s="160">
        <f ca="1">IF('Staging Table'!C126=1,"",(Y124/N124-1)+(RAND()/100000000000000))</f>
        <v>4.1498849685795314E-2</v>
      </c>
      <c r="AA124" s="97">
        <f t="shared" ca="1" si="1"/>
        <v>87</v>
      </c>
      <c r="AB124" s="397"/>
      <c r="AC124" s="397"/>
      <c r="AD124" s="397"/>
    </row>
    <row r="125" spans="2:30">
      <c r="B125" s="274">
        <v>10436</v>
      </c>
      <c r="C125" s="275" t="s">
        <v>128</v>
      </c>
      <c r="D125" s="407">
        <f>IF(Init!$R$9="Yes",'Staging Table'!F127,'Staging Table'!BH127)*Rates_previous!$E$75*100*12</f>
        <v>6722475.1423199996</v>
      </c>
      <c r="E125" s="407">
        <f>IF(Init!$R$9="Yes",'Staging Table'!F127,'Staging Table'!BH127)*Rates_previous!$E$76*100*12</f>
        <v>-999366.60192000004</v>
      </c>
      <c r="F125" s="408"/>
      <c r="G125" s="408">
        <f>IF(Init!$R$9="Yes",SUMPRODUCT('Staging Table'!AJ127:AU127,LS_Demand_Rates_Restatement!$C$10:$N$10),SUMPRODUCT(LS_Demand_Rates_Restatement!$C$10:$N$10,'Staging Table'!CL127:CW127))*1000</f>
        <v>458080.01515030261</v>
      </c>
      <c r="H125" s="409"/>
      <c r="I125" s="409">
        <f>IF(Init!$R$9="Yes",IF('Staging Table'!D127=1,'Staging Table'!H127*-1*('Staging Table'!F127/'Staging Table'!E127),'Staging Table'!H127*SUM(D125:H125)*(-1)),IF('Staging Table'!D127=1,'Staging Table'!BJ127*-1*('Staging Table'!BH127/'Staging Table'!BG127),'Staging Table'!BJ127*SUM(D125:H125)*(-1)))</f>
        <v>-454750.04203183571</v>
      </c>
      <c r="J125" s="407">
        <f>IF(Init!$R$9="Yes",'Staging Table'!K127,'Staging Table'!BM127)*(-1)*Rates_previous!$H$32</f>
        <v>-457420.54665999993</v>
      </c>
      <c r="K125" s="407">
        <f>IF(Init!$R$12="No",0,'Staging Table'!$AW127)</f>
        <v>0</v>
      </c>
      <c r="L125" s="407">
        <f>IF('Staging Table'!C127=1,"",SUM(D125:J125)-K125)</f>
        <v>5269017.9668584671</v>
      </c>
      <c r="M125" s="407">
        <f>IF('Staging Table'!C127=1,"",IF(Init!$R$9="Yes",(RT1SC!$C$3*'Staging Table'!F127*'Staging Table'!$F$2),X125))</f>
        <v>166585.59314251199</v>
      </c>
      <c r="N125" s="169">
        <f>IF('Staging Table'!C127=1,"",IF(M125=0, 0, L125/M125))</f>
        <v>31.629493688274021</v>
      </c>
      <c r="O125" s="407">
        <f>'Staging Table'!BH127*Rates_current!$E$75*100*12</f>
        <v>6913277.2944000009</v>
      </c>
      <c r="P125" s="407">
        <f>'Staging Table'!BH127*Rates_current!$E$76*100*12</f>
        <v>-972412.03080000007</v>
      </c>
      <c r="Q125" s="408"/>
      <c r="R125" s="408">
        <f>SUMPRODUCT('Staging Table'!CL127:CW127, LS_Demand_Rates_Restatement!$C$11:$N$11)*1000</f>
        <v>428729.95456115552</v>
      </c>
      <c r="S125" s="409"/>
      <c r="T125" s="409">
        <f>IF('Staging Table'!D127=1, 'Staging Table'!BJ127*-1*('Staging Table'!BH127/'Staging Table'!BG127),SUM(O125:S125)*'Staging Table'!BJ127*-1)</f>
        <v>-476463.97427609755</v>
      </c>
      <c r="U125" s="407">
        <f>'Staging Table'!BM127*Rates_current!$H$32*-1</f>
        <v>-457031.9140799999</v>
      </c>
      <c r="V125" s="407">
        <f>IF(Init!$R$12="No",0,'Staging Table'!$CY127)</f>
        <v>0</v>
      </c>
      <c r="W125" s="407">
        <f>IF('Staging Table'!C127=1,"",SUM(O125:U125)-V125)</f>
        <v>5436099.3298050594</v>
      </c>
      <c r="X125" s="407">
        <f>IF('Staging Table'!C127=1,"",(RT1SC!$C$4*'Staging Table'!BH127*'Staging Table'!$BH$2))</f>
        <v>165080.79507995999</v>
      </c>
      <c r="Y125" s="169">
        <f>IF('Staging Table'!C127=1,"",IF(X125=0, 0, W125/X125))</f>
        <v>32.929931838358193</v>
      </c>
      <c r="Z125" s="160">
        <f ca="1">IF('Staging Table'!C127=1,"",(Y125/N125-1)+(RAND()/100000000000000))</f>
        <v>4.1114731803831239E-2</v>
      </c>
      <c r="AA125" s="97">
        <f t="shared" ca="1" si="1"/>
        <v>94</v>
      </c>
      <c r="AB125" s="397"/>
      <c r="AC125" s="397"/>
      <c r="AD125" s="397"/>
    </row>
    <row r="126" spans="2:30">
      <c r="B126" s="274">
        <v>10440</v>
      </c>
      <c r="C126" s="275" t="s">
        <v>129</v>
      </c>
      <c r="D126" s="407">
        <f>IF(Init!$R$9="Yes",'Staging Table'!F128,'Staging Table'!BH128)*Rates_previous!$E$75*100*12</f>
        <v>1756734.8878799998</v>
      </c>
      <c r="E126" s="407">
        <f>IF(Init!$R$9="Yes",'Staging Table'!F128,'Staging Table'!BH128)*Rates_previous!$E$76*100*12</f>
        <v>-261157.10928</v>
      </c>
      <c r="F126" s="408"/>
      <c r="G126" s="408">
        <f>IF(Init!$R$9="Yes",SUMPRODUCT('Staging Table'!AJ128:AU128,LS_Demand_Rates_Restatement!$C$10:$N$10),SUMPRODUCT(LS_Demand_Rates_Restatement!$C$10:$N$10,'Staging Table'!CL128:CW128))*1000</f>
        <v>90281.148104727574</v>
      </c>
      <c r="H126" s="409"/>
      <c r="I126" s="409">
        <f>IF(Init!$R$9="Yes",IF('Staging Table'!D128=1,'Staging Table'!H128*-1*('Staging Table'!F128/'Staging Table'!E128),'Staging Table'!H128*SUM(D126:H126)*(-1)),IF('Staging Table'!D128=1,'Staging Table'!BJ128*-1*('Staging Table'!BH128/'Staging Table'!BG128),'Staging Table'!BJ128*SUM(D126:H126)*(-1)))</f>
        <v>-97451.03104600549</v>
      </c>
      <c r="J126" s="407">
        <f>IF(Init!$R$9="Yes",'Staging Table'!K128,'Staging Table'!BM128)*(-1)*Rates_previous!$H$32</f>
        <v>0</v>
      </c>
      <c r="K126" s="407">
        <f>IF(Init!$R$12="No",0,'Staging Table'!$AW128)</f>
        <v>0</v>
      </c>
      <c r="L126" s="407">
        <f>IF('Staging Table'!C128=1,"",SUM(D126:J126)-K126)</f>
        <v>1488407.8956587219</v>
      </c>
      <c r="M126" s="407">
        <f>IF('Staging Table'!C128=1,"",IF(Init!$R$9="Yes",(RT1SC!$C$3*'Staging Table'!F128*'Staging Table'!$F$2),X126))</f>
        <v>43532.585408807994</v>
      </c>
      <c r="N126" s="169">
        <f>IF('Staging Table'!C128=1,"",IF(M126=0, 0, L126/M126))</f>
        <v>34.190661585598605</v>
      </c>
      <c r="O126" s="407">
        <f>'Staging Table'!BH128*Rates_current!$E$75*100*12</f>
        <v>1801248.2208</v>
      </c>
      <c r="P126" s="407">
        <f>'Staging Table'!BH128*Rates_current!$E$76*100*12</f>
        <v>-253361.08559999996</v>
      </c>
      <c r="Q126" s="408"/>
      <c r="R126" s="408">
        <f>SUMPRODUCT('Staging Table'!CL128:CW128, LS_Demand_Rates_Restatement!$C$11:$N$11)*1000</f>
        <v>89368.86512467057</v>
      </c>
      <c r="S126" s="409"/>
      <c r="T126" s="409">
        <f>IF('Staging Table'!D128=1, 'Staging Table'!BJ128*-1*('Staging Table'!BH128/'Staging Table'!BG128),SUM(O126:S126)*'Staging Table'!BJ128*-1)</f>
        <v>-90049.08001785689</v>
      </c>
      <c r="U126" s="407">
        <f>'Staging Table'!BM128*Rates_current!$H$32*-1</f>
        <v>0</v>
      </c>
      <c r="V126" s="407">
        <f>IF(Init!$R$12="No",0,'Staging Table'!$CY128)</f>
        <v>0</v>
      </c>
      <c r="W126" s="407">
        <f>IF('Staging Table'!C128=1,"",SUM(O126:U126)-V126)</f>
        <v>1547206.9203068139</v>
      </c>
      <c r="X126" s="407">
        <f>IF('Staging Table'!C128=1,"",(RT1SC!$C$4*'Staging Table'!BH128*'Staging Table'!$BH$2))</f>
        <v>43011.653628719992</v>
      </c>
      <c r="Y126" s="169">
        <f>IF('Staging Table'!C128=1,"",IF(X126=0, 0, W126/X126))</f>
        <v>35.971807400441442</v>
      </c>
      <c r="Z126" s="160">
        <f ca="1">IF('Staging Table'!C128=1,"",(Y126/N126-1)+(RAND()/100000000000000))</f>
        <v>5.2094511549118656E-2</v>
      </c>
      <c r="AA126" s="97">
        <f t="shared" ca="1" si="1"/>
        <v>8</v>
      </c>
      <c r="AB126" s="397"/>
      <c r="AC126" s="397"/>
      <c r="AD126" s="397"/>
    </row>
    <row r="127" spans="2:30">
      <c r="B127" s="274">
        <v>10442</v>
      </c>
      <c r="C127" s="275" t="s">
        <v>130</v>
      </c>
      <c r="D127" s="407">
        <f>IF(Init!$R$9="Yes",'Staging Table'!F129,'Staging Table'!BH129)*Rates_previous!$E$75*100*12</f>
        <v>4481320.0521600004</v>
      </c>
      <c r="E127" s="407">
        <f>IF(Init!$R$9="Yes",'Staging Table'!F129,'Staging Table'!BH129)*Rates_previous!$E$76*100*12</f>
        <v>-666195.33695999999</v>
      </c>
      <c r="F127" s="408"/>
      <c r="G127" s="408">
        <f>IF(Init!$R$9="Yes",SUMPRODUCT('Staging Table'!AJ129:AU129,LS_Demand_Rates_Restatement!$C$10:$N$10),SUMPRODUCT(LS_Demand_Rates_Restatement!$C$10:$N$10,'Staging Table'!CL129:CW129))*1000</f>
        <v>392167.71682722564</v>
      </c>
      <c r="H127" s="409"/>
      <c r="I127" s="409">
        <f>IF(Init!$R$9="Yes",IF('Staging Table'!D129=1,'Staging Table'!H129*-1*('Staging Table'!F129/'Staging Table'!E129),'Staging Table'!H129*SUM(D127:H127)*(-1)),IF('Staging Table'!D129=1,'Staging Table'!BJ129*-1*('Staging Table'!BH129/'Staging Table'!BG129),'Staging Table'!BJ129*SUM(D127:H127)*(-1)))</f>
        <v>-294510.47024190589</v>
      </c>
      <c r="J127" s="407">
        <f>IF(Init!$R$9="Yes",'Staging Table'!K129,'Staging Table'!BM129)*(-1)*Rates_previous!$H$32</f>
        <v>-114561.2941</v>
      </c>
      <c r="K127" s="407">
        <f>IF(Init!$R$12="No",0,'Staging Table'!$AW129)</f>
        <v>0</v>
      </c>
      <c r="L127" s="407">
        <f>IF('Staging Table'!C129=1,"",SUM(D127:J127)-K127)</f>
        <v>3798220.6676853201</v>
      </c>
      <c r="M127" s="407">
        <f>IF('Staging Table'!C129=1,"",IF(Init!$R$9="Yes",(RT1SC!$C$3*'Staging Table'!F129*'Staging Table'!$F$2),X127))</f>
        <v>111048.88350585601</v>
      </c>
      <c r="N127" s="169">
        <f>IF('Staging Table'!C129=1,"",IF(M127=0, 0, L127/M127))</f>
        <v>34.203141425415829</v>
      </c>
      <c r="O127" s="407">
        <f>'Staging Table'!BH129*Rates_current!$E$75*100*12</f>
        <v>4787447.7110400004</v>
      </c>
      <c r="P127" s="407">
        <f>'Staging Table'!BH129*Rates_current!$E$76*100*12</f>
        <v>-673395.77928000002</v>
      </c>
      <c r="Q127" s="408"/>
      <c r="R127" s="408">
        <f>SUMPRODUCT('Staging Table'!CL129:CW129, LS_Demand_Rates_Restatement!$C$11:$N$11)*1000</f>
        <v>387349.44658755331</v>
      </c>
      <c r="S127" s="409"/>
      <c r="T127" s="409">
        <f>IF('Staging Table'!D129=1, 'Staging Table'!BJ129*-1*('Staging Table'!BH129/'Staging Table'!BG129),SUM(O127:S127)*'Staging Table'!BJ129*-1)</f>
        <v>-315098.09648432885</v>
      </c>
      <c r="U127" s="407">
        <f>'Staging Table'!BM129*Rates_current!$H$32*-1</f>
        <v>-114463.9608</v>
      </c>
      <c r="V127" s="407">
        <f>IF(Init!$R$12="No",0,'Staging Table'!$CY129)</f>
        <v>0</v>
      </c>
      <c r="W127" s="407">
        <f>IF('Staging Table'!C129=1,"",SUM(O127:U127)-V127)</f>
        <v>4071839.3210632256</v>
      </c>
      <c r="X127" s="407">
        <f>IF('Staging Table'!C129=1,"",(RT1SC!$C$4*'Staging Table'!BH129*'Staging Table'!$BH$2))</f>
        <v>114318.52663893599</v>
      </c>
      <c r="Y127" s="169">
        <f>IF('Staging Table'!C129=1,"",IF(X127=0, 0, W127/X127))</f>
        <v>35.618367737748549</v>
      </c>
      <c r="Z127" s="160">
        <f ca="1">IF('Staging Table'!C129=1,"",(Y127/N127-1)+(RAND()/100000000000000))</f>
        <v>4.1377085652177556E-2</v>
      </c>
      <c r="AA127" s="97">
        <f t="shared" ca="1" si="1"/>
        <v>89</v>
      </c>
      <c r="AB127" s="397"/>
      <c r="AC127" s="397"/>
      <c r="AD127" s="397"/>
    </row>
    <row r="128" spans="2:30">
      <c r="B128" s="274">
        <v>10446</v>
      </c>
      <c r="C128" s="275" t="s">
        <v>131</v>
      </c>
      <c r="D128" s="407">
        <f>IF(Init!$R$9="Yes",'Staging Table'!F130,'Staging Table'!BH130)*Rates_previous!$E$75*100*12</f>
        <v>33617326.352399997</v>
      </c>
      <c r="E128" s="407">
        <f>IF(Init!$R$9="Yes",'Staging Table'!F130,'Staging Table'!BH130)*Rates_previous!$E$76*100*12</f>
        <v>-4997568.9743999997</v>
      </c>
      <c r="F128" s="408"/>
      <c r="G128" s="408">
        <f>IF(Init!$R$9="Yes",SUMPRODUCT('Staging Table'!AJ130:AU130,LS_Demand_Rates_Restatement!$C$10:$N$10),SUMPRODUCT(LS_Demand_Rates_Restatement!$C$10:$N$10,'Staging Table'!CL130:CW130))*1000</f>
        <v>1007967.6125051548</v>
      </c>
      <c r="H128" s="409"/>
      <c r="I128" s="409">
        <f>IF(Init!$R$9="Yes",IF('Staging Table'!D130=1,'Staging Table'!H130*-1*('Staging Table'!F130/'Staging Table'!E130),'Staging Table'!H130*SUM(D128:H128)*(-1)),IF('Staging Table'!D130=1,'Staging Table'!BJ130*-1*('Staging Table'!BH130/'Staging Table'!BG130),'Staging Table'!BJ130*SUM(D128:H128)*(-1)))</f>
        <v>-1715148.9997003432</v>
      </c>
      <c r="J128" s="407">
        <f>IF(Init!$R$9="Yes",'Staging Table'!K130,'Staging Table'!BM130)*(-1)*Rates_previous!$H$32</f>
        <v>-84406.671799999996</v>
      </c>
      <c r="K128" s="407">
        <f>IF(Init!$R$12="No",0,'Staging Table'!$AW130)</f>
        <v>0</v>
      </c>
      <c r="L128" s="407">
        <f>IF('Staging Table'!C130=1,"",SUM(D128:J128)-K128)</f>
        <v>27828169.319004815</v>
      </c>
      <c r="M128" s="407">
        <f>IF('Staging Table'!C130=1,"",IF(Init!$R$9="Yes",(RT1SC!$C$3*'Staging Table'!F130*'Staging Table'!$F$2),X128))</f>
        <v>833050.6445498399</v>
      </c>
      <c r="N128" s="169">
        <f>IF('Staging Table'!C130=1,"",IF(M128=0, 0, L128/M128))</f>
        <v>33.40513509120742</v>
      </c>
      <c r="O128" s="407">
        <f>'Staging Table'!BH130*Rates_current!$E$75*100*12</f>
        <v>34569953.300160006</v>
      </c>
      <c r="P128" s="407">
        <f>'Staging Table'!BH130*Rates_current!$E$76*100*12</f>
        <v>-4862561.8591200002</v>
      </c>
      <c r="Q128" s="408"/>
      <c r="R128" s="408">
        <f>SUMPRODUCT('Staging Table'!CL130:CW130, LS_Demand_Rates_Restatement!$C$11:$N$11)*1000</f>
        <v>928881.17754230753</v>
      </c>
      <c r="S128" s="409"/>
      <c r="T128" s="409">
        <f>IF('Staging Table'!D130=1, 'Staging Table'!BJ130*-1*('Staging Table'!BH130/'Staging Table'!BG130),SUM(O128:S128)*'Staging Table'!BJ130*-1)</f>
        <v>-1884231.2245635071</v>
      </c>
      <c r="U128" s="407">
        <f>'Staging Table'!BM130*Rates_current!$H$32*-1</f>
        <v>-84334.958400000003</v>
      </c>
      <c r="V128" s="407">
        <f>IF(Init!$R$12="No",0,'Staging Table'!$CY130)</f>
        <v>0</v>
      </c>
      <c r="W128" s="407">
        <f>IF('Staging Table'!C130=1,"",SUM(O128:U128)-V128)</f>
        <v>28667706.435618807</v>
      </c>
      <c r="X128" s="407">
        <f>IF('Staging Table'!C130=1,"",(RT1SC!$C$4*'Staging Table'!BH130*'Staging Table'!$BH$2))</f>
        <v>825489.14699114393</v>
      </c>
      <c r="Y128" s="169">
        <f>IF('Staging Table'!C130=1,"",IF(X128=0, 0, W128/X128))</f>
        <v>34.728144567509815</v>
      </c>
      <c r="Z128" s="160">
        <f ca="1">IF('Staging Table'!C130=1,"",(Y128/N128-1)+(RAND()/100000000000000))</f>
        <v>3.9604973088429307E-2</v>
      </c>
      <c r="AA128" s="97">
        <f t="shared" ca="1" si="1"/>
        <v>105</v>
      </c>
      <c r="AB128" s="397"/>
      <c r="AC128" s="397"/>
      <c r="AD128" s="397"/>
    </row>
    <row r="129" spans="1:30">
      <c r="B129" s="274">
        <v>10448</v>
      </c>
      <c r="C129" s="275" t="s">
        <v>132</v>
      </c>
      <c r="D129" s="407">
        <f>IF(Init!$R$9="Yes",'Staging Table'!F131,'Staging Table'!BH131)*Rates_previous!$E$75*100*12</f>
        <v>2934987.3982799998</v>
      </c>
      <c r="E129" s="407">
        <f>IF(Init!$R$9="Yes",'Staging Table'!F131,'Staging Table'!BH131)*Rates_previous!$E$76*100*12</f>
        <v>-436316.73167999997</v>
      </c>
      <c r="F129" s="408"/>
      <c r="G129" s="408">
        <f>IF(Init!$R$9="Yes",SUMPRODUCT('Staging Table'!AJ131:AU131,LS_Demand_Rates_Restatement!$C$10:$N$10),SUMPRODUCT(LS_Demand_Rates_Restatement!$C$10:$N$10,'Staging Table'!CL131:CW131))*1000</f>
        <v>0</v>
      </c>
      <c r="H129" s="409"/>
      <c r="I129" s="409">
        <f>IF(Init!$R$9="Yes",IF('Staging Table'!D131=1,'Staging Table'!H131*-1*('Staging Table'!F131/'Staging Table'!E131),'Staging Table'!H131*SUM(D129:H129)*(-1)),IF('Staging Table'!D131=1,'Staging Table'!BJ131*-1*('Staging Table'!BH131/'Staging Table'!BG131),'Staging Table'!BJ131*SUM(D129:H129)*(-1)))</f>
        <v>-174906.94666200003</v>
      </c>
      <c r="J129" s="407">
        <f>IF(Init!$R$9="Yes",'Staging Table'!K131,'Staging Table'!BM131)*(-1)*Rates_previous!$H$32</f>
        <v>0</v>
      </c>
      <c r="K129" s="407">
        <f>IF(Init!$R$12="No",0,'Staging Table'!$AW131)</f>
        <v>0</v>
      </c>
      <c r="L129" s="407" t="str">
        <f>IF('Staging Table'!C131=1,"",SUM(D129:J129)-K129)</f>
        <v/>
      </c>
      <c r="M129" s="407" t="str">
        <f>IF('Staging Table'!C131=1,"",IF(Init!$R$9="Yes",(RT1SC!$C$3*'Staging Table'!F131*'Staging Table'!$F$2),X129))</f>
        <v/>
      </c>
      <c r="N129" s="169" t="str">
        <f>IF('Staging Table'!C131=1,"",IF(M129=0, 0, L129/M129))</f>
        <v/>
      </c>
      <c r="O129" s="407">
        <f>'Staging Table'!BH131*Rates_current!$E$75*100*12</f>
        <v>2990530.6387200002</v>
      </c>
      <c r="P129" s="407">
        <f>'Staging Table'!BH131*Rates_current!$E$76*100*12</f>
        <v>-420643.90704000002</v>
      </c>
      <c r="Q129" s="408"/>
      <c r="R129" s="408">
        <f>SUMPRODUCT('Staging Table'!CL131:CW131, LS_Demand_Rates_Restatement!$C$11:$N$11)*1000</f>
        <v>0</v>
      </c>
      <c r="S129" s="409"/>
      <c r="T129" s="409">
        <f>IF('Staging Table'!D131=1, 'Staging Table'!BJ131*-1*('Staging Table'!BH131/'Staging Table'!BG131),SUM(O129:S129)*'Staging Table'!BJ131*-1)</f>
        <v>-179892.07121760002</v>
      </c>
      <c r="U129" s="407">
        <f>'Staging Table'!BM131*Rates_current!$H$32*-1</f>
        <v>0</v>
      </c>
      <c r="V129" s="407">
        <f>IF(Init!$R$12="No",0,'Staging Table'!$CY131)</f>
        <v>0</v>
      </c>
      <c r="W129" s="407" t="str">
        <f>IF('Staging Table'!C131=1,"",SUM(O129:U129)-V129)</f>
        <v/>
      </c>
      <c r="X129" s="407" t="str">
        <f>IF('Staging Table'!C131=1,"",(RT1SC!$C$4*'Staging Table'!BH131*'Staging Table'!$BH$2))</f>
        <v/>
      </c>
      <c r="Y129" s="169" t="str">
        <f>IF('Staging Table'!C131=1,"",IF(X129=0, 0, W129/X129))</f>
        <v/>
      </c>
      <c r="Z129" s="160" t="str">
        <f>IF('Staging Table'!C131=1,"",Y129/N129-1)</f>
        <v/>
      </c>
      <c r="AA129" s="97" t="str">
        <f t="shared" si="1"/>
        <v/>
      </c>
      <c r="AB129" s="397"/>
      <c r="AC129" s="397"/>
      <c r="AD129" s="397"/>
    </row>
    <row r="130" spans="1:30">
      <c r="B130" s="274">
        <v>10451</v>
      </c>
      <c r="C130" s="275" t="s">
        <v>133</v>
      </c>
      <c r="D130" s="407">
        <f>IF(Init!$R$9="Yes",'Staging Table'!F132,'Staging Table'!BH132)*Rates_previous!$E$75*100*12</f>
        <v>9213142.5287999995</v>
      </c>
      <c r="E130" s="407">
        <f>IF(Init!$R$9="Yes",'Staging Table'!F132,'Staging Table'!BH132)*Rates_previous!$E$76*100*12</f>
        <v>-1369630.4928000001</v>
      </c>
      <c r="F130" s="408"/>
      <c r="G130" s="408">
        <f>IF(Init!$R$9="Yes",SUMPRODUCT('Staging Table'!AJ132:AU132,LS_Demand_Rates_Restatement!$C$10:$N$10),SUMPRODUCT(LS_Demand_Rates_Restatement!$C$10:$N$10,'Staging Table'!CL132:CW132))*1000</f>
        <v>191899.25181931091</v>
      </c>
      <c r="H130" s="409"/>
      <c r="I130" s="409">
        <f>IF(Init!$R$9="Yes",IF('Staging Table'!D132=1,'Staging Table'!H132*-1*('Staging Table'!F132/'Staging Table'!E132),'Staging Table'!H132*SUM(D130:H130)*(-1)),IF('Staging Table'!D132=1,'Staging Table'!BJ132*-1*('Staging Table'!BH132/'Staging Table'!BG132),'Staging Table'!BJ132*SUM(D130:H130)*(-1)))</f>
        <v>0</v>
      </c>
      <c r="J130" s="407">
        <f>IF(Init!$R$9="Yes",'Staging Table'!K132,'Staging Table'!BM132)*(-1)*Rates_previous!$H$32</f>
        <v>0</v>
      </c>
      <c r="K130" s="407">
        <f>IF(Init!$R$12="No",0,'Staging Table'!$AW132)</f>
        <v>0</v>
      </c>
      <c r="L130" s="407">
        <f>IF('Staging Table'!C132=1,"",SUM(D130:J130)-K130)</f>
        <v>8035411.2878193101</v>
      </c>
      <c r="M130" s="407">
        <f>IF('Staging Table'!C132=1,"",IF(Init!$R$9="Yes",(RT1SC!$C$3*'Staging Table'!F132*'Staging Table'!$F$2),X130))</f>
        <v>228305.31617807999</v>
      </c>
      <c r="N130" s="169">
        <f>IF('Staging Table'!C132=1,"",IF(M130=0, 0, L130/M130))</f>
        <v>35.195900920465753</v>
      </c>
      <c r="O130" s="407">
        <f>'Staging Table'!BH132*Rates_current!$E$75*100*12</f>
        <v>9605977.7817600016</v>
      </c>
      <c r="P130" s="407">
        <f>'Staging Table'!BH132*Rates_current!$E$76*100*12</f>
        <v>-1351163.5603199999</v>
      </c>
      <c r="Q130" s="408"/>
      <c r="R130" s="408">
        <f>SUMPRODUCT('Staging Table'!CL132:CW132, LS_Demand_Rates_Restatement!$C$11:$N$11)*1000</f>
        <v>178400.1715376603</v>
      </c>
      <c r="S130" s="409"/>
      <c r="T130" s="409">
        <f>IF('Staging Table'!D132=1, 'Staging Table'!BJ132*-1*('Staging Table'!BH132/'Staging Table'!BG132),SUM(O130:S130)*'Staging Table'!BJ132*-1)</f>
        <v>0</v>
      </c>
      <c r="U130" s="407">
        <f>'Staging Table'!BM132*Rates_current!$H$32*-1</f>
        <v>0</v>
      </c>
      <c r="V130" s="407">
        <f>IF(Init!$R$12="No",0,'Staging Table'!$CY132)</f>
        <v>0</v>
      </c>
      <c r="W130" s="407">
        <f>IF('Staging Table'!C132=1,"",SUM(O130:U130)-V130)</f>
        <v>8433214.3929776624</v>
      </c>
      <c r="X130" s="407">
        <f>IF('Staging Table'!C132=1,"",(RT1SC!$C$4*'Staging Table'!BH132*'Staging Table'!$BH$2))</f>
        <v>229379.26285958398</v>
      </c>
      <c r="Y130" s="169">
        <f>IF('Staging Table'!C132=1,"",IF(X130=0, 0, W130/X130))</f>
        <v>36.765374026596774</v>
      </c>
      <c r="Z130" s="160">
        <f ca="1">IF('Staging Table'!C132=1,"",(Y130/N130-1)+(RAND()/100000000000000))</f>
        <v>4.4592496997808886E-2</v>
      </c>
      <c r="AA130" s="97">
        <f t="shared" ca="1" si="1"/>
        <v>45</v>
      </c>
      <c r="AB130" s="397"/>
      <c r="AC130" s="397"/>
      <c r="AD130" s="397"/>
    </row>
    <row r="131" spans="1:30">
      <c r="B131" s="274">
        <v>10482</v>
      </c>
      <c r="C131" s="275" t="s">
        <v>134</v>
      </c>
      <c r="D131" s="407">
        <f>IF(Init!$R$9="Yes",'Staging Table'!F133,'Staging Table'!BH133)*Rates_previous!$E$75*100*12</f>
        <v>1006465.27464</v>
      </c>
      <c r="E131" s="407">
        <f>IF(Init!$R$9="Yes",'Staging Table'!F133,'Staging Table'!BH133)*Rates_previous!$E$76*100*12</f>
        <v>-149621.64384</v>
      </c>
      <c r="F131" s="408"/>
      <c r="G131" s="408">
        <f>IF(Init!$R$9="Yes",SUMPRODUCT('Staging Table'!AJ133:AU133,LS_Demand_Rates_Restatement!$C$10:$N$10),SUMPRODUCT(LS_Demand_Rates_Restatement!$C$10:$N$10,'Staging Table'!CL133:CW133))*1000</f>
        <v>57197.328415188742</v>
      </c>
      <c r="H131" s="409"/>
      <c r="I131" s="409">
        <f>IF(Init!$R$9="Yes",IF('Staging Table'!D133=1,'Staging Table'!H133*-1*('Staging Table'!F133/'Staging Table'!E133),'Staging Table'!H133*SUM(D131:H131)*(-1)),IF('Staging Table'!D133=1,'Staging Table'!BJ133*-1*('Staging Table'!BH133/'Staging Table'!BG133),'Staging Table'!BJ133*SUM(D131:H131)*(-1)))</f>
        <v>0</v>
      </c>
      <c r="J131" s="407">
        <f>IF(Init!$R$9="Yes",'Staging Table'!K133,'Staging Table'!BM133)*(-1)*Rates_previous!$H$32</f>
        <v>0</v>
      </c>
      <c r="K131" s="407">
        <f>IF(Init!$R$12="No",0,'Staging Table'!$AW133)</f>
        <v>0</v>
      </c>
      <c r="L131" s="407">
        <f>IF('Staging Table'!C133=1,"",SUM(D131:J131)-K131)</f>
        <v>914040.95921518863</v>
      </c>
      <c r="M131" s="407">
        <f>IF('Staging Table'!C133=1,"",IF(Init!$R$9="Yes",(RT1SC!$C$3*'Staging Table'!F133*'Staging Table'!$F$2),X131))</f>
        <v>24940.607619024002</v>
      </c>
      <c r="N131" s="169">
        <f>IF('Staging Table'!C133=1,"",IF(M131=0, 0, L131/M131))</f>
        <v>36.648704521456146</v>
      </c>
      <c r="O131" s="407">
        <f>'Staging Table'!BH133*Rates_current!$E$75*100*12</f>
        <v>994635.50976000004</v>
      </c>
      <c r="P131" s="407">
        <f>'Staging Table'!BH133*Rates_current!$E$76*100*12</f>
        <v>-139904.05632</v>
      </c>
      <c r="Q131" s="408"/>
      <c r="R131" s="408">
        <f>SUMPRODUCT('Staging Table'!CL133:CW133, LS_Demand_Rates_Restatement!$C$11:$N$11)*1000</f>
        <v>54278.49204764067</v>
      </c>
      <c r="S131" s="409"/>
      <c r="T131" s="409">
        <f>IF('Staging Table'!D133=1, 'Staging Table'!BJ133*-1*('Staging Table'!BH133/'Staging Table'!BG133),SUM(O131:S131)*'Staging Table'!BJ133*-1)</f>
        <v>0</v>
      </c>
      <c r="U131" s="407">
        <f>'Staging Table'!BM133*Rates_current!$H$32*-1</f>
        <v>0</v>
      </c>
      <c r="V131" s="407">
        <f>IF(Init!$R$12="No",0,'Staging Table'!$CY133)</f>
        <v>0</v>
      </c>
      <c r="W131" s="407">
        <f>IF('Staging Table'!C133=1,"",SUM(O131:U131)-V131)</f>
        <v>909009.9454876408</v>
      </c>
      <c r="X131" s="407">
        <f>IF('Staging Table'!C133=1,"",(RT1SC!$C$4*'Staging Table'!BH133*'Staging Table'!$BH$2))</f>
        <v>23750.706614783998</v>
      </c>
      <c r="Y131" s="169">
        <f>IF('Staging Table'!C133=1,"",IF(X131=0, 0, W131/X131))</f>
        <v>38.272964262958531</v>
      </c>
      <c r="Z131" s="160">
        <f ca="1">IF('Staging Table'!C133=1,"",(Y131/N131-1)+(RAND()/100000000000000))</f>
        <v>4.4319704139932421E-2</v>
      </c>
      <c r="AA131" s="97">
        <f t="shared" ca="1" si="1"/>
        <v>50</v>
      </c>
      <c r="AB131" s="397"/>
      <c r="AC131" s="397"/>
      <c r="AD131" s="397"/>
    </row>
    <row r="132" spans="1:30">
      <c r="B132" s="274">
        <v>10502</v>
      </c>
      <c r="C132" s="275" t="s">
        <v>135</v>
      </c>
      <c r="D132" s="407">
        <f>IF(Init!$R$9="Yes",'Staging Table'!F134,'Staging Table'!BH134)*Rates_previous!$E$75*100*12</f>
        <v>4083536.0638800003</v>
      </c>
      <c r="E132" s="407">
        <f>IF(Init!$R$9="Yes",'Staging Table'!F134,'Staging Table'!BH134)*Rates_previous!$E$76*100*12</f>
        <v>-607060.56527999998</v>
      </c>
      <c r="F132" s="408"/>
      <c r="G132" s="408">
        <f>IF(Init!$R$9="Yes",SUMPRODUCT('Staging Table'!AJ134:AU134,LS_Demand_Rates_Restatement!$C$10:$N$10),SUMPRODUCT(LS_Demand_Rates_Restatement!$C$10:$N$10,'Staging Table'!CL134:CW134))*1000</f>
        <v>523563.03821258905</v>
      </c>
      <c r="H132" s="409"/>
      <c r="I132" s="409">
        <f>IF(Init!$R$9="Yes",IF('Staging Table'!D134=1,'Staging Table'!H134*-1*('Staging Table'!F134/'Staging Table'!E134),'Staging Table'!H134*SUM(D132:H132)*(-1)),IF('Staging Table'!D134=1,'Staging Table'!BJ134*-1*('Staging Table'!BH134/'Staging Table'!BG134),'Staging Table'!BJ134*SUM(D132:H132)*(-1)))</f>
        <v>-284962.74536252889</v>
      </c>
      <c r="J132" s="407">
        <f>IF(Init!$R$9="Yes",'Staging Table'!K134,'Staging Table'!BM134)*(-1)*Rates_previous!$H$32</f>
        <v>-84622.733689999994</v>
      </c>
      <c r="K132" s="407">
        <f>IF(Init!$R$12="No",0,'Staging Table'!$AW134)</f>
        <v>0</v>
      </c>
      <c r="L132" s="407">
        <f>IF('Staging Table'!C134=1,"",SUM(D132:J132)-K132)</f>
        <v>3630453.0577600603</v>
      </c>
      <c r="M132" s="407">
        <f>IF('Staging Table'!C134=1,"",IF(Init!$R$9="Yes",(RT1SC!$C$3*'Staging Table'!F134*'Staging Table'!$F$2),X132))</f>
        <v>101191.63893040799</v>
      </c>
      <c r="N132" s="169">
        <f>IF('Staging Table'!C134=1,"",IF(M132=0, 0, L132/M132))</f>
        <v>35.877006204601678</v>
      </c>
      <c r="O132" s="407">
        <f>'Staging Table'!BH134*Rates_current!$E$75*100*12</f>
        <v>6091632.9503999986</v>
      </c>
      <c r="P132" s="407">
        <f>'Staging Table'!BH134*Rates_current!$E$76*100*12</f>
        <v>-856840.67279999983</v>
      </c>
      <c r="Q132" s="408"/>
      <c r="R132" s="408">
        <f>SUMPRODUCT('Staging Table'!CL134:CW134, LS_Demand_Rates_Restatement!$C$11:$N$11)*1000</f>
        <v>295904.15575909015</v>
      </c>
      <c r="S132" s="409"/>
      <c r="T132" s="409">
        <f>IF('Staging Table'!D134=1, 'Staging Table'!BJ134*-1*('Staging Table'!BH134/'Staging Table'!BG134),SUM(O132:S132)*'Staging Table'!BJ134*-1)</f>
        <v>-387148.75033513631</v>
      </c>
      <c r="U132" s="407">
        <f>'Staging Table'!BM134*Rates_current!$H$32*-1</f>
        <v>-84550.836719999992</v>
      </c>
      <c r="V132" s="407">
        <f>IF(Init!$R$12="No",0,'Staging Table'!$CY134)</f>
        <v>0</v>
      </c>
      <c r="W132" s="407">
        <f>IF('Staging Table'!C134=1,"",SUM(O132:U132)-V132)</f>
        <v>5058996.8463039529</v>
      </c>
      <c r="X132" s="407">
        <f>IF('Staging Table'!C134=1,"",(RT1SC!$C$4*'Staging Table'!BH134*'Staging Table'!$BH$2))</f>
        <v>145460.91064536001</v>
      </c>
      <c r="Y132" s="169">
        <f>IF('Staging Table'!C134=1,"",IF(X132=0, 0, W132/X132))</f>
        <v>34.779081361851269</v>
      </c>
      <c r="Z132" s="160">
        <f ca="1">IF('Staging Table'!C134=1,"",(Y132/N132-1)+(RAND()/100000000000000))</f>
        <v>-3.0602465447891174E-2</v>
      </c>
      <c r="AA132" s="97">
        <f t="shared" ref="AA132" ca="1" si="2">IF(Z132="","",RANK(Z132,$Z$4:$Z$138))</f>
        <v>117</v>
      </c>
      <c r="AB132" s="397"/>
      <c r="AC132" s="397"/>
      <c r="AD132" s="397"/>
    </row>
    <row r="133" spans="1:30" s="138" customFormat="1">
      <c r="A133" s="140"/>
      <c r="B133" s="296">
        <v>10999</v>
      </c>
      <c r="C133" s="297" t="s">
        <v>320</v>
      </c>
      <c r="D133" s="407">
        <f>IF(Init!$R$9="Yes",'Staging Table'!F135,'Staging Table'!BH135)*Rates_previous!$E$75*100*12</f>
        <v>0</v>
      </c>
      <c r="E133" s="407">
        <f>IF(Init!$R$9="Yes",'Staging Table'!F135,'Staging Table'!BH135)*Rates_previous!$E$76*100*12</f>
        <v>0</v>
      </c>
      <c r="F133" s="408"/>
      <c r="G133" s="408">
        <f>IF(Init!$R$9="Yes",SUMPRODUCT('Staging Table'!AJ135:AU135,LS_Demand_Rates_Restatement!$C$10:$N$10),SUMPRODUCT(LS_Demand_Rates_Restatement!$C$10:$N$10,'Staging Table'!CL135:CW135))*1000</f>
        <v>0</v>
      </c>
      <c r="H133" s="409"/>
      <c r="I133" s="409">
        <f>IF(Init!$R$9="Yes",IF('Staging Table'!D135=1,'Staging Table'!H135*-1*('Staging Table'!F135/'Staging Table'!E135),'Staging Table'!H135*SUM(D133:H133)*(-1)),IF('Staging Table'!D135=1,'Staging Table'!BJ135*-1*('Staging Table'!BH135/'Staging Table'!BG135),'Staging Table'!BJ135*SUM(D133:H133)*(-1)))</f>
        <v>0</v>
      </c>
      <c r="J133" s="407">
        <f>IF(Init!$R$9="Yes",'Staging Table'!K135,'Staging Table'!BM135)*(-1)*Rates_previous!$H$32</f>
        <v>0</v>
      </c>
      <c r="K133" s="407">
        <f>IF(Init!$R$12="No",0,'Staging Table'!$AW135)</f>
        <v>0</v>
      </c>
      <c r="L133" s="407">
        <f>IF('Staging Table'!C135=1,"",SUM(D133:J133)-K133)</f>
        <v>0</v>
      </c>
      <c r="M133" s="407">
        <f>IF('Staging Table'!C135=1,"",IF(Init!$R$9="Yes",(RT1SC!$C$3*'Staging Table'!F135*'Staging Table'!$F$2),X133))</f>
        <v>0</v>
      </c>
      <c r="N133" s="169">
        <f>IF('Staging Table'!C135=1,"",IF(M133=0, 0, L133/M133))</f>
        <v>0</v>
      </c>
      <c r="O133" s="407">
        <f>'Staging Table'!BH135*Rates_current!$E$75*100*12</f>
        <v>1470297.5222400001</v>
      </c>
      <c r="P133" s="407">
        <f>'Staging Table'!BH135*Rates_current!$E$76*100*12</f>
        <v>-206810.01768000002</v>
      </c>
      <c r="Q133" s="408"/>
      <c r="R133" s="408">
        <f>SUMPRODUCT('Staging Table'!CL135:CW135, LS_Demand_Rates_Restatement!$C$11:$N$11)*1000</f>
        <v>29008.689270423776</v>
      </c>
      <c r="S133" s="409"/>
      <c r="T133" s="409">
        <f>IF('Staging Table'!D135=1, 'Staging Table'!BJ135*-1*('Staging Table'!BH135/'Staging Table'!BG135),SUM(O133:S133)*'Staging Table'!BJ135*-1)</f>
        <v>0</v>
      </c>
      <c r="U133" s="407">
        <f>'Staging Table'!BM135*Rates_current!$H$32*-1</f>
        <v>0</v>
      </c>
      <c r="V133" s="407">
        <f>IF(Init!$R$12="No",0,'Staging Table'!$CY135)</f>
        <v>0</v>
      </c>
      <c r="W133" s="407">
        <f>IF('Staging Table'!C135=1,"",SUM(O133:U133)-V133)</f>
        <v>1292496.1938304238</v>
      </c>
      <c r="X133" s="407">
        <f>IF('Staging Table'!C135=1,"",(RT1SC!$C$4*'Staging Table'!BH135*'Staging Table'!$BH$2))</f>
        <v>35108.946689015997</v>
      </c>
      <c r="Y133" s="169">
        <f>IF('Staging Table'!C135=1,"",IF(X133=0, 0, W133/X133))</f>
        <v>36.813869845738992</v>
      </c>
      <c r="Z133" s="160"/>
      <c r="AA133" s="97"/>
      <c r="AB133" s="397"/>
      <c r="AC133" s="397"/>
      <c r="AD133" s="397"/>
    </row>
    <row r="134" spans="1:30">
      <c r="B134" s="274">
        <v>10597</v>
      </c>
      <c r="C134" s="275" t="s">
        <v>136</v>
      </c>
      <c r="D134" s="407">
        <f>IF(Init!$R$9="Yes",'Staging Table'!F136,'Staging Table'!BH136)*Rates_previous!$E$75*100*12</f>
        <v>4430328.4519200008</v>
      </c>
      <c r="E134" s="407">
        <f>IF(Init!$R$9="Yes",'Staging Table'!F136,'Staging Table'!BH136)*Rates_previous!$E$76*100*12</f>
        <v>-658614.89951999998</v>
      </c>
      <c r="F134" s="408"/>
      <c r="G134" s="408">
        <f>IF(Init!$R$9="Yes",SUMPRODUCT('Staging Table'!AJ136:AU136,LS_Demand_Rates_Restatement!$C$10:$N$10),SUMPRODUCT(LS_Demand_Rates_Restatement!$C$10:$N$10,'Staging Table'!CL136:CW136))*1000</f>
        <v>204714.68212651354</v>
      </c>
      <c r="H134" s="409"/>
      <c r="I134" s="409">
        <f>IF(Init!$R$9="Yes",IF('Staging Table'!D136=1,'Staging Table'!H136*-1*('Staging Table'!F136/'Staging Table'!E136),'Staging Table'!H136*SUM(D134:H134)*(-1)),IF('Staging Table'!D136=1,'Staging Table'!BJ136*-1*('Staging Table'!BH136/'Staging Table'!BG136),'Staging Table'!BJ136*SUM(D134:H134)*(-1)))</f>
        <v>0</v>
      </c>
      <c r="J134" s="407">
        <f>IF(Init!$R$9="Yes",'Staging Table'!K136,'Staging Table'!BM136)*(-1)*Rates_previous!$H$32</f>
        <v>0</v>
      </c>
      <c r="K134" s="407">
        <f>IF(Init!$R$12="No",0,'Staging Table'!$AW136)</f>
        <v>0</v>
      </c>
      <c r="L134" s="407">
        <f>IF('Staging Table'!C136=1,"",SUM(D134:J134)-K134)</f>
        <v>3976428.2345265145</v>
      </c>
      <c r="M134" s="407">
        <f>IF('Staging Table'!C136=1,"",IF(Init!$R$9="Yes",(RT1SC!$C$3*'Staging Table'!F136*'Staging Table'!$F$2),X134))</f>
        <v>109785.291481872</v>
      </c>
      <c r="N134" s="169">
        <f>IF('Staging Table'!C136=1,"",IF(M134=0, 0, L134/M134))</f>
        <v>36.220045334425436</v>
      </c>
      <c r="O134" s="407">
        <f>'Staging Table'!BH136*Rates_current!$E$75*100*12</f>
        <v>4563247.0838399995</v>
      </c>
      <c r="P134" s="407">
        <f>'Staging Table'!BH136*Rates_current!$E$76*100*12</f>
        <v>-641860.02888</v>
      </c>
      <c r="Q134" s="408"/>
      <c r="R134" s="408">
        <f>SUMPRODUCT('Staging Table'!CL136:CW136, LS_Demand_Rates_Restatement!$C$11:$N$11)*1000</f>
        <v>194446.42185316954</v>
      </c>
      <c r="S134" s="409"/>
      <c r="T134" s="409">
        <f>IF('Staging Table'!D136=1, 'Staging Table'!BJ136*-1*('Staging Table'!BH136/'Staging Table'!BG136),SUM(O134:S134)*'Staging Table'!BJ136*-1)</f>
        <v>0</v>
      </c>
      <c r="U134" s="407">
        <f>'Staging Table'!BM136*Rates_current!$H$32*-1</f>
        <v>0</v>
      </c>
      <c r="V134" s="407">
        <f>IF(Init!$R$12="No",0,'Staging Table'!$CY136)</f>
        <v>0</v>
      </c>
      <c r="W134" s="407">
        <f>IF('Staging Table'!C136=1,"",SUM(O134:U134)-V134)</f>
        <v>4115833.4768131687</v>
      </c>
      <c r="X134" s="407">
        <f>IF('Staging Table'!C136=1,"",(RT1SC!$C$4*'Staging Table'!BH136*'Staging Table'!$BH$2))</f>
        <v>108964.88375445598</v>
      </c>
      <c r="Y134" s="169">
        <f>IF('Staging Table'!C136=1,"",IF(X134=0, 0, W134/X134))</f>
        <v>37.772109096063318</v>
      </c>
      <c r="Z134" s="160">
        <f ca="1">IF('Staging Table'!C136=1,"",(Y134/N134-1)+(RAND()/100000000000000))</f>
        <v>4.2850961320106795E-2</v>
      </c>
      <c r="AA134" s="97">
        <f ca="1">IF(Z134="","",RANK(Z134,$Z$4:$Z$138))</f>
        <v>70</v>
      </c>
      <c r="AB134" s="397"/>
      <c r="AC134" s="397"/>
      <c r="AD134" s="397"/>
    </row>
    <row r="135" spans="1:30">
      <c r="B135" s="274">
        <v>10706</v>
      </c>
      <c r="C135" s="275" t="s">
        <v>137</v>
      </c>
      <c r="D135" s="407">
        <f>IF(Init!$R$9="Yes",'Staging Table'!F137,'Staging Table'!BH137)*Rates_previous!$E$75*100*12</f>
        <v>5853390.1498799995</v>
      </c>
      <c r="E135" s="407">
        <f>IF(Init!$R$9="Yes",'Staging Table'!F137,'Staging Table'!BH137)*Rates_previous!$E$76*100*12</f>
        <v>-870167.98127999995</v>
      </c>
      <c r="F135" s="408"/>
      <c r="G135" s="408">
        <f>IF(Init!$R$9="Yes",SUMPRODUCT('Staging Table'!AJ137:AU137,LS_Demand_Rates_Restatement!$C$10:$N$10),SUMPRODUCT(LS_Demand_Rates_Restatement!$C$10:$N$10,'Staging Table'!CL137:CW137))*1000</f>
        <v>307903.79338855937</v>
      </c>
      <c r="H135" s="409"/>
      <c r="I135" s="409">
        <f>IF(Init!$R$9="Yes",IF('Staging Table'!D137=1,'Staging Table'!H137*-1*('Staging Table'!F137/'Staging Table'!E137),'Staging Table'!H137*SUM(D135:H135)*(-1)),IF('Staging Table'!D137=1,'Staging Table'!BJ137*-1*('Staging Table'!BH137/'Staging Table'!BG137),'Staging Table'!BJ137*SUM(D135:H135)*(-1)))</f>
        <v>0</v>
      </c>
      <c r="J135" s="407">
        <f>IF(Init!$R$9="Yes",'Staging Table'!K137,'Staging Table'!BM137)*(-1)*Rates_previous!$H$32</f>
        <v>0</v>
      </c>
      <c r="K135" s="407">
        <f>IF(Init!$R$12="No",0,'Staging Table'!$AW137)</f>
        <v>0</v>
      </c>
      <c r="L135" s="407">
        <f>IF('Staging Table'!C137=1,"",SUM(D135:J135)-K135)</f>
        <v>5291125.961988559</v>
      </c>
      <c r="M135" s="407">
        <f>IF('Staging Table'!C137=1,"",IF(Init!$R$9="Yes",(RT1SC!$C$3*'Staging Table'!F137*'Staging Table'!$F$2),X135))</f>
        <v>145049.32325800799</v>
      </c>
      <c r="N135" s="169">
        <f>IF('Staging Table'!C137=1,"",IF(M135=0, 0, L135/M135))</f>
        <v>36.478115465433184</v>
      </c>
      <c r="O135" s="407">
        <f>'Staging Table'!BH137*Rates_current!$E$75*100*12</f>
        <v>6236853.8112000003</v>
      </c>
      <c r="P135" s="407">
        <f>'Staging Table'!BH137*Rates_current!$E$76*100*12</f>
        <v>-877267.23840000015</v>
      </c>
      <c r="Q135" s="408"/>
      <c r="R135" s="408">
        <f>SUMPRODUCT('Staging Table'!CL137:CW137, LS_Demand_Rates_Restatement!$C$11:$N$11)*1000</f>
        <v>286792.2992171474</v>
      </c>
      <c r="S135" s="409"/>
      <c r="T135" s="409">
        <f>IF('Staging Table'!D137=1, 'Staging Table'!BJ137*-1*('Staging Table'!BH137/'Staging Table'!BG137),SUM(O135:S135)*'Staging Table'!BJ137*-1)</f>
        <v>0</v>
      </c>
      <c r="U135" s="407">
        <f>'Staging Table'!BM137*Rates_current!$H$32*-1</f>
        <v>0</v>
      </c>
      <c r="V135" s="407">
        <f>IF(Init!$R$12="No",0,'Staging Table'!$CY137)</f>
        <v>0</v>
      </c>
      <c r="W135" s="407">
        <f>IF('Staging Table'!C137=1,"",SUM(O135:U135)-V135)</f>
        <v>5646378.872017148</v>
      </c>
      <c r="X135" s="407">
        <f>IF('Staging Table'!C137=1,"",(RT1SC!$C$4*'Staging Table'!BH137*'Staging Table'!$BH$2))</f>
        <v>148928.61115007999</v>
      </c>
      <c r="Y135" s="169">
        <f>IF('Staging Table'!C137=1,"",IF(X135=0, 0, W135/X135))</f>
        <v>37.913325239615084</v>
      </c>
      <c r="Z135" s="160">
        <f ca="1">IF('Staging Table'!C137=1,"",(Y135/N135-1)+(RAND()/100000000000000))</f>
        <v>3.9344405703798123E-2</v>
      </c>
      <c r="AA135" s="97">
        <f ca="1">IF(Z135="","",RANK(Z135,$Z$4:$Z$138))</f>
        <v>107</v>
      </c>
      <c r="AB135" s="397"/>
      <c r="AC135" s="397"/>
      <c r="AD135" s="397"/>
    </row>
    <row r="136" spans="1:30">
      <c r="B136" s="274">
        <v>11680</v>
      </c>
      <c r="C136" s="275" t="s">
        <v>138</v>
      </c>
      <c r="D136" s="407">
        <f>IF(Init!$R$9="Yes",'Staging Table'!F138,'Staging Table'!BH138)*Rates_previous!$E$75*100*12</f>
        <v>2221600.0589999999</v>
      </c>
      <c r="E136" s="407">
        <f>IF(Init!$R$9="Yes",'Staging Table'!F138,'Staging Table'!BH138)*Rates_previous!$E$76*100*12</f>
        <v>-330264.20400000003</v>
      </c>
      <c r="F136" s="408"/>
      <c r="G136" s="408">
        <f>IF(Init!$R$9="Yes",SUMPRODUCT('Staging Table'!AJ138:AU138,LS_Demand_Rates_Restatement!$C$10:$N$10),SUMPRODUCT(LS_Demand_Rates_Restatement!$C$10:$N$10,'Staging Table'!CL138:CW138))*1000</f>
        <v>46879.435403347568</v>
      </c>
      <c r="H136" s="409"/>
      <c r="I136" s="409">
        <f>IF(Init!$R$9="Yes",IF('Staging Table'!D138=1,'Staging Table'!H138*-1*('Staging Table'!F138/'Staging Table'!E138),'Staging Table'!H138*SUM(D136:H136)*(-1)),IF('Staging Table'!D138=1,'Staging Table'!BJ138*-1*('Staging Table'!BH138/'Staging Table'!BG138),'Staging Table'!BJ138*SUM(D136:H136)*(-1)))</f>
        <v>0</v>
      </c>
      <c r="J136" s="407">
        <f>IF(Init!$R$9="Yes",'Staging Table'!K138,'Staging Table'!BM138)*(-1)*Rates_previous!$H$32</f>
        <v>0</v>
      </c>
      <c r="K136" s="407">
        <f>IF(Init!$R$12="No",0,'Staging Table'!$AW138)</f>
        <v>0</v>
      </c>
      <c r="L136" s="407">
        <f>IF('Staging Table'!C138=1,"",SUM(D136:J136)-K136)</f>
        <v>1938215.2904033475</v>
      </c>
      <c r="M136" s="407">
        <f>IF('Staging Table'!C138=1,"",IF(Init!$R$9="Yes",(RT1SC!$C$3*'Staging Table'!F138*'Staging Table'!$F$2),X136))</f>
        <v>55052.128229399998</v>
      </c>
      <c r="N136" s="169">
        <f>IF('Staging Table'!C138=1,"",IF(M136=0, 0, L136/M136))</f>
        <v>35.206909391892765</v>
      </c>
      <c r="O136" s="407">
        <f>'Staging Table'!BH138*Rates_current!$E$75*100*12</f>
        <v>2284298.66304</v>
      </c>
      <c r="P136" s="407">
        <f>'Staging Table'!BH138*Rates_current!$E$76*100*12</f>
        <v>-321306.29327999998</v>
      </c>
      <c r="Q136" s="408"/>
      <c r="R136" s="408">
        <f>SUMPRODUCT('Staging Table'!CL138:CW138, LS_Demand_Rates_Restatement!$C$11:$N$11)*1000</f>
        <v>40005.69941812678</v>
      </c>
      <c r="S136" s="409"/>
      <c r="T136" s="409">
        <f>IF('Staging Table'!D138=1, 'Staging Table'!BJ138*-1*('Staging Table'!BH138/'Staging Table'!BG138),SUM(O136:S136)*'Staging Table'!BJ138*-1)</f>
        <v>0</v>
      </c>
      <c r="U136" s="407">
        <f>'Staging Table'!BM138*Rates_current!$H$32*-1</f>
        <v>0</v>
      </c>
      <c r="V136" s="407">
        <f>IF(Init!$R$12="No",0,'Staging Table'!$CY138)</f>
        <v>0</v>
      </c>
      <c r="W136" s="407">
        <f>IF('Staging Table'!C138=1,"",SUM(O136:U136)-V136)</f>
        <v>2002998.069178127</v>
      </c>
      <c r="X136" s="407">
        <f>IF('Staging Table'!C138=1,"",(RT1SC!$C$4*'Staging Table'!BH138*'Staging Table'!$BH$2))</f>
        <v>54546.320570735996</v>
      </c>
      <c r="Y136" s="169">
        <f>IF('Staging Table'!C138=1,"",IF(X136=0, 0, W136/X136))</f>
        <v>36.721048243403089</v>
      </c>
      <c r="Z136" s="160">
        <f ca="1">IF('Staging Table'!C138=1,"",(Y136/N136-1)+(RAND()/100000000000000))</f>
        <v>4.3006866483401539E-2</v>
      </c>
      <c r="AA136" s="97">
        <f ca="1">IF(Z136="","",RANK(Z136,$Z$4:$Z$138))</f>
        <v>67</v>
      </c>
      <c r="AB136" s="397"/>
      <c r="AC136" s="397"/>
      <c r="AD136" s="397"/>
    </row>
    <row r="137" spans="1:30">
      <c r="B137" s="274">
        <v>12026</v>
      </c>
      <c r="C137" s="275" t="s">
        <v>139</v>
      </c>
      <c r="D137" s="407">
        <f>IF(Init!$R$9="Yes",'Staging Table'!F139,'Staging Table'!BH139)*Rates_previous!$E$75*100*12</f>
        <v>14960836.497599998</v>
      </c>
      <c r="E137" s="407">
        <f>IF(Init!$R$9="Yes",'Staging Table'!F139,'Staging Table'!BH139)*Rates_previous!$E$76*100*12</f>
        <v>-2224085.6255999999</v>
      </c>
      <c r="F137" s="408"/>
      <c r="G137" s="408">
        <f>IF(Init!$R$9="Yes",SUMPRODUCT('Staging Table'!AJ139:AU139,LS_Demand_Rates_Restatement!$C$10:$N$10),SUMPRODUCT(LS_Demand_Rates_Restatement!$C$10:$N$10,'Staging Table'!CL139:CW139))*1000</f>
        <v>1062383.8291164527</v>
      </c>
      <c r="H137" s="409"/>
      <c r="I137" s="409">
        <f>IF(Init!$R$9="Yes",IF('Staging Table'!D139=1,'Staging Table'!H139*-1*('Staging Table'!F139/'Staging Table'!E139),'Staging Table'!H139*SUM(D137:H137)*(-1)),IF('Staging Table'!D139=1,'Staging Table'!BJ139*-1*('Staging Table'!BH139/'Staging Table'!BG139),'Staging Table'!BJ139*SUM(D137:H137)*(-1)))</f>
        <v>0</v>
      </c>
      <c r="J137" s="407">
        <f>IF(Init!$R$9="Yes",'Staging Table'!K139,'Staging Table'!BM139)*(-1)*Rates_previous!$H$32</f>
        <v>0</v>
      </c>
      <c r="K137" s="407">
        <f>IF(Init!$R$12="No",0,'Staging Table'!$AW139)</f>
        <v>0</v>
      </c>
      <c r="L137" s="407">
        <f>IF('Staging Table'!C139=1,"",SUM(D137:J137)-K137)</f>
        <v>13799134.70111645</v>
      </c>
      <c r="M137" s="407">
        <f>IF('Staging Table'!C139=1,"",IF(Init!$R$9="Yes",(RT1SC!$C$3*'Staging Table'!F139*'Staging Table'!$F$2),X137))</f>
        <v>370735.44626015995</v>
      </c>
      <c r="N137" s="169">
        <f>IF('Staging Table'!C139=1,"",IF(M137=0, 0, L137/M137))</f>
        <v>37.220974795685017</v>
      </c>
      <c r="O137" s="407">
        <f>'Staging Table'!BH139*Rates_current!$E$75*100*12</f>
        <v>16075439.743679998</v>
      </c>
      <c r="P137" s="407">
        <f>'Staging Table'!BH139*Rates_current!$E$76*100*12</f>
        <v>-2261149.1397599997</v>
      </c>
      <c r="Q137" s="408"/>
      <c r="R137" s="408">
        <f>SUMPRODUCT('Staging Table'!CL139:CW139, LS_Demand_Rates_Restatement!$C$11:$N$11)*1000</f>
        <v>1038558.5748972844</v>
      </c>
      <c r="S137" s="409"/>
      <c r="T137" s="409">
        <f>IF('Staging Table'!D139=1, 'Staging Table'!BJ139*-1*('Staging Table'!BH139/'Staging Table'!BG139),SUM(O137:S137)*'Staging Table'!BJ139*-1)</f>
        <v>0</v>
      </c>
      <c r="U137" s="407">
        <f>'Staging Table'!BM139*Rates_current!$H$32*-1</f>
        <v>0</v>
      </c>
      <c r="V137" s="407">
        <f>IF(Init!$R$12="No",0,'Staging Table'!$CY139)</f>
        <v>0</v>
      </c>
      <c r="W137" s="407">
        <f>IF('Staging Table'!C139=1,"",SUM(O137:U137)-V137)</f>
        <v>14852849.178817281</v>
      </c>
      <c r="X137" s="407">
        <f>IF('Staging Table'!C139=1,"",(RT1SC!$C$4*'Staging Table'!BH139*'Staging Table'!$BH$2))</f>
        <v>383862.27850231196</v>
      </c>
      <c r="Y137" s="169">
        <f>IF('Staging Table'!C139=1,"",IF(X137=0, 0, W137/X137))</f>
        <v>38.693172032343426</v>
      </c>
      <c r="Z137" s="160">
        <f ca="1">IF('Staging Table'!C139=1,"",(Y137/N137-1)+(RAND()/100000000000000))</f>
        <v>3.9552893086220953E-2</v>
      </c>
      <c r="AA137" s="97">
        <f ca="1">IF(Z137="","",RANK(Z137,$Z$4:$Z$138))</f>
        <v>106</v>
      </c>
      <c r="AB137" s="412"/>
      <c r="AC137" s="412"/>
      <c r="AD137" s="397"/>
    </row>
    <row r="138" spans="1:30">
      <c r="B138" s="274">
        <v>10298</v>
      </c>
      <c r="C138" s="275" t="s">
        <v>140</v>
      </c>
      <c r="D138" s="407">
        <f>IF(Init!$R$9="Yes",'Staging Table'!F140,'Staging Table'!BH140)*Rates_previous!$E$75*100*12</f>
        <v>184446519.34968001</v>
      </c>
      <c r="E138" s="407">
        <f>IF(Init!$R$9="Yes",'Staging Table'!F140,'Staging Table'!BH140)*Rates_previous!$E$76*100*12</f>
        <v>-27419914.150080003</v>
      </c>
      <c r="F138" s="408"/>
      <c r="G138" s="408">
        <f>IF(Init!$R$9="Yes",SUMPRODUCT('Staging Table'!AJ140:AU140,LS_Demand_Rates_Restatement!$C$10:$N$10),SUMPRODUCT(LS_Demand_Rates_Restatement!$C$10:$N$10,'Staging Table'!CL140:CW140))*1000</f>
        <v>2291540.3413564814</v>
      </c>
      <c r="H138" s="409"/>
      <c r="I138" s="409">
        <f>IF(Init!$R$9="Yes",IF('Staging Table'!D140=1,'Staging Table'!H140*-1*('Staging Table'!F140/'Staging Table'!E140),'Staging Table'!H140*SUM(D138:H138)*(-1)),IF('Staging Table'!D140=1,'Staging Table'!BJ140*-1*('Staging Table'!BH140/'Staging Table'!BG140),'Staging Table'!BJ140*SUM(D138:H138)*(-1)))</f>
        <v>-10912068.018696398</v>
      </c>
      <c r="J138" s="407">
        <f>IF(Init!$R$9="Yes",'Staging Table'!K140,'Staging Table'!BM140)*(-1)*Rates_previous!$H$32</f>
        <v>-5264188.2662599999</v>
      </c>
      <c r="K138" s="407">
        <f>IF(Init!$R$12="No",0,'Staging Table'!$AW140)</f>
        <v>0</v>
      </c>
      <c r="L138" s="407">
        <f>IF('Staging Table'!C140=1,"",SUM(D138:J138)-K138)</f>
        <v>143141889.2560001</v>
      </c>
      <c r="M138" s="407">
        <f>IF('Staging Table'!C140=1,"",IF(Init!$R$9="Yes",(RT1SC!$C$3*'Staging Table'!F140*'Staging Table'!$F$2),X138))</f>
        <v>4570657.7084246883</v>
      </c>
      <c r="N138" s="169">
        <f>IF('Staging Table'!C140=1,"",IF(M138=0, 0, L138/M138))</f>
        <v>31.317569240015356</v>
      </c>
      <c r="O138" s="407">
        <f>'Staging Table'!BH140*Rates_current!$E$75*100*12</f>
        <v>189467618.89824003</v>
      </c>
      <c r="P138" s="407">
        <f>'Staging Table'!BH140*Rates_current!$E$76*100*12</f>
        <v>-26650253.449680001</v>
      </c>
      <c r="Q138" s="408"/>
      <c r="R138" s="408">
        <f>SUMPRODUCT('Staging Table'!CL140:CW140, LS_Demand_Rates_Restatement!$C$11:$N$11)*1000</f>
        <v>1955430.1418094574</v>
      </c>
      <c r="S138" s="409"/>
      <c r="T138" s="409">
        <f>IF('Staging Table'!D140=1, 'Staging Table'!BJ140*-1*('Staging Table'!BH140/'Staging Table'!BG140),SUM(O138:S138)*'Staging Table'!BJ140*-1)</f>
        <v>-11975914.84805285</v>
      </c>
      <c r="U138" s="407">
        <f>'Staging Table'!BM140*Rates_current!$H$32*-1</f>
        <v>-5259715.7188799996</v>
      </c>
      <c r="V138" s="407">
        <f>IF(Init!$R$12="No",0,'Staging Table'!$CY140)</f>
        <v>0</v>
      </c>
      <c r="W138" s="407">
        <f>IF('Staging Table'!C140=1,"",SUM(O138:U138)-V138)</f>
        <v>147537165.02343664</v>
      </c>
      <c r="X138" s="407">
        <f>IF('Staging Table'!C140=1,"",(RT1SC!$C$4*'Staging Table'!BH140*'Staging Table'!$BH$2))</f>
        <v>4524260.1790274158</v>
      </c>
      <c r="Y138" s="169">
        <f>IF('Staging Table'!C140=1,"",IF(X138=0, 0, W138/X138))</f>
        <v>32.610230001218191</v>
      </c>
      <c r="Z138" s="160">
        <f ca="1">IF('Staging Table'!C140=1,"",(Y138/N138-1)+(RAND()/100000000000000))</f>
        <v>4.1275896966846054E-2</v>
      </c>
      <c r="AA138" s="97">
        <f ca="1">IF(Z138="","",RANK(Z138,$Z$4:$Z$138))</f>
        <v>92</v>
      </c>
      <c r="AB138" s="412"/>
      <c r="AC138" s="412"/>
      <c r="AD138" s="397"/>
    </row>
    <row r="139" spans="1:30">
      <c r="B139" s="394"/>
      <c r="C139" s="394"/>
      <c r="D139" s="394"/>
      <c r="E139" s="394"/>
      <c r="F139" s="394"/>
      <c r="G139" s="394"/>
      <c r="H139" s="394"/>
      <c r="I139" s="394"/>
      <c r="J139" s="394"/>
      <c r="K139" s="407">
        <f>IF(Init!$R$12="No",0,'Staging Table'!$AW141)</f>
        <v>0</v>
      </c>
      <c r="L139" s="394"/>
      <c r="M139" s="397"/>
      <c r="N139" s="397"/>
      <c r="O139" s="394"/>
      <c r="P139" s="394"/>
      <c r="Q139" s="394"/>
      <c r="R139" s="394"/>
      <c r="S139" s="394"/>
      <c r="T139" s="394"/>
      <c r="U139" s="394"/>
      <c r="V139" s="407"/>
      <c r="W139" s="394"/>
      <c r="X139" s="397"/>
      <c r="Y139" s="397"/>
      <c r="Z139" s="397"/>
      <c r="AA139" s="97"/>
      <c r="AB139" s="397"/>
      <c r="AC139" s="397"/>
      <c r="AD139" s="413"/>
    </row>
    <row r="140" spans="1:30">
      <c r="A140" s="20"/>
      <c r="B140" s="2"/>
      <c r="C140" s="2"/>
      <c r="D140" s="2"/>
      <c r="E140" s="2"/>
      <c r="F140" s="2"/>
      <c r="G140" s="2"/>
      <c r="H140" s="2"/>
      <c r="I140" s="2"/>
      <c r="J140" s="98"/>
      <c r="K140" s="98"/>
      <c r="L140" s="2"/>
      <c r="O140" s="2"/>
      <c r="P140" s="2"/>
      <c r="Q140" s="140"/>
      <c r="R140" s="2"/>
      <c r="S140" s="2"/>
      <c r="T140" s="2"/>
      <c r="U140" s="2"/>
      <c r="V140" s="98"/>
      <c r="W140" s="98"/>
      <c r="X140" s="2"/>
    </row>
    <row r="141" spans="1:30">
      <c r="A141" s="20"/>
      <c r="B141" s="2"/>
      <c r="C141" s="2"/>
      <c r="D141" s="2"/>
      <c r="E141" s="2"/>
      <c r="F141" s="2"/>
      <c r="G141" s="2"/>
      <c r="H141" s="2"/>
      <c r="I141" s="2"/>
      <c r="J141" s="98"/>
      <c r="K141" s="98"/>
      <c r="L141" s="2"/>
      <c r="O141" s="2"/>
      <c r="P141" s="2"/>
      <c r="Q141" s="140"/>
      <c r="R141" s="2"/>
      <c r="S141" s="2"/>
      <c r="T141" s="2"/>
      <c r="U141" s="2"/>
      <c r="V141" s="98"/>
      <c r="W141" s="98"/>
      <c r="X141" s="2"/>
    </row>
    <row r="142" spans="1:30">
      <c r="A142" s="20"/>
      <c r="B142" s="2"/>
      <c r="C142" s="2"/>
      <c r="D142" s="2"/>
      <c r="E142" s="2"/>
      <c r="F142" s="2"/>
      <c r="G142" s="2"/>
      <c r="H142" s="2"/>
      <c r="I142" s="2"/>
      <c r="J142" s="98"/>
      <c r="K142" s="98"/>
      <c r="L142" s="2"/>
      <c r="O142" s="2"/>
      <c r="P142" s="2"/>
      <c r="Q142" s="140"/>
      <c r="R142" s="2"/>
      <c r="S142" s="2"/>
      <c r="T142" s="2"/>
      <c r="U142" s="2"/>
      <c r="V142" s="98"/>
      <c r="W142" s="98"/>
      <c r="X142" s="2"/>
    </row>
    <row r="143" spans="1:30">
      <c r="B143" s="2"/>
      <c r="C143" s="2"/>
      <c r="D143" s="2"/>
      <c r="E143" s="2"/>
      <c r="F143" s="2"/>
      <c r="G143" s="2"/>
      <c r="H143" s="2"/>
      <c r="I143" s="2"/>
      <c r="J143" s="98"/>
      <c r="K143" s="98"/>
      <c r="L143" s="2"/>
      <c r="O143" s="2"/>
      <c r="P143" s="2"/>
      <c r="Q143" s="140"/>
      <c r="R143" s="2"/>
      <c r="S143" s="2"/>
      <c r="T143" s="2"/>
      <c r="U143" s="2"/>
      <c r="V143" s="98"/>
      <c r="W143" s="98"/>
      <c r="X143" s="2"/>
    </row>
    <row r="144" spans="1:30">
      <c r="B144" s="3"/>
      <c r="C144" s="4"/>
    </row>
    <row r="145" spans="2:3">
      <c r="B145" s="3"/>
      <c r="C145" s="4"/>
    </row>
    <row r="146" spans="2:3">
      <c r="B146" s="3"/>
      <c r="C146" s="4"/>
    </row>
    <row r="147" spans="2:3">
      <c r="B147" s="3"/>
      <c r="C147" s="4"/>
    </row>
    <row r="148" spans="2:3">
      <c r="B148" s="3"/>
      <c r="C148" s="4"/>
    </row>
    <row r="149" spans="2:3">
      <c r="B149" s="3"/>
      <c r="C149" s="4"/>
    </row>
    <row r="150" spans="2:3">
      <c r="B150" s="3"/>
      <c r="C150" s="4"/>
    </row>
    <row r="151" spans="2:3">
      <c r="B151" s="3"/>
      <c r="C151" s="4"/>
    </row>
    <row r="152" spans="2:3">
      <c r="B152" s="3"/>
      <c r="C152" s="4"/>
    </row>
    <row r="153" spans="2:3">
      <c r="B153" s="3"/>
      <c r="C153" s="4"/>
    </row>
    <row r="154" spans="2:3">
      <c r="B154" s="3"/>
      <c r="C154" s="4"/>
    </row>
    <row r="155" spans="2:3">
      <c r="B155" s="3"/>
      <c r="C155" s="4"/>
    </row>
    <row r="156" spans="2:3">
      <c r="B156" s="3"/>
      <c r="C156" s="4"/>
    </row>
    <row r="157" spans="2:3">
      <c r="B157" s="3"/>
      <c r="C157" s="4"/>
    </row>
    <row r="158" spans="2:3">
      <c r="B158" s="3"/>
      <c r="C158" s="4"/>
    </row>
    <row r="159" spans="2:3">
      <c r="B159" s="3"/>
      <c r="C159" s="4"/>
    </row>
    <row r="160" spans="2:3">
      <c r="B160" s="3"/>
      <c r="C160" s="4"/>
    </row>
    <row r="161" spans="2:3">
      <c r="B161" s="3"/>
      <c r="C161" s="4"/>
    </row>
    <row r="162" spans="2:3">
      <c r="B162" s="3"/>
      <c r="C162" s="4"/>
    </row>
    <row r="163" spans="2:3">
      <c r="B163" s="3"/>
      <c r="C163" s="4"/>
    </row>
    <row r="164" spans="2:3">
      <c r="B164" s="3"/>
      <c r="C164" s="4"/>
    </row>
    <row r="165" spans="2:3">
      <c r="B165" s="3"/>
      <c r="C165" s="4"/>
    </row>
    <row r="166" spans="2:3">
      <c r="B166" s="3"/>
      <c r="C166" s="4"/>
    </row>
    <row r="167" spans="2:3">
      <c r="B167" s="3"/>
      <c r="C167" s="4"/>
    </row>
    <row r="168" spans="2:3">
      <c r="B168" s="23"/>
      <c r="C168" s="23"/>
    </row>
    <row r="169" spans="2:3">
      <c r="B169" s="23"/>
      <c r="C169" s="23"/>
    </row>
    <row r="170" spans="2:3">
      <c r="B170" s="23"/>
      <c r="C170" s="23"/>
    </row>
  </sheetData>
  <conditionalFormatting sqref="B2">
    <cfRule type="expression" dxfId="0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/>
  </sheetPr>
  <dimension ref="A1:Z164"/>
  <sheetViews>
    <sheetView topLeftCell="I91" workbookViewId="0">
      <selection activeCell="W111" sqref="W111"/>
    </sheetView>
  </sheetViews>
  <sheetFormatPr defaultRowHeight="15"/>
  <cols>
    <col min="2" max="2" width="35.28515625" bestFit="1" customWidth="1"/>
    <col min="8" max="8" width="35.28515625" bestFit="1" customWidth="1"/>
    <col min="10" max="10" width="11.5703125" bestFit="1" customWidth="1"/>
    <col min="11" max="11" width="9.5703125" bestFit="1" customWidth="1"/>
    <col min="12" max="12" width="10.5703125" bestFit="1" customWidth="1"/>
    <col min="14" max="14" width="31.5703125" customWidth="1"/>
    <col min="20" max="20" width="35.28515625" bestFit="1" customWidth="1"/>
    <col min="22" max="22" width="11.5703125" bestFit="1" customWidth="1"/>
    <col min="25" max="25" width="30.5703125" style="125" bestFit="1" customWidth="1"/>
    <col min="26" max="26" width="9.140625" style="125"/>
  </cols>
  <sheetData>
    <row r="1" spans="1:26">
      <c r="Y1"/>
      <c r="Z1"/>
    </row>
    <row r="2" spans="1:26">
      <c r="X2" s="105"/>
      <c r="Y2" s="105" t="s">
        <v>3</v>
      </c>
      <c r="Z2" s="105" t="s">
        <v>246</v>
      </c>
    </row>
    <row r="3" spans="1:26">
      <c r="B3" s="105" t="s">
        <v>232</v>
      </c>
      <c r="H3" s="105" t="s">
        <v>240</v>
      </c>
      <c r="N3" s="105" t="s">
        <v>239</v>
      </c>
      <c r="T3" s="105" t="s">
        <v>241</v>
      </c>
      <c r="Y3" s="126" t="s">
        <v>30</v>
      </c>
      <c r="Z3" s="127">
        <v>40.064505575113195</v>
      </c>
    </row>
    <row r="4" spans="1:26">
      <c r="A4" t="s">
        <v>231</v>
      </c>
      <c r="B4" t="s">
        <v>234</v>
      </c>
      <c r="C4" t="s">
        <v>233</v>
      </c>
      <c r="D4" t="s">
        <v>237</v>
      </c>
      <c r="E4" t="s">
        <v>235</v>
      </c>
      <c r="F4" t="s">
        <v>236</v>
      </c>
      <c r="H4" t="s">
        <v>234</v>
      </c>
      <c r="I4" t="s">
        <v>233</v>
      </c>
      <c r="J4" t="s">
        <v>237</v>
      </c>
      <c r="K4" t="s">
        <v>235</v>
      </c>
      <c r="L4" t="s">
        <v>236</v>
      </c>
      <c r="N4" t="s">
        <v>234</v>
      </c>
      <c r="O4" t="s">
        <v>233</v>
      </c>
      <c r="P4" t="s">
        <v>237</v>
      </c>
      <c r="Q4" t="s">
        <v>235</v>
      </c>
      <c r="R4" t="s">
        <v>236</v>
      </c>
      <c r="T4" t="s">
        <v>234</v>
      </c>
      <c r="U4" t="s">
        <v>233</v>
      </c>
      <c r="V4" t="s">
        <v>371</v>
      </c>
      <c r="W4" t="s">
        <v>276</v>
      </c>
      <c r="Y4" s="126" t="s">
        <v>8</v>
      </c>
      <c r="Z4" s="127">
        <v>36.233353674437659</v>
      </c>
    </row>
    <row r="5" spans="1:26">
      <c r="A5">
        <v>1</v>
      </c>
      <c r="B5" t="str">
        <f>+INDEX('Charges_Including Slice and LS'!$C$4:$C$138,MATCH($A5,'Charges_Including Slice and LS'!$AA$4:$AA$138,0),1)</f>
        <v>Centralia, City of</v>
      </c>
      <c r="C5" s="121">
        <f>+INDEX('Charges_Including Slice and LS'!$Z$4:$Z$138,MATCH($A5,'Charges_Including Slice and LS'!$AA$4:$AA$138,0),1)</f>
        <v>8.3910702224163414E-2</v>
      </c>
      <c r="D5" s="107">
        <f>+INDEX('Charges_Including Slice and LS'!$Y$4:$Y$138,MATCH($A5,'Charges_Including Slice and LS'!$AA$4:$AA$138,0),1)</f>
        <v>39.767787915239182</v>
      </c>
      <c r="E5" s="75">
        <f>+INDEX('Charges_Including Slice and LS'!$X$4:$X$138,MATCH($A5,'Charges_Including Slice and LS'!$AA$4:$AA$138,0),1)/1000</f>
        <v>188.50940506464556</v>
      </c>
      <c r="F5" s="75">
        <f>+SUM(E$5:E5)</f>
        <v>188.50940506464556</v>
      </c>
      <c r="H5" t="str">
        <f>+INDEX(Charges_NonSlice!$C$4:$C$138,MATCH($A5,Charges_NonSlice!$AA$4:$AA$138,0),1)</f>
        <v>Centralia, City of</v>
      </c>
      <c r="I5" s="121">
        <f>+INDEX(Charges_NonSlice!$Z$4:$Z$138,MATCH($A5,Charges_NonSlice!$AA$4:$AA$138,0),1)</f>
        <v>8.3910702224163414E-2</v>
      </c>
      <c r="J5" s="107">
        <f>+INDEX(Charges_NonSlice!$Y$4:$Y$138,MATCH($A5,Charges_NonSlice!$AA$4:$AA$138,0),1)</f>
        <v>39.767787915239182</v>
      </c>
      <c r="K5" s="75">
        <f>+INDEX(Charges_NonSlice!$X$4:$X$138,MATCH($A5,Charges_NonSlice!$AA$4:$AA$138,0),1)/1000</f>
        <v>188.50940506464556</v>
      </c>
      <c r="L5" s="75">
        <f>+SUM(K$5:K5)</f>
        <v>188.50940506464556</v>
      </c>
      <c r="N5" t="str">
        <f ca="1">+INDEX('Charges_NonSlice &amp; Excl LS'!$C$4:$C$138,MATCH($A5,'Charges_NonSlice &amp; Excl LS'!$AA$4:$AA$138,0),1)</f>
        <v>Alder Mutual</v>
      </c>
      <c r="O5" s="121">
        <f ca="1">+INDEX('Charges_NonSlice &amp; Excl LS'!$Z$4:$Z$138,MATCH($A5,'Charges_NonSlice &amp; Excl LS'!$AA$4:$AA$138,0),1)</f>
        <v>6.1186688864842062E-2</v>
      </c>
      <c r="P5" s="107">
        <f ca="1">+INDEX('Charges_NonSlice &amp; Excl LS'!$Y$4:$Y$138,MATCH($A5,'Charges_NonSlice &amp; Excl LS'!$AA$4:$AA$138,0),1)</f>
        <v>36.553277725194803</v>
      </c>
      <c r="Q5" s="75">
        <f ca="1">+INDEX('Charges_NonSlice &amp; Excl LS'!$X$4:$X$138,MATCH($A5,'Charges_NonSlice &amp; Excl LS'!$AA$4:$AA$138,0),1)/1000</f>
        <v>4.6540190984400001</v>
      </c>
      <c r="R5" s="75">
        <f ca="1">+SUM(Q$5:Q5)</f>
        <v>4.6540190984400001</v>
      </c>
      <c r="T5" t="str">
        <f>+INDEX(Charges_NonSlice!$C$4:$C$138,MATCH($A5,Charges_NonSlice!$AA$4:$AA$138,0),1)</f>
        <v>Centralia, City of</v>
      </c>
      <c r="U5" s="121">
        <f>+V5/W5-1</f>
        <v>7.0791493690331331E-2</v>
      </c>
      <c r="V5" s="107">
        <f>+INDEX(Charges_NonSlice!$Y$4:$Y$138,MATCH($A5,Charges_NonSlice!$AA$4:$AA$138,0),1)</f>
        <v>39.767787915239182</v>
      </c>
      <c r="W5" s="161">
        <f>+VLOOKUP(T5,Y:Z,2,FALSE)</f>
        <v>37.138684934996199</v>
      </c>
      <c r="Y5" s="126" t="s">
        <v>11</v>
      </c>
      <c r="Z5" s="127">
        <v>28.47547085320139</v>
      </c>
    </row>
    <row r="6" spans="1:26">
      <c r="A6">
        <f>+A5+1</f>
        <v>2</v>
      </c>
      <c r="B6" s="138" t="str">
        <f>+INDEX('Charges_Including Slice and LS'!$C$4:$C$138,MATCH($A6,'Charges_Including Slice and LS'!$AA$4:$AA$138,0),1)</f>
        <v>Seattle City Light</v>
      </c>
      <c r="C6" s="121">
        <f>+INDEX('Charges_Including Slice and LS'!$Z$4:$Z$138,MATCH($A6,'Charges_Including Slice and LS'!$AA$4:$AA$138,0),1)</f>
        <v>7.4326852013117284E-2</v>
      </c>
      <c r="D6" s="107">
        <f>+INDEX('Charges_Including Slice and LS'!$Y$4:$Y$138,MATCH($A6,'Charges_Including Slice and LS'!$AA$4:$AA$138,0),1)</f>
        <v>38.086501502131171</v>
      </c>
      <c r="E6" s="131">
        <f>+INDEX('Charges_Including Slice and LS'!$X$4:$X$138,MATCH($A6,'Charges_Including Slice and LS'!$AA$4:$AA$138,0),1)/1000</f>
        <v>4474.087065286918</v>
      </c>
      <c r="F6" s="131">
        <f>+SUM(E$5:E6)</f>
        <v>4662.5964703515638</v>
      </c>
      <c r="H6" s="397" t="str">
        <f>+INDEX(Charges_NonSlice!$C$4:$C$138,MATCH($A6,Charges_NonSlice!$AA$4:$AA$138,0),1)</f>
        <v>Seattle City Light</v>
      </c>
      <c r="I6" s="121">
        <f>+INDEX(Charges_NonSlice!$Z$4:$Z$138,MATCH($A6,Charges_NonSlice!$AA$4:$AA$138,0),1)</f>
        <v>7.4326852013117284E-2</v>
      </c>
      <c r="J6" s="172">
        <f>+INDEX(Charges_NonSlice!$Y$4:$Y$138,MATCH($A6,Charges_NonSlice!$AA$4:$AA$138,0),1)</f>
        <v>38.086501502131171</v>
      </c>
      <c r="K6" s="396">
        <f>+INDEX(Charges_NonSlice!$X$4:$X$138,MATCH($A6,Charges_NonSlice!$AA$4:$AA$138,0),1)/1000</f>
        <v>4474.087065286918</v>
      </c>
      <c r="L6" s="131">
        <f>+SUM(K$5:K6)</f>
        <v>4662.5964703515638</v>
      </c>
      <c r="N6" s="397" t="str">
        <f ca="1">+INDEX('Charges_NonSlice &amp; Excl LS'!$C$4:$C$138,MATCH($A6,'Charges_NonSlice &amp; Excl LS'!$AA$4:$AA$138,0),1)</f>
        <v>Skamania County PUD #1</v>
      </c>
      <c r="O6" s="121">
        <f ca="1">+INDEX('Charges_NonSlice &amp; Excl LS'!$Z$4:$Z$138,MATCH($A6,'Charges_NonSlice &amp; Excl LS'!$AA$4:$AA$138,0),1)</f>
        <v>5.9102021851874027E-2</v>
      </c>
      <c r="P6" s="172">
        <f ca="1">+INDEX('Charges_NonSlice &amp; Excl LS'!$Y$4:$Y$138,MATCH($A6,'Charges_NonSlice &amp; Excl LS'!$AA$4:$AA$138,0),1)</f>
        <v>36.089040083710266</v>
      </c>
      <c r="Q6" s="396">
        <f ca="1">+INDEX('Charges_NonSlice &amp; Excl LS'!$X$4:$X$138,MATCH($A6,'Charges_NonSlice &amp; Excl LS'!$AA$4:$AA$138,0),1)/1000</f>
        <v>133.573389967776</v>
      </c>
      <c r="R6" s="131">
        <f ca="1">+SUM(Q$5:Q6)</f>
        <v>138.22740906621598</v>
      </c>
      <c r="T6" s="397" t="str">
        <f>+INDEX(Charges_NonSlice!$C$4:$C$138,MATCH($A6,Charges_NonSlice!$AA$4:$AA$138,0),1)</f>
        <v>Seattle City Light</v>
      </c>
      <c r="U6" s="121">
        <f t="shared" ref="U6:U69" si="0">+V6/W6-1</f>
        <v>8.0050702142280938E-2</v>
      </c>
      <c r="V6" s="172">
        <f>+INDEX(Charges_NonSlice!$Y$4:$Y$138,MATCH($A6,Charges_NonSlice!$AA$4:$AA$138,0),1)</f>
        <v>38.086501502131171</v>
      </c>
      <c r="W6" s="162">
        <f t="shared" ref="W6:W68" si="1">+VLOOKUP(T6,Y:Z,2,FALSE)</f>
        <v>35.263623667469112</v>
      </c>
      <c r="Y6" s="126" t="s">
        <v>84</v>
      </c>
      <c r="Z6" s="127">
        <v>27.860659045930003</v>
      </c>
    </row>
    <row r="7" spans="1:26">
      <c r="A7">
        <f t="shared" ref="A7:A70" si="2">+A6+1</f>
        <v>3</v>
      </c>
      <c r="B7" s="138" t="str">
        <f>+INDEX('Charges_Including Slice and LS'!$C$4:$C$138,MATCH($A7,'Charges_Including Slice and LS'!$AA$4:$AA$138,0),1)</f>
        <v>Alder Mutual</v>
      </c>
      <c r="C7" s="121">
        <f>+INDEX('Charges_Including Slice and LS'!$Z$4:$Z$138,MATCH($A7,'Charges_Including Slice and LS'!$AA$4:$AA$138,0),1)</f>
        <v>7.175532759575276E-2</v>
      </c>
      <c r="D7" s="107">
        <f>+INDEX('Charges_Including Slice and LS'!$Y$4:$Y$138,MATCH($A7,'Charges_Including Slice and LS'!$AA$4:$AA$138,0),1)</f>
        <v>37.117407388458034</v>
      </c>
      <c r="E7" s="131">
        <f>+INDEX('Charges_Including Slice and LS'!$X$4:$X$138,MATCH($A7,'Charges_Including Slice and LS'!$AA$4:$AA$138,0),1)/1000</f>
        <v>4.7216400000000007</v>
      </c>
      <c r="F7" s="131">
        <f>+SUM(E$5:E7)</f>
        <v>4667.3181103515635</v>
      </c>
      <c r="H7" s="397" t="str">
        <f>+INDEX(Charges_NonSlice!$C$4:$C$138,MATCH($A7,Charges_NonSlice!$AA$4:$AA$138,0),1)</f>
        <v>Okanogan County PUD #1</v>
      </c>
      <c r="I7" s="121">
        <f>+INDEX(Charges_NonSlice!$Z$4:$Z$138,MATCH($A7,Charges_NonSlice!$AA$4:$AA$138,0),1)</f>
        <v>7.3709831627048583E-2</v>
      </c>
      <c r="J7" s="172">
        <f>+INDEX(Charges_NonSlice!$Y$4:$Y$138,MATCH($A7,Charges_NonSlice!$AA$4:$AA$138,0),1)</f>
        <v>33.283911483274018</v>
      </c>
      <c r="K7" s="396">
        <f>+INDEX(Charges_NonSlice!$X$4:$X$138,MATCH($A7,Charges_NonSlice!$AA$4:$AA$138,0),1)/1000</f>
        <v>174.28400256770237</v>
      </c>
      <c r="L7" s="131">
        <f>+SUM(K$5:K7)</f>
        <v>4836.8804729192661</v>
      </c>
      <c r="N7" s="397" t="str">
        <f ca="1">+INDEX('Charges_NonSlice &amp; Excl LS'!$C$4:$C$138,MATCH($A7,'Charges_NonSlice &amp; Excl LS'!$AA$4:$AA$138,0),1)</f>
        <v>Minidoka, City of</v>
      </c>
      <c r="O7" s="121">
        <f ca="1">+INDEX('Charges_NonSlice &amp; Excl LS'!$Z$4:$Z$138,MATCH($A7,'Charges_NonSlice &amp; Excl LS'!$AA$4:$AA$138,0),1)</f>
        <v>5.5345470774911976E-2</v>
      </c>
      <c r="P7" s="172">
        <f ca="1">+INDEX('Charges_NonSlice &amp; Excl LS'!$Y$4:$Y$138,MATCH($A7,'Charges_NonSlice &amp; Excl LS'!$AA$4:$AA$138,0),1)</f>
        <v>39.986290284524792</v>
      </c>
      <c r="Q7" s="396">
        <f ca="1">+INDEX('Charges_NonSlice &amp; Excl LS'!$X$4:$X$138,MATCH($A7,'Charges_NonSlice &amp; Excl LS'!$AA$4:$AA$138,0),1)/1000</f>
        <v>0.88213433892000004</v>
      </c>
      <c r="R7" s="131">
        <f ca="1">+SUM(Q$5:Q7)</f>
        <v>139.10954340513598</v>
      </c>
      <c r="T7" s="397" t="str">
        <f>+INDEX(Charges_NonSlice!$C$4:$C$138,MATCH($A7,Charges_NonSlice!$AA$4:$AA$138,0),1)</f>
        <v>Okanogan County PUD #1</v>
      </c>
      <c r="U7" s="121">
        <f t="shared" si="0"/>
        <v>7.3714261907603662E-2</v>
      </c>
      <c r="V7" s="172">
        <f>+INDEX(Charges_NonSlice!$Y$4:$Y$138,MATCH($A7,Charges_NonSlice!$AA$4:$AA$138,0),1)</f>
        <v>33.283911483274018</v>
      </c>
      <c r="W7" s="162">
        <f t="shared" si="1"/>
        <v>30.998853851620158</v>
      </c>
      <c r="Y7" s="126" t="s">
        <v>94</v>
      </c>
      <c r="Z7" s="127">
        <v>34.751112882299068</v>
      </c>
    </row>
    <row r="8" spans="1:26">
      <c r="A8">
        <f t="shared" si="2"/>
        <v>4</v>
      </c>
      <c r="B8" s="138" t="str">
        <f>+INDEX('Charges_Including Slice and LS'!$C$4:$C$138,MATCH($A8,'Charges_Including Slice and LS'!$AA$4:$AA$138,0),1)</f>
        <v>Columbia Basin Elec Coop</v>
      </c>
      <c r="C8" s="121">
        <f>+INDEX('Charges_Including Slice and LS'!$Z$4:$Z$138,MATCH($A8,'Charges_Including Slice and LS'!$AA$4:$AA$138,0),1)</f>
        <v>6.8353165663822768E-2</v>
      </c>
      <c r="D8" s="107">
        <f>+INDEX('Charges_Including Slice and LS'!$Y$4:$Y$138,MATCH($A8,'Charges_Including Slice and LS'!$AA$4:$AA$138,0),1)</f>
        <v>34.438562178965171</v>
      </c>
      <c r="E8" s="131">
        <f>+INDEX('Charges_Including Slice and LS'!$X$4:$X$138,MATCH($A8,'Charges_Including Slice and LS'!$AA$4:$AA$138,0),1)/1000</f>
        <v>93.646523523935358</v>
      </c>
      <c r="F8" s="131">
        <f>+SUM(E$5:E8)</f>
        <v>4760.9646338754992</v>
      </c>
      <c r="H8" s="397" t="str">
        <f>+INDEX(Charges_NonSlice!$C$4:$C$138,MATCH($A8,Charges_NonSlice!$AA$4:$AA$138,0),1)</f>
        <v>Alder Mutual</v>
      </c>
      <c r="I8" s="121">
        <f>+INDEX(Charges_NonSlice!$Z$4:$Z$138,MATCH($A8,Charges_NonSlice!$AA$4:$AA$138,0),1)</f>
        <v>7.175532759575276E-2</v>
      </c>
      <c r="J8" s="172">
        <f>+INDEX(Charges_NonSlice!$Y$4:$Y$138,MATCH($A8,Charges_NonSlice!$AA$4:$AA$138,0),1)</f>
        <v>37.117407388458034</v>
      </c>
      <c r="K8" s="396">
        <f>+INDEX(Charges_NonSlice!$X$4:$X$138,MATCH($A8,Charges_NonSlice!$AA$4:$AA$138,0),1)/1000</f>
        <v>4.7216400000000007</v>
      </c>
      <c r="L8" s="131">
        <f>+SUM(K$5:K8)</f>
        <v>4841.6021129192659</v>
      </c>
      <c r="N8" s="397" t="str">
        <f ca="1">+INDEX('Charges_NonSlice &amp; Excl LS'!$C$4:$C$138,MATCH($A8,'Charges_NonSlice &amp; Excl LS'!$AA$4:$AA$138,0),1)</f>
        <v>Ferry County PUD #1</v>
      </c>
      <c r="O8" s="121">
        <f ca="1">+INDEX('Charges_NonSlice &amp; Excl LS'!$Z$4:$Z$138,MATCH($A8,'Charges_NonSlice &amp; Excl LS'!$AA$4:$AA$138,0),1)</f>
        <v>5.3986205938941205E-2</v>
      </c>
      <c r="P8" s="172">
        <f ca="1">+INDEX('Charges_NonSlice &amp; Excl LS'!$Y$4:$Y$138,MATCH($A8,'Charges_NonSlice &amp; Excl LS'!$AA$4:$AA$138,0),1)</f>
        <v>34.402307702158716</v>
      </c>
      <c r="Q8" s="396">
        <f ca="1">+INDEX('Charges_NonSlice &amp; Excl LS'!$X$4:$X$138,MATCH($A8,'Charges_NonSlice &amp; Excl LS'!$AA$4:$AA$138,0),1)/1000</f>
        <v>86.546504175696001</v>
      </c>
      <c r="R8" s="131">
        <f ca="1">+SUM(Q$5:Q8)</f>
        <v>225.65604758083197</v>
      </c>
      <c r="T8" s="397" t="str">
        <f>+INDEX(Charges_NonSlice!$C$4:$C$138,MATCH($A8,Charges_NonSlice!$AA$4:$AA$138,0),1)</f>
        <v>Alder Mutual</v>
      </c>
      <c r="U8" s="121">
        <f t="shared" si="0"/>
        <v>4.8278316720959946E-2</v>
      </c>
      <c r="V8" s="172">
        <f>+INDEX(Charges_NonSlice!$Y$4:$Y$138,MATCH($A8,Charges_NonSlice!$AA$4:$AA$138,0),1)</f>
        <v>37.117407388458034</v>
      </c>
      <c r="W8" s="162">
        <f t="shared" si="1"/>
        <v>35.407970189216719</v>
      </c>
      <c r="Y8" s="126" t="s">
        <v>51</v>
      </c>
      <c r="Z8" s="127">
        <v>29.182923100520121</v>
      </c>
    </row>
    <row r="9" spans="1:26">
      <c r="A9">
        <f t="shared" si="2"/>
        <v>5</v>
      </c>
      <c r="B9" s="138" t="str">
        <f>+INDEX('Charges_Including Slice and LS'!$C$4:$C$138,MATCH($A9,'Charges_Including Slice and LS'!$AA$4:$AA$138,0),1)</f>
        <v>Skamania County PUD #1</v>
      </c>
      <c r="C9" s="121">
        <f>+INDEX('Charges_Including Slice and LS'!$Z$4:$Z$138,MATCH($A9,'Charges_Including Slice and LS'!$AA$4:$AA$138,0),1)</f>
        <v>6.7881995062330169E-2</v>
      </c>
      <c r="D9" s="107">
        <f>+INDEX('Charges_Including Slice and LS'!$Y$4:$Y$138,MATCH($A9,'Charges_Including Slice and LS'!$AA$4:$AA$138,0),1)</f>
        <v>36.775008627807708</v>
      </c>
      <c r="E9" s="131">
        <f>+INDEX('Charges_Including Slice and LS'!$X$4:$X$138,MATCH($A9,'Charges_Including Slice and LS'!$AA$4:$AA$138,0),1)/1000</f>
        <v>133.56959294872016</v>
      </c>
      <c r="F9" s="131">
        <f>+SUM(E$5:E9)</f>
        <v>4894.5342268242193</v>
      </c>
      <c r="H9" s="397" t="str">
        <f>+INDEX(Charges_NonSlice!$C$4:$C$138,MATCH($A9,Charges_NonSlice!$AA$4:$AA$138,0),1)</f>
        <v>Columbia Basin Elec Coop</v>
      </c>
      <c r="I9" s="121">
        <f>+INDEX(Charges_NonSlice!$Z$4:$Z$138,MATCH($A9,Charges_NonSlice!$AA$4:$AA$138,0),1)</f>
        <v>6.8353165663822768E-2</v>
      </c>
      <c r="J9" s="172">
        <f>+INDEX(Charges_NonSlice!$Y$4:$Y$138,MATCH($A9,Charges_NonSlice!$AA$4:$AA$138,0),1)</f>
        <v>34.438562178965171</v>
      </c>
      <c r="K9" s="396">
        <f>+INDEX(Charges_NonSlice!$X$4:$X$138,MATCH($A9,Charges_NonSlice!$AA$4:$AA$138,0),1)/1000</f>
        <v>93.646523523935358</v>
      </c>
      <c r="L9" s="131">
        <f>+SUM(K$5:K9)</f>
        <v>4935.2486364432016</v>
      </c>
      <c r="N9" s="397" t="str">
        <f ca="1">+INDEX('Charges_NonSlice &amp; Excl LS'!$C$4:$C$138,MATCH($A9,'Charges_NonSlice &amp; Excl LS'!$AA$4:$AA$138,0),1)</f>
        <v>Port Angeles, City of</v>
      </c>
      <c r="O9" s="121">
        <f ca="1">+INDEX('Charges_NonSlice &amp; Excl LS'!$Z$4:$Z$138,MATCH($A9,'Charges_NonSlice &amp; Excl LS'!$AA$4:$AA$138,0),1)</f>
        <v>5.2714334090117367E-2</v>
      </c>
      <c r="P9" s="172">
        <f ca="1">+INDEX('Charges_NonSlice &amp; Excl LS'!$Y$4:$Y$138,MATCH($A9,'Charges_NonSlice &amp; Excl LS'!$AA$4:$AA$138,0),1)</f>
        <v>36.341547698539124</v>
      </c>
      <c r="Q9" s="396">
        <f ca="1">+INDEX('Charges_NonSlice &amp; Excl LS'!$X$4:$X$138,MATCH($A9,'Charges_NonSlice &amp; Excl LS'!$AA$4:$AA$138,0),1)/1000</f>
        <v>269.975693505192</v>
      </c>
      <c r="R9" s="131">
        <f ca="1">+SUM(Q$5:Q9)</f>
        <v>495.63174108602396</v>
      </c>
      <c r="T9" s="397" t="str">
        <f>+INDEX(Charges_NonSlice!$C$4:$C$138,MATCH($A9,Charges_NonSlice!$AA$4:$AA$138,0),1)</f>
        <v>Columbia Basin Elec Coop</v>
      </c>
      <c r="U9" s="121">
        <f t="shared" si="0"/>
        <v>0.1501262154738483</v>
      </c>
      <c r="V9" s="172">
        <f>+INDEX(Charges_NonSlice!$Y$4:$Y$138,MATCH($A9,Charges_NonSlice!$AA$4:$AA$138,0),1)</f>
        <v>34.438562178965171</v>
      </c>
      <c r="W9" s="162">
        <f t="shared" si="1"/>
        <v>29.943289454346186</v>
      </c>
      <c r="Y9" s="126" t="s">
        <v>131</v>
      </c>
      <c r="Z9" s="127">
        <v>33.605848185555239</v>
      </c>
    </row>
    <row r="10" spans="1:26">
      <c r="A10">
        <f t="shared" si="2"/>
        <v>6</v>
      </c>
      <c r="B10" s="138" t="str">
        <f>+INDEX('Charges_Including Slice and LS'!$C$4:$C$138,MATCH($A10,'Charges_Including Slice and LS'!$AA$4:$AA$138,0),1)</f>
        <v>Cheney, City of</v>
      </c>
      <c r="C10" s="121">
        <f>+INDEX('Charges_Including Slice and LS'!$Z$4:$Z$138,MATCH($A10,'Charges_Including Slice and LS'!$AA$4:$AA$138,0),1)</f>
        <v>6.6667723707924953E-2</v>
      </c>
      <c r="D10" s="107">
        <f>+INDEX('Charges_Including Slice and LS'!$Y$4:$Y$138,MATCH($A10,'Charges_Including Slice and LS'!$AA$4:$AA$138,0),1)</f>
        <v>40.09647552223867</v>
      </c>
      <c r="E10" s="131">
        <f>+INDEX('Charges_Including Slice and LS'!$X$4:$X$138,MATCH($A10,'Charges_Including Slice and LS'!$AA$4:$AA$138,0),1)/1000</f>
        <v>130.37499998892645</v>
      </c>
      <c r="F10" s="131">
        <f>+SUM(E$5:E10)</f>
        <v>5024.9092268131462</v>
      </c>
      <c r="H10" s="397" t="str">
        <f>+INDEX(Charges_NonSlice!$C$4:$C$138,MATCH($A10,Charges_NonSlice!$AA$4:$AA$138,0),1)</f>
        <v>Skamania County PUD #1</v>
      </c>
      <c r="I10" s="121">
        <f>+INDEX(Charges_NonSlice!$Z$4:$Z$138,MATCH($A10,Charges_NonSlice!$AA$4:$AA$138,0),1)</f>
        <v>6.7881995062330169E-2</v>
      </c>
      <c r="J10" s="172">
        <f>+INDEX(Charges_NonSlice!$Y$4:$Y$138,MATCH($A10,Charges_NonSlice!$AA$4:$AA$138,0),1)</f>
        <v>36.775008627807708</v>
      </c>
      <c r="K10" s="396">
        <f>+INDEX(Charges_NonSlice!$X$4:$X$138,MATCH($A10,Charges_NonSlice!$AA$4:$AA$138,0),1)/1000</f>
        <v>133.56959294872016</v>
      </c>
      <c r="L10" s="131">
        <f>+SUM(K$5:K10)</f>
        <v>5068.8182293919217</v>
      </c>
      <c r="N10" s="397" t="str">
        <f ca="1">+INDEX('Charges_NonSlice &amp; Excl LS'!$C$4:$C$138,MATCH($A10,'Charges_NonSlice &amp; Excl LS'!$AA$4:$AA$138,0),1)</f>
        <v>Benton County PUD #1</v>
      </c>
      <c r="O10" s="121">
        <f ca="1">+INDEX('Charges_NonSlice &amp; Excl LS'!$Z$4:$Z$138,MATCH($A10,'Charges_NonSlice &amp; Excl LS'!$AA$4:$AA$138,0),1)</f>
        <v>5.2320546065085134E-2</v>
      </c>
      <c r="P10" s="172">
        <f ca="1">+INDEX('Charges_NonSlice &amp; Excl LS'!$Y$4:$Y$138,MATCH($A10,'Charges_NonSlice &amp; Excl LS'!$AA$4:$AA$138,0),1)</f>
        <v>31.917939696328713</v>
      </c>
      <c r="Q10" s="396">
        <f ca="1">+INDEX('Charges_NonSlice &amp; Excl LS'!$X$4:$X$138,MATCH($A10,'Charges_NonSlice &amp; Excl LS'!$AA$4:$AA$138,0),1)/1000</f>
        <v>902.26525290266375</v>
      </c>
      <c r="R10" s="131">
        <f ca="1">+SUM(Q$5:Q10)</f>
        <v>1397.8969939886877</v>
      </c>
      <c r="T10" s="397" t="str">
        <f>+INDEX(Charges_NonSlice!$C$4:$C$138,MATCH($A10,Charges_NonSlice!$AA$4:$AA$138,0),1)</f>
        <v>Skamania County PUD #1</v>
      </c>
      <c r="U10" s="121">
        <f>+V10/W10-1</f>
        <v>5.9065145160319021E-2</v>
      </c>
      <c r="V10" s="172">
        <f>+INDEX(Charges_NonSlice!$Y$4:$Y$138,MATCH($A10,Charges_NonSlice!$AA$4:$AA$138,0),1)</f>
        <v>36.775008627807708</v>
      </c>
      <c r="W10" s="162">
        <f t="shared" si="1"/>
        <v>34.724028824724265</v>
      </c>
      <c r="Y10" s="126" t="s">
        <v>72</v>
      </c>
      <c r="Z10" s="127">
        <v>26.720107596322208</v>
      </c>
    </row>
    <row r="11" spans="1:26">
      <c r="A11">
        <f t="shared" si="2"/>
        <v>7</v>
      </c>
      <c r="B11" s="138" t="str">
        <f>+INDEX('Charges_Including Slice and LS'!$C$4:$C$138,MATCH($A11,'Charges_Including Slice and LS'!$AA$4:$AA$138,0),1)</f>
        <v>Wahkiakum County PUD #1</v>
      </c>
      <c r="C11" s="121">
        <f>+INDEX('Charges_Including Slice and LS'!$Z$4:$Z$138,MATCH($A11,'Charges_Including Slice and LS'!$AA$4:$AA$138,0),1)</f>
        <v>6.3405843094528347E-2</v>
      </c>
      <c r="D11" s="107">
        <f>+INDEX('Charges_Including Slice and LS'!$Y$4:$Y$138,MATCH($A11,'Charges_Including Slice and LS'!$AA$4:$AA$138,0),1)</f>
        <v>36.698158748597685</v>
      </c>
      <c r="E11" s="131">
        <f>+INDEX('Charges_Including Slice and LS'!$X$4:$X$138,MATCH($A11,'Charges_Including Slice and LS'!$AA$4:$AA$138,0),1)/1000</f>
        <v>43.107592627502797</v>
      </c>
      <c r="F11" s="131">
        <f>+SUM(E$5:E11)</f>
        <v>5068.0168194406488</v>
      </c>
      <c r="H11" s="397" t="str">
        <f>+INDEX(Charges_NonSlice!$C$4:$C$138,MATCH($A11,Charges_NonSlice!$AA$4:$AA$138,0),1)</f>
        <v>Cheney, City of</v>
      </c>
      <c r="I11" s="121">
        <f>+INDEX(Charges_NonSlice!$Z$4:$Z$138,MATCH($A11,Charges_NonSlice!$AA$4:$AA$138,0),1)</f>
        <v>6.6667723707924953E-2</v>
      </c>
      <c r="J11" s="172">
        <f>+INDEX(Charges_NonSlice!$Y$4:$Y$138,MATCH($A11,Charges_NonSlice!$AA$4:$AA$138,0),1)</f>
        <v>40.09647552223867</v>
      </c>
      <c r="K11" s="396">
        <f>+INDEX(Charges_NonSlice!$X$4:$X$138,MATCH($A11,Charges_NonSlice!$AA$4:$AA$138,0),1)/1000</f>
        <v>130.37499998892645</v>
      </c>
      <c r="L11" s="131">
        <f>+SUM(K$5:K11)</f>
        <v>5199.1932293808477</v>
      </c>
      <c r="N11" s="397" t="str">
        <f ca="1">+INDEX('Charges_NonSlice &amp; Excl LS'!$C$4:$C$138,MATCH($A11,'Charges_NonSlice &amp; Excl LS'!$AA$4:$AA$138,0),1)</f>
        <v>Okanogan County PUD #1</v>
      </c>
      <c r="O11" s="121">
        <f ca="1">+INDEX('Charges_NonSlice &amp; Excl LS'!$Z$4:$Z$138,MATCH($A11,'Charges_NonSlice &amp; Excl LS'!$AA$4:$AA$138,0),1)</f>
        <v>5.2202051881906075E-2</v>
      </c>
      <c r="P11" s="172">
        <f ca="1">+INDEX('Charges_NonSlice &amp; Excl LS'!$Y$4:$Y$138,MATCH($A11,'Charges_NonSlice &amp; Excl LS'!$AA$4:$AA$138,0),1)</f>
        <v>32.285371399950094</v>
      </c>
      <c r="Q11" s="396">
        <f ca="1">+INDEX('Charges_NonSlice &amp; Excl LS'!$X$4:$X$138,MATCH($A11,'Charges_NonSlice &amp; Excl LS'!$AA$4:$AA$138,0),1)/1000</f>
        <v>176.00100982728</v>
      </c>
      <c r="R11" s="131">
        <f ca="1">+SUM(Q$5:Q11)</f>
        <v>1573.8980038159677</v>
      </c>
      <c r="T11" s="397" t="str">
        <f>+INDEX(Charges_NonSlice!$C$4:$C$138,MATCH($A11,Charges_NonSlice!$AA$4:$AA$138,0),1)</f>
        <v>Cheney, City of</v>
      </c>
      <c r="U11" s="121">
        <f t="shared" si="0"/>
        <v>8.9242146599281424E-2</v>
      </c>
      <c r="V11" s="172">
        <f>+INDEX(Charges_NonSlice!$Y$4:$Y$138,MATCH($A11,Charges_NonSlice!$AA$4:$AA$138,0),1)</f>
        <v>40.09647552223867</v>
      </c>
      <c r="W11" s="162">
        <f t="shared" si="1"/>
        <v>36.811351495554703</v>
      </c>
      <c r="Y11" s="126" t="s">
        <v>52</v>
      </c>
      <c r="Z11" s="127">
        <v>42.029518902848913</v>
      </c>
    </row>
    <row r="12" spans="1:26">
      <c r="A12">
        <f t="shared" si="2"/>
        <v>8</v>
      </c>
      <c r="B12" s="138" t="str">
        <f>+INDEX('Charges_Including Slice and LS'!$C$4:$C$138,MATCH($A12,'Charges_Including Slice and LS'!$AA$4:$AA$138,0),1)</f>
        <v>Bonners Ferry, City of</v>
      </c>
      <c r="C12" s="121">
        <f>+INDEX('Charges_Including Slice and LS'!$Z$4:$Z$138,MATCH($A12,'Charges_Including Slice and LS'!$AA$4:$AA$138,0),1)</f>
        <v>6.2866037615217918E-2</v>
      </c>
      <c r="D12" s="107">
        <f>+INDEX('Charges_Including Slice and LS'!$Y$4:$Y$138,MATCH($A12,'Charges_Including Slice and LS'!$AA$4:$AA$138,0),1)</f>
        <v>41.176123424816417</v>
      </c>
      <c r="E12" s="131">
        <f>+INDEX('Charges_Including Slice and LS'!$X$4:$X$138,MATCH($A12,'Charges_Including Slice and LS'!$AA$4:$AA$138,0),1)/1000</f>
        <v>45.849839999999993</v>
      </c>
      <c r="F12" s="131">
        <f>+SUM(E$5:E12)</f>
        <v>5113.8666594406486</v>
      </c>
      <c r="H12" s="397" t="str">
        <f>+INDEX(Charges_NonSlice!$C$4:$C$138,MATCH($A12,Charges_NonSlice!$AA$4:$AA$138,0),1)</f>
        <v>Emerald PUD</v>
      </c>
      <c r="I12" s="121">
        <f>+INDEX(Charges_NonSlice!$Z$4:$Z$138,MATCH($A12,Charges_NonSlice!$AA$4:$AA$138,0),1)</f>
        <v>6.5804081483126664E-2</v>
      </c>
      <c r="J12" s="172">
        <f>+INDEX(Charges_NonSlice!$Y$4:$Y$138,MATCH($A12,Charges_NonSlice!$AA$4:$AA$138,0),1)</f>
        <v>34.587684423737826</v>
      </c>
      <c r="K12" s="396">
        <f>+INDEX(Charges_NonSlice!$X$4:$X$138,MATCH($A12,Charges_NonSlice!$AA$4:$AA$138,0),1)/1000</f>
        <v>202.82600299825626</v>
      </c>
      <c r="L12" s="131">
        <f>+SUM(K$5:K12)</f>
        <v>5402.0192323791043</v>
      </c>
      <c r="N12" s="397" t="str">
        <f ca="1">+INDEX('Charges_NonSlice &amp; Excl LS'!$C$4:$C$138,MATCH($A12,'Charges_NonSlice &amp; Excl LS'!$AA$4:$AA$138,0),1)</f>
        <v>Wahkiakum County PUD #1</v>
      </c>
      <c r="O12" s="121">
        <f ca="1">+INDEX('Charges_NonSlice &amp; Excl LS'!$Z$4:$Z$138,MATCH($A12,'Charges_NonSlice &amp; Excl LS'!$AA$4:$AA$138,0),1)</f>
        <v>5.2094511549118656E-2</v>
      </c>
      <c r="P12" s="172">
        <f ca="1">+INDEX('Charges_NonSlice &amp; Excl LS'!$Y$4:$Y$138,MATCH($A12,'Charges_NonSlice &amp; Excl LS'!$AA$4:$AA$138,0),1)</f>
        <v>35.971807400441442</v>
      </c>
      <c r="Q12" s="396">
        <f ca="1">+INDEX('Charges_NonSlice &amp; Excl LS'!$X$4:$X$138,MATCH($A12,'Charges_NonSlice &amp; Excl LS'!$AA$4:$AA$138,0),1)/1000</f>
        <v>43.011653628719991</v>
      </c>
      <c r="R12" s="131">
        <f ca="1">+SUM(Q$5:Q12)</f>
        <v>1616.9096574446878</v>
      </c>
      <c r="T12" s="397" t="str">
        <f>+INDEX(Charges_NonSlice!$C$4:$C$138,MATCH($A12,Charges_NonSlice!$AA$4:$AA$138,0),1)</f>
        <v>Emerald PUD</v>
      </c>
      <c r="U12" s="121">
        <f t="shared" si="0"/>
        <v>5.5598907077517357E-2</v>
      </c>
      <c r="V12" s="172">
        <f>+INDEX(Charges_NonSlice!$Y$4:$Y$138,MATCH($A12,Charges_NonSlice!$AA$4:$AA$138,0),1)</f>
        <v>34.587684423737826</v>
      </c>
      <c r="W12" s="162">
        <f t="shared" si="1"/>
        <v>32.76593428795384</v>
      </c>
      <c r="Y12" s="126" t="s">
        <v>13</v>
      </c>
      <c r="Z12" s="127">
        <v>37.271641519347149</v>
      </c>
    </row>
    <row r="13" spans="1:26">
      <c r="A13">
        <f t="shared" si="2"/>
        <v>9</v>
      </c>
      <c r="B13" s="138" t="str">
        <f>+INDEX('Charges_Including Slice and LS'!$C$4:$C$138,MATCH($A13,'Charges_Including Slice and LS'!$AA$4:$AA$138,0),1)</f>
        <v>Ferry County PUD #1</v>
      </c>
      <c r="C13" s="121">
        <f>+INDEX('Charges_Including Slice and LS'!$Z$4:$Z$138,MATCH($A13,'Charges_Including Slice and LS'!$AA$4:$AA$138,0),1)</f>
        <v>6.1105709266038755E-2</v>
      </c>
      <c r="D13" s="107">
        <f>+INDEX('Charges_Including Slice and LS'!$Y$4:$Y$138,MATCH($A13,'Charges_Including Slice and LS'!$AA$4:$AA$138,0),1)</f>
        <v>35.013926110994703</v>
      </c>
      <c r="E13" s="131">
        <f>+INDEX('Charges_Including Slice and LS'!$X$4:$X$138,MATCH($A13,'Charges_Including Slice and LS'!$AA$4:$AA$138,0),1)/1000</f>
        <v>85.048964262638592</v>
      </c>
      <c r="F13" s="131">
        <f>+SUM(E$5:E13)</f>
        <v>5198.9156237032876</v>
      </c>
      <c r="H13" s="397" t="str">
        <f>+INDEX(Charges_NonSlice!$C$4:$C$138,MATCH($A13,Charges_NonSlice!$AA$4:$AA$138,0),1)</f>
        <v>Lewis County PUD #1</v>
      </c>
      <c r="I13" s="121">
        <f>+INDEX(Charges_NonSlice!$Z$4:$Z$138,MATCH($A13,Charges_NonSlice!$AA$4:$AA$138,0),1)</f>
        <v>6.5765725507158868E-2</v>
      </c>
      <c r="J13" s="172">
        <f>+INDEX(Charges_NonSlice!$Y$4:$Y$138,MATCH($A13,Charges_NonSlice!$AA$4:$AA$138,0),1)</f>
        <v>34.51091817832053</v>
      </c>
      <c r="K13" s="396">
        <f>+INDEX(Charges_NonSlice!$X$4:$X$138,MATCH($A13,Charges_NonSlice!$AA$4:$AA$138,0),1)/1000</f>
        <v>359.5720053425606</v>
      </c>
      <c r="L13" s="131">
        <f>+SUM(K$5:K13)</f>
        <v>5761.5912377216646</v>
      </c>
      <c r="N13" s="397" t="str">
        <f ca="1">+INDEX('Charges_NonSlice &amp; Excl LS'!$C$4:$C$138,MATCH($A13,'Charges_NonSlice &amp; Excl LS'!$AA$4:$AA$138,0),1)</f>
        <v>Emerald PUD</v>
      </c>
      <c r="O13" s="121">
        <f ca="1">+INDEX('Charges_NonSlice &amp; Excl LS'!$Z$4:$Z$138,MATCH($A13,'Charges_NonSlice &amp; Excl LS'!$AA$4:$AA$138,0),1)</f>
        <v>5.1881665222593701E-2</v>
      </c>
      <c r="P13" s="172">
        <f ca="1">+INDEX('Charges_NonSlice &amp; Excl LS'!$Y$4:$Y$138,MATCH($A13,'Charges_NonSlice &amp; Excl LS'!$AA$4:$AA$138,0),1)</f>
        <v>34.088343596701463</v>
      </c>
      <c r="Q13" s="396">
        <f ca="1">+INDEX('Charges_NonSlice &amp; Excl LS'!$X$4:$X$138,MATCH($A13,'Charges_NonSlice &amp; Excl LS'!$AA$4:$AA$138,0),1)/1000</f>
        <v>205.51296622797599</v>
      </c>
      <c r="R13" s="131">
        <f ca="1">+SUM(Q$5:Q13)</f>
        <v>1822.4226236726638</v>
      </c>
      <c r="T13" s="397" t="str">
        <f>+INDEX(Charges_NonSlice!$C$4:$C$138,MATCH($A13,Charges_NonSlice!$AA$4:$AA$138,0),1)</f>
        <v>Lewis County PUD #1</v>
      </c>
      <c r="U13" s="121">
        <f t="shared" si="0"/>
        <v>5.8824102296539449E-2</v>
      </c>
      <c r="V13" s="172">
        <f>+INDEX(Charges_NonSlice!$Y$4:$Y$138,MATCH($A13,Charges_NonSlice!$AA$4:$AA$138,0),1)</f>
        <v>34.51091817832053</v>
      </c>
      <c r="W13" s="162">
        <f t="shared" si="1"/>
        <v>32.593627311153931</v>
      </c>
      <c r="Y13" s="126" t="s">
        <v>122</v>
      </c>
      <c r="Z13" s="127">
        <v>32.438902737932274</v>
      </c>
    </row>
    <row r="14" spans="1:26">
      <c r="A14">
        <f t="shared" si="2"/>
        <v>10</v>
      </c>
      <c r="B14" s="138" t="str">
        <f>+INDEX('Charges_Including Slice and LS'!$C$4:$C$138,MATCH($A14,'Charges_Including Slice and LS'!$AA$4:$AA$138,0),1)</f>
        <v>Lower Valley Energy</v>
      </c>
      <c r="C14" s="121">
        <f>+INDEX('Charges_Including Slice and LS'!$Z$4:$Z$138,MATCH($A14,'Charges_Including Slice and LS'!$AA$4:$AA$138,0),1)</f>
        <v>6.0446847293756045E-2</v>
      </c>
      <c r="D14" s="107">
        <f>+INDEX('Charges_Including Slice and LS'!$Y$4:$Y$138,MATCH($A14,'Charges_Including Slice and LS'!$AA$4:$AA$138,0),1)</f>
        <v>36.824506414997551</v>
      </c>
      <c r="E14" s="131">
        <f>+INDEX('Charges_Including Slice and LS'!$X$4:$X$138,MATCH($A14,'Charges_Including Slice and LS'!$AA$4:$AA$138,0),1)/1000</f>
        <v>741.59054181923102</v>
      </c>
      <c r="F14" s="131">
        <f>+SUM(E$5:E14)</f>
        <v>5940.5061655225181</v>
      </c>
      <c r="H14" s="397" t="str">
        <f>+INDEX(Charges_NonSlice!$C$4:$C$138,MATCH($A14,Charges_NonSlice!$AA$4:$AA$138,0),1)</f>
        <v>Pacific County PUD #2</v>
      </c>
      <c r="I14" s="121">
        <f>+INDEX(Charges_NonSlice!$Z$4:$Z$138,MATCH($A14,Charges_NonSlice!$AA$4:$AA$138,0),1)</f>
        <v>6.502400004976483E-2</v>
      </c>
      <c r="J14" s="172">
        <f>+INDEX(Charges_NonSlice!$Y$4:$Y$138,MATCH($A14,Charges_NonSlice!$AA$4:$AA$138,0),1)</f>
        <v>36.654464510196959</v>
      </c>
      <c r="K14" s="396">
        <f>+INDEX(Charges_NonSlice!$X$4:$X$138,MATCH($A14,Charges_NonSlice!$AA$4:$AA$138,0),1)/1000</f>
        <v>126.88900188170959</v>
      </c>
      <c r="L14" s="131">
        <f>+SUM(K$5:K14)</f>
        <v>5888.4802396033738</v>
      </c>
      <c r="N14" s="397" t="str">
        <f ca="1">+INDEX('Charges_NonSlice &amp; Excl LS'!$C$4:$C$138,MATCH($A14,'Charges_NonSlice &amp; Excl LS'!$AA$4:$AA$138,0),1)</f>
        <v>Glacier Elec  Coop</v>
      </c>
      <c r="O14" s="121">
        <f ca="1">+INDEX('Charges_NonSlice &amp; Excl LS'!$Z$4:$Z$138,MATCH($A14,'Charges_NonSlice &amp; Excl LS'!$AA$4:$AA$138,0),1)</f>
        <v>5.1718641172364473E-2</v>
      </c>
      <c r="P14" s="172">
        <f ca="1">+INDEX('Charges_NonSlice &amp; Excl LS'!$Y$4:$Y$138,MATCH($A14,'Charges_NonSlice &amp; Excl LS'!$AA$4:$AA$138,0),1)</f>
        <v>35.49901330733578</v>
      </c>
      <c r="Q14" s="396">
        <f ca="1">+INDEX('Charges_NonSlice &amp; Excl LS'!$X$4:$X$138,MATCH($A14,'Charges_NonSlice &amp; Excl LS'!$AA$4:$AA$138,0),1)/1000</f>
        <v>160.542365998344</v>
      </c>
      <c r="R14" s="131">
        <f ca="1">+SUM(Q$5:Q14)</f>
        <v>1982.9649896710077</v>
      </c>
      <c r="T14" s="397" t="str">
        <f>+INDEX(Charges_NonSlice!$C$4:$C$138,MATCH($A14,Charges_NonSlice!$AA$4:$AA$138,0),1)</f>
        <v>Pacific County PUD #2</v>
      </c>
      <c r="U14" s="121">
        <f t="shared" si="0"/>
        <v>6.5042460633643273E-2</v>
      </c>
      <c r="V14" s="172">
        <f>+INDEX(Charges_NonSlice!$Y$4:$Y$138,MATCH($A14,Charges_NonSlice!$AA$4:$AA$138,0),1)</f>
        <v>36.654464510196959</v>
      </c>
      <c r="W14" s="162">
        <f t="shared" si="1"/>
        <v>34.415965433330719</v>
      </c>
      <c r="Y14" s="126" t="s">
        <v>137</v>
      </c>
      <c r="Z14" s="127">
        <v>36.048619654932388</v>
      </c>
    </row>
    <row r="15" spans="1:26">
      <c r="A15">
        <f t="shared" si="2"/>
        <v>11</v>
      </c>
      <c r="B15" s="138" t="str">
        <f>+INDEX('Charges_Including Slice and LS'!$C$4:$C$138,MATCH($A15,'Charges_Including Slice and LS'!$AA$4:$AA$138,0),1)</f>
        <v>Idaho Falls Power</v>
      </c>
      <c r="C15" s="121">
        <f>+INDEX('Charges_Including Slice and LS'!$Z$4:$Z$138,MATCH($A15,'Charges_Including Slice and LS'!$AA$4:$AA$138,0),1)</f>
        <v>6.0392009513099865E-2</v>
      </c>
      <c r="D15" s="107">
        <f>+INDEX('Charges_Including Slice and LS'!$Y$4:$Y$138,MATCH($A15,'Charges_Including Slice and LS'!$AA$4:$AA$138,0),1)</f>
        <v>39.587326681811199</v>
      </c>
      <c r="E15" s="131">
        <f>+INDEX('Charges_Including Slice and LS'!$X$4:$X$138,MATCH($A15,'Charges_Including Slice and LS'!$AA$4:$AA$138,0),1)/1000</f>
        <v>572.0891563644268</v>
      </c>
      <c r="F15" s="131">
        <f>+SUM(E$5:E15)</f>
        <v>6512.5953218869454</v>
      </c>
      <c r="H15" s="397" t="str">
        <f>+INDEX(Charges_NonSlice!$C$4:$C$138,MATCH($A15,Charges_NonSlice!$AA$4:$AA$138,0),1)</f>
        <v>Wahkiakum County PUD #1</v>
      </c>
      <c r="I15" s="121">
        <f>+INDEX(Charges_NonSlice!$Z$4:$Z$138,MATCH($A15,Charges_NonSlice!$AA$4:$AA$138,0),1)</f>
        <v>6.3405843094528347E-2</v>
      </c>
      <c r="J15" s="172">
        <f>+INDEX(Charges_NonSlice!$Y$4:$Y$138,MATCH($A15,Charges_NonSlice!$AA$4:$AA$138,0),1)</f>
        <v>36.698158748597685</v>
      </c>
      <c r="K15" s="396">
        <f>+INDEX(Charges_NonSlice!$X$4:$X$138,MATCH($A15,Charges_NonSlice!$AA$4:$AA$138,0),1)/1000</f>
        <v>43.107592627502797</v>
      </c>
      <c r="L15" s="131">
        <f>+SUM(K$5:K15)</f>
        <v>5931.5878322308763</v>
      </c>
      <c r="N15" s="397" t="str">
        <f ca="1">+INDEX('Charges_NonSlice &amp; Excl LS'!$C$4:$C$138,MATCH($A15,'Charges_NonSlice &amp; Excl LS'!$AA$4:$AA$138,0),1)</f>
        <v>U.S. DOE Richland Operations Office</v>
      </c>
      <c r="O15" s="121">
        <f ca="1">+INDEX('Charges_NonSlice &amp; Excl LS'!$Z$4:$Z$138,MATCH($A15,'Charges_NonSlice &amp; Excl LS'!$AA$4:$AA$138,0),1)</f>
        <v>5.0544745448693758E-2</v>
      </c>
      <c r="P15" s="172">
        <f ca="1">+INDEX('Charges_NonSlice &amp; Excl LS'!$Y$4:$Y$138,MATCH($A15,'Charges_NonSlice &amp; Excl LS'!$AA$4:$AA$138,0),1)</f>
        <v>36.282493519321861</v>
      </c>
      <c r="Q15" s="396">
        <f ca="1">+INDEX('Charges_NonSlice &amp; Excl LS'!$X$4:$X$138,MATCH($A15,'Charges_NonSlice &amp; Excl LS'!$AA$4:$AA$138,0),1)/1000</f>
        <v>158.66250730368</v>
      </c>
      <c r="R15" s="131">
        <f ca="1">+SUM(Q$5:Q15)</f>
        <v>2141.6274969746878</v>
      </c>
      <c r="T15" s="397" t="str">
        <f>+INDEX(Charges_NonSlice!$C$4:$C$138,MATCH($A15,Charges_NonSlice!$AA$4:$AA$138,0),1)</f>
        <v>Wahkiakum County PUD #1</v>
      </c>
      <c r="U15" s="121">
        <f t="shared" si="0"/>
        <v>7.9784995800390668E-2</v>
      </c>
      <c r="V15" s="172">
        <f>+INDEX(Charges_NonSlice!$Y$4:$Y$138,MATCH($A15,Charges_NonSlice!$AA$4:$AA$138,0),1)</f>
        <v>36.698158748597685</v>
      </c>
      <c r="W15" s="162">
        <f t="shared" si="1"/>
        <v>33.986542590726749</v>
      </c>
      <c r="Y15" s="126" t="s">
        <v>133</v>
      </c>
      <c r="Z15" s="127">
        <v>34.993162277468002</v>
      </c>
    </row>
    <row r="16" spans="1:26">
      <c r="A16">
        <f t="shared" si="2"/>
        <v>12</v>
      </c>
      <c r="B16" s="138" t="str">
        <f>+INDEX('Charges_Including Slice and LS'!$C$4:$C$138,MATCH($A16,'Charges_Including Slice and LS'!$AA$4:$AA$138,0),1)</f>
        <v>Grant County PUD #2</v>
      </c>
      <c r="C16" s="121">
        <f>+INDEX('Charges_Including Slice and LS'!$Z$4:$Z$138,MATCH($A16,'Charges_Including Slice and LS'!$AA$4:$AA$138,0),1)</f>
        <v>6.0342463233277632E-2</v>
      </c>
      <c r="D16" s="107">
        <f>+INDEX('Charges_Including Slice and LS'!$Y$4:$Y$138,MATCH($A16,'Charges_Including Slice and LS'!$AA$4:$AA$138,0),1)</f>
        <v>39.724674846991427</v>
      </c>
      <c r="E16" s="131">
        <f>+INDEX('Charges_Including Slice and LS'!$X$4:$X$138,MATCH($A16,'Charges_Including Slice and LS'!$AA$4:$AA$138,0),1)/1000</f>
        <v>44.746079999999992</v>
      </c>
      <c r="F16" s="131">
        <f>+SUM(E$5:E16)</f>
        <v>6557.3414018869453</v>
      </c>
      <c r="H16" s="397" t="str">
        <f>+INDEX(Charges_NonSlice!$C$4:$C$138,MATCH($A16,Charges_NonSlice!$AA$4:$AA$138,0),1)</f>
        <v>Bonners Ferry, City of</v>
      </c>
      <c r="I16" s="121">
        <f>+INDEX(Charges_NonSlice!$Z$4:$Z$138,MATCH($A16,Charges_NonSlice!$AA$4:$AA$138,0),1)</f>
        <v>6.2866037615217918E-2</v>
      </c>
      <c r="J16" s="172">
        <f>+INDEX(Charges_NonSlice!$Y$4:$Y$138,MATCH($A16,Charges_NonSlice!$AA$4:$AA$138,0),1)</f>
        <v>41.176123424816417</v>
      </c>
      <c r="K16" s="396">
        <f>+INDEX(Charges_NonSlice!$X$4:$X$138,MATCH($A16,Charges_NonSlice!$AA$4:$AA$138,0),1)/1000</f>
        <v>45.849839999999993</v>
      </c>
      <c r="L16" s="131">
        <f>+SUM(K$5:K16)</f>
        <v>5977.4376722308762</v>
      </c>
      <c r="N16" s="397" t="str">
        <f ca="1">+INDEX('Charges_NonSlice &amp; Excl LS'!$C$4:$C$138,MATCH($A16,'Charges_NonSlice &amp; Excl LS'!$AA$4:$AA$138,0),1)</f>
        <v>Lewis County PUD #1</v>
      </c>
      <c r="O16" s="121">
        <f ca="1">+INDEX('Charges_NonSlice &amp; Excl LS'!$Z$4:$Z$138,MATCH($A16,'Charges_NonSlice &amp; Excl LS'!$AA$4:$AA$138,0),1)</f>
        <v>5.0388744856814327E-2</v>
      </c>
      <c r="P16" s="172">
        <f ca="1">+INDEX('Charges_NonSlice &amp; Excl LS'!$Y$4:$Y$138,MATCH($A16,'Charges_NonSlice &amp; Excl LS'!$AA$4:$AA$138,0),1)</f>
        <v>34.026492770901612</v>
      </c>
      <c r="Q16" s="396">
        <f ca="1">+INDEX('Charges_NonSlice &amp; Excl LS'!$X$4:$X$138,MATCH($A16,'Charges_NonSlice &amp; Excl LS'!$AA$4:$AA$138,0),1)/1000</f>
        <v>366.20134066862403</v>
      </c>
      <c r="R16" s="131">
        <f ca="1">+SUM(Q$5:Q16)</f>
        <v>2507.828837643312</v>
      </c>
      <c r="T16" s="397" t="str">
        <f>+INDEX(Charges_NonSlice!$C$4:$C$138,MATCH($A16,Charges_NonSlice!$AA$4:$AA$138,0),1)</f>
        <v>Bonners Ferry, City of</v>
      </c>
      <c r="U16" s="121">
        <f t="shared" si="0"/>
        <v>0.11169624402065814</v>
      </c>
      <c r="V16" s="172">
        <f>+INDEX(Charges_NonSlice!$Y$4:$Y$138,MATCH($A16,Charges_NonSlice!$AA$4:$AA$138,0),1)</f>
        <v>41.176123424816417</v>
      </c>
      <c r="W16" s="162">
        <f t="shared" si="1"/>
        <v>37.039005615324591</v>
      </c>
      <c r="Y16" s="126" t="s">
        <v>117</v>
      </c>
      <c r="Z16" s="127">
        <v>34.97683504501196</v>
      </c>
    </row>
    <row r="17" spans="1:26">
      <c r="A17">
        <f t="shared" si="2"/>
        <v>13</v>
      </c>
      <c r="B17" s="138" t="str">
        <f>+INDEX('Charges_Including Slice and LS'!$C$4:$C$138,MATCH($A17,'Charges_Including Slice and LS'!$AA$4:$AA$138,0),1)</f>
        <v>Coulee Dam, City of</v>
      </c>
      <c r="C17" s="121">
        <f>+INDEX('Charges_Including Slice and LS'!$Z$4:$Z$138,MATCH($A17,'Charges_Including Slice and LS'!$AA$4:$AA$138,0),1)</f>
        <v>6.0226895852710349E-2</v>
      </c>
      <c r="D17" s="107">
        <f>+INDEX('Charges_Including Slice and LS'!$Y$4:$Y$138,MATCH($A17,'Charges_Including Slice and LS'!$AA$4:$AA$138,0),1)</f>
        <v>37.773952214469112</v>
      </c>
      <c r="E17" s="131">
        <f>+INDEX('Charges_Including Slice and LS'!$X$4:$X$138,MATCH($A17,'Charges_Including Slice and LS'!$AA$4:$AA$138,0),1)/1000</f>
        <v>16.4943422406167</v>
      </c>
      <c r="F17" s="131">
        <f>+SUM(E$5:E17)</f>
        <v>6573.8357441275621</v>
      </c>
      <c r="H17" s="397" t="str">
        <f>+INDEX(Charges_NonSlice!$C$4:$C$138,MATCH($A17,Charges_NonSlice!$AA$4:$AA$138,0),1)</f>
        <v>Ferry County PUD #1</v>
      </c>
      <c r="I17" s="121">
        <f>+INDEX(Charges_NonSlice!$Z$4:$Z$138,MATCH($A17,Charges_NonSlice!$AA$4:$AA$138,0),1)</f>
        <v>6.1105709266038755E-2</v>
      </c>
      <c r="J17" s="172">
        <f>+INDEX(Charges_NonSlice!$Y$4:$Y$138,MATCH($A17,Charges_NonSlice!$AA$4:$AA$138,0),1)</f>
        <v>35.013926110994703</v>
      </c>
      <c r="K17" s="396">
        <f>+INDEX(Charges_NonSlice!$X$4:$X$138,MATCH($A17,Charges_NonSlice!$AA$4:$AA$138,0),1)/1000</f>
        <v>85.048964262638592</v>
      </c>
      <c r="L17" s="131">
        <f>+SUM(K$5:K17)</f>
        <v>6062.4866364935151</v>
      </c>
      <c r="N17" s="397" t="str">
        <f ca="1">+INDEX('Charges_NonSlice &amp; Excl LS'!$C$4:$C$138,MATCH($A17,'Charges_NonSlice &amp; Excl LS'!$AA$4:$AA$138,0),1)</f>
        <v>Franklin County PUD #1</v>
      </c>
      <c r="O17" s="121">
        <f ca="1">+INDEX('Charges_NonSlice &amp; Excl LS'!$Z$4:$Z$138,MATCH($A17,'Charges_NonSlice &amp; Excl LS'!$AA$4:$AA$138,0),1)</f>
        <v>4.9996229943777414E-2</v>
      </c>
      <c r="P17" s="172">
        <f ca="1">+INDEX('Charges_NonSlice &amp; Excl LS'!$Y$4:$Y$138,MATCH($A17,'Charges_NonSlice &amp; Excl LS'!$AA$4:$AA$138,0),1)</f>
        <v>33.921516777904742</v>
      </c>
      <c r="Q17" s="396">
        <f ca="1">+INDEX('Charges_NonSlice &amp; Excl LS'!$X$4:$X$138,MATCH($A17,'Charges_NonSlice &amp; Excl LS'!$AA$4:$AA$138,0),1)/1000</f>
        <v>537.35365347439188</v>
      </c>
      <c r="R17" s="131">
        <f ca="1">+SUM(Q$5:Q17)</f>
        <v>3045.1824911177036</v>
      </c>
      <c r="T17" s="397" t="str">
        <f>+INDEX(Charges_NonSlice!$C$4:$C$138,MATCH($A17,Charges_NonSlice!$AA$4:$AA$138,0),1)</f>
        <v>Ferry County PUD #1</v>
      </c>
      <c r="U17" s="121">
        <f t="shared" si="0"/>
        <v>6.2080213377076809E-2</v>
      </c>
      <c r="V17" s="172">
        <f>+INDEX(Charges_NonSlice!$Y$4:$Y$138,MATCH($A17,Charges_NonSlice!$AA$4:$AA$138,0),1)</f>
        <v>35.013926110994703</v>
      </c>
      <c r="W17" s="162">
        <f t="shared" si="1"/>
        <v>32.967308561056392</v>
      </c>
      <c r="Y17" s="126" t="s">
        <v>68</v>
      </c>
      <c r="Z17" s="127">
        <v>32.18709194285222</v>
      </c>
    </row>
    <row r="18" spans="1:26">
      <c r="A18">
        <f t="shared" si="2"/>
        <v>14</v>
      </c>
      <c r="B18" s="138" t="str">
        <f>+INDEX('Charges_Including Slice and LS'!$C$4:$C$138,MATCH($A18,'Charges_Including Slice and LS'!$AA$4:$AA$138,0),1)</f>
        <v>U.S. DOE Richland Operations Office</v>
      </c>
      <c r="C18" s="121">
        <f>+INDEX('Charges_Including Slice and LS'!$Z$4:$Z$138,MATCH($A18,'Charges_Including Slice and LS'!$AA$4:$AA$138,0),1)</f>
        <v>6.0157194807881398E-2</v>
      </c>
      <c r="D18" s="107">
        <f>+INDEX('Charges_Including Slice and LS'!$Y$4:$Y$138,MATCH($A18,'Charges_Including Slice and LS'!$AA$4:$AA$138,0),1)</f>
        <v>36.85485294640025</v>
      </c>
      <c r="E18" s="131">
        <f>+INDEX('Charges_Including Slice and LS'!$X$4:$X$138,MATCH($A18,'Charges_Including Slice and LS'!$AA$4:$AA$138,0),1)/1000</f>
        <v>158.65979831474866</v>
      </c>
      <c r="F18" s="131">
        <f>+SUM(E$5:E18)</f>
        <v>6732.4955424423106</v>
      </c>
      <c r="H18" s="397" t="str">
        <f>+INDEX(Charges_NonSlice!$C$4:$C$138,MATCH($A18,Charges_NonSlice!$AA$4:$AA$138,0),1)</f>
        <v>Clark County PUD #1</v>
      </c>
      <c r="I18" s="121">
        <f>+INDEX(Charges_NonSlice!$Z$4:$Z$138,MATCH($A18,Charges_NonSlice!$AA$4:$AA$138,0),1)</f>
        <v>6.1000050635547698E-2</v>
      </c>
      <c r="J18" s="172">
        <f>+INDEX(Charges_NonSlice!$Y$4:$Y$138,MATCH($A18,Charges_NonSlice!$AA$4:$AA$138,0),1)</f>
        <v>36.410797069804936</v>
      </c>
      <c r="K18" s="396">
        <f>+INDEX(Charges_NonSlice!$X$4:$X$138,MATCH($A18,Charges_NonSlice!$AA$4:$AA$138,0),1)/1000</f>
        <v>1272.0770187910018</v>
      </c>
      <c r="L18" s="131">
        <f>+SUM(K$5:K18)</f>
        <v>7334.5636552845172</v>
      </c>
      <c r="N18" s="397" t="str">
        <f ca="1">+INDEX('Charges_NonSlice &amp; Excl LS'!$C$4:$C$138,MATCH($A18,'Charges_NonSlice &amp; Excl LS'!$AA$4:$AA$138,0),1)</f>
        <v>Benton REA</v>
      </c>
      <c r="O18" s="121">
        <f ca="1">+INDEX('Charges_NonSlice &amp; Excl LS'!$Z$4:$Z$138,MATCH($A18,'Charges_NonSlice &amp; Excl LS'!$AA$4:$AA$138,0),1)</f>
        <v>4.9284855604446877E-2</v>
      </c>
      <c r="P18" s="172">
        <f ca="1">+INDEX('Charges_NonSlice &amp; Excl LS'!$Y$4:$Y$138,MATCH($A18,'Charges_NonSlice &amp; Excl LS'!$AA$4:$AA$138,0),1)</f>
        <v>33.224123059027214</v>
      </c>
      <c r="Q18" s="396">
        <f ca="1">+INDEX('Charges_NonSlice &amp; Excl LS'!$X$4:$X$138,MATCH($A18,'Charges_NonSlice &amp; Excl LS'!$AA$4:$AA$138,0),1)/1000</f>
        <v>514.22956642449594</v>
      </c>
      <c r="R18" s="131">
        <f ca="1">+SUM(Q$5:Q18)</f>
        <v>3559.4120575421994</v>
      </c>
      <c r="T18" s="397" t="str">
        <f>+INDEX(Charges_NonSlice!$C$4:$C$138,MATCH($A18,Charges_NonSlice!$AA$4:$AA$138,0),1)</f>
        <v>Clark County PUD #1</v>
      </c>
      <c r="U18" s="121">
        <f t="shared" si="0"/>
        <v>6.0986913815558319E-2</v>
      </c>
      <c r="V18" s="172">
        <f>+INDEX(Charges_NonSlice!$Y$4:$Y$138,MATCH($A18,Charges_NonSlice!$AA$4:$AA$138,0),1)</f>
        <v>36.410797069804936</v>
      </c>
      <c r="W18" s="162">
        <f t="shared" si="1"/>
        <v>34.317856889358936</v>
      </c>
      <c r="Y18" s="126" t="s">
        <v>134</v>
      </c>
      <c r="Z18" s="127">
        <v>35.845074736435876</v>
      </c>
    </row>
    <row r="19" spans="1:26">
      <c r="A19">
        <f t="shared" si="2"/>
        <v>15</v>
      </c>
      <c r="B19" s="138" t="str">
        <f>+INDEX('Charges_Including Slice and LS'!$C$4:$C$138,MATCH($A19,'Charges_Including Slice and LS'!$AA$4:$AA$138,0),1)</f>
        <v>U.S. DOE Albany Research Center</v>
      </c>
      <c r="C19" s="121">
        <f>+INDEX('Charges_Including Slice and LS'!$Z$4:$Z$138,MATCH($A19,'Charges_Including Slice and LS'!$AA$4:$AA$138,0),1)</f>
        <v>5.9794267339912777E-2</v>
      </c>
      <c r="D19" s="107">
        <f>+INDEX('Charges_Including Slice and LS'!$Y$4:$Y$138,MATCH($A19,'Charges_Including Slice and LS'!$AA$4:$AA$138,0),1)</f>
        <v>39.649728346736275</v>
      </c>
      <c r="E19" s="131">
        <f>+INDEX('Charges_Including Slice and LS'!$X$4:$X$138,MATCH($A19,'Charges_Including Slice and LS'!$AA$4:$AA$138,0),1)/1000</f>
        <v>3.9507600000000003</v>
      </c>
      <c r="F19" s="131">
        <f>+SUM(E$5:E19)</f>
        <v>6736.4463024423103</v>
      </c>
      <c r="H19" s="397" t="str">
        <f>+INDEX(Charges_NonSlice!$C$4:$C$138,MATCH($A19,Charges_NonSlice!$AA$4:$AA$138,0),1)</f>
        <v>Lower Valley Energy</v>
      </c>
      <c r="I19" s="121">
        <f>+INDEX(Charges_NonSlice!$Z$4:$Z$138,MATCH($A19,Charges_NonSlice!$AA$4:$AA$138,0),1)</f>
        <v>6.0446847293756045E-2</v>
      </c>
      <c r="J19" s="172">
        <f>+INDEX(Charges_NonSlice!$Y$4:$Y$138,MATCH($A19,Charges_NonSlice!$AA$4:$AA$138,0),1)</f>
        <v>36.824506414997551</v>
      </c>
      <c r="K19" s="396">
        <f>+INDEX(Charges_NonSlice!$X$4:$X$138,MATCH($A19,Charges_NonSlice!$AA$4:$AA$138,0),1)/1000</f>
        <v>741.59054181923102</v>
      </c>
      <c r="L19" s="131">
        <f>+SUM(K$5:K19)</f>
        <v>8076.1541971037477</v>
      </c>
      <c r="N19" s="397" t="str">
        <f ca="1">+INDEX('Charges_NonSlice &amp; Excl LS'!$C$4:$C$138,MATCH($A19,'Charges_NonSlice &amp; Excl LS'!$AA$4:$AA$138,0),1)</f>
        <v>Southside Elec Lines</v>
      </c>
      <c r="O19" s="121">
        <f ca="1">+INDEX('Charges_NonSlice &amp; Excl LS'!$Z$4:$Z$138,MATCH($A19,'Charges_NonSlice &amp; Excl LS'!$AA$4:$AA$138,0),1)</f>
        <v>4.8781240250259525E-2</v>
      </c>
      <c r="P19" s="172">
        <f ca="1">+INDEX('Charges_NonSlice &amp; Excl LS'!$Y$4:$Y$138,MATCH($A19,'Charges_NonSlice &amp; Excl LS'!$AA$4:$AA$138,0),1)</f>
        <v>32.272429349535308</v>
      </c>
      <c r="Q19" s="396">
        <f ca="1">+INDEX('Charges_NonSlice &amp; Excl LS'!$X$4:$X$138,MATCH($A19,'Charges_NonSlice &amp; Excl LS'!$AA$4:$AA$138,0),1)/1000</f>
        <v>58.318205330255999</v>
      </c>
      <c r="R19" s="131">
        <f ca="1">+SUM(Q$5:Q19)</f>
        <v>3617.7302628724556</v>
      </c>
      <c r="T19" s="397" t="str">
        <f>+INDEX(Charges_NonSlice!$C$4:$C$138,MATCH($A19,Charges_NonSlice!$AA$4:$AA$138,0),1)</f>
        <v>Lower Valley Energy</v>
      </c>
      <c r="U19" s="121">
        <f t="shared" si="0"/>
        <v>8.4034915542129829E-2</v>
      </c>
      <c r="V19" s="172">
        <f>+INDEX(Charges_NonSlice!$Y$4:$Y$138,MATCH($A19,Charges_NonSlice!$AA$4:$AA$138,0),1)</f>
        <v>36.824506414997551</v>
      </c>
      <c r="W19" s="162">
        <f t="shared" si="1"/>
        <v>33.969852711415186</v>
      </c>
      <c r="Y19" s="126" t="s">
        <v>9</v>
      </c>
      <c r="Z19" s="127">
        <v>30.031167147470619</v>
      </c>
    </row>
    <row r="20" spans="1:26">
      <c r="A20">
        <f t="shared" si="2"/>
        <v>16</v>
      </c>
      <c r="B20" s="138" t="str">
        <f>+INDEX('Charges_Including Slice and LS'!$C$4:$C$138,MATCH($A20,'Charges_Including Slice and LS'!$AA$4:$AA$138,0),1)</f>
        <v>Albion, City of</v>
      </c>
      <c r="C20" s="121">
        <f>+INDEX('Charges_Including Slice and LS'!$Z$4:$Z$138,MATCH($A20,'Charges_Including Slice and LS'!$AA$4:$AA$138,0),1)</f>
        <v>5.8879657181834855E-2</v>
      </c>
      <c r="D20" s="107">
        <f>+INDEX('Charges_Including Slice and LS'!$Y$4:$Y$138,MATCH($A20,'Charges_Including Slice and LS'!$AA$4:$AA$138,0),1)</f>
        <v>41.102287518389033</v>
      </c>
      <c r="E20" s="131">
        <f>+INDEX('Charges_Including Slice and LS'!$X$4:$X$138,MATCH($A20,'Charges_Including Slice and LS'!$AA$4:$AA$138,0),1)/1000</f>
        <v>3.258643049969459</v>
      </c>
      <c r="F20" s="131">
        <f>+SUM(E$5:E20)</f>
        <v>6739.7049454922799</v>
      </c>
      <c r="H20" s="397" t="str">
        <f>+INDEX(Charges_NonSlice!$C$4:$C$138,MATCH($A20,Charges_NonSlice!$AA$4:$AA$138,0),1)</f>
        <v>Grant County PUD #2</v>
      </c>
      <c r="I20" s="121">
        <f>+INDEX(Charges_NonSlice!$Z$4:$Z$138,MATCH($A20,Charges_NonSlice!$AA$4:$AA$138,0),1)</f>
        <v>6.0342463233277632E-2</v>
      </c>
      <c r="J20" s="172">
        <f>+INDEX(Charges_NonSlice!$Y$4:$Y$138,MATCH($A20,Charges_NonSlice!$AA$4:$AA$138,0),1)</f>
        <v>39.724674846991427</v>
      </c>
      <c r="K20" s="396">
        <f>+INDEX(Charges_NonSlice!$X$4:$X$138,MATCH($A20,Charges_NonSlice!$AA$4:$AA$138,0),1)/1000</f>
        <v>44.746079999999992</v>
      </c>
      <c r="L20" s="131">
        <f>+SUM(K$5:K20)</f>
        <v>8120.9002771037476</v>
      </c>
      <c r="N20" s="397" t="str">
        <f ca="1">+INDEX('Charges_NonSlice &amp; Excl LS'!$C$4:$C$138,MATCH($A20,'Charges_NonSlice &amp; Excl LS'!$AA$4:$AA$138,0),1)</f>
        <v>Eatonville, City of</v>
      </c>
      <c r="O20" s="121">
        <f ca="1">+INDEX('Charges_NonSlice &amp; Excl LS'!$Z$4:$Z$138,MATCH($A20,'Charges_NonSlice &amp; Excl LS'!$AA$4:$AA$138,0),1)</f>
        <v>4.8199048439456028E-2</v>
      </c>
      <c r="P20" s="172">
        <f ca="1">+INDEX('Charges_NonSlice &amp; Excl LS'!$Y$4:$Y$138,MATCH($A20,'Charges_NonSlice &amp; Excl LS'!$AA$4:$AA$138,0),1)</f>
        <v>38.439903209269303</v>
      </c>
      <c r="Q20" s="396">
        <f ca="1">+INDEX('Charges_NonSlice &amp; Excl LS'!$X$4:$X$138,MATCH($A20,'Charges_NonSlice &amp; Excl LS'!$AA$4:$AA$138,0),1)/1000</f>
        <v>28.581152581007995</v>
      </c>
      <c r="R20" s="131">
        <f ca="1">+SUM(Q$5:Q20)</f>
        <v>3646.3114154534637</v>
      </c>
      <c r="T20" s="397" t="str">
        <f>+INDEX(Charges_NonSlice!$C$4:$C$138,MATCH($A20,Charges_NonSlice!$AA$4:$AA$138,0),1)</f>
        <v>Grant County PUD #2</v>
      </c>
      <c r="U20" s="121">
        <f t="shared" si="0"/>
        <v>0.10969441239593025</v>
      </c>
      <c r="V20" s="172">
        <f>+INDEX(Charges_NonSlice!$Y$4:$Y$138,MATCH($A20,Charges_NonSlice!$AA$4:$AA$138,0),1)</f>
        <v>39.724674846991427</v>
      </c>
      <c r="W20" s="162">
        <f t="shared" si="1"/>
        <v>35.7978506544178</v>
      </c>
      <c r="Y20" s="126" t="s">
        <v>55</v>
      </c>
      <c r="Z20" s="127">
        <v>34.241416442715199</v>
      </c>
    </row>
    <row r="21" spans="1:26">
      <c r="A21">
        <f t="shared" si="2"/>
        <v>17</v>
      </c>
      <c r="B21" s="138" t="str">
        <f>+INDEX('Charges_Including Slice and LS'!$C$4:$C$138,MATCH($A21,'Charges_Including Slice and LS'!$AA$4:$AA$138,0),1)</f>
        <v>Mason County PUD #1</v>
      </c>
      <c r="C21" s="121">
        <f>+INDEX('Charges_Including Slice and LS'!$Z$4:$Z$138,MATCH($A21,'Charges_Including Slice and LS'!$AA$4:$AA$138,0),1)</f>
        <v>5.8293123052621798E-2</v>
      </c>
      <c r="D21" s="107">
        <f>+INDEX('Charges_Including Slice and LS'!$Y$4:$Y$138,MATCH($A21,'Charges_Including Slice and LS'!$AA$4:$AA$138,0),1)</f>
        <v>35.998961608225862</v>
      </c>
      <c r="E21" s="131">
        <f>+INDEX('Charges_Including Slice and LS'!$X$4:$X$138,MATCH($A21,'Charges_Including Slice and LS'!$AA$4:$AA$138,0),1)/1000</f>
        <v>76.080400130126321</v>
      </c>
      <c r="F21" s="131">
        <f>+SUM(E$5:E21)</f>
        <v>6815.7853456224066</v>
      </c>
      <c r="H21" s="397" t="str">
        <f>+INDEX(Charges_NonSlice!$C$4:$C$138,MATCH($A21,Charges_NonSlice!$AA$4:$AA$138,0),1)</f>
        <v>Coulee Dam, City of</v>
      </c>
      <c r="I21" s="121">
        <f>+INDEX(Charges_NonSlice!$Z$4:$Z$138,MATCH($A21,Charges_NonSlice!$AA$4:$AA$138,0),1)</f>
        <v>6.0226895852710349E-2</v>
      </c>
      <c r="J21" s="172">
        <f>+INDEX(Charges_NonSlice!$Y$4:$Y$138,MATCH($A21,Charges_NonSlice!$AA$4:$AA$138,0),1)</f>
        <v>37.773952214469112</v>
      </c>
      <c r="K21" s="396">
        <f>+INDEX(Charges_NonSlice!$X$4:$X$138,MATCH($A21,Charges_NonSlice!$AA$4:$AA$138,0),1)/1000</f>
        <v>16.4943422406167</v>
      </c>
      <c r="L21" s="131">
        <f>+SUM(K$5:K21)</f>
        <v>8137.3946193443644</v>
      </c>
      <c r="N21" s="397" t="str">
        <f ca="1">+INDEX('Charges_NonSlice &amp; Excl LS'!$C$4:$C$138,MATCH($A21,'Charges_NonSlice &amp; Excl LS'!$AA$4:$AA$138,0),1)</f>
        <v>Mason County PUD #1</v>
      </c>
      <c r="O21" s="121">
        <f ca="1">+INDEX('Charges_NonSlice &amp; Excl LS'!$Z$4:$Z$138,MATCH($A21,'Charges_NonSlice &amp; Excl LS'!$AA$4:$AA$138,0),1)</f>
        <v>4.7596038524862667E-2</v>
      </c>
      <c r="P21" s="172">
        <f ca="1">+INDEX('Charges_NonSlice &amp; Excl LS'!$Y$4:$Y$138,MATCH($A21,'Charges_NonSlice &amp; Excl LS'!$AA$4:$AA$138,0),1)</f>
        <v>35.296389052349532</v>
      </c>
      <c r="Q21" s="396">
        <f ca="1">+INDEX('Charges_NonSlice &amp; Excl LS'!$X$4:$X$138,MATCH($A21,'Charges_NonSlice &amp; Excl LS'!$AA$4:$AA$138,0),1)/1000</f>
        <v>77.463562327367995</v>
      </c>
      <c r="R21" s="131">
        <f ca="1">+SUM(Q$5:Q21)</f>
        <v>3723.7749777808317</v>
      </c>
      <c r="T21" s="397" t="str">
        <f>+INDEX(Charges_NonSlice!$C$4:$C$138,MATCH($A21,Charges_NonSlice!$AA$4:$AA$138,0),1)</f>
        <v>Coulee Dam, City of</v>
      </c>
      <c r="U21" s="121">
        <f t="shared" si="0"/>
        <v>8.1326496059485498E-2</v>
      </c>
      <c r="V21" s="172">
        <f>+INDEX(Charges_NonSlice!$Y$4:$Y$138,MATCH($A21,Charges_NonSlice!$AA$4:$AA$138,0),1)</f>
        <v>37.773952214469112</v>
      </c>
      <c r="W21" s="162">
        <f t="shared" si="1"/>
        <v>34.932975703566875</v>
      </c>
      <c r="Y21" s="126" t="s">
        <v>104</v>
      </c>
      <c r="Z21" s="127">
        <v>36.208270500477845</v>
      </c>
    </row>
    <row r="22" spans="1:26">
      <c r="A22">
        <f t="shared" si="2"/>
        <v>18</v>
      </c>
      <c r="B22" s="138" t="str">
        <f>+INDEX('Charges_Including Slice and LS'!$C$4:$C$138,MATCH($A22,'Charges_Including Slice and LS'!$AA$4:$AA$138,0),1)</f>
        <v>Port Angeles, City of</v>
      </c>
      <c r="C22" s="121">
        <f>+INDEX('Charges_Including Slice and LS'!$Z$4:$Z$138,MATCH($A22,'Charges_Including Slice and LS'!$AA$4:$AA$138,0),1)</f>
        <v>5.7975681473632301E-2</v>
      </c>
      <c r="D22" s="107">
        <f>+INDEX('Charges_Including Slice and LS'!$Y$4:$Y$138,MATCH($A22,'Charges_Including Slice and LS'!$AA$4:$AA$138,0),1)</f>
        <v>36.799666666798068</v>
      </c>
      <c r="E22" s="131">
        <f>+INDEX('Charges_Including Slice and LS'!$X$4:$X$138,MATCH($A22,'Charges_Including Slice and LS'!$AA$4:$AA$138,0),1)/1000</f>
        <v>269.97810293871169</v>
      </c>
      <c r="F22" s="131">
        <f>+SUM(E$5:E22)</f>
        <v>7085.7634485611179</v>
      </c>
      <c r="H22" s="397" t="str">
        <f>+INDEX(Charges_NonSlice!$C$4:$C$138,MATCH($A22,Charges_NonSlice!$AA$4:$AA$138,0),1)</f>
        <v>Tacoma Public Utilities</v>
      </c>
      <c r="I22" s="121">
        <f>+INDEX(Charges_NonSlice!$Z$4:$Z$138,MATCH($A22,Charges_NonSlice!$AA$4:$AA$138,0),1)</f>
        <v>6.0185006573978184E-2</v>
      </c>
      <c r="J22" s="172">
        <f>+INDEX(Charges_NonSlice!$Y$4:$Y$138,MATCH($A22,Charges_NonSlice!$AA$4:$AA$138,0),1)</f>
        <v>36.363555034479475</v>
      </c>
      <c r="K22" s="396">
        <f>+INDEX(Charges_NonSlice!$X$4:$X$138,MATCH($A22,Charges_NonSlice!$AA$4:$AA$138,0),1)/1000</f>
        <v>1467.7710217366259</v>
      </c>
      <c r="L22" s="131">
        <f>+SUM(K$5:K22)</f>
        <v>9605.1656410809901</v>
      </c>
      <c r="N22" s="397" t="str">
        <f ca="1">+INDEX('Charges_NonSlice &amp; Excl LS'!$C$4:$C$138,MATCH($A22,'Charges_NonSlice &amp; Excl LS'!$AA$4:$AA$138,0),1)</f>
        <v>Clark County PUD #1</v>
      </c>
      <c r="O22" s="121">
        <f ca="1">+INDEX('Charges_NonSlice &amp; Excl LS'!$Z$4:$Z$138,MATCH($A22,'Charges_NonSlice &amp; Excl LS'!$AA$4:$AA$138,0),1)</f>
        <v>4.7511037968359031E-2</v>
      </c>
      <c r="P22" s="172">
        <f ca="1">+INDEX('Charges_NonSlice &amp; Excl LS'!$Y$4:$Y$138,MATCH($A22,'Charges_NonSlice &amp; Excl LS'!$AA$4:$AA$138,0),1)</f>
        <v>35.987622065440313</v>
      </c>
      <c r="Q22" s="396">
        <f ca="1">+INDEX('Charges_NonSlice &amp; Excl LS'!$X$4:$X$138,MATCH($A22,'Charges_NonSlice &amp; Excl LS'!$AA$4:$AA$138,0),1)/1000</f>
        <v>1288.0134737847361</v>
      </c>
      <c r="R22" s="131">
        <f ca="1">+SUM(Q$5:Q22)</f>
        <v>5011.7884515655678</v>
      </c>
      <c r="T22" s="397" t="str">
        <f>+INDEX(Charges_NonSlice!$C$4:$C$138,MATCH($A22,Charges_NonSlice!$AA$4:$AA$138,0),1)</f>
        <v>Tacoma Public Utilities</v>
      </c>
      <c r="U22" s="121">
        <f t="shared" si="0"/>
        <v>6.0127720456846223E-2</v>
      </c>
      <c r="V22" s="172">
        <f>+INDEX(Charges_NonSlice!$Y$4:$Y$138,MATCH($A22,Charges_NonSlice!$AA$4:$AA$138,0),1)</f>
        <v>36.363555034479475</v>
      </c>
      <c r="W22" s="162">
        <f t="shared" si="1"/>
        <v>34.301107623908884</v>
      </c>
      <c r="Y22" s="126" t="s">
        <v>140</v>
      </c>
      <c r="Z22" s="127">
        <v>34.235164322063014</v>
      </c>
    </row>
    <row r="23" spans="1:26">
      <c r="A23">
        <f t="shared" si="2"/>
        <v>19</v>
      </c>
      <c r="B23" s="138" t="str">
        <f>+INDEX('Charges_Including Slice and LS'!$C$4:$C$138,MATCH($A23,'Charges_Including Slice and LS'!$AA$4:$AA$138,0),1)</f>
        <v>Eatonville, City of</v>
      </c>
      <c r="C23" s="121">
        <f>+INDEX('Charges_Including Slice and LS'!$Z$4:$Z$138,MATCH($A23,'Charges_Including Slice and LS'!$AA$4:$AA$138,0),1)</f>
        <v>5.7904160202564503E-2</v>
      </c>
      <c r="D23" s="107">
        <f>+INDEX('Charges_Including Slice and LS'!$Y$4:$Y$138,MATCH($A23,'Charges_Including Slice and LS'!$AA$4:$AA$138,0),1)</f>
        <v>39.207660495869355</v>
      </c>
      <c r="E23" s="131">
        <f>+INDEX('Charges_Including Slice and LS'!$X$4:$X$138,MATCH($A23,'Charges_Including Slice and LS'!$AA$4:$AA$138,0),1)/1000</f>
        <v>28.583266416974276</v>
      </c>
      <c r="F23" s="131">
        <f>+SUM(E$5:E23)</f>
        <v>7114.3467149780918</v>
      </c>
      <c r="H23" s="397" t="str">
        <f>+INDEX(Charges_NonSlice!$C$4:$C$138,MATCH($A23,Charges_NonSlice!$AA$4:$AA$138,0),1)</f>
        <v>U.S. DOE Richland Operations Office</v>
      </c>
      <c r="I23" s="121">
        <f>+INDEX(Charges_NonSlice!$Z$4:$Z$138,MATCH($A23,Charges_NonSlice!$AA$4:$AA$138,0),1)</f>
        <v>6.0157194807881398E-2</v>
      </c>
      <c r="J23" s="172">
        <f>+INDEX(Charges_NonSlice!$Y$4:$Y$138,MATCH($A23,Charges_NonSlice!$AA$4:$AA$138,0),1)</f>
        <v>36.85485294640025</v>
      </c>
      <c r="K23" s="396">
        <f>+INDEX(Charges_NonSlice!$X$4:$X$138,MATCH($A23,Charges_NonSlice!$AA$4:$AA$138,0),1)/1000</f>
        <v>158.65979831474866</v>
      </c>
      <c r="L23" s="131">
        <f>+SUM(K$5:K23)</f>
        <v>9763.8254393957395</v>
      </c>
      <c r="N23" s="397" t="str">
        <f ca="1">+INDEX('Charges_NonSlice &amp; Excl LS'!$C$4:$C$138,MATCH($A23,'Charges_NonSlice &amp; Excl LS'!$AA$4:$AA$138,0),1)</f>
        <v>Clatskanie PUD</v>
      </c>
      <c r="O23" s="121">
        <f ca="1">+INDEX('Charges_NonSlice &amp; Excl LS'!$Z$4:$Z$138,MATCH($A23,'Charges_NonSlice &amp; Excl LS'!$AA$4:$AA$138,0),1)</f>
        <v>4.751103796835876E-2</v>
      </c>
      <c r="P23" s="172">
        <f ca="1">+INDEX('Charges_NonSlice &amp; Excl LS'!$Y$4:$Y$138,MATCH($A23,'Charges_NonSlice &amp; Excl LS'!$AA$4:$AA$138,0),1)</f>
        <v>35.98762206544032</v>
      </c>
      <c r="Q23" s="396">
        <f ca="1">+INDEX('Charges_NonSlice &amp; Excl LS'!$X$4:$X$138,MATCH($A23,'Charges_NonSlice &amp; Excl LS'!$AA$4:$AA$138,0),1)/1000</f>
        <v>298.89144876647998</v>
      </c>
      <c r="R23" s="131">
        <f ca="1">+SUM(Q$5:Q23)</f>
        <v>5310.6799003320475</v>
      </c>
      <c r="T23" s="397" t="str">
        <f>+INDEX(Charges_NonSlice!$C$4:$C$138,MATCH($A23,Charges_NonSlice!$AA$4:$AA$138,0),1)</f>
        <v>U.S. DOE Richland Operations Office</v>
      </c>
      <c r="U23" s="121">
        <f t="shared" si="0"/>
        <v>2.4660921585944351E-2</v>
      </c>
      <c r="V23" s="172">
        <f>+INDEX(Charges_NonSlice!$Y$4:$Y$138,MATCH($A23,Charges_NonSlice!$AA$4:$AA$138,0),1)</f>
        <v>36.85485294640025</v>
      </c>
      <c r="W23" s="162">
        <f t="shared" si="1"/>
        <v>35.967852554928356</v>
      </c>
      <c r="Y23" s="126" t="s">
        <v>46</v>
      </c>
      <c r="Z23" s="127">
        <v>34.269207681960673</v>
      </c>
    </row>
    <row r="24" spans="1:26">
      <c r="A24">
        <f t="shared" si="2"/>
        <v>20</v>
      </c>
      <c r="B24" s="138" t="str">
        <f>+INDEX('Charges_Including Slice and LS'!$C$4:$C$138,MATCH($A24,'Charges_Including Slice and LS'!$AA$4:$AA$138,0),1)</f>
        <v>Elmhurst Mutual P &amp; L</v>
      </c>
      <c r="C24" s="121">
        <f>+INDEX('Charges_Including Slice and LS'!$Z$4:$Z$138,MATCH($A24,'Charges_Including Slice and LS'!$AA$4:$AA$138,0),1)</f>
        <v>5.6967176280829701E-2</v>
      </c>
      <c r="D24" s="107">
        <f>+INDEX('Charges_Including Slice and LS'!$Y$4:$Y$138,MATCH($A24,'Charges_Including Slice and LS'!$AA$4:$AA$138,0),1)</f>
        <v>39.229295154682653</v>
      </c>
      <c r="E24" s="131">
        <f>+INDEX('Charges_Including Slice and LS'!$X$4:$X$138,MATCH($A24,'Charges_Including Slice and LS'!$AA$4:$AA$138,0),1)/1000</f>
        <v>277.01994104140198</v>
      </c>
      <c r="F24" s="131">
        <f>+SUM(E$5:E24)</f>
        <v>7391.3666560194933</v>
      </c>
      <c r="H24" s="397" t="str">
        <f>+INDEX(Charges_NonSlice!$C$4:$C$138,MATCH($A24,Charges_NonSlice!$AA$4:$AA$138,0),1)</f>
        <v>Grays Harbor PUD #1</v>
      </c>
      <c r="I24" s="121">
        <f>+INDEX(Charges_NonSlice!$Z$4:$Z$138,MATCH($A24,Charges_NonSlice!$AA$4:$AA$138,0),1)</f>
        <v>5.9871226345604045E-2</v>
      </c>
      <c r="J24" s="172">
        <f>+INDEX(Charges_NonSlice!$Y$4:$Y$138,MATCH($A24,Charges_NonSlice!$AA$4:$AA$138,0),1)</f>
        <v>36.394398978260746</v>
      </c>
      <c r="K24" s="396">
        <f>+INDEX(Charges_NonSlice!$X$4:$X$138,MATCH($A24,Charges_NonSlice!$AA$4:$AA$138,0),1)/1000</f>
        <v>524.35600774997033</v>
      </c>
      <c r="L24" s="131">
        <f>+SUM(K$5:K24)</f>
        <v>10288.181447145709</v>
      </c>
      <c r="N24" s="397" t="str">
        <f ca="1">+INDEX('Charges_NonSlice &amp; Excl LS'!$C$4:$C$138,MATCH($A24,'Charges_NonSlice &amp; Excl LS'!$AA$4:$AA$138,0),1)</f>
        <v>Idaho Falls Power</v>
      </c>
      <c r="O24" s="121">
        <f ca="1">+INDEX('Charges_NonSlice &amp; Excl LS'!$Z$4:$Z$138,MATCH($A24,'Charges_NonSlice &amp; Excl LS'!$AA$4:$AA$138,0),1)</f>
        <v>4.7511037968358122E-2</v>
      </c>
      <c r="P24" s="172">
        <f ca="1">+INDEX('Charges_NonSlice &amp; Excl LS'!$Y$4:$Y$138,MATCH($A24,'Charges_NonSlice &amp; Excl LS'!$AA$4:$AA$138,0),1)</f>
        <v>35.98762206544032</v>
      </c>
      <c r="Q24" s="396">
        <f ca="1">+INDEX('Charges_NonSlice &amp; Excl LS'!$X$4:$X$138,MATCH($A24,'Charges_NonSlice &amp; Excl LS'!$AA$4:$AA$138,0),1)/1000</f>
        <v>241.40670829437596</v>
      </c>
      <c r="R24" s="131">
        <f ca="1">+SUM(Q$5:Q24)</f>
        <v>5552.0866086264232</v>
      </c>
      <c r="T24" s="397" t="str">
        <f>+INDEX(Charges_NonSlice!$C$4:$C$138,MATCH($A24,Charges_NonSlice!$AA$4:$AA$138,0),1)</f>
        <v>Grays Harbor PUD #1</v>
      </c>
      <c r="U24" s="121">
        <f t="shared" si="0"/>
        <v>5.9869106079758705E-2</v>
      </c>
      <c r="V24" s="172">
        <f>+INDEX(Charges_NonSlice!$Y$4:$Y$138,MATCH($A24,Charges_NonSlice!$AA$4:$AA$138,0),1)</f>
        <v>36.394398978260746</v>
      </c>
      <c r="W24" s="162">
        <f t="shared" si="1"/>
        <v>34.338578952335219</v>
      </c>
      <c r="Y24" s="126" t="s">
        <v>124</v>
      </c>
      <c r="Z24" s="127">
        <v>36.119164663491887</v>
      </c>
    </row>
    <row r="25" spans="1:26">
      <c r="A25">
        <f t="shared" si="2"/>
        <v>21</v>
      </c>
      <c r="B25" s="138" t="str">
        <f>+INDEX('Charges_Including Slice and LS'!$C$4:$C$138,MATCH($A25,'Charges_Including Slice and LS'!$AA$4:$AA$138,0),1)</f>
        <v>Flathead Elec Coop</v>
      </c>
      <c r="C25" s="121">
        <f>+INDEX('Charges_Including Slice and LS'!$Z$4:$Z$138,MATCH($A25,'Charges_Including Slice and LS'!$AA$4:$AA$138,0),1)</f>
        <v>5.6954836321639668E-2</v>
      </c>
      <c r="D25" s="107">
        <f>+INDEX('Charges_Including Slice and LS'!$Y$4:$Y$138,MATCH($A25,'Charges_Including Slice and LS'!$AA$4:$AA$138,0),1)</f>
        <v>40.031050005350309</v>
      </c>
      <c r="E25" s="131">
        <f>+INDEX('Charges_Including Slice and LS'!$X$4:$X$138,MATCH($A25,'Charges_Including Slice and LS'!$AA$4:$AA$138,0),1)/1000</f>
        <v>1410.9429639778534</v>
      </c>
      <c r="F25" s="131">
        <f>+SUM(E$5:E25)</f>
        <v>8802.3096199973461</v>
      </c>
      <c r="H25" s="397" t="str">
        <f>+INDEX(Charges_NonSlice!$C$4:$C$138,MATCH($A25,Charges_NonSlice!$AA$4:$AA$138,0),1)</f>
        <v>U.S. DOE Albany Research Center</v>
      </c>
      <c r="I25" s="121">
        <f>+INDEX(Charges_NonSlice!$Z$4:$Z$138,MATCH($A25,Charges_NonSlice!$AA$4:$AA$138,0),1)</f>
        <v>5.9794267339912777E-2</v>
      </c>
      <c r="J25" s="172">
        <f>+INDEX(Charges_NonSlice!$Y$4:$Y$138,MATCH($A25,Charges_NonSlice!$AA$4:$AA$138,0),1)</f>
        <v>39.649728346736275</v>
      </c>
      <c r="K25" s="396">
        <f>+INDEX(Charges_NonSlice!$X$4:$X$138,MATCH($A25,Charges_NonSlice!$AA$4:$AA$138,0),1)/1000</f>
        <v>3.9507600000000003</v>
      </c>
      <c r="L25" s="131">
        <f>+SUM(K$5:K25)</f>
        <v>10292.132207145709</v>
      </c>
      <c r="N25" s="397" t="str">
        <f ca="1">+INDEX('Charges_NonSlice &amp; Excl LS'!$C$4:$C$138,MATCH($A25,'Charges_NonSlice &amp; Excl LS'!$AA$4:$AA$138,0),1)</f>
        <v>Northern Wasco County PUD</v>
      </c>
      <c r="O25" s="121">
        <f ca="1">+INDEX('Charges_NonSlice &amp; Excl LS'!$Z$4:$Z$138,MATCH($A25,'Charges_NonSlice &amp; Excl LS'!$AA$4:$AA$138,0),1)</f>
        <v>4.7511037968357359E-2</v>
      </c>
      <c r="P25" s="172">
        <f ca="1">+INDEX('Charges_NonSlice &amp; Excl LS'!$Y$4:$Y$138,MATCH($A25,'Charges_NonSlice &amp; Excl LS'!$AA$4:$AA$138,0),1)</f>
        <v>35.987622065440313</v>
      </c>
      <c r="Q25" s="396">
        <f ca="1">+INDEX('Charges_NonSlice &amp; Excl LS'!$X$4:$X$138,MATCH($A25,'Charges_NonSlice &amp; Excl LS'!$AA$4:$AA$138,0),1)/1000</f>
        <v>558.23286072386406</v>
      </c>
      <c r="R25" s="131">
        <f ca="1">+SUM(Q$5:Q25)</f>
        <v>6110.3194693502874</v>
      </c>
      <c r="T25" s="397" t="str">
        <f>+INDEX(Charges_NonSlice!$C$4:$C$138,MATCH($A25,Charges_NonSlice!$AA$4:$AA$138,0),1)</f>
        <v>U.S. DOE Albany Research Center</v>
      </c>
      <c r="U25" s="121">
        <f t="shared" si="0"/>
        <v>0.13363759541951636</v>
      </c>
      <c r="V25" s="172">
        <f>+INDEX(Charges_NonSlice!$Y$4:$Y$138,MATCH($A25,Charges_NonSlice!$AA$4:$AA$138,0),1)</f>
        <v>39.649728346736275</v>
      </c>
      <c r="W25" s="162">
        <f t="shared" si="1"/>
        <v>34.975664627692069</v>
      </c>
      <c r="Y25" s="126" t="s">
        <v>10</v>
      </c>
      <c r="Z25" s="127">
        <v>31.940558543610006</v>
      </c>
    </row>
    <row r="26" spans="1:26">
      <c r="A26">
        <f t="shared" si="2"/>
        <v>22</v>
      </c>
      <c r="B26" s="138" t="str">
        <f>+INDEX('Charges_Including Slice and LS'!$C$4:$C$138,MATCH($A26,'Charges_Including Slice and LS'!$AA$4:$AA$138,0),1)</f>
        <v>Ohop Mutual Light Company</v>
      </c>
      <c r="C26" s="121">
        <f>+INDEX('Charges_Including Slice and LS'!$Z$4:$Z$138,MATCH($A26,'Charges_Including Slice and LS'!$AA$4:$AA$138,0),1)</f>
        <v>5.6945470749116156E-2</v>
      </c>
      <c r="D26" s="107">
        <f>+INDEX('Charges_Including Slice and LS'!$Y$4:$Y$138,MATCH($A26,'Charges_Including Slice and LS'!$AA$4:$AA$138,0),1)</f>
        <v>36.709348038615317</v>
      </c>
      <c r="E26" s="131">
        <f>+INDEX('Charges_Including Slice and LS'!$X$4:$X$138,MATCH($A26,'Charges_Including Slice and LS'!$AA$4:$AA$138,0),1)/1000</f>
        <v>85.655694249680252</v>
      </c>
      <c r="F26" s="131">
        <f>+SUM(E$5:E26)</f>
        <v>8887.965314247027</v>
      </c>
      <c r="H26" s="397" t="str">
        <f>+INDEX(Charges_NonSlice!$C$4:$C$138,MATCH($A26,Charges_NonSlice!$AA$4:$AA$138,0),1)</f>
        <v>Eugene Water &amp; Electric Board</v>
      </c>
      <c r="I26" s="121">
        <f>+INDEX(Charges_NonSlice!$Z$4:$Z$138,MATCH($A26,Charges_NonSlice!$AA$4:$AA$138,0),1)</f>
        <v>5.963067708375025E-2</v>
      </c>
      <c r="J26" s="172">
        <f>+INDEX(Charges_NonSlice!$Y$4:$Y$138,MATCH($A26,Charges_NonSlice!$AA$4:$AA$138,0),1)</f>
        <v>36.475351618768372</v>
      </c>
      <c r="K26" s="396">
        <f>+INDEX(Charges_NonSlice!$X$4:$X$138,MATCH($A26,Charges_NonSlice!$AA$4:$AA$138,0),1)/1000</f>
        <v>972.29601437389681</v>
      </c>
      <c r="L26" s="131">
        <f>+SUM(K$5:K26)</f>
        <v>11264.428221519605</v>
      </c>
      <c r="N26" s="397" t="str">
        <f ca="1">+INDEX('Charges_NonSlice &amp; Excl LS'!$C$4:$C$138,MATCH($A26,'Charges_NonSlice &amp; Excl LS'!$AA$4:$AA$138,0),1)</f>
        <v>Seattle City Light</v>
      </c>
      <c r="O26" s="121">
        <f ca="1">+INDEX('Charges_NonSlice &amp; Excl LS'!$Z$4:$Z$138,MATCH($A26,'Charges_NonSlice &amp; Excl LS'!$AA$4:$AA$138,0),1)</f>
        <v>4.751103796835654E-2</v>
      </c>
      <c r="P26" s="172">
        <f ca="1">+INDEX('Charges_NonSlice &amp; Excl LS'!$Y$4:$Y$138,MATCH($A26,'Charges_NonSlice &amp; Excl LS'!$AA$4:$AA$138,0),1)</f>
        <v>35.987622065440313</v>
      </c>
      <c r="Q26" s="396">
        <f ca="1">+INDEX('Charges_NonSlice &amp; Excl LS'!$X$4:$X$138,MATCH($A26,'Charges_NonSlice &amp; Excl LS'!$AA$4:$AA$138,0),1)/1000</f>
        <v>4475.03708291568</v>
      </c>
      <c r="R26" s="131">
        <f ca="1">+SUM(Q$5:Q26)</f>
        <v>10585.356552265966</v>
      </c>
      <c r="T26" s="397" t="str">
        <f>+INDEX(Charges_NonSlice!$C$4:$C$138,MATCH($A26,Charges_NonSlice!$AA$4:$AA$138,0),1)</f>
        <v>Eugene Water &amp; Electric Board</v>
      </c>
      <c r="U26" s="121">
        <f t="shared" si="0"/>
        <v>5.9670903771364747E-2</v>
      </c>
      <c r="V26" s="172">
        <f>+INDEX(Charges_NonSlice!$Y$4:$Y$138,MATCH($A26,Charges_NonSlice!$AA$4:$AA$138,0),1)</f>
        <v>36.475351618768372</v>
      </c>
      <c r="W26" s="162">
        <f t="shared" si="1"/>
        <v>34.42139582105419</v>
      </c>
      <c r="Y26" s="126" t="s">
        <v>32</v>
      </c>
      <c r="Z26" s="127">
        <v>35.585336900277753</v>
      </c>
    </row>
    <row r="27" spans="1:26">
      <c r="A27">
        <f t="shared" si="2"/>
        <v>23</v>
      </c>
      <c r="B27" s="138" t="str">
        <f>+INDEX('Charges_Including Slice and LS'!$C$4:$C$138,MATCH($A27,'Charges_Including Slice and LS'!$AA$4:$AA$138,0),1)</f>
        <v>Minidoka, City of</v>
      </c>
      <c r="C27" s="121">
        <f>+INDEX('Charges_Including Slice and LS'!$Z$4:$Z$138,MATCH($A27,'Charges_Including Slice and LS'!$AA$4:$AA$138,0),1)</f>
        <v>5.6784053578918137E-2</v>
      </c>
      <c r="D27" s="107">
        <f>+INDEX('Charges_Including Slice and LS'!$Y$4:$Y$138,MATCH($A27,'Charges_Including Slice and LS'!$AA$4:$AA$138,0),1)</f>
        <v>41.146776208853645</v>
      </c>
      <c r="E27" s="131">
        <f>+INDEX('Charges_Including Slice and LS'!$X$4:$X$138,MATCH($A27,'Charges_Including Slice and LS'!$AA$4:$AA$138,0),1)/1000</f>
        <v>0.81157801286957654</v>
      </c>
      <c r="F27" s="131">
        <f>+SUM(E$5:E27)</f>
        <v>8888.7768922598971</v>
      </c>
      <c r="H27" s="397" t="str">
        <f>+INDEX(Charges_NonSlice!$C$4:$C$138,MATCH($A27,Charges_NonSlice!$AA$4:$AA$138,0),1)</f>
        <v>Idaho Falls Power</v>
      </c>
      <c r="I27" s="121">
        <f>+INDEX(Charges_NonSlice!$Z$4:$Z$138,MATCH($A27,Charges_NonSlice!$AA$4:$AA$138,0),1)</f>
        <v>5.9503304567774862E-2</v>
      </c>
      <c r="J27" s="172">
        <f>+INDEX(Charges_NonSlice!$Y$4:$Y$138,MATCH($A27,Charges_NonSlice!$AA$4:$AA$138,0),1)</f>
        <v>36.370721775188962</v>
      </c>
      <c r="K27" s="396">
        <f>+INDEX(Charges_NonSlice!$X$4:$X$138,MATCH($A27,Charges_NonSlice!$AA$4:$AA$138,0),1)/1000</f>
        <v>237.96100352191493</v>
      </c>
      <c r="L27" s="131">
        <f>+SUM(K$5:K27)</f>
        <v>11502.389225041521</v>
      </c>
      <c r="N27" s="397" t="str">
        <f ca="1">+INDEX('Charges_NonSlice &amp; Excl LS'!$C$4:$C$138,MATCH($A27,'Charges_NonSlice &amp; Excl LS'!$AA$4:$AA$138,0),1)</f>
        <v>Snohomish County PUD #1</v>
      </c>
      <c r="O27" s="121">
        <f ca="1">+INDEX('Charges_NonSlice &amp; Excl LS'!$Z$4:$Z$138,MATCH($A27,'Charges_NonSlice &amp; Excl LS'!$AA$4:$AA$138,0),1)</f>
        <v>4.7511037968354673E-2</v>
      </c>
      <c r="P27" s="172">
        <f ca="1">+INDEX('Charges_NonSlice &amp; Excl LS'!$Y$4:$Y$138,MATCH($A27,'Charges_NonSlice &amp; Excl LS'!$AA$4:$AA$138,0),1)</f>
        <v>35.98762206544032</v>
      </c>
      <c r="Q27" s="396">
        <f ca="1">+INDEX('Charges_NonSlice &amp; Excl LS'!$X$4:$X$138,MATCH($A27,'Charges_NonSlice &amp; Excl LS'!$AA$4:$AA$138,0),1)/1000</f>
        <v>3472.59787122228</v>
      </c>
      <c r="R27" s="131">
        <f ca="1">+SUM(Q$5:Q27)</f>
        <v>14057.954423488247</v>
      </c>
      <c r="T27" s="397" t="str">
        <f>+INDEX(Charges_NonSlice!$C$4:$C$138,MATCH($A27,Charges_NonSlice!$AA$4:$AA$138,0),1)</f>
        <v>Idaho Falls Power</v>
      </c>
      <c r="U27" s="121">
        <f t="shared" si="0"/>
        <v>5.9624097589028535E-2</v>
      </c>
      <c r="V27" s="172">
        <f>+INDEX(Charges_NonSlice!$Y$4:$Y$138,MATCH($A27,Charges_NonSlice!$AA$4:$AA$138,0),1)</f>
        <v>36.370721775188962</v>
      </c>
      <c r="W27" s="162">
        <f t="shared" si="1"/>
        <v>34.32417388198661</v>
      </c>
      <c r="Y27" s="126" t="s">
        <v>113</v>
      </c>
      <c r="Z27" s="127">
        <v>30.059486653574684</v>
      </c>
    </row>
    <row r="28" spans="1:26">
      <c r="A28">
        <f t="shared" si="2"/>
        <v>24</v>
      </c>
      <c r="B28" s="138" t="str">
        <f>+INDEX('Charges_Including Slice and LS'!$C$4:$C$138,MATCH($A28,'Charges_Including Slice and LS'!$AA$4:$AA$138,0),1)</f>
        <v>Energy Northwest</v>
      </c>
      <c r="C28" s="121">
        <f>+INDEX('Charges_Including Slice and LS'!$Z$4:$Z$138,MATCH($A28,'Charges_Including Slice and LS'!$AA$4:$AA$138,0),1)</f>
        <v>5.6369503451939584E-2</v>
      </c>
      <c r="D28" s="107">
        <f>+INDEX('Charges_Including Slice and LS'!$Y$4:$Y$138,MATCH($A28,'Charges_Including Slice and LS'!$AA$4:$AA$138,0),1)</f>
        <v>37.856845406650962</v>
      </c>
      <c r="E28" s="131">
        <f>+INDEX('Charges_Including Slice and LS'!$X$4:$X$138,MATCH($A28,'Charges_Including Slice and LS'!$AA$4:$AA$138,0),1)/1000</f>
        <v>21.145339337005389</v>
      </c>
      <c r="F28" s="131">
        <f>+SUM(E$5:E28)</f>
        <v>8909.9222315969018</v>
      </c>
      <c r="H28" s="397" t="str">
        <f>+INDEX(Charges_NonSlice!$C$4:$C$138,MATCH($A28,Charges_NonSlice!$AA$4:$AA$138,0),1)</f>
        <v>Snohomish County PUD #1</v>
      </c>
      <c r="I28" s="121">
        <f>+INDEX(Charges_NonSlice!$Z$4:$Z$138,MATCH($A28,Charges_NonSlice!$AA$4:$AA$138,0),1)</f>
        <v>5.8933405439394404E-2</v>
      </c>
      <c r="J28" s="172">
        <f>+INDEX(Charges_NonSlice!$Y$4:$Y$138,MATCH($A28,Charges_NonSlice!$AA$4:$AA$138,0),1)</f>
        <v>36.378148659354828</v>
      </c>
      <c r="K28" s="396">
        <f>+INDEX(Charges_NonSlice!$X$4:$X$138,MATCH($A28,Charges_NonSlice!$AA$4:$AA$138,0),1)/1000</f>
        <v>3436.0350506621971</v>
      </c>
      <c r="L28" s="131">
        <f>+SUM(K$5:K28)</f>
        <v>14938.424275703717</v>
      </c>
      <c r="N28" s="397" t="str">
        <f ca="1">+INDEX('Charges_NonSlice &amp; Excl LS'!$C$4:$C$138,MATCH($A28,'Charges_NonSlice &amp; Excl LS'!$AA$4:$AA$138,0),1)</f>
        <v>Grays Harbor PUD #1</v>
      </c>
      <c r="O28" s="121">
        <f ca="1">+INDEX('Charges_NonSlice &amp; Excl LS'!$Z$4:$Z$138,MATCH($A28,'Charges_NonSlice &amp; Excl LS'!$AA$4:$AA$138,0),1)</f>
        <v>4.7511037968354389E-2</v>
      </c>
      <c r="P28" s="172">
        <f ca="1">+INDEX('Charges_NonSlice &amp; Excl LS'!$Y$4:$Y$138,MATCH($A28,'Charges_NonSlice &amp; Excl LS'!$AA$4:$AA$138,0),1)</f>
        <v>35.987622065440313</v>
      </c>
      <c r="Q28" s="396">
        <f ca="1">+INDEX('Charges_NonSlice &amp; Excl LS'!$X$4:$X$138,MATCH($A28,'Charges_NonSlice &amp; Excl LS'!$AA$4:$AA$138,0),1)/1000</f>
        <v>531.21521521252816</v>
      </c>
      <c r="R28" s="131">
        <f ca="1">+SUM(Q$5:Q28)</f>
        <v>14589.169638700776</v>
      </c>
      <c r="T28" s="397" t="str">
        <f>+INDEX(Charges_NonSlice!$C$4:$C$138,MATCH($A28,Charges_NonSlice!$AA$4:$AA$138,0),1)</f>
        <v>Snohomish County PUD #1</v>
      </c>
      <c r="U28" s="121">
        <f t="shared" si="0"/>
        <v>5.8933512277311806E-2</v>
      </c>
      <c r="V28" s="172">
        <f>+INDEX(Charges_NonSlice!$Y$4:$Y$138,MATCH($A28,Charges_NonSlice!$AA$4:$AA$138,0),1)</f>
        <v>36.378148659354828</v>
      </c>
      <c r="W28" s="162">
        <f t="shared" si="1"/>
        <v>34.353572002005144</v>
      </c>
      <c r="Y28" s="126" t="s">
        <v>63</v>
      </c>
      <c r="Z28" s="127">
        <v>36.690011223197665</v>
      </c>
    </row>
    <row r="29" spans="1:26">
      <c r="A29">
        <f t="shared" si="2"/>
        <v>25</v>
      </c>
      <c r="B29" s="138" t="str">
        <f>+INDEX('Charges_Including Slice and LS'!$C$4:$C$138,MATCH($A29,'Charges_Including Slice and LS'!$AA$4:$AA$138,0),1)</f>
        <v>Parkland L &amp; W</v>
      </c>
      <c r="C29" s="121">
        <f>+INDEX('Charges_Including Slice and LS'!$Z$4:$Z$138,MATCH($A29,'Charges_Including Slice and LS'!$AA$4:$AA$138,0),1)</f>
        <v>5.4942662503735029E-2</v>
      </c>
      <c r="D29" s="107">
        <f>+INDEX('Charges_Including Slice and LS'!$Y$4:$Y$138,MATCH($A29,'Charges_Including Slice and LS'!$AA$4:$AA$138,0),1)</f>
        <v>38.638190621371294</v>
      </c>
      <c r="E29" s="131">
        <f>+INDEX('Charges_Including Slice and LS'!$X$4:$X$138,MATCH($A29,'Charges_Including Slice and LS'!$AA$4:$AA$138,0),1)/1000</f>
        <v>119.11934073783659</v>
      </c>
      <c r="F29" s="131">
        <f>+SUM(E$5:E29)</f>
        <v>9029.0415723347378</v>
      </c>
      <c r="H29" s="397" t="str">
        <f>+INDEX(Charges_NonSlice!$C$4:$C$138,MATCH($A29,Charges_NonSlice!$AA$4:$AA$138,0),1)</f>
        <v>Albion, City of</v>
      </c>
      <c r="I29" s="121">
        <f>+INDEX(Charges_NonSlice!$Z$4:$Z$138,MATCH($A29,Charges_NonSlice!$AA$4:$AA$138,0),1)</f>
        <v>5.8879657181834855E-2</v>
      </c>
      <c r="J29" s="172">
        <f>+INDEX(Charges_NonSlice!$Y$4:$Y$138,MATCH($A29,Charges_NonSlice!$AA$4:$AA$138,0),1)</f>
        <v>41.102287518389033</v>
      </c>
      <c r="K29" s="396">
        <f>+INDEX(Charges_NonSlice!$X$4:$X$138,MATCH($A29,Charges_NonSlice!$AA$4:$AA$138,0),1)/1000</f>
        <v>3.258643049969459</v>
      </c>
      <c r="L29" s="131">
        <f>+SUM(K$5:K29)</f>
        <v>14941.682918753686</v>
      </c>
      <c r="N29" s="397" t="str">
        <f ca="1">+INDEX('Charges_NonSlice &amp; Excl LS'!$C$4:$C$138,MATCH($A29,'Charges_NonSlice &amp; Excl LS'!$AA$4:$AA$138,0),1)</f>
        <v>Pacific County PUD #2</v>
      </c>
      <c r="O29" s="121">
        <f ca="1">+INDEX('Charges_NonSlice &amp; Excl LS'!$Z$4:$Z$138,MATCH($A29,'Charges_NonSlice &amp; Excl LS'!$AA$4:$AA$138,0),1)</f>
        <v>4.7511037968354118E-2</v>
      </c>
      <c r="P29" s="172">
        <f ca="1">+INDEX('Charges_NonSlice &amp; Excl LS'!$Y$4:$Y$138,MATCH($A29,'Charges_NonSlice &amp; Excl LS'!$AA$4:$AA$138,0),1)</f>
        <v>35.987622065440313</v>
      </c>
      <c r="Q29" s="396">
        <f ca="1">+INDEX('Charges_NonSlice &amp; Excl LS'!$X$4:$X$138,MATCH($A29,'Charges_NonSlice &amp; Excl LS'!$AA$4:$AA$138,0),1)/1000</f>
        <v>128.98020772029599</v>
      </c>
      <c r="R29" s="131">
        <f ca="1">+SUM(Q$5:Q29)</f>
        <v>14718.149846421073</v>
      </c>
      <c r="T29" s="397" t="str">
        <f>+INDEX(Charges_NonSlice!$C$4:$C$138,MATCH($A29,Charges_NonSlice!$AA$4:$AA$138,0),1)</f>
        <v>Albion, City of</v>
      </c>
      <c r="U29" s="121">
        <f t="shared" si="0"/>
        <v>9.2490881003451708E-2</v>
      </c>
      <c r="V29" s="172">
        <f>+INDEX(Charges_NonSlice!$Y$4:$Y$138,MATCH($A29,Charges_NonSlice!$AA$4:$AA$138,0),1)</f>
        <v>41.102287518389033</v>
      </c>
      <c r="W29" s="162">
        <f t="shared" si="1"/>
        <v>37.622545170021581</v>
      </c>
      <c r="Y29" s="126" t="s">
        <v>115</v>
      </c>
      <c r="Z29" s="127">
        <v>29.061449759758993</v>
      </c>
    </row>
    <row r="30" spans="1:26">
      <c r="A30">
        <f t="shared" si="2"/>
        <v>26</v>
      </c>
      <c r="B30" s="138" t="str">
        <f>+INDEX('Charges_Including Slice and LS'!$C$4:$C$138,MATCH($A30,'Charges_Including Slice and LS'!$AA$4:$AA$138,0),1)</f>
        <v>Hood River Elec Coop</v>
      </c>
      <c r="C30" s="121">
        <f>+INDEX('Charges_Including Slice and LS'!$Z$4:$Z$138,MATCH($A30,'Charges_Including Slice and LS'!$AA$4:$AA$138,0),1)</f>
        <v>5.443754382587862E-2</v>
      </c>
      <c r="D30" s="107">
        <f>+INDEX('Charges_Including Slice and LS'!$Y$4:$Y$138,MATCH($A30,'Charges_Including Slice and LS'!$AA$4:$AA$138,0),1)</f>
        <v>38.943959887676115</v>
      </c>
      <c r="E30" s="131">
        <f>+INDEX('Charges_Including Slice and LS'!$X$4:$X$138,MATCH($A30,'Charges_Including Slice and LS'!$AA$4:$AA$138,0),1)/1000</f>
        <v>112.89715764712828</v>
      </c>
      <c r="F30" s="131">
        <f>+SUM(E$5:E30)</f>
        <v>9141.9387299818663</v>
      </c>
      <c r="H30" s="397" t="str">
        <f>+INDEX(Charges_NonSlice!$C$4:$C$138,MATCH($A30,Charges_NonSlice!$AA$4:$AA$138,0),1)</f>
        <v>Mason County PUD #1</v>
      </c>
      <c r="I30" s="121">
        <f>+INDEX(Charges_NonSlice!$Z$4:$Z$138,MATCH($A30,Charges_NonSlice!$AA$4:$AA$138,0),1)</f>
        <v>5.8293123052621798E-2</v>
      </c>
      <c r="J30" s="172">
        <f>+INDEX(Charges_NonSlice!$Y$4:$Y$138,MATCH($A30,Charges_NonSlice!$AA$4:$AA$138,0),1)</f>
        <v>35.998961608225862</v>
      </c>
      <c r="K30" s="396">
        <f>+INDEX(Charges_NonSlice!$X$4:$X$138,MATCH($A30,Charges_NonSlice!$AA$4:$AA$138,0),1)/1000</f>
        <v>76.080400130126321</v>
      </c>
      <c r="L30" s="131">
        <f>+SUM(K$5:K30)</f>
        <v>15017.763318883812</v>
      </c>
      <c r="N30" s="397" t="str">
        <f ca="1">+INDEX('Charges_NonSlice &amp; Excl LS'!$C$4:$C$138,MATCH($A30,'Charges_NonSlice &amp; Excl LS'!$AA$4:$AA$138,0),1)</f>
        <v>Cowlitz County PUD #1</v>
      </c>
      <c r="O30" s="121">
        <f ca="1">+INDEX('Charges_NonSlice &amp; Excl LS'!$Z$4:$Z$138,MATCH($A30,'Charges_NonSlice &amp; Excl LS'!$AA$4:$AA$138,0),1)</f>
        <v>4.7511037968352925E-2</v>
      </c>
      <c r="P30" s="172">
        <f ca="1">+INDEX('Charges_NonSlice &amp; Excl LS'!$Y$4:$Y$138,MATCH($A30,'Charges_NonSlice &amp; Excl LS'!$AA$4:$AA$138,0),1)</f>
        <v>35.98762206544032</v>
      </c>
      <c r="Q30" s="396">
        <f ca="1">+INDEX('Charges_NonSlice &amp; Excl LS'!$X$4:$X$138,MATCH($A30,'Charges_NonSlice &amp; Excl LS'!$AA$4:$AA$138,0),1)/1000</f>
        <v>2306.0634214344723</v>
      </c>
      <c r="R30" s="131">
        <f ca="1">+SUM(Q$5:Q30)</f>
        <v>17024.213267855546</v>
      </c>
      <c r="T30" s="397" t="str">
        <f>+INDEX(Charges_NonSlice!$C$4:$C$138,MATCH($A30,Charges_NonSlice!$AA$4:$AA$138,0),1)</f>
        <v>Mason County PUD #1</v>
      </c>
      <c r="U30" s="121">
        <f t="shared" si="0"/>
        <v>4.7422579675368892E-2</v>
      </c>
      <c r="V30" s="172">
        <f>+INDEX(Charges_NonSlice!$Y$4:$Y$138,MATCH($A30,Charges_NonSlice!$AA$4:$AA$138,0),1)</f>
        <v>35.998961608225862</v>
      </c>
      <c r="W30" s="162">
        <f t="shared" si="1"/>
        <v>34.369090667668381</v>
      </c>
      <c r="Y30" s="126" t="s">
        <v>42</v>
      </c>
      <c r="Z30" s="127">
        <v>36.228458498187202</v>
      </c>
    </row>
    <row r="31" spans="1:26">
      <c r="A31">
        <f t="shared" si="2"/>
        <v>27</v>
      </c>
      <c r="B31" s="138" t="str">
        <f>+INDEX('Charges_Including Slice and LS'!$C$4:$C$138,MATCH($A31,'Charges_Including Slice and LS'!$AA$4:$AA$138,0),1)</f>
        <v>Troy, City of</v>
      </c>
      <c r="C31" s="121">
        <f>+INDEX('Charges_Including Slice and LS'!$Z$4:$Z$138,MATCH($A31,'Charges_Including Slice and LS'!$AA$4:$AA$138,0),1)</f>
        <v>5.4125436745247502E-2</v>
      </c>
      <c r="D31" s="107">
        <f>+INDEX('Charges_Including Slice and LS'!$Y$4:$Y$138,MATCH($A31,'Charges_Including Slice and LS'!$AA$4:$AA$138,0),1)</f>
        <v>38.807849850075655</v>
      </c>
      <c r="E31" s="131">
        <f>+INDEX('Charges_Including Slice and LS'!$X$4:$X$138,MATCH($A31,'Charges_Including Slice and LS'!$AA$4:$AA$138,0),1)/1000</f>
        <v>17.563800000000001</v>
      </c>
      <c r="F31" s="131">
        <f>+SUM(E$5:E31)</f>
        <v>9159.5025299818662</v>
      </c>
      <c r="H31" s="397" t="str">
        <f>+INDEX(Charges_NonSlice!$C$4:$C$138,MATCH($A31,Charges_NonSlice!$AA$4:$AA$138,0),1)</f>
        <v>Port Angeles, City of</v>
      </c>
      <c r="I31" s="121">
        <f>+INDEX(Charges_NonSlice!$Z$4:$Z$138,MATCH($A31,Charges_NonSlice!$AA$4:$AA$138,0),1)</f>
        <v>5.7975681473632301E-2</v>
      </c>
      <c r="J31" s="172">
        <f>+INDEX(Charges_NonSlice!$Y$4:$Y$138,MATCH($A31,Charges_NonSlice!$AA$4:$AA$138,0),1)</f>
        <v>36.799666666798068</v>
      </c>
      <c r="K31" s="396">
        <f>+INDEX(Charges_NonSlice!$X$4:$X$138,MATCH($A31,Charges_NonSlice!$AA$4:$AA$138,0),1)/1000</f>
        <v>269.97810293871169</v>
      </c>
      <c r="L31" s="131">
        <f>+SUM(K$5:K31)</f>
        <v>15287.741421822524</v>
      </c>
      <c r="N31" s="397" t="str">
        <f ca="1">+INDEX('Charges_NonSlice &amp; Excl LS'!$C$4:$C$138,MATCH($A31,'Charges_NonSlice &amp; Excl LS'!$AA$4:$AA$138,0),1)</f>
        <v>Tacoma Public Utilities</v>
      </c>
      <c r="O31" s="121">
        <f ca="1">+INDEX('Charges_NonSlice &amp; Excl LS'!$Z$4:$Z$138,MATCH($A31,'Charges_NonSlice &amp; Excl LS'!$AA$4:$AA$138,0),1)</f>
        <v>4.7511037968351162E-2</v>
      </c>
      <c r="P31" s="172">
        <f ca="1">+INDEX('Charges_NonSlice &amp; Excl LS'!$Y$4:$Y$138,MATCH($A31,'Charges_NonSlice &amp; Excl LS'!$AA$4:$AA$138,0),1)</f>
        <v>35.98762206544032</v>
      </c>
      <c r="Q31" s="396">
        <f ca="1">+INDEX('Charges_NonSlice &amp; Excl LS'!$X$4:$X$138,MATCH($A31,'Charges_NonSlice &amp; Excl LS'!$AA$4:$AA$138,0),1)/1000</f>
        <v>1489.9188147507839</v>
      </c>
      <c r="R31" s="131">
        <f ca="1">+SUM(Q$5:Q31)</f>
        <v>18514.132082606331</v>
      </c>
      <c r="T31" s="397" t="str">
        <f>+INDEX(Charges_NonSlice!$C$4:$C$138,MATCH($A31,Charges_NonSlice!$AA$4:$AA$138,0),1)</f>
        <v>Port Angeles, City of</v>
      </c>
      <c r="U31" s="121">
        <f t="shared" si="0"/>
        <v>6.1509001467480173E-2</v>
      </c>
      <c r="V31" s="172">
        <f>+INDEX(Charges_NonSlice!$Y$4:$Y$138,MATCH($A31,Charges_NonSlice!$AA$4:$AA$138,0),1)</f>
        <v>36.799666666798068</v>
      </c>
      <c r="W31" s="162">
        <f t="shared" si="1"/>
        <v>34.667314752794816</v>
      </c>
      <c r="Y31" s="126" t="s">
        <v>107</v>
      </c>
      <c r="Z31" s="127">
        <v>32.232118533599241</v>
      </c>
    </row>
    <row r="32" spans="1:26">
      <c r="A32">
        <f t="shared" si="2"/>
        <v>28</v>
      </c>
      <c r="B32" s="138" t="str">
        <f>+INDEX('Charges_Including Slice and LS'!$C$4:$C$138,MATCH($A32,'Charges_Including Slice and LS'!$AA$4:$AA$138,0),1)</f>
        <v>Milton-Freewater, City of</v>
      </c>
      <c r="C32" s="121">
        <f>+INDEX('Charges_Including Slice and LS'!$Z$4:$Z$138,MATCH($A32,'Charges_Including Slice and LS'!$AA$4:$AA$138,0),1)</f>
        <v>5.3828992145806609E-2</v>
      </c>
      <c r="D32" s="107">
        <f>+INDEX('Charges_Including Slice and LS'!$Y$4:$Y$138,MATCH($A32,'Charges_Including Slice and LS'!$AA$4:$AA$138,0),1)</f>
        <v>39.373381419180632</v>
      </c>
      <c r="E32" s="131">
        <f>+INDEX('Charges_Including Slice and LS'!$X$4:$X$138,MATCH($A32,'Charges_Including Slice and LS'!$AA$4:$AA$138,0),1)/1000</f>
        <v>81.264495239029571</v>
      </c>
      <c r="F32" s="131">
        <f>+SUM(E$5:E32)</f>
        <v>9240.7670252208954</v>
      </c>
      <c r="H32" s="397" t="str">
        <f>+INDEX(Charges_NonSlice!$C$4:$C$138,MATCH($A32,Charges_NonSlice!$AA$4:$AA$138,0),1)</f>
        <v>Eatonville, City of</v>
      </c>
      <c r="I32" s="121">
        <f>+INDEX(Charges_NonSlice!$Z$4:$Z$138,MATCH($A32,Charges_NonSlice!$AA$4:$AA$138,0),1)</f>
        <v>5.7904160202564503E-2</v>
      </c>
      <c r="J32" s="172">
        <f>+INDEX(Charges_NonSlice!$Y$4:$Y$138,MATCH($A32,Charges_NonSlice!$AA$4:$AA$138,0),1)</f>
        <v>39.207660495869355</v>
      </c>
      <c r="K32" s="396">
        <f>+INDEX(Charges_NonSlice!$X$4:$X$138,MATCH($A32,Charges_NonSlice!$AA$4:$AA$138,0),1)/1000</f>
        <v>28.583266416974276</v>
      </c>
      <c r="L32" s="131">
        <f>+SUM(K$5:K32)</f>
        <v>15316.324688239498</v>
      </c>
      <c r="N32" s="397" t="str">
        <f ca="1">+INDEX('Charges_NonSlice &amp; Excl LS'!$C$4:$C$138,MATCH($A32,'Charges_NonSlice &amp; Excl LS'!$AA$4:$AA$138,0),1)</f>
        <v>Eugene Water &amp; Electric Board</v>
      </c>
      <c r="O32" s="121">
        <f ca="1">+INDEX('Charges_NonSlice &amp; Excl LS'!$Z$4:$Z$138,MATCH($A32,'Charges_NonSlice &amp; Excl LS'!$AA$4:$AA$138,0),1)</f>
        <v>4.7511037968351121E-2</v>
      </c>
      <c r="P32" s="172">
        <f ca="1">+INDEX('Charges_NonSlice &amp; Excl LS'!$Y$4:$Y$138,MATCH($A32,'Charges_NonSlice &amp; Excl LS'!$AA$4:$AA$138,0),1)</f>
        <v>35.987622065440327</v>
      </c>
      <c r="Q32" s="396">
        <f ca="1">+INDEX('Charges_NonSlice &amp; Excl LS'!$X$4:$X$138,MATCH($A32,'Charges_NonSlice &amp; Excl LS'!$AA$4:$AA$138,0),1)/1000</f>
        <v>985.24671761210379</v>
      </c>
      <c r="R32" s="131">
        <f ca="1">+SUM(Q$5:Q32)</f>
        <v>19499.378800218434</v>
      </c>
      <c r="T32" s="397" t="str">
        <f>+INDEX(Charges_NonSlice!$C$4:$C$138,MATCH($A32,Charges_NonSlice!$AA$4:$AA$138,0),1)</f>
        <v>Eatonville, City of</v>
      </c>
      <c r="U32" s="121">
        <f t="shared" si="0"/>
        <v>4.8453531712860709E-2</v>
      </c>
      <c r="V32" s="172">
        <f>+INDEX(Charges_NonSlice!$Y$4:$Y$138,MATCH($A32,Charges_NonSlice!$AA$4:$AA$138,0),1)</f>
        <v>39.207660495869355</v>
      </c>
      <c r="W32" s="162">
        <f t="shared" si="1"/>
        <v>37.395706447586399</v>
      </c>
      <c r="Y32" s="126" t="s">
        <v>125</v>
      </c>
      <c r="Z32" s="127">
        <v>36.035979845179071</v>
      </c>
    </row>
    <row r="33" spans="1:26">
      <c r="A33">
        <f t="shared" si="2"/>
        <v>29</v>
      </c>
      <c r="B33" s="138" t="str">
        <f>+INDEX('Charges_Including Slice and LS'!$C$4:$C$138,MATCH($A33,'Charges_Including Slice and LS'!$AA$4:$AA$138,0),1)</f>
        <v>Kittitas County PUD #1</v>
      </c>
      <c r="C33" s="121">
        <f>+INDEX('Charges_Including Slice and LS'!$Z$4:$Z$138,MATCH($A33,'Charges_Including Slice and LS'!$AA$4:$AA$138,0),1)</f>
        <v>5.3725946259070456E-2</v>
      </c>
      <c r="D33" s="107">
        <f>+INDEX('Charges_Including Slice and LS'!$Y$4:$Y$138,MATCH($A33,'Charges_Including Slice and LS'!$AA$4:$AA$138,0),1)</f>
        <v>37.167483774397041</v>
      </c>
      <c r="E33" s="131">
        <f>+INDEX('Charges_Including Slice and LS'!$X$4:$X$138,MATCH($A33,'Charges_Including Slice and LS'!$AA$4:$AA$138,0),1)/1000</f>
        <v>83.631720000000001</v>
      </c>
      <c r="F33" s="131">
        <f>+SUM(E$5:E33)</f>
        <v>9324.3987452208949</v>
      </c>
      <c r="H33" s="397" t="str">
        <f>+INDEX(Charges_NonSlice!$C$4:$C$138,MATCH($A33,Charges_NonSlice!$AA$4:$AA$138,0),1)</f>
        <v>Clatskanie PUD</v>
      </c>
      <c r="I33" s="121">
        <f>+INDEX(Charges_NonSlice!$Z$4:$Z$138,MATCH($A33,Charges_NonSlice!$AA$4:$AA$138,0),1)</f>
        <v>5.7373944321207127E-2</v>
      </c>
      <c r="J33" s="172">
        <f>+INDEX(Charges_NonSlice!$Y$4:$Y$138,MATCH($A33,Charges_NonSlice!$AA$4:$AA$138,0),1)</f>
        <v>36.236672626909666</v>
      </c>
      <c r="K33" s="396">
        <f>+INDEX(Charges_NonSlice!$X$4:$X$138,MATCH($A33,Charges_NonSlice!$AA$4:$AA$138,0),1)/1000</f>
        <v>293.97400436056751</v>
      </c>
      <c r="L33" s="131">
        <f>+SUM(K$5:K33)</f>
        <v>15610.298692600065</v>
      </c>
      <c r="N33" s="397" t="str">
        <f ca="1">+INDEX('Charges_NonSlice &amp; Excl LS'!$C$4:$C$138,MATCH($A33,'Charges_NonSlice &amp; Excl LS'!$AA$4:$AA$138,0),1)</f>
        <v>Energy Northwest</v>
      </c>
      <c r="O33" s="121">
        <f ca="1">+INDEX('Charges_NonSlice &amp; Excl LS'!$Z$4:$Z$138,MATCH($A33,'Charges_NonSlice &amp; Excl LS'!$AA$4:$AA$138,0),1)</f>
        <v>4.7428601002217033E-2</v>
      </c>
      <c r="P33" s="172">
        <f ca="1">+INDEX('Charges_NonSlice &amp; Excl LS'!$Y$4:$Y$138,MATCH($A33,'Charges_NonSlice &amp; Excl LS'!$AA$4:$AA$138,0),1)</f>
        <v>37.226521300030811</v>
      </c>
      <c r="Q33" s="396">
        <f ca="1">+INDEX('Charges_NonSlice &amp; Excl LS'!$X$4:$X$138,MATCH($A33,'Charges_NonSlice &amp; Excl LS'!$AA$4:$AA$138,0),1)/1000</f>
        <v>23.099752309511999</v>
      </c>
      <c r="R33" s="131">
        <f ca="1">+SUM(Q$5:Q33)</f>
        <v>19522.478552527944</v>
      </c>
      <c r="T33" s="397" t="str">
        <f>+INDEX(Charges_NonSlice!$C$4:$C$138,MATCH($A33,Charges_NonSlice!$AA$4:$AA$138,0),1)</f>
        <v>Clatskanie PUD</v>
      </c>
      <c r="U33" s="121">
        <f t="shared" si="0"/>
        <v>5.741203482754198E-2</v>
      </c>
      <c r="V33" s="172">
        <f>+INDEX(Charges_NonSlice!$Y$4:$Y$138,MATCH($A33,Charges_NonSlice!$AA$4:$AA$138,0),1)</f>
        <v>36.236672626909666</v>
      </c>
      <c r="W33" s="162">
        <f t="shared" si="1"/>
        <v>34.269207681960673</v>
      </c>
      <c r="Y33" s="126" t="s">
        <v>92</v>
      </c>
      <c r="Z33" s="127">
        <v>32.410734756260531</v>
      </c>
    </row>
    <row r="34" spans="1:26">
      <c r="A34">
        <f t="shared" si="2"/>
        <v>30</v>
      </c>
      <c r="B34" s="138" t="str">
        <f>+INDEX('Charges_Including Slice and LS'!$C$4:$C$138,MATCH($A34,'Charges_Including Slice and LS'!$AA$4:$AA$138,0),1)</f>
        <v>Chewelah, City of</v>
      </c>
      <c r="C34" s="121">
        <f>+INDEX('Charges_Including Slice and LS'!$Z$4:$Z$138,MATCH($A34,'Charges_Including Slice and LS'!$AA$4:$AA$138,0),1)</f>
        <v>5.3492879805552951E-2</v>
      </c>
      <c r="D34" s="107">
        <f>+INDEX('Charges_Including Slice and LS'!$Y$4:$Y$138,MATCH($A34,'Charges_Including Slice and LS'!$AA$4:$AA$138,0),1)</f>
        <v>38.3335687305524</v>
      </c>
      <c r="E34" s="131">
        <f>+INDEX('Charges_Including Slice and LS'!$X$4:$X$138,MATCH($A34,'Charges_Including Slice and LS'!$AA$4:$AA$138,0),1)/1000</f>
        <v>22.34737233673912</v>
      </c>
      <c r="F34" s="131">
        <f>+SUM(E$5:E34)</f>
        <v>9346.7461175576336</v>
      </c>
      <c r="H34" s="397" t="str">
        <f>+INDEX(Charges_NonSlice!$C$4:$C$138,MATCH($A34,Charges_NonSlice!$AA$4:$AA$138,0),1)</f>
        <v>Elmhurst Mutual P &amp; L</v>
      </c>
      <c r="I34" s="121">
        <f>+INDEX(Charges_NonSlice!$Z$4:$Z$138,MATCH($A34,Charges_NonSlice!$AA$4:$AA$138,0),1)</f>
        <v>5.6967176280829701E-2</v>
      </c>
      <c r="J34" s="172">
        <f>+INDEX(Charges_NonSlice!$Y$4:$Y$138,MATCH($A34,Charges_NonSlice!$AA$4:$AA$138,0),1)</f>
        <v>39.229295154682653</v>
      </c>
      <c r="K34" s="396">
        <f>+INDEX(Charges_NonSlice!$X$4:$X$138,MATCH($A34,Charges_NonSlice!$AA$4:$AA$138,0),1)/1000</f>
        <v>277.01994104140198</v>
      </c>
      <c r="L34" s="131">
        <f>+SUM(K$5:K34)</f>
        <v>15887.318633641467</v>
      </c>
      <c r="N34" s="397" t="str">
        <f ca="1">+INDEX('Charges_NonSlice &amp; Excl LS'!$C$4:$C$138,MATCH($A34,'Charges_NonSlice &amp; Excl LS'!$AA$4:$AA$138,0),1)</f>
        <v>Albion, City of</v>
      </c>
      <c r="O34" s="121">
        <f ca="1">+INDEX('Charges_NonSlice &amp; Excl LS'!$Z$4:$Z$138,MATCH($A34,'Charges_NonSlice &amp; Excl LS'!$AA$4:$AA$138,0),1)</f>
        <v>4.6735678743682466E-2</v>
      </c>
      <c r="P34" s="172">
        <f ca="1">+INDEX('Charges_NonSlice &amp; Excl LS'!$Y$4:$Y$138,MATCH($A34,'Charges_NonSlice &amp; Excl LS'!$AA$4:$AA$138,0),1)</f>
        <v>40.061537048942562</v>
      </c>
      <c r="Q34" s="396">
        <f ca="1">+INDEX('Charges_NonSlice &amp; Excl LS'!$X$4:$X$138,MATCH($A34,'Charges_NonSlice &amp; Excl LS'!$AA$4:$AA$138,0),1)/1000</f>
        <v>3.4251147090480001</v>
      </c>
      <c r="R34" s="131">
        <f ca="1">+SUM(Q$5:Q34)</f>
        <v>19525.903667236991</v>
      </c>
      <c r="T34" s="397" t="str">
        <f>+INDEX(Charges_NonSlice!$C$4:$C$138,MATCH($A34,Charges_NonSlice!$AA$4:$AA$138,0),1)</f>
        <v>Elmhurst Mutual P &amp; L</v>
      </c>
      <c r="U34" s="121">
        <f t="shared" si="0"/>
        <v>7.1312289638824744E-2</v>
      </c>
      <c r="V34" s="172">
        <f>+INDEX(Charges_NonSlice!$Y$4:$Y$138,MATCH($A34,Charges_NonSlice!$AA$4:$AA$138,0),1)</f>
        <v>39.229295154682653</v>
      </c>
      <c r="W34" s="162">
        <f t="shared" si="1"/>
        <v>36.61798294865838</v>
      </c>
      <c r="Y34" s="126" t="s">
        <v>28</v>
      </c>
      <c r="Z34" s="127">
        <v>37.055961955320939</v>
      </c>
    </row>
    <row r="35" spans="1:26">
      <c r="A35">
        <f t="shared" si="2"/>
        <v>31</v>
      </c>
      <c r="B35" s="138" t="str">
        <f>+INDEX('Charges_Including Slice and LS'!$C$4:$C$138,MATCH($A35,'Charges_Including Slice and LS'!$AA$4:$AA$138,0),1)</f>
        <v>Mission Valley</v>
      </c>
      <c r="C35" s="121">
        <f>+INDEX('Charges_Including Slice and LS'!$Z$4:$Z$138,MATCH($A35,'Charges_Including Slice and LS'!$AA$4:$AA$138,0),1)</f>
        <v>5.3080928727231136E-2</v>
      </c>
      <c r="D35" s="107">
        <f>+INDEX('Charges_Including Slice and LS'!$Y$4:$Y$138,MATCH($A35,'Charges_Including Slice and LS'!$AA$4:$AA$138,0),1)</f>
        <v>36.289680540679434</v>
      </c>
      <c r="E35" s="131">
        <f>+INDEX('Charges_Including Slice and LS'!$X$4:$X$138,MATCH($A35,'Charges_Including Slice and LS'!$AA$4:$AA$138,0),1)/1000</f>
        <v>325.6783517724827</v>
      </c>
      <c r="F35" s="131">
        <f>+SUM(E$5:E35)</f>
        <v>9672.4244693301171</v>
      </c>
      <c r="H35" s="397" t="str">
        <f>+INDEX(Charges_NonSlice!$C$4:$C$138,MATCH($A35,Charges_NonSlice!$AA$4:$AA$138,0),1)</f>
        <v>Flathead Elec Coop</v>
      </c>
      <c r="I35" s="121">
        <f>+INDEX(Charges_NonSlice!$Z$4:$Z$138,MATCH($A35,Charges_NonSlice!$AA$4:$AA$138,0),1)</f>
        <v>5.6954836321639668E-2</v>
      </c>
      <c r="J35" s="172">
        <f>+INDEX(Charges_NonSlice!$Y$4:$Y$138,MATCH($A35,Charges_NonSlice!$AA$4:$AA$138,0),1)</f>
        <v>40.031050005350309</v>
      </c>
      <c r="K35" s="396">
        <f>+INDEX(Charges_NonSlice!$X$4:$X$138,MATCH($A35,Charges_NonSlice!$AA$4:$AA$138,0),1)/1000</f>
        <v>1410.9429639778534</v>
      </c>
      <c r="L35" s="131">
        <f>+SUM(K$5:K35)</f>
        <v>17298.261597619319</v>
      </c>
      <c r="N35" s="432" t="str">
        <f ca="1">+INDEX('Charges_NonSlice &amp; Excl LS'!$C$4:$C$138,MATCH($A35,'Charges_NonSlice &amp; Excl LS'!$AA$4:$AA$138,0),1)</f>
        <v>Elmhurst Mutual P &amp; L</v>
      </c>
      <c r="O35" s="121">
        <f ca="1">+INDEX('Charges_NonSlice &amp; Excl LS'!$Z$4:$Z$138,MATCH($A35,'Charges_NonSlice &amp; Excl LS'!$AA$4:$AA$138,0),1)</f>
        <v>4.6720160855619745E-2</v>
      </c>
      <c r="P35" s="172">
        <f ca="1">+INDEX('Charges_NonSlice &amp; Excl LS'!$Y$4:$Y$138,MATCH($A35,'Charges_NonSlice &amp; Excl LS'!$AA$4:$AA$138,0),1)</f>
        <v>38.546476174232566</v>
      </c>
      <c r="Q35" s="396">
        <f ca="1">+INDEX('Charges_NonSlice &amp; Excl LS'!$X$4:$X$138,MATCH($A35,'Charges_NonSlice &amp; Excl LS'!$AA$4:$AA$138,0),1)/1000</f>
        <v>277.014517161264</v>
      </c>
      <c r="R35" s="131">
        <f ca="1">+SUM(Q$5:Q35)</f>
        <v>19802.918184398255</v>
      </c>
      <c r="T35" s="397" t="str">
        <f>+INDEX(Charges_NonSlice!$C$4:$C$138,MATCH($A35,Charges_NonSlice!$AA$4:$AA$138,0),1)</f>
        <v>Flathead Elec Coop</v>
      </c>
      <c r="U35" s="121">
        <f t="shared" si="0"/>
        <v>7.3682462383962255E-2</v>
      </c>
      <c r="V35" s="172">
        <f>+INDEX(Charges_NonSlice!$Y$4:$Y$138,MATCH($A35,Charges_NonSlice!$AA$4:$AA$138,0),1)</f>
        <v>40.031050005350309</v>
      </c>
      <c r="W35" s="162">
        <f t="shared" si="1"/>
        <v>37.283881787979418</v>
      </c>
      <c r="Y35" s="126" t="s">
        <v>90</v>
      </c>
      <c r="Z35" s="127">
        <v>34.989227938744349</v>
      </c>
    </row>
    <row r="36" spans="1:26">
      <c r="A36">
        <f t="shared" si="2"/>
        <v>32</v>
      </c>
      <c r="B36" s="138" t="str">
        <f>+INDEX('Charges_Including Slice and LS'!$C$4:$C$138,MATCH($A36,'Charges_Including Slice and LS'!$AA$4:$AA$138,0),1)</f>
        <v>Farmers Elec Coop</v>
      </c>
      <c r="C36" s="121">
        <f>+INDEX('Charges_Including Slice and LS'!$Z$4:$Z$138,MATCH($A36,'Charges_Including Slice and LS'!$AA$4:$AA$138,0),1)</f>
        <v>5.3023826104613203E-2</v>
      </c>
      <c r="D36" s="107">
        <f>+INDEX('Charges_Including Slice and LS'!$Y$4:$Y$138,MATCH($A36,'Charges_Including Slice and LS'!$AA$4:$AA$138,0),1)</f>
        <v>39.071101544108409</v>
      </c>
      <c r="E36" s="131">
        <f>+INDEX('Charges_Including Slice and LS'!$X$4:$X$138,MATCH($A36,'Charges_Including Slice and LS'!$AA$4:$AA$138,0),1)/1000</f>
        <v>4.3410350638153483</v>
      </c>
      <c r="F36" s="131">
        <f>+SUM(E$5:E36)</f>
        <v>9676.7655043939321</v>
      </c>
      <c r="H36" s="397" t="str">
        <f>+INDEX(Charges_NonSlice!$C$4:$C$138,MATCH($A36,Charges_NonSlice!$AA$4:$AA$138,0),1)</f>
        <v>Ohop Mutual Light Company</v>
      </c>
      <c r="I36" s="121">
        <f>+INDEX(Charges_NonSlice!$Z$4:$Z$138,MATCH($A36,Charges_NonSlice!$AA$4:$AA$138,0),1)</f>
        <v>5.6945470749116156E-2</v>
      </c>
      <c r="J36" s="172">
        <f>+INDEX(Charges_NonSlice!$Y$4:$Y$138,MATCH($A36,Charges_NonSlice!$AA$4:$AA$138,0),1)</f>
        <v>36.709348038615317</v>
      </c>
      <c r="K36" s="396">
        <f>+INDEX(Charges_NonSlice!$X$4:$X$138,MATCH($A36,Charges_NonSlice!$AA$4:$AA$138,0),1)/1000</f>
        <v>85.655694249680252</v>
      </c>
      <c r="L36" s="131">
        <f>+SUM(K$5:K36)</f>
        <v>17383.917291868998</v>
      </c>
      <c r="N36" s="397" t="str">
        <f ca="1">+INDEX('Charges_NonSlice &amp; Excl LS'!$C$4:$C$138,MATCH($A36,'Charges_NonSlice &amp; Excl LS'!$AA$4:$AA$138,0),1)</f>
        <v>Peninsula Light Company</v>
      </c>
      <c r="O36" s="121">
        <f ca="1">+INDEX('Charges_NonSlice &amp; Excl LS'!$Z$4:$Z$138,MATCH($A36,'Charges_NonSlice &amp; Excl LS'!$AA$4:$AA$138,0),1)</f>
        <v>4.6457772327192288E-2</v>
      </c>
      <c r="P36" s="172">
        <f ca="1">+INDEX('Charges_NonSlice &amp; Excl LS'!$Y$4:$Y$138,MATCH($A36,'Charges_NonSlice &amp; Excl LS'!$AA$4:$AA$138,0),1)</f>
        <v>38.868553820419223</v>
      </c>
      <c r="Q36" s="396">
        <f ca="1">+INDEX('Charges_NonSlice &amp; Excl LS'!$X$4:$X$138,MATCH($A36,'Charges_NonSlice &amp; Excl LS'!$AA$4:$AA$138,0),1)/1000</f>
        <v>589.20490154759977</v>
      </c>
      <c r="R36" s="131">
        <f ca="1">+SUM(Q$5:Q36)</f>
        <v>20392.123085945856</v>
      </c>
      <c r="T36" s="397" t="str">
        <f>+INDEX(Charges_NonSlice!$C$4:$C$138,MATCH($A36,Charges_NonSlice!$AA$4:$AA$138,0),1)</f>
        <v>Ohop Mutual Light Company</v>
      </c>
      <c r="U36" s="121">
        <f t="shared" si="0"/>
        <v>6.4344251813559294E-2</v>
      </c>
      <c r="V36" s="172">
        <f>+INDEX(Charges_NonSlice!$Y$4:$Y$138,MATCH($A36,Charges_NonSlice!$AA$4:$AA$138,0),1)</f>
        <v>36.709348038615317</v>
      </c>
      <c r="W36" s="162">
        <f t="shared" si="1"/>
        <v>34.49010785379398</v>
      </c>
      <c r="Y36" s="126" t="s">
        <v>15</v>
      </c>
      <c r="Z36" s="127">
        <v>35.700802862458509</v>
      </c>
    </row>
    <row r="37" spans="1:26">
      <c r="A37">
        <f t="shared" si="2"/>
        <v>33</v>
      </c>
      <c r="B37" s="138" t="str">
        <f>+INDEX('Charges_Including Slice and LS'!$C$4:$C$138,MATCH($A37,'Charges_Including Slice and LS'!$AA$4:$AA$138,0),1)</f>
        <v>Tillamook PUD #1</v>
      </c>
      <c r="C37" s="121">
        <f>+INDEX('Charges_Including Slice and LS'!$Z$4:$Z$138,MATCH($A37,'Charges_Including Slice and LS'!$AA$4:$AA$138,0),1)</f>
        <v>5.2398102858942197E-2</v>
      </c>
      <c r="D37" s="107">
        <f>+INDEX('Charges_Including Slice and LS'!$Y$4:$Y$138,MATCH($A37,'Charges_Including Slice and LS'!$AA$4:$AA$138,0),1)</f>
        <v>38.270267566127366</v>
      </c>
      <c r="E37" s="131">
        <f>+INDEX('Charges_Including Slice and LS'!$X$4:$X$138,MATCH($A37,'Charges_Including Slice and LS'!$AA$4:$AA$138,0),1)/1000</f>
        <v>474.90411293253015</v>
      </c>
      <c r="F37" s="131">
        <f>+SUM(E$5:E37)</f>
        <v>10151.669617326463</v>
      </c>
      <c r="H37" s="397" t="str">
        <f>+INDEX(Charges_NonSlice!$C$4:$C$138,MATCH($A37,Charges_NonSlice!$AA$4:$AA$138,0),1)</f>
        <v>Minidoka, City of</v>
      </c>
      <c r="I37" s="121">
        <f>+INDEX(Charges_NonSlice!$Z$4:$Z$138,MATCH($A37,Charges_NonSlice!$AA$4:$AA$138,0),1)</f>
        <v>5.6784053578918137E-2</v>
      </c>
      <c r="J37" s="172">
        <f>+INDEX(Charges_NonSlice!$Y$4:$Y$138,MATCH($A37,Charges_NonSlice!$AA$4:$AA$138,0),1)</f>
        <v>41.146776208853645</v>
      </c>
      <c r="K37" s="396">
        <f>+INDEX(Charges_NonSlice!$X$4:$X$138,MATCH($A37,Charges_NonSlice!$AA$4:$AA$138,0),1)/1000</f>
        <v>0.81157801286957654</v>
      </c>
      <c r="L37" s="131">
        <f>+SUM(K$5:K37)</f>
        <v>17384.728869881867</v>
      </c>
      <c r="N37" s="397" t="str">
        <f ca="1">+INDEX('Charges_NonSlice &amp; Excl LS'!$C$4:$C$138,MATCH($A37,'Charges_NonSlice &amp; Excl LS'!$AA$4:$AA$138,0),1)</f>
        <v>Lower Valley Energy</v>
      </c>
      <c r="O37" s="121">
        <f ca="1">+INDEX('Charges_NonSlice &amp; Excl LS'!$Z$4:$Z$138,MATCH($A37,'Charges_NonSlice &amp; Excl LS'!$AA$4:$AA$138,0),1)</f>
        <v>4.6330088375569241E-2</v>
      </c>
      <c r="P37" s="172">
        <f ca="1">+INDEX('Charges_NonSlice &amp; Excl LS'!$Y$4:$Y$138,MATCH($A37,'Charges_NonSlice &amp; Excl LS'!$AA$4:$AA$138,0),1)</f>
        <v>35.973616848540615</v>
      </c>
      <c r="Q37" s="396">
        <f ca="1">+INDEX('Charges_NonSlice &amp; Excl LS'!$X$4:$X$138,MATCH($A37,'Charges_NonSlice &amp; Excl LS'!$AA$4:$AA$138,0),1)/1000</f>
        <v>741.59512951730392</v>
      </c>
      <c r="R37" s="131">
        <f ca="1">+SUM(Q$5:Q37)</f>
        <v>21133.718215463159</v>
      </c>
      <c r="T37" s="397" t="str">
        <f>+INDEX(Charges_NonSlice!$C$4:$C$138,MATCH($A37,Charges_NonSlice!$AA$4:$AA$138,0),1)</f>
        <v>Minidoka, City of</v>
      </c>
      <c r="U37" s="121">
        <f t="shared" si="0"/>
        <v>0.16114366520033951</v>
      </c>
      <c r="V37" s="172">
        <f>+INDEX(Charges_NonSlice!$Y$4:$Y$138,MATCH($A37,Charges_NonSlice!$AA$4:$AA$138,0),1)</f>
        <v>41.146776208853645</v>
      </c>
      <c r="W37" s="162">
        <f t="shared" si="1"/>
        <v>35.436421385250661</v>
      </c>
      <c r="Y37" s="126" t="s">
        <v>49</v>
      </c>
      <c r="Z37" s="127">
        <v>30.869539995607429</v>
      </c>
    </row>
    <row r="38" spans="1:26">
      <c r="A38">
        <f t="shared" si="2"/>
        <v>34</v>
      </c>
      <c r="B38" s="138" t="str">
        <f>+INDEX('Charges_Including Slice and LS'!$C$4:$C$138,MATCH($A38,'Charges_Including Slice and LS'!$AA$4:$AA$138,0),1)</f>
        <v>Mason County PUD #3</v>
      </c>
      <c r="C38" s="121">
        <f>+INDEX('Charges_Including Slice and LS'!$Z$4:$Z$138,MATCH($A38,'Charges_Including Slice and LS'!$AA$4:$AA$138,0),1)</f>
        <v>5.236258498255375E-2</v>
      </c>
      <c r="D38" s="107">
        <f>+INDEX('Charges_Including Slice and LS'!$Y$4:$Y$138,MATCH($A38,'Charges_Including Slice and LS'!$AA$4:$AA$138,0),1)</f>
        <v>36.450130236839563</v>
      </c>
      <c r="E38" s="131">
        <f>+INDEX('Charges_Including Slice and LS'!$X$4:$X$138,MATCH($A38,'Charges_Including Slice and LS'!$AA$4:$AA$138,0),1)/1000</f>
        <v>688.93895999999995</v>
      </c>
      <c r="F38" s="131">
        <f>+SUM(E$5:E38)</f>
        <v>10840.608577326462</v>
      </c>
      <c r="H38" s="397" t="str">
        <f>+INDEX(Charges_NonSlice!$C$4:$C$138,MATCH($A38,Charges_NonSlice!$AA$4:$AA$138,0),1)</f>
        <v>Energy Northwest</v>
      </c>
      <c r="I38" s="121">
        <f>+INDEX(Charges_NonSlice!$Z$4:$Z$138,MATCH($A38,Charges_NonSlice!$AA$4:$AA$138,0),1)</f>
        <v>5.6369503451939584E-2</v>
      </c>
      <c r="J38" s="172">
        <f>+INDEX(Charges_NonSlice!$Y$4:$Y$138,MATCH($A38,Charges_NonSlice!$AA$4:$AA$138,0),1)</f>
        <v>37.856845406650962</v>
      </c>
      <c r="K38" s="396">
        <f>+INDEX(Charges_NonSlice!$X$4:$X$138,MATCH($A38,Charges_NonSlice!$AA$4:$AA$138,0),1)/1000</f>
        <v>21.145339337005389</v>
      </c>
      <c r="L38" s="131">
        <f>+SUM(K$5:K38)</f>
        <v>17405.874209218873</v>
      </c>
      <c r="N38" s="397" t="str">
        <f ca="1">+INDEX('Charges_NonSlice &amp; Excl LS'!$C$4:$C$138,MATCH($A38,'Charges_NonSlice &amp; Excl LS'!$AA$4:$AA$138,0),1)</f>
        <v>East End Mutual Electric</v>
      </c>
      <c r="O38" s="121">
        <f ca="1">+INDEX('Charges_NonSlice &amp; Excl LS'!$Z$4:$Z$138,MATCH($A38,'Charges_NonSlice &amp; Excl LS'!$AA$4:$AA$138,0),1)</f>
        <v>4.6260271442996242E-2</v>
      </c>
      <c r="P38" s="172">
        <f ca="1">+INDEX('Charges_NonSlice &amp; Excl LS'!$Y$4:$Y$138,MATCH($A38,'Charges_NonSlice &amp; Excl LS'!$AA$4:$AA$138,0),1)</f>
        <v>35.250261129680368</v>
      </c>
      <c r="Q38" s="396">
        <f ca="1">+INDEX('Charges_NonSlice &amp; Excl LS'!$X$4:$X$138,MATCH($A38,'Charges_NonSlice &amp; Excl LS'!$AA$4:$AA$138,0),1)/1000</f>
        <v>23.160589160471993</v>
      </c>
      <c r="R38" s="131">
        <f ca="1">+SUM(Q$5:Q38)</f>
        <v>21156.87880462363</v>
      </c>
      <c r="T38" s="397" t="str">
        <f>+INDEX(Charges_NonSlice!$C$4:$C$138,MATCH($A38,Charges_NonSlice!$AA$4:$AA$138,0),1)</f>
        <v>Energy Northwest</v>
      </c>
      <c r="U38" s="121">
        <f t="shared" si="0"/>
        <v>3.5166167994625797E-2</v>
      </c>
      <c r="V38" s="172">
        <f>+INDEX(Charges_NonSlice!$Y$4:$Y$138,MATCH($A38,Charges_NonSlice!$AA$4:$AA$138,0),1)</f>
        <v>37.856845406650962</v>
      </c>
      <c r="W38" s="162">
        <f t="shared" si="1"/>
        <v>36.570790832537625</v>
      </c>
      <c r="Y38" s="126" t="s">
        <v>130</v>
      </c>
      <c r="Z38" s="127">
        <v>35.379119803826725</v>
      </c>
    </row>
    <row r="39" spans="1:26">
      <c r="A39">
        <f t="shared" si="2"/>
        <v>35</v>
      </c>
      <c r="B39" s="138" t="str">
        <f>+INDEX('Charges_Including Slice and LS'!$C$4:$C$138,MATCH($A39,'Charges_Including Slice and LS'!$AA$4:$AA$138,0),1)</f>
        <v>McCleary, City of</v>
      </c>
      <c r="C39" s="121">
        <f>+INDEX('Charges_Including Slice and LS'!$Z$4:$Z$138,MATCH($A39,'Charges_Including Slice and LS'!$AA$4:$AA$138,0),1)</f>
        <v>5.2295024593795425E-2</v>
      </c>
      <c r="D39" s="107">
        <f>+INDEX('Charges_Including Slice and LS'!$Y$4:$Y$138,MATCH($A39,'Charges_Including Slice and LS'!$AA$4:$AA$138,0),1)</f>
        <v>39.929552264657566</v>
      </c>
      <c r="E39" s="131">
        <f>+INDEX('Charges_Including Slice and LS'!$X$4:$X$138,MATCH($A39,'Charges_Including Slice and LS'!$AA$4:$AA$138,0),1)/1000</f>
        <v>31.06884646747627</v>
      </c>
      <c r="F39" s="131">
        <f>+SUM(E$5:E39)</f>
        <v>10871.677423793939</v>
      </c>
      <c r="H39" s="397" t="str">
        <f>+INDEX(Charges_NonSlice!$C$4:$C$138,MATCH($A39,Charges_NonSlice!$AA$4:$AA$138,0),1)</f>
        <v>Parkland L &amp; W</v>
      </c>
      <c r="I39" s="121">
        <f>+INDEX(Charges_NonSlice!$Z$4:$Z$138,MATCH($A39,Charges_NonSlice!$AA$4:$AA$138,0),1)</f>
        <v>5.4942662503735029E-2</v>
      </c>
      <c r="J39" s="172">
        <f>+INDEX(Charges_NonSlice!$Y$4:$Y$138,MATCH($A39,Charges_NonSlice!$AA$4:$AA$138,0),1)</f>
        <v>38.638190621371294</v>
      </c>
      <c r="K39" s="396">
        <f>+INDEX(Charges_NonSlice!$X$4:$X$138,MATCH($A39,Charges_NonSlice!$AA$4:$AA$138,0),1)/1000</f>
        <v>119.11934073783659</v>
      </c>
      <c r="L39" s="131">
        <f>+SUM(K$5:K39)</f>
        <v>17524.993549956711</v>
      </c>
      <c r="N39" s="397" t="str">
        <f ca="1">+INDEX('Charges_NonSlice &amp; Excl LS'!$C$4:$C$138,MATCH($A39,'Charges_NonSlice &amp; Excl LS'!$AA$4:$AA$138,0),1)</f>
        <v>Parkland L &amp; W</v>
      </c>
      <c r="O39" s="121">
        <f ca="1">+INDEX('Charges_NonSlice &amp; Excl LS'!$Z$4:$Z$138,MATCH($A39,'Charges_NonSlice &amp; Excl LS'!$AA$4:$AA$138,0),1)</f>
        <v>4.6209432669052045E-2</v>
      </c>
      <c r="P39" s="172">
        <f ca="1">+INDEX('Charges_NonSlice &amp; Excl LS'!$Y$4:$Y$138,MATCH($A39,'Charges_NonSlice &amp; Excl LS'!$AA$4:$AA$138,0),1)</f>
        <v>37.985802504206653</v>
      </c>
      <c r="Q39" s="396">
        <f ca="1">+INDEX('Charges_NonSlice &amp; Excl LS'!$X$4:$X$138,MATCH($A39,'Charges_NonSlice &amp; Excl LS'!$AA$4:$AA$138,0),1)/1000</f>
        <v>119.11855417967999</v>
      </c>
      <c r="R39" s="131">
        <f ca="1">+SUM(Q$5:Q39)</f>
        <v>21275.99735880331</v>
      </c>
      <c r="T39" s="397" t="str">
        <f>+INDEX(Charges_NonSlice!$C$4:$C$138,MATCH($A39,Charges_NonSlice!$AA$4:$AA$138,0),1)</f>
        <v>Parkland L &amp; W</v>
      </c>
      <c r="U39" s="121">
        <f t="shared" si="0"/>
        <v>6.762128228204789E-2</v>
      </c>
      <c r="V39" s="172">
        <f>+INDEX(Charges_NonSlice!$Y$4:$Y$138,MATCH($A39,Charges_NonSlice!$AA$4:$AA$138,0),1)</f>
        <v>38.638190621371294</v>
      </c>
      <c r="W39" s="162">
        <f t="shared" si="1"/>
        <v>36.190914571112607</v>
      </c>
      <c r="Y39" s="126" t="s">
        <v>75</v>
      </c>
      <c r="Z39" s="127">
        <v>34.32417388198661</v>
      </c>
    </row>
    <row r="40" spans="1:26">
      <c r="A40">
        <f t="shared" si="2"/>
        <v>36</v>
      </c>
      <c r="B40" s="138" t="str">
        <f>+INDEX('Charges_Including Slice and LS'!$C$4:$C$138,MATCH($A40,'Charges_Including Slice and LS'!$AA$4:$AA$138,0),1)</f>
        <v>Okanogan County PUD #1</v>
      </c>
      <c r="C40" s="121">
        <f>+INDEX('Charges_Including Slice and LS'!$Z$4:$Z$138,MATCH($A40,'Charges_Including Slice and LS'!$AA$4:$AA$138,0),1)</f>
        <v>5.203057285048085E-2</v>
      </c>
      <c r="D40" s="107">
        <f>+INDEX('Charges_Including Slice and LS'!$Y$4:$Y$138,MATCH($A40,'Charges_Including Slice and LS'!$AA$4:$AA$138,0),1)</f>
        <v>38.076608188242048</v>
      </c>
      <c r="E40" s="131">
        <f>+INDEX('Charges_Including Slice and LS'!$X$4:$X$138,MATCH($A40,'Charges_Including Slice and LS'!$AA$4:$AA$138,0),1)/1000</f>
        <v>394.0084571799344</v>
      </c>
      <c r="F40" s="131">
        <f>+SUM(E$5:E40)</f>
        <v>11265.685880973873</v>
      </c>
      <c r="H40" s="397" t="str">
        <f>+INDEX(Charges_NonSlice!$C$4:$C$138,MATCH($A40,Charges_NonSlice!$AA$4:$AA$138,0),1)</f>
        <v>Cowlitz County PUD #1</v>
      </c>
      <c r="I40" s="121">
        <f>+INDEX(Charges_NonSlice!$Z$4:$Z$138,MATCH($A40,Charges_NonSlice!$AA$4:$AA$138,0),1)</f>
        <v>5.4577026677398388E-2</v>
      </c>
      <c r="J40" s="172">
        <f>+INDEX(Charges_NonSlice!$Y$4:$Y$138,MATCH($A40,Charges_NonSlice!$AA$4:$AA$138,0),1)</f>
        <v>36.110212297346493</v>
      </c>
      <c r="K40" s="396">
        <f>+INDEX(Charges_NonSlice!$X$4:$X$138,MATCH($A40,Charges_NonSlice!$AA$4:$AA$138,0),1)/1000</f>
        <v>2278.7420336434693</v>
      </c>
      <c r="L40" s="131">
        <f>+SUM(K$5:K40)</f>
        <v>19803.735583600181</v>
      </c>
      <c r="N40" s="397" t="str">
        <f ca="1">+INDEX('Charges_NonSlice &amp; Excl LS'!$C$4:$C$138,MATCH($A40,'Charges_NonSlice &amp; Excl LS'!$AA$4:$AA$138,0),1)</f>
        <v>Riverside Elec Coop</v>
      </c>
      <c r="O40" s="121">
        <f ca="1">+INDEX('Charges_NonSlice &amp; Excl LS'!$Z$4:$Z$138,MATCH($A40,'Charges_NonSlice &amp; Excl LS'!$AA$4:$AA$138,0),1)</f>
        <v>4.6000498139178177E-2</v>
      </c>
      <c r="P40" s="172">
        <f ca="1">+INDEX('Charges_NonSlice &amp; Excl LS'!$Y$4:$Y$138,MATCH($A40,'Charges_NonSlice &amp; Excl LS'!$AA$4:$AA$138,0),1)</f>
        <v>33.78059121080183</v>
      </c>
      <c r="Q40" s="396">
        <f ca="1">+INDEX('Charges_NonSlice &amp; Excl LS'!$X$4:$X$138,MATCH($A40,'Charges_NonSlice &amp; Excl LS'!$AA$4:$AA$138,0),1)/1000</f>
        <v>20.453349292751998</v>
      </c>
      <c r="R40" s="131">
        <f ca="1">+SUM(Q$5:Q40)</f>
        <v>21296.450708096061</v>
      </c>
      <c r="T40" s="397" t="str">
        <f>+INDEX(Charges_NonSlice!$C$4:$C$138,MATCH($A40,Charges_NonSlice!$AA$4:$AA$138,0),1)</f>
        <v>Cowlitz County PUD #1</v>
      </c>
      <c r="U40" s="121">
        <f t="shared" si="0"/>
        <v>5.4577060436671099E-2</v>
      </c>
      <c r="V40" s="172">
        <f>+INDEX(Charges_NonSlice!$Y$4:$Y$138,MATCH($A40,Charges_NonSlice!$AA$4:$AA$138,0),1)</f>
        <v>36.110212297346493</v>
      </c>
      <c r="W40" s="162">
        <f t="shared" si="1"/>
        <v>34.241416442715199</v>
      </c>
      <c r="Y40" s="126" t="s">
        <v>136</v>
      </c>
      <c r="Z40" s="127">
        <v>36.212907798964345</v>
      </c>
    </row>
    <row r="41" spans="1:26">
      <c r="A41">
        <f t="shared" si="2"/>
        <v>37</v>
      </c>
      <c r="B41" s="138" t="str">
        <f>+INDEX('Charges_Including Slice and LS'!$C$4:$C$138,MATCH($A41,'Charges_Including Slice and LS'!$AA$4:$AA$138,0),1)</f>
        <v>Steilacoom, Town of</v>
      </c>
      <c r="C41" s="121">
        <f>+INDEX('Charges_Including Slice and LS'!$Z$4:$Z$138,MATCH($A41,'Charges_Including Slice and LS'!$AA$4:$AA$138,0),1)</f>
        <v>5.1640292264401921E-2</v>
      </c>
      <c r="D41" s="107">
        <f>+INDEX('Charges_Including Slice and LS'!$Y$4:$Y$138,MATCH($A41,'Charges_Including Slice and LS'!$AA$4:$AA$138,0),1)</f>
        <v>39.70737623669396</v>
      </c>
      <c r="E41" s="131">
        <f>+INDEX('Charges_Including Slice and LS'!$X$4:$X$138,MATCH($A41,'Charges_Including Slice and LS'!$AA$4:$AA$138,0),1)/1000</f>
        <v>41.178476600787334</v>
      </c>
      <c r="F41" s="131">
        <f>+SUM(E$5:E41)</f>
        <v>11306.864357574661</v>
      </c>
      <c r="H41" s="397" t="str">
        <f>+INDEX(Charges_NonSlice!$C$4:$C$138,MATCH($A41,Charges_NonSlice!$AA$4:$AA$138,0),1)</f>
        <v>Hood River Elec Coop</v>
      </c>
      <c r="I41" s="121">
        <f>+INDEX(Charges_NonSlice!$Z$4:$Z$138,MATCH($A41,Charges_NonSlice!$AA$4:$AA$138,0),1)</f>
        <v>5.443754382587862E-2</v>
      </c>
      <c r="J41" s="172">
        <f>+INDEX(Charges_NonSlice!$Y$4:$Y$138,MATCH($A41,Charges_NonSlice!$AA$4:$AA$138,0),1)</f>
        <v>38.943959887676115</v>
      </c>
      <c r="K41" s="396">
        <f>+INDEX(Charges_NonSlice!$X$4:$X$138,MATCH($A41,Charges_NonSlice!$AA$4:$AA$138,0),1)/1000</f>
        <v>112.89715764712828</v>
      </c>
      <c r="L41" s="131">
        <f>+SUM(K$5:K41)</f>
        <v>19916.632741247307</v>
      </c>
      <c r="N41" s="397" t="str">
        <f ca="1">+INDEX('Charges_NonSlice &amp; Excl LS'!$C$4:$C$138,MATCH($A41,'Charges_NonSlice &amp; Excl LS'!$AA$4:$AA$138,0),1)</f>
        <v>Coulee Dam, City of</v>
      </c>
      <c r="O41" s="121">
        <f ca="1">+INDEX('Charges_NonSlice &amp; Excl LS'!$Z$4:$Z$138,MATCH($A41,'Charges_NonSlice &amp; Excl LS'!$AA$4:$AA$138,0),1)</f>
        <v>4.5994401807098143E-2</v>
      </c>
      <c r="P41" s="172">
        <f ca="1">+INDEX('Charges_NonSlice &amp; Excl LS'!$Y$4:$Y$138,MATCH($A41,'Charges_NonSlice &amp; Excl LS'!$AA$4:$AA$138,0),1)</f>
        <v>36.7863703071042</v>
      </c>
      <c r="Q41" s="396">
        <f ca="1">+INDEX('Charges_NonSlice &amp; Excl LS'!$X$4:$X$138,MATCH($A41,'Charges_NonSlice &amp; Excl LS'!$AA$4:$AA$138,0),1)/1000</f>
        <v>16.492870295255997</v>
      </c>
      <c r="R41" s="131">
        <f ca="1">+SUM(Q$5:Q41)</f>
        <v>21312.943578391318</v>
      </c>
      <c r="T41" s="397" t="str">
        <f>+INDEX(Charges_NonSlice!$C$4:$C$138,MATCH($A41,Charges_NonSlice!$AA$4:$AA$138,0),1)</f>
        <v>Hood River Elec Coop</v>
      </c>
      <c r="U41" s="121">
        <f t="shared" si="0"/>
        <v>9.5941022382898034E-2</v>
      </c>
      <c r="V41" s="172">
        <f>+INDEX(Charges_NonSlice!$Y$4:$Y$138,MATCH($A41,Charges_NonSlice!$AA$4:$AA$138,0),1)</f>
        <v>38.943959887676115</v>
      </c>
      <c r="W41" s="162">
        <f t="shared" si="1"/>
        <v>35.534722300111092</v>
      </c>
      <c r="Y41" s="126" t="s">
        <v>50</v>
      </c>
      <c r="Z41" s="127">
        <v>36.877974701326963</v>
      </c>
    </row>
    <row r="42" spans="1:26">
      <c r="A42">
        <f t="shared" si="2"/>
        <v>38</v>
      </c>
      <c r="B42" s="138" t="str">
        <f>+INDEX('Charges_Including Slice and LS'!$C$4:$C$138,MATCH($A42,'Charges_Including Slice and LS'!$AA$4:$AA$138,0),1)</f>
        <v>Jefferson County PUD #1</v>
      </c>
      <c r="C42" s="121">
        <f>+INDEX('Charges_Including Slice and LS'!$Z$4:$Z$138,MATCH($A42,'Charges_Including Slice and LS'!$AA$4:$AA$138,0),1)</f>
        <v>5.1521817024703154E-2</v>
      </c>
      <c r="D42" s="107">
        <f>+INDEX('Charges_Including Slice and LS'!$Y$4:$Y$138,MATCH($A42,'Charges_Including Slice and LS'!$AA$4:$AA$138,0),1)</f>
        <v>39.335542638198049</v>
      </c>
      <c r="E42" s="131">
        <f>+INDEX('Charges_Including Slice and LS'!$X$4:$X$138,MATCH($A42,'Charges_Including Slice and LS'!$AA$4:$AA$138,0),1)/1000</f>
        <v>378.41282560021835</v>
      </c>
      <c r="F42" s="131">
        <f>+SUM(E$5:E42)</f>
        <v>11685.27718317488</v>
      </c>
      <c r="H42" s="397" t="str">
        <f>+INDEX(Charges_NonSlice!$C$4:$C$138,MATCH($A42,Charges_NonSlice!$AA$4:$AA$138,0),1)</f>
        <v>Troy, City of</v>
      </c>
      <c r="I42" s="121">
        <f>+INDEX(Charges_NonSlice!$Z$4:$Z$138,MATCH($A42,Charges_NonSlice!$AA$4:$AA$138,0),1)</f>
        <v>5.4125436745247502E-2</v>
      </c>
      <c r="J42" s="172">
        <f>+INDEX(Charges_NonSlice!$Y$4:$Y$138,MATCH($A42,Charges_NonSlice!$AA$4:$AA$138,0),1)</f>
        <v>38.807849850075655</v>
      </c>
      <c r="K42" s="396">
        <f>+INDEX(Charges_NonSlice!$X$4:$X$138,MATCH($A42,Charges_NonSlice!$AA$4:$AA$138,0),1)/1000</f>
        <v>17.563800000000001</v>
      </c>
      <c r="L42" s="131">
        <f>+SUM(K$5:K42)</f>
        <v>19934.196541247307</v>
      </c>
      <c r="N42" s="397" t="str">
        <f ca="1">+INDEX('Charges_NonSlice &amp; Excl LS'!$C$4:$C$138,MATCH($A42,'Charges_NonSlice &amp; Excl LS'!$AA$4:$AA$138,0),1)</f>
        <v>Lost River Elec Coop</v>
      </c>
      <c r="O42" s="121">
        <f ca="1">+INDEX('Charges_NonSlice &amp; Excl LS'!$Z$4:$Z$138,MATCH($A42,'Charges_NonSlice &amp; Excl LS'!$AA$4:$AA$138,0),1)</f>
        <v>4.5487139102331396E-2</v>
      </c>
      <c r="P42" s="172">
        <f ca="1">+INDEX('Charges_NonSlice &amp; Excl LS'!$Y$4:$Y$138,MATCH($A42,'Charges_NonSlice &amp; Excl LS'!$AA$4:$AA$138,0),1)</f>
        <v>30.133428769608059</v>
      </c>
      <c r="Q42" s="396">
        <f ca="1">+INDEX('Charges_NonSlice &amp; Excl LS'!$X$4:$X$138,MATCH($A42,'Charges_NonSlice &amp; Excl LS'!$AA$4:$AA$138,0),1)/1000</f>
        <v>80.906928091704003</v>
      </c>
      <c r="R42" s="131">
        <f ca="1">+SUM(Q$5:Q42)</f>
        <v>21393.850506483021</v>
      </c>
      <c r="T42" s="397" t="str">
        <f>+INDEX(Charges_NonSlice!$C$4:$C$138,MATCH($A42,Charges_NonSlice!$AA$4:$AA$138,0),1)</f>
        <v>Troy, City of</v>
      </c>
      <c r="U42" s="121">
        <f t="shared" si="0"/>
        <v>2.1305845346243135E-2</v>
      </c>
      <c r="V42" s="172">
        <f>+INDEX(Charges_NonSlice!$Y$4:$Y$138,MATCH($A42,Charges_NonSlice!$AA$4:$AA$138,0),1)</f>
        <v>38.807849850075655</v>
      </c>
      <c r="W42" s="162">
        <f t="shared" si="1"/>
        <v>37.998264698973713</v>
      </c>
      <c r="Y42" s="126" t="s">
        <v>116</v>
      </c>
      <c r="Z42" s="127">
        <v>34.301107623908884</v>
      </c>
    </row>
    <row r="43" spans="1:26">
      <c r="A43">
        <f t="shared" si="2"/>
        <v>39</v>
      </c>
      <c r="B43" s="138" t="str">
        <f>+INDEX('Charges_Including Slice and LS'!$C$4:$C$138,MATCH($A43,'Charges_Including Slice and LS'!$AA$4:$AA$138,0),1)</f>
        <v>Bandon, City of</v>
      </c>
      <c r="C43" s="121">
        <f>+INDEX('Charges_Including Slice and LS'!$Z$4:$Z$138,MATCH($A43,'Charges_Including Slice and LS'!$AA$4:$AA$138,0),1)</f>
        <v>5.1290126885538356E-2</v>
      </c>
      <c r="D43" s="107">
        <f>+INDEX('Charges_Including Slice and LS'!$Y$4:$Y$138,MATCH($A43,'Charges_Including Slice and LS'!$AA$4:$AA$138,0),1)</f>
        <v>38.621884713034703</v>
      </c>
      <c r="E43" s="131">
        <f>+INDEX('Charges_Including Slice and LS'!$X$4:$X$138,MATCH($A43,'Charges_Including Slice and LS'!$AA$4:$AA$138,0),1)/1000</f>
        <v>65.028554954123777</v>
      </c>
      <c r="F43" s="131">
        <f>+SUM(E$5:E43)</f>
        <v>11750.305738129004</v>
      </c>
      <c r="H43" s="397" t="str">
        <f>+INDEX(Charges_NonSlice!$C$4:$C$138,MATCH($A43,Charges_NonSlice!$AA$4:$AA$138,0),1)</f>
        <v>Milton-Freewater, City of</v>
      </c>
      <c r="I43" s="121">
        <f>+INDEX(Charges_NonSlice!$Z$4:$Z$138,MATCH($A43,Charges_NonSlice!$AA$4:$AA$138,0),1)</f>
        <v>5.3828992145806609E-2</v>
      </c>
      <c r="J43" s="172">
        <f>+INDEX(Charges_NonSlice!$Y$4:$Y$138,MATCH($A43,Charges_NonSlice!$AA$4:$AA$138,0),1)</f>
        <v>39.373381419180632</v>
      </c>
      <c r="K43" s="396">
        <f>+INDEX(Charges_NonSlice!$X$4:$X$138,MATCH($A43,Charges_NonSlice!$AA$4:$AA$138,0),1)/1000</f>
        <v>81.264495239029571</v>
      </c>
      <c r="L43" s="131">
        <f>+SUM(K$5:K43)</f>
        <v>20015.461036486337</v>
      </c>
      <c r="N43" s="397" t="str">
        <f ca="1">+INDEX('Charges_NonSlice &amp; Excl LS'!$C$4:$C$138,MATCH($A43,'Charges_NonSlice &amp; Excl LS'!$AA$4:$AA$138,0),1)</f>
        <v>Tillamook PUD #1</v>
      </c>
      <c r="O43" s="121">
        <f ca="1">+INDEX('Charges_NonSlice &amp; Excl LS'!$Z$4:$Z$138,MATCH($A43,'Charges_NonSlice &amp; Excl LS'!$AA$4:$AA$138,0),1)</f>
        <v>4.5451557623561512E-2</v>
      </c>
      <c r="P43" s="172">
        <f ca="1">+INDEX('Charges_NonSlice &amp; Excl LS'!$Y$4:$Y$138,MATCH($A43,'Charges_NonSlice &amp; Excl LS'!$AA$4:$AA$138,0),1)</f>
        <v>37.729316094273329</v>
      </c>
      <c r="Q43" s="396">
        <f ca="1">+INDEX('Charges_NonSlice &amp; Excl LS'!$X$4:$X$138,MATCH($A43,'Charges_NonSlice &amp; Excl LS'!$AA$4:$AA$138,0),1)/1000</f>
        <v>475.18447547836792</v>
      </c>
      <c r="R43" s="131">
        <f ca="1">+SUM(Q$5:Q43)</f>
        <v>21869.034981961388</v>
      </c>
      <c r="T43" s="397" t="str">
        <f>+INDEX(Charges_NonSlice!$C$4:$C$138,MATCH($A43,Charges_NonSlice!$AA$4:$AA$138,0),1)</f>
        <v>Milton-Freewater, City of</v>
      </c>
      <c r="U43" s="121">
        <f t="shared" si="0"/>
        <v>7.0763769290874023E-2</v>
      </c>
      <c r="V43" s="172">
        <f>+INDEX(Charges_NonSlice!$Y$4:$Y$138,MATCH($A43,Charges_NonSlice!$AA$4:$AA$138,0),1)</f>
        <v>39.373381419180632</v>
      </c>
      <c r="W43" s="162">
        <f t="shared" si="1"/>
        <v>36.771305257420245</v>
      </c>
      <c r="Y43" s="126" t="s">
        <v>82</v>
      </c>
      <c r="Z43" s="127">
        <v>32.593627311153931</v>
      </c>
    </row>
    <row r="44" spans="1:26">
      <c r="A44">
        <f t="shared" si="2"/>
        <v>40</v>
      </c>
      <c r="B44" s="138" t="str">
        <f>+INDEX('Charges_Including Slice and LS'!$C$4:$C$138,MATCH($A44,'Charges_Including Slice and LS'!$AA$4:$AA$138,0),1)</f>
        <v>Declo, City of</v>
      </c>
      <c r="C44" s="121">
        <f>+INDEX('Charges_Including Slice and LS'!$Z$4:$Z$138,MATCH($A44,'Charges_Including Slice and LS'!$AA$4:$AA$138,0),1)</f>
        <v>5.126189009046711E-2</v>
      </c>
      <c r="D44" s="107">
        <f>+INDEX('Charges_Including Slice and LS'!$Y$4:$Y$138,MATCH($A44,'Charges_Including Slice and LS'!$AA$4:$AA$138,0),1)</f>
        <v>38.805830013016447</v>
      </c>
      <c r="E44" s="131">
        <f>+INDEX('Charges_Including Slice and LS'!$X$4:$X$138,MATCH($A44,'Charges_Including Slice and LS'!$AA$4:$AA$138,0),1)/1000</f>
        <v>3.0922799999999997</v>
      </c>
      <c r="F44" s="131">
        <f>+SUM(E$5:E44)</f>
        <v>11753.398018129004</v>
      </c>
      <c r="H44" s="397" t="str">
        <f>+INDEX(Charges_NonSlice!$C$4:$C$138,MATCH($A44,Charges_NonSlice!$AA$4:$AA$138,0),1)</f>
        <v>Kittitas County PUD #1</v>
      </c>
      <c r="I44" s="121">
        <f>+INDEX(Charges_NonSlice!$Z$4:$Z$138,MATCH($A44,Charges_NonSlice!$AA$4:$AA$138,0),1)</f>
        <v>5.3725946259070456E-2</v>
      </c>
      <c r="J44" s="172">
        <f>+INDEX(Charges_NonSlice!$Y$4:$Y$138,MATCH($A44,Charges_NonSlice!$AA$4:$AA$138,0),1)</f>
        <v>37.167483774397041</v>
      </c>
      <c r="K44" s="396">
        <f>+INDEX(Charges_NonSlice!$X$4:$X$138,MATCH($A44,Charges_NonSlice!$AA$4:$AA$138,0),1)/1000</f>
        <v>83.631720000000001</v>
      </c>
      <c r="L44" s="131">
        <f>+SUM(K$5:K44)</f>
        <v>20099.092756486338</v>
      </c>
      <c r="N44" s="397" t="str">
        <f ca="1">+INDEX('Charges_NonSlice &amp; Excl LS'!$C$4:$C$138,MATCH($A44,'Charges_NonSlice &amp; Excl LS'!$AA$4:$AA$138,0),1)</f>
        <v>Harney Elec Coop</v>
      </c>
      <c r="O44" s="121">
        <f ca="1">+INDEX('Charges_NonSlice &amp; Excl LS'!$Z$4:$Z$138,MATCH($A44,'Charges_NonSlice &amp; Excl LS'!$AA$4:$AA$138,0),1)</f>
        <v>4.5397874269875689E-2</v>
      </c>
      <c r="P44" s="172">
        <f ca="1">+INDEX('Charges_NonSlice &amp; Excl LS'!$Y$4:$Y$138,MATCH($A44,'Charges_NonSlice &amp; Excl LS'!$AA$4:$AA$138,0),1)</f>
        <v>29.04419636311528</v>
      </c>
      <c r="Q44" s="396">
        <f ca="1">+INDEX('Charges_NonSlice &amp; Excl LS'!$X$4:$X$138,MATCH($A44,'Charges_NonSlice &amp; Excl LS'!$AA$4:$AA$138,0),1)/1000</f>
        <v>196.10758906955999</v>
      </c>
      <c r="R44" s="131">
        <f ca="1">+SUM(Q$5:Q44)</f>
        <v>22065.142571030949</v>
      </c>
      <c r="T44" s="397" t="str">
        <f>+INDEX(Charges_NonSlice!$C$4:$C$138,MATCH($A44,Charges_NonSlice!$AA$4:$AA$138,0),1)</f>
        <v>Kittitas County PUD #1</v>
      </c>
      <c r="U44" s="121">
        <f t="shared" si="0"/>
        <v>0.11844584286819959</v>
      </c>
      <c r="V44" s="172">
        <f>+INDEX(Charges_NonSlice!$Y$4:$Y$138,MATCH($A44,Charges_NonSlice!$AA$4:$AA$138,0),1)</f>
        <v>37.167483774397041</v>
      </c>
      <c r="W44" s="162">
        <f t="shared" si="1"/>
        <v>33.231366553326218</v>
      </c>
      <c r="Y44" s="126" t="s">
        <v>62</v>
      </c>
      <c r="Z44" s="127">
        <v>34.42139582105419</v>
      </c>
    </row>
    <row r="45" spans="1:26">
      <c r="A45">
        <f t="shared" si="2"/>
        <v>41</v>
      </c>
      <c r="B45" s="138" t="str">
        <f>+INDEX('Charges_Including Slice and LS'!$C$4:$C$138,MATCH($A45,'Charges_Including Slice and LS'!$AA$4:$AA$138,0),1)</f>
        <v>Monmouth, City of</v>
      </c>
      <c r="C45" s="121">
        <f>+INDEX('Charges_Including Slice and LS'!$Z$4:$Z$138,MATCH($A45,'Charges_Including Slice and LS'!$AA$4:$AA$138,0),1)</f>
        <v>5.1180350222315596E-2</v>
      </c>
      <c r="D45" s="107">
        <f>+INDEX('Charges_Including Slice and LS'!$Y$4:$Y$138,MATCH($A45,'Charges_Including Slice and LS'!$AA$4:$AA$138,0),1)</f>
        <v>38.419150523544708</v>
      </c>
      <c r="E45" s="131">
        <f>+INDEX('Charges_Including Slice and LS'!$X$4:$X$138,MATCH($A45,'Charges_Including Slice and LS'!$AA$4:$AA$138,0),1)/1000</f>
        <v>72.086039999999997</v>
      </c>
      <c r="F45" s="131">
        <f>+SUM(E$5:E45)</f>
        <v>11825.484058129005</v>
      </c>
      <c r="H45" s="397" t="str">
        <f>+INDEX(Charges_NonSlice!$C$4:$C$138,MATCH($A45,Charges_NonSlice!$AA$4:$AA$138,0),1)</f>
        <v>Chewelah, City of</v>
      </c>
      <c r="I45" s="121">
        <f>+INDEX(Charges_NonSlice!$Z$4:$Z$138,MATCH($A45,Charges_NonSlice!$AA$4:$AA$138,0),1)</f>
        <v>5.3492879805552951E-2</v>
      </c>
      <c r="J45" s="172">
        <f>+INDEX(Charges_NonSlice!$Y$4:$Y$138,MATCH($A45,Charges_NonSlice!$AA$4:$AA$138,0),1)</f>
        <v>38.3335687305524</v>
      </c>
      <c r="K45" s="396">
        <f>+INDEX(Charges_NonSlice!$X$4:$X$138,MATCH($A45,Charges_NonSlice!$AA$4:$AA$138,0),1)/1000</f>
        <v>22.34737233673912</v>
      </c>
      <c r="L45" s="131">
        <f>+SUM(K$5:K45)</f>
        <v>20121.440128823077</v>
      </c>
      <c r="N45" s="397" t="str">
        <f ca="1">+INDEX('Charges_NonSlice &amp; Excl LS'!$C$4:$C$138,MATCH($A45,'Charges_NonSlice &amp; Excl LS'!$AA$4:$AA$138,0),1)</f>
        <v>Columbia Power Coop</v>
      </c>
      <c r="O45" s="121">
        <f ca="1">+INDEX('Charges_NonSlice &amp; Excl LS'!$Z$4:$Z$138,MATCH($A45,'Charges_NonSlice &amp; Excl LS'!$AA$4:$AA$138,0),1)</f>
        <v>4.5346276972284695E-2</v>
      </c>
      <c r="P45" s="172">
        <f ca="1">+INDEX('Charges_NonSlice &amp; Excl LS'!$Y$4:$Y$138,MATCH($A45,'Charges_NonSlice &amp; Excl LS'!$AA$4:$AA$138,0),1)</f>
        <v>33.967674175406216</v>
      </c>
      <c r="Q45" s="396">
        <f ca="1">+INDEX('Charges_NonSlice &amp; Excl LS'!$X$4:$X$138,MATCH($A45,'Charges_NonSlice &amp; Excl LS'!$AA$4:$AA$138,0),1)/1000</f>
        <v>25.843494287807999</v>
      </c>
      <c r="R45" s="131">
        <f ca="1">+SUM(Q$5:Q45)</f>
        <v>22090.986065318757</v>
      </c>
      <c r="T45" s="397" t="str">
        <f>+INDEX(Charges_NonSlice!$C$4:$C$138,MATCH($A45,Charges_NonSlice!$AA$4:$AA$138,0),1)</f>
        <v>Chewelah, City of</v>
      </c>
      <c r="U45" s="121">
        <f t="shared" si="0"/>
        <v>6.1481889711731075E-2</v>
      </c>
      <c r="V45" s="172">
        <f>+INDEX(Charges_NonSlice!$Y$4:$Y$138,MATCH($A45,Charges_NonSlice!$AA$4:$AA$138,0),1)</f>
        <v>38.3335687305524</v>
      </c>
      <c r="W45" s="162">
        <f t="shared" si="1"/>
        <v>36.113257420682636</v>
      </c>
      <c r="Y45" s="126" t="s">
        <v>38</v>
      </c>
      <c r="Z45" s="127">
        <v>34.667314752794816</v>
      </c>
    </row>
    <row r="46" spans="1:26">
      <c r="A46">
        <f t="shared" si="2"/>
        <v>42</v>
      </c>
      <c r="B46" s="138" t="str">
        <f>+INDEX('Charges_Including Slice and LS'!$C$4:$C$138,MATCH($A46,'Charges_Including Slice and LS'!$AA$4:$AA$138,0),1)</f>
        <v>Peninsula Light Company</v>
      </c>
      <c r="C46" s="121">
        <f>+INDEX('Charges_Including Slice and LS'!$Z$4:$Z$138,MATCH($A46,'Charges_Including Slice and LS'!$AA$4:$AA$138,0),1)</f>
        <v>5.0659768698291252E-2</v>
      </c>
      <c r="D46" s="107">
        <f>+INDEX('Charges_Including Slice and LS'!$Y$4:$Y$138,MATCH($A46,'Charges_Including Slice and LS'!$AA$4:$AA$138,0),1)</f>
        <v>39.542610802601295</v>
      </c>
      <c r="E46" s="131">
        <f>+INDEX('Charges_Including Slice and LS'!$X$4:$X$138,MATCH($A46,'Charges_Including Slice and LS'!$AA$4:$AA$138,0),1)/1000</f>
        <v>589.20572359598941</v>
      </c>
      <c r="F46" s="131">
        <f>+SUM(E$5:E46)</f>
        <v>12414.689781724994</v>
      </c>
      <c r="H46" s="397" t="str">
        <f>+INDEX(Charges_NonSlice!$C$4:$C$138,MATCH($A46,Charges_NonSlice!$AA$4:$AA$138,0),1)</f>
        <v>Mission Valley</v>
      </c>
      <c r="I46" s="121">
        <f>+INDEX(Charges_NonSlice!$Z$4:$Z$138,MATCH($A46,Charges_NonSlice!$AA$4:$AA$138,0),1)</f>
        <v>5.3080928727231136E-2</v>
      </c>
      <c r="J46" s="172">
        <f>+INDEX(Charges_NonSlice!$Y$4:$Y$138,MATCH($A46,Charges_NonSlice!$AA$4:$AA$138,0),1)</f>
        <v>36.289680540679434</v>
      </c>
      <c r="K46" s="396">
        <f>+INDEX(Charges_NonSlice!$X$4:$X$138,MATCH($A46,Charges_NonSlice!$AA$4:$AA$138,0),1)/1000</f>
        <v>325.6783517724827</v>
      </c>
      <c r="L46" s="131">
        <f>+SUM(K$5:K46)</f>
        <v>20447.11848059556</v>
      </c>
      <c r="N46" s="397" t="str">
        <f ca="1">+INDEX('Charges_NonSlice &amp; Excl LS'!$C$4:$C$138,MATCH($A46,'Charges_NonSlice &amp; Excl LS'!$AA$4:$AA$138,0),1)</f>
        <v>Tanner Elec Coop</v>
      </c>
      <c r="O46" s="121">
        <f ca="1">+INDEX('Charges_NonSlice &amp; Excl LS'!$Z$4:$Z$138,MATCH($A46,'Charges_NonSlice &amp; Excl LS'!$AA$4:$AA$138,0),1)</f>
        <v>4.5209596893748608E-2</v>
      </c>
      <c r="P46" s="172">
        <f ca="1">+INDEX('Charges_NonSlice &amp; Excl LS'!$Y$4:$Y$138,MATCH($A46,'Charges_NonSlice &amp; Excl LS'!$AA$4:$AA$138,0),1)</f>
        <v>37.210951768614123</v>
      </c>
      <c r="Q46" s="396">
        <f ca="1">+INDEX('Charges_NonSlice &amp; Excl LS'!$X$4:$X$138,MATCH($A46,'Charges_NonSlice &amp; Excl LS'!$AA$4:$AA$138,0),1)/1000</f>
        <v>95.087998050479996</v>
      </c>
      <c r="R46" s="131">
        <f ca="1">+SUM(Q$5:Q46)</f>
        <v>22186.074063369237</v>
      </c>
      <c r="T46" s="397" t="str">
        <f>+INDEX(Charges_NonSlice!$C$4:$C$138,MATCH($A46,Charges_NonSlice!$AA$4:$AA$138,0),1)</f>
        <v>Mission Valley</v>
      </c>
      <c r="U46" s="121">
        <f t="shared" si="0"/>
        <v>5.5084907963591112E-2</v>
      </c>
      <c r="V46" s="172">
        <f>+INDEX(Charges_NonSlice!$Y$4:$Y$138,MATCH($A46,Charges_NonSlice!$AA$4:$AA$138,0),1)</f>
        <v>36.289680540679434</v>
      </c>
      <c r="W46" s="162">
        <f t="shared" si="1"/>
        <v>34.395033297103815</v>
      </c>
      <c r="Y46" s="126" t="s">
        <v>128</v>
      </c>
      <c r="Z46" s="127">
        <v>30.707155097302021</v>
      </c>
    </row>
    <row r="47" spans="1:26">
      <c r="A47">
        <f t="shared" si="2"/>
        <v>43</v>
      </c>
      <c r="B47" s="138" t="str">
        <f>+INDEX('Charges_Including Slice and LS'!$C$4:$C$138,MATCH($A47,'Charges_Including Slice and LS'!$AA$4:$AA$138,0),1)</f>
        <v>Plummer, City of</v>
      </c>
      <c r="C47" s="121">
        <f>+INDEX('Charges_Including Slice and LS'!$Z$4:$Z$138,MATCH($A47,'Charges_Including Slice and LS'!$AA$4:$AA$138,0),1)</f>
        <v>5.0567691797188674E-2</v>
      </c>
      <c r="D47" s="107">
        <f>+INDEX('Charges_Including Slice and LS'!$Y$4:$Y$138,MATCH($A47,'Charges_Including Slice and LS'!$AA$4:$AA$138,0),1)</f>
        <v>38.56401173798659</v>
      </c>
      <c r="E47" s="131">
        <f>+INDEX('Charges_Including Slice and LS'!$X$4:$X$138,MATCH($A47,'Charges_Including Slice and LS'!$AA$4:$AA$138,0),1)/1000</f>
        <v>33.539313496144359</v>
      </c>
      <c r="F47" s="131">
        <f>+SUM(E$5:E47)</f>
        <v>12448.229095221139</v>
      </c>
      <c r="H47" s="397" t="str">
        <f>+INDEX(Charges_NonSlice!$C$4:$C$138,MATCH($A47,Charges_NonSlice!$AA$4:$AA$138,0),1)</f>
        <v>Farmers Elec Coop</v>
      </c>
      <c r="I47" s="121">
        <f>+INDEX(Charges_NonSlice!$Z$4:$Z$138,MATCH($A47,Charges_NonSlice!$AA$4:$AA$138,0),1)</f>
        <v>5.3023826104613203E-2</v>
      </c>
      <c r="J47" s="172">
        <f>+INDEX(Charges_NonSlice!$Y$4:$Y$138,MATCH($A47,Charges_NonSlice!$AA$4:$AA$138,0),1)</f>
        <v>39.071101544108409</v>
      </c>
      <c r="K47" s="396">
        <f>+INDEX(Charges_NonSlice!$X$4:$X$138,MATCH($A47,Charges_NonSlice!$AA$4:$AA$138,0),1)/1000</f>
        <v>4.3410350638153483</v>
      </c>
      <c r="L47" s="131">
        <f>+SUM(K$5:K47)</f>
        <v>20451.459515659375</v>
      </c>
      <c r="N47" s="397" t="str">
        <f ca="1">+INDEX('Charges_NonSlice &amp; Excl LS'!$C$4:$C$138,MATCH($A47,'Charges_NonSlice &amp; Excl LS'!$AA$4:$AA$138,0),1)</f>
        <v>Bandon, City of</v>
      </c>
      <c r="O47" s="121">
        <f ca="1">+INDEX('Charges_NonSlice &amp; Excl LS'!$Z$4:$Z$138,MATCH($A47,'Charges_NonSlice &amp; Excl LS'!$AA$4:$AA$138,0),1)</f>
        <v>4.4957498670859235E-2</v>
      </c>
      <c r="P47" s="172">
        <f ca="1">+INDEX('Charges_NonSlice &amp; Excl LS'!$Y$4:$Y$138,MATCH($A47,'Charges_NonSlice &amp; Excl LS'!$AA$4:$AA$138,0),1)</f>
        <v>38.051666225020298</v>
      </c>
      <c r="Q47" s="396">
        <f ca="1">+INDEX('Charges_NonSlice &amp; Excl LS'!$X$4:$X$138,MATCH($A47,'Charges_NonSlice &amp; Excl LS'!$AA$4:$AA$138,0),1)/1000</f>
        <v>65.399614782</v>
      </c>
      <c r="R47" s="131">
        <f ca="1">+SUM(Q$5:Q47)</f>
        <v>22251.473678151237</v>
      </c>
      <c r="T47" s="397" t="str">
        <f>+INDEX(Charges_NonSlice!$C$4:$C$138,MATCH($A47,Charges_NonSlice!$AA$4:$AA$138,0),1)</f>
        <v>Farmers Elec Coop</v>
      </c>
      <c r="U47" s="121">
        <f t="shared" si="0"/>
        <v>6.2052986451380576E-2</v>
      </c>
      <c r="V47" s="172">
        <f>+INDEX(Charges_NonSlice!$Y$4:$Y$138,MATCH($A47,Charges_NonSlice!$AA$4:$AA$138,0),1)</f>
        <v>39.071101544108409</v>
      </c>
      <c r="W47" s="162">
        <f t="shared" si="1"/>
        <v>36.788278967752831</v>
      </c>
      <c r="Y47" s="126" t="s">
        <v>99</v>
      </c>
      <c r="Z47" s="127">
        <v>33.124589063869706</v>
      </c>
    </row>
    <row r="48" spans="1:26">
      <c r="A48">
        <f t="shared" si="2"/>
        <v>44</v>
      </c>
      <c r="B48" s="138" t="str">
        <f>+INDEX('Charges_Including Slice and LS'!$C$4:$C$138,MATCH($A48,'Charges_Including Slice and LS'!$AA$4:$AA$138,0),1)</f>
        <v>Lakeview L &amp; P (WA)</v>
      </c>
      <c r="C48" s="121">
        <f>+INDEX('Charges_Including Slice and LS'!$Z$4:$Z$138,MATCH($A48,'Charges_Including Slice and LS'!$AA$4:$AA$138,0),1)</f>
        <v>5.0285783129084383E-2</v>
      </c>
      <c r="D48" s="107">
        <f>+INDEX('Charges_Including Slice and LS'!$Y$4:$Y$138,MATCH($A48,'Charges_Including Slice and LS'!$AA$4:$AA$138,0),1)</f>
        <v>38.406630427576637</v>
      </c>
      <c r="E48" s="131">
        <f>+INDEX('Charges_Including Slice and LS'!$X$4:$X$138,MATCH($A48,'Charges_Including Slice and LS'!$AA$4:$AA$138,0),1)/1000</f>
        <v>272.40723897421395</v>
      </c>
      <c r="F48" s="131">
        <f>+SUM(E$5:E48)</f>
        <v>12720.636334195353</v>
      </c>
      <c r="H48" s="397" t="str">
        <f>+INDEX(Charges_NonSlice!$C$4:$C$138,MATCH($A48,Charges_NonSlice!$AA$4:$AA$138,0),1)</f>
        <v>Franklin County PUD #1</v>
      </c>
      <c r="I48" s="121">
        <f>+INDEX(Charges_NonSlice!$Z$4:$Z$138,MATCH($A48,Charges_NonSlice!$AA$4:$AA$138,0),1)</f>
        <v>5.2773529640208761E-2</v>
      </c>
      <c r="J48" s="172">
        <f>+INDEX(Charges_NonSlice!$Y$4:$Y$138,MATCH($A48,Charges_NonSlice!$AA$4:$AA$138,0),1)</f>
        <v>33.885768348601744</v>
      </c>
      <c r="K48" s="396">
        <f>+INDEX(Charges_NonSlice!$X$4:$X$138,MATCH($A48,Charges_NonSlice!$AA$4:$AA$138,0),1)/1000</f>
        <v>531.3390078395247</v>
      </c>
      <c r="L48" s="131">
        <f>+SUM(K$5:K48)</f>
        <v>20982.798523498899</v>
      </c>
      <c r="N48" s="397" t="str">
        <f ca="1">+INDEX('Charges_NonSlice &amp; Excl LS'!$C$4:$C$138,MATCH($A48,'Charges_NonSlice &amp; Excl LS'!$AA$4:$AA$138,0),1)</f>
        <v>Ohop Mutual Light Company</v>
      </c>
      <c r="O48" s="121">
        <f ca="1">+INDEX('Charges_NonSlice &amp; Excl LS'!$Z$4:$Z$138,MATCH($A48,'Charges_NonSlice &amp; Excl LS'!$AA$4:$AA$138,0),1)</f>
        <v>4.4793767999481239E-2</v>
      </c>
      <c r="P48" s="172">
        <f ca="1">+INDEX('Charges_NonSlice &amp; Excl LS'!$Y$4:$Y$138,MATCH($A48,'Charges_NonSlice &amp; Excl LS'!$AA$4:$AA$138,0),1)</f>
        <v>35.998777462605005</v>
      </c>
      <c r="Q48" s="396">
        <f ca="1">+INDEX('Charges_NonSlice &amp; Excl LS'!$X$4:$X$138,MATCH($A48,'Charges_NonSlice &amp; Excl LS'!$AA$4:$AA$138,0),1)/1000</f>
        <v>85.658286151679988</v>
      </c>
      <c r="R48" s="131">
        <f ca="1">+SUM(Q$5:Q48)</f>
        <v>22337.131964302916</v>
      </c>
      <c r="T48" s="397" t="str">
        <f>+INDEX(Charges_NonSlice!$C$4:$C$138,MATCH($A48,Charges_NonSlice!$AA$4:$AA$138,0),1)</f>
        <v>Franklin County PUD #1</v>
      </c>
      <c r="U48" s="121">
        <f t="shared" si="0"/>
        <v>5.2775081662099321E-2</v>
      </c>
      <c r="V48" s="172">
        <f>+INDEX(Charges_NonSlice!$Y$4:$Y$138,MATCH($A48,Charges_NonSlice!$AA$4:$AA$138,0),1)</f>
        <v>33.885768348601744</v>
      </c>
      <c r="W48" s="162">
        <f t="shared" si="1"/>
        <v>32.18709194285222</v>
      </c>
      <c r="Y48" s="126" t="s">
        <v>112</v>
      </c>
      <c r="Z48" s="127">
        <v>34.353572002005144</v>
      </c>
    </row>
    <row r="49" spans="1:26">
      <c r="A49">
        <f t="shared" si="2"/>
        <v>45</v>
      </c>
      <c r="B49" s="138" t="str">
        <f>+INDEX('Charges_Including Slice and LS'!$C$4:$C$138,MATCH($A49,'Charges_Including Slice and LS'!$AA$4:$AA$138,0),1)</f>
        <v>Salem Elec Coop</v>
      </c>
      <c r="C49" s="121">
        <f>+INDEX('Charges_Including Slice and LS'!$Z$4:$Z$138,MATCH($A49,'Charges_Including Slice and LS'!$AA$4:$AA$138,0),1)</f>
        <v>5.0054876932702941E-2</v>
      </c>
      <c r="D49" s="107">
        <f>+INDEX('Charges_Including Slice and LS'!$Y$4:$Y$138,MATCH($A49,'Charges_Including Slice and LS'!$AA$4:$AA$138,0),1)</f>
        <v>38.695088345612653</v>
      </c>
      <c r="E49" s="131">
        <f>+INDEX('Charges_Including Slice and LS'!$X$4:$X$138,MATCH($A49,'Charges_Including Slice and LS'!$AA$4:$AA$138,0),1)/1000</f>
        <v>327.53800677842935</v>
      </c>
      <c r="F49" s="131">
        <f>+SUM(E$5:E49)</f>
        <v>13048.174340973783</v>
      </c>
      <c r="H49" s="397" t="str">
        <f>+INDEX(Charges_NonSlice!$C$4:$C$138,MATCH($A49,Charges_NonSlice!$AA$4:$AA$138,0),1)</f>
        <v>Tillamook PUD #1</v>
      </c>
      <c r="I49" s="121">
        <f>+INDEX(Charges_NonSlice!$Z$4:$Z$138,MATCH($A49,Charges_NonSlice!$AA$4:$AA$138,0),1)</f>
        <v>5.2398102858942197E-2</v>
      </c>
      <c r="J49" s="172">
        <f>+INDEX(Charges_NonSlice!$Y$4:$Y$138,MATCH($A49,Charges_NonSlice!$AA$4:$AA$138,0),1)</f>
        <v>38.270267566127366</v>
      </c>
      <c r="K49" s="396">
        <f>+INDEX(Charges_NonSlice!$X$4:$X$138,MATCH($A49,Charges_NonSlice!$AA$4:$AA$138,0),1)/1000</f>
        <v>474.90411293253015</v>
      </c>
      <c r="L49" s="131">
        <f>+SUM(K$5:K49)</f>
        <v>21457.70263643143</v>
      </c>
      <c r="N49" s="397" t="str">
        <f ca="1">+INDEX('Charges_NonSlice &amp; Excl LS'!$C$4:$C$138,MATCH($A49,'Charges_NonSlice &amp; Excl LS'!$AA$4:$AA$138,0),1)</f>
        <v>Whatcom County PUD #1</v>
      </c>
      <c r="O49" s="121">
        <f ca="1">+INDEX('Charges_NonSlice &amp; Excl LS'!$Z$4:$Z$138,MATCH($A49,'Charges_NonSlice &amp; Excl LS'!$AA$4:$AA$138,0),1)</f>
        <v>4.4592496997808886E-2</v>
      </c>
      <c r="P49" s="172">
        <f ca="1">+INDEX('Charges_NonSlice &amp; Excl LS'!$Y$4:$Y$138,MATCH($A49,'Charges_NonSlice &amp; Excl LS'!$AA$4:$AA$138,0),1)</f>
        <v>36.765374026596774</v>
      </c>
      <c r="Q49" s="396">
        <f ca="1">+INDEX('Charges_NonSlice &amp; Excl LS'!$X$4:$X$138,MATCH($A49,'Charges_NonSlice &amp; Excl LS'!$AA$4:$AA$138,0),1)/1000</f>
        <v>229.37926285958397</v>
      </c>
      <c r="R49" s="131">
        <f ca="1">+SUM(Q$5:Q49)</f>
        <v>22566.5112271625</v>
      </c>
      <c r="T49" s="397" t="str">
        <f>+INDEX(Charges_NonSlice!$C$4:$C$138,MATCH($A49,Charges_NonSlice!$AA$4:$AA$138,0),1)</f>
        <v>Tillamook PUD #1</v>
      </c>
      <c r="U49" s="121">
        <f t="shared" si="0"/>
        <v>5.59331520891031E-2</v>
      </c>
      <c r="V49" s="172">
        <f>+INDEX(Charges_NonSlice!$Y$4:$Y$138,MATCH($A49,Charges_NonSlice!$AA$4:$AA$138,0),1)</f>
        <v>38.270267566127366</v>
      </c>
      <c r="W49" s="162">
        <f t="shared" si="1"/>
        <v>36.243077973649982</v>
      </c>
      <c r="Y49" s="126" t="s">
        <v>41</v>
      </c>
      <c r="Z49" s="127">
        <v>36.511716884038073</v>
      </c>
    </row>
    <row r="50" spans="1:26">
      <c r="A50">
        <f t="shared" si="2"/>
        <v>46</v>
      </c>
      <c r="B50" s="138" t="str">
        <f>+INDEX('Charges_Including Slice and LS'!$C$4:$C$138,MATCH($A50,'Charges_Including Slice and LS'!$AA$4:$AA$138,0),1)</f>
        <v>Kootenai Electric Coop</v>
      </c>
      <c r="C50" s="121">
        <f>+INDEX('Charges_Including Slice and LS'!$Z$4:$Z$138,MATCH($A50,'Charges_Including Slice and LS'!$AA$4:$AA$138,0),1)</f>
        <v>4.9892829675388883E-2</v>
      </c>
      <c r="D50" s="107">
        <f>+INDEX('Charges_Including Slice and LS'!$Y$4:$Y$138,MATCH($A50,'Charges_Including Slice and LS'!$AA$4:$AA$138,0),1)</f>
        <v>36.312038208695164</v>
      </c>
      <c r="E50" s="131">
        <f>+INDEX('Charges_Including Slice and LS'!$X$4:$X$138,MATCH($A50,'Charges_Including Slice and LS'!$AA$4:$AA$138,0),1)/1000</f>
        <v>439.58175941313186</v>
      </c>
      <c r="F50" s="131">
        <f>+SUM(E$5:E50)</f>
        <v>13487.756100386914</v>
      </c>
      <c r="H50" s="397" t="str">
        <f>+INDEX(Charges_NonSlice!$C$4:$C$138,MATCH($A50,Charges_NonSlice!$AA$4:$AA$138,0),1)</f>
        <v>Mason County PUD #3</v>
      </c>
      <c r="I50" s="121">
        <f>+INDEX(Charges_NonSlice!$Z$4:$Z$138,MATCH($A50,Charges_NonSlice!$AA$4:$AA$138,0),1)</f>
        <v>5.236258498255375E-2</v>
      </c>
      <c r="J50" s="172">
        <f>+INDEX(Charges_NonSlice!$Y$4:$Y$138,MATCH($A50,Charges_NonSlice!$AA$4:$AA$138,0),1)</f>
        <v>36.450130236839563</v>
      </c>
      <c r="K50" s="396">
        <f>+INDEX(Charges_NonSlice!$X$4:$X$138,MATCH($A50,Charges_NonSlice!$AA$4:$AA$138,0),1)/1000</f>
        <v>688.93895999999995</v>
      </c>
      <c r="L50" s="131">
        <f>+SUM(K$5:K50)</f>
        <v>22146.641596431429</v>
      </c>
      <c r="N50" s="397" t="str">
        <f ca="1">+INDEX('Charges_NonSlice &amp; Excl LS'!$C$4:$C$138,MATCH($A50,'Charges_NonSlice &amp; Excl LS'!$AA$4:$AA$138,0),1)</f>
        <v>U.S. Naval Station, Everett (Jim Creek)</v>
      </c>
      <c r="O50" s="121">
        <f ca="1">+INDEX('Charges_NonSlice &amp; Excl LS'!$Z$4:$Z$138,MATCH($A50,'Charges_NonSlice &amp; Excl LS'!$AA$4:$AA$138,0),1)</f>
        <v>4.4503654167864851E-2</v>
      </c>
      <c r="P50" s="172">
        <f ca="1">+INDEX('Charges_NonSlice &amp; Excl LS'!$Y$4:$Y$138,MATCH($A50,'Charges_NonSlice &amp; Excl LS'!$AA$4:$AA$138,0),1)</f>
        <v>38.237875262158447</v>
      </c>
      <c r="Q50" s="396">
        <f ca="1">+INDEX('Charges_NonSlice &amp; Excl LS'!$X$4:$X$138,MATCH($A50,'Charges_NonSlice &amp; Excl LS'!$AA$4:$AA$138,0),1)/1000</f>
        <v>12.641897629488001</v>
      </c>
      <c r="R50" s="131">
        <f ca="1">+SUM(Q$5:Q50)</f>
        <v>22579.153124791988</v>
      </c>
      <c r="T50" s="397" t="str">
        <f>+INDEX(Charges_NonSlice!$C$4:$C$138,MATCH($A50,Charges_NonSlice!$AA$4:$AA$138,0),1)</f>
        <v>Mason County PUD #3</v>
      </c>
      <c r="U50" s="121">
        <f t="shared" si="0"/>
        <v>5.437634045592632E-2</v>
      </c>
      <c r="V50" s="172">
        <f>+INDEX(Charges_NonSlice!$Y$4:$Y$138,MATCH($A50,Charges_NonSlice!$AA$4:$AA$138,0),1)</f>
        <v>36.450130236839563</v>
      </c>
      <c r="W50" s="162">
        <f t="shared" si="1"/>
        <v>34.570322605188622</v>
      </c>
      <c r="Y50" s="126" t="s">
        <v>71</v>
      </c>
      <c r="Z50" s="127">
        <v>34.338578952335219</v>
      </c>
    </row>
    <row r="51" spans="1:26">
      <c r="A51">
        <f t="shared" si="2"/>
        <v>47</v>
      </c>
      <c r="B51" s="138" t="str">
        <f>+INDEX('Charges_Including Slice and LS'!$C$4:$C$138,MATCH($A51,'Charges_Including Slice and LS'!$AA$4:$AA$138,0),1)</f>
        <v>Idaho County L &amp; P</v>
      </c>
      <c r="C51" s="121">
        <f>+INDEX('Charges_Including Slice and LS'!$Z$4:$Z$138,MATCH($A51,'Charges_Including Slice and LS'!$AA$4:$AA$138,0),1)</f>
        <v>4.9844720871603965E-2</v>
      </c>
      <c r="D51" s="107">
        <f>+INDEX('Charges_Including Slice and LS'!$Y$4:$Y$138,MATCH($A51,'Charges_Including Slice and LS'!$AA$4:$AA$138,0),1)</f>
        <v>36.29323555046134</v>
      </c>
      <c r="E51" s="131">
        <f>+INDEX('Charges_Including Slice and LS'!$X$4:$X$138,MATCH($A51,'Charges_Including Slice and LS'!$AA$4:$AA$138,0),1)/1000</f>
        <v>53.558639999999997</v>
      </c>
      <c r="F51" s="131">
        <f>+SUM(E$5:E51)</f>
        <v>13541.314740386913</v>
      </c>
      <c r="H51" s="397" t="str">
        <f>+INDEX(Charges_NonSlice!$C$4:$C$138,MATCH($A51,Charges_NonSlice!$AA$4:$AA$138,0),1)</f>
        <v>McCleary, City of</v>
      </c>
      <c r="I51" s="121">
        <f>+INDEX(Charges_NonSlice!$Z$4:$Z$138,MATCH($A51,Charges_NonSlice!$AA$4:$AA$138,0),1)</f>
        <v>5.2295024593795425E-2</v>
      </c>
      <c r="J51" s="172">
        <f>+INDEX(Charges_NonSlice!$Y$4:$Y$138,MATCH($A51,Charges_NonSlice!$AA$4:$AA$138,0),1)</f>
        <v>39.929552264657566</v>
      </c>
      <c r="K51" s="396">
        <f>+INDEX(Charges_NonSlice!$X$4:$X$138,MATCH($A51,Charges_NonSlice!$AA$4:$AA$138,0),1)/1000</f>
        <v>31.06884646747627</v>
      </c>
      <c r="L51" s="131">
        <f>+SUM(K$5:K51)</f>
        <v>22177.710442898904</v>
      </c>
      <c r="N51" s="397" t="str">
        <f ca="1">+INDEX('Charges_NonSlice &amp; Excl LS'!$C$4:$C$138,MATCH($A51,'Charges_NonSlice &amp; Excl LS'!$AA$4:$AA$138,0),1)</f>
        <v>Hood River Elec Coop</v>
      </c>
      <c r="O51" s="121">
        <f ca="1">+INDEX('Charges_NonSlice &amp; Excl LS'!$Z$4:$Z$138,MATCH($A51,'Charges_NonSlice &amp; Excl LS'!$AA$4:$AA$138,0),1)</f>
        <v>4.4426344416493652E-2</v>
      </c>
      <c r="P51" s="172">
        <f ca="1">+INDEX('Charges_NonSlice &amp; Excl LS'!$Y$4:$Y$138,MATCH($A51,'Charges_NonSlice &amp; Excl LS'!$AA$4:$AA$138,0),1)</f>
        <v>37.974968488138693</v>
      </c>
      <c r="Q51" s="396">
        <f ca="1">+INDEX('Charges_NonSlice &amp; Excl LS'!$X$4:$X$138,MATCH($A51,'Charges_NonSlice &amp; Excl LS'!$AA$4:$AA$138,0),1)/1000</f>
        <v>112.90102801156799</v>
      </c>
      <c r="R51" s="131">
        <f ca="1">+SUM(Q$5:Q51)</f>
        <v>22692.054152803557</v>
      </c>
      <c r="T51" s="397" t="str">
        <f>+INDEX(Charges_NonSlice!$C$4:$C$138,MATCH($A51,Charges_NonSlice!$AA$4:$AA$138,0),1)</f>
        <v>McCleary, City of</v>
      </c>
      <c r="U51" s="121">
        <f t="shared" si="0"/>
        <v>4.6344701348388861E-2</v>
      </c>
      <c r="V51" s="172">
        <f>+INDEX(Charges_NonSlice!$Y$4:$Y$138,MATCH($A51,Charges_NonSlice!$AA$4:$AA$138,0),1)</f>
        <v>39.929552264657566</v>
      </c>
      <c r="W51" s="162">
        <f t="shared" si="1"/>
        <v>38.160992465677616</v>
      </c>
      <c r="Y51" s="126" t="s">
        <v>21</v>
      </c>
      <c r="Z51" s="127">
        <v>36.225846826175804</v>
      </c>
    </row>
    <row r="52" spans="1:26">
      <c r="A52">
        <f t="shared" si="2"/>
        <v>48</v>
      </c>
      <c r="B52" s="138" t="str">
        <f>+INDEX('Charges_Including Slice and LS'!$C$4:$C$138,MATCH($A52,'Charges_Including Slice and LS'!$AA$4:$AA$138,0),1)</f>
        <v>Tanner Elec Coop</v>
      </c>
      <c r="C52" s="121">
        <f>+INDEX('Charges_Including Slice and LS'!$Z$4:$Z$138,MATCH($A52,'Charges_Including Slice and LS'!$AA$4:$AA$138,0),1)</f>
        <v>4.981663136809833E-2</v>
      </c>
      <c r="D52" s="107">
        <f>+INDEX('Charges_Including Slice and LS'!$Y$4:$Y$138,MATCH($A52,'Charges_Including Slice and LS'!$AA$4:$AA$138,0),1)</f>
        <v>38.184379006048957</v>
      </c>
      <c r="E52" s="131">
        <f>+INDEX('Charges_Including Slice and LS'!$X$4:$X$138,MATCH($A52,'Charges_Including Slice and LS'!$AA$4:$AA$138,0),1)/1000</f>
        <v>91.876459387251586</v>
      </c>
      <c r="F52" s="131">
        <f>+SUM(E$5:E52)</f>
        <v>13633.191199774164</v>
      </c>
      <c r="H52" s="397" t="str">
        <f>+INDEX(Charges_NonSlice!$C$4:$C$138,MATCH($A52,Charges_NonSlice!$AA$4:$AA$138,0),1)</f>
        <v>Steilacoom, Town of</v>
      </c>
      <c r="I52" s="121">
        <f>+INDEX(Charges_NonSlice!$Z$4:$Z$138,MATCH($A52,Charges_NonSlice!$AA$4:$AA$138,0),1)</f>
        <v>5.1640292264401921E-2</v>
      </c>
      <c r="J52" s="172">
        <f>+INDEX(Charges_NonSlice!$Y$4:$Y$138,MATCH($A52,Charges_NonSlice!$AA$4:$AA$138,0),1)</f>
        <v>39.70737623669396</v>
      </c>
      <c r="K52" s="396">
        <f>+INDEX(Charges_NonSlice!$X$4:$X$138,MATCH($A52,Charges_NonSlice!$AA$4:$AA$138,0),1)/1000</f>
        <v>41.178476600787334</v>
      </c>
      <c r="L52" s="131">
        <f>+SUM(K$5:K52)</f>
        <v>22218.888919499692</v>
      </c>
      <c r="N52" s="397" t="str">
        <f ca="1">+INDEX('Charges_NonSlice &amp; Excl LS'!$C$4:$C$138,MATCH($A52,'Charges_NonSlice &amp; Excl LS'!$AA$4:$AA$138,0),1)</f>
        <v>Lakeview L &amp; P (WA)</v>
      </c>
      <c r="O52" s="121">
        <f ca="1">+INDEX('Charges_NonSlice &amp; Excl LS'!$Z$4:$Z$138,MATCH($A52,'Charges_NonSlice &amp; Excl LS'!$AA$4:$AA$138,0),1)</f>
        <v>4.4383830537384386E-2</v>
      </c>
      <c r="P52" s="172">
        <f ca="1">+INDEX('Charges_NonSlice &amp; Excl LS'!$Y$4:$Y$138,MATCH($A52,'Charges_NonSlice &amp; Excl LS'!$AA$4:$AA$138,0),1)</f>
        <v>37.863431254047732</v>
      </c>
      <c r="Q52" s="396">
        <f ca="1">+INDEX('Charges_NonSlice &amp; Excl LS'!$X$4:$X$138,MATCH($A52,'Charges_NonSlice &amp; Excl LS'!$AA$4:$AA$138,0),1)/1000</f>
        <v>272.40916754359199</v>
      </c>
      <c r="R52" s="131">
        <f ca="1">+SUM(Q$5:Q52)</f>
        <v>22964.463320347149</v>
      </c>
      <c r="T52" s="397" t="str">
        <f>+INDEX(Charges_NonSlice!$C$4:$C$138,MATCH($A52,Charges_NonSlice!$AA$4:$AA$138,0),1)</f>
        <v>Steilacoom, Town of</v>
      </c>
      <c r="U52" s="121">
        <f t="shared" si="0"/>
        <v>6.2552307569589738E-2</v>
      </c>
      <c r="V52" s="172">
        <f>+INDEX(Charges_NonSlice!$Y$4:$Y$138,MATCH($A52,Charges_NonSlice!$AA$4:$AA$138,0),1)</f>
        <v>39.70737623669396</v>
      </c>
      <c r="W52" s="162">
        <f t="shared" si="1"/>
        <v>37.369808482669363</v>
      </c>
      <c r="Y52" s="126" t="s">
        <v>91</v>
      </c>
      <c r="Z52" s="127">
        <v>36.786862555914752</v>
      </c>
    </row>
    <row r="53" spans="1:26">
      <c r="A53">
        <f t="shared" si="2"/>
        <v>49</v>
      </c>
      <c r="B53" s="138" t="str">
        <f>+INDEX('Charges_Including Slice and LS'!$C$4:$C$138,MATCH($A53,'Charges_Including Slice and LS'!$AA$4:$AA$138,0),1)</f>
        <v>Milton, Town of</v>
      </c>
      <c r="C53" s="121">
        <f>+INDEX('Charges_Including Slice and LS'!$Z$4:$Z$138,MATCH($A53,'Charges_Including Slice and LS'!$AA$4:$AA$138,0),1)</f>
        <v>4.9642291876446309E-2</v>
      </c>
      <c r="D53" s="107">
        <f>+INDEX('Charges_Including Slice and LS'!$Y$4:$Y$138,MATCH($A53,'Charges_Including Slice and LS'!$AA$4:$AA$138,0),1)</f>
        <v>38.274892709200444</v>
      </c>
      <c r="E53" s="131">
        <f>+INDEX('Charges_Including Slice and LS'!$X$4:$X$138,MATCH($A53,'Charges_Including Slice and LS'!$AA$4:$AA$138,0),1)/1000</f>
        <v>58.909421935218809</v>
      </c>
      <c r="F53" s="131">
        <f>+SUM(E$5:E53)</f>
        <v>13692.100621709384</v>
      </c>
      <c r="H53" s="397" t="str">
        <f>+INDEX(Charges_NonSlice!$C$4:$C$138,MATCH($A53,Charges_NonSlice!$AA$4:$AA$138,0),1)</f>
        <v>Jefferson County PUD #1</v>
      </c>
      <c r="I53" s="121">
        <f>+INDEX(Charges_NonSlice!$Z$4:$Z$138,MATCH($A53,Charges_NonSlice!$AA$4:$AA$138,0),1)</f>
        <v>5.1521817024703154E-2</v>
      </c>
      <c r="J53" s="172">
        <f>+INDEX(Charges_NonSlice!$Y$4:$Y$138,MATCH($A53,Charges_NonSlice!$AA$4:$AA$138,0),1)</f>
        <v>39.335542638198049</v>
      </c>
      <c r="K53" s="396">
        <f>+INDEX(Charges_NonSlice!$X$4:$X$138,MATCH($A53,Charges_NonSlice!$AA$4:$AA$138,0),1)/1000</f>
        <v>378.41282560021835</v>
      </c>
      <c r="L53" s="131">
        <f>+SUM(K$5:K53)</f>
        <v>22597.30174509991</v>
      </c>
      <c r="N53" s="397" t="str">
        <f ca="1">+INDEX('Charges_NonSlice &amp; Excl LS'!$C$4:$C$138,MATCH($A53,'Charges_NonSlice &amp; Excl LS'!$AA$4:$AA$138,0),1)</f>
        <v>Kittitas County PUD #1</v>
      </c>
      <c r="O53" s="121">
        <f ca="1">+INDEX('Charges_NonSlice &amp; Excl LS'!$Z$4:$Z$138,MATCH($A53,'Charges_NonSlice &amp; Excl LS'!$AA$4:$AA$138,0),1)</f>
        <v>4.4367246524456963E-2</v>
      </c>
      <c r="P53" s="172">
        <f ca="1">+INDEX('Charges_NonSlice &amp; Excl LS'!$Y$4:$Y$138,MATCH($A53,'Charges_NonSlice &amp; Excl LS'!$AA$4:$AA$138,0),1)</f>
        <v>36.50235058689902</v>
      </c>
      <c r="Q53" s="396">
        <f ca="1">+INDEX('Charges_NonSlice &amp; Excl LS'!$X$4:$X$138,MATCH($A53,'Charges_NonSlice &amp; Excl LS'!$AA$4:$AA$138,0),1)/1000</f>
        <v>83.632419014711985</v>
      </c>
      <c r="R53" s="131">
        <f ca="1">+SUM(Q$5:Q53)</f>
        <v>23048.095739361863</v>
      </c>
      <c r="T53" s="397" t="str">
        <f>+INDEX(Charges_NonSlice!$C$4:$C$138,MATCH($A53,Charges_NonSlice!$AA$4:$AA$138,0),1)</f>
        <v>Jefferson County PUD #1</v>
      </c>
      <c r="U53" s="121">
        <f t="shared" si="0"/>
        <v>6.3763127447734602E-2</v>
      </c>
      <c r="V53" s="172">
        <f>+INDEX(Charges_NonSlice!$Y$4:$Y$138,MATCH($A53,Charges_NonSlice!$AA$4:$AA$138,0),1)</f>
        <v>39.335542638198049</v>
      </c>
      <c r="W53" s="162">
        <f t="shared" si="1"/>
        <v>36.977727111650339</v>
      </c>
      <c r="Y53" s="126" t="s">
        <v>17</v>
      </c>
      <c r="Z53" s="127">
        <v>36.558932879044335</v>
      </c>
    </row>
    <row r="54" spans="1:26">
      <c r="A54">
        <f t="shared" si="2"/>
        <v>50</v>
      </c>
      <c r="B54" s="138" t="str">
        <f>+INDEX('Charges_Including Slice and LS'!$C$4:$C$138,MATCH($A54,'Charges_Including Slice and LS'!$AA$4:$AA$138,0),1)</f>
        <v>Central Lincoln PUD</v>
      </c>
      <c r="C54" s="121">
        <f>+INDEX('Charges_Including Slice and LS'!$Z$4:$Z$138,MATCH($A54,'Charges_Including Slice and LS'!$AA$4:$AA$138,0),1)</f>
        <v>4.9537912739837209E-2</v>
      </c>
      <c r="D54" s="107">
        <f>+INDEX('Charges_Including Slice and LS'!$Y$4:$Y$138,MATCH($A54,'Charges_Including Slice and LS'!$AA$4:$AA$138,0),1)</f>
        <v>37.553125586624091</v>
      </c>
      <c r="E54" s="131">
        <f>+INDEX('Charges_Including Slice and LS'!$X$4:$X$138,MATCH($A54,'Charges_Including Slice and LS'!$AA$4:$AA$138,0),1)/1000</f>
        <v>1343.9002575361058</v>
      </c>
      <c r="F54" s="131">
        <f>+SUM(E$5:E54)</f>
        <v>15036.00087924549</v>
      </c>
      <c r="H54" s="397" t="str">
        <f>+INDEX(Charges_NonSlice!$C$4:$C$138,MATCH($A54,Charges_NonSlice!$AA$4:$AA$138,0),1)</f>
        <v>Bandon, City of</v>
      </c>
      <c r="I54" s="121">
        <f>+INDEX(Charges_NonSlice!$Z$4:$Z$138,MATCH($A54,Charges_NonSlice!$AA$4:$AA$138,0),1)</f>
        <v>5.1290126885538356E-2</v>
      </c>
      <c r="J54" s="172">
        <f>+INDEX(Charges_NonSlice!$Y$4:$Y$138,MATCH($A54,Charges_NonSlice!$AA$4:$AA$138,0),1)</f>
        <v>38.621884713034703</v>
      </c>
      <c r="K54" s="396">
        <f>+INDEX(Charges_NonSlice!$X$4:$X$138,MATCH($A54,Charges_NonSlice!$AA$4:$AA$138,0),1)/1000</f>
        <v>65.028554954123777</v>
      </c>
      <c r="L54" s="131">
        <f>+SUM(K$5:K54)</f>
        <v>22662.330300054033</v>
      </c>
      <c r="N54" s="397" t="str">
        <f ca="1">+INDEX('Charges_NonSlice &amp; Excl LS'!$C$4:$C$138,MATCH($A54,'Charges_NonSlice &amp; Excl LS'!$AA$4:$AA$138,0),1)</f>
        <v>Umpqua Indian Utility Cooperative</v>
      </c>
      <c r="O54" s="121">
        <f ca="1">+INDEX('Charges_NonSlice &amp; Excl LS'!$Z$4:$Z$138,MATCH($A54,'Charges_NonSlice &amp; Excl LS'!$AA$4:$AA$138,0),1)</f>
        <v>4.4319704139932421E-2</v>
      </c>
      <c r="P54" s="172">
        <f ca="1">+INDEX('Charges_NonSlice &amp; Excl LS'!$Y$4:$Y$138,MATCH($A54,'Charges_NonSlice &amp; Excl LS'!$AA$4:$AA$138,0),1)</f>
        <v>38.272964262958531</v>
      </c>
      <c r="Q54" s="396">
        <f ca="1">+INDEX('Charges_NonSlice &amp; Excl LS'!$X$4:$X$138,MATCH($A54,'Charges_NonSlice &amp; Excl LS'!$AA$4:$AA$138,0),1)/1000</f>
        <v>23.750706614783997</v>
      </c>
      <c r="R54" s="131">
        <f ca="1">+SUM(Q$5:Q54)</f>
        <v>23071.846445976647</v>
      </c>
      <c r="T54" s="397" t="str">
        <f>+INDEX(Charges_NonSlice!$C$4:$C$138,MATCH($A54,Charges_NonSlice!$AA$4:$AA$138,0),1)</f>
        <v>Bandon, City of</v>
      </c>
      <c r="U54" s="121">
        <f t="shared" si="0"/>
        <v>5.4371423578624345E-2</v>
      </c>
      <c r="V54" s="172">
        <f>+INDEX(Charges_NonSlice!$Y$4:$Y$138,MATCH($A54,Charges_NonSlice!$AA$4:$AA$138,0),1)</f>
        <v>38.621884713034703</v>
      </c>
      <c r="W54" s="162">
        <f t="shared" si="1"/>
        <v>36.63024608723633</v>
      </c>
      <c r="Y54" s="126" t="s">
        <v>69</v>
      </c>
      <c r="Z54" s="127">
        <v>33.604537794366422</v>
      </c>
    </row>
    <row r="55" spans="1:26">
      <c r="A55">
        <f t="shared" si="2"/>
        <v>51</v>
      </c>
      <c r="B55" s="138" t="str">
        <f>+INDEX('Charges_Including Slice and LS'!$C$4:$C$138,MATCH($A55,'Charges_Including Slice and LS'!$AA$4:$AA$138,0),1)</f>
        <v>Drain, City of</v>
      </c>
      <c r="C55" s="121">
        <f>+INDEX('Charges_Including Slice and LS'!$Z$4:$Z$138,MATCH($A55,'Charges_Including Slice and LS'!$AA$4:$AA$138,0),1)</f>
        <v>4.9508385477905259E-2</v>
      </c>
      <c r="D55" s="107">
        <f>+INDEX('Charges_Including Slice and LS'!$Y$4:$Y$138,MATCH($A55,'Charges_Including Slice and LS'!$AA$4:$AA$138,0),1)</f>
        <v>38.063739649978956</v>
      </c>
      <c r="E55" s="131">
        <f>+INDEX('Charges_Including Slice and LS'!$X$4:$X$138,MATCH($A55,'Charges_Including Slice and LS'!$AA$4:$AA$138,0),1)/1000</f>
        <v>16.50384</v>
      </c>
      <c r="F55" s="131">
        <f>+SUM(E$5:E55)</f>
        <v>15052.504719245489</v>
      </c>
      <c r="H55" s="397" t="str">
        <f>+INDEX(Charges_NonSlice!$C$4:$C$138,MATCH($A55,Charges_NonSlice!$AA$4:$AA$138,0),1)</f>
        <v>Declo, City of</v>
      </c>
      <c r="I55" s="121">
        <f>+INDEX(Charges_NonSlice!$Z$4:$Z$138,MATCH($A55,Charges_NonSlice!$AA$4:$AA$138,0),1)</f>
        <v>5.126189009046711E-2</v>
      </c>
      <c r="J55" s="172">
        <f>+INDEX(Charges_NonSlice!$Y$4:$Y$138,MATCH($A55,Charges_NonSlice!$AA$4:$AA$138,0),1)</f>
        <v>38.805830013016447</v>
      </c>
      <c r="K55" s="396">
        <f>+INDEX(Charges_NonSlice!$X$4:$X$138,MATCH($A55,Charges_NonSlice!$AA$4:$AA$138,0),1)/1000</f>
        <v>3.0922799999999997</v>
      </c>
      <c r="L55" s="131">
        <f>+SUM(K$5:K55)</f>
        <v>22665.422580054033</v>
      </c>
      <c r="N55" s="397" t="str">
        <f ca="1">+INDEX('Charges_NonSlice &amp; Excl LS'!$C$4:$C$138,MATCH($A55,'Charges_NonSlice &amp; Excl LS'!$AA$4:$AA$138,0),1)</f>
        <v>U.S. Naval Submarine Base, Bangor</v>
      </c>
      <c r="O55" s="121">
        <f ca="1">+INDEX('Charges_NonSlice &amp; Excl LS'!$Z$4:$Z$138,MATCH($A55,'Charges_NonSlice &amp; Excl LS'!$AA$4:$AA$138,0),1)</f>
        <v>4.4317543905916308E-2</v>
      </c>
      <c r="P55" s="172">
        <f ca="1">+INDEX('Charges_NonSlice &amp; Excl LS'!$Y$4:$Y$138,MATCH($A55,'Charges_NonSlice &amp; Excl LS'!$AA$4:$AA$138,0),1)</f>
        <v>36.947346334163129</v>
      </c>
      <c r="Q55" s="396">
        <f ca="1">+INDEX('Charges_NonSlice &amp; Excl LS'!$X$4:$X$138,MATCH($A55,'Charges_NonSlice &amp; Excl LS'!$AA$4:$AA$138,0),1)/1000</f>
        <v>170.47094007501599</v>
      </c>
      <c r="R55" s="131">
        <f ca="1">+SUM(Q$5:Q55)</f>
        <v>23242.317386051662</v>
      </c>
      <c r="T55" s="397" t="str">
        <f>+INDEX(Charges_NonSlice!$C$4:$C$138,MATCH($A55,Charges_NonSlice!$AA$4:$AA$138,0),1)</f>
        <v>Declo, City of</v>
      </c>
      <c r="U55" s="121">
        <f t="shared" si="0"/>
        <v>7.729628706277536E-2</v>
      </c>
      <c r="V55" s="172">
        <f>+INDEX(Charges_NonSlice!$Y$4:$Y$138,MATCH($A55,Charges_NonSlice!$AA$4:$AA$138,0),1)</f>
        <v>38.805830013016447</v>
      </c>
      <c r="W55" s="162">
        <f t="shared" si="1"/>
        <v>36.021501678818268</v>
      </c>
      <c r="Y55" s="126" t="s">
        <v>108</v>
      </c>
      <c r="Z55" s="127">
        <v>36.663128636723378</v>
      </c>
    </row>
    <row r="56" spans="1:26">
      <c r="A56">
        <f t="shared" si="2"/>
        <v>52</v>
      </c>
      <c r="B56" s="138" t="str">
        <f>+INDEX('Charges_Including Slice and LS'!$C$4:$C$138,MATCH($A56,'Charges_Including Slice and LS'!$AA$4:$AA$138,0),1)</f>
        <v>Rupert, City of</v>
      </c>
      <c r="C56" s="121">
        <f>+INDEX('Charges_Including Slice and LS'!$Z$4:$Z$138,MATCH($A56,'Charges_Including Slice and LS'!$AA$4:$AA$138,0),1)</f>
        <v>4.9500477881759153E-2</v>
      </c>
      <c r="D56" s="107">
        <f>+INDEX('Charges_Including Slice and LS'!$Y$4:$Y$138,MATCH($A56,'Charges_Including Slice and LS'!$AA$4:$AA$138,0),1)</f>
        <v>38.923392656178429</v>
      </c>
      <c r="E56" s="131">
        <f>+INDEX('Charges_Including Slice and LS'!$X$4:$X$138,MATCH($A56,'Charges_Including Slice and LS'!$AA$4:$AA$138,0),1)/1000</f>
        <v>81.21396</v>
      </c>
      <c r="F56" s="131">
        <f>+SUM(E$5:E56)</f>
        <v>15133.718679245489</v>
      </c>
      <c r="H56" s="397" t="str">
        <f>+INDEX(Charges_NonSlice!$C$4:$C$138,MATCH($A56,Charges_NonSlice!$AA$4:$AA$138,0),1)</f>
        <v>Monmouth, City of</v>
      </c>
      <c r="I56" s="121">
        <f>+INDEX(Charges_NonSlice!$Z$4:$Z$138,MATCH($A56,Charges_NonSlice!$AA$4:$AA$138,0),1)</f>
        <v>5.1180350222315596E-2</v>
      </c>
      <c r="J56" s="172">
        <f>+INDEX(Charges_NonSlice!$Y$4:$Y$138,MATCH($A56,Charges_NonSlice!$AA$4:$AA$138,0),1)</f>
        <v>38.419150523544708</v>
      </c>
      <c r="K56" s="396">
        <f>+INDEX(Charges_NonSlice!$X$4:$X$138,MATCH($A56,Charges_NonSlice!$AA$4:$AA$138,0),1)/1000</f>
        <v>72.086039999999997</v>
      </c>
      <c r="L56" s="131">
        <f>+SUM(K$5:K56)</f>
        <v>22737.508620054032</v>
      </c>
      <c r="N56" s="397" t="str">
        <f ca="1">+INDEX('Charges_NonSlice &amp; Excl LS'!$C$4:$C$138,MATCH($A56,'Charges_NonSlice &amp; Excl LS'!$AA$4:$AA$138,0),1)</f>
        <v>Grant County PUD #2</v>
      </c>
      <c r="O56" s="121">
        <f ca="1">+INDEX('Charges_NonSlice &amp; Excl LS'!$Z$4:$Z$138,MATCH($A56,'Charges_NonSlice &amp; Excl LS'!$AA$4:$AA$138,0),1)</f>
        <v>4.4206188065802524E-2</v>
      </c>
      <c r="P56" s="172">
        <f ca="1">+INDEX('Charges_NonSlice &amp; Excl LS'!$Y$4:$Y$138,MATCH($A56,'Charges_NonSlice &amp; Excl LS'!$AA$4:$AA$138,0),1)</f>
        <v>38.595695486889056</v>
      </c>
      <c r="Q56" s="396">
        <f ca="1">+INDEX('Charges_NonSlice &amp; Excl LS'!$X$4:$X$138,MATCH($A56,'Charges_NonSlice &amp; Excl LS'!$AA$4:$AA$138,0),1)/1000</f>
        <v>44.745503881079998</v>
      </c>
      <c r="R56" s="131">
        <f ca="1">+SUM(Q$5:Q56)</f>
        <v>23287.062889932742</v>
      </c>
      <c r="T56" s="397" t="str">
        <f>+INDEX(Charges_NonSlice!$C$4:$C$138,MATCH($A56,Charges_NonSlice!$AA$4:$AA$138,0),1)</f>
        <v>Monmouth, City of</v>
      </c>
      <c r="U56" s="121">
        <f t="shared" si="0"/>
        <v>6.0673643935742705E-2</v>
      </c>
      <c r="V56" s="172">
        <f>+INDEX(Charges_NonSlice!$Y$4:$Y$138,MATCH($A56,Charges_NonSlice!$AA$4:$AA$138,0),1)</f>
        <v>38.419150523544708</v>
      </c>
      <c r="W56" s="162">
        <f t="shared" si="1"/>
        <v>36.221462410422824</v>
      </c>
      <c r="Y56" s="126" t="s">
        <v>109</v>
      </c>
      <c r="Z56" s="127">
        <v>31.341550598451182</v>
      </c>
    </row>
    <row r="57" spans="1:26">
      <c r="A57">
        <f t="shared" si="2"/>
        <v>53</v>
      </c>
      <c r="B57" s="138" t="str">
        <f>+INDEX('Charges_Including Slice and LS'!$C$4:$C$138,MATCH($A57,'Charges_Including Slice and LS'!$AA$4:$AA$138,0),1)</f>
        <v>Weiser, City of</v>
      </c>
      <c r="C57" s="121">
        <f>+INDEX('Charges_Including Slice and LS'!$Z$4:$Z$138,MATCH($A57,'Charges_Including Slice and LS'!$AA$4:$AA$138,0),1)</f>
        <v>4.9466121064649871E-2</v>
      </c>
      <c r="D57" s="107">
        <f>+INDEX('Charges_Including Slice and LS'!$Y$4:$Y$138,MATCH($A57,'Charges_Including Slice and LS'!$AA$4:$AA$138,0),1)</f>
        <v>37.355653012104426</v>
      </c>
      <c r="E57" s="131">
        <f>+INDEX('Charges_Including Slice and LS'!$X$4:$X$138,MATCH($A57,'Charges_Including Slice and LS'!$AA$4:$AA$138,0),1)/1000</f>
        <v>54.548520000000003</v>
      </c>
      <c r="F57" s="131">
        <f>+SUM(E$5:E57)</f>
        <v>15188.267199245489</v>
      </c>
      <c r="H57" s="397" t="str">
        <f>+INDEX(Charges_NonSlice!$C$4:$C$138,MATCH($A57,Charges_NonSlice!$AA$4:$AA$138,0),1)</f>
        <v>Benton County PUD #1</v>
      </c>
      <c r="I57" s="121">
        <f>+INDEX(Charges_NonSlice!$Z$4:$Z$138,MATCH($A57,Charges_NonSlice!$AA$4:$AA$138,0),1)</f>
        <v>5.0674028582994524E-2</v>
      </c>
      <c r="J57" s="172">
        <f>+INDEX(Charges_NonSlice!$Y$4:$Y$138,MATCH($A57,Charges_NonSlice!$AA$4:$AA$138,0),1)</f>
        <v>31.553082129035317</v>
      </c>
      <c r="K57" s="396">
        <f>+INDEX(Charges_NonSlice!$X$4:$X$138,MATCH($A57,Charges_NonSlice!$AA$4:$AA$138,0),1)/1000</f>
        <v>893.50301316326909</v>
      </c>
      <c r="L57" s="131">
        <f>+SUM(K$5:K57)</f>
        <v>23631.011633217302</v>
      </c>
      <c r="N57" s="397" t="str">
        <f ca="1">+INDEX('Charges_NonSlice &amp; Excl LS'!$C$4:$C$138,MATCH($A57,'Charges_NonSlice &amp; Excl LS'!$AA$4:$AA$138,0),1)</f>
        <v>Milton-Freewater, City of</v>
      </c>
      <c r="O57" s="121">
        <f ca="1">+INDEX('Charges_NonSlice &amp; Excl LS'!$Z$4:$Z$138,MATCH($A57,'Charges_NonSlice &amp; Excl LS'!$AA$4:$AA$138,0),1)</f>
        <v>4.4112462287826781E-2</v>
      </c>
      <c r="P57" s="172">
        <f ca="1">+INDEX('Charges_NonSlice &amp; Excl LS'!$Y$4:$Y$138,MATCH($A57,'Charges_NonSlice &amp; Excl LS'!$AA$4:$AA$138,0),1)</f>
        <v>38.231276838399204</v>
      </c>
      <c r="Q57" s="396">
        <f ca="1">+INDEX('Charges_NonSlice &amp; Excl LS'!$X$4:$X$138,MATCH($A57,'Charges_NonSlice &amp; Excl LS'!$AA$4:$AA$138,0),1)/1000</f>
        <v>84.928243940160002</v>
      </c>
      <c r="R57" s="131">
        <f ca="1">+SUM(Q$5:Q57)</f>
        <v>23371.991133872903</v>
      </c>
      <c r="T57" s="397" t="str">
        <f>+INDEX(Charges_NonSlice!$C$4:$C$138,MATCH($A57,Charges_NonSlice!$AA$4:$AA$138,0),1)</f>
        <v>Benton County PUD #1</v>
      </c>
      <c r="U57" s="121">
        <f t="shared" si="0"/>
        <v>5.0677849918093543E-2</v>
      </c>
      <c r="V57" s="172">
        <f>+INDEX(Charges_NonSlice!$Y$4:$Y$138,MATCH($A57,Charges_NonSlice!$AA$4:$AA$138,0),1)</f>
        <v>31.553082129035317</v>
      </c>
      <c r="W57" s="162">
        <f t="shared" si="1"/>
        <v>30.031167147470619</v>
      </c>
      <c r="Y57" s="126" t="s">
        <v>67</v>
      </c>
      <c r="Z57" s="127">
        <v>37.283881787979418</v>
      </c>
    </row>
    <row r="58" spans="1:26">
      <c r="A58">
        <f t="shared" si="2"/>
        <v>54</v>
      </c>
      <c r="B58" s="138" t="str">
        <f>+INDEX('Charges_Including Slice and LS'!$C$4:$C$138,MATCH($A58,'Charges_Including Slice and LS'!$AA$4:$AA$138,0),1)</f>
        <v>Blaine, City of</v>
      </c>
      <c r="C58" s="121">
        <f>+INDEX('Charges_Including Slice and LS'!$Z$4:$Z$138,MATCH($A58,'Charges_Including Slice and LS'!$AA$4:$AA$138,0),1)</f>
        <v>4.9464773453938626E-2</v>
      </c>
      <c r="D58" s="107">
        <f>+INDEX('Charges_Including Slice and LS'!$Y$4:$Y$138,MATCH($A58,'Charges_Including Slice and LS'!$AA$4:$AA$138,0),1)</f>
        <v>38.019623023156889</v>
      </c>
      <c r="E58" s="131">
        <f>+INDEX('Charges_Including Slice and LS'!$X$4:$X$138,MATCH($A58,'Charges_Including Slice and LS'!$AA$4:$AA$138,0),1)/1000</f>
        <v>75.388559999999998</v>
      </c>
      <c r="F58" s="131">
        <f>+SUM(E$5:E58)</f>
        <v>15263.655759245488</v>
      </c>
      <c r="H58" s="397" t="str">
        <f>+INDEX(Charges_NonSlice!$C$4:$C$138,MATCH($A58,Charges_NonSlice!$AA$4:$AA$138,0),1)</f>
        <v>Peninsula Light Company</v>
      </c>
      <c r="I58" s="121">
        <f>+INDEX(Charges_NonSlice!$Z$4:$Z$138,MATCH($A58,Charges_NonSlice!$AA$4:$AA$138,0),1)</f>
        <v>5.0659768698291252E-2</v>
      </c>
      <c r="J58" s="172">
        <f>+INDEX(Charges_NonSlice!$Y$4:$Y$138,MATCH($A58,Charges_NonSlice!$AA$4:$AA$138,0),1)</f>
        <v>39.542610802601295</v>
      </c>
      <c r="K58" s="396">
        <f>+INDEX(Charges_NonSlice!$X$4:$X$138,MATCH($A58,Charges_NonSlice!$AA$4:$AA$138,0),1)/1000</f>
        <v>589.20572359598941</v>
      </c>
      <c r="L58" s="131">
        <f>+SUM(K$5:K58)</f>
        <v>24220.217356813293</v>
      </c>
      <c r="N58" s="397" t="str">
        <f ca="1">+INDEX('Charges_NonSlice &amp; Excl LS'!$C$4:$C$138,MATCH($A58,'Charges_NonSlice &amp; Excl LS'!$AA$4:$AA$138,0),1)</f>
        <v>Central Lincoln PUD</v>
      </c>
      <c r="O58" s="121">
        <f ca="1">+INDEX('Charges_NonSlice &amp; Excl LS'!$Z$4:$Z$138,MATCH($A58,'Charges_NonSlice &amp; Excl LS'!$AA$4:$AA$138,0),1)</f>
        <v>4.4101384501228198E-2</v>
      </c>
      <c r="P58" s="172">
        <f ca="1">+INDEX('Charges_NonSlice &amp; Excl LS'!$Y$4:$Y$138,MATCH($A58,'Charges_NonSlice &amp; Excl LS'!$AA$4:$AA$138,0),1)</f>
        <v>37.258225208384346</v>
      </c>
      <c r="Q58" s="396">
        <f ca="1">+INDEX('Charges_NonSlice &amp; Excl LS'!$X$4:$X$138,MATCH($A58,'Charges_NonSlice &amp; Excl LS'!$AA$4:$AA$138,0),1)/1000</f>
        <v>1339.0860101656558</v>
      </c>
      <c r="R58" s="131">
        <f ca="1">+SUM(Q$5:Q58)</f>
        <v>24711.077144038558</v>
      </c>
      <c r="T58" s="397" t="str">
        <f>+INDEX(Charges_NonSlice!$C$4:$C$138,MATCH($A58,Charges_NonSlice!$AA$4:$AA$138,0),1)</f>
        <v>Peninsula Light Company</v>
      </c>
      <c r="U58" s="121">
        <f t="shared" si="0"/>
        <v>7.317827536306587E-2</v>
      </c>
      <c r="V58" s="172">
        <f>+INDEX(Charges_NonSlice!$Y$4:$Y$138,MATCH($A58,Charges_NonSlice!$AA$4:$AA$138,0),1)</f>
        <v>39.542610802601295</v>
      </c>
      <c r="W58" s="162">
        <f t="shared" si="1"/>
        <v>36.846264698401271</v>
      </c>
      <c r="Y58" s="126" t="s">
        <v>45</v>
      </c>
      <c r="Z58" s="127">
        <v>34.317856889358936</v>
      </c>
    </row>
    <row r="59" spans="1:26">
      <c r="A59">
        <f t="shared" si="2"/>
        <v>55</v>
      </c>
      <c r="B59" s="138" t="str">
        <f>+INDEX('Charges_Including Slice and LS'!$C$4:$C$138,MATCH($A59,'Charges_Including Slice and LS'!$AA$4:$AA$138,0),1)</f>
        <v>Springfield Utility Board</v>
      </c>
      <c r="C59" s="121">
        <f>+INDEX('Charges_Including Slice and LS'!$Z$4:$Z$138,MATCH($A59,'Charges_Including Slice and LS'!$AA$4:$AA$138,0),1)</f>
        <v>4.9389524829965392E-2</v>
      </c>
      <c r="D59" s="107">
        <f>+INDEX('Charges_Including Slice and LS'!$Y$4:$Y$138,MATCH($A59,'Charges_Including Slice and LS'!$AA$4:$AA$138,0),1)</f>
        <v>38.152966574311655</v>
      </c>
      <c r="E59" s="131">
        <f>+INDEX('Charges_Including Slice and LS'!$X$4:$X$138,MATCH($A59,'Charges_Including Slice and LS'!$AA$4:$AA$138,0),1)/1000</f>
        <v>826.83559406287588</v>
      </c>
      <c r="F59" s="131">
        <f>+SUM(E$5:E59)</f>
        <v>16090.491353308364</v>
      </c>
      <c r="H59" s="397" t="str">
        <f>+INDEX(Charges_NonSlice!$C$4:$C$138,MATCH($A59,Charges_NonSlice!$AA$4:$AA$138,0),1)</f>
        <v>Plummer, City of</v>
      </c>
      <c r="I59" s="121">
        <f>+INDEX(Charges_NonSlice!$Z$4:$Z$138,MATCH($A59,Charges_NonSlice!$AA$4:$AA$138,0),1)</f>
        <v>5.0567691797188674E-2</v>
      </c>
      <c r="J59" s="172">
        <f>+INDEX(Charges_NonSlice!$Y$4:$Y$138,MATCH($A59,Charges_NonSlice!$AA$4:$AA$138,0),1)</f>
        <v>38.56401173798659</v>
      </c>
      <c r="K59" s="396">
        <f>+INDEX(Charges_NonSlice!$X$4:$X$138,MATCH($A59,Charges_NonSlice!$AA$4:$AA$138,0),1)/1000</f>
        <v>33.539313496144359</v>
      </c>
      <c r="L59" s="131">
        <f>+SUM(K$5:K59)</f>
        <v>24253.756670309438</v>
      </c>
      <c r="N59" s="397" t="str">
        <f ca="1">+INDEX('Charges_NonSlice &amp; Excl LS'!$C$4:$C$138,MATCH($A59,'Charges_NonSlice &amp; Excl LS'!$AA$4:$AA$138,0),1)</f>
        <v>Midstate Elec Coop</v>
      </c>
      <c r="O59" s="121">
        <f ca="1">+INDEX('Charges_NonSlice &amp; Excl LS'!$Z$4:$Z$138,MATCH($A59,'Charges_NonSlice &amp; Excl LS'!$AA$4:$AA$138,0),1)</f>
        <v>4.4041208396775944E-2</v>
      </c>
      <c r="P59" s="172">
        <f ca="1">+INDEX('Charges_NonSlice &amp; Excl LS'!$Y$4:$Y$138,MATCH($A59,'Charges_NonSlice &amp; Excl LS'!$AA$4:$AA$138,0),1)</f>
        <v>34.79736302373761</v>
      </c>
      <c r="Q59" s="396">
        <f ca="1">+INDEX('Charges_NonSlice &amp; Excl LS'!$X$4:$X$138,MATCH($A59,'Charges_NonSlice &amp; Excl LS'!$AA$4:$AA$138,0),1)/1000</f>
        <v>391.66156279538399</v>
      </c>
      <c r="R59" s="131">
        <f ca="1">+SUM(Q$5:Q59)</f>
        <v>25102.738706833941</v>
      </c>
      <c r="T59" s="397" t="str">
        <f>+INDEX(Charges_NonSlice!$C$4:$C$138,MATCH($A59,Charges_NonSlice!$AA$4:$AA$138,0),1)</f>
        <v>Plummer, City of</v>
      </c>
      <c r="U59" s="121">
        <f t="shared" si="0"/>
        <v>3.6755609418271495E-2</v>
      </c>
      <c r="V59" s="172">
        <f>+INDEX(Charges_NonSlice!$Y$4:$Y$138,MATCH($A59,Charges_NonSlice!$AA$4:$AA$138,0),1)</f>
        <v>38.56401173798659</v>
      </c>
      <c r="W59" s="162">
        <f t="shared" si="1"/>
        <v>37.196819952220984</v>
      </c>
      <c r="Y59" s="126" t="s">
        <v>78</v>
      </c>
      <c r="Z59" s="127">
        <v>30.336651997277396</v>
      </c>
    </row>
    <row r="60" spans="1:26">
      <c r="A60">
        <f t="shared" si="2"/>
        <v>56</v>
      </c>
      <c r="B60" s="138" t="str">
        <f>+INDEX('Charges_Including Slice and LS'!$C$4:$C$138,MATCH($A60,'Charges_Including Slice and LS'!$AA$4:$AA$138,0),1)</f>
        <v>Wasco Elec Coop</v>
      </c>
      <c r="C60" s="121">
        <f>+INDEX('Charges_Including Slice and LS'!$Z$4:$Z$138,MATCH($A60,'Charges_Including Slice and LS'!$AA$4:$AA$138,0),1)</f>
        <v>4.9276827336409035E-2</v>
      </c>
      <c r="D60" s="107">
        <f>+INDEX('Charges_Including Slice and LS'!$Y$4:$Y$138,MATCH($A60,'Charges_Including Slice and LS'!$AA$4:$AA$138,0),1)</f>
        <v>36.079849504866495</v>
      </c>
      <c r="E60" s="131">
        <f>+INDEX('Charges_Including Slice and LS'!$X$4:$X$138,MATCH($A60,'Charges_Including Slice and LS'!$AA$4:$AA$138,0),1)/1000</f>
        <v>108.18598566780834</v>
      </c>
      <c r="F60" s="131">
        <f>+SUM(E$5:E60)</f>
        <v>16198.677338976171</v>
      </c>
      <c r="H60" s="397" t="str">
        <f>+INDEX(Charges_NonSlice!$C$4:$C$138,MATCH($A60,Charges_NonSlice!$AA$4:$AA$138,0),1)</f>
        <v>Lakeview L &amp; P (WA)</v>
      </c>
      <c r="I60" s="121">
        <f>+INDEX(Charges_NonSlice!$Z$4:$Z$138,MATCH($A60,Charges_NonSlice!$AA$4:$AA$138,0),1)</f>
        <v>5.0285783129084383E-2</v>
      </c>
      <c r="J60" s="172">
        <f>+INDEX(Charges_NonSlice!$Y$4:$Y$138,MATCH($A60,Charges_NonSlice!$AA$4:$AA$138,0),1)</f>
        <v>38.406630427576637</v>
      </c>
      <c r="K60" s="396">
        <f>+INDEX(Charges_NonSlice!$X$4:$X$138,MATCH($A60,Charges_NonSlice!$AA$4:$AA$138,0),1)/1000</f>
        <v>272.40723897421395</v>
      </c>
      <c r="L60" s="131">
        <f>+SUM(K$5:K60)</f>
        <v>24526.163909283652</v>
      </c>
      <c r="N60" s="397" t="str">
        <f ca="1">+INDEX('Charges_NonSlice &amp; Excl LS'!$C$4:$C$138,MATCH($A60,'Charges_NonSlice &amp; Excl LS'!$AA$4:$AA$138,0),1)</f>
        <v>Farmers Elec Coop</v>
      </c>
      <c r="O60" s="121">
        <f ca="1">+INDEX('Charges_NonSlice &amp; Excl LS'!$Z$4:$Z$138,MATCH($A60,'Charges_NonSlice &amp; Excl LS'!$AA$4:$AA$138,0),1)</f>
        <v>4.3982434960579631E-2</v>
      </c>
      <c r="P60" s="172">
        <f ca="1">+INDEX('Charges_NonSlice &amp; Excl LS'!$Y$4:$Y$138,MATCH($A60,'Charges_NonSlice &amp; Excl LS'!$AA$4:$AA$138,0),1)</f>
        <v>38.546336078139511</v>
      </c>
      <c r="Q60" s="396">
        <f ca="1">+INDEX('Charges_NonSlice &amp; Excl LS'!$X$4:$X$138,MATCH($A60,'Charges_NonSlice &amp; Excl LS'!$AA$4:$AA$138,0),1)/1000</f>
        <v>4.374169584024</v>
      </c>
      <c r="R60" s="131">
        <f ca="1">+SUM(Q$5:Q60)</f>
        <v>25107.112876417967</v>
      </c>
      <c r="T60" s="397" t="str">
        <f>+INDEX(Charges_NonSlice!$C$4:$C$138,MATCH($A60,Charges_NonSlice!$AA$4:$AA$138,0),1)</f>
        <v>Lakeview L &amp; P (WA)</v>
      </c>
      <c r="U60" s="121">
        <f t="shared" si="0"/>
        <v>5.9510327506618665E-2</v>
      </c>
      <c r="V60" s="172">
        <f>+INDEX(Charges_NonSlice!$Y$4:$Y$138,MATCH($A60,Charges_NonSlice!$AA$4:$AA$138,0),1)</f>
        <v>38.406630427576637</v>
      </c>
      <c r="W60" s="162">
        <f t="shared" si="1"/>
        <v>36.249415820193327</v>
      </c>
      <c r="Y60" s="126" t="s">
        <v>114</v>
      </c>
      <c r="Z60" s="127">
        <v>36.08217042420214</v>
      </c>
    </row>
    <row r="61" spans="1:26">
      <c r="A61">
        <f t="shared" si="2"/>
        <v>57</v>
      </c>
      <c r="B61" s="138" t="str">
        <f>+INDEX('Charges_Including Slice and LS'!$C$4:$C$138,MATCH($A61,'Charges_Including Slice and LS'!$AA$4:$AA$138,0),1)</f>
        <v>U.S. Naval Submarine Base, Bangor</v>
      </c>
      <c r="C61" s="121">
        <f>+INDEX('Charges_Including Slice and LS'!$Z$4:$Z$138,MATCH($A61,'Charges_Including Slice and LS'!$AA$4:$AA$138,0),1)</f>
        <v>4.9250589154254509E-2</v>
      </c>
      <c r="D61" s="107">
        <f>+INDEX('Charges_Including Slice and LS'!$Y$4:$Y$138,MATCH($A61,'Charges_Including Slice and LS'!$AA$4:$AA$138,0),1)</f>
        <v>37.215500273096843</v>
      </c>
      <c r="E61" s="131">
        <f>+INDEX('Charges_Including Slice and LS'!$X$4:$X$138,MATCH($A61,'Charges_Including Slice and LS'!$AA$4:$AA$138,0),1)/1000</f>
        <v>170.94321448702348</v>
      </c>
      <c r="F61" s="131">
        <f>+SUM(E$5:E61)</f>
        <v>16369.620553463195</v>
      </c>
      <c r="H61" s="397" t="str">
        <f>+INDEX(Charges_NonSlice!$C$4:$C$138,MATCH($A61,Charges_NonSlice!$AA$4:$AA$138,0),1)</f>
        <v>Salem Elec Coop</v>
      </c>
      <c r="I61" s="121">
        <f>+INDEX(Charges_NonSlice!$Z$4:$Z$138,MATCH($A61,Charges_NonSlice!$AA$4:$AA$138,0),1)</f>
        <v>5.0054876932702941E-2</v>
      </c>
      <c r="J61" s="172">
        <f>+INDEX(Charges_NonSlice!$Y$4:$Y$138,MATCH($A61,Charges_NonSlice!$AA$4:$AA$138,0),1)</f>
        <v>38.695088345612653</v>
      </c>
      <c r="K61" s="396">
        <f>+INDEX(Charges_NonSlice!$X$4:$X$138,MATCH($A61,Charges_NonSlice!$AA$4:$AA$138,0),1)/1000</f>
        <v>327.53800677842935</v>
      </c>
      <c r="L61" s="131">
        <f>+SUM(K$5:K61)</f>
        <v>24853.70191606208</v>
      </c>
      <c r="N61" s="397" t="str">
        <f ca="1">+INDEX('Charges_NonSlice &amp; Excl LS'!$C$4:$C$138,MATCH($A61,'Charges_NonSlice &amp; Excl LS'!$AA$4:$AA$138,0),1)</f>
        <v>Centralia, City of</v>
      </c>
      <c r="O61" s="121">
        <f ca="1">+INDEX('Charges_NonSlice &amp; Excl LS'!$Z$4:$Z$138,MATCH($A61,'Charges_NonSlice &amp; Excl LS'!$AA$4:$AA$138,0),1)</f>
        <v>4.3953954023971453E-2</v>
      </c>
      <c r="P61" s="172">
        <f ca="1">+INDEX('Charges_NonSlice &amp; Excl LS'!$Y$4:$Y$138,MATCH($A61,'Charges_NonSlice &amp; Excl LS'!$AA$4:$AA$138,0),1)</f>
        <v>37.676089678269456</v>
      </c>
      <c r="Q61" s="396">
        <f ca="1">+INDEX('Charges_NonSlice &amp; Excl LS'!$X$4:$X$138,MATCH($A61,'Charges_NonSlice &amp; Excl LS'!$AA$4:$AA$138,0),1)/1000</f>
        <v>210.06356267978398</v>
      </c>
      <c r="R61" s="131">
        <f ca="1">+SUM(Q$5:Q61)</f>
        <v>25317.176439097751</v>
      </c>
      <c r="T61" s="397" t="str">
        <f>+INDEX(Charges_NonSlice!$C$4:$C$138,MATCH($A61,Charges_NonSlice!$AA$4:$AA$138,0),1)</f>
        <v>Salem Elec Coop</v>
      </c>
      <c r="U61" s="121">
        <f t="shared" si="0"/>
        <v>5.5422430775696974E-2</v>
      </c>
      <c r="V61" s="172">
        <f>+INDEX(Charges_NonSlice!$Y$4:$Y$138,MATCH($A61,Charges_NonSlice!$AA$4:$AA$138,0),1)</f>
        <v>38.695088345612653</v>
      </c>
      <c r="W61" s="162">
        <f t="shared" si="1"/>
        <v>36.663128636723378</v>
      </c>
      <c r="Y61" s="126" t="s">
        <v>48</v>
      </c>
      <c r="Z61" s="127">
        <v>29.943289454346186</v>
      </c>
    </row>
    <row r="62" spans="1:26">
      <c r="A62">
        <f t="shared" si="2"/>
        <v>58</v>
      </c>
      <c r="B62" s="138" t="str">
        <f>+INDEX('Charges_Including Slice and LS'!$C$4:$C$138,MATCH($A62,'Charges_Including Slice and LS'!$AA$4:$AA$138,0),1)</f>
        <v>Inland P &amp; L</v>
      </c>
      <c r="C62" s="121">
        <f>+INDEX('Charges_Including Slice and LS'!$Z$4:$Z$138,MATCH($A62,'Charges_Including Slice and LS'!$AA$4:$AA$138,0),1)</f>
        <v>4.9197776184108255E-2</v>
      </c>
      <c r="D62" s="107">
        <f>+INDEX('Charges_Including Slice and LS'!$Y$4:$Y$138,MATCH($A62,'Charges_Including Slice and LS'!$AA$4:$AA$138,0),1)</f>
        <v>35.799089669202012</v>
      </c>
      <c r="E62" s="131">
        <f>+INDEX('Charges_Including Slice and LS'!$X$4:$X$138,MATCH($A62,'Charges_Including Slice and LS'!$AA$4:$AA$138,0),1)/1000</f>
        <v>884.22601118998466</v>
      </c>
      <c r="F62" s="131">
        <f>+SUM(E$5:E62)</f>
        <v>17253.84656465318</v>
      </c>
      <c r="H62" s="397" t="str">
        <f>+INDEX(Charges_NonSlice!$C$4:$C$138,MATCH($A62,Charges_NonSlice!$AA$4:$AA$138,0),1)</f>
        <v>Kootenai Electric Coop</v>
      </c>
      <c r="I62" s="121">
        <f>+INDEX(Charges_NonSlice!$Z$4:$Z$138,MATCH($A62,Charges_NonSlice!$AA$4:$AA$138,0),1)</f>
        <v>4.9892829675388883E-2</v>
      </c>
      <c r="J62" s="172">
        <f>+INDEX(Charges_NonSlice!$Y$4:$Y$138,MATCH($A62,Charges_NonSlice!$AA$4:$AA$138,0),1)</f>
        <v>36.312038208695164</v>
      </c>
      <c r="K62" s="396">
        <f>+INDEX(Charges_NonSlice!$X$4:$X$138,MATCH($A62,Charges_NonSlice!$AA$4:$AA$138,0),1)/1000</f>
        <v>439.58175941313186</v>
      </c>
      <c r="L62" s="131">
        <f>+SUM(K$5:K62)</f>
        <v>25293.283675475213</v>
      </c>
      <c r="N62" s="397" t="str">
        <f ca="1">+INDEX('Charges_NonSlice &amp; Excl LS'!$C$4:$C$138,MATCH($A62,'Charges_NonSlice &amp; Excl LS'!$AA$4:$AA$138,0),1)</f>
        <v>Salem Elec Coop</v>
      </c>
      <c r="O62" s="121">
        <f ca="1">+INDEX('Charges_NonSlice &amp; Excl LS'!$Z$4:$Z$138,MATCH($A62,'Charges_NonSlice &amp; Excl LS'!$AA$4:$AA$138,0),1)</f>
        <v>4.3948619573353984E-2</v>
      </c>
      <c r="P62" s="172">
        <f ca="1">+INDEX('Charges_NonSlice &amp; Excl LS'!$Y$4:$Y$138,MATCH($A62,'Charges_NonSlice &amp; Excl LS'!$AA$4:$AA$138,0),1)</f>
        <v>38.111535586235014</v>
      </c>
      <c r="Q62" s="396">
        <f ca="1">+INDEX('Charges_NonSlice &amp; Excl LS'!$X$4:$X$138,MATCH($A62,'Charges_NonSlice &amp; Excl LS'!$AA$4:$AA$138,0),1)/1000</f>
        <v>327.53343819844798</v>
      </c>
      <c r="R62" s="131">
        <f ca="1">+SUM(Q$5:Q62)</f>
        <v>25644.709877296198</v>
      </c>
      <c r="T62" s="397" t="str">
        <f>+INDEX(Charges_NonSlice!$C$4:$C$138,MATCH($A62,Charges_NonSlice!$AA$4:$AA$138,0),1)</f>
        <v>Kootenai Electric Coop</v>
      </c>
      <c r="U62" s="121">
        <f t="shared" si="0"/>
        <v>5.3928184859203698E-2</v>
      </c>
      <c r="V62" s="172">
        <f>+INDEX(Charges_NonSlice!$Y$4:$Y$138,MATCH($A62,Charges_NonSlice!$AA$4:$AA$138,0),1)</f>
        <v>36.312038208695164</v>
      </c>
      <c r="W62" s="162">
        <f t="shared" si="1"/>
        <v>34.453996705236761</v>
      </c>
      <c r="Y62" s="126" t="s">
        <v>80</v>
      </c>
      <c r="Z62" s="127">
        <v>36.249415820193327</v>
      </c>
    </row>
    <row r="63" spans="1:26">
      <c r="A63">
        <f t="shared" si="2"/>
        <v>59</v>
      </c>
      <c r="B63" s="138" t="str">
        <f>+INDEX('Charges_Including Slice and LS'!$C$4:$C$138,MATCH($A63,'Charges_Including Slice and LS'!$AA$4:$AA$138,0),1)</f>
        <v>Emerald PUD</v>
      </c>
      <c r="C63" s="121">
        <f>+INDEX('Charges_Including Slice and LS'!$Z$4:$Z$138,MATCH($A63,'Charges_Including Slice and LS'!$AA$4:$AA$138,0),1)</f>
        <v>4.9041350185698551E-2</v>
      </c>
      <c r="D63" s="107">
        <f>+INDEX('Charges_Including Slice and LS'!$Y$4:$Y$138,MATCH($A63,'Charges_Including Slice and LS'!$AA$4:$AA$138,0),1)</f>
        <v>37.423561443844029</v>
      </c>
      <c r="E63" s="131">
        <f>+INDEX('Charges_Including Slice and LS'!$X$4:$X$138,MATCH($A63,'Charges_Including Slice and LS'!$AA$4:$AA$138,0),1)/1000</f>
        <v>427.92235155025634</v>
      </c>
      <c r="F63" s="131">
        <f>+SUM(E$5:E63)</f>
        <v>17681.768916203437</v>
      </c>
      <c r="H63" s="397" t="str">
        <f>+INDEX(Charges_NonSlice!$C$4:$C$138,MATCH($A63,Charges_NonSlice!$AA$4:$AA$138,0),1)</f>
        <v>Idaho County L &amp; P</v>
      </c>
      <c r="I63" s="121">
        <f>+INDEX(Charges_NonSlice!$Z$4:$Z$138,MATCH($A63,Charges_NonSlice!$AA$4:$AA$138,0),1)</f>
        <v>4.9844720871603965E-2</v>
      </c>
      <c r="J63" s="172">
        <f>+INDEX(Charges_NonSlice!$Y$4:$Y$138,MATCH($A63,Charges_NonSlice!$AA$4:$AA$138,0),1)</f>
        <v>36.29323555046134</v>
      </c>
      <c r="K63" s="396">
        <f>+INDEX(Charges_NonSlice!$X$4:$X$138,MATCH($A63,Charges_NonSlice!$AA$4:$AA$138,0),1)/1000</f>
        <v>53.558639999999997</v>
      </c>
      <c r="L63" s="131">
        <f>+SUM(K$5:K63)</f>
        <v>25346.842315475213</v>
      </c>
      <c r="N63" s="397" t="str">
        <f ca="1">+INDEX('Charges_NonSlice &amp; Excl LS'!$C$4:$C$138,MATCH($A63,'Charges_NonSlice &amp; Excl LS'!$AA$4:$AA$138,0),1)</f>
        <v>Chewelah, City of</v>
      </c>
      <c r="O63" s="121">
        <f ca="1">+INDEX('Charges_NonSlice &amp; Excl LS'!$Z$4:$Z$138,MATCH($A63,'Charges_NonSlice &amp; Excl LS'!$AA$4:$AA$138,0),1)</f>
        <v>4.3882526207966309E-2</v>
      </c>
      <c r="P63" s="172">
        <f ca="1">+INDEX('Charges_NonSlice &amp; Excl LS'!$Y$4:$Y$138,MATCH($A63,'Charges_NonSlice &amp; Excl LS'!$AA$4:$AA$138,0),1)</f>
        <v>37.6084614516936</v>
      </c>
      <c r="Q63" s="396">
        <f ca="1">+INDEX('Charges_NonSlice &amp; Excl LS'!$X$4:$X$138,MATCH($A63,'Charges_NonSlice &amp; Excl LS'!$AA$4:$AA$138,0),1)/1000</f>
        <v>23.081501254223998</v>
      </c>
      <c r="R63" s="131">
        <f ca="1">+SUM(Q$5:Q63)</f>
        <v>25667.791378550421</v>
      </c>
      <c r="T63" s="397" t="str">
        <f>+INDEX(Charges_NonSlice!$C$4:$C$138,MATCH($A63,Charges_NonSlice!$AA$4:$AA$138,0),1)</f>
        <v>Idaho County L &amp; P</v>
      </c>
      <c r="U63" s="121">
        <f t="shared" si="0"/>
        <v>5.7122960183908722E-2</v>
      </c>
      <c r="V63" s="172">
        <f>+INDEX(Charges_NonSlice!$Y$4:$Y$138,MATCH($A63,Charges_NonSlice!$AA$4:$AA$138,0),1)</f>
        <v>36.29323555046134</v>
      </c>
      <c r="W63" s="162">
        <f t="shared" si="1"/>
        <v>34.332085213764884</v>
      </c>
      <c r="Y63" s="126" t="s">
        <v>61</v>
      </c>
      <c r="Z63" s="127">
        <v>36.570790832537625</v>
      </c>
    </row>
    <row r="64" spans="1:26">
      <c r="A64">
        <f t="shared" si="2"/>
        <v>60</v>
      </c>
      <c r="B64" s="138" t="str">
        <f>+INDEX('Charges_Including Slice and LS'!$C$4:$C$138,MATCH($A64,'Charges_Including Slice and LS'!$AA$4:$AA$138,0),1)</f>
        <v>Vera Irrigation District</v>
      </c>
      <c r="C64" s="121">
        <f>+INDEX('Charges_Including Slice and LS'!$Z$4:$Z$138,MATCH($A64,'Charges_Including Slice and LS'!$AA$4:$AA$138,0),1)</f>
        <v>4.8846895560599402E-2</v>
      </c>
      <c r="D64" s="107">
        <f>+INDEX('Charges_Including Slice and LS'!$Y$4:$Y$138,MATCH($A64,'Charges_Including Slice and LS'!$AA$4:$AA$138,0),1)</f>
        <v>38.881756683370241</v>
      </c>
      <c r="E64" s="131">
        <f>+INDEX('Charges_Including Slice and LS'!$X$4:$X$138,MATCH($A64,'Charges_Including Slice and LS'!$AA$4:$AA$138,0),1)/1000</f>
        <v>234.07441141496429</v>
      </c>
      <c r="F64" s="131">
        <f>+SUM(E$5:E64)</f>
        <v>17915.843327618401</v>
      </c>
      <c r="H64" s="397" t="str">
        <f>+INDEX(Charges_NonSlice!$C$4:$C$138,MATCH($A64,Charges_NonSlice!$AA$4:$AA$138,0),1)</f>
        <v>Tanner Elec Coop</v>
      </c>
      <c r="I64" s="121">
        <f>+INDEX(Charges_NonSlice!$Z$4:$Z$138,MATCH($A64,Charges_NonSlice!$AA$4:$AA$138,0),1)</f>
        <v>4.981663136809833E-2</v>
      </c>
      <c r="J64" s="172">
        <f>+INDEX(Charges_NonSlice!$Y$4:$Y$138,MATCH($A64,Charges_NonSlice!$AA$4:$AA$138,0),1)</f>
        <v>38.184379006048957</v>
      </c>
      <c r="K64" s="396">
        <f>+INDEX(Charges_NonSlice!$X$4:$X$138,MATCH($A64,Charges_NonSlice!$AA$4:$AA$138,0),1)/1000</f>
        <v>91.876459387251586</v>
      </c>
      <c r="L64" s="131">
        <f>+SUM(K$5:K64)</f>
        <v>25438.718774862464</v>
      </c>
      <c r="N64" s="397" t="str">
        <f ca="1">+INDEX('Charges_NonSlice &amp; Excl LS'!$C$4:$C$138,MATCH($A64,'Charges_NonSlice &amp; Excl LS'!$AA$4:$AA$138,0),1)</f>
        <v>United Electric Coop</v>
      </c>
      <c r="O64" s="121">
        <f ca="1">+INDEX('Charges_NonSlice &amp; Excl LS'!$Z$4:$Z$138,MATCH($A64,'Charges_NonSlice &amp; Excl LS'!$AA$4:$AA$138,0),1)</f>
        <v>4.3735050130586185E-2</v>
      </c>
      <c r="P64" s="172">
        <f ca="1">+INDEX('Charges_NonSlice &amp; Excl LS'!$Y$4:$Y$138,MATCH($A64,'Charges_NonSlice &amp; Excl LS'!$AA$4:$AA$138,0),1)</f>
        <v>34.378852001463194</v>
      </c>
      <c r="Q64" s="396">
        <f ca="1">+INDEX('Charges_NonSlice &amp; Excl LS'!$X$4:$X$138,MATCH($A64,'Charges_NonSlice &amp; Excl LS'!$AA$4:$AA$138,0),1)/1000</f>
        <v>258.38627339731192</v>
      </c>
      <c r="R64" s="131">
        <f ca="1">+SUM(Q$5:Q64)</f>
        <v>25926.177651947732</v>
      </c>
      <c r="T64" s="397" t="str">
        <f>+INDEX(Charges_NonSlice!$C$4:$C$138,MATCH($A64,Charges_NonSlice!$AA$4:$AA$138,0),1)</f>
        <v>Tanner Elec Coop</v>
      </c>
      <c r="U64" s="121">
        <f t="shared" si="0"/>
        <v>9.1704808537112825E-2</v>
      </c>
      <c r="V64" s="172">
        <f>+INDEX(Charges_NonSlice!$Y$4:$Y$138,MATCH($A64,Charges_NonSlice!$AA$4:$AA$138,0),1)</f>
        <v>38.184379006048957</v>
      </c>
      <c r="W64" s="162">
        <f t="shared" si="1"/>
        <v>34.97683504501196</v>
      </c>
      <c r="Y64" s="126" t="s">
        <v>88</v>
      </c>
      <c r="Z64" s="127">
        <v>32.730443371089876</v>
      </c>
    </row>
    <row r="65" spans="1:26">
      <c r="A65">
        <f t="shared" si="2"/>
        <v>61</v>
      </c>
      <c r="B65" s="138" t="str">
        <f>+INDEX('Charges_Including Slice and LS'!$C$4:$C$138,MATCH($A65,'Charges_Including Slice and LS'!$AA$4:$AA$138,0),1)</f>
        <v>Midstate Elec Coop</v>
      </c>
      <c r="C65" s="121">
        <f>+INDEX('Charges_Including Slice and LS'!$Z$4:$Z$138,MATCH($A65,'Charges_Including Slice and LS'!$AA$4:$AA$138,0),1)</f>
        <v>4.8621317731773583E-2</v>
      </c>
      <c r="D65" s="107">
        <f>+INDEX('Charges_Including Slice and LS'!$Y$4:$Y$138,MATCH($A65,'Charges_Including Slice and LS'!$AA$4:$AA$138,0),1)</f>
        <v>35.047119113881358</v>
      </c>
      <c r="E65" s="131">
        <f>+INDEX('Charges_Including Slice and LS'!$X$4:$X$138,MATCH($A65,'Charges_Including Slice and LS'!$AA$4:$AA$138,0),1)/1000</f>
        <v>391.65897871400318</v>
      </c>
      <c r="F65" s="131">
        <f>+SUM(E$5:E65)</f>
        <v>18307.502306332404</v>
      </c>
      <c r="H65" s="397" t="str">
        <f>+INDEX(Charges_NonSlice!$C$4:$C$138,MATCH($A65,Charges_NonSlice!$AA$4:$AA$138,0),1)</f>
        <v>Milton, Town of</v>
      </c>
      <c r="I65" s="121">
        <f>+INDEX(Charges_NonSlice!$Z$4:$Z$138,MATCH($A65,Charges_NonSlice!$AA$4:$AA$138,0),1)</f>
        <v>4.9642291876446309E-2</v>
      </c>
      <c r="J65" s="172">
        <f>+INDEX(Charges_NonSlice!$Y$4:$Y$138,MATCH($A65,Charges_NonSlice!$AA$4:$AA$138,0),1)</f>
        <v>38.274892709200444</v>
      </c>
      <c r="K65" s="396">
        <f>+INDEX(Charges_NonSlice!$X$4:$X$138,MATCH($A65,Charges_NonSlice!$AA$4:$AA$138,0),1)/1000</f>
        <v>58.909421935218809</v>
      </c>
      <c r="L65" s="131">
        <f>+SUM(K$5:K65)</f>
        <v>25497.628196797683</v>
      </c>
      <c r="N65" s="397" t="str">
        <f ca="1">+INDEX('Charges_NonSlice &amp; Excl LS'!$C$4:$C$138,MATCH($A65,'Charges_NonSlice &amp; Excl LS'!$AA$4:$AA$138,0),1)</f>
        <v>Clallam County PUD #1</v>
      </c>
      <c r="O65" s="121">
        <f ca="1">+INDEX('Charges_NonSlice &amp; Excl LS'!$Z$4:$Z$138,MATCH($A65,'Charges_NonSlice &amp; Excl LS'!$AA$4:$AA$138,0),1)</f>
        <v>4.36352725279247E-2</v>
      </c>
      <c r="P65" s="172">
        <f ca="1">+INDEX('Charges_NonSlice &amp; Excl LS'!$Y$4:$Y$138,MATCH($A65,'Charges_NonSlice &amp; Excl LS'!$AA$4:$AA$138,0),1)</f>
        <v>37.154517467940146</v>
      </c>
      <c r="Q65" s="396">
        <f ca="1">+INDEX('Charges_NonSlice &amp; Excl LS'!$X$4:$X$138,MATCH($A65,'Charges_NonSlice &amp; Excl LS'!$AA$4:$AA$138,0),1)/1000</f>
        <v>655.316307485832</v>
      </c>
      <c r="R65" s="131">
        <f ca="1">+SUM(Q$5:Q65)</f>
        <v>26581.493959433563</v>
      </c>
      <c r="T65" s="397" t="str">
        <f>+INDEX(Charges_NonSlice!$C$4:$C$138,MATCH($A65,Charges_NonSlice!$AA$4:$AA$138,0),1)</f>
        <v>Milton, Town of</v>
      </c>
      <c r="U65" s="121">
        <f t="shared" si="0"/>
        <v>5.2199862674715103E-2</v>
      </c>
      <c r="V65" s="172">
        <f>+INDEX(Charges_NonSlice!$Y$4:$Y$138,MATCH($A65,Charges_NonSlice!$AA$4:$AA$138,0),1)</f>
        <v>38.274892709200444</v>
      </c>
      <c r="W65" s="162">
        <f t="shared" si="1"/>
        <v>36.376067006799289</v>
      </c>
      <c r="Y65" s="126" t="s">
        <v>79</v>
      </c>
      <c r="Z65" s="127">
        <v>34.453996705236761</v>
      </c>
    </row>
    <row r="66" spans="1:26">
      <c r="A66">
        <f t="shared" si="2"/>
        <v>62</v>
      </c>
      <c r="B66" s="138" t="str">
        <f>+INDEX('Charges_Including Slice and LS'!$C$4:$C$138,MATCH($A66,'Charges_Including Slice and LS'!$AA$4:$AA$138,0),1)</f>
        <v>Glacier Elec  Coop</v>
      </c>
      <c r="C66" s="121">
        <f>+INDEX('Charges_Including Slice and LS'!$Z$4:$Z$138,MATCH($A66,'Charges_Including Slice and LS'!$AA$4:$AA$138,0),1)</f>
        <v>4.860896710799345E-2</v>
      </c>
      <c r="D66" s="107">
        <f>+INDEX('Charges_Including Slice and LS'!$Y$4:$Y$138,MATCH($A66,'Charges_Including Slice and LS'!$AA$4:$AA$138,0),1)</f>
        <v>35.796975037397715</v>
      </c>
      <c r="E66" s="131">
        <f>+INDEX('Charges_Including Slice and LS'!$X$4:$X$138,MATCH($A66,'Charges_Including Slice and LS'!$AA$4:$AA$138,0),1)/1000</f>
        <v>160.53999934217416</v>
      </c>
      <c r="F66" s="131">
        <f>+SUM(E$5:E66)</f>
        <v>18468.042305674579</v>
      </c>
      <c r="H66" s="397" t="str">
        <f>+INDEX(Charges_NonSlice!$C$4:$C$138,MATCH($A66,Charges_NonSlice!$AA$4:$AA$138,0),1)</f>
        <v>Central Lincoln PUD</v>
      </c>
      <c r="I66" s="121">
        <f>+INDEX(Charges_NonSlice!$Z$4:$Z$138,MATCH($A66,Charges_NonSlice!$AA$4:$AA$138,0),1)</f>
        <v>4.9537912739837209E-2</v>
      </c>
      <c r="J66" s="172">
        <f>+INDEX(Charges_NonSlice!$Y$4:$Y$138,MATCH($A66,Charges_NonSlice!$AA$4:$AA$138,0),1)</f>
        <v>37.553125586624091</v>
      </c>
      <c r="K66" s="396">
        <f>+INDEX(Charges_NonSlice!$X$4:$X$138,MATCH($A66,Charges_NonSlice!$AA$4:$AA$138,0),1)/1000</f>
        <v>1343.9002575361058</v>
      </c>
      <c r="L66" s="131">
        <f>+SUM(K$5:K66)</f>
        <v>26841.528454333788</v>
      </c>
      <c r="N66" s="397" t="str">
        <f ca="1">+INDEX('Charges_NonSlice &amp; Excl LS'!$C$4:$C$138,MATCH($A66,'Charges_NonSlice &amp; Excl LS'!$AA$4:$AA$138,0),1)</f>
        <v>Steilacoom, Town of</v>
      </c>
      <c r="O66" s="121">
        <f ca="1">+INDEX('Charges_NonSlice &amp; Excl LS'!$Z$4:$Z$138,MATCH($A66,'Charges_NonSlice &amp; Excl LS'!$AA$4:$AA$138,0),1)</f>
        <v>4.3589641946689128E-2</v>
      </c>
      <c r="P66" s="172">
        <f ca="1">+INDEX('Charges_NonSlice &amp; Excl LS'!$Y$4:$Y$138,MATCH($A66,'Charges_NonSlice &amp; Excl LS'!$AA$4:$AA$138,0),1)</f>
        <v>39.060126109840049</v>
      </c>
      <c r="Q66" s="396">
        <f ca="1">+INDEX('Charges_NonSlice &amp; Excl LS'!$X$4:$X$138,MATCH($A66,'Charges_NonSlice &amp; Excl LS'!$AA$4:$AA$138,0),1)/1000</f>
        <v>41.180464414824002</v>
      </c>
      <c r="R66" s="131">
        <f ca="1">+SUM(Q$5:Q66)</f>
        <v>26622.674423848388</v>
      </c>
      <c r="T66" s="397" t="str">
        <f>+INDEX(Charges_NonSlice!$C$4:$C$138,MATCH($A66,Charges_NonSlice!$AA$4:$AA$138,0),1)</f>
        <v>Central Lincoln PUD</v>
      </c>
      <c r="U66" s="121">
        <f t="shared" si="0"/>
        <v>5.18846237520727E-2</v>
      </c>
      <c r="V66" s="172">
        <f>+INDEX(Charges_NonSlice!$Y$4:$Y$138,MATCH($A66,Charges_NonSlice!$AA$4:$AA$138,0),1)</f>
        <v>37.553125586624091</v>
      </c>
      <c r="W66" s="162">
        <f t="shared" si="1"/>
        <v>35.700802862458509</v>
      </c>
      <c r="Y66" s="126" t="s">
        <v>118</v>
      </c>
      <c r="Z66" s="127">
        <v>36.243077973649982</v>
      </c>
    </row>
    <row r="67" spans="1:26">
      <c r="A67">
        <f t="shared" si="2"/>
        <v>63</v>
      </c>
      <c r="B67" s="138" t="str">
        <f>+INDEX('Charges_Including Slice and LS'!$C$4:$C$138,MATCH($A67,'Charges_Including Slice and LS'!$AA$4:$AA$138,0),1)</f>
        <v>Lewis County PUD #1</v>
      </c>
      <c r="C67" s="121">
        <f>+INDEX('Charges_Including Slice and LS'!$Z$4:$Z$138,MATCH($A67,'Charges_Including Slice and LS'!$AA$4:$AA$138,0),1)</f>
        <v>4.8367421270526068E-2</v>
      </c>
      <c r="D67" s="107">
        <f>+INDEX('Charges_Including Slice and LS'!$Y$4:$Y$138,MATCH($A67,'Charges_Including Slice and LS'!$AA$4:$AA$138,0),1)</f>
        <v>37.858285727770422</v>
      </c>
      <c r="E67" s="131">
        <f>+INDEX('Charges_Including Slice and LS'!$X$4:$X$138,MATCH($A67,'Charges_Including Slice and LS'!$AA$4:$AA$138,0),1)/1000</f>
        <v>944.21414306816064</v>
      </c>
      <c r="F67" s="131">
        <f>+SUM(E$5:E67)</f>
        <v>19412.256448742741</v>
      </c>
      <c r="H67" s="397" t="str">
        <f>+INDEX(Charges_NonSlice!$C$4:$C$138,MATCH($A67,Charges_NonSlice!$AA$4:$AA$138,0),1)</f>
        <v>Drain, City of</v>
      </c>
      <c r="I67" s="121">
        <f>+INDEX(Charges_NonSlice!$Z$4:$Z$138,MATCH($A67,Charges_NonSlice!$AA$4:$AA$138,0),1)</f>
        <v>4.9508385477905259E-2</v>
      </c>
      <c r="J67" s="172">
        <f>+INDEX(Charges_NonSlice!$Y$4:$Y$138,MATCH($A67,Charges_NonSlice!$AA$4:$AA$138,0),1)</f>
        <v>38.063739649978956</v>
      </c>
      <c r="K67" s="396">
        <f>+INDEX(Charges_NonSlice!$X$4:$X$138,MATCH($A67,Charges_NonSlice!$AA$4:$AA$138,0),1)/1000</f>
        <v>16.50384</v>
      </c>
      <c r="L67" s="131">
        <f>+SUM(K$5:K67)</f>
        <v>26858.032294333789</v>
      </c>
      <c r="N67" s="397" t="str">
        <f ca="1">+INDEX('Charges_NonSlice &amp; Excl LS'!$C$4:$C$138,MATCH($A67,'Charges_NonSlice &amp; Excl LS'!$AA$4:$AA$138,0),1)</f>
        <v>Declo, City of</v>
      </c>
      <c r="O67" s="121">
        <f ca="1">+INDEX('Charges_NonSlice &amp; Excl LS'!$Z$4:$Z$138,MATCH($A67,'Charges_NonSlice &amp; Excl LS'!$AA$4:$AA$138,0),1)</f>
        <v>4.3541720381195609E-2</v>
      </c>
      <c r="P67" s="172">
        <f ca="1">+INDEX('Charges_NonSlice &amp; Excl LS'!$Y$4:$Y$138,MATCH($A67,'Charges_NonSlice &amp; Excl LS'!$AA$4:$AA$138,0),1)</f>
        <v>38.284366321338638</v>
      </c>
      <c r="Q67" s="396">
        <f ca="1">+INDEX('Charges_NonSlice &amp; Excl LS'!$X$4:$X$138,MATCH($A67,'Charges_NonSlice &amp; Excl LS'!$AA$4:$AA$138,0),1)/1000</f>
        <v>3.0905120287679999</v>
      </c>
      <c r="R67" s="131">
        <f ca="1">+SUM(Q$5:Q67)</f>
        <v>26625.764935877156</v>
      </c>
      <c r="T67" s="397" t="str">
        <f>+INDEX(Charges_NonSlice!$C$4:$C$138,MATCH($A67,Charges_NonSlice!$AA$4:$AA$138,0),1)</f>
        <v>Drain, City of</v>
      </c>
      <c r="U67" s="121">
        <f t="shared" si="0"/>
        <v>4.5560362198475479E-2</v>
      </c>
      <c r="V67" s="172">
        <f>+INDEX(Charges_NonSlice!$Y$4:$Y$138,MATCH($A67,Charges_NonSlice!$AA$4:$AA$138,0),1)</f>
        <v>38.063739649978956</v>
      </c>
      <c r="W67" s="162">
        <f t="shared" si="1"/>
        <v>36.405109667645789</v>
      </c>
      <c r="Y67" s="126" t="s">
        <v>60</v>
      </c>
      <c r="Z67" s="127">
        <v>32.76593428795384</v>
      </c>
    </row>
    <row r="68" spans="1:26">
      <c r="A68">
        <f t="shared" si="2"/>
        <v>64</v>
      </c>
      <c r="B68" s="138" t="str">
        <f>+INDEX('Charges_Including Slice and LS'!$C$4:$C$138,MATCH($A68,'Charges_Including Slice and LS'!$AA$4:$AA$138,0),1)</f>
        <v>Burley, City of</v>
      </c>
      <c r="C68" s="121">
        <f>+INDEX('Charges_Including Slice and LS'!$Z$4:$Z$138,MATCH($A68,'Charges_Including Slice and LS'!$AA$4:$AA$138,0),1)</f>
        <v>4.8359702080006617E-2</v>
      </c>
      <c r="D68" s="107">
        <f>+INDEX('Charges_Including Slice and LS'!$Y$4:$Y$138,MATCH($A68,'Charges_Including Slice and LS'!$AA$4:$AA$138,0),1)</f>
        <v>38.064756161864146</v>
      </c>
      <c r="E68" s="131">
        <f>+INDEX('Charges_Including Slice and LS'!$X$4:$X$138,MATCH($A68,'Charges_Including Slice and LS'!$AA$4:$AA$138,0),1)/1000</f>
        <v>120.23956776854608</v>
      </c>
      <c r="F68" s="131">
        <f>+SUM(E$5:E68)</f>
        <v>19532.496016511286</v>
      </c>
      <c r="H68" s="397" t="str">
        <f>+INDEX(Charges_NonSlice!$C$4:$C$138,MATCH($A68,Charges_NonSlice!$AA$4:$AA$138,0),1)</f>
        <v>Rupert, City of</v>
      </c>
      <c r="I68" s="121">
        <f>+INDEX(Charges_NonSlice!$Z$4:$Z$138,MATCH($A68,Charges_NonSlice!$AA$4:$AA$138,0),1)</f>
        <v>4.9500477881759153E-2</v>
      </c>
      <c r="J68" s="172">
        <f>+INDEX(Charges_NonSlice!$Y$4:$Y$138,MATCH($A68,Charges_NonSlice!$AA$4:$AA$138,0),1)</f>
        <v>38.923392656178429</v>
      </c>
      <c r="K68" s="396">
        <f>+INDEX(Charges_NonSlice!$X$4:$X$138,MATCH($A68,Charges_NonSlice!$AA$4:$AA$138,0),1)/1000</f>
        <v>81.21396</v>
      </c>
      <c r="L68" s="131">
        <f>+SUM(K$5:K68)</f>
        <v>26939.24625433379</v>
      </c>
      <c r="N68" s="397" t="str">
        <f ca="1">+INDEX('Charges_NonSlice &amp; Excl LS'!$C$4:$C$138,MATCH($A68,'Charges_NonSlice &amp; Excl LS'!$AA$4:$AA$138,0),1)</f>
        <v>U.S. DOE Albany Research Center</v>
      </c>
      <c r="O68" s="121">
        <f ca="1">+INDEX('Charges_NonSlice &amp; Excl LS'!$Z$4:$Z$138,MATCH($A68,'Charges_NonSlice &amp; Excl LS'!$AA$4:$AA$138,0),1)</f>
        <v>4.3286335204630398E-2</v>
      </c>
      <c r="P68" s="172">
        <f ca="1">+INDEX('Charges_NonSlice &amp; Excl LS'!$Y$4:$Y$138,MATCH($A68,'Charges_NonSlice &amp; Excl LS'!$AA$4:$AA$138,0),1)</f>
        <v>38.801110727144938</v>
      </c>
      <c r="Q68" s="396">
        <f ca="1">+INDEX('Charges_NonSlice &amp; Excl LS'!$X$4:$X$138,MATCH($A68,'Charges_NonSlice &amp; Excl LS'!$AA$4:$AA$138,0),1)/1000</f>
        <v>3.9483116273040002</v>
      </c>
      <c r="R68" s="131">
        <f ca="1">+SUM(Q$5:Q68)</f>
        <v>26629.71324750446</v>
      </c>
      <c r="T68" s="397" t="str">
        <f>+INDEX(Charges_NonSlice!$C$4:$C$138,MATCH($A68,Charges_NonSlice!$AA$4:$AA$138,0),1)</f>
        <v>Rupert, City of</v>
      </c>
      <c r="U68" s="121">
        <f t="shared" si="0"/>
        <v>8.3087771514488429E-2</v>
      </c>
      <c r="V68" s="172">
        <f>+INDEX(Charges_NonSlice!$Y$4:$Y$138,MATCH($A68,Charges_NonSlice!$AA$4:$AA$138,0),1)</f>
        <v>38.923392656178429</v>
      </c>
      <c r="W68" s="162">
        <f t="shared" si="1"/>
        <v>35.937431554371265</v>
      </c>
      <c r="Y68" s="126" t="s">
        <v>27</v>
      </c>
      <c r="Z68" s="127">
        <v>36.405109667645789</v>
      </c>
    </row>
    <row r="69" spans="1:26">
      <c r="A69">
        <f t="shared" si="2"/>
        <v>65</v>
      </c>
      <c r="B69" s="138" t="str">
        <f>+INDEX('Charges_Including Slice and LS'!$C$4:$C$138,MATCH($A69,'Charges_Including Slice and LS'!$AA$4:$AA$138,0),1)</f>
        <v>Columbia Power Coop</v>
      </c>
      <c r="C69" s="121">
        <f>+INDEX('Charges_Including Slice and LS'!$Z$4:$Z$138,MATCH($A69,'Charges_Including Slice and LS'!$AA$4:$AA$138,0),1)</f>
        <v>4.8189283131027327E-2</v>
      </c>
      <c r="D69" s="107">
        <f>+INDEX('Charges_Including Slice and LS'!$Y$4:$Y$138,MATCH($A69,'Charges_Including Slice and LS'!$AA$4:$AA$138,0),1)</f>
        <v>34.122231499634431</v>
      </c>
      <c r="E69" s="131">
        <f>+INDEX('Charges_Including Slice and LS'!$X$4:$X$138,MATCH($A69,'Charges_Including Slice and LS'!$AA$4:$AA$138,0),1)/1000</f>
        <v>26.614397377034212</v>
      </c>
      <c r="F69" s="131">
        <f>+SUM(E$5:E69)</f>
        <v>19559.11041388832</v>
      </c>
      <c r="H69" s="397" t="str">
        <f>+INDEX(Charges_NonSlice!$C$4:$C$138,MATCH($A69,Charges_NonSlice!$AA$4:$AA$138,0),1)</f>
        <v>Weiser, City of</v>
      </c>
      <c r="I69" s="121">
        <f>+INDEX(Charges_NonSlice!$Z$4:$Z$138,MATCH($A69,Charges_NonSlice!$AA$4:$AA$138,0),1)</f>
        <v>4.9466121064649871E-2</v>
      </c>
      <c r="J69" s="172">
        <f>+INDEX(Charges_NonSlice!$Y$4:$Y$138,MATCH($A69,Charges_NonSlice!$AA$4:$AA$138,0),1)</f>
        <v>37.355653012104426</v>
      </c>
      <c r="K69" s="396">
        <f>+INDEX(Charges_NonSlice!$X$4:$X$138,MATCH($A69,Charges_NonSlice!$AA$4:$AA$138,0),1)/1000</f>
        <v>54.548520000000003</v>
      </c>
      <c r="L69" s="131">
        <f>+SUM(K$5:K69)</f>
        <v>26993.79477433379</v>
      </c>
      <c r="N69" s="397" t="str">
        <f ca="1">+INDEX('Charges_NonSlice &amp; Excl LS'!$C$4:$C$138,MATCH($A69,'Charges_NonSlice &amp; Excl LS'!$AA$4:$AA$138,0),1)</f>
        <v>Blaine, City of</v>
      </c>
      <c r="O69" s="121">
        <f ca="1">+INDEX('Charges_NonSlice &amp; Excl LS'!$Z$4:$Z$138,MATCH($A69,'Charges_NonSlice &amp; Excl LS'!$AA$4:$AA$138,0),1)</f>
        <v>4.3100317518482714E-2</v>
      </c>
      <c r="P69" s="172">
        <f ca="1">+INDEX('Charges_NonSlice &amp; Excl LS'!$Y$4:$Y$138,MATCH($A69,'Charges_NonSlice &amp; Excl LS'!$AA$4:$AA$138,0),1)</f>
        <v>37.593384949472004</v>
      </c>
      <c r="Q69" s="396">
        <f ca="1">+INDEX('Charges_NonSlice &amp; Excl LS'!$X$4:$X$138,MATCH($A69,'Charges_NonSlice &amp; Excl LS'!$AA$4:$AA$138,0),1)/1000</f>
        <v>75.38902570963198</v>
      </c>
      <c r="R69" s="131">
        <f ca="1">+SUM(Q$5:Q69)</f>
        <v>26705.102273214092</v>
      </c>
      <c r="T69" s="397" t="str">
        <f>+INDEX(Charges_NonSlice!$C$4:$C$138,MATCH($A69,Charges_NonSlice!$AA$4:$AA$138,0),1)</f>
        <v>Weiser, City of</v>
      </c>
      <c r="U69" s="121">
        <f t="shared" si="0"/>
        <v>5.4124896725946225E-2</v>
      </c>
      <c r="V69" s="172">
        <f>+INDEX(Charges_NonSlice!$Y$4:$Y$138,MATCH($A69,Charges_NonSlice!$AA$4:$AA$138,0),1)</f>
        <v>37.355653012104426</v>
      </c>
      <c r="W69" s="162">
        <f t="shared" ref="W69:W122" si="3">+VLOOKUP(T69,Y:Z,2,FALSE)</f>
        <v>35.437596747908167</v>
      </c>
      <c r="Y69" s="126" t="s">
        <v>33</v>
      </c>
      <c r="Z69" s="127">
        <v>36.376067006799289</v>
      </c>
    </row>
    <row r="70" spans="1:26">
      <c r="A70">
        <f t="shared" si="2"/>
        <v>66</v>
      </c>
      <c r="B70" s="138" t="str">
        <f>+INDEX('Charges_Including Slice and LS'!$C$4:$C$138,MATCH($A70,'Charges_Including Slice and LS'!$AA$4:$AA$138,0),1)</f>
        <v>Pacific County PUD #2</v>
      </c>
      <c r="C70" s="121">
        <f>+INDEX('Charges_Including Slice and LS'!$Z$4:$Z$138,MATCH($A70,'Charges_Including Slice and LS'!$AA$4:$AA$138,0),1)</f>
        <v>4.8113098464468207E-2</v>
      </c>
      <c r="D70" s="107">
        <f>+INDEX('Charges_Including Slice and LS'!$Y$4:$Y$138,MATCH($A70,'Charges_Including Slice and LS'!$AA$4:$AA$138,0),1)</f>
        <v>39.656058668457653</v>
      </c>
      <c r="E70" s="131">
        <f>+INDEX('Charges_Including Slice and LS'!$X$4:$X$138,MATCH($A70,'Charges_Including Slice and LS'!$AA$4:$AA$138,0),1)/1000</f>
        <v>298.29074577641353</v>
      </c>
      <c r="F70" s="131">
        <f>+SUM(E$5:E70)</f>
        <v>19857.401159664732</v>
      </c>
      <c r="H70" s="397" t="str">
        <f>+INDEX(Charges_NonSlice!$C$4:$C$138,MATCH($A70,Charges_NonSlice!$AA$4:$AA$138,0),1)</f>
        <v>Blaine, City of</v>
      </c>
      <c r="I70" s="121">
        <f>+INDEX(Charges_NonSlice!$Z$4:$Z$138,MATCH($A70,Charges_NonSlice!$AA$4:$AA$138,0),1)</f>
        <v>4.9464773453938626E-2</v>
      </c>
      <c r="J70" s="172">
        <f>+INDEX(Charges_NonSlice!$Y$4:$Y$138,MATCH($A70,Charges_NonSlice!$AA$4:$AA$138,0),1)</f>
        <v>38.019623023156889</v>
      </c>
      <c r="K70" s="396">
        <f>+INDEX(Charges_NonSlice!$X$4:$X$138,MATCH($A70,Charges_NonSlice!$AA$4:$AA$138,0),1)/1000</f>
        <v>75.388559999999998</v>
      </c>
      <c r="L70" s="131">
        <f>+SUM(K$5:K70)</f>
        <v>27069.183334333789</v>
      </c>
      <c r="N70" s="397" t="str">
        <f ca="1">+INDEX('Charges_NonSlice &amp; Excl LS'!$C$4:$C$138,MATCH($A70,'Charges_NonSlice &amp; Excl LS'!$AA$4:$AA$138,0),1)</f>
        <v>Plummer, City of</v>
      </c>
      <c r="O70" s="121">
        <f ca="1">+INDEX('Charges_NonSlice &amp; Excl LS'!$Z$4:$Z$138,MATCH($A70,'Charges_NonSlice &amp; Excl LS'!$AA$4:$AA$138,0),1)</f>
        <v>4.3038431263584059E-2</v>
      </c>
      <c r="P70" s="172">
        <f ca="1">+INDEX('Charges_NonSlice &amp; Excl LS'!$Y$4:$Y$138,MATCH($A70,'Charges_NonSlice &amp; Excl LS'!$AA$4:$AA$138,0),1)</f>
        <v>37.995620279960271</v>
      </c>
      <c r="Q70" s="396">
        <f ca="1">+INDEX('Charges_NonSlice &amp; Excl LS'!$X$4:$X$138,MATCH($A70,'Charges_NonSlice &amp; Excl LS'!$AA$4:$AA$138,0),1)/1000</f>
        <v>34.007799686639999</v>
      </c>
      <c r="R70" s="131">
        <f ca="1">+SUM(Q$5:Q70)</f>
        <v>26739.11007290073</v>
      </c>
      <c r="T70" s="397" t="str">
        <f>+INDEX(Charges_NonSlice!$C$4:$C$138,MATCH($A70,Charges_NonSlice!$AA$4:$AA$138,0),1)</f>
        <v>Blaine, City of</v>
      </c>
      <c r="U70" s="121">
        <f t="shared" ref="U70:U122" si="4">+V70/W70-1</f>
        <v>6.9842564741644075E-2</v>
      </c>
      <c r="V70" s="172">
        <f>+INDEX(Charges_NonSlice!$Y$4:$Y$138,MATCH($A70,Charges_NonSlice!$AA$4:$AA$138,0),1)</f>
        <v>38.019623023156889</v>
      </c>
      <c r="W70" s="162">
        <f t="shared" si="3"/>
        <v>35.537586815250926</v>
      </c>
      <c r="Y70" s="126" t="s">
        <v>37</v>
      </c>
      <c r="Z70" s="127">
        <v>37.196819952220984</v>
      </c>
    </row>
    <row r="71" spans="1:26">
      <c r="A71">
        <f t="shared" ref="A71:A122" si="5">+A70+1</f>
        <v>67</v>
      </c>
      <c r="B71" s="138" t="str">
        <f>+INDEX('Charges_Including Slice and LS'!$C$4:$C$138,MATCH($A71,'Charges_Including Slice and LS'!$AA$4:$AA$138,0),1)</f>
        <v>Modern Elec Coop</v>
      </c>
      <c r="C71" s="121">
        <f>+INDEX('Charges_Including Slice and LS'!$Z$4:$Z$138,MATCH($A71,'Charges_Including Slice and LS'!$AA$4:$AA$138,0),1)</f>
        <v>4.8044175430222102E-2</v>
      </c>
      <c r="D71" s="107">
        <f>+INDEX('Charges_Including Slice and LS'!$Y$4:$Y$138,MATCH($A71,'Charges_Including Slice and LS'!$AA$4:$AA$138,0),1)</f>
        <v>38.410522710033575</v>
      </c>
      <c r="E71" s="131">
        <f>+INDEX('Charges_Including Slice and LS'!$X$4:$X$138,MATCH($A71,'Charges_Including Slice and LS'!$AA$4:$AA$138,0),1)/1000</f>
        <v>226.55987999999999</v>
      </c>
      <c r="F71" s="131">
        <f>+SUM(E$5:E71)</f>
        <v>20083.961039664733</v>
      </c>
      <c r="H71" s="397" t="str">
        <f>+INDEX(Charges_NonSlice!$C$4:$C$138,MATCH($A71,Charges_NonSlice!$AA$4:$AA$138,0),1)</f>
        <v>Springfield Utility Board</v>
      </c>
      <c r="I71" s="121">
        <f>+INDEX(Charges_NonSlice!$Z$4:$Z$138,MATCH($A71,Charges_NonSlice!$AA$4:$AA$138,0),1)</f>
        <v>4.9389524829965392E-2</v>
      </c>
      <c r="J71" s="172">
        <f>+INDEX(Charges_NonSlice!$Y$4:$Y$138,MATCH($A71,Charges_NonSlice!$AA$4:$AA$138,0),1)</f>
        <v>38.152966574311655</v>
      </c>
      <c r="K71" s="396">
        <f>+INDEX(Charges_NonSlice!$X$4:$X$138,MATCH($A71,Charges_NonSlice!$AA$4:$AA$138,0),1)/1000</f>
        <v>826.83559406287588</v>
      </c>
      <c r="L71" s="131">
        <f>+SUM(K$5:K71)</f>
        <v>27896.018928396665</v>
      </c>
      <c r="N71" s="397" t="str">
        <f ca="1">+INDEX('Charges_NonSlice &amp; Excl LS'!$C$4:$C$138,MATCH($A71,'Charges_NonSlice &amp; Excl LS'!$AA$4:$AA$138,0),1)</f>
        <v>Weiser, City of</v>
      </c>
      <c r="O71" s="121">
        <f ca="1">+INDEX('Charges_NonSlice &amp; Excl LS'!$Z$4:$Z$138,MATCH($A71,'Charges_NonSlice &amp; Excl LS'!$AA$4:$AA$138,0),1)</f>
        <v>4.3006866483401539E-2</v>
      </c>
      <c r="P71" s="172">
        <f ca="1">+INDEX('Charges_NonSlice &amp; Excl LS'!$Y$4:$Y$138,MATCH($A71,'Charges_NonSlice &amp; Excl LS'!$AA$4:$AA$138,0),1)</f>
        <v>36.721048243403089</v>
      </c>
      <c r="Q71" s="396">
        <f ca="1">+INDEX('Charges_NonSlice &amp; Excl LS'!$X$4:$X$138,MATCH($A71,'Charges_NonSlice &amp; Excl LS'!$AA$4:$AA$138,0),1)/1000</f>
        <v>54.546320570735993</v>
      </c>
      <c r="R71" s="131">
        <f ca="1">+SUM(Q$5:Q71)</f>
        <v>26793.656393471465</v>
      </c>
      <c r="T71" s="397" t="str">
        <f>+INDEX(Charges_NonSlice!$C$4:$C$138,MATCH($A71,Charges_NonSlice!$AA$4:$AA$138,0),1)</f>
        <v>Springfield Utility Board</v>
      </c>
      <c r="U71" s="121">
        <f t="shared" si="4"/>
        <v>5.7391119374585298E-2</v>
      </c>
      <c r="V71" s="172">
        <f>+INDEX(Charges_NonSlice!$Y$4:$Y$138,MATCH($A71,Charges_NonSlice!$AA$4:$AA$138,0),1)</f>
        <v>38.152966574311655</v>
      </c>
      <c r="W71" s="162">
        <f t="shared" si="3"/>
        <v>36.08217042420214</v>
      </c>
      <c r="Y71" s="126" t="s">
        <v>126</v>
      </c>
      <c r="Z71" s="127">
        <v>35.967852554928356</v>
      </c>
    </row>
    <row r="72" spans="1:26">
      <c r="A72">
        <f t="shared" si="5"/>
        <v>68</v>
      </c>
      <c r="B72" s="138" t="str">
        <f>+INDEX('Charges_Including Slice and LS'!$C$4:$C$138,MATCH($A72,'Charges_Including Slice and LS'!$AA$4:$AA$138,0),1)</f>
        <v>Richland, City of</v>
      </c>
      <c r="C72" s="121">
        <f>+INDEX('Charges_Including Slice and LS'!$Z$4:$Z$138,MATCH($A72,'Charges_Including Slice and LS'!$AA$4:$AA$138,0),1)</f>
        <v>4.8012717667834437E-2</v>
      </c>
      <c r="D72" s="107">
        <f>+INDEX('Charges_Including Slice and LS'!$Y$4:$Y$138,MATCH($A72,'Charges_Including Slice and LS'!$AA$4:$AA$138,0),1)</f>
        <v>38.335335104096998</v>
      </c>
      <c r="E72" s="131">
        <f>+INDEX('Charges_Including Slice and LS'!$X$4:$X$138,MATCH($A72,'Charges_Including Slice and LS'!$AA$4:$AA$138,0),1)/1000</f>
        <v>892.55306805995747</v>
      </c>
      <c r="F72" s="131">
        <f>+SUM(E$5:E72)</f>
        <v>20976.514107724692</v>
      </c>
      <c r="H72" s="397" t="str">
        <f>+INDEX(Charges_NonSlice!$C$4:$C$138,MATCH($A72,Charges_NonSlice!$AA$4:$AA$138,0),1)</f>
        <v>Wasco Elec Coop</v>
      </c>
      <c r="I72" s="121">
        <f>+INDEX(Charges_NonSlice!$Z$4:$Z$138,MATCH($A72,Charges_NonSlice!$AA$4:$AA$138,0),1)</f>
        <v>4.9276827336409035E-2</v>
      </c>
      <c r="J72" s="172">
        <f>+INDEX(Charges_NonSlice!$Y$4:$Y$138,MATCH($A72,Charges_NonSlice!$AA$4:$AA$138,0),1)</f>
        <v>36.079849504866495</v>
      </c>
      <c r="K72" s="396">
        <f>+INDEX(Charges_NonSlice!$X$4:$X$138,MATCH($A72,Charges_NonSlice!$AA$4:$AA$138,0),1)/1000</f>
        <v>108.18598566780834</v>
      </c>
      <c r="L72" s="131">
        <f>+SUM(K$5:K72)</f>
        <v>28004.204914064474</v>
      </c>
      <c r="N72" s="397" t="str">
        <f ca="1">+INDEX('Charges_NonSlice &amp; Excl LS'!$C$4:$C$138,MATCH($A72,'Charges_NonSlice &amp; Excl LS'!$AA$4:$AA$138,0),1)</f>
        <v>Oregon Trail Coop</v>
      </c>
      <c r="O72" s="121">
        <f ca="1">+INDEX('Charges_NonSlice &amp; Excl LS'!$Z$4:$Z$138,MATCH($A72,'Charges_NonSlice &amp; Excl LS'!$AA$4:$AA$138,0),1)</f>
        <v>4.2975073610992232E-2</v>
      </c>
      <c r="P72" s="172">
        <f ca="1">+INDEX('Charges_NonSlice &amp; Excl LS'!$Y$4:$Y$138,MATCH($A72,'Charges_NonSlice &amp; Excl LS'!$AA$4:$AA$138,0),1)</f>
        <v>35.588169110766387</v>
      </c>
      <c r="Q72" s="396">
        <f ca="1">+INDEX('Charges_NonSlice &amp; Excl LS'!$X$4:$X$138,MATCH($A72,'Charges_NonSlice &amp; Excl LS'!$AA$4:$AA$138,0),1)/1000</f>
        <v>678.09362448525599</v>
      </c>
      <c r="R72" s="131">
        <f ca="1">+SUM(Q$5:Q72)</f>
        <v>27471.750017956721</v>
      </c>
      <c r="T72" s="397" t="str">
        <f>+INDEX(Charges_NonSlice!$C$4:$C$138,MATCH($A72,Charges_NonSlice!$AA$4:$AA$138,0),1)</f>
        <v>Wasco Elec Coop</v>
      </c>
      <c r="U72" s="121">
        <f t="shared" si="4"/>
        <v>1.980630679692541E-2</v>
      </c>
      <c r="V72" s="172">
        <f>+INDEX(Charges_NonSlice!$Y$4:$Y$138,MATCH($A72,Charges_NonSlice!$AA$4:$AA$138,0),1)</f>
        <v>36.079849504866495</v>
      </c>
      <c r="W72" s="162">
        <f t="shared" si="3"/>
        <v>35.379119803826725</v>
      </c>
      <c r="Y72" s="126" t="s">
        <v>18</v>
      </c>
      <c r="Z72" s="127">
        <v>36.63024608723633</v>
      </c>
    </row>
    <row r="73" spans="1:26">
      <c r="A73">
        <f t="shared" si="5"/>
        <v>69</v>
      </c>
      <c r="B73" s="138" t="str">
        <f>+INDEX('Charges_Including Slice and LS'!$C$4:$C$138,MATCH($A73,'Charges_Including Slice and LS'!$AA$4:$AA$138,0),1)</f>
        <v>Forest Grove, City of</v>
      </c>
      <c r="C73" s="121">
        <f>+INDEX('Charges_Including Slice and LS'!$Z$4:$Z$138,MATCH($A73,'Charges_Including Slice and LS'!$AA$4:$AA$138,0),1)</f>
        <v>4.7821128830615844E-2</v>
      </c>
      <c r="D73" s="107">
        <f>+INDEX('Charges_Including Slice and LS'!$Y$4:$Y$138,MATCH($A73,'Charges_Including Slice and LS'!$AA$4:$AA$138,0),1)</f>
        <v>39.460916853791353</v>
      </c>
      <c r="E73" s="131">
        <f>+INDEX('Charges_Including Slice and LS'!$X$4:$X$138,MATCH($A73,'Charges_Including Slice and LS'!$AA$4:$AA$138,0),1)/1000</f>
        <v>229.98504</v>
      </c>
      <c r="F73" s="131">
        <f>+SUM(E$5:E73)</f>
        <v>21206.499147724691</v>
      </c>
      <c r="H73" s="397" t="str">
        <f>+INDEX(Charges_NonSlice!$C$4:$C$138,MATCH($A73,Charges_NonSlice!$AA$4:$AA$138,0),1)</f>
        <v>U.S. Naval Submarine Base, Bangor</v>
      </c>
      <c r="I73" s="121">
        <f>+INDEX(Charges_NonSlice!$Z$4:$Z$138,MATCH($A73,Charges_NonSlice!$AA$4:$AA$138,0),1)</f>
        <v>4.9250589154254509E-2</v>
      </c>
      <c r="J73" s="172">
        <f>+INDEX(Charges_NonSlice!$Y$4:$Y$138,MATCH($A73,Charges_NonSlice!$AA$4:$AA$138,0),1)</f>
        <v>37.215500273096843</v>
      </c>
      <c r="K73" s="396">
        <f>+INDEX(Charges_NonSlice!$X$4:$X$138,MATCH($A73,Charges_NonSlice!$AA$4:$AA$138,0),1)/1000</f>
        <v>170.94321448702348</v>
      </c>
      <c r="L73" s="131">
        <f>+SUM(K$5:K73)</f>
        <v>28175.148128551496</v>
      </c>
      <c r="N73" s="397" t="str">
        <f ca="1">+INDEX('Charges_NonSlice &amp; Excl LS'!$C$4:$C$138,MATCH($A73,'Charges_NonSlice &amp; Excl LS'!$AA$4:$AA$138,0),1)</f>
        <v>U.S. Airforce Base, Fairchild</v>
      </c>
      <c r="O73" s="121">
        <f ca="1">+INDEX('Charges_NonSlice &amp; Excl LS'!$Z$4:$Z$138,MATCH($A73,'Charges_NonSlice &amp; Excl LS'!$AA$4:$AA$138,0),1)</f>
        <v>4.2863133028096814E-2</v>
      </c>
      <c r="P73" s="172">
        <f ca="1">+INDEX('Charges_NonSlice &amp; Excl LS'!$Y$4:$Y$138,MATCH($A73,'Charges_NonSlice &amp; Excl LS'!$AA$4:$AA$138,0),1)</f>
        <v>38.242295856900114</v>
      </c>
      <c r="Q73" s="396">
        <f ca="1">+INDEX('Charges_NonSlice &amp; Excl LS'!$X$4:$X$138,MATCH($A73,'Charges_NonSlice &amp; Excl LS'!$AA$4:$AA$138,0),1)/1000</f>
        <v>48.383547568487991</v>
      </c>
      <c r="R73" s="131">
        <f ca="1">+SUM(Q$5:Q73)</f>
        <v>27520.133565525208</v>
      </c>
      <c r="T73" s="397" t="str">
        <f>+INDEX(Charges_NonSlice!$C$4:$C$138,MATCH($A73,Charges_NonSlice!$AA$4:$AA$138,0),1)</f>
        <v>U.S. Naval Submarine Base, Bangor</v>
      </c>
      <c r="U73" s="121">
        <f t="shared" si="4"/>
        <v>3.2731742913203243E-2</v>
      </c>
      <c r="V73" s="172">
        <f>+INDEX(Charges_NonSlice!$Y$4:$Y$138,MATCH($A73,Charges_NonSlice!$AA$4:$AA$138,0),1)</f>
        <v>37.215500273096843</v>
      </c>
      <c r="W73" s="162">
        <f t="shared" si="3"/>
        <v>36.035979845179071</v>
      </c>
      <c r="Y73" s="126" t="s">
        <v>29</v>
      </c>
      <c r="Z73" s="127">
        <v>36.651750997110987</v>
      </c>
    </row>
    <row r="74" spans="1:26">
      <c r="A74">
        <f t="shared" si="5"/>
        <v>70</v>
      </c>
      <c r="B74" s="138" t="str">
        <f>+INDEX('Charges_Including Slice and LS'!$C$4:$C$138,MATCH($A74,'Charges_Including Slice and LS'!$AA$4:$AA$138,0),1)</f>
        <v>Clark County PUD #1</v>
      </c>
      <c r="C74" s="121">
        <f>+INDEX('Charges_Including Slice and LS'!$Z$4:$Z$138,MATCH($A74,'Charges_Including Slice and LS'!$AA$4:$AA$138,0),1)</f>
        <v>4.7741787028266813E-2</v>
      </c>
      <c r="D74" s="107">
        <f>+INDEX('Charges_Including Slice and LS'!$Y$4:$Y$138,MATCH($A74,'Charges_Including Slice and LS'!$AA$4:$AA$138,0),1)</f>
        <v>39.203537570318296</v>
      </c>
      <c r="E74" s="131">
        <f>+INDEX('Charges_Including Slice and LS'!$X$4:$X$138,MATCH($A74,'Charges_Including Slice and LS'!$AA$4:$AA$138,0),1)/1000</f>
        <v>2600.3401531708737</v>
      </c>
      <c r="F74" s="131">
        <f>+SUM(E$5:E74)</f>
        <v>23806.839300895565</v>
      </c>
      <c r="H74" s="397" t="str">
        <f>+INDEX(Charges_NonSlice!$C$4:$C$138,MATCH($A74,Charges_NonSlice!$AA$4:$AA$138,0),1)</f>
        <v>Inland P &amp; L</v>
      </c>
      <c r="I74" s="121">
        <f>+INDEX(Charges_NonSlice!$Z$4:$Z$138,MATCH($A74,Charges_NonSlice!$AA$4:$AA$138,0),1)</f>
        <v>4.9197776184108255E-2</v>
      </c>
      <c r="J74" s="172">
        <f>+INDEX(Charges_NonSlice!$Y$4:$Y$138,MATCH($A74,Charges_NonSlice!$AA$4:$AA$138,0),1)</f>
        <v>35.799089669202012</v>
      </c>
      <c r="K74" s="396">
        <f>+INDEX(Charges_NonSlice!$X$4:$X$138,MATCH($A74,Charges_NonSlice!$AA$4:$AA$138,0),1)/1000</f>
        <v>884.22601118998466</v>
      </c>
      <c r="L74" s="131">
        <f>+SUM(K$5:K74)</f>
        <v>29059.374139741481</v>
      </c>
      <c r="N74" s="397" t="str">
        <f ca="1">+INDEX('Charges_NonSlice &amp; Excl LS'!$C$4:$C$138,MATCH($A74,'Charges_NonSlice &amp; Excl LS'!$AA$4:$AA$138,0),1)</f>
        <v>Hermiston, City of</v>
      </c>
      <c r="O74" s="121">
        <f ca="1">+INDEX('Charges_NonSlice &amp; Excl LS'!$Z$4:$Z$138,MATCH($A74,'Charges_NonSlice &amp; Excl LS'!$AA$4:$AA$138,0),1)</f>
        <v>4.2850961320106795E-2</v>
      </c>
      <c r="P74" s="172">
        <f ca="1">+INDEX('Charges_NonSlice &amp; Excl LS'!$Y$4:$Y$138,MATCH($A74,'Charges_NonSlice &amp; Excl LS'!$AA$4:$AA$138,0),1)</f>
        <v>37.772109096063318</v>
      </c>
      <c r="Q74" s="396">
        <f ca="1">+INDEX('Charges_NonSlice &amp; Excl LS'!$X$4:$X$138,MATCH($A74,'Charges_NonSlice &amp; Excl LS'!$AA$4:$AA$138,0),1)/1000</f>
        <v>108.96488375445598</v>
      </c>
      <c r="R74" s="131">
        <f ca="1">+SUM(Q$5:Q74)</f>
        <v>27629.098449279663</v>
      </c>
      <c r="T74" s="397" t="str">
        <f>+INDEX(Charges_NonSlice!$C$4:$C$138,MATCH($A74,Charges_NonSlice!$AA$4:$AA$138,0),1)</f>
        <v>Inland P &amp; L</v>
      </c>
      <c r="U74" s="121">
        <f t="shared" si="4"/>
        <v>8.0431680630637326E-2</v>
      </c>
      <c r="V74" s="172">
        <f>+INDEX(Charges_NonSlice!$Y$4:$Y$138,MATCH($A74,Charges_NonSlice!$AA$4:$AA$138,0),1)</f>
        <v>35.799089669202012</v>
      </c>
      <c r="W74" s="162">
        <f t="shared" si="3"/>
        <v>33.134061422843907</v>
      </c>
      <c r="Y74" s="126" t="s">
        <v>100</v>
      </c>
      <c r="Z74" s="127">
        <v>34.415965433330719</v>
      </c>
    </row>
    <row r="75" spans="1:26">
      <c r="A75">
        <f t="shared" si="5"/>
        <v>71</v>
      </c>
      <c r="B75" s="138" t="str">
        <f>+INDEX('Charges_Including Slice and LS'!$C$4:$C$138,MATCH($A75,'Charges_Including Slice and LS'!$AA$4:$AA$138,0),1)</f>
        <v>Soda Springs, City of</v>
      </c>
      <c r="C75" s="121">
        <f>+INDEX('Charges_Including Slice and LS'!$Z$4:$Z$138,MATCH($A75,'Charges_Including Slice and LS'!$AA$4:$AA$138,0),1)</f>
        <v>4.7636392277422779E-2</v>
      </c>
      <c r="D75" s="107">
        <f>+INDEX('Charges_Including Slice and LS'!$Y$4:$Y$138,MATCH($A75,'Charges_Including Slice and LS'!$AA$4:$AA$138,0),1)</f>
        <v>38.548059760463744</v>
      </c>
      <c r="E75" s="131">
        <f>+INDEX('Charges_Including Slice and LS'!$X$4:$X$138,MATCH($A75,'Charges_Including Slice and LS'!$AA$4:$AA$138,0),1)/1000</f>
        <v>26.174880000000002</v>
      </c>
      <c r="F75" s="131">
        <f>+SUM(E$5:E75)</f>
        <v>23833.014180895563</v>
      </c>
      <c r="H75" s="397" t="str">
        <f>+INDEX(Charges_NonSlice!$C$4:$C$138,MATCH($A75,Charges_NonSlice!$AA$4:$AA$138,0),1)</f>
        <v>Vera Irrigation District</v>
      </c>
      <c r="I75" s="121">
        <f>+INDEX(Charges_NonSlice!$Z$4:$Z$138,MATCH($A75,Charges_NonSlice!$AA$4:$AA$138,0),1)</f>
        <v>4.8846895560599402E-2</v>
      </c>
      <c r="J75" s="172">
        <f>+INDEX(Charges_NonSlice!$Y$4:$Y$138,MATCH($A75,Charges_NonSlice!$AA$4:$AA$138,0),1)</f>
        <v>38.881756683370241</v>
      </c>
      <c r="K75" s="396">
        <f>+INDEX(Charges_NonSlice!$X$4:$X$138,MATCH($A75,Charges_NonSlice!$AA$4:$AA$138,0),1)/1000</f>
        <v>234.07441141496429</v>
      </c>
      <c r="L75" s="131">
        <f>+SUM(K$5:K75)</f>
        <v>29293.448551156445</v>
      </c>
      <c r="N75" s="397" t="str">
        <f ca="1">+INDEX('Charges_NonSlice &amp; Excl LS'!$C$4:$C$138,MATCH($A75,'Charges_NonSlice &amp; Excl LS'!$AA$4:$AA$138,0),1)</f>
        <v>Monmouth, City of</v>
      </c>
      <c r="O75" s="121">
        <f ca="1">+INDEX('Charges_NonSlice &amp; Excl LS'!$Z$4:$Z$138,MATCH($A75,'Charges_NonSlice &amp; Excl LS'!$AA$4:$AA$138,0),1)</f>
        <v>4.2540644117066387E-2</v>
      </c>
      <c r="P75" s="172">
        <f ca="1">+INDEX('Charges_NonSlice &amp; Excl LS'!$Y$4:$Y$138,MATCH($A75,'Charges_NonSlice &amp; Excl LS'!$AA$4:$AA$138,0),1)</f>
        <v>37.771517752193965</v>
      </c>
      <c r="Q75" s="396">
        <f ca="1">+INDEX('Charges_NonSlice &amp; Excl LS'!$X$4:$X$138,MATCH($A75,'Charges_NonSlice &amp; Excl LS'!$AA$4:$AA$138,0),1)/1000</f>
        <v>72.085584702503994</v>
      </c>
      <c r="R75" s="131">
        <f ca="1">+SUM(Q$5:Q75)</f>
        <v>27701.184033982168</v>
      </c>
      <c r="T75" s="397" t="str">
        <f>+INDEX(Charges_NonSlice!$C$4:$C$138,MATCH($A75,Charges_NonSlice!$AA$4:$AA$138,0),1)</f>
        <v>Vera Irrigation District</v>
      </c>
      <c r="U75" s="121">
        <f t="shared" si="4"/>
        <v>7.0222808428273886E-2</v>
      </c>
      <c r="V75" s="172">
        <f>+INDEX(Charges_NonSlice!$Y$4:$Y$138,MATCH($A75,Charges_NonSlice!$AA$4:$AA$138,0),1)</f>
        <v>38.881756683370241</v>
      </c>
      <c r="W75" s="162">
        <f t="shared" si="3"/>
        <v>36.330525173979311</v>
      </c>
      <c r="Y75" s="126" t="s">
        <v>57</v>
      </c>
      <c r="Z75" s="127">
        <v>31.676529058887382</v>
      </c>
    </row>
    <row r="76" spans="1:26">
      <c r="A76">
        <f t="shared" si="5"/>
        <v>72</v>
      </c>
      <c r="B76" s="138" t="str">
        <f>+INDEX('Charges_Including Slice and LS'!$C$4:$C$138,MATCH($A76,'Charges_Including Slice and LS'!$AA$4:$AA$138,0),1)</f>
        <v>Ashland, City of</v>
      </c>
      <c r="C76" s="121">
        <f>+INDEX('Charges_Including Slice and LS'!$Z$4:$Z$138,MATCH($A76,'Charges_Including Slice and LS'!$AA$4:$AA$138,0),1)</f>
        <v>4.7454690640837072E-2</v>
      </c>
      <c r="D76" s="107">
        <f>+INDEX('Charges_Including Slice and LS'!$Y$4:$Y$138,MATCH($A76,'Charges_Including Slice and LS'!$AA$4:$AA$138,0),1)</f>
        <v>38.682024343608227</v>
      </c>
      <c r="E76" s="131">
        <f>+INDEX('Charges_Including Slice and LS'!$X$4:$X$138,MATCH($A76,'Charges_Including Slice and LS'!$AA$4:$AA$138,0),1)/1000</f>
        <v>175.0590806494464</v>
      </c>
      <c r="F76" s="131">
        <f>+SUM(E$5:E76)</f>
        <v>24008.073261545011</v>
      </c>
      <c r="H76" s="397" t="str">
        <f>+INDEX(Charges_NonSlice!$C$4:$C$138,MATCH($A76,Charges_NonSlice!$AA$4:$AA$138,0),1)</f>
        <v>Midstate Elec Coop</v>
      </c>
      <c r="I76" s="121">
        <f>+INDEX(Charges_NonSlice!$Z$4:$Z$138,MATCH($A76,Charges_NonSlice!$AA$4:$AA$138,0),1)</f>
        <v>4.8621317731773583E-2</v>
      </c>
      <c r="J76" s="172">
        <f>+INDEX(Charges_NonSlice!$Y$4:$Y$138,MATCH($A76,Charges_NonSlice!$AA$4:$AA$138,0),1)</f>
        <v>35.047119113881358</v>
      </c>
      <c r="K76" s="396">
        <f>+INDEX(Charges_NonSlice!$X$4:$X$138,MATCH($A76,Charges_NonSlice!$AA$4:$AA$138,0),1)/1000</f>
        <v>391.65897871400318</v>
      </c>
      <c r="L76" s="131">
        <f>+SUM(K$5:K76)</f>
        <v>29685.107529870449</v>
      </c>
      <c r="N76" s="397" t="str">
        <f ca="1">+INDEX('Charges_NonSlice &amp; Excl LS'!$C$4:$C$138,MATCH($A76,'Charges_NonSlice &amp; Excl LS'!$AA$4:$AA$138,0),1)</f>
        <v>Troy, City of</v>
      </c>
      <c r="O76" s="121">
        <f ca="1">+INDEX('Charges_NonSlice &amp; Excl LS'!$Z$4:$Z$138,MATCH($A76,'Charges_NonSlice &amp; Excl LS'!$AA$4:$AA$138,0),1)</f>
        <v>4.2442258361022438E-2</v>
      </c>
      <c r="P76" s="172">
        <f ca="1">+INDEX('Charges_NonSlice &amp; Excl LS'!$Y$4:$Y$138,MATCH($A76,'Charges_NonSlice &amp; Excl LS'!$AA$4:$AA$138,0),1)</f>
        <v>38.046960544741957</v>
      </c>
      <c r="Q76" s="396">
        <f ca="1">+INDEX('Charges_NonSlice &amp; Excl LS'!$X$4:$X$138,MATCH($A76,'Charges_NonSlice &amp; Excl LS'!$AA$4:$AA$138,0),1)/1000</f>
        <v>17.563598872151999</v>
      </c>
      <c r="R76" s="131">
        <f ca="1">+SUM(Q$5:Q76)</f>
        <v>27718.74763285432</v>
      </c>
      <c r="T76" s="397" t="str">
        <f>+INDEX(Charges_NonSlice!$C$4:$C$138,MATCH($A76,Charges_NonSlice!$AA$4:$AA$138,0),1)</f>
        <v>Midstate Elec Coop</v>
      </c>
      <c r="U76" s="121">
        <f t="shared" si="4"/>
        <v>7.0780457096947025E-2</v>
      </c>
      <c r="V76" s="172">
        <f>+INDEX(Charges_NonSlice!$Y$4:$Y$138,MATCH($A76,Charges_NonSlice!$AA$4:$AA$138,0),1)</f>
        <v>35.047119113881358</v>
      </c>
      <c r="W76" s="162">
        <f t="shared" si="3"/>
        <v>32.730443371089876</v>
      </c>
      <c r="Y76" s="126" t="s">
        <v>19</v>
      </c>
      <c r="Z76" s="127">
        <v>35.537586815250926</v>
      </c>
    </row>
    <row r="77" spans="1:26">
      <c r="A77">
        <f t="shared" si="5"/>
        <v>73</v>
      </c>
      <c r="B77" s="138" t="str">
        <f>+INDEX('Charges_Including Slice and LS'!$C$4:$C$138,MATCH($A77,'Charges_Including Slice and LS'!$AA$4:$AA$138,0),1)</f>
        <v>Snohomish County PUD #1</v>
      </c>
      <c r="C77" s="121">
        <f>+INDEX('Charges_Including Slice and LS'!$Z$4:$Z$138,MATCH($A77,'Charges_Including Slice and LS'!$AA$4:$AA$138,0),1)</f>
        <v>4.7378673818599504E-2</v>
      </c>
      <c r="D77" s="107">
        <f>+INDEX('Charges_Including Slice and LS'!$Y$4:$Y$138,MATCH($A77,'Charges_Including Slice and LS'!$AA$4:$AA$138,0),1)</f>
        <v>39.07638921591434</v>
      </c>
      <c r="E77" s="131">
        <f>+INDEX('Charges_Including Slice and LS'!$X$4:$X$138,MATCH($A77,'Charges_Including Slice and LS'!$AA$4:$AA$138,0),1)/1000</f>
        <v>6745.1217175592847</v>
      </c>
      <c r="F77" s="131">
        <f>+SUM(E$5:E77)</f>
        <v>30753.194979104293</v>
      </c>
      <c r="H77" s="397" t="str">
        <f>+INDEX(Charges_NonSlice!$C$4:$C$138,MATCH($A77,Charges_NonSlice!$AA$4:$AA$138,0),1)</f>
        <v>Glacier Elec  Coop</v>
      </c>
      <c r="I77" s="121">
        <f>+INDEX(Charges_NonSlice!$Z$4:$Z$138,MATCH($A77,Charges_NonSlice!$AA$4:$AA$138,0),1)</f>
        <v>4.860896710799345E-2</v>
      </c>
      <c r="J77" s="172">
        <f>+INDEX(Charges_NonSlice!$Y$4:$Y$138,MATCH($A77,Charges_NonSlice!$AA$4:$AA$138,0),1)</f>
        <v>35.796975037397715</v>
      </c>
      <c r="K77" s="396">
        <f>+INDEX(Charges_NonSlice!$X$4:$X$138,MATCH($A77,Charges_NonSlice!$AA$4:$AA$138,0),1)/1000</f>
        <v>160.53999934217416</v>
      </c>
      <c r="L77" s="131">
        <f>+SUM(K$5:K77)</f>
        <v>29845.647529212623</v>
      </c>
      <c r="N77" s="397" t="str">
        <f ca="1">+INDEX('Charges_NonSlice &amp; Excl LS'!$C$4:$C$138,MATCH($A77,'Charges_NonSlice &amp; Excl LS'!$AA$4:$AA$138,0),1)</f>
        <v>Milton, Town of</v>
      </c>
      <c r="O77" s="121">
        <f ca="1">+INDEX('Charges_NonSlice &amp; Excl LS'!$Z$4:$Z$138,MATCH($A77,'Charges_NonSlice &amp; Excl LS'!$AA$4:$AA$138,0),1)</f>
        <v>4.2439895399423583E-2</v>
      </c>
      <c r="P77" s="172">
        <f ca="1">+INDEX('Charges_NonSlice &amp; Excl LS'!$Y$4:$Y$138,MATCH($A77,'Charges_NonSlice &amp; Excl LS'!$AA$4:$AA$138,0),1)</f>
        <v>37.58412889875531</v>
      </c>
      <c r="Q77" s="396">
        <f ca="1">+INDEX('Charges_NonSlice &amp; Excl LS'!$X$4:$X$138,MATCH($A77,'Charges_NonSlice &amp; Excl LS'!$AA$4:$AA$138,0),1)/1000</f>
        <v>64.103789856551998</v>
      </c>
      <c r="R77" s="131">
        <f ca="1">+SUM(Q$5:Q77)</f>
        <v>27782.851422710872</v>
      </c>
      <c r="T77" s="397" t="str">
        <f>+INDEX(Charges_NonSlice!$C$4:$C$138,MATCH($A77,Charges_NonSlice!$AA$4:$AA$138,0),1)</f>
        <v>Glacier Elec  Coop</v>
      </c>
      <c r="U77" s="121">
        <f t="shared" si="4"/>
        <v>6.5242297229240354E-2</v>
      </c>
      <c r="V77" s="172">
        <f>+INDEX(Charges_NonSlice!$Y$4:$Y$138,MATCH($A77,Charges_NonSlice!$AA$4:$AA$138,0),1)</f>
        <v>35.796975037397715</v>
      </c>
      <c r="W77" s="162">
        <f t="shared" si="3"/>
        <v>33.604537794366422</v>
      </c>
      <c r="Y77" s="126" t="s">
        <v>106</v>
      </c>
      <c r="Z77" s="127">
        <v>34.388319352293969</v>
      </c>
    </row>
    <row r="78" spans="1:26">
      <c r="A78">
        <f t="shared" si="5"/>
        <v>74</v>
      </c>
      <c r="B78" s="138" t="str">
        <f>+INDEX('Charges_Including Slice and LS'!$C$4:$C$138,MATCH($A78,'Charges_Including Slice and LS'!$AA$4:$AA$138,0),1)</f>
        <v>U.S. Naval Base,  Bremerton</v>
      </c>
      <c r="C78" s="121">
        <f>+INDEX('Charges_Including Slice and LS'!$Z$4:$Z$138,MATCH($A78,'Charges_Including Slice and LS'!$AA$4:$AA$138,0),1)</f>
        <v>4.7371453708598077E-2</v>
      </c>
      <c r="D78" s="107">
        <f>+INDEX('Charges_Including Slice and LS'!$Y$4:$Y$138,MATCH($A78,'Charges_Including Slice and LS'!$AA$4:$AA$138,0),1)</f>
        <v>37.344997395560291</v>
      </c>
      <c r="E78" s="131">
        <f>+INDEX('Charges_Including Slice and LS'!$X$4:$X$138,MATCH($A78,'Charges_Including Slice and LS'!$AA$4:$AA$138,0),1)/1000</f>
        <v>253.70373466214892</v>
      </c>
      <c r="F78" s="131">
        <f>+SUM(E$5:E78)</f>
        <v>31006.898713766441</v>
      </c>
      <c r="H78" s="397" t="str">
        <f>+INDEX(Charges_NonSlice!$C$4:$C$138,MATCH($A78,Charges_NonSlice!$AA$4:$AA$138,0),1)</f>
        <v>Burley, City of</v>
      </c>
      <c r="I78" s="121">
        <f>+INDEX(Charges_NonSlice!$Z$4:$Z$138,MATCH($A78,Charges_NonSlice!$AA$4:$AA$138,0),1)</f>
        <v>4.8359702080006617E-2</v>
      </c>
      <c r="J78" s="172">
        <f>+INDEX(Charges_NonSlice!$Y$4:$Y$138,MATCH($A78,Charges_NonSlice!$AA$4:$AA$138,0),1)</f>
        <v>38.064756161864146</v>
      </c>
      <c r="K78" s="396">
        <f>+INDEX(Charges_NonSlice!$X$4:$X$138,MATCH($A78,Charges_NonSlice!$AA$4:$AA$138,0),1)/1000</f>
        <v>120.23956776854608</v>
      </c>
      <c r="L78" s="131">
        <f>+SUM(K$5:K78)</f>
        <v>29965.887096981169</v>
      </c>
      <c r="N78" s="397" t="str">
        <f ca="1">+INDEX('Charges_NonSlice &amp; Excl LS'!$C$4:$C$138,MATCH($A78,'Charges_NonSlice &amp; Excl LS'!$AA$4:$AA$138,0),1)</f>
        <v>Sumas, Town of</v>
      </c>
      <c r="O78" s="121">
        <f ca="1">+INDEX('Charges_NonSlice &amp; Excl LS'!$Z$4:$Z$138,MATCH($A78,'Charges_NonSlice &amp; Excl LS'!$AA$4:$AA$138,0),1)</f>
        <v>4.2402085183187353E-2</v>
      </c>
      <c r="P78" s="172">
        <f ca="1">+INDEX('Charges_NonSlice &amp; Excl LS'!$Y$4:$Y$138,MATCH($A78,'Charges_NonSlice &amp; Excl LS'!$AA$4:$AA$138,0),1)</f>
        <v>37.856416313855298</v>
      </c>
      <c r="Q78" s="396">
        <f ca="1">+INDEX('Charges_NonSlice &amp; Excl LS'!$X$4:$X$138,MATCH($A78,'Charges_NonSlice &amp; Excl LS'!$AA$4:$AA$138,0),1)/1000</f>
        <v>31.397898780456</v>
      </c>
      <c r="R78" s="131">
        <f ca="1">+SUM(Q$5:Q78)</f>
        <v>27814.249321491327</v>
      </c>
      <c r="T78" s="397" t="str">
        <f>+INDEX(Charges_NonSlice!$C$4:$C$138,MATCH($A78,Charges_NonSlice!$AA$4:$AA$138,0),1)</f>
        <v>Burley, City of</v>
      </c>
      <c r="U78" s="121">
        <f t="shared" si="4"/>
        <v>5.0762356074436799E-2</v>
      </c>
      <c r="V78" s="172">
        <f>+INDEX(Charges_NonSlice!$Y$4:$Y$138,MATCH($A78,Charges_NonSlice!$AA$4:$AA$138,0),1)</f>
        <v>38.064756161864146</v>
      </c>
      <c r="W78" s="162">
        <f t="shared" si="3"/>
        <v>36.225846826175804</v>
      </c>
      <c r="Y78" s="126" t="s">
        <v>111</v>
      </c>
      <c r="Z78" s="127">
        <v>34.724028824724265</v>
      </c>
    </row>
    <row r="79" spans="1:26">
      <c r="A79">
        <f t="shared" si="5"/>
        <v>75</v>
      </c>
      <c r="B79" s="138" t="str">
        <f>+INDEX('Charges_Including Slice and LS'!$C$4:$C$138,MATCH($A79,'Charges_Including Slice and LS'!$AA$4:$AA$138,0),1)</f>
        <v>U.S. Naval Station, Everett (Jim Creek)</v>
      </c>
      <c r="C79" s="121">
        <f>+INDEX('Charges_Including Slice and LS'!$Z$4:$Z$138,MATCH($A79,'Charges_Including Slice and LS'!$AA$4:$AA$138,0),1)</f>
        <v>4.734845853643721E-2</v>
      </c>
      <c r="D79" s="107">
        <f>+INDEX('Charges_Including Slice and LS'!$Y$4:$Y$138,MATCH($A79,'Charges_Including Slice and LS'!$AA$4:$AA$138,0),1)</f>
        <v>38.210827811646851</v>
      </c>
      <c r="E79" s="131">
        <f>+INDEX('Charges_Including Slice and LS'!$X$4:$X$138,MATCH($A79,'Charges_Including Slice and LS'!$AA$4:$AA$138,0),1)/1000</f>
        <v>12.041841184434345</v>
      </c>
      <c r="F79" s="131">
        <f>+SUM(E$5:E79)</f>
        <v>31018.940554950874</v>
      </c>
      <c r="H79" s="397" t="str">
        <f>+INDEX(Charges_NonSlice!$C$4:$C$138,MATCH($A79,Charges_NonSlice!$AA$4:$AA$138,0),1)</f>
        <v>Columbia Power Coop</v>
      </c>
      <c r="I79" s="121">
        <f>+INDEX(Charges_NonSlice!$Z$4:$Z$138,MATCH($A79,Charges_NonSlice!$AA$4:$AA$138,0),1)</f>
        <v>4.8189283131027327E-2</v>
      </c>
      <c r="J79" s="172">
        <f>+INDEX(Charges_NonSlice!$Y$4:$Y$138,MATCH($A79,Charges_NonSlice!$AA$4:$AA$138,0),1)</f>
        <v>34.122231499634431</v>
      </c>
      <c r="K79" s="396">
        <f>+INDEX(Charges_NonSlice!$X$4:$X$138,MATCH($A79,Charges_NonSlice!$AA$4:$AA$138,0),1)/1000</f>
        <v>26.614397377034212</v>
      </c>
      <c r="L79" s="131">
        <f>+SUM(K$5:K79)</f>
        <v>29992.501494358203</v>
      </c>
      <c r="N79" s="397" t="str">
        <f ca="1">+INDEX('Charges_NonSlice &amp; Excl LS'!$C$4:$C$138,MATCH($A79,'Charges_NonSlice &amp; Excl LS'!$AA$4:$AA$138,0),1)</f>
        <v>Ellensburg, City of</v>
      </c>
      <c r="O79" s="121">
        <f ca="1">+INDEX('Charges_NonSlice &amp; Excl LS'!$Z$4:$Z$138,MATCH($A79,'Charges_NonSlice &amp; Excl LS'!$AA$4:$AA$138,0),1)</f>
        <v>4.2382800264472657E-2</v>
      </c>
      <c r="P79" s="172">
        <f ca="1">+INDEX('Charges_NonSlice &amp; Excl LS'!$Y$4:$Y$138,MATCH($A79,'Charges_NonSlice &amp; Excl LS'!$AA$4:$AA$138,0),1)</f>
        <v>37.726975393380528</v>
      </c>
      <c r="Q79" s="396">
        <f ca="1">+INDEX('Charges_NonSlice &amp; Excl LS'!$X$4:$X$138,MATCH($A79,'Charges_NonSlice &amp; Excl LS'!$AA$4:$AA$138,0),1)/1000</f>
        <v>206.71145219188799</v>
      </c>
      <c r="R79" s="131">
        <f ca="1">+SUM(Q$5:Q79)</f>
        <v>28020.960773683215</v>
      </c>
      <c r="T79" s="397" t="str">
        <f>+INDEX(Charges_NonSlice!$C$4:$C$138,MATCH($A79,Charges_NonSlice!$AA$4:$AA$138,0),1)</f>
        <v>Columbia Power Coop</v>
      </c>
      <c r="U79" s="121">
        <f t="shared" si="4"/>
        <v>0.10536896579896693</v>
      </c>
      <c r="V79" s="172">
        <f>+INDEX(Charges_NonSlice!$Y$4:$Y$138,MATCH($A79,Charges_NonSlice!$AA$4:$AA$138,0),1)</f>
        <v>34.122231499634431</v>
      </c>
      <c r="W79" s="162">
        <f t="shared" si="3"/>
        <v>30.869539995607429</v>
      </c>
      <c r="Y79" s="126" t="s">
        <v>7</v>
      </c>
      <c r="Z79" s="127">
        <v>35.407970189216719</v>
      </c>
    </row>
    <row r="80" spans="1:26">
      <c r="A80">
        <f t="shared" si="5"/>
        <v>76</v>
      </c>
      <c r="B80" s="138" t="str">
        <f>+INDEX('Charges_Including Slice and LS'!$C$4:$C$138,MATCH($A80,'Charges_Including Slice and LS'!$AA$4:$AA$138,0),1)</f>
        <v>Grays Harbor PUD #1</v>
      </c>
      <c r="C80" s="121">
        <f>+INDEX('Charges_Including Slice and LS'!$Z$4:$Z$138,MATCH($A80,'Charges_Including Slice and LS'!$AA$4:$AA$138,0),1)</f>
        <v>4.7023775490294017E-2</v>
      </c>
      <c r="D80" s="107">
        <f>+INDEX('Charges_Including Slice and LS'!$Y$4:$Y$138,MATCH($A80,'Charges_Including Slice and LS'!$AA$4:$AA$138,0),1)</f>
        <v>39.296340993893573</v>
      </c>
      <c r="E80" s="131">
        <f>+INDEX('Charges_Including Slice and LS'!$X$4:$X$138,MATCH($A80,'Charges_Including Slice and LS'!$AA$4:$AA$138,0),1)/1000</f>
        <v>1113.7312524802583</v>
      </c>
      <c r="F80" s="131">
        <f>+SUM(E$5:E80)</f>
        <v>32132.671807431132</v>
      </c>
      <c r="H80" s="397" t="str">
        <f>+INDEX(Charges_NonSlice!$C$4:$C$138,MATCH($A80,Charges_NonSlice!$AA$4:$AA$138,0),1)</f>
        <v>Modern Elec Coop</v>
      </c>
      <c r="I80" s="121">
        <f>+INDEX(Charges_NonSlice!$Z$4:$Z$138,MATCH($A80,Charges_NonSlice!$AA$4:$AA$138,0),1)</f>
        <v>4.8044175430222102E-2</v>
      </c>
      <c r="J80" s="172">
        <f>+INDEX(Charges_NonSlice!$Y$4:$Y$138,MATCH($A80,Charges_NonSlice!$AA$4:$AA$138,0),1)</f>
        <v>38.410522710033575</v>
      </c>
      <c r="K80" s="396">
        <f>+INDEX(Charges_NonSlice!$X$4:$X$138,MATCH($A80,Charges_NonSlice!$AA$4:$AA$138,0),1)/1000</f>
        <v>226.55987999999999</v>
      </c>
      <c r="L80" s="131">
        <f>+SUM(K$5:K80)</f>
        <v>30219.061374358203</v>
      </c>
      <c r="N80" s="397" t="str">
        <f ca="1">+INDEX('Charges_NonSlice &amp; Excl LS'!$C$4:$C$138,MATCH($A80,'Charges_NonSlice &amp; Excl LS'!$AA$4:$AA$138,0),1)</f>
        <v>Mason County PUD #3</v>
      </c>
      <c r="O80" s="121">
        <f ca="1">+INDEX('Charges_NonSlice &amp; Excl LS'!$Z$4:$Z$138,MATCH($A80,'Charges_NonSlice &amp; Excl LS'!$AA$4:$AA$138,0),1)</f>
        <v>4.2234714333620187E-2</v>
      </c>
      <c r="P80" s="172">
        <f ca="1">+INDEX('Charges_NonSlice &amp; Excl LS'!$Y$4:$Y$138,MATCH($A80,'Charges_NonSlice &amp; Excl LS'!$AA$4:$AA$138,0),1)</f>
        <v>35.769885042297325</v>
      </c>
      <c r="Q80" s="396">
        <f ca="1">+INDEX('Charges_NonSlice &amp; Excl LS'!$X$4:$X$138,MATCH($A80,'Charges_NonSlice &amp; Excl LS'!$AA$4:$AA$138,0),1)/1000</f>
        <v>688.94083501142393</v>
      </c>
      <c r="R80" s="131">
        <f ca="1">+SUM(Q$5:Q80)</f>
        <v>28709.901608694639</v>
      </c>
      <c r="T80" s="397" t="str">
        <f>+INDEX(Charges_NonSlice!$C$4:$C$138,MATCH($A80,Charges_NonSlice!$AA$4:$AA$138,0),1)</f>
        <v>Modern Elec Coop</v>
      </c>
      <c r="U80" s="121">
        <f t="shared" si="4"/>
        <v>4.413695654667249E-2</v>
      </c>
      <c r="V80" s="172">
        <f>+INDEX(Charges_NonSlice!$Y$4:$Y$138,MATCH($A80,Charges_NonSlice!$AA$4:$AA$138,0),1)</f>
        <v>38.410522710033575</v>
      </c>
      <c r="W80" s="162">
        <f t="shared" si="3"/>
        <v>36.786862555914752</v>
      </c>
      <c r="Y80" s="126" t="s">
        <v>25</v>
      </c>
      <c r="Z80" s="127">
        <v>36.113257420682636</v>
      </c>
    </row>
    <row r="81" spans="1:26">
      <c r="A81">
        <f t="shared" si="5"/>
        <v>77</v>
      </c>
      <c r="B81" s="138" t="str">
        <f>+INDEX('Charges_Including Slice and LS'!$C$4:$C$138,MATCH($A81,'Charges_Including Slice and LS'!$AA$4:$AA$138,0),1)</f>
        <v>Ellensburg, City of</v>
      </c>
      <c r="C81" s="121">
        <f>+INDEX('Charges_Including Slice and LS'!$Z$4:$Z$138,MATCH($A81,'Charges_Including Slice and LS'!$AA$4:$AA$138,0),1)</f>
        <v>4.6886936839704463E-2</v>
      </c>
      <c r="D81" s="107">
        <f>+INDEX('Charges_Including Slice and LS'!$Y$4:$Y$138,MATCH($A81,'Charges_Including Slice and LS'!$AA$4:$AA$138,0),1)</f>
        <v>38.331814227567683</v>
      </c>
      <c r="E81" s="131">
        <f>+INDEX('Charges_Including Slice and LS'!$X$4:$X$138,MATCH($A81,'Charges_Including Slice and LS'!$AA$4:$AA$138,0),1)/1000</f>
        <v>205.95744501574117</v>
      </c>
      <c r="F81" s="131">
        <f>+SUM(E$5:E81)</f>
        <v>32338.629252446874</v>
      </c>
      <c r="H81" s="397" t="str">
        <f>+INDEX(Charges_NonSlice!$C$4:$C$138,MATCH($A81,Charges_NonSlice!$AA$4:$AA$138,0),1)</f>
        <v>Richland, City of</v>
      </c>
      <c r="I81" s="121">
        <f>+INDEX(Charges_NonSlice!$Z$4:$Z$138,MATCH($A81,Charges_NonSlice!$AA$4:$AA$138,0),1)</f>
        <v>4.8012717667834437E-2</v>
      </c>
      <c r="J81" s="172">
        <f>+INDEX(Charges_NonSlice!$Y$4:$Y$138,MATCH($A81,Charges_NonSlice!$AA$4:$AA$138,0),1)</f>
        <v>38.335335104096998</v>
      </c>
      <c r="K81" s="396">
        <f>+INDEX(Charges_NonSlice!$X$4:$X$138,MATCH($A81,Charges_NonSlice!$AA$4:$AA$138,0),1)/1000</f>
        <v>892.55306805995747</v>
      </c>
      <c r="L81" s="131">
        <f>+SUM(K$5:K81)</f>
        <v>31111.614442418162</v>
      </c>
      <c r="N81" s="397" t="str">
        <f ca="1">+INDEX('Charges_NonSlice &amp; Excl LS'!$C$4:$C$138,MATCH($A81,'Charges_NonSlice &amp; Excl LS'!$AA$4:$AA$138,0),1)</f>
        <v>McMinnville, City of</v>
      </c>
      <c r="O81" s="121">
        <f ca="1">+INDEX('Charges_NonSlice &amp; Excl LS'!$Z$4:$Z$138,MATCH($A81,'Charges_NonSlice &amp; Excl LS'!$AA$4:$AA$138,0),1)</f>
        <v>4.2215377429668237E-2</v>
      </c>
      <c r="P81" s="172">
        <f ca="1">+INDEX('Charges_NonSlice &amp; Excl LS'!$Y$4:$Y$138,MATCH($A81,'Charges_NonSlice &amp; Excl LS'!$AA$4:$AA$138,0),1)</f>
        <v>38.063827966326208</v>
      </c>
      <c r="Q81" s="396">
        <f ca="1">+INDEX('Charges_NonSlice &amp; Excl LS'!$X$4:$X$138,MATCH($A81,'Charges_NonSlice &amp; Excl LS'!$AA$4:$AA$138,0),1)/1000</f>
        <v>760.04694641347191</v>
      </c>
      <c r="R81" s="131">
        <f ca="1">+SUM(Q$5:Q81)</f>
        <v>29469.948555108112</v>
      </c>
      <c r="T81" s="397" t="str">
        <f>+INDEX(Charges_NonSlice!$C$4:$C$138,MATCH($A81,Charges_NonSlice!$AA$4:$AA$138,0),1)</f>
        <v>Richland, City of</v>
      </c>
      <c r="U81" s="121">
        <f t="shared" si="4"/>
        <v>6.0941177235981581E-2</v>
      </c>
      <c r="V81" s="172">
        <f>+INDEX(Charges_NonSlice!$Y$4:$Y$138,MATCH($A81,Charges_NonSlice!$AA$4:$AA$138,0),1)</f>
        <v>38.335335104096998</v>
      </c>
      <c r="W81" s="162">
        <f t="shared" si="3"/>
        <v>36.133327583693358</v>
      </c>
      <c r="Y81" s="126" t="s">
        <v>31</v>
      </c>
      <c r="Z81" s="127">
        <v>38.160992465677616</v>
      </c>
    </row>
    <row r="82" spans="1:26">
      <c r="A82">
        <f t="shared" si="5"/>
        <v>78</v>
      </c>
      <c r="B82" s="138" t="str">
        <f>+INDEX('Charges_Including Slice and LS'!$C$4:$C$138,MATCH($A82,'Charges_Including Slice and LS'!$AA$4:$AA$138,0),1)</f>
        <v>Tacoma Public Utilities</v>
      </c>
      <c r="C82" s="121">
        <f>+INDEX('Charges_Including Slice and LS'!$Z$4:$Z$138,MATCH($A82,'Charges_Including Slice and LS'!$AA$4:$AA$138,0),1)</f>
        <v>4.658082470749636E-2</v>
      </c>
      <c r="D82" s="107">
        <f>+INDEX('Charges_Including Slice and LS'!$Y$4:$Y$138,MATCH($A82,'Charges_Including Slice and LS'!$AA$4:$AA$138,0),1)</f>
        <v>39.403002514375949</v>
      </c>
      <c r="E82" s="131">
        <f>+INDEX('Charges_Including Slice and LS'!$X$4:$X$138,MATCH($A82,'Charges_Including Slice and LS'!$AA$4:$AA$138,0),1)/1000</f>
        <v>3270.1783214434499</v>
      </c>
      <c r="F82" s="131">
        <f>+SUM(E$5:E82)</f>
        <v>35608.807573890321</v>
      </c>
      <c r="H82" s="397" t="str">
        <f>+INDEX(Charges_NonSlice!$C$4:$C$138,MATCH($A82,Charges_NonSlice!$AA$4:$AA$138,0),1)</f>
        <v>Forest Grove, City of</v>
      </c>
      <c r="I82" s="121">
        <f>+INDEX(Charges_NonSlice!$Z$4:$Z$138,MATCH($A82,Charges_NonSlice!$AA$4:$AA$138,0),1)</f>
        <v>4.7821128830615844E-2</v>
      </c>
      <c r="J82" s="172">
        <f>+INDEX(Charges_NonSlice!$Y$4:$Y$138,MATCH($A82,Charges_NonSlice!$AA$4:$AA$138,0),1)</f>
        <v>39.460916853791353</v>
      </c>
      <c r="K82" s="396">
        <f>+INDEX(Charges_NonSlice!$X$4:$X$138,MATCH($A82,Charges_NonSlice!$AA$4:$AA$138,0),1)/1000</f>
        <v>229.98504</v>
      </c>
      <c r="L82" s="131">
        <f>+SUM(K$5:K82)</f>
        <v>31341.599482418162</v>
      </c>
      <c r="N82" s="397" t="str">
        <f ca="1">+INDEX('Charges_NonSlice &amp; Excl LS'!$C$4:$C$138,MATCH($A82,'Charges_NonSlice &amp; Excl LS'!$AA$4:$AA$138,0),1)</f>
        <v>Heyburn, City of</v>
      </c>
      <c r="O82" s="121">
        <f ca="1">+INDEX('Charges_NonSlice &amp; Excl LS'!$Z$4:$Z$138,MATCH($A82,'Charges_NonSlice &amp; Excl LS'!$AA$4:$AA$138,0),1)</f>
        <v>4.2199759878010688E-2</v>
      </c>
      <c r="P82" s="172">
        <f ca="1">+INDEX('Charges_NonSlice &amp; Excl LS'!$Y$4:$Y$138,MATCH($A82,'Charges_NonSlice &amp; Excl LS'!$AA$4:$AA$138,0),1)</f>
        <v>37.060311989454647</v>
      </c>
      <c r="Q82" s="396">
        <f ca="1">+INDEX('Charges_NonSlice &amp; Excl LS'!$X$4:$X$138,MATCH($A82,'Charges_NonSlice &amp; Excl LS'!$AA$4:$AA$138,0),1)/1000</f>
        <v>41.521150780199996</v>
      </c>
      <c r="R82" s="131">
        <f ca="1">+SUM(Q$5:Q82)</f>
        <v>29511.469705888314</v>
      </c>
      <c r="T82" s="397" t="str">
        <f>+INDEX(Charges_NonSlice!$C$4:$C$138,MATCH($A82,Charges_NonSlice!$AA$4:$AA$138,0),1)</f>
        <v>Forest Grove, City of</v>
      </c>
      <c r="U82" s="121">
        <f t="shared" si="4"/>
        <v>7.6644792684032792E-2</v>
      </c>
      <c r="V82" s="172">
        <f>+INDEX(Charges_NonSlice!$Y$4:$Y$138,MATCH($A82,Charges_NonSlice!$AA$4:$AA$138,0),1)</f>
        <v>39.460916853791353</v>
      </c>
      <c r="W82" s="162">
        <f t="shared" si="3"/>
        <v>36.651750997110987</v>
      </c>
      <c r="Y82" s="126" t="s">
        <v>101</v>
      </c>
      <c r="Z82" s="127">
        <v>36.190914571112607</v>
      </c>
    </row>
    <row r="83" spans="1:26">
      <c r="A83">
        <f t="shared" si="5"/>
        <v>79</v>
      </c>
      <c r="B83" s="138" t="str">
        <f>+INDEX('Charges_Including Slice and LS'!$C$4:$C$138,MATCH($A83,'Charges_Including Slice and LS'!$AA$4:$AA$138,0),1)</f>
        <v>Salmon River Elec Coop</v>
      </c>
      <c r="C83" s="121">
        <f>+INDEX('Charges_Including Slice and LS'!$Z$4:$Z$138,MATCH($A83,'Charges_Including Slice and LS'!$AA$4:$AA$138,0),1)</f>
        <v>4.6273305199727721E-2</v>
      </c>
      <c r="D83" s="107">
        <f>+INDEX('Charges_Including Slice and LS'!$Y$4:$Y$138,MATCH($A83,'Charges_Including Slice and LS'!$AA$4:$AA$138,0),1)</f>
        <v>32.626810560467128</v>
      </c>
      <c r="E83" s="131">
        <f>+INDEX('Charges_Including Slice and LS'!$X$4:$X$138,MATCH($A83,'Charges_Including Slice and LS'!$AA$4:$AA$138,0),1)/1000</f>
        <v>99.556386452487033</v>
      </c>
      <c r="F83" s="131">
        <f>+SUM(E$5:E83)</f>
        <v>35708.363960342809</v>
      </c>
      <c r="H83" s="397" t="str">
        <f>+INDEX(Charges_NonSlice!$C$4:$C$138,MATCH($A83,Charges_NonSlice!$AA$4:$AA$138,0),1)</f>
        <v>Soda Springs, City of</v>
      </c>
      <c r="I83" s="121">
        <f>+INDEX(Charges_NonSlice!$Z$4:$Z$138,MATCH($A83,Charges_NonSlice!$AA$4:$AA$138,0),1)</f>
        <v>4.7636392277422779E-2</v>
      </c>
      <c r="J83" s="172">
        <f>+INDEX(Charges_NonSlice!$Y$4:$Y$138,MATCH($A83,Charges_NonSlice!$AA$4:$AA$138,0),1)</f>
        <v>38.548059760463744</v>
      </c>
      <c r="K83" s="396">
        <f>+INDEX(Charges_NonSlice!$X$4:$X$138,MATCH($A83,Charges_NonSlice!$AA$4:$AA$138,0),1)/1000</f>
        <v>26.174880000000002</v>
      </c>
      <c r="L83" s="131">
        <f>+SUM(K$5:K83)</f>
        <v>31367.77436241816</v>
      </c>
      <c r="N83" s="397" t="str">
        <f ca="1">+INDEX('Charges_NonSlice &amp; Excl LS'!$C$4:$C$138,MATCH($A83,'Charges_NonSlice &amp; Excl LS'!$AA$4:$AA$138,0),1)</f>
        <v>Canby, City of</v>
      </c>
      <c r="O83" s="121">
        <f ca="1">+INDEX('Charges_NonSlice &amp; Excl LS'!$Z$4:$Z$138,MATCH($A83,'Charges_NonSlice &amp; Excl LS'!$AA$4:$AA$138,0),1)</f>
        <v>4.2140019476717971E-2</v>
      </c>
      <c r="P83" s="172">
        <f ca="1">+INDEX('Charges_NonSlice &amp; Excl LS'!$Y$4:$Y$138,MATCH($A83,'Charges_NonSlice &amp; Excl LS'!$AA$4:$AA$138,0),1)</f>
        <v>37.436496270511832</v>
      </c>
      <c r="Q83" s="396">
        <f ca="1">+INDEX('Charges_NonSlice &amp; Excl LS'!$X$4:$X$138,MATCH($A83,'Charges_NonSlice &amp; Excl LS'!$AA$4:$AA$138,0),1)/1000</f>
        <v>175.05195495230399</v>
      </c>
      <c r="R83" s="131">
        <f ca="1">+SUM(Q$5:Q83)</f>
        <v>29686.521660840619</v>
      </c>
      <c r="T83" s="397" t="str">
        <f>+INDEX(Charges_NonSlice!$C$4:$C$138,MATCH($A83,Charges_NonSlice!$AA$4:$AA$138,0),1)</f>
        <v>Soda Springs, City of</v>
      </c>
      <c r="U83" s="121">
        <f t="shared" si="4"/>
        <v>5.5772312293424386E-2</v>
      </c>
      <c r="V83" s="172">
        <f>+INDEX(Charges_NonSlice!$Y$4:$Y$138,MATCH($A83,Charges_NonSlice!$AA$4:$AA$138,0),1)</f>
        <v>38.548059760463744</v>
      </c>
      <c r="W83" s="162">
        <f t="shared" si="3"/>
        <v>36.511716884038073</v>
      </c>
      <c r="Y83" s="126" t="s">
        <v>103</v>
      </c>
      <c r="Z83" s="127">
        <v>36.846264698401271</v>
      </c>
    </row>
    <row r="84" spans="1:26">
      <c r="A84">
        <f t="shared" si="5"/>
        <v>80</v>
      </c>
      <c r="B84" s="138" t="str">
        <f>+INDEX('Charges_Including Slice and LS'!$C$4:$C$138,MATCH($A84,'Charges_Including Slice and LS'!$AA$4:$AA$138,0),1)</f>
        <v>Clallam County PUD #1</v>
      </c>
      <c r="C84" s="121">
        <f>+INDEX('Charges_Including Slice and LS'!$Z$4:$Z$138,MATCH($A84,'Charges_Including Slice and LS'!$AA$4:$AA$138,0),1)</f>
        <v>4.6236530585700431E-2</v>
      </c>
      <c r="D84" s="107">
        <f>+INDEX('Charges_Including Slice and LS'!$Y$4:$Y$138,MATCH($A84,'Charges_Including Slice and LS'!$AA$4:$AA$138,0),1)</f>
        <v>38.121161353882201</v>
      </c>
      <c r="E84" s="131">
        <f>+INDEX('Charges_Including Slice and LS'!$X$4:$X$138,MATCH($A84,'Charges_Including Slice and LS'!$AA$4:$AA$138,0),1)/1000</f>
        <v>644.86300556049775</v>
      </c>
      <c r="F84" s="131">
        <f>+SUM(E$5:E84)</f>
        <v>36353.226965903305</v>
      </c>
      <c r="H84" s="397" t="str">
        <f>+INDEX(Charges_NonSlice!$C$4:$C$138,MATCH($A84,Charges_NonSlice!$AA$4:$AA$138,0),1)</f>
        <v>Ashland, City of</v>
      </c>
      <c r="I84" s="121">
        <f>+INDEX(Charges_NonSlice!$Z$4:$Z$138,MATCH($A84,Charges_NonSlice!$AA$4:$AA$138,0),1)</f>
        <v>4.7454690640837072E-2</v>
      </c>
      <c r="J84" s="172">
        <f>+INDEX(Charges_NonSlice!$Y$4:$Y$138,MATCH($A84,Charges_NonSlice!$AA$4:$AA$138,0),1)</f>
        <v>38.682024343608227</v>
      </c>
      <c r="K84" s="396">
        <f>+INDEX(Charges_NonSlice!$X$4:$X$138,MATCH($A84,Charges_NonSlice!$AA$4:$AA$138,0),1)/1000</f>
        <v>175.0590806494464</v>
      </c>
      <c r="L84" s="131">
        <f>+SUM(K$5:K84)</f>
        <v>31542.833443067608</v>
      </c>
      <c r="N84" s="397" t="str">
        <f ca="1">+INDEX('Charges_NonSlice &amp; Excl LS'!$C$4:$C$138,MATCH($A84,'Charges_NonSlice &amp; Excl LS'!$AA$4:$AA$138,0),1)</f>
        <v>Burley, City of</v>
      </c>
      <c r="O84" s="121">
        <f ca="1">+INDEX('Charges_NonSlice &amp; Excl LS'!$Z$4:$Z$138,MATCH($A84,'Charges_NonSlice &amp; Excl LS'!$AA$4:$AA$138,0),1)</f>
        <v>4.1982424902671567E-2</v>
      </c>
      <c r="P84" s="172">
        <f ca="1">+INDEX('Charges_NonSlice &amp; Excl LS'!$Y$4:$Y$138,MATCH($A84,'Charges_NonSlice &amp; Excl LS'!$AA$4:$AA$138,0),1)</f>
        <v>37.504199557622783</v>
      </c>
      <c r="Q84" s="396">
        <f ca="1">+INDEX('Charges_NonSlice &amp; Excl LS'!$X$4:$X$138,MATCH($A84,'Charges_NonSlice &amp; Excl LS'!$AA$4:$AA$138,0),1)/1000</f>
        <v>121.22350922289601</v>
      </c>
      <c r="R84" s="131">
        <f ca="1">+SUM(Q$5:Q84)</f>
        <v>29807.745170063514</v>
      </c>
      <c r="T84" s="397" t="str">
        <f>+INDEX(Charges_NonSlice!$C$4:$C$138,MATCH($A84,Charges_NonSlice!$AA$4:$AA$138,0),1)</f>
        <v>Ashland, City of</v>
      </c>
      <c r="U84" s="121">
        <f t="shared" si="4"/>
        <v>5.8073124606458526E-2</v>
      </c>
      <c r="V84" s="172">
        <f>+INDEX(Charges_NonSlice!$Y$4:$Y$138,MATCH($A84,Charges_NonSlice!$AA$4:$AA$138,0),1)</f>
        <v>38.682024343608227</v>
      </c>
      <c r="W84" s="162">
        <f t="shared" si="3"/>
        <v>36.558932879044335</v>
      </c>
      <c r="Y84" s="126" t="s">
        <v>66</v>
      </c>
      <c r="Z84" s="127">
        <v>32.967308561056392</v>
      </c>
    </row>
    <row r="85" spans="1:26">
      <c r="A85">
        <f t="shared" si="5"/>
        <v>81</v>
      </c>
      <c r="B85" s="138" t="str">
        <f>+INDEX('Charges_Including Slice and LS'!$C$4:$C$138,MATCH($A85,'Charges_Including Slice and LS'!$AA$4:$AA$138,0),1)</f>
        <v>Oregon Trail Coop</v>
      </c>
      <c r="C85" s="121">
        <f>+INDEX('Charges_Including Slice and LS'!$Z$4:$Z$138,MATCH($A85,'Charges_Including Slice and LS'!$AA$4:$AA$138,0),1)</f>
        <v>4.6140525415232059E-2</v>
      </c>
      <c r="D85" s="107">
        <f>+INDEX('Charges_Including Slice and LS'!$Y$4:$Y$138,MATCH($A85,'Charges_Including Slice and LS'!$AA$4:$AA$138,0),1)</f>
        <v>35.868303558623474</v>
      </c>
      <c r="E85" s="131">
        <f>+INDEX('Charges_Including Slice and LS'!$X$4:$X$138,MATCH($A85,'Charges_Including Slice and LS'!$AA$4:$AA$138,0),1)/1000</f>
        <v>682.50036</v>
      </c>
      <c r="F85" s="131">
        <f>+SUM(E$5:E85)</f>
        <v>37035.727325903303</v>
      </c>
      <c r="H85" s="397" t="str">
        <f>+INDEX(Charges_NonSlice!$C$4:$C$138,MATCH($A85,Charges_NonSlice!$AA$4:$AA$138,0),1)</f>
        <v>U.S. Naval Base,  Bremerton</v>
      </c>
      <c r="I85" s="121">
        <f>+INDEX(Charges_NonSlice!$Z$4:$Z$138,MATCH($A85,Charges_NonSlice!$AA$4:$AA$138,0),1)</f>
        <v>4.7371453708598077E-2</v>
      </c>
      <c r="J85" s="172">
        <f>+INDEX(Charges_NonSlice!$Y$4:$Y$138,MATCH($A85,Charges_NonSlice!$AA$4:$AA$138,0),1)</f>
        <v>37.344997395560291</v>
      </c>
      <c r="K85" s="396">
        <f>+INDEX(Charges_NonSlice!$X$4:$X$138,MATCH($A85,Charges_NonSlice!$AA$4:$AA$138,0),1)/1000</f>
        <v>253.70373466214892</v>
      </c>
      <c r="L85" s="131">
        <f>+SUM(K$5:K85)</f>
        <v>31796.537177729755</v>
      </c>
      <c r="N85" s="397" t="str">
        <f ca="1">+INDEX('Charges_NonSlice &amp; Excl LS'!$C$4:$C$138,MATCH($A85,'Charges_NonSlice &amp; Excl LS'!$AA$4:$AA$138,0),1)</f>
        <v>Richland, City of</v>
      </c>
      <c r="O85" s="121">
        <f ca="1">+INDEX('Charges_NonSlice &amp; Excl LS'!$Z$4:$Z$138,MATCH($A85,'Charges_NonSlice &amp; Excl LS'!$AA$4:$AA$138,0),1)</f>
        <v>4.1917664614336853E-2</v>
      </c>
      <c r="P85" s="172">
        <f ca="1">+INDEX('Charges_NonSlice &amp; Excl LS'!$Y$4:$Y$138,MATCH($A85,'Charges_NonSlice &amp; Excl LS'!$AA$4:$AA$138,0),1)</f>
        <v>37.853626963271665</v>
      </c>
      <c r="Q85" s="396">
        <f ca="1">+INDEX('Charges_NonSlice &amp; Excl LS'!$X$4:$X$138,MATCH($A85,'Charges_NonSlice &amp; Excl LS'!$AA$4:$AA$138,0),1)/1000</f>
        <v>895.18384345091999</v>
      </c>
      <c r="R85" s="131">
        <f ca="1">+SUM(Q$5:Q85)</f>
        <v>30702.929013514433</v>
      </c>
      <c r="T85" s="397" t="str">
        <f>+INDEX(Charges_NonSlice!$C$4:$C$138,MATCH($A85,Charges_NonSlice!$AA$4:$AA$138,0),1)</f>
        <v>U.S. Naval Base,  Bremerton</v>
      </c>
      <c r="U85" s="121">
        <f t="shared" si="4"/>
        <v>3.1394122927452361E-2</v>
      </c>
      <c r="V85" s="172">
        <f>+INDEX(Charges_NonSlice!$Y$4:$Y$138,MATCH($A85,Charges_NonSlice!$AA$4:$AA$138,0),1)</f>
        <v>37.344997395560291</v>
      </c>
      <c r="W85" s="162">
        <f t="shared" si="3"/>
        <v>36.208270500477845</v>
      </c>
      <c r="Y85" s="126" t="s">
        <v>65</v>
      </c>
      <c r="Z85" s="127">
        <v>36.788278967752831</v>
      </c>
    </row>
    <row r="86" spans="1:26">
      <c r="A86">
        <f t="shared" si="5"/>
        <v>82</v>
      </c>
      <c r="B86" s="138" t="str">
        <f>+INDEX('Charges_Including Slice and LS'!$C$4:$C$138,MATCH($A86,'Charges_Including Slice and LS'!$AA$4:$AA$138,0),1)</f>
        <v>Ravalli County Elec Coop</v>
      </c>
      <c r="C86" s="121">
        <f>+INDEX('Charges_Including Slice and LS'!$Z$4:$Z$138,MATCH($A86,'Charges_Including Slice and LS'!$AA$4:$AA$138,0),1)</f>
        <v>4.6111172007150536E-2</v>
      </c>
      <c r="D86" s="107">
        <f>+INDEX('Charges_Including Slice and LS'!$Y$4:$Y$138,MATCH($A86,'Charges_Including Slice and LS'!$AA$4:$AA$138,0),1)</f>
        <v>35.972161615369458</v>
      </c>
      <c r="E86" s="131">
        <f>+INDEX('Charges_Including Slice and LS'!$X$4:$X$138,MATCH($A86,'Charges_Including Slice and LS'!$AA$4:$AA$138,0),1)/1000</f>
        <v>159.58967999999999</v>
      </c>
      <c r="F86" s="131">
        <f>+SUM(E$5:E86)</f>
        <v>37195.3170059033</v>
      </c>
      <c r="H86" s="397" t="str">
        <f>+INDEX(Charges_NonSlice!$C$4:$C$138,MATCH($A86,Charges_NonSlice!$AA$4:$AA$138,0),1)</f>
        <v>U.S. Naval Station, Everett (Jim Creek)</v>
      </c>
      <c r="I86" s="121">
        <f>+INDEX(Charges_NonSlice!$Z$4:$Z$138,MATCH($A86,Charges_NonSlice!$AA$4:$AA$138,0),1)</f>
        <v>4.734845853643721E-2</v>
      </c>
      <c r="J86" s="172">
        <f>+INDEX(Charges_NonSlice!$Y$4:$Y$138,MATCH($A86,Charges_NonSlice!$AA$4:$AA$138,0),1)</f>
        <v>38.210827811646851</v>
      </c>
      <c r="K86" s="396">
        <f>+INDEX(Charges_NonSlice!$X$4:$X$138,MATCH($A86,Charges_NonSlice!$AA$4:$AA$138,0),1)/1000</f>
        <v>12.041841184434345</v>
      </c>
      <c r="L86" s="131">
        <f>+SUM(K$5:K86)</f>
        <v>31808.579018914188</v>
      </c>
      <c r="N86" s="397" t="str">
        <f ca="1">+INDEX('Charges_NonSlice &amp; Excl LS'!$C$4:$C$138,MATCH($A86,'Charges_NonSlice &amp; Excl LS'!$AA$4:$AA$138,0),1)</f>
        <v>Ashland, City of</v>
      </c>
      <c r="O86" s="121">
        <f ca="1">+INDEX('Charges_NonSlice &amp; Excl LS'!$Z$4:$Z$138,MATCH($A86,'Charges_NonSlice &amp; Excl LS'!$AA$4:$AA$138,0),1)</f>
        <v>4.183656039756322E-2</v>
      </c>
      <c r="P86" s="172">
        <f ca="1">+INDEX('Charges_NonSlice &amp; Excl LS'!$Y$4:$Y$138,MATCH($A86,'Charges_NonSlice &amp; Excl LS'!$AA$4:$AA$138,0),1)</f>
        <v>38.003520390829962</v>
      </c>
      <c r="Q86" s="396">
        <f ca="1">+INDEX('Charges_NonSlice &amp; Excl LS'!$X$4:$X$138,MATCH($A86,'Charges_NonSlice &amp; Excl LS'!$AA$4:$AA$138,0),1)/1000</f>
        <v>181.604083800696</v>
      </c>
      <c r="R86" s="131">
        <f ca="1">+SUM(Q$5:Q86)</f>
        <v>30884.533097315129</v>
      </c>
      <c r="T86" s="397" t="str">
        <f>+INDEX(Charges_NonSlice!$C$4:$C$138,MATCH($A86,Charges_NonSlice!$AA$4:$AA$138,0),1)</f>
        <v>U.S. Naval Station, Everett (Jim Creek)</v>
      </c>
      <c r="U86" s="121">
        <f t="shared" si="4"/>
        <v>5.7910064300826791E-2</v>
      </c>
      <c r="V86" s="172">
        <f>+INDEX(Charges_NonSlice!$Y$4:$Y$138,MATCH($A86,Charges_NonSlice!$AA$4:$AA$138,0),1)</f>
        <v>38.210827811646851</v>
      </c>
      <c r="W86" s="162">
        <f t="shared" si="3"/>
        <v>36.119164663491887</v>
      </c>
      <c r="Y86" s="126" t="s">
        <v>138</v>
      </c>
      <c r="Z86" s="127">
        <v>35.437596747908167</v>
      </c>
    </row>
    <row r="87" spans="1:26">
      <c r="A87">
        <f t="shared" si="5"/>
        <v>83</v>
      </c>
      <c r="B87" s="138" t="str">
        <f>+INDEX('Charges_Including Slice and LS'!$C$4:$C$138,MATCH($A87,'Charges_Including Slice and LS'!$AA$4:$AA$138,0),1)</f>
        <v>Columbia River PUD</v>
      </c>
      <c r="C87" s="121">
        <f>+INDEX('Charges_Including Slice and LS'!$Z$4:$Z$138,MATCH($A87,'Charges_Including Slice and LS'!$AA$4:$AA$138,0),1)</f>
        <v>4.6049644620740349E-2</v>
      </c>
      <c r="D87" s="107">
        <f>+INDEX('Charges_Including Slice and LS'!$Y$4:$Y$138,MATCH($A87,'Charges_Including Slice and LS'!$AA$4:$AA$138,0),1)</f>
        <v>38.83950916411753</v>
      </c>
      <c r="E87" s="131">
        <f>+INDEX('Charges_Including Slice and LS'!$X$4:$X$138,MATCH($A87,'Charges_Including Slice and LS'!$AA$4:$AA$138,0),1)/1000</f>
        <v>490.84504916107613</v>
      </c>
      <c r="F87" s="131">
        <f>+SUM(E$5:E87)</f>
        <v>37686.162055064378</v>
      </c>
      <c r="H87" s="397" t="str">
        <f>+INDEX(Charges_NonSlice!$C$4:$C$138,MATCH($A87,Charges_NonSlice!$AA$4:$AA$138,0),1)</f>
        <v>Ellensburg, City of</v>
      </c>
      <c r="I87" s="121">
        <f>+INDEX(Charges_NonSlice!$Z$4:$Z$138,MATCH($A87,Charges_NonSlice!$AA$4:$AA$138,0),1)</f>
        <v>4.6886936839704463E-2</v>
      </c>
      <c r="J87" s="172">
        <f>+INDEX(Charges_NonSlice!$Y$4:$Y$138,MATCH($A87,Charges_NonSlice!$AA$4:$AA$138,0),1)</f>
        <v>38.331814227567683</v>
      </c>
      <c r="K87" s="396">
        <f>+INDEX(Charges_NonSlice!$X$4:$X$138,MATCH($A87,Charges_NonSlice!$AA$4:$AA$138,0),1)/1000</f>
        <v>205.95744501574117</v>
      </c>
      <c r="L87" s="131">
        <f>+SUM(K$5:K87)</f>
        <v>32014.53646392993</v>
      </c>
      <c r="N87" s="397" t="str">
        <f ca="1">+INDEX('Charges_NonSlice &amp; Excl LS'!$C$4:$C$138,MATCH($A87,'Charges_NonSlice &amp; Excl LS'!$AA$4:$AA$138,0),1)</f>
        <v>Drain, City of</v>
      </c>
      <c r="O87" s="121">
        <f ca="1">+INDEX('Charges_NonSlice &amp; Excl LS'!$Z$4:$Z$138,MATCH($A87,'Charges_NonSlice &amp; Excl LS'!$AA$4:$AA$138,0),1)</f>
        <v>4.1755003762504031E-2</v>
      </c>
      <c r="P87" s="172">
        <f ca="1">+INDEX('Charges_NonSlice &amp; Excl LS'!$Y$4:$Y$138,MATCH($A87,'Charges_NonSlice &amp; Excl LS'!$AA$4:$AA$138,0),1)</f>
        <v>37.445048386190741</v>
      </c>
      <c r="Q87" s="396">
        <f ca="1">+INDEX('Charges_NonSlice &amp; Excl LS'!$X$4:$X$138,MATCH($A87,'Charges_NonSlice &amp; Excl LS'!$AA$4:$AA$138,0),1)/1000</f>
        <v>16.352945538047997</v>
      </c>
      <c r="R87" s="131">
        <f ca="1">+SUM(Q$5:Q87)</f>
        <v>30900.886042853177</v>
      </c>
      <c r="T87" s="397" t="str">
        <f>+INDEX(Charges_NonSlice!$C$4:$C$138,MATCH($A87,Charges_NonSlice!$AA$4:$AA$138,0),1)</f>
        <v>Ellensburg, City of</v>
      </c>
      <c r="U87" s="121">
        <f t="shared" si="4"/>
        <v>3.4430418343613933E-2</v>
      </c>
      <c r="V87" s="172">
        <f>+INDEX(Charges_NonSlice!$Y$4:$Y$138,MATCH($A87,Charges_NonSlice!$AA$4:$AA$138,0),1)</f>
        <v>38.331814227567683</v>
      </c>
      <c r="W87" s="162">
        <f t="shared" si="3"/>
        <v>37.055961955320939</v>
      </c>
      <c r="Y87" s="126" t="s">
        <v>120</v>
      </c>
      <c r="Z87" s="127">
        <v>37.369808482669363</v>
      </c>
    </row>
    <row r="88" spans="1:26">
      <c r="A88">
        <f t="shared" si="5"/>
        <v>84</v>
      </c>
      <c r="B88" s="138" t="str">
        <f>+INDEX('Charges_Including Slice and LS'!$C$4:$C$138,MATCH($A88,'Charges_Including Slice and LS'!$AA$4:$AA$138,0),1)</f>
        <v>Whatcom County PUD #1</v>
      </c>
      <c r="C88" s="121">
        <f>+INDEX('Charges_Including Slice and LS'!$Z$4:$Z$138,MATCH($A88,'Charges_Including Slice and LS'!$AA$4:$AA$138,0),1)</f>
        <v>4.6034846594706691E-2</v>
      </c>
      <c r="D88" s="107">
        <f>+INDEX('Charges_Including Slice and LS'!$Y$4:$Y$138,MATCH($A88,'Charges_Including Slice and LS'!$AA$4:$AA$138,0),1)</f>
        <v>36.642438695252039</v>
      </c>
      <c r="E88" s="131">
        <f>+INDEX('Charges_Including Slice and LS'!$X$4:$X$138,MATCH($A88,'Charges_Including Slice and LS'!$AA$4:$AA$138,0),1)/1000</f>
        <v>230.04192734644488</v>
      </c>
      <c r="F88" s="131">
        <f>+SUM(E$5:E88)</f>
        <v>37916.203982410821</v>
      </c>
      <c r="H88" s="397" t="str">
        <f>+INDEX(Charges_NonSlice!$C$4:$C$138,MATCH($A88,Charges_NonSlice!$AA$4:$AA$138,0),1)</f>
        <v>Salmon River Elec Coop</v>
      </c>
      <c r="I88" s="121">
        <f>+INDEX(Charges_NonSlice!$Z$4:$Z$138,MATCH($A88,Charges_NonSlice!$AA$4:$AA$138,0),1)</f>
        <v>4.6273305199727721E-2</v>
      </c>
      <c r="J88" s="172">
        <f>+INDEX(Charges_NonSlice!$Y$4:$Y$138,MATCH($A88,Charges_NonSlice!$AA$4:$AA$138,0),1)</f>
        <v>32.626810560467128</v>
      </c>
      <c r="K88" s="396">
        <f>+INDEX(Charges_NonSlice!$X$4:$X$138,MATCH($A88,Charges_NonSlice!$AA$4:$AA$138,0),1)/1000</f>
        <v>99.556386452487033</v>
      </c>
      <c r="L88" s="131">
        <f>+SUM(K$5:K88)</f>
        <v>32114.092850382418</v>
      </c>
      <c r="N88" s="397" t="str">
        <f ca="1">+INDEX('Charges_NonSlice &amp; Excl LS'!$C$4:$C$138,MATCH($A88,'Charges_NonSlice &amp; Excl LS'!$AA$4:$AA$138,0),1)</f>
        <v>Forest Grove, City of</v>
      </c>
      <c r="O88" s="121">
        <f ca="1">+INDEX('Charges_NonSlice &amp; Excl LS'!$Z$4:$Z$138,MATCH($A88,'Charges_NonSlice &amp; Excl LS'!$AA$4:$AA$138,0),1)</f>
        <v>4.1659463166263636E-2</v>
      </c>
      <c r="P88" s="172">
        <f ca="1">+INDEX('Charges_NonSlice &amp; Excl LS'!$Y$4:$Y$138,MATCH($A88,'Charges_NonSlice &amp; Excl LS'!$AA$4:$AA$138,0),1)</f>
        <v>38.842625943524425</v>
      </c>
      <c r="Q88" s="396">
        <f ca="1">+INDEX('Charges_NonSlice &amp; Excl LS'!$X$4:$X$138,MATCH($A88,'Charges_NonSlice &amp; Excl LS'!$AA$4:$AA$138,0),1)/1000</f>
        <v>229.98763136918402</v>
      </c>
      <c r="R88" s="131">
        <f ca="1">+SUM(Q$5:Q88)</f>
        <v>31130.873674222363</v>
      </c>
      <c r="T88" s="397" t="str">
        <f>+INDEX(Charges_NonSlice!$C$4:$C$138,MATCH($A88,Charges_NonSlice!$AA$4:$AA$138,0),1)</f>
        <v>Salmon River Elec Coop</v>
      </c>
      <c r="U88" s="121">
        <f t="shared" si="4"/>
        <v>4.1008180433786734E-2</v>
      </c>
      <c r="V88" s="172">
        <f>+INDEX(Charges_NonSlice!$Y$4:$Y$138,MATCH($A88,Charges_NonSlice!$AA$4:$AA$138,0),1)</f>
        <v>32.626810560467128</v>
      </c>
      <c r="W88" s="162">
        <f t="shared" si="3"/>
        <v>31.341550598451182</v>
      </c>
      <c r="Y88" s="126" t="s">
        <v>129</v>
      </c>
      <c r="Z88" s="127">
        <v>33.986542590726749</v>
      </c>
    </row>
    <row r="89" spans="1:26">
      <c r="A89">
        <f t="shared" si="5"/>
        <v>85</v>
      </c>
      <c r="B89" s="138" t="str">
        <f>+INDEX('Charges_Including Slice and LS'!$C$4:$C$138,MATCH($A89,'Charges_Including Slice and LS'!$AA$4:$AA$138,0),1)</f>
        <v>Hermiston, City of</v>
      </c>
      <c r="C89" s="121">
        <f>+INDEX('Charges_Including Slice and LS'!$Z$4:$Z$138,MATCH($A89,'Charges_Including Slice and LS'!$AA$4:$AA$138,0),1)</f>
        <v>4.6019800713200665E-2</v>
      </c>
      <c r="D89" s="107">
        <f>+INDEX('Charges_Including Slice and LS'!$Y$4:$Y$138,MATCH($A89,'Charges_Including Slice and LS'!$AA$4:$AA$138,0),1)</f>
        <v>38.207984794067336</v>
      </c>
      <c r="E89" s="131">
        <f>+INDEX('Charges_Including Slice and LS'!$X$4:$X$138,MATCH($A89,'Charges_Including Slice and LS'!$AA$4:$AA$138,0),1)/1000</f>
        <v>108.50636558970334</v>
      </c>
      <c r="F89" s="131">
        <f>+SUM(E$5:E89)</f>
        <v>38024.710348000524</v>
      </c>
      <c r="H89" s="397" t="str">
        <f>+INDEX(Charges_NonSlice!$C$4:$C$138,MATCH($A89,Charges_NonSlice!$AA$4:$AA$138,0),1)</f>
        <v>Clallam County PUD #1</v>
      </c>
      <c r="I89" s="121">
        <f>+INDEX(Charges_NonSlice!$Z$4:$Z$138,MATCH($A89,Charges_NonSlice!$AA$4:$AA$138,0),1)</f>
        <v>4.6236530585700431E-2</v>
      </c>
      <c r="J89" s="172">
        <f>+INDEX(Charges_NonSlice!$Y$4:$Y$138,MATCH($A89,Charges_NonSlice!$AA$4:$AA$138,0),1)</f>
        <v>38.121161353882201</v>
      </c>
      <c r="K89" s="396">
        <f>+INDEX(Charges_NonSlice!$X$4:$X$138,MATCH($A89,Charges_NonSlice!$AA$4:$AA$138,0),1)/1000</f>
        <v>644.86300556049775</v>
      </c>
      <c r="L89" s="131">
        <f>+SUM(K$5:K89)</f>
        <v>32758.955855942917</v>
      </c>
      <c r="N89" s="397" t="str">
        <f ca="1">+INDEX('Charges_NonSlice &amp; Excl LS'!$C$4:$C$138,MATCH($A89,'Charges_NonSlice &amp; Excl LS'!$AA$4:$AA$138,0),1)</f>
        <v>U.S. Naval Base,  Bremerton</v>
      </c>
      <c r="O89" s="121">
        <f ca="1">+INDEX('Charges_NonSlice &amp; Excl LS'!$Z$4:$Z$138,MATCH($A89,'Charges_NonSlice &amp; Excl LS'!$AA$4:$AA$138,0),1)</f>
        <v>4.1569553751688221E-2</v>
      </c>
      <c r="P89" s="172">
        <f ca="1">+INDEX('Charges_NonSlice &amp; Excl LS'!$Y$4:$Y$138,MATCH($A89,'Charges_NonSlice &amp; Excl LS'!$AA$4:$AA$138,0),1)</f>
        <v>37.010641253003179</v>
      </c>
      <c r="Q89" s="396">
        <f ca="1">+INDEX('Charges_NonSlice &amp; Excl LS'!$X$4:$X$138,MATCH($A89,'Charges_NonSlice &amp; Excl LS'!$AA$4:$AA$138,0),1)/1000</f>
        <v>251.01893074605596</v>
      </c>
      <c r="R89" s="131">
        <f ca="1">+SUM(Q$5:Q89)</f>
        <v>31381.89260496842</v>
      </c>
      <c r="T89" s="397" t="str">
        <f>+INDEX(Charges_NonSlice!$C$4:$C$138,MATCH($A89,Charges_NonSlice!$AA$4:$AA$138,0),1)</f>
        <v>Clallam County PUD #1</v>
      </c>
      <c r="U89" s="121">
        <f t="shared" si="4"/>
        <v>7.8937003978983844E-2</v>
      </c>
      <c r="V89" s="172">
        <f>+INDEX(Charges_NonSlice!$Y$4:$Y$138,MATCH($A89,Charges_NonSlice!$AA$4:$AA$138,0),1)</f>
        <v>38.121161353882201</v>
      </c>
      <c r="W89" s="162">
        <f t="shared" si="3"/>
        <v>35.332147487106432</v>
      </c>
      <c r="Y89" s="126" t="s">
        <v>34</v>
      </c>
      <c r="Z89" s="127">
        <v>36.771305257420245</v>
      </c>
    </row>
    <row r="90" spans="1:26">
      <c r="A90">
        <f t="shared" si="5"/>
        <v>86</v>
      </c>
      <c r="B90" s="138" t="str">
        <f>+INDEX('Charges_Including Slice and LS'!$C$4:$C$138,MATCH($A90,'Charges_Including Slice and LS'!$AA$4:$AA$138,0),1)</f>
        <v>Cowlitz County PUD #1</v>
      </c>
      <c r="C90" s="121">
        <f>+INDEX('Charges_Including Slice and LS'!$Z$4:$Z$138,MATCH($A90,'Charges_Including Slice and LS'!$AA$4:$AA$138,0),1)</f>
        <v>4.572607163960174E-2</v>
      </c>
      <c r="D90" s="107">
        <f>+INDEX('Charges_Including Slice and LS'!$Y$4:$Y$138,MATCH($A90,'Charges_Including Slice and LS'!$AA$4:$AA$138,0),1)</f>
        <v>39.085462647622975</v>
      </c>
      <c r="E90" s="131">
        <f>+INDEX('Charges_Including Slice and LS'!$X$4:$X$138,MATCH($A90,'Charges_Including Slice and LS'!$AA$4:$AA$138,0),1)/1000</f>
        <v>4706.4548222575568</v>
      </c>
      <c r="F90" s="131">
        <f>+SUM(E$5:E90)</f>
        <v>42731.165170258078</v>
      </c>
      <c r="H90" s="397" t="str">
        <f>+INDEX(Charges_NonSlice!$C$4:$C$138,MATCH($A90,Charges_NonSlice!$AA$4:$AA$138,0),1)</f>
        <v>Oregon Trail Coop</v>
      </c>
      <c r="I90" s="121">
        <f>+INDEX(Charges_NonSlice!$Z$4:$Z$138,MATCH($A90,Charges_NonSlice!$AA$4:$AA$138,0),1)</f>
        <v>4.6140525415232059E-2</v>
      </c>
      <c r="J90" s="172">
        <f>+INDEX(Charges_NonSlice!$Y$4:$Y$138,MATCH($A90,Charges_NonSlice!$AA$4:$AA$138,0),1)</f>
        <v>35.868303558623474</v>
      </c>
      <c r="K90" s="396">
        <f>+INDEX(Charges_NonSlice!$X$4:$X$138,MATCH($A90,Charges_NonSlice!$AA$4:$AA$138,0),1)/1000</f>
        <v>682.50036</v>
      </c>
      <c r="L90" s="131">
        <f>+SUM(K$5:K90)</f>
        <v>33441.456215942919</v>
      </c>
      <c r="N90" s="397" t="str">
        <f ca="1">+INDEX('Charges_NonSlice &amp; Excl LS'!$C$4:$C$138,MATCH($A90,'Charges_NonSlice &amp; Excl LS'!$AA$4:$AA$138,0),1)</f>
        <v>Inland P &amp; L</v>
      </c>
      <c r="O90" s="121">
        <f ca="1">+INDEX('Charges_NonSlice &amp; Excl LS'!$Z$4:$Z$138,MATCH($A90,'Charges_NonSlice &amp; Excl LS'!$AA$4:$AA$138,0),1)</f>
        <v>4.1547877507259467E-2</v>
      </c>
      <c r="P90" s="172">
        <f ca="1">+INDEX('Charges_NonSlice &amp; Excl LS'!$Y$4:$Y$138,MATCH($A90,'Charges_NonSlice &amp; Excl LS'!$AA$4:$AA$138,0),1)</f>
        <v>35.076873897776501</v>
      </c>
      <c r="Q90" s="396">
        <f ca="1">+INDEX('Charges_NonSlice &amp; Excl LS'!$X$4:$X$138,MATCH($A90,'Charges_NonSlice &amp; Excl LS'!$AA$4:$AA$138,0),1)/1000</f>
        <v>904.09644211655996</v>
      </c>
      <c r="R90" s="131">
        <f ca="1">+SUM(Q$5:Q90)</f>
        <v>32285.989047084979</v>
      </c>
      <c r="T90" s="397" t="str">
        <f>+INDEX(Charges_NonSlice!$C$4:$C$138,MATCH($A90,Charges_NonSlice!$AA$4:$AA$138,0),1)</f>
        <v>Oregon Trail Coop</v>
      </c>
      <c r="U90" s="121">
        <f t="shared" si="4"/>
        <v>8.2830144381970561E-2</v>
      </c>
      <c r="V90" s="172">
        <f>+INDEX(Charges_NonSlice!$Y$4:$Y$138,MATCH($A90,Charges_NonSlice!$AA$4:$AA$138,0),1)</f>
        <v>35.868303558623474</v>
      </c>
      <c r="W90" s="162">
        <f t="shared" si="3"/>
        <v>33.124589063869706</v>
      </c>
      <c r="Y90" s="126" t="s">
        <v>36</v>
      </c>
      <c r="Z90" s="127">
        <v>36.221462410422824</v>
      </c>
    </row>
    <row r="91" spans="1:26">
      <c r="A91">
        <f t="shared" si="5"/>
        <v>87</v>
      </c>
      <c r="B91" s="138" t="str">
        <f>+INDEX('Charges_Including Slice and LS'!$C$4:$C$138,MATCH($A91,'Charges_Including Slice and LS'!$AA$4:$AA$138,0),1)</f>
        <v>Eugene Water &amp; Electric Board</v>
      </c>
      <c r="C91" s="121">
        <f>+INDEX('Charges_Including Slice and LS'!$Z$4:$Z$138,MATCH($A91,'Charges_Including Slice and LS'!$AA$4:$AA$138,0),1)</f>
        <v>4.5602882289425439E-2</v>
      </c>
      <c r="D91" s="107">
        <f>+INDEX('Charges_Including Slice and LS'!$Y$4:$Y$138,MATCH($A91,'Charges_Including Slice and LS'!$AA$4:$AA$138,0),1)</f>
        <v>39.332912195874876</v>
      </c>
      <c r="E91" s="131">
        <f>+INDEX('Charges_Including Slice and LS'!$X$4:$X$138,MATCH($A91,'Charges_Including Slice and LS'!$AA$4:$AA$138,0),1)/1000</f>
        <v>2063.9037985193686</v>
      </c>
      <c r="F91" s="131">
        <f>+SUM(E$5:E91)</f>
        <v>44795.06896877745</v>
      </c>
      <c r="H91" s="397" t="str">
        <f>+INDEX(Charges_NonSlice!$C$4:$C$138,MATCH($A91,Charges_NonSlice!$AA$4:$AA$138,0),1)</f>
        <v>Ravalli County Elec Coop</v>
      </c>
      <c r="I91" s="121">
        <f>+INDEX(Charges_NonSlice!$Z$4:$Z$138,MATCH($A91,Charges_NonSlice!$AA$4:$AA$138,0),1)</f>
        <v>4.6111172007150536E-2</v>
      </c>
      <c r="J91" s="172">
        <f>+INDEX(Charges_NonSlice!$Y$4:$Y$138,MATCH($A91,Charges_NonSlice!$AA$4:$AA$138,0),1)</f>
        <v>35.972161615369458</v>
      </c>
      <c r="K91" s="396">
        <f>+INDEX(Charges_NonSlice!$X$4:$X$138,MATCH($A91,Charges_NonSlice!$AA$4:$AA$138,0),1)/1000</f>
        <v>159.58967999999999</v>
      </c>
      <c r="L91" s="131">
        <f>+SUM(K$5:K91)</f>
        <v>33601.045895942916</v>
      </c>
      <c r="N91" s="397" t="str">
        <f ca="1">+INDEX('Charges_NonSlice &amp; Excl LS'!$C$4:$C$138,MATCH($A91,'Charges_NonSlice &amp; Excl LS'!$AA$4:$AA$138,0),1)</f>
        <v>Vera Irrigation District</v>
      </c>
      <c r="O91" s="121">
        <f ca="1">+INDEX('Charges_NonSlice &amp; Excl LS'!$Z$4:$Z$138,MATCH($A91,'Charges_NonSlice &amp; Excl LS'!$AA$4:$AA$138,0),1)</f>
        <v>4.1498849685795314E-2</v>
      </c>
      <c r="P91" s="172">
        <f ca="1">+INDEX('Charges_NonSlice &amp; Excl LS'!$Y$4:$Y$138,MATCH($A91,'Charges_NonSlice &amp; Excl LS'!$AA$4:$AA$138,0),1)</f>
        <v>38.234313829284432</v>
      </c>
      <c r="Q91" s="396">
        <f ca="1">+INDEX('Charges_NonSlice &amp; Excl LS'!$X$4:$X$138,MATCH($A91,'Charges_NonSlice &amp; Excl LS'!$AA$4:$AA$138,0),1)/1000</f>
        <v>234.07586775369597</v>
      </c>
      <c r="R91" s="131">
        <f ca="1">+SUM(Q$5:Q91)</f>
        <v>32520.064914838673</v>
      </c>
      <c r="T91" s="397" t="str">
        <f>+INDEX(Charges_NonSlice!$C$4:$C$138,MATCH($A91,Charges_NonSlice!$AA$4:$AA$138,0),1)</f>
        <v>Ravalli County Elec Coop</v>
      </c>
      <c r="U91" s="121">
        <f t="shared" si="4"/>
        <v>4.6057565269465028E-2</v>
      </c>
      <c r="V91" s="172">
        <f>+INDEX(Charges_NonSlice!$Y$4:$Y$138,MATCH($A91,Charges_NonSlice!$AA$4:$AA$138,0),1)</f>
        <v>35.972161615369458</v>
      </c>
      <c r="W91" s="162">
        <f t="shared" si="3"/>
        <v>34.388319352293969</v>
      </c>
      <c r="Y91" s="126" t="s">
        <v>139</v>
      </c>
      <c r="Z91" s="127">
        <v>36.977727111650339</v>
      </c>
    </row>
    <row r="92" spans="1:26">
      <c r="A92">
        <f t="shared" si="5"/>
        <v>88</v>
      </c>
      <c r="B92" s="138" t="str">
        <f>+INDEX('Charges_Including Slice and LS'!$C$4:$C$138,MATCH($A92,'Charges_Including Slice and LS'!$AA$4:$AA$138,0),1)</f>
        <v>Franklin County PUD #1</v>
      </c>
      <c r="C92" s="121">
        <f>+INDEX('Charges_Including Slice and LS'!$Z$4:$Z$138,MATCH($A92,'Charges_Including Slice and LS'!$AA$4:$AA$138,0),1)</f>
        <v>4.5512627187566101E-2</v>
      </c>
      <c r="D92" s="107">
        <f>+INDEX('Charges_Including Slice and LS'!$Y$4:$Y$138,MATCH($A92,'Charges_Including Slice and LS'!$AA$4:$AA$138,0),1)</f>
        <v>37.654641209234228</v>
      </c>
      <c r="E92" s="131">
        <f>+INDEX('Charges_Including Slice and LS'!$X$4:$X$138,MATCH($A92,'Charges_Including Slice and LS'!$AA$4:$AA$138,0),1)/1000</f>
        <v>1005.4831731664766</v>
      </c>
      <c r="F92" s="131">
        <f>+SUM(E$5:E92)</f>
        <v>45800.552141943925</v>
      </c>
      <c r="H92" s="397" t="str">
        <f>+INDEX(Charges_NonSlice!$C$4:$C$138,MATCH($A92,Charges_NonSlice!$AA$4:$AA$138,0),1)</f>
        <v>Columbia River PUD</v>
      </c>
      <c r="I92" s="121">
        <f>+INDEX(Charges_NonSlice!$Z$4:$Z$138,MATCH($A92,Charges_NonSlice!$AA$4:$AA$138,0),1)</f>
        <v>4.6049644620740349E-2</v>
      </c>
      <c r="J92" s="172">
        <f>+INDEX(Charges_NonSlice!$Y$4:$Y$138,MATCH($A92,Charges_NonSlice!$AA$4:$AA$138,0),1)</f>
        <v>38.83950916411753</v>
      </c>
      <c r="K92" s="396">
        <f>+INDEX(Charges_NonSlice!$X$4:$X$138,MATCH($A92,Charges_NonSlice!$AA$4:$AA$138,0),1)/1000</f>
        <v>490.84504916107613</v>
      </c>
      <c r="L92" s="131">
        <f>+SUM(K$5:K92)</f>
        <v>34091.890945103994</v>
      </c>
      <c r="N92" s="397" t="str">
        <f ca="1">+INDEX('Charges_NonSlice &amp; Excl LS'!$C$4:$C$138,MATCH($A92,'Charges_NonSlice &amp; Excl LS'!$AA$4:$AA$138,0),1)</f>
        <v>Modern Elec Coop</v>
      </c>
      <c r="O92" s="121">
        <f ca="1">+INDEX('Charges_NonSlice &amp; Excl LS'!$Z$4:$Z$138,MATCH($A92,'Charges_NonSlice &amp; Excl LS'!$AA$4:$AA$138,0),1)</f>
        <v>4.1395766944461183E-2</v>
      </c>
      <c r="P92" s="172">
        <f ca="1">+INDEX('Charges_NonSlice &amp; Excl LS'!$Y$4:$Y$138,MATCH($A92,'Charges_NonSlice &amp; Excl LS'!$AA$4:$AA$138,0),1)</f>
        <v>37.887381272844834</v>
      </c>
      <c r="Q92" s="396">
        <f ca="1">+INDEX('Charges_NonSlice &amp; Excl LS'!$X$4:$X$138,MATCH($A92,'Charges_NonSlice &amp; Excl LS'!$AA$4:$AA$138,0),1)/1000</f>
        <v>226.562516660136</v>
      </c>
      <c r="R92" s="131">
        <f ca="1">+SUM(Q$5:Q92)</f>
        <v>32746.627431498808</v>
      </c>
      <c r="T92" s="397" t="str">
        <f>+INDEX(Charges_NonSlice!$C$4:$C$138,MATCH($A92,Charges_NonSlice!$AA$4:$AA$138,0),1)</f>
        <v>Columbia River PUD</v>
      </c>
      <c r="U92" s="121">
        <f t="shared" si="4"/>
        <v>5.3189864103897921E-2</v>
      </c>
      <c r="V92" s="172">
        <f>+INDEX(Charges_NonSlice!$Y$4:$Y$138,MATCH($A92,Charges_NonSlice!$AA$4:$AA$138,0),1)</f>
        <v>38.83950916411753</v>
      </c>
      <c r="W92" s="162">
        <f t="shared" si="3"/>
        <v>36.877974701326963</v>
      </c>
      <c r="Y92" s="126" t="s">
        <v>86</v>
      </c>
      <c r="Z92" s="127">
        <v>34.369090667668381</v>
      </c>
    </row>
    <row r="93" spans="1:26">
      <c r="A93">
        <f t="shared" si="5"/>
        <v>89</v>
      </c>
      <c r="B93" s="138" t="str">
        <f>+INDEX('Charges_Including Slice and LS'!$C$4:$C$138,MATCH($A93,'Charges_Including Slice and LS'!$AA$4:$AA$138,0),1)</f>
        <v>Cascade Locks, City of</v>
      </c>
      <c r="C93" s="121">
        <f>+INDEX('Charges_Including Slice and LS'!$Z$4:$Z$138,MATCH($A93,'Charges_Including Slice and LS'!$AA$4:$AA$138,0),1)</f>
        <v>4.5454125796055012E-2</v>
      </c>
      <c r="D93" s="107">
        <f>+INDEX('Charges_Including Slice and LS'!$Y$4:$Y$138,MATCH($A93,'Charges_Including Slice and LS'!$AA$4:$AA$138,0),1)</f>
        <v>37.081531927834149</v>
      </c>
      <c r="E93" s="131">
        <f>+INDEX('Charges_Including Slice and LS'!$X$4:$X$138,MATCH($A93,'Charges_Including Slice and LS'!$AA$4:$AA$138,0),1)/1000</f>
        <v>20.489639999999998</v>
      </c>
      <c r="F93" s="131">
        <f>+SUM(E$5:E93)</f>
        <v>45821.041781943924</v>
      </c>
      <c r="H93" s="397" t="str">
        <f>+INDEX(Charges_NonSlice!$C$4:$C$138,MATCH($A93,Charges_NonSlice!$AA$4:$AA$138,0),1)</f>
        <v>Whatcom County PUD #1</v>
      </c>
      <c r="I93" s="121">
        <f>+INDEX(Charges_NonSlice!$Z$4:$Z$138,MATCH($A93,Charges_NonSlice!$AA$4:$AA$138,0),1)</f>
        <v>4.6034846594706691E-2</v>
      </c>
      <c r="J93" s="172">
        <f>+INDEX(Charges_NonSlice!$Y$4:$Y$138,MATCH($A93,Charges_NonSlice!$AA$4:$AA$138,0),1)</f>
        <v>36.642438695252039</v>
      </c>
      <c r="K93" s="396">
        <f>+INDEX(Charges_NonSlice!$X$4:$X$138,MATCH($A93,Charges_NonSlice!$AA$4:$AA$138,0),1)/1000</f>
        <v>230.04192734644488</v>
      </c>
      <c r="L93" s="131">
        <f>+SUM(K$5:K93)</f>
        <v>34321.932872450438</v>
      </c>
      <c r="N93" s="397" t="str">
        <f ca="1">+INDEX('Charges_NonSlice &amp; Excl LS'!$C$4:$C$138,MATCH($A93,'Charges_NonSlice &amp; Excl LS'!$AA$4:$AA$138,0),1)</f>
        <v>Wasco Elec Coop</v>
      </c>
      <c r="O93" s="121">
        <f ca="1">+INDEX('Charges_NonSlice &amp; Excl LS'!$Z$4:$Z$138,MATCH($A93,'Charges_NonSlice &amp; Excl LS'!$AA$4:$AA$138,0),1)</f>
        <v>4.1377085652177556E-2</v>
      </c>
      <c r="P93" s="172">
        <f ca="1">+INDEX('Charges_NonSlice &amp; Excl LS'!$Y$4:$Y$138,MATCH($A93,'Charges_NonSlice &amp; Excl LS'!$AA$4:$AA$138,0),1)</f>
        <v>35.618367737748549</v>
      </c>
      <c r="Q93" s="396">
        <f ca="1">+INDEX('Charges_NonSlice &amp; Excl LS'!$X$4:$X$138,MATCH($A93,'Charges_NonSlice &amp; Excl LS'!$AA$4:$AA$138,0),1)/1000</f>
        <v>114.31852663893599</v>
      </c>
      <c r="R93" s="131">
        <f ca="1">+SUM(Q$5:Q93)</f>
        <v>32860.945958137745</v>
      </c>
      <c r="T93" s="397" t="str">
        <f>+INDEX(Charges_NonSlice!$C$4:$C$138,MATCH($A93,Charges_NonSlice!$AA$4:$AA$138,0),1)</f>
        <v>Whatcom County PUD #1</v>
      </c>
      <c r="U93" s="121">
        <f t="shared" si="4"/>
        <v>4.7131391118830246E-2</v>
      </c>
      <c r="V93" s="172">
        <f>+INDEX(Charges_NonSlice!$Y$4:$Y$138,MATCH($A93,Charges_NonSlice!$AA$4:$AA$138,0),1)</f>
        <v>36.642438695252039</v>
      </c>
      <c r="W93" s="162">
        <f t="shared" si="3"/>
        <v>34.993162277468002</v>
      </c>
      <c r="Y93" s="126" t="s">
        <v>76</v>
      </c>
      <c r="Z93" s="127">
        <v>33.134061422843907</v>
      </c>
    </row>
    <row r="94" spans="1:26">
      <c r="A94">
        <f t="shared" si="5"/>
        <v>90</v>
      </c>
      <c r="B94" s="138" t="str">
        <f>+INDEX('Charges_Including Slice and LS'!$C$4:$C$138,MATCH($A94,'Charges_Including Slice and LS'!$AA$4:$AA$138,0),1)</f>
        <v>Missoula Elec Coop</v>
      </c>
      <c r="C94" s="121">
        <f>+INDEX('Charges_Including Slice and LS'!$Z$4:$Z$138,MATCH($A94,'Charges_Including Slice and LS'!$AA$4:$AA$138,0),1)</f>
        <v>4.5307527673636772E-2</v>
      </c>
      <c r="D94" s="107">
        <f>+INDEX('Charges_Including Slice and LS'!$Y$4:$Y$138,MATCH($A94,'Charges_Including Slice and LS'!$AA$4:$AA$138,0),1)</f>
        <v>36.595711510402431</v>
      </c>
      <c r="E94" s="131">
        <f>+INDEX('Charges_Including Slice and LS'!$X$4:$X$138,MATCH($A94,'Charges_Including Slice and LS'!$AA$4:$AA$138,0),1)/1000</f>
        <v>232.59551999999999</v>
      </c>
      <c r="F94" s="131">
        <f>+SUM(E$5:E94)</f>
        <v>46053.637301943927</v>
      </c>
      <c r="H94" s="397" t="str">
        <f>+INDEX(Charges_NonSlice!$C$4:$C$138,MATCH($A94,Charges_NonSlice!$AA$4:$AA$138,0),1)</f>
        <v>Hermiston, City of</v>
      </c>
      <c r="I94" s="121">
        <f>+INDEX(Charges_NonSlice!$Z$4:$Z$138,MATCH($A94,Charges_NonSlice!$AA$4:$AA$138,0),1)</f>
        <v>4.6019800713200665E-2</v>
      </c>
      <c r="J94" s="172">
        <f>+INDEX(Charges_NonSlice!$Y$4:$Y$138,MATCH($A94,Charges_NonSlice!$AA$4:$AA$138,0),1)</f>
        <v>38.207984794067336</v>
      </c>
      <c r="K94" s="396">
        <f>+INDEX(Charges_NonSlice!$X$4:$X$138,MATCH($A94,Charges_NonSlice!$AA$4:$AA$138,0),1)/1000</f>
        <v>108.50636558970334</v>
      </c>
      <c r="L94" s="131">
        <f>+SUM(K$5:K94)</f>
        <v>34430.43923804014</v>
      </c>
      <c r="N94" s="397" t="str">
        <f ca="1">+INDEX('Charges_NonSlice &amp; Excl LS'!$C$4:$C$138,MATCH($A94,'Charges_NonSlice &amp; Excl LS'!$AA$4:$AA$138,0),1)</f>
        <v>Rupert, City of</v>
      </c>
      <c r="O94" s="121">
        <f ca="1">+INDEX('Charges_NonSlice &amp; Excl LS'!$Z$4:$Z$138,MATCH($A94,'Charges_NonSlice &amp; Excl LS'!$AA$4:$AA$138,0),1)</f>
        <v>4.1345382871131334E-2</v>
      </c>
      <c r="P94" s="172">
        <f ca="1">+INDEX('Charges_NonSlice &amp; Excl LS'!$Y$4:$Y$138,MATCH($A94,'Charges_NonSlice &amp; Excl LS'!$AA$4:$AA$138,0),1)</f>
        <v>38.352601351612577</v>
      </c>
      <c r="Q94" s="396">
        <f ca="1">+INDEX('Charges_NonSlice &amp; Excl LS'!$X$4:$X$138,MATCH($A94,'Charges_NonSlice &amp; Excl LS'!$AA$4:$AA$138,0),1)/1000</f>
        <v>81.211112346503995</v>
      </c>
      <c r="R94" s="131">
        <f ca="1">+SUM(Q$5:Q94)</f>
        <v>32942.157070484252</v>
      </c>
      <c r="T94" s="397" t="str">
        <f>+INDEX(Charges_NonSlice!$C$4:$C$138,MATCH($A94,Charges_NonSlice!$AA$4:$AA$138,0),1)</f>
        <v>Hermiston, City of</v>
      </c>
      <c r="U94" s="121">
        <f t="shared" si="4"/>
        <v>5.5092979723656565E-2</v>
      </c>
      <c r="V94" s="172">
        <f>+INDEX(Charges_NonSlice!$Y$4:$Y$138,MATCH($A94,Charges_NonSlice!$AA$4:$AA$138,0),1)</f>
        <v>38.207984794067336</v>
      </c>
      <c r="W94" s="162">
        <f t="shared" si="3"/>
        <v>36.212907798964345</v>
      </c>
      <c r="Y94" s="126" t="s">
        <v>59</v>
      </c>
      <c r="Z94" s="127">
        <v>36.61798294865838</v>
      </c>
    </row>
    <row r="95" spans="1:26">
      <c r="A95">
        <f t="shared" si="5"/>
        <v>91</v>
      </c>
      <c r="B95" s="138" t="str">
        <f>+INDEX('Charges_Including Slice and LS'!$C$4:$C$138,MATCH($A95,'Charges_Including Slice and LS'!$AA$4:$AA$138,0),1)</f>
        <v>Northern Wasco County PUD</v>
      </c>
      <c r="C95" s="121">
        <f>+INDEX('Charges_Including Slice and LS'!$Z$4:$Z$138,MATCH($A95,'Charges_Including Slice and LS'!$AA$4:$AA$138,0),1)</f>
        <v>4.5229983639093696E-2</v>
      </c>
      <c r="D95" s="107">
        <f>+INDEX('Charges_Including Slice and LS'!$Y$4:$Y$138,MATCH($A95,'Charges_Including Slice and LS'!$AA$4:$AA$138,0),1)</f>
        <v>36.33329126223974</v>
      </c>
      <c r="E95" s="131">
        <f>+INDEX('Charges_Including Slice and LS'!$X$4:$X$138,MATCH($A95,'Charges_Including Slice and LS'!$AA$4:$AA$138,0),1)/1000</f>
        <v>558.23099999999999</v>
      </c>
      <c r="F95" s="131">
        <f>+SUM(E$5:E95)</f>
        <v>46611.868301943927</v>
      </c>
      <c r="H95" s="397" t="str">
        <f>+INDEX(Charges_NonSlice!$C$4:$C$138,MATCH($A95,Charges_NonSlice!$AA$4:$AA$138,0),1)</f>
        <v>Cascade Locks, City of</v>
      </c>
      <c r="I95" s="121">
        <f>+INDEX(Charges_NonSlice!$Z$4:$Z$138,MATCH($A95,Charges_NonSlice!$AA$4:$AA$138,0),1)</f>
        <v>4.5454125796055012E-2</v>
      </c>
      <c r="J95" s="172">
        <f>+INDEX(Charges_NonSlice!$Y$4:$Y$138,MATCH($A95,Charges_NonSlice!$AA$4:$AA$138,0),1)</f>
        <v>37.081531927834149</v>
      </c>
      <c r="K95" s="396">
        <f>+INDEX(Charges_NonSlice!$X$4:$X$138,MATCH($A95,Charges_NonSlice!$AA$4:$AA$138,0),1)/1000</f>
        <v>20.489639999999998</v>
      </c>
      <c r="L95" s="131">
        <f>+SUM(K$5:K95)</f>
        <v>34450.92887804014</v>
      </c>
      <c r="N95" s="397" t="str">
        <f ca="1">+INDEX('Charges_NonSlice &amp; Excl LS'!$C$4:$C$138,MATCH($A95,'Charges_NonSlice &amp; Excl LS'!$AA$4:$AA$138,0),1)</f>
        <v>Kootenai Electric Coop</v>
      </c>
      <c r="O95" s="121">
        <f ca="1">+INDEX('Charges_NonSlice &amp; Excl LS'!$Z$4:$Z$138,MATCH($A95,'Charges_NonSlice &amp; Excl LS'!$AA$4:$AA$138,0),1)</f>
        <v>4.1283895945496203E-2</v>
      </c>
      <c r="P95" s="172">
        <f ca="1">+INDEX('Charges_NonSlice &amp; Excl LS'!$Y$4:$Y$138,MATCH($A95,'Charges_NonSlice &amp; Excl LS'!$AA$4:$AA$138,0),1)</f>
        <v>35.697388539498107</v>
      </c>
      <c r="Q95" s="396">
        <f ca="1">+INDEX('Charges_NonSlice &amp; Excl LS'!$X$4:$X$138,MATCH($A95,'Charges_NonSlice &amp; Excl LS'!$AA$4:$AA$138,0),1)/1000</f>
        <v>439.58275029657602</v>
      </c>
      <c r="R95" s="131">
        <f ca="1">+SUM(Q$5:Q95)</f>
        <v>33381.739820780829</v>
      </c>
      <c r="T95" s="397" t="str">
        <f>+INDEX(Charges_NonSlice!$C$4:$C$138,MATCH($A95,Charges_NonSlice!$AA$4:$AA$138,0),1)</f>
        <v>Cascade Locks, City of</v>
      </c>
      <c r="U95" s="121">
        <f t="shared" si="4"/>
        <v>-1.8664466433812144E-2</v>
      </c>
      <c r="V95" s="172">
        <f>+INDEX(Charges_NonSlice!$Y$4:$Y$138,MATCH($A95,Charges_NonSlice!$AA$4:$AA$138,0),1)</f>
        <v>37.081531927834149</v>
      </c>
      <c r="W95" s="162">
        <f t="shared" si="3"/>
        <v>37.786802433495211</v>
      </c>
      <c r="Y95" s="126" t="s">
        <v>58</v>
      </c>
      <c r="Z95" s="127">
        <v>37.395706447586399</v>
      </c>
    </row>
    <row r="96" spans="1:26">
      <c r="A96">
        <f t="shared" si="5"/>
        <v>92</v>
      </c>
      <c r="B96" s="138" t="str">
        <f>+INDEX('Charges_Including Slice and LS'!$C$4:$C$138,MATCH($A96,'Charges_Including Slice and LS'!$AA$4:$AA$138,0),1)</f>
        <v>Clatskanie PUD</v>
      </c>
      <c r="C96" s="121">
        <f>+INDEX('Charges_Including Slice and LS'!$Z$4:$Z$138,MATCH($A96,'Charges_Including Slice and LS'!$AA$4:$AA$138,0),1)</f>
        <v>4.4599209049663191E-2</v>
      </c>
      <c r="D96" s="107">
        <f>+INDEX('Charges_Including Slice and LS'!$Y$4:$Y$138,MATCH($A96,'Charges_Including Slice and LS'!$AA$4:$AA$138,0),1)</f>
        <v>39.623243725176614</v>
      </c>
      <c r="E96" s="131">
        <f>+INDEX('Charges_Including Slice and LS'!$X$4:$X$138,MATCH($A96,'Charges_Including Slice and LS'!$AA$4:$AA$138,0),1)/1000</f>
        <v>735.48528283257565</v>
      </c>
      <c r="F96" s="131">
        <f>+SUM(E$5:E96)</f>
        <v>47347.353584776502</v>
      </c>
      <c r="H96" s="397" t="str">
        <f>+INDEX(Charges_NonSlice!$C$4:$C$138,MATCH($A96,Charges_NonSlice!$AA$4:$AA$138,0),1)</f>
        <v>Missoula Elec Coop</v>
      </c>
      <c r="I96" s="121">
        <f>+INDEX(Charges_NonSlice!$Z$4:$Z$138,MATCH($A96,Charges_NonSlice!$AA$4:$AA$138,0),1)</f>
        <v>4.5307527673636772E-2</v>
      </c>
      <c r="J96" s="172">
        <f>+INDEX(Charges_NonSlice!$Y$4:$Y$138,MATCH($A96,Charges_NonSlice!$AA$4:$AA$138,0),1)</f>
        <v>36.595711510402431</v>
      </c>
      <c r="K96" s="396">
        <f>+INDEX(Charges_NonSlice!$X$4:$X$138,MATCH($A96,Charges_NonSlice!$AA$4:$AA$138,0),1)/1000</f>
        <v>232.59551999999999</v>
      </c>
      <c r="L96" s="131">
        <f>+SUM(K$5:K96)</f>
        <v>34683.524398040143</v>
      </c>
      <c r="N96" s="397" t="str">
        <f ca="1">+INDEX('Charges_NonSlice &amp; Excl LS'!$C$4:$C$138,MATCH($A96,'Charges_NonSlice &amp; Excl LS'!$AA$4:$AA$138,0),1)</f>
        <v>PNGC Aggregate</v>
      </c>
      <c r="O96" s="121">
        <f ca="1">+INDEX('Charges_NonSlice &amp; Excl LS'!$Z$4:$Z$138,MATCH($A96,'Charges_NonSlice &amp; Excl LS'!$AA$4:$AA$138,0),1)</f>
        <v>4.1275896966846054E-2</v>
      </c>
      <c r="P96" s="172">
        <f ca="1">+INDEX('Charges_NonSlice &amp; Excl LS'!$Y$4:$Y$138,MATCH($A96,'Charges_NonSlice &amp; Excl LS'!$AA$4:$AA$138,0),1)</f>
        <v>32.610230001218191</v>
      </c>
      <c r="Q96" s="396">
        <f ca="1">+INDEX('Charges_NonSlice &amp; Excl LS'!$X$4:$X$138,MATCH($A96,'Charges_NonSlice &amp; Excl LS'!$AA$4:$AA$138,0),1)/1000</f>
        <v>4524.2601790274157</v>
      </c>
      <c r="R96" s="131">
        <f ca="1">+SUM(Q$5:Q96)</f>
        <v>37905.999999808242</v>
      </c>
      <c r="T96" s="397" t="str">
        <f>+INDEX(Charges_NonSlice!$C$4:$C$138,MATCH($A96,Charges_NonSlice!$AA$4:$AA$138,0),1)</f>
        <v>Missoula Elec Coop</v>
      </c>
      <c r="U96" s="121">
        <f t="shared" si="4"/>
        <v>4.5913661612384082E-2</v>
      </c>
      <c r="V96" s="172">
        <f>+INDEX(Charges_NonSlice!$Y$4:$Y$138,MATCH($A96,Charges_NonSlice!$AA$4:$AA$138,0),1)</f>
        <v>36.595711510402431</v>
      </c>
      <c r="W96" s="162">
        <f t="shared" si="3"/>
        <v>34.989227938744349</v>
      </c>
      <c r="Y96" s="126" t="s">
        <v>39</v>
      </c>
      <c r="Z96" s="127">
        <v>36.133327583693358</v>
      </c>
    </row>
    <row r="97" spans="1:26">
      <c r="A97">
        <f t="shared" si="5"/>
        <v>93</v>
      </c>
      <c r="B97" s="138" t="str">
        <f>+INDEX('Charges_Including Slice and LS'!$C$4:$C$138,MATCH($A97,'Charges_Including Slice and LS'!$AA$4:$AA$138,0),1)</f>
        <v>Sumas, Town of</v>
      </c>
      <c r="C97" s="121">
        <f>+INDEX('Charges_Including Slice and LS'!$Z$4:$Z$138,MATCH($A97,'Charges_Including Slice and LS'!$AA$4:$AA$138,0),1)</f>
        <v>4.4500110419016137E-2</v>
      </c>
      <c r="D97" s="107">
        <f>+INDEX('Charges_Including Slice and LS'!$Y$4:$Y$138,MATCH($A97,'Charges_Including Slice and LS'!$AA$4:$AA$138,0),1)</f>
        <v>38.157903688198523</v>
      </c>
      <c r="E97" s="131">
        <f>+INDEX('Charges_Including Slice and LS'!$X$4:$X$138,MATCH($A97,'Charges_Including Slice and LS'!$AA$4:$AA$138,0),1)/1000</f>
        <v>31.39584</v>
      </c>
      <c r="F97" s="131">
        <f>+SUM(E$5:E97)</f>
        <v>47378.749424776499</v>
      </c>
      <c r="H97" s="397" t="str">
        <f>+INDEX(Charges_NonSlice!$C$4:$C$138,MATCH($A97,Charges_NonSlice!$AA$4:$AA$138,0),1)</f>
        <v>Northern Wasco County PUD</v>
      </c>
      <c r="I97" s="121">
        <f>+INDEX(Charges_NonSlice!$Z$4:$Z$138,MATCH($A97,Charges_NonSlice!$AA$4:$AA$138,0),1)</f>
        <v>4.5229983639093696E-2</v>
      </c>
      <c r="J97" s="172">
        <f>+INDEX(Charges_NonSlice!$Y$4:$Y$138,MATCH($A97,Charges_NonSlice!$AA$4:$AA$138,0),1)</f>
        <v>36.33329126223974</v>
      </c>
      <c r="K97" s="396">
        <f>+INDEX(Charges_NonSlice!$X$4:$X$138,MATCH($A97,Charges_NonSlice!$AA$4:$AA$138,0),1)/1000</f>
        <v>558.23099999999999</v>
      </c>
      <c r="L97" s="131">
        <f>+SUM(K$5:K97)</f>
        <v>35241.755398040143</v>
      </c>
      <c r="N97" s="397" t="str">
        <f ca="1">+INDEX('Charges_NonSlice &amp; Excl LS'!$C$4:$C$138,MATCH($A97,'Charges_NonSlice &amp; Excl LS'!$AA$4:$AA$138,0),1)</f>
        <v>McCleary, City of</v>
      </c>
      <c r="O97" s="121">
        <f ca="1">+INDEX('Charges_NonSlice &amp; Excl LS'!$Z$4:$Z$138,MATCH($A97,'Charges_NonSlice &amp; Excl LS'!$AA$4:$AA$138,0),1)</f>
        <v>4.1235409941160248E-2</v>
      </c>
      <c r="P97" s="172">
        <f ca="1">+INDEX('Charges_NonSlice &amp; Excl LS'!$Y$4:$Y$138,MATCH($A97,'Charges_NonSlice &amp; Excl LS'!$AA$4:$AA$138,0),1)</f>
        <v>38.982792575565909</v>
      </c>
      <c r="Q97" s="396">
        <f ca="1">+INDEX('Charges_NonSlice &amp; Excl LS'!$X$4:$X$138,MATCH($A97,'Charges_NonSlice &amp; Excl LS'!$AA$4:$AA$138,0),1)/1000</f>
        <v>32.042769400631997</v>
      </c>
      <c r="R97" s="131">
        <f ca="1">+SUM(Q$5:Q97)</f>
        <v>37938.042769208871</v>
      </c>
      <c r="T97" s="397" t="str">
        <f>+INDEX(Charges_NonSlice!$C$4:$C$138,MATCH($A97,Charges_NonSlice!$AA$4:$AA$138,0),1)</f>
        <v>Northern Wasco County PUD</v>
      </c>
      <c r="U97" s="121">
        <f t="shared" si="4"/>
        <v>4.5528855012484382E-2</v>
      </c>
      <c r="V97" s="172">
        <f>+INDEX(Charges_NonSlice!$Y$4:$Y$138,MATCH($A97,Charges_NonSlice!$AA$4:$AA$138,0),1)</f>
        <v>36.33329126223974</v>
      </c>
      <c r="W97" s="162">
        <f t="shared" si="3"/>
        <v>34.751112882299068</v>
      </c>
      <c r="Y97" s="126" t="s">
        <v>40</v>
      </c>
      <c r="Z97" s="127">
        <v>35.937431554371265</v>
      </c>
    </row>
    <row r="98" spans="1:26">
      <c r="A98">
        <f t="shared" si="5"/>
        <v>94</v>
      </c>
      <c r="B98" s="138" t="str">
        <f>+INDEX('Charges_Including Slice and LS'!$C$4:$C$138,MATCH($A98,'Charges_Including Slice and LS'!$AA$4:$AA$138,0),1)</f>
        <v>Benton County PUD #1</v>
      </c>
      <c r="C98" s="121">
        <f>+INDEX('Charges_Including Slice and LS'!$Z$4:$Z$138,MATCH($A98,'Charges_Including Slice and LS'!$AA$4:$AA$138,0),1)</f>
        <v>4.4471154388429301E-2</v>
      </c>
      <c r="D98" s="107">
        <f>+INDEX('Charges_Including Slice and LS'!$Y$4:$Y$138,MATCH($A98,'Charges_Including Slice and LS'!$AA$4:$AA$138,0),1)</f>
        <v>36.533595569845382</v>
      </c>
      <c r="E98" s="131">
        <f>+INDEX('Charges_Including Slice and LS'!$X$4:$X$138,MATCH($A98,'Charges_Including Slice and LS'!$AA$4:$AA$138,0),1)/1000</f>
        <v>1726.1465738273089</v>
      </c>
      <c r="F98" s="131">
        <f>+SUM(E$5:E98)</f>
        <v>49104.89599860381</v>
      </c>
      <c r="H98" s="397" t="str">
        <f>+INDEX(Charges_NonSlice!$C$4:$C$138,MATCH($A98,Charges_NonSlice!$AA$4:$AA$138,0),1)</f>
        <v>Sumas, Town of</v>
      </c>
      <c r="I98" s="121">
        <f>+INDEX(Charges_NonSlice!$Z$4:$Z$138,MATCH($A98,Charges_NonSlice!$AA$4:$AA$138,0),1)</f>
        <v>4.4500110419016137E-2</v>
      </c>
      <c r="J98" s="172">
        <f>+INDEX(Charges_NonSlice!$Y$4:$Y$138,MATCH($A98,Charges_NonSlice!$AA$4:$AA$138,0),1)</f>
        <v>38.157903688198523</v>
      </c>
      <c r="K98" s="396">
        <f>+INDEX(Charges_NonSlice!$X$4:$X$138,MATCH($A98,Charges_NonSlice!$AA$4:$AA$138,0),1)/1000</f>
        <v>31.39584</v>
      </c>
      <c r="L98" s="131">
        <f>+SUM(K$5:K98)</f>
        <v>35273.15123804014</v>
      </c>
      <c r="N98" s="397" t="str">
        <f ca="1">+INDEX('Charges_NonSlice &amp; Excl LS'!$C$4:$C$138,MATCH($A98,'Charges_NonSlice &amp; Excl LS'!$AA$4:$AA$138,0),1)</f>
        <v>Vigilante Elec Coop</v>
      </c>
      <c r="O98" s="121">
        <f ca="1">+INDEX('Charges_NonSlice &amp; Excl LS'!$Z$4:$Z$138,MATCH($A98,'Charges_NonSlice &amp; Excl LS'!$AA$4:$AA$138,0),1)</f>
        <v>4.1114731803831239E-2</v>
      </c>
      <c r="P98" s="172">
        <f ca="1">+INDEX('Charges_NonSlice &amp; Excl LS'!$Y$4:$Y$138,MATCH($A98,'Charges_NonSlice &amp; Excl LS'!$AA$4:$AA$138,0),1)</f>
        <v>32.929931838358193</v>
      </c>
      <c r="Q98" s="396">
        <f ca="1">+INDEX('Charges_NonSlice &amp; Excl LS'!$X$4:$X$138,MATCH($A98,'Charges_NonSlice &amp; Excl LS'!$AA$4:$AA$138,0),1)/1000</f>
        <v>165.08079507995998</v>
      </c>
      <c r="R98" s="131">
        <f ca="1">+SUM(Q$5:Q98)</f>
        <v>38103.123564288828</v>
      </c>
      <c r="T98" s="397" t="str">
        <f>+INDEX(Charges_NonSlice!$C$4:$C$138,MATCH($A98,Charges_NonSlice!$AA$4:$AA$138,0),1)</f>
        <v>Sumas, Town of</v>
      </c>
      <c r="U98" s="121">
        <f t="shared" si="4"/>
        <v>5.325772251965577E-2</v>
      </c>
      <c r="V98" s="172">
        <f>+INDEX(Charges_NonSlice!$Y$4:$Y$138,MATCH($A98,Charges_NonSlice!$AA$4:$AA$138,0),1)</f>
        <v>38.157903688198523</v>
      </c>
      <c r="W98" s="162">
        <f t="shared" si="3"/>
        <v>36.228458498187202</v>
      </c>
      <c r="Y98" s="126" t="s">
        <v>87</v>
      </c>
      <c r="Z98" s="127">
        <v>34.570322605188622</v>
      </c>
    </row>
    <row r="99" spans="1:26">
      <c r="A99">
        <f t="shared" si="5"/>
        <v>95</v>
      </c>
      <c r="B99" s="138" t="str">
        <f>+INDEX('Charges_Including Slice and LS'!$C$4:$C$138,MATCH($A99,'Charges_Including Slice and LS'!$AA$4:$AA$138,0),1)</f>
        <v>U.S. Airforce Base, Fairchild</v>
      </c>
      <c r="C99" s="121">
        <f>+INDEX('Charges_Including Slice and LS'!$Z$4:$Z$138,MATCH($A99,'Charges_Including Slice and LS'!$AA$4:$AA$138,0),1)</f>
        <v>4.3787764972972321E-2</v>
      </c>
      <c r="D99" s="107">
        <f>+INDEX('Charges_Including Slice and LS'!$Y$4:$Y$138,MATCH($A99,'Charges_Including Slice and LS'!$AA$4:$AA$138,0),1)</f>
        <v>38.545155872965537</v>
      </c>
      <c r="E99" s="131">
        <f>+INDEX('Charges_Including Slice and LS'!$X$4:$X$138,MATCH($A99,'Charges_Including Slice and LS'!$AA$4:$AA$138,0),1)/1000</f>
        <v>47.743717705874076</v>
      </c>
      <c r="F99" s="131">
        <f>+SUM(E$5:E99)</f>
        <v>49152.639716309684</v>
      </c>
      <c r="H99" s="397" t="str">
        <f>+INDEX(Charges_NonSlice!$C$4:$C$138,MATCH($A99,Charges_NonSlice!$AA$4:$AA$138,0),1)</f>
        <v>U.S. Airforce Base, Fairchild</v>
      </c>
      <c r="I99" s="121">
        <f>+INDEX(Charges_NonSlice!$Z$4:$Z$138,MATCH($A99,Charges_NonSlice!$AA$4:$AA$138,0),1)</f>
        <v>4.3787764972972321E-2</v>
      </c>
      <c r="J99" s="172">
        <f>+INDEX(Charges_NonSlice!$Y$4:$Y$138,MATCH($A99,Charges_NonSlice!$AA$4:$AA$138,0),1)</f>
        <v>38.545155872965537</v>
      </c>
      <c r="K99" s="396">
        <f>+INDEX(Charges_NonSlice!$X$4:$X$138,MATCH($A99,Charges_NonSlice!$AA$4:$AA$138,0),1)/1000</f>
        <v>47.743717705874076</v>
      </c>
      <c r="L99" s="131">
        <f>+SUM(K$5:K99)</f>
        <v>35320.894955746015</v>
      </c>
      <c r="N99" s="397" t="str">
        <f ca="1">+INDEX('Charges_NonSlice &amp; Excl LS'!$C$4:$C$138,MATCH($A99,'Charges_NonSlice &amp; Excl LS'!$AA$4:$AA$138,0),1)</f>
        <v>Columbia River PUD</v>
      </c>
      <c r="O99" s="121">
        <f ca="1">+INDEX('Charges_NonSlice &amp; Excl LS'!$Z$4:$Z$138,MATCH($A99,'Charges_NonSlice &amp; Excl LS'!$AA$4:$AA$138,0),1)</f>
        <v>4.1094100012290483E-2</v>
      </c>
      <c r="P99" s="172">
        <f ca="1">+INDEX('Charges_NonSlice &amp; Excl LS'!$Y$4:$Y$138,MATCH($A99,'Charges_NonSlice &amp; Excl LS'!$AA$4:$AA$138,0),1)</f>
        <v>38.436410011395282</v>
      </c>
      <c r="Q99" s="396">
        <f ca="1">+INDEX('Charges_NonSlice &amp; Excl LS'!$X$4:$X$138,MATCH($A99,'Charges_NonSlice &amp; Excl LS'!$AA$4:$AA$138,0),1)/1000</f>
        <v>490.849964600568</v>
      </c>
      <c r="R99" s="131">
        <f ca="1">+SUM(Q$5:Q99)</f>
        <v>38593.973528889393</v>
      </c>
      <c r="T99" s="397" t="str">
        <f>+INDEX(Charges_NonSlice!$C$4:$C$138,MATCH($A99,Charges_NonSlice!$AA$4:$AA$138,0),1)</f>
        <v>U.S. Airforce Base, Fairchild</v>
      </c>
      <c r="U99" s="121">
        <f t="shared" si="4"/>
        <v>5.0562662368305311E-2</v>
      </c>
      <c r="V99" s="172">
        <f>+INDEX(Charges_NonSlice!$Y$4:$Y$138,MATCH($A99,Charges_NonSlice!$AA$4:$AA$138,0),1)</f>
        <v>38.545155872965537</v>
      </c>
      <c r="W99" s="162">
        <f t="shared" si="3"/>
        <v>36.690011223197665</v>
      </c>
      <c r="Y99" s="126" t="s">
        <v>35</v>
      </c>
      <c r="Z99" s="127">
        <v>35.436421385250661</v>
      </c>
    </row>
    <row r="100" spans="1:26">
      <c r="A100">
        <f t="shared" si="5"/>
        <v>96</v>
      </c>
      <c r="B100" s="138" t="str">
        <f>+INDEX('Charges_Including Slice and LS'!$C$4:$C$138,MATCH($A100,'Charges_Including Slice and LS'!$AA$4:$AA$138,0),1)</f>
        <v>Umpqua Indian Utility Cooperative</v>
      </c>
      <c r="C100" s="121">
        <f>+INDEX('Charges_Including Slice and LS'!$Z$4:$Z$138,MATCH($A100,'Charges_Including Slice and LS'!$AA$4:$AA$138,0),1)</f>
        <v>4.3681435138267277E-2</v>
      </c>
      <c r="D100" s="107">
        <f>+INDEX('Charges_Including Slice and LS'!$Y$4:$Y$138,MATCH($A100,'Charges_Including Slice and LS'!$AA$4:$AA$138,0),1)</f>
        <v>38.287921105840702</v>
      </c>
      <c r="E100" s="131">
        <f>+INDEX('Charges_Including Slice and LS'!$X$4:$X$138,MATCH($A100,'Charges_Including Slice and LS'!$AA$4:$AA$138,0),1)/1000</f>
        <v>23.636241346502253</v>
      </c>
      <c r="F100" s="131">
        <f>+SUM(E$5:E100)</f>
        <v>49176.275957656188</v>
      </c>
      <c r="H100" s="397" t="str">
        <f>+INDEX(Charges_NonSlice!$C$4:$C$138,MATCH($A100,Charges_NonSlice!$AA$4:$AA$138,0),1)</f>
        <v>Umpqua Indian Utility Cooperative</v>
      </c>
      <c r="I100" s="121">
        <f>+INDEX(Charges_NonSlice!$Z$4:$Z$138,MATCH($A100,Charges_NonSlice!$AA$4:$AA$138,0),1)</f>
        <v>4.3681435138267277E-2</v>
      </c>
      <c r="J100" s="172">
        <f>+INDEX(Charges_NonSlice!$Y$4:$Y$138,MATCH($A100,Charges_NonSlice!$AA$4:$AA$138,0),1)</f>
        <v>38.287921105840702</v>
      </c>
      <c r="K100" s="396">
        <f>+INDEX(Charges_NonSlice!$X$4:$X$138,MATCH($A100,Charges_NonSlice!$AA$4:$AA$138,0),1)/1000</f>
        <v>23.636241346502253</v>
      </c>
      <c r="L100" s="131">
        <f>+SUM(K$5:K100)</f>
        <v>35344.531197092518</v>
      </c>
      <c r="N100" s="397" t="str">
        <f ca="1">+INDEX('Charges_NonSlice &amp; Excl LS'!$C$4:$C$138,MATCH($A100,'Charges_NonSlice &amp; Excl LS'!$AA$4:$AA$138,0),1)</f>
        <v>Surprise Valley Elec Coop</v>
      </c>
      <c r="O100" s="121">
        <f ca="1">+INDEX('Charges_NonSlice &amp; Excl LS'!$Z$4:$Z$138,MATCH($A100,'Charges_NonSlice &amp; Excl LS'!$AA$4:$AA$138,0),1)</f>
        <v>4.1016249324201032E-2</v>
      </c>
      <c r="P100" s="172">
        <f ca="1">+INDEX('Charges_NonSlice &amp; Excl LS'!$Y$4:$Y$138,MATCH($A100,'Charges_NonSlice &amp; Excl LS'!$AA$4:$AA$138,0),1)</f>
        <v>31.706573427210415</v>
      </c>
      <c r="Q100" s="396">
        <f ca="1">+INDEX('Charges_NonSlice &amp; Excl LS'!$X$4:$X$138,MATCH($A100,'Charges_NonSlice &amp; Excl LS'!$AA$4:$AA$138,0),1)/1000</f>
        <v>141.634272719976</v>
      </c>
      <c r="R100" s="131">
        <f ca="1">+SUM(Q$5:Q100)</f>
        <v>38735.607801609367</v>
      </c>
      <c r="T100" s="397" t="str">
        <f>+INDEX(Charges_NonSlice!$C$4:$C$138,MATCH($A100,Charges_NonSlice!$AA$4:$AA$138,0),1)</f>
        <v>Umpqua Indian Utility Cooperative</v>
      </c>
      <c r="U100" s="121">
        <f t="shared" si="4"/>
        <v>6.8150126268859967E-2</v>
      </c>
      <c r="V100" s="172">
        <f>+INDEX(Charges_NonSlice!$Y$4:$Y$138,MATCH($A100,Charges_NonSlice!$AA$4:$AA$138,0),1)</f>
        <v>38.287921105840702</v>
      </c>
      <c r="W100" s="162">
        <f t="shared" si="3"/>
        <v>35.845074736435876</v>
      </c>
      <c r="Y100" s="126" t="s">
        <v>44</v>
      </c>
      <c r="Z100" s="127">
        <v>35.332147487106432</v>
      </c>
    </row>
    <row r="101" spans="1:26">
      <c r="A101">
        <f t="shared" si="5"/>
        <v>97</v>
      </c>
      <c r="B101" s="138" t="str">
        <f>+INDEX('Charges_Including Slice and LS'!$C$4:$C$138,MATCH($A101,'Charges_Including Slice and LS'!$AA$4:$AA$138,0),1)</f>
        <v>Riverside Elec Coop</v>
      </c>
      <c r="C101" s="121">
        <f>+INDEX('Charges_Including Slice and LS'!$Z$4:$Z$138,MATCH($A101,'Charges_Including Slice and LS'!$AA$4:$AA$138,0),1)</f>
        <v>4.3346935521793473E-2</v>
      </c>
      <c r="D101" s="107">
        <f>+INDEX('Charges_Including Slice and LS'!$Y$4:$Y$138,MATCH($A101,'Charges_Including Slice and LS'!$AA$4:$AA$138,0),1)</f>
        <v>33.503434406845457</v>
      </c>
      <c r="E101" s="131">
        <f>+INDEX('Charges_Including Slice and LS'!$X$4:$X$138,MATCH($A101,'Charges_Including Slice and LS'!$AA$4:$AA$138,0),1)/1000</f>
        <v>20.454599999999999</v>
      </c>
      <c r="F101" s="131">
        <f>+SUM(E$5:E101)</f>
        <v>49196.730557656185</v>
      </c>
      <c r="H101" s="397" t="str">
        <f>+INDEX(Charges_NonSlice!$C$4:$C$138,MATCH($A101,Charges_NonSlice!$AA$4:$AA$138,0),1)</f>
        <v>Riverside Elec Coop</v>
      </c>
      <c r="I101" s="121">
        <f>+INDEX(Charges_NonSlice!$Z$4:$Z$138,MATCH($A101,Charges_NonSlice!$AA$4:$AA$138,0),1)</f>
        <v>4.3346935521793473E-2</v>
      </c>
      <c r="J101" s="172">
        <f>+INDEX(Charges_NonSlice!$Y$4:$Y$138,MATCH($A101,Charges_NonSlice!$AA$4:$AA$138,0),1)</f>
        <v>33.503434406845457</v>
      </c>
      <c r="K101" s="396">
        <f>+INDEX(Charges_NonSlice!$X$4:$X$138,MATCH($A101,Charges_NonSlice!$AA$4:$AA$138,0),1)/1000</f>
        <v>20.454599999999999</v>
      </c>
      <c r="L101" s="131">
        <f>+SUM(K$5:K101)</f>
        <v>35364.985797092515</v>
      </c>
      <c r="N101" s="397" t="str">
        <f ca="1">+INDEX('Charges_NonSlice &amp; Excl LS'!$C$4:$C$138,MATCH($A101,'Charges_NonSlice &amp; Excl LS'!$AA$4:$AA$138,0),1)</f>
        <v>Big Bend Elec Coop</v>
      </c>
      <c r="O101" s="121">
        <f ca="1">+INDEX('Charges_NonSlice &amp; Excl LS'!$Z$4:$Z$138,MATCH($A101,'Charges_NonSlice &amp; Excl LS'!$AA$4:$AA$138,0),1)</f>
        <v>4.0921129528611586E-2</v>
      </c>
      <c r="P101" s="172">
        <f ca="1">+INDEX('Charges_NonSlice &amp; Excl LS'!$Y$4:$Y$138,MATCH($A101,'Charges_NonSlice &amp; Excl LS'!$AA$4:$AA$138,0),1)</f>
        <v>30.147989047013802</v>
      </c>
      <c r="Q101" s="396">
        <f ca="1">+INDEX('Charges_NonSlice &amp; Excl LS'!$X$4:$X$138,MATCH($A101,'Charges_NonSlice &amp; Excl LS'!$AA$4:$AA$138,0),1)/1000</f>
        <v>527.45549782319995</v>
      </c>
      <c r="R101" s="131">
        <f ca="1">+SUM(Q$5:Q101)</f>
        <v>39263.063299432564</v>
      </c>
      <c r="T101" s="397" t="str">
        <f>+INDEX(Charges_NonSlice!$C$4:$C$138,MATCH($A101,Charges_NonSlice!$AA$4:$AA$138,0),1)</f>
        <v>Riverside Elec Coop</v>
      </c>
      <c r="U101" s="121">
        <f t="shared" si="4"/>
        <v>3.9442516690951557E-2</v>
      </c>
      <c r="V101" s="172">
        <f>+INDEX(Charges_NonSlice!$Y$4:$Y$138,MATCH($A101,Charges_NonSlice!$AA$4:$AA$138,0),1)</f>
        <v>33.503434406845457</v>
      </c>
      <c r="W101" s="162">
        <f t="shared" si="3"/>
        <v>32.232118533599241</v>
      </c>
      <c r="Y101" s="126" t="s">
        <v>127</v>
      </c>
      <c r="Z101" s="127">
        <v>36.330525173979311</v>
      </c>
    </row>
    <row r="102" spans="1:26">
      <c r="A102">
        <f t="shared" si="5"/>
        <v>98</v>
      </c>
      <c r="B102" s="138" t="str">
        <f>+INDEX('Charges_Including Slice and LS'!$C$4:$C$138,MATCH($A102,'Charges_Including Slice and LS'!$AA$4:$AA$138,0),1)</f>
        <v>PNGC Aggregate</v>
      </c>
      <c r="C102" s="121">
        <f>+INDEX('Charges_Including Slice and LS'!$Z$4:$Z$138,MATCH($A102,'Charges_Including Slice and LS'!$AA$4:$AA$138,0),1)</f>
        <v>4.2420682684360944E-2</v>
      </c>
      <c r="D102" s="107">
        <f>+INDEX('Charges_Including Slice and LS'!$Y$4:$Y$138,MATCH($A102,'Charges_Including Slice and LS'!$AA$4:$AA$138,0),1)</f>
        <v>32.717322342048149</v>
      </c>
      <c r="E102" s="131">
        <f>+INDEX('Charges_Including Slice and LS'!$X$4:$X$138,MATCH($A102,'Charges_Including Slice and LS'!$AA$4:$AA$138,0),1)/1000</f>
        <v>4569.6802800000005</v>
      </c>
      <c r="F102" s="131">
        <f>+SUM(E$5:E102)</f>
        <v>53766.410837656185</v>
      </c>
      <c r="H102" s="397" t="str">
        <f>+INDEX(Charges_NonSlice!$C$4:$C$138,MATCH($A102,Charges_NonSlice!$AA$4:$AA$138,0),1)</f>
        <v>PNGC Aggregate</v>
      </c>
      <c r="I102" s="121">
        <f>+INDEX(Charges_NonSlice!$Z$4:$Z$138,MATCH($A102,Charges_NonSlice!$AA$4:$AA$138,0),1)</f>
        <v>4.2420682684360944E-2</v>
      </c>
      <c r="J102" s="172">
        <f>+INDEX(Charges_NonSlice!$Y$4:$Y$138,MATCH($A102,Charges_NonSlice!$AA$4:$AA$138,0),1)</f>
        <v>32.717322342048149</v>
      </c>
      <c r="K102" s="396">
        <f>+INDEX(Charges_NonSlice!$X$4:$X$138,MATCH($A102,Charges_NonSlice!$AA$4:$AA$138,0),1)/1000</f>
        <v>4569.6802800000005</v>
      </c>
      <c r="L102" s="131">
        <f>+SUM(K$5:K102)</f>
        <v>39934.666077092515</v>
      </c>
      <c r="N102" s="397" t="str">
        <f ca="1">+INDEX('Charges_NonSlice &amp; Excl LS'!$C$4:$C$138,MATCH($A102,'Charges_NonSlice &amp; Excl LS'!$AA$4:$AA$138,0),1)</f>
        <v>Springfield Utility Board</v>
      </c>
      <c r="O102" s="121">
        <f ca="1">+INDEX('Charges_NonSlice &amp; Excl LS'!$Z$4:$Z$138,MATCH($A102,'Charges_NonSlice &amp; Excl LS'!$AA$4:$AA$138,0),1)</f>
        <v>4.0734838981016659E-2</v>
      </c>
      <c r="P102" s="172">
        <f ca="1">+INDEX('Charges_NonSlice &amp; Excl LS'!$Y$4:$Y$138,MATCH($A102,'Charges_NonSlice &amp; Excl LS'!$AA$4:$AA$138,0),1)</f>
        <v>37.59513950225314</v>
      </c>
      <c r="Q102" s="396">
        <f ca="1">+INDEX('Charges_NonSlice &amp; Excl LS'!$X$4:$X$138,MATCH($A102,'Charges_NonSlice &amp; Excl LS'!$AA$4:$AA$138,0),1)/1000</f>
        <v>826.83972508245586</v>
      </c>
      <c r="R102" s="131">
        <f ca="1">+SUM(Q$5:Q102)</f>
        <v>40089.903024515021</v>
      </c>
      <c r="T102" s="397" t="str">
        <f>+INDEX(Charges_NonSlice!$C$4:$C$138,MATCH($A102,Charges_NonSlice!$AA$4:$AA$138,0),1)</f>
        <v>PNGC Aggregate</v>
      </c>
      <c r="U102" s="121">
        <f t="shared" si="4"/>
        <v>-4.4335758570806183E-2</v>
      </c>
      <c r="V102" s="172">
        <f>+INDEX(Charges_NonSlice!$Y$4:$Y$138,MATCH($A102,Charges_NonSlice!$AA$4:$AA$138,0),1)</f>
        <v>32.717322342048149</v>
      </c>
      <c r="W102" s="162">
        <f t="shared" si="3"/>
        <v>34.235164322063014</v>
      </c>
      <c r="Y102" s="126" t="s">
        <v>89</v>
      </c>
      <c r="Z102" s="127">
        <v>34.395033297103815</v>
      </c>
    </row>
    <row r="103" spans="1:26">
      <c r="A103">
        <f t="shared" si="5"/>
        <v>99</v>
      </c>
      <c r="B103" s="138" t="str">
        <f>+INDEX('Charges_Including Slice and LS'!$C$4:$C$138,MATCH($A103,'Charges_Including Slice and LS'!$AA$4:$AA$138,0),1)</f>
        <v>East End Mutual Electric</v>
      </c>
      <c r="C103" s="121">
        <f>+INDEX('Charges_Including Slice and LS'!$Z$4:$Z$138,MATCH($A103,'Charges_Including Slice and LS'!$AA$4:$AA$138,0),1)</f>
        <v>4.0714947344018038E-2</v>
      </c>
      <c r="D103" s="107">
        <f>+INDEX('Charges_Including Slice and LS'!$Y$4:$Y$138,MATCH($A103,'Charges_Including Slice and LS'!$AA$4:$AA$138,0),1)</f>
        <v>34.977612683748973</v>
      </c>
      <c r="E103" s="131">
        <f>+INDEX('Charges_Including Slice and LS'!$X$4:$X$138,MATCH($A103,'Charges_Including Slice and LS'!$AA$4:$AA$138,0),1)/1000</f>
        <v>23.161440000000002</v>
      </c>
      <c r="F103" s="131">
        <f>+SUM(E$5:E103)</f>
        <v>53789.572277656189</v>
      </c>
      <c r="H103" s="397" t="str">
        <f>+INDEX(Charges_NonSlice!$C$4:$C$138,MATCH($A103,Charges_NonSlice!$AA$4:$AA$138,0),1)</f>
        <v>East End Mutual Electric</v>
      </c>
      <c r="I103" s="121">
        <f>+INDEX(Charges_NonSlice!$Z$4:$Z$138,MATCH($A103,Charges_NonSlice!$AA$4:$AA$138,0),1)</f>
        <v>4.0714947344018038E-2</v>
      </c>
      <c r="J103" s="172">
        <f>+INDEX(Charges_NonSlice!$Y$4:$Y$138,MATCH($A103,Charges_NonSlice!$AA$4:$AA$138,0),1)</f>
        <v>34.977612683748973</v>
      </c>
      <c r="K103" s="396">
        <f>+INDEX(Charges_NonSlice!$X$4:$X$138,MATCH($A103,Charges_NonSlice!$AA$4:$AA$138,0),1)/1000</f>
        <v>23.161440000000002</v>
      </c>
      <c r="L103" s="131">
        <f>+SUM(K$5:K103)</f>
        <v>39957.827517092519</v>
      </c>
      <c r="N103" s="397" t="str">
        <f ca="1">+INDEX('Charges_NonSlice &amp; Excl LS'!$C$4:$C$138,MATCH($A103,'Charges_NonSlice &amp; Excl LS'!$AA$4:$AA$138,0),1)</f>
        <v>Flathead Elec Coop</v>
      </c>
      <c r="O103" s="121">
        <f ca="1">+INDEX('Charges_NonSlice &amp; Excl LS'!$Z$4:$Z$138,MATCH($A103,'Charges_NonSlice &amp; Excl LS'!$AA$4:$AA$138,0),1)</f>
        <v>4.0686383415350871E-2</v>
      </c>
      <c r="P103" s="172">
        <f ca="1">+INDEX('Charges_NonSlice &amp; Excl LS'!$Y$4:$Y$138,MATCH($A103,'Charges_NonSlice &amp; Excl LS'!$AA$4:$AA$138,0),1)</f>
        <v>39.117123289572405</v>
      </c>
      <c r="Q103" s="396">
        <f ca="1">+INDEX('Charges_NonSlice &amp; Excl LS'!$X$4:$X$138,MATCH($A103,'Charges_NonSlice &amp; Excl LS'!$AA$4:$AA$138,0),1)/1000</f>
        <v>1437.90939086508</v>
      </c>
      <c r="R103" s="131">
        <f ca="1">+SUM(Q$5:Q103)</f>
        <v>41527.812415380104</v>
      </c>
      <c r="T103" s="397" t="str">
        <f>+INDEX(Charges_NonSlice!$C$4:$C$138,MATCH($A103,Charges_NonSlice!$AA$4:$AA$138,0),1)</f>
        <v>East End Mutual Electric</v>
      </c>
      <c r="U103" s="121">
        <f t="shared" si="4"/>
        <v>0.10421228975955033</v>
      </c>
      <c r="V103" s="172">
        <f>+INDEX(Charges_NonSlice!$Y$4:$Y$138,MATCH($A103,Charges_NonSlice!$AA$4:$AA$138,0),1)</f>
        <v>34.977612683748973</v>
      </c>
      <c r="W103" s="162">
        <f t="shared" si="3"/>
        <v>31.676529058887382</v>
      </c>
      <c r="Y103" s="126" t="s">
        <v>16</v>
      </c>
      <c r="Z103" s="127">
        <v>37.622545170021581</v>
      </c>
    </row>
    <row r="104" spans="1:26">
      <c r="A104">
        <f t="shared" si="5"/>
        <v>100</v>
      </c>
      <c r="B104" s="138" t="str">
        <f>+INDEX('Charges_Including Slice and LS'!$C$4:$C$138,MATCH($A104,'Charges_Including Slice and LS'!$AA$4:$AA$138,0),1)</f>
        <v>Benton REA</v>
      </c>
      <c r="C104" s="121">
        <f>+INDEX('Charges_Including Slice and LS'!$Z$4:$Z$138,MATCH($A104,'Charges_Including Slice and LS'!$AA$4:$AA$138,0),1)</f>
        <v>3.9286961095428286E-2</v>
      </c>
      <c r="D104" s="107">
        <f>+INDEX('Charges_Including Slice and LS'!$Y$4:$Y$138,MATCH($A104,'Charges_Including Slice and LS'!$AA$4:$AA$138,0),1)</f>
        <v>33.277549362186022</v>
      </c>
      <c r="E104" s="131">
        <f>+INDEX('Charges_Including Slice and LS'!$X$4:$X$138,MATCH($A104,'Charges_Including Slice and LS'!$AA$4:$AA$138,0),1)/1000</f>
        <v>506.42380150216422</v>
      </c>
      <c r="F104" s="131">
        <f>+SUM(E$5:E104)</f>
        <v>54295.996079158351</v>
      </c>
      <c r="H104" s="397" t="str">
        <f>+INDEX(Charges_NonSlice!$C$4:$C$138,MATCH($A104,Charges_NonSlice!$AA$4:$AA$138,0),1)</f>
        <v>Benton REA</v>
      </c>
      <c r="I104" s="121">
        <f>+INDEX(Charges_NonSlice!$Z$4:$Z$138,MATCH($A104,Charges_NonSlice!$AA$4:$AA$138,0),1)</f>
        <v>3.9286961095428286E-2</v>
      </c>
      <c r="J104" s="172">
        <f>+INDEX(Charges_NonSlice!$Y$4:$Y$138,MATCH($A104,Charges_NonSlice!$AA$4:$AA$138,0),1)</f>
        <v>33.277549362186022</v>
      </c>
      <c r="K104" s="396">
        <f>+INDEX(Charges_NonSlice!$X$4:$X$138,MATCH($A104,Charges_NonSlice!$AA$4:$AA$138,0),1)/1000</f>
        <v>506.42380150216422</v>
      </c>
      <c r="L104" s="131">
        <f>+SUM(K$5:K104)</f>
        <v>40464.251318594681</v>
      </c>
      <c r="N104" s="397" t="str">
        <f ca="1">+INDEX('Charges_NonSlice &amp; Excl LS'!$C$4:$C$138,MATCH($A104,'Charges_NonSlice &amp; Excl LS'!$AA$4:$AA$138,0),1)</f>
        <v>Cheney, City of</v>
      </c>
      <c r="O104" s="121">
        <f ca="1">+INDEX('Charges_NonSlice &amp; Excl LS'!$Z$4:$Z$138,MATCH($A104,'Charges_NonSlice &amp; Excl LS'!$AA$4:$AA$138,0),1)</f>
        <v>4.0681615576358784E-2</v>
      </c>
      <c r="P104" s="172">
        <f ca="1">+INDEX('Charges_NonSlice &amp; Excl LS'!$Y$4:$Y$138,MATCH($A104,'Charges_NonSlice &amp; Excl LS'!$AA$4:$AA$138,0),1)</f>
        <v>38.857222590511675</v>
      </c>
      <c r="Q104" s="396">
        <f ca="1">+INDEX('Charges_NonSlice &amp; Excl LS'!$X$4:$X$138,MATCH($A104,'Charges_NonSlice &amp; Excl LS'!$AA$4:$AA$138,0),1)/1000</f>
        <v>136.32929931626398</v>
      </c>
      <c r="R104" s="131">
        <f ca="1">+SUM(Q$5:Q104)</f>
        <v>41664.141714696365</v>
      </c>
      <c r="T104" s="397" t="str">
        <f>+INDEX(Charges_NonSlice!$C$4:$C$138,MATCH($A104,Charges_NonSlice!$AA$4:$AA$138,0),1)</f>
        <v>Benton REA</v>
      </c>
      <c r="U104" s="121">
        <f t="shared" si="4"/>
        <v>4.185871755343773E-2</v>
      </c>
      <c r="V104" s="172">
        <f>+INDEX(Charges_NonSlice!$Y$4:$Y$138,MATCH($A104,Charges_NonSlice!$AA$4:$AA$138,0),1)</f>
        <v>33.277549362186022</v>
      </c>
      <c r="W104" s="162">
        <f t="shared" si="3"/>
        <v>31.940558543610006</v>
      </c>
      <c r="Y104" s="126" t="s">
        <v>26</v>
      </c>
      <c r="Z104" s="127">
        <v>36.021501678818268</v>
      </c>
    </row>
    <row r="105" spans="1:26">
      <c r="A105">
        <f t="shared" si="5"/>
        <v>101</v>
      </c>
      <c r="B105" s="138" t="str">
        <f>+INDEX('Charges_Including Slice and LS'!$C$4:$C$138,MATCH($A105,'Charges_Including Slice and LS'!$AA$4:$AA$138,0),1)</f>
        <v>Klickitat County PUD #1</v>
      </c>
      <c r="C105" s="121">
        <f>+INDEX('Charges_Including Slice and LS'!$Z$4:$Z$138,MATCH($A105,'Charges_Including Slice and LS'!$AA$4:$AA$138,0),1)</f>
        <v>3.9013322894584368E-2</v>
      </c>
      <c r="D105" s="107">
        <f>+INDEX('Charges_Including Slice and LS'!$Y$4:$Y$138,MATCH($A105,'Charges_Including Slice and LS'!$AA$4:$AA$138,0),1)</f>
        <v>34.620015787075154</v>
      </c>
      <c r="E105" s="131">
        <f>+INDEX('Charges_Including Slice and LS'!$X$4:$X$138,MATCH($A105,'Charges_Including Slice and LS'!$AA$4:$AA$138,0),1)/1000</f>
        <v>315.98195999999996</v>
      </c>
      <c r="F105" s="131">
        <f>+SUM(E$5:E105)</f>
        <v>54611.978039158348</v>
      </c>
      <c r="H105" s="397" t="str">
        <f>+INDEX(Charges_NonSlice!$C$4:$C$138,MATCH($A105,Charges_NonSlice!$AA$4:$AA$138,0),1)</f>
        <v>Klickitat County PUD #1</v>
      </c>
      <c r="I105" s="121">
        <f>+INDEX(Charges_NonSlice!$Z$4:$Z$138,MATCH($A105,Charges_NonSlice!$AA$4:$AA$138,0),1)</f>
        <v>3.9013322894584368E-2</v>
      </c>
      <c r="J105" s="172">
        <f>+INDEX(Charges_NonSlice!$Y$4:$Y$138,MATCH($A105,Charges_NonSlice!$AA$4:$AA$138,0),1)</f>
        <v>34.620015787075154</v>
      </c>
      <c r="K105" s="396">
        <f>+INDEX(Charges_NonSlice!$X$4:$X$138,MATCH($A105,Charges_NonSlice!$AA$4:$AA$138,0),1)/1000</f>
        <v>315.98195999999996</v>
      </c>
      <c r="L105" s="131">
        <f>+SUM(K$5:K105)</f>
        <v>40780.233278594678</v>
      </c>
      <c r="N105" s="397" t="str">
        <f ca="1">+INDEX('Charges_NonSlice &amp; Excl LS'!$C$4:$C$138,MATCH($A105,'Charges_NonSlice &amp; Excl LS'!$AA$4:$AA$138,0),1)</f>
        <v>Salmon River Elec Coop</v>
      </c>
      <c r="O105" s="121">
        <f ca="1">+INDEX('Charges_NonSlice &amp; Excl LS'!$Z$4:$Z$138,MATCH($A105,'Charges_NonSlice &amp; Excl LS'!$AA$4:$AA$138,0),1)</f>
        <v>4.0632782605194831E-2</v>
      </c>
      <c r="P105" s="172">
        <f ca="1">+INDEX('Charges_NonSlice &amp; Excl LS'!$Y$4:$Y$138,MATCH($A105,'Charges_NonSlice &amp; Excl LS'!$AA$4:$AA$138,0),1)</f>
        <v>32.587432784495604</v>
      </c>
      <c r="Q105" s="396">
        <f ca="1">+INDEX('Charges_NonSlice &amp; Excl LS'!$X$4:$X$138,MATCH($A105,'Charges_NonSlice &amp; Excl LS'!$AA$4:$AA$138,0),1)/1000</f>
        <v>99.559506596039995</v>
      </c>
      <c r="R105" s="131">
        <f ca="1">+SUM(Q$5:Q105)</f>
        <v>41763.701221292402</v>
      </c>
      <c r="T105" s="397" t="str">
        <f>+INDEX(Charges_NonSlice!$C$4:$C$138,MATCH($A105,Charges_NonSlice!$AA$4:$AA$138,0),1)</f>
        <v>Klickitat County PUD #1</v>
      </c>
      <c r="U105" s="121">
        <f t="shared" si="4"/>
        <v>0.1411943476881421</v>
      </c>
      <c r="V105" s="172">
        <f>+INDEX(Charges_NonSlice!$Y$4:$Y$138,MATCH($A105,Charges_NonSlice!$AA$4:$AA$138,0),1)</f>
        <v>34.620015787075154</v>
      </c>
      <c r="W105" s="162">
        <f t="shared" si="3"/>
        <v>30.336651997277396</v>
      </c>
      <c r="Y105" s="126" t="s">
        <v>98</v>
      </c>
      <c r="Z105" s="127">
        <v>35.087130342694657</v>
      </c>
    </row>
    <row r="106" spans="1:26">
      <c r="A106">
        <f t="shared" si="5"/>
        <v>102</v>
      </c>
      <c r="B106" s="138" t="str">
        <f>+INDEX('Charges_Including Slice and LS'!$C$4:$C$138,MATCH($A106,'Charges_Including Slice and LS'!$AA$4:$AA$138,0),1)</f>
        <v>Port of Seattle - SETAC In'tl. Airport</v>
      </c>
      <c r="C106" s="121">
        <f>+INDEX('Charges_Including Slice and LS'!$Z$4:$Z$138,MATCH($A106,'Charges_Including Slice and LS'!$AA$4:$AA$138,0),1)</f>
        <v>3.8871701116223845E-2</v>
      </c>
      <c r="D106" s="107">
        <f>+INDEX('Charges_Including Slice and LS'!$Y$4:$Y$138,MATCH($A106,'Charges_Including Slice and LS'!$AA$4:$AA$138,0),1)</f>
        <v>37.656676980197922</v>
      </c>
      <c r="E106" s="131">
        <f>+INDEX('Charges_Including Slice and LS'!$X$4:$X$138,MATCH($A106,'Charges_Including Slice and LS'!$AA$4:$AA$138,0),1)/1000</f>
        <v>148.92876000000001</v>
      </c>
      <c r="F106" s="131">
        <f>+SUM(E$5:E106)</f>
        <v>54760.906799158351</v>
      </c>
      <c r="H106" s="397" t="str">
        <f>+INDEX(Charges_NonSlice!$C$4:$C$138,MATCH($A106,Charges_NonSlice!$AA$4:$AA$138,0),1)</f>
        <v>Port of Seattle - SETAC In'tl. Airport</v>
      </c>
      <c r="I106" s="121">
        <f>+INDEX(Charges_NonSlice!$Z$4:$Z$138,MATCH($A106,Charges_NonSlice!$AA$4:$AA$138,0),1)</f>
        <v>3.8871701116223845E-2</v>
      </c>
      <c r="J106" s="172">
        <f>+INDEX(Charges_NonSlice!$Y$4:$Y$138,MATCH($A106,Charges_NonSlice!$AA$4:$AA$138,0),1)</f>
        <v>37.656676980197922</v>
      </c>
      <c r="K106" s="396">
        <f>+INDEX(Charges_NonSlice!$X$4:$X$138,MATCH($A106,Charges_NonSlice!$AA$4:$AA$138,0),1)/1000</f>
        <v>148.92876000000001</v>
      </c>
      <c r="L106" s="131">
        <f>+SUM(K$5:K106)</f>
        <v>40929.162038594681</v>
      </c>
      <c r="N106" s="397" t="str">
        <f ca="1">+INDEX('Charges_NonSlice &amp; Excl LS'!$C$4:$C$138,MATCH($A106,'Charges_NonSlice &amp; Excl LS'!$AA$4:$AA$138,0),1)</f>
        <v>Ravalli County Elec Coop</v>
      </c>
      <c r="O106" s="121">
        <f ca="1">+INDEX('Charges_NonSlice &amp; Excl LS'!$Z$4:$Z$138,MATCH($A106,'Charges_NonSlice &amp; Excl LS'!$AA$4:$AA$138,0),1)</f>
        <v>4.0530469914287257E-2</v>
      </c>
      <c r="P106" s="172">
        <f ca="1">+INDEX('Charges_NonSlice &amp; Excl LS'!$Y$4:$Y$138,MATCH($A106,'Charges_NonSlice &amp; Excl LS'!$AA$4:$AA$138,0),1)</f>
        <v>35.658624212098914</v>
      </c>
      <c r="Q106" s="396">
        <f ca="1">+INDEX('Charges_NonSlice &amp; Excl LS'!$X$4:$X$138,MATCH($A106,'Charges_NonSlice &amp; Excl LS'!$AA$4:$AA$138,0),1)/1000</f>
        <v>159.58722743827198</v>
      </c>
      <c r="R106" s="131">
        <f ca="1">+SUM(Q$5:Q106)</f>
        <v>41923.288448730673</v>
      </c>
      <c r="T106" s="397" t="str">
        <f>+INDEX(Charges_NonSlice!$C$4:$C$138,MATCH($A106,Charges_NonSlice!$AA$4:$AA$138,0),1)</f>
        <v>Port of Seattle - SETAC In'tl. Airport</v>
      </c>
      <c r="U106" s="121">
        <f t="shared" si="4"/>
        <v>4.4608013861787699E-2</v>
      </c>
      <c r="V106" s="172">
        <f>+INDEX(Charges_NonSlice!$Y$4:$Y$138,MATCH($A106,Charges_NonSlice!$AA$4:$AA$138,0),1)</f>
        <v>37.656676980197922</v>
      </c>
      <c r="W106" s="162">
        <f t="shared" si="3"/>
        <v>36.048619654932388</v>
      </c>
      <c r="Y106" s="126" t="s">
        <v>95</v>
      </c>
      <c r="Z106" s="127">
        <v>34.49010785379398</v>
      </c>
    </row>
    <row r="107" spans="1:26">
      <c r="A107">
        <f t="shared" si="5"/>
        <v>103</v>
      </c>
      <c r="B107" s="138" t="str">
        <f>+INDEX('Charges_Including Slice and LS'!$C$4:$C$138,MATCH($A107,'Charges_Including Slice and LS'!$AA$4:$AA$138,0),1)</f>
        <v>United Electric Coop</v>
      </c>
      <c r="C107" s="121">
        <f>+INDEX('Charges_Including Slice and LS'!$Z$4:$Z$138,MATCH($A107,'Charges_Including Slice and LS'!$AA$4:$AA$138,0),1)</f>
        <v>3.7785151930806116E-2</v>
      </c>
      <c r="D107" s="107">
        <f>+INDEX('Charges_Including Slice and LS'!$Y$4:$Y$138,MATCH($A107,'Charges_Including Slice and LS'!$AA$4:$AA$138,0),1)</f>
        <v>33.969965268644351</v>
      </c>
      <c r="E107" s="131">
        <f>+INDEX('Charges_Including Slice and LS'!$X$4:$X$138,MATCH($A107,'Charges_Including Slice and LS'!$AA$4:$AA$138,0),1)/1000</f>
        <v>258.38394176963209</v>
      </c>
      <c r="F107" s="131">
        <f>+SUM(E$5:E107)</f>
        <v>55019.29074092798</v>
      </c>
      <c r="H107" s="397" t="str">
        <f>+INDEX(Charges_NonSlice!$C$4:$C$138,MATCH($A107,Charges_NonSlice!$AA$4:$AA$138,0),1)</f>
        <v>United Electric Coop</v>
      </c>
      <c r="I107" s="121">
        <f>+INDEX(Charges_NonSlice!$Z$4:$Z$138,MATCH($A107,Charges_NonSlice!$AA$4:$AA$138,0),1)</f>
        <v>3.7785151930806116E-2</v>
      </c>
      <c r="J107" s="172">
        <f>+INDEX(Charges_NonSlice!$Y$4:$Y$138,MATCH($A107,Charges_NonSlice!$AA$4:$AA$138,0),1)</f>
        <v>33.969965268644351</v>
      </c>
      <c r="K107" s="396">
        <f>+INDEX(Charges_NonSlice!$X$4:$X$138,MATCH($A107,Charges_NonSlice!$AA$4:$AA$138,0),1)/1000</f>
        <v>258.38394176963209</v>
      </c>
      <c r="L107" s="131">
        <f>+SUM(K$5:K107)</f>
        <v>41187.54598036431</v>
      </c>
      <c r="N107" s="397" t="str">
        <f ca="1">+INDEX('Charges_NonSlice &amp; Excl LS'!$C$4:$C$138,MATCH($A107,'Charges_NonSlice &amp; Excl LS'!$AA$4:$AA$138,0),1)</f>
        <v>Bonners Ferry, City of</v>
      </c>
      <c r="O107" s="121">
        <f ca="1">+INDEX('Charges_NonSlice &amp; Excl LS'!$Z$4:$Z$138,MATCH($A107,'Charges_NonSlice &amp; Excl LS'!$AA$4:$AA$138,0),1)</f>
        <v>4.05005238428639E-2</v>
      </c>
      <c r="P107" s="172">
        <f ca="1">+INDEX('Charges_NonSlice &amp; Excl LS'!$Y$4:$Y$138,MATCH($A107,'Charges_NonSlice &amp; Excl LS'!$AA$4:$AA$138,0),1)</f>
        <v>38.862123482556569</v>
      </c>
      <c r="Q107" s="396">
        <f ca="1">+INDEX('Charges_NonSlice &amp; Excl LS'!$X$4:$X$138,MATCH($A107,'Charges_NonSlice &amp; Excl LS'!$AA$4:$AA$138,0),1)/1000</f>
        <v>45.852734568551995</v>
      </c>
      <c r="R107" s="131">
        <f ca="1">+SUM(Q$5:Q107)</f>
        <v>41969.141183299223</v>
      </c>
      <c r="T107" s="397" t="str">
        <f>+INDEX(Charges_NonSlice!$C$4:$C$138,MATCH($A107,Charges_NonSlice!$AA$4:$AA$138,0),1)</f>
        <v>United Electric Coop</v>
      </c>
      <c r="U107" s="121">
        <f t="shared" si="4"/>
        <v>4.7198345242477568E-2</v>
      </c>
      <c r="V107" s="172">
        <f>+INDEX(Charges_NonSlice!$Y$4:$Y$138,MATCH($A107,Charges_NonSlice!$AA$4:$AA$138,0),1)</f>
        <v>33.969965268644351</v>
      </c>
      <c r="W107" s="162">
        <f t="shared" si="3"/>
        <v>32.438902737932274</v>
      </c>
      <c r="Y107" s="126" t="s">
        <v>119</v>
      </c>
      <c r="Z107" s="127">
        <v>34.932975703566875</v>
      </c>
    </row>
    <row r="108" spans="1:26">
      <c r="A108">
        <f t="shared" si="5"/>
        <v>104</v>
      </c>
      <c r="B108" s="138" t="str">
        <f>+INDEX('Charges_Including Slice and LS'!$C$4:$C$138,MATCH($A108,'Charges_Including Slice and LS'!$AA$4:$AA$138,0),1)</f>
        <v>Wells Rural Elec Coop</v>
      </c>
      <c r="C108" s="121">
        <f>+INDEX('Charges_Including Slice and LS'!$Z$4:$Z$138,MATCH($A108,'Charges_Including Slice and LS'!$AA$4:$AA$138,0),1)</f>
        <v>3.6460293459106285E-2</v>
      </c>
      <c r="D108" s="107">
        <f>+INDEX('Charges_Including Slice and LS'!$Y$4:$Y$138,MATCH($A108,'Charges_Including Slice and LS'!$AA$4:$AA$138,0),1)</f>
        <v>35.111710780965154</v>
      </c>
      <c r="E108" s="131">
        <f>+INDEX('Charges_Including Slice and LS'!$X$4:$X$138,MATCH($A108,'Charges_Including Slice and LS'!$AA$4:$AA$138,0),1)/1000</f>
        <v>803.35683004317207</v>
      </c>
      <c r="F108" s="131">
        <f>+SUM(E$5:E108)</f>
        <v>55822.647570971152</v>
      </c>
      <c r="H108" s="397" t="str">
        <f>+INDEX(Charges_NonSlice!$C$4:$C$138,MATCH($A108,Charges_NonSlice!$AA$4:$AA$138,0),1)</f>
        <v>Wells Rural Elec Coop</v>
      </c>
      <c r="I108" s="121">
        <f>+INDEX(Charges_NonSlice!$Z$4:$Z$138,MATCH($A108,Charges_NonSlice!$AA$4:$AA$138,0),1)</f>
        <v>3.6460293459106285E-2</v>
      </c>
      <c r="J108" s="172">
        <f>+INDEX(Charges_NonSlice!$Y$4:$Y$138,MATCH($A108,Charges_NonSlice!$AA$4:$AA$138,0),1)</f>
        <v>35.111710780965154</v>
      </c>
      <c r="K108" s="396">
        <f>+INDEX(Charges_NonSlice!$X$4:$X$138,MATCH($A108,Charges_NonSlice!$AA$4:$AA$138,0),1)/1000</f>
        <v>803.35683004317207</v>
      </c>
      <c r="L108" s="131">
        <f>+SUM(K$5:K108)</f>
        <v>41990.902810407482</v>
      </c>
      <c r="N108" s="397" t="str">
        <f ca="1">+INDEX('Charges_NonSlice &amp; Excl LS'!$C$4:$C$138,MATCH($A108,'Charges_NonSlice &amp; Excl LS'!$AA$4:$AA$138,0),1)</f>
        <v>Soda Springs, City of</v>
      </c>
      <c r="O108" s="121">
        <f ca="1">+INDEX('Charges_NonSlice &amp; Excl LS'!$Z$4:$Z$138,MATCH($A108,'Charges_NonSlice &amp; Excl LS'!$AA$4:$AA$138,0),1)</f>
        <v>4.0049625163070944E-2</v>
      </c>
      <c r="P108" s="172">
        <f ca="1">+INDEX('Charges_NonSlice &amp; Excl LS'!$Y$4:$Y$138,MATCH($A108,'Charges_NonSlice &amp; Excl LS'!$AA$4:$AA$138,0),1)</f>
        <v>38.026248024552245</v>
      </c>
      <c r="Q108" s="396">
        <f ca="1">+INDEX('Charges_NonSlice &amp; Excl LS'!$X$4:$X$138,MATCH($A108,'Charges_NonSlice &amp; Excl LS'!$AA$4:$AA$138,0),1)/1000</f>
        <v>26.172013282991998</v>
      </c>
      <c r="R108" s="131">
        <f ca="1">+SUM(Q$5:Q108)</f>
        <v>41995.313196582218</v>
      </c>
      <c r="T108" s="397" t="str">
        <f>+INDEX(Charges_NonSlice!$C$4:$C$138,MATCH($A108,Charges_NonSlice!$AA$4:$AA$138,0),1)</f>
        <v>Wells Rural Elec Coop</v>
      </c>
      <c r="U108" s="121">
        <f t="shared" si="4"/>
        <v>4.4809539907913365E-2</v>
      </c>
      <c r="V108" s="172">
        <f>+INDEX(Charges_NonSlice!$Y$4:$Y$138,MATCH($A108,Charges_NonSlice!$AA$4:$AA$138,0),1)</f>
        <v>35.111710780965154</v>
      </c>
      <c r="W108" s="162">
        <f t="shared" si="3"/>
        <v>33.605848185555239</v>
      </c>
      <c r="Y108" s="126" t="s">
        <v>73</v>
      </c>
      <c r="Z108" s="127">
        <v>35.534722300111092</v>
      </c>
    </row>
    <row r="109" spans="1:26">
      <c r="A109">
        <f t="shared" si="5"/>
        <v>105</v>
      </c>
      <c r="B109" s="138" t="str">
        <f>+INDEX('Charges_Including Slice and LS'!$C$4:$C$138,MATCH($A109,'Charges_Including Slice and LS'!$AA$4:$AA$138,0),1)</f>
        <v>Nespelem Valley Elec Coop</v>
      </c>
      <c r="C109" s="121">
        <f>+INDEX('Charges_Including Slice and LS'!$Z$4:$Z$138,MATCH($A109,'Charges_Including Slice and LS'!$AA$4:$AA$138,0),1)</f>
        <v>3.5615061836198558E-2</v>
      </c>
      <c r="D109" s="107">
        <f>+INDEX('Charges_Including Slice and LS'!$Y$4:$Y$138,MATCH($A109,'Charges_Including Slice and LS'!$AA$4:$AA$138,0),1)</f>
        <v>32.359478815813702</v>
      </c>
      <c r="E109" s="131">
        <f>+INDEX('Charges_Including Slice and LS'!$X$4:$X$138,MATCH($A109,'Charges_Including Slice and LS'!$AA$4:$AA$138,0),1)/1000</f>
        <v>48.12672773960125</v>
      </c>
      <c r="F109" s="131">
        <f>+SUM(E$5:E109)</f>
        <v>55870.774298710756</v>
      </c>
      <c r="H109" s="397" t="str">
        <f>+INDEX(Charges_NonSlice!$C$4:$C$138,MATCH($A109,Charges_NonSlice!$AA$4:$AA$138,0),1)</f>
        <v>Nespelem Valley Elec Coop</v>
      </c>
      <c r="I109" s="121">
        <f>+INDEX(Charges_NonSlice!$Z$4:$Z$138,MATCH($A109,Charges_NonSlice!$AA$4:$AA$138,0),1)</f>
        <v>3.5615061836198558E-2</v>
      </c>
      <c r="J109" s="172">
        <f>+INDEX(Charges_NonSlice!$Y$4:$Y$138,MATCH($A109,Charges_NonSlice!$AA$4:$AA$138,0),1)</f>
        <v>32.359478815813702</v>
      </c>
      <c r="K109" s="396">
        <f>+INDEX(Charges_NonSlice!$X$4:$X$138,MATCH($A109,Charges_NonSlice!$AA$4:$AA$138,0),1)/1000</f>
        <v>48.12672773960125</v>
      </c>
      <c r="L109" s="131">
        <f>+SUM(K$5:K109)</f>
        <v>42039.029538147086</v>
      </c>
      <c r="N109" s="397" t="str">
        <f ca="1">+INDEX('Charges_NonSlice &amp; Excl LS'!$C$4:$C$138,MATCH($A109,'Charges_NonSlice &amp; Excl LS'!$AA$4:$AA$138,0),1)</f>
        <v>Wells Rural Elec Coop</v>
      </c>
      <c r="O109" s="121">
        <f ca="1">+INDEX('Charges_NonSlice &amp; Excl LS'!$Z$4:$Z$138,MATCH($A109,'Charges_NonSlice &amp; Excl LS'!$AA$4:$AA$138,0),1)</f>
        <v>3.9604973088429307E-2</v>
      </c>
      <c r="P109" s="172">
        <f ca="1">+INDEX('Charges_NonSlice &amp; Excl LS'!$Y$4:$Y$138,MATCH($A109,'Charges_NonSlice &amp; Excl LS'!$AA$4:$AA$138,0),1)</f>
        <v>34.728144567509815</v>
      </c>
      <c r="Q109" s="396">
        <f ca="1">+INDEX('Charges_NonSlice &amp; Excl LS'!$X$4:$X$138,MATCH($A109,'Charges_NonSlice &amp; Excl LS'!$AA$4:$AA$138,0),1)/1000</f>
        <v>825.48914699114391</v>
      </c>
      <c r="R109" s="131">
        <f ca="1">+SUM(Q$5:Q109)</f>
        <v>42820.802343573363</v>
      </c>
      <c r="T109" s="397" t="str">
        <f>+INDEX(Charges_NonSlice!$C$4:$C$138,MATCH($A109,Charges_NonSlice!$AA$4:$AA$138,0),1)</f>
        <v>Nespelem Valley Elec Coop</v>
      </c>
      <c r="U109" s="121">
        <f t="shared" si="4"/>
        <v>-1.5814495053040334E-3</v>
      </c>
      <c r="V109" s="172">
        <f>+INDEX(Charges_NonSlice!$Y$4:$Y$138,MATCH($A109,Charges_NonSlice!$AA$4:$AA$138,0),1)</f>
        <v>32.359478815813702</v>
      </c>
      <c r="W109" s="162">
        <f t="shared" si="3"/>
        <v>32.410734756260531</v>
      </c>
      <c r="Y109" s="126" t="s">
        <v>85</v>
      </c>
      <c r="Z109" s="127">
        <v>33.969852711415186</v>
      </c>
    </row>
    <row r="110" spans="1:26">
      <c r="A110">
        <f t="shared" si="5"/>
        <v>106</v>
      </c>
      <c r="B110" s="138" t="str">
        <f>+INDEX('Charges_Including Slice and LS'!$C$4:$C$138,MATCH($A110,'Charges_Including Slice and LS'!$AA$4:$AA$138,0),1)</f>
        <v>Vigilante Elec Coop</v>
      </c>
      <c r="C110" s="121">
        <f>+INDEX('Charges_Including Slice and LS'!$Z$4:$Z$138,MATCH($A110,'Charges_Including Slice and LS'!$AA$4:$AA$138,0),1)</f>
        <v>3.3134630262394271E-2</v>
      </c>
      <c r="D110" s="107">
        <f>+INDEX('Charges_Including Slice and LS'!$Y$4:$Y$138,MATCH($A110,'Charges_Including Slice and LS'!$AA$4:$AA$138,0),1)</f>
        <v>32.364270050218892</v>
      </c>
      <c r="E110" s="131">
        <f>+INDEX('Charges_Including Slice and LS'!$X$4:$X$138,MATCH($A110,'Charges_Including Slice and LS'!$AA$4:$AA$138,0),1)/1000</f>
        <v>165.08219999999997</v>
      </c>
      <c r="F110" s="131">
        <f>+SUM(E$5:E110)</f>
        <v>56035.856498710753</v>
      </c>
      <c r="H110" s="397" t="str">
        <f>+INDEX(Charges_NonSlice!$C$4:$C$138,MATCH($A110,Charges_NonSlice!$AA$4:$AA$138,0),1)</f>
        <v>Vigilante Elec Coop</v>
      </c>
      <c r="I110" s="121">
        <f>+INDEX(Charges_NonSlice!$Z$4:$Z$138,MATCH($A110,Charges_NonSlice!$AA$4:$AA$138,0),1)</f>
        <v>3.3134630262394271E-2</v>
      </c>
      <c r="J110" s="172">
        <f>+INDEX(Charges_NonSlice!$Y$4:$Y$138,MATCH($A110,Charges_NonSlice!$AA$4:$AA$138,0),1)</f>
        <v>32.364270050218892</v>
      </c>
      <c r="K110" s="396">
        <f>+INDEX(Charges_NonSlice!$X$4:$X$138,MATCH($A110,Charges_NonSlice!$AA$4:$AA$138,0),1)/1000</f>
        <v>165.08219999999997</v>
      </c>
      <c r="L110" s="131">
        <f>+SUM(K$5:K110)</f>
        <v>42204.111738147083</v>
      </c>
      <c r="N110" s="397" t="str">
        <f ca="1">+INDEX('Charges_NonSlice &amp; Excl LS'!$C$4:$C$138,MATCH($A110,'Charges_NonSlice &amp; Excl LS'!$AA$4:$AA$138,0),1)</f>
        <v>Jefferson County PUD #1</v>
      </c>
      <c r="O110" s="121">
        <f ca="1">+INDEX('Charges_NonSlice &amp; Excl LS'!$Z$4:$Z$138,MATCH($A110,'Charges_NonSlice &amp; Excl LS'!$AA$4:$AA$138,0),1)</f>
        <v>3.9552893086220953E-2</v>
      </c>
      <c r="P110" s="172">
        <f ca="1">+INDEX('Charges_NonSlice &amp; Excl LS'!$Y$4:$Y$138,MATCH($A110,'Charges_NonSlice &amp; Excl LS'!$AA$4:$AA$138,0),1)</f>
        <v>38.693172032343426</v>
      </c>
      <c r="Q110" s="396">
        <f ca="1">+INDEX('Charges_NonSlice &amp; Excl LS'!$X$4:$X$138,MATCH($A110,'Charges_NonSlice &amp; Excl LS'!$AA$4:$AA$138,0),1)/1000</f>
        <v>383.86227850231194</v>
      </c>
      <c r="R110" s="131">
        <f ca="1">+SUM(Q$5:Q110)</f>
        <v>43204.664622075674</v>
      </c>
      <c r="T110" s="397" t="str">
        <f>+INDEX(Charges_NonSlice!$C$4:$C$138,MATCH($A110,Charges_NonSlice!$AA$4:$AA$138,0),1)</f>
        <v>Vigilante Elec Coop</v>
      </c>
      <c r="U110" s="121">
        <f t="shared" si="4"/>
        <v>5.3965108381611948E-2</v>
      </c>
      <c r="V110" s="172">
        <f>+INDEX(Charges_NonSlice!$Y$4:$Y$138,MATCH($A110,Charges_NonSlice!$AA$4:$AA$138,0),1)</f>
        <v>32.364270050218892</v>
      </c>
      <c r="W110" s="162">
        <f t="shared" si="3"/>
        <v>30.707155097302021</v>
      </c>
      <c r="Y110" s="126" t="s">
        <v>43</v>
      </c>
      <c r="Z110" s="127">
        <v>37.998264698973713</v>
      </c>
    </row>
    <row r="111" spans="1:26">
      <c r="A111">
        <f t="shared" si="5"/>
        <v>107</v>
      </c>
      <c r="B111" s="138" t="str">
        <f>+INDEX('Charges_Including Slice and LS'!$C$4:$C$138,MATCH($A111,'Charges_Including Slice and LS'!$AA$4:$AA$138,0),1)</f>
        <v>Southside Elec Lines</v>
      </c>
      <c r="C111" s="121">
        <f>+INDEX('Charges_Including Slice and LS'!$Z$4:$Z$138,MATCH($A111,'Charges_Including Slice and LS'!$AA$4:$AA$138,0),1)</f>
        <v>2.9644206212160462E-2</v>
      </c>
      <c r="D111" s="107">
        <f>+INDEX('Charges_Including Slice and LS'!$Y$4:$Y$138,MATCH($A111,'Charges_Including Slice and LS'!$AA$4:$AA$138,0),1)</f>
        <v>31.093313548668796</v>
      </c>
      <c r="E111" s="131">
        <f>+INDEX('Charges_Including Slice and LS'!$X$4:$X$138,MATCH($A111,'Charges_Including Slice and LS'!$AA$4:$AA$138,0),1)/1000</f>
        <v>58.31532</v>
      </c>
      <c r="F111" s="131">
        <f>+SUM(E$5:E111)</f>
        <v>56094.171818710754</v>
      </c>
      <c r="H111" s="397" t="str">
        <f>+INDEX(Charges_NonSlice!$C$4:$C$138,MATCH($A111,Charges_NonSlice!$AA$4:$AA$138,0),1)</f>
        <v>Southside Elec Lines</v>
      </c>
      <c r="I111" s="121">
        <f>+INDEX(Charges_NonSlice!$Z$4:$Z$138,MATCH($A111,Charges_NonSlice!$AA$4:$AA$138,0),1)</f>
        <v>2.9644206212160462E-2</v>
      </c>
      <c r="J111" s="172">
        <f>+INDEX(Charges_NonSlice!$Y$4:$Y$138,MATCH($A111,Charges_NonSlice!$AA$4:$AA$138,0),1)</f>
        <v>31.093313548668796</v>
      </c>
      <c r="K111" s="396">
        <f>+INDEX(Charges_NonSlice!$X$4:$X$138,MATCH($A111,Charges_NonSlice!$AA$4:$AA$138,0),1)/1000</f>
        <v>58.31532</v>
      </c>
      <c r="L111" s="131">
        <f>+SUM(K$5:K111)</f>
        <v>42262.427058147085</v>
      </c>
      <c r="N111" s="397" t="str">
        <f ca="1">+INDEX('Charges_NonSlice &amp; Excl LS'!$C$4:$C$138,MATCH($A111,'Charges_NonSlice &amp; Excl LS'!$AA$4:$AA$138,0),1)</f>
        <v>Port of Seattle - SETAC In'tl. Airport</v>
      </c>
      <c r="O111" s="121">
        <f ca="1">+INDEX('Charges_NonSlice &amp; Excl LS'!$Z$4:$Z$138,MATCH($A111,'Charges_NonSlice &amp; Excl LS'!$AA$4:$AA$138,0),1)</f>
        <v>3.9344405703798123E-2</v>
      </c>
      <c r="P111" s="172">
        <f ca="1">+INDEX('Charges_NonSlice &amp; Excl LS'!$Y$4:$Y$138,MATCH($A111,'Charges_NonSlice &amp; Excl LS'!$AA$4:$AA$138,0),1)</f>
        <v>37.913325239615084</v>
      </c>
      <c r="Q111" s="396">
        <f ca="1">+INDEX('Charges_NonSlice &amp; Excl LS'!$X$4:$X$138,MATCH($A111,'Charges_NonSlice &amp; Excl LS'!$AA$4:$AA$138,0),1)/1000</f>
        <v>148.92861115008</v>
      </c>
      <c r="R111" s="131">
        <f ca="1">+SUM(Q$5:Q111)</f>
        <v>43353.593233225751</v>
      </c>
      <c r="T111" s="397" t="str">
        <f>+INDEX(Charges_NonSlice!$C$4:$C$138,MATCH($A111,Charges_NonSlice!$AA$4:$AA$138,0),1)</f>
        <v>Southside Elec Lines</v>
      </c>
      <c r="U111" s="121">
        <f t="shared" si="4"/>
        <v>3.4392699616218048E-2</v>
      </c>
      <c r="V111" s="172">
        <f>+INDEX(Charges_NonSlice!$Y$4:$Y$138,MATCH($A111,Charges_NonSlice!$AA$4:$AA$138,0),1)</f>
        <v>31.093313548668796</v>
      </c>
      <c r="W111" s="162">
        <f t="shared" si="3"/>
        <v>30.059486653574684</v>
      </c>
      <c r="Y111" s="126" t="s">
        <v>23</v>
      </c>
      <c r="Z111" s="127">
        <v>37.138684934996199</v>
      </c>
    </row>
    <row r="112" spans="1:26">
      <c r="A112">
        <f t="shared" si="5"/>
        <v>108</v>
      </c>
      <c r="B112" s="138" t="str">
        <f>+INDEX('Charges_Including Slice and LS'!$C$4:$C$138,MATCH($A112,'Charges_Including Slice and LS'!$AA$4:$AA$138,0),1)</f>
        <v>Lost River Elec Coop</v>
      </c>
      <c r="C112" s="121">
        <f>+INDEX('Charges_Including Slice and LS'!$Z$4:$Z$138,MATCH($A112,'Charges_Including Slice and LS'!$AA$4:$AA$138,0),1)</f>
        <v>2.7722223863294371E-2</v>
      </c>
      <c r="D112" s="107">
        <f>+INDEX('Charges_Including Slice and LS'!$Y$4:$Y$138,MATCH($A112,'Charges_Including Slice and LS'!$AA$4:$AA$138,0),1)</f>
        <v>29.164964288318156</v>
      </c>
      <c r="E112" s="131">
        <f>+INDEX('Charges_Including Slice and LS'!$X$4:$X$138,MATCH($A112,'Charges_Including Slice and LS'!$AA$4:$AA$138,0),1)/1000</f>
        <v>82.107479999999995</v>
      </c>
      <c r="F112" s="131">
        <f>+SUM(E$5:E112)</f>
        <v>56176.279298710753</v>
      </c>
      <c r="H112" s="397" t="str">
        <f>+INDEX(Charges_NonSlice!$C$4:$C$138,MATCH($A112,Charges_NonSlice!$AA$4:$AA$138,0),1)</f>
        <v>Lost River Elec Coop</v>
      </c>
      <c r="I112" s="121">
        <f>+INDEX(Charges_NonSlice!$Z$4:$Z$138,MATCH($A112,Charges_NonSlice!$AA$4:$AA$138,0),1)</f>
        <v>2.7722223863294371E-2</v>
      </c>
      <c r="J112" s="172">
        <f>+INDEX(Charges_NonSlice!$Y$4:$Y$138,MATCH($A112,Charges_NonSlice!$AA$4:$AA$138,0),1)</f>
        <v>29.164964288318156</v>
      </c>
      <c r="K112" s="396">
        <f>+INDEX(Charges_NonSlice!$X$4:$X$138,MATCH($A112,Charges_NonSlice!$AA$4:$AA$138,0),1)/1000</f>
        <v>82.107479999999995</v>
      </c>
      <c r="L112" s="131">
        <f>+SUM(K$5:K112)</f>
        <v>42344.534538147083</v>
      </c>
      <c r="N112" s="397" t="str">
        <f ca="1">+INDEX('Charges_NonSlice &amp; Excl LS'!$C$4:$C$138,MATCH($A112,'Charges_NonSlice &amp; Excl LS'!$AA$4:$AA$138,0),1)</f>
        <v>Idaho County L &amp; P</v>
      </c>
      <c r="O112" s="121">
        <f ca="1">+INDEX('Charges_NonSlice &amp; Excl LS'!$Z$4:$Z$138,MATCH($A112,'Charges_NonSlice &amp; Excl LS'!$AA$4:$AA$138,0),1)</f>
        <v>3.9179336694748997E-2</v>
      </c>
      <c r="P112" s="172">
        <f ca="1">+INDEX('Charges_NonSlice &amp; Excl LS'!$Y$4:$Y$138,MATCH($A112,'Charges_NonSlice &amp; Excl LS'!$AA$4:$AA$138,0),1)</f>
        <v>35.576735275785161</v>
      </c>
      <c r="Q112" s="396">
        <f ca="1">+INDEX('Charges_NonSlice &amp; Excl LS'!$X$4:$X$138,MATCH($A112,'Charges_NonSlice &amp; Excl LS'!$AA$4:$AA$138,0),1)/1000</f>
        <v>53.560763585184006</v>
      </c>
      <c r="R112" s="131">
        <f ca="1">+SUM(Q$5:Q112)</f>
        <v>43407.153996810935</v>
      </c>
      <c r="T112" s="397" t="str">
        <f>+INDEX(Charges_NonSlice!$C$4:$C$138,MATCH($A112,Charges_NonSlice!$AA$4:$AA$138,0),1)</f>
        <v>Lost River Elec Coop</v>
      </c>
      <c r="U112" s="121">
        <f t="shared" si="4"/>
        <v>4.6815304700363658E-2</v>
      </c>
      <c r="V112" s="172">
        <f>+INDEX(Charges_NonSlice!$Y$4:$Y$138,MATCH($A112,Charges_NonSlice!$AA$4:$AA$138,0),1)</f>
        <v>29.164964288318156</v>
      </c>
      <c r="W112" s="162">
        <f t="shared" si="3"/>
        <v>27.860659045930003</v>
      </c>
      <c r="Y112" s="126" t="s">
        <v>22</v>
      </c>
      <c r="Z112" s="127">
        <v>37.786802433495211</v>
      </c>
    </row>
    <row r="113" spans="1:26">
      <c r="A113">
        <f t="shared" si="5"/>
        <v>109</v>
      </c>
      <c r="B113" s="138" t="str">
        <f>+INDEX('Charges_Including Slice and LS'!$C$4:$C$138,MATCH($A113,'Charges_Including Slice and LS'!$AA$4:$AA$138,0),1)</f>
        <v>Canby, City of</v>
      </c>
      <c r="C113" s="121">
        <f>+INDEX('Charges_Including Slice and LS'!$Z$4:$Z$138,MATCH($A113,'Charges_Including Slice and LS'!$AA$4:$AA$138,0),1)</f>
        <v>2.6402967266843325E-2</v>
      </c>
      <c r="D113" s="107">
        <f>+INDEX('Charges_Including Slice and LS'!$Y$4:$Y$138,MATCH($A113,'Charges_Including Slice and LS'!$AA$4:$AA$138,0),1)</f>
        <v>38.009413917587331</v>
      </c>
      <c r="E113" s="131">
        <f>+INDEX('Charges_Including Slice and LS'!$X$4:$X$138,MATCH($A113,'Charges_Including Slice and LS'!$AA$4:$AA$138,0),1)/1000</f>
        <v>175.05108000000001</v>
      </c>
      <c r="F113" s="131">
        <f>+SUM(E$5:E113)</f>
        <v>56351.330378710751</v>
      </c>
      <c r="H113" s="397" t="str">
        <f>+INDEX(Charges_NonSlice!$C$4:$C$138,MATCH($A113,Charges_NonSlice!$AA$4:$AA$138,0),1)</f>
        <v>Canby, City of</v>
      </c>
      <c r="I113" s="121">
        <f>+INDEX(Charges_NonSlice!$Z$4:$Z$138,MATCH($A113,Charges_NonSlice!$AA$4:$AA$138,0),1)</f>
        <v>2.6402967266843325E-2</v>
      </c>
      <c r="J113" s="172">
        <f>+INDEX(Charges_NonSlice!$Y$4:$Y$138,MATCH($A113,Charges_NonSlice!$AA$4:$AA$138,0),1)</f>
        <v>38.009413917587331</v>
      </c>
      <c r="K113" s="396">
        <f>+INDEX(Charges_NonSlice!$X$4:$X$138,MATCH($A113,Charges_NonSlice!$AA$4:$AA$138,0),1)/1000</f>
        <v>175.05108000000001</v>
      </c>
      <c r="L113" s="131">
        <f>+SUM(K$5:K113)</f>
        <v>42519.585618147081</v>
      </c>
      <c r="N113" s="397" t="str">
        <f ca="1">+INDEX('Charges_NonSlice &amp; Excl LS'!$C$4:$C$138,MATCH($A113,'Charges_NonSlice &amp; Excl LS'!$AA$4:$AA$138,0),1)</f>
        <v>Missoula Elec Coop</v>
      </c>
      <c r="O113" s="121">
        <f ca="1">+INDEX('Charges_NonSlice &amp; Excl LS'!$Z$4:$Z$138,MATCH($A113,'Charges_NonSlice &amp; Excl LS'!$AA$4:$AA$138,0),1)</f>
        <v>3.8718079354859242E-2</v>
      </c>
      <c r="P113" s="172">
        <f ca="1">+INDEX('Charges_NonSlice &amp; Excl LS'!$Y$4:$Y$138,MATCH($A113,'Charges_NonSlice &amp; Excl LS'!$AA$4:$AA$138,0),1)</f>
        <v>36.170244322915593</v>
      </c>
      <c r="Q113" s="396">
        <f ca="1">+INDEX('Charges_NonSlice &amp; Excl LS'!$X$4:$X$138,MATCH($A113,'Charges_NonSlice &amp; Excl LS'!$AA$4:$AA$138,0),1)/1000</f>
        <v>232.597532275368</v>
      </c>
      <c r="R113" s="131">
        <f ca="1">+SUM(Q$5:Q113)</f>
        <v>43639.751529086301</v>
      </c>
      <c r="T113" s="397" t="str">
        <f>+INDEX(Charges_NonSlice!$C$4:$C$138,MATCH($A113,Charges_NonSlice!$AA$4:$AA$138,0),1)</f>
        <v>Canby, City of</v>
      </c>
      <c r="U113" s="121">
        <f t="shared" si="4"/>
        <v>1.9794470223620797E-2</v>
      </c>
      <c r="V113" s="172">
        <f>+INDEX(Charges_NonSlice!$Y$4:$Y$138,MATCH($A113,Charges_NonSlice!$AA$4:$AA$138,0),1)</f>
        <v>38.009413917587331</v>
      </c>
      <c r="W113" s="162">
        <f t="shared" si="3"/>
        <v>37.271641519347149</v>
      </c>
      <c r="Y113" s="126" t="s">
        <v>74</v>
      </c>
      <c r="Z113" s="127">
        <v>34.332085213764884</v>
      </c>
    </row>
    <row r="114" spans="1:26">
      <c r="A114">
        <f t="shared" si="5"/>
        <v>110</v>
      </c>
      <c r="B114" s="138" t="str">
        <f>+INDEX('Charges_Including Slice and LS'!$C$4:$C$138,MATCH($A114,'Charges_Including Slice and LS'!$AA$4:$AA$138,0),1)</f>
        <v>Surprise Valley Elec Coop</v>
      </c>
      <c r="C114" s="121">
        <f>+INDEX('Charges_Including Slice and LS'!$Z$4:$Z$138,MATCH($A114,'Charges_Including Slice and LS'!$AA$4:$AA$138,0),1)</f>
        <v>2.4486599903849937E-2</v>
      </c>
      <c r="D114" s="107">
        <f>+INDEX('Charges_Including Slice and LS'!$Y$4:$Y$138,MATCH($A114,'Charges_Including Slice and LS'!$AA$4:$AA$138,0),1)</f>
        <v>30.872990351146452</v>
      </c>
      <c r="E114" s="131">
        <f>+INDEX('Charges_Including Slice and LS'!$X$4:$X$138,MATCH($A114,'Charges_Including Slice and LS'!$AA$4:$AA$138,0),1)/1000</f>
        <v>141.63167999999999</v>
      </c>
      <c r="F114" s="131">
        <f>+SUM(E$5:E114)</f>
        <v>56492.962058710749</v>
      </c>
      <c r="H114" s="397" t="str">
        <f>+INDEX(Charges_NonSlice!$C$4:$C$138,MATCH($A114,Charges_NonSlice!$AA$4:$AA$138,0),1)</f>
        <v>Surprise Valley Elec Coop</v>
      </c>
      <c r="I114" s="121">
        <f>+INDEX(Charges_NonSlice!$Z$4:$Z$138,MATCH($A114,Charges_NonSlice!$AA$4:$AA$138,0),1)</f>
        <v>2.4486599903849937E-2</v>
      </c>
      <c r="J114" s="172">
        <f>+INDEX(Charges_NonSlice!$Y$4:$Y$138,MATCH($A114,Charges_NonSlice!$AA$4:$AA$138,0),1)</f>
        <v>30.872990351146452</v>
      </c>
      <c r="K114" s="396">
        <f>+INDEX(Charges_NonSlice!$X$4:$X$138,MATCH($A114,Charges_NonSlice!$AA$4:$AA$138,0),1)/1000</f>
        <v>141.63167999999999</v>
      </c>
      <c r="L114" s="131">
        <f>+SUM(K$5:K114)</f>
        <v>42661.217298147079</v>
      </c>
      <c r="N114" s="397" t="str">
        <f ca="1">+INDEX('Charges_NonSlice &amp; Excl LS'!$C$4:$C$138,MATCH($A114,'Charges_NonSlice &amp; Excl LS'!$AA$4:$AA$138,0),1)</f>
        <v>Columbia REA</v>
      </c>
      <c r="O114" s="121">
        <f ca="1">+INDEX('Charges_NonSlice &amp; Excl LS'!$Z$4:$Z$138,MATCH($A114,'Charges_NonSlice &amp; Excl LS'!$AA$4:$AA$138,0),1)</f>
        <v>3.7788956786441917E-2</v>
      </c>
      <c r="P114" s="172">
        <f ca="1">+INDEX('Charges_NonSlice &amp; Excl LS'!$Y$4:$Y$138,MATCH($A114,'Charges_NonSlice &amp; Excl LS'!$AA$4:$AA$138,0),1)</f>
        <v>30.452203950522545</v>
      </c>
      <c r="Q114" s="396">
        <f ca="1">+INDEX('Charges_NonSlice &amp; Excl LS'!$X$4:$X$138,MATCH($A114,'Charges_NonSlice &amp; Excl LS'!$AA$4:$AA$138,0),1)/1000</f>
        <v>324.89311886678405</v>
      </c>
      <c r="R114" s="131">
        <f ca="1">+SUM(Q$5:Q114)</f>
        <v>43964.644647953086</v>
      </c>
      <c r="T114" s="397" t="str">
        <f>+INDEX(Charges_NonSlice!$C$4:$C$138,MATCH($A114,Charges_NonSlice!$AA$4:$AA$138,0),1)</f>
        <v>Surprise Valley Elec Coop</v>
      </c>
      <c r="U114" s="121">
        <f t="shared" si="4"/>
        <v>6.2334832101042403E-2</v>
      </c>
      <c r="V114" s="172">
        <f>+INDEX(Charges_NonSlice!$Y$4:$Y$138,MATCH($A114,Charges_NonSlice!$AA$4:$AA$138,0),1)</f>
        <v>30.872990351146452</v>
      </c>
      <c r="W114" s="162">
        <f t="shared" si="3"/>
        <v>29.061449759758993</v>
      </c>
      <c r="Y114" s="126" t="s">
        <v>24</v>
      </c>
      <c r="Z114" s="127">
        <v>36.811351495554703</v>
      </c>
    </row>
    <row r="115" spans="1:26">
      <c r="A115">
        <f t="shared" si="5"/>
        <v>111</v>
      </c>
      <c r="B115" s="138" t="str">
        <f>+INDEX('Charges_Including Slice and LS'!$C$4:$C$138,MATCH($A115,'Charges_Including Slice and LS'!$AA$4:$AA$138,0),1)</f>
        <v>McMinnville, City of</v>
      </c>
      <c r="C115" s="121">
        <f>+INDEX('Charges_Including Slice and LS'!$Z$4:$Z$138,MATCH($A115,'Charges_Including Slice and LS'!$AA$4:$AA$138,0),1)</f>
        <v>2.318916695110973E-2</v>
      </c>
      <c r="D115" s="107">
        <f>+INDEX('Charges_Including Slice and LS'!$Y$4:$Y$138,MATCH($A115,'Charges_Including Slice and LS'!$AA$4:$AA$138,0),1)</f>
        <v>38.426860236323122</v>
      </c>
      <c r="E115" s="131">
        <f>+INDEX('Charges_Including Slice and LS'!$X$4:$X$138,MATCH($A115,'Charges_Including Slice and LS'!$AA$4:$AA$138,0),1)/1000</f>
        <v>758.34005208842711</v>
      </c>
      <c r="F115" s="131">
        <f>+SUM(E$5:E115)</f>
        <v>57251.302110799174</v>
      </c>
      <c r="H115" s="397" t="str">
        <f>+INDEX(Charges_NonSlice!$C$4:$C$138,MATCH($A115,Charges_NonSlice!$AA$4:$AA$138,0),1)</f>
        <v>McMinnville, City of</v>
      </c>
      <c r="I115" s="121">
        <f>+INDEX(Charges_NonSlice!$Z$4:$Z$138,MATCH($A115,Charges_NonSlice!$AA$4:$AA$138,0),1)</f>
        <v>2.318916695110973E-2</v>
      </c>
      <c r="J115" s="172">
        <f>+INDEX(Charges_NonSlice!$Y$4:$Y$138,MATCH($A115,Charges_NonSlice!$AA$4:$AA$138,0),1)</f>
        <v>38.426860236323122</v>
      </c>
      <c r="K115" s="396">
        <f>+INDEX(Charges_NonSlice!$X$4:$X$138,MATCH($A115,Charges_NonSlice!$AA$4:$AA$138,0),1)/1000</f>
        <v>758.34005208842711</v>
      </c>
      <c r="L115" s="131">
        <f>+SUM(K$5:K115)</f>
        <v>43419.557350235504</v>
      </c>
      <c r="N115" s="397" t="str">
        <f ca="1">+INDEX('Charges_NonSlice &amp; Excl LS'!$C$4:$C$138,MATCH($A115,'Charges_NonSlice &amp; Excl LS'!$AA$4:$AA$138,0),1)</f>
        <v>Mission Valley</v>
      </c>
      <c r="O115" s="121">
        <f ca="1">+INDEX('Charges_NonSlice &amp; Excl LS'!$Z$4:$Z$138,MATCH($A115,'Charges_NonSlice &amp; Excl LS'!$AA$4:$AA$138,0),1)</f>
        <v>3.7257758195489238E-2</v>
      </c>
      <c r="P115" s="172">
        <f ca="1">+INDEX('Charges_NonSlice &amp; Excl LS'!$Y$4:$Y$138,MATCH($A115,'Charges_NonSlice &amp; Excl LS'!$AA$4:$AA$138,0),1)</f>
        <v>35.384661104083953</v>
      </c>
      <c r="Q115" s="396">
        <f ca="1">+INDEX('Charges_NonSlice &amp; Excl LS'!$X$4:$X$138,MATCH($A115,'Charges_NonSlice &amp; Excl LS'!$AA$4:$AA$138,0),1)/1000</f>
        <v>327.12583129701596</v>
      </c>
      <c r="R115" s="131">
        <f ca="1">+SUM(Q$5:Q115)</f>
        <v>44291.770479250103</v>
      </c>
      <c r="T115" s="397" t="str">
        <f>+INDEX(Charges_NonSlice!$C$4:$C$138,MATCH($A115,Charges_NonSlice!$AA$4:$AA$138,0),1)</f>
        <v>McMinnville, City of</v>
      </c>
      <c r="U115" s="121">
        <f t="shared" si="4"/>
        <v>7.9850960636070001E-2</v>
      </c>
      <c r="V115" s="172">
        <f>+INDEX(Charges_NonSlice!$Y$4:$Y$138,MATCH($A115,Charges_NonSlice!$AA$4:$AA$138,0),1)</f>
        <v>38.426860236323122</v>
      </c>
      <c r="W115" s="162">
        <f t="shared" si="3"/>
        <v>35.585336900277753</v>
      </c>
      <c r="Y115" s="126" t="s">
        <v>77</v>
      </c>
      <c r="Z115" s="127">
        <v>33.231366553326218</v>
      </c>
    </row>
    <row r="116" spans="1:26">
      <c r="A116">
        <f t="shared" si="5"/>
        <v>112</v>
      </c>
      <c r="B116" s="138" t="str">
        <f>+INDEX('Charges_Including Slice and LS'!$C$4:$C$138,MATCH($A116,'Charges_Including Slice and LS'!$AA$4:$AA$138,0),1)</f>
        <v>Big Bend Elec Coop</v>
      </c>
      <c r="C116" s="121">
        <f>+INDEX('Charges_Including Slice and LS'!$Z$4:$Z$138,MATCH($A116,'Charges_Including Slice and LS'!$AA$4:$AA$138,0),1)</f>
        <v>1.9851147369402078E-2</v>
      </c>
      <c r="D116" s="107">
        <f>+INDEX('Charges_Including Slice and LS'!$Y$4:$Y$138,MATCH($A116,'Charges_Including Slice and LS'!$AA$4:$AA$138,0),1)</f>
        <v>29.041532326450458</v>
      </c>
      <c r="E116" s="131">
        <f>+INDEX('Charges_Including Slice and LS'!$X$4:$X$138,MATCH($A116,'Charges_Including Slice and LS'!$AA$4:$AA$138,0),1)/1000</f>
        <v>527.45712000000003</v>
      </c>
      <c r="F116" s="131">
        <f>+SUM(E$5:E116)</f>
        <v>57778.759230799173</v>
      </c>
      <c r="H116" s="397" t="str">
        <f>+INDEX(Charges_NonSlice!$C$4:$C$138,MATCH($A116,Charges_NonSlice!$AA$4:$AA$138,0),1)</f>
        <v>Big Bend Elec Coop</v>
      </c>
      <c r="I116" s="121">
        <f>+INDEX(Charges_NonSlice!$Z$4:$Z$138,MATCH($A116,Charges_NonSlice!$AA$4:$AA$138,0),1)</f>
        <v>1.9851147369402078E-2</v>
      </c>
      <c r="J116" s="172">
        <f>+INDEX(Charges_NonSlice!$Y$4:$Y$138,MATCH($A116,Charges_NonSlice!$AA$4:$AA$138,0),1)</f>
        <v>29.041532326450458</v>
      </c>
      <c r="K116" s="396">
        <f>+INDEX(Charges_NonSlice!$X$4:$X$138,MATCH($A116,Charges_NonSlice!$AA$4:$AA$138,0),1)/1000</f>
        <v>527.45712000000003</v>
      </c>
      <c r="L116" s="131">
        <f>+SUM(K$5:K116)</f>
        <v>43947.014470235503</v>
      </c>
      <c r="N116" s="397" t="str">
        <f ca="1">+INDEX('Charges_NonSlice &amp; Excl LS'!$C$4:$C$138,MATCH($A116,'Charges_NonSlice &amp; Excl LS'!$AA$4:$AA$138,0),1)</f>
        <v>Columbia Basin Elec Coop</v>
      </c>
      <c r="O116" s="121">
        <f ca="1">+INDEX('Charges_NonSlice &amp; Excl LS'!$Z$4:$Z$138,MATCH($A116,'Charges_NonSlice &amp; Excl LS'!$AA$4:$AA$138,0),1)</f>
        <v>3.2369405514871358E-2</v>
      </c>
      <c r="P116" s="172">
        <f ca="1">+INDEX('Charges_NonSlice &amp; Excl LS'!$Y$4:$Y$138,MATCH($A116,'Charges_NonSlice &amp; Excl LS'!$AA$4:$AA$138,0),1)</f>
        <v>33.524487245922934</v>
      </c>
      <c r="Q116" s="396">
        <f ca="1">+INDEX('Charges_NonSlice &amp; Excl LS'!$X$4:$X$138,MATCH($A116,'Charges_NonSlice &amp; Excl LS'!$AA$4:$AA$138,0),1)/1000</f>
        <v>104.45687309831999</v>
      </c>
      <c r="R116" s="131">
        <f ca="1">+SUM(Q$5:Q116)</f>
        <v>44396.227352348425</v>
      </c>
      <c r="T116" s="397" t="str">
        <f>+INDEX(Charges_NonSlice!$C$4:$C$138,MATCH($A116,Charges_NonSlice!$AA$4:$AA$138,0),1)</f>
        <v>Big Bend Elec Coop</v>
      </c>
      <c r="U116" s="121">
        <f t="shared" si="4"/>
        <v>1.9878915301076772E-2</v>
      </c>
      <c r="V116" s="172">
        <f>+INDEX(Charges_NonSlice!$Y$4:$Y$138,MATCH($A116,Charges_NonSlice!$AA$4:$AA$138,0),1)</f>
        <v>29.041532326450458</v>
      </c>
      <c r="W116" s="162">
        <f t="shared" si="3"/>
        <v>28.47547085320139</v>
      </c>
      <c r="Y116" s="126" t="s">
        <v>70</v>
      </c>
      <c r="Z116" s="127">
        <v>35.7978506544178</v>
      </c>
    </row>
    <row r="117" spans="1:26">
      <c r="A117">
        <f t="shared" si="5"/>
        <v>113</v>
      </c>
      <c r="B117" s="138" t="str">
        <f>+INDEX('Charges_Including Slice and LS'!$C$4:$C$138,MATCH($A117,'Charges_Including Slice and LS'!$AA$4:$AA$138,0),1)</f>
        <v>Columbia REA</v>
      </c>
      <c r="C117" s="121">
        <f>+INDEX('Charges_Including Slice and LS'!$Z$4:$Z$138,MATCH($A117,'Charges_Including Slice and LS'!$AA$4:$AA$138,0),1)</f>
        <v>1.8014214151025776E-2</v>
      </c>
      <c r="D117" s="107">
        <f>+INDEX('Charges_Including Slice and LS'!$Y$4:$Y$138,MATCH($A117,'Charges_Including Slice and LS'!$AA$4:$AA$138,0),1)</f>
        <v>29.445616159535046</v>
      </c>
      <c r="E117" s="131">
        <f>+INDEX('Charges_Including Slice and LS'!$X$4:$X$138,MATCH($A117,'Charges_Including Slice and LS'!$AA$4:$AA$138,0),1)/1000</f>
        <v>324.89087999999998</v>
      </c>
      <c r="F117" s="131">
        <f>+SUM(E$5:E117)</f>
        <v>58103.650110799172</v>
      </c>
      <c r="H117" s="397" t="str">
        <f>+INDEX(Charges_NonSlice!$C$4:$C$138,MATCH($A117,Charges_NonSlice!$AA$4:$AA$138,0),1)</f>
        <v>Columbia REA</v>
      </c>
      <c r="I117" s="121">
        <f>+INDEX(Charges_NonSlice!$Z$4:$Z$138,MATCH($A117,Charges_NonSlice!$AA$4:$AA$138,0),1)</f>
        <v>1.8014214151025776E-2</v>
      </c>
      <c r="J117" s="172">
        <f>+INDEX(Charges_NonSlice!$Y$4:$Y$138,MATCH($A117,Charges_NonSlice!$AA$4:$AA$138,0),1)</f>
        <v>29.445616159535046</v>
      </c>
      <c r="K117" s="396">
        <f>+INDEX(Charges_NonSlice!$X$4:$X$138,MATCH($A117,Charges_NonSlice!$AA$4:$AA$138,0),1)/1000</f>
        <v>324.89087999999998</v>
      </c>
      <c r="L117" s="131">
        <f>+SUM(K$5:K117)</f>
        <v>44271.905350235502</v>
      </c>
      <c r="N117" s="397" t="str">
        <f ca="1">+INDEX('Charges_NonSlice &amp; Excl LS'!$C$4:$C$138,MATCH($A117,'Charges_NonSlice &amp; Excl LS'!$AA$4:$AA$138,0),1)</f>
        <v>Klickitat County PUD #1</v>
      </c>
      <c r="O117" s="121">
        <f ca="1">+INDEX('Charges_NonSlice &amp; Excl LS'!$Z$4:$Z$138,MATCH($A117,'Charges_NonSlice &amp; Excl LS'!$AA$4:$AA$138,0),1)</f>
        <v>3.2278040031060724E-2</v>
      </c>
      <c r="P117" s="172">
        <f ca="1">+INDEX('Charges_NonSlice &amp; Excl LS'!$Y$4:$Y$138,MATCH($A117,'Charges_NonSlice &amp; Excl LS'!$AA$4:$AA$138,0),1)</f>
        <v>33.999026831878268</v>
      </c>
      <c r="Q117" s="396">
        <f ca="1">+INDEX('Charges_NonSlice &amp; Excl LS'!$X$4:$X$138,MATCH($A117,'Charges_NonSlice &amp; Excl LS'!$AA$4:$AA$138,0),1)/1000</f>
        <v>315.98052020114403</v>
      </c>
      <c r="R117" s="131">
        <f ca="1">+SUM(Q$5:Q117)</f>
        <v>44712.207872549567</v>
      </c>
      <c r="T117" s="397" t="str">
        <f>+INDEX(Charges_NonSlice!$C$4:$C$138,MATCH($A117,Charges_NonSlice!$AA$4:$AA$138,0),1)</f>
        <v>Columbia REA</v>
      </c>
      <c r="U117" s="121">
        <f t="shared" si="4"/>
        <v>9.0016020023109267E-3</v>
      </c>
      <c r="V117" s="172">
        <f>+INDEX(Charges_NonSlice!$Y$4:$Y$138,MATCH($A117,Charges_NonSlice!$AA$4:$AA$138,0),1)</f>
        <v>29.445616159535046</v>
      </c>
      <c r="W117" s="162">
        <f t="shared" si="3"/>
        <v>29.182923100520121</v>
      </c>
      <c r="Y117" s="126" t="s">
        <v>110</v>
      </c>
      <c r="Z117" s="127">
        <v>35.263623667469112</v>
      </c>
    </row>
    <row r="118" spans="1:26">
      <c r="A118">
        <f t="shared" si="5"/>
        <v>114</v>
      </c>
      <c r="B118" s="138" t="str">
        <f>+INDEX('Charges_Including Slice and LS'!$C$4:$C$138,MATCH($A118,'Charges_Including Slice and LS'!$AA$4:$AA$138,0),1)</f>
        <v>Heyburn, City of</v>
      </c>
      <c r="C118" s="121">
        <f>+INDEX('Charges_Including Slice and LS'!$Z$4:$Z$138,MATCH($A118,'Charges_Including Slice and LS'!$AA$4:$AA$138,0),1)</f>
        <v>1.7502851967159172E-2</v>
      </c>
      <c r="D118" s="107">
        <f>+INDEX('Charges_Including Slice and LS'!$Y$4:$Y$138,MATCH($A118,'Charges_Including Slice and LS'!$AA$4:$AA$138,0),1)</f>
        <v>37.569856739718361</v>
      </c>
      <c r="E118" s="131">
        <f>+INDEX('Charges_Including Slice and LS'!$X$4:$X$138,MATCH($A118,'Charges_Including Slice and LS'!$AA$4:$AA$138,0),1)/1000</f>
        <v>41.522400000000005</v>
      </c>
      <c r="F118" s="131">
        <f>+SUM(E$5:E118)</f>
        <v>58145.172510799173</v>
      </c>
      <c r="H118" s="397" t="str">
        <f>+INDEX(Charges_NonSlice!$C$4:$C$138,MATCH($A118,Charges_NonSlice!$AA$4:$AA$138,0),1)</f>
        <v>Heyburn, City of</v>
      </c>
      <c r="I118" s="121">
        <f>+INDEX(Charges_NonSlice!$Z$4:$Z$138,MATCH($A118,Charges_NonSlice!$AA$4:$AA$138,0),1)</f>
        <v>1.7502851967159172E-2</v>
      </c>
      <c r="J118" s="172">
        <f>+INDEX(Charges_NonSlice!$Y$4:$Y$138,MATCH($A118,Charges_NonSlice!$AA$4:$AA$138,0),1)</f>
        <v>37.569856739718361</v>
      </c>
      <c r="K118" s="396">
        <f>+INDEX(Charges_NonSlice!$X$4:$X$138,MATCH($A118,Charges_NonSlice!$AA$4:$AA$138,0),1)/1000</f>
        <v>41.522400000000005</v>
      </c>
      <c r="L118" s="131">
        <f>+SUM(K$5:K118)</f>
        <v>44313.427750235503</v>
      </c>
      <c r="N118" s="397" t="str">
        <f ca="1">+INDEX('Charges_NonSlice &amp; Excl LS'!$C$4:$C$138,MATCH($A118,'Charges_NonSlice &amp; Excl LS'!$AA$4:$AA$138,0),1)</f>
        <v>Cascade Locks, City of</v>
      </c>
      <c r="O118" s="121">
        <f ca="1">+INDEX('Charges_NonSlice &amp; Excl LS'!$Z$4:$Z$138,MATCH($A118,'Charges_NonSlice &amp; Excl LS'!$AA$4:$AA$138,0),1)</f>
        <v>3.0388121045026213E-2</v>
      </c>
      <c r="P118" s="172">
        <f ca="1">+INDEX('Charges_NonSlice &amp; Excl LS'!$Y$4:$Y$138,MATCH($A118,'Charges_NonSlice &amp; Excl LS'!$AA$4:$AA$138,0),1)</f>
        <v>36.460120686594458</v>
      </c>
      <c r="Q118" s="396">
        <f ca="1">+INDEX('Charges_NonSlice &amp; Excl LS'!$X$4:$X$138,MATCH($A118,'Charges_NonSlice &amp; Excl LS'!$AA$4:$AA$138,0),1)/1000</f>
        <v>20.489851403327997</v>
      </c>
      <c r="R118" s="131">
        <f ca="1">+SUM(Q$5:Q118)</f>
        <v>44732.697723952893</v>
      </c>
      <c r="T118" s="397" t="str">
        <f>+INDEX(Charges_NonSlice!$C$4:$C$138,MATCH($A118,Charges_NonSlice!$AA$4:$AA$138,0),1)</f>
        <v>Heyburn, City of</v>
      </c>
      <c r="U118" s="121">
        <f t="shared" si="4"/>
        <v>-6.2265808590046157E-2</v>
      </c>
      <c r="V118" s="172">
        <f>+INDEX(Charges_NonSlice!$Y$4:$Y$138,MATCH($A118,Charges_NonSlice!$AA$4:$AA$138,0),1)</f>
        <v>37.569856739718361</v>
      </c>
      <c r="W118" s="162">
        <f t="shared" si="3"/>
        <v>40.064505575113195</v>
      </c>
      <c r="Y118" s="126" t="s">
        <v>97</v>
      </c>
      <c r="Z118" s="127">
        <v>30.998853851620158</v>
      </c>
    </row>
    <row r="119" spans="1:26">
      <c r="A119">
        <f t="shared" si="5"/>
        <v>115</v>
      </c>
      <c r="B119" s="138" t="str">
        <f>+INDEX('Charges_Including Slice and LS'!$C$4:$C$138,MATCH($A119,'Charges_Including Slice and LS'!$AA$4:$AA$138,0),1)</f>
        <v>Consolidated Irrigation District #19</v>
      </c>
      <c r="C119" s="121">
        <f>+INDEX('Charges_Including Slice and LS'!$Z$4:$Z$138,MATCH($A119,'Charges_Including Slice and LS'!$AA$4:$AA$138,0),1)</f>
        <v>1.3425087595296592E-2</v>
      </c>
      <c r="D119" s="107">
        <f>+INDEX('Charges_Including Slice and LS'!$Y$4:$Y$138,MATCH($A119,'Charges_Including Slice and LS'!$AA$4:$AA$138,0),1)</f>
        <v>51.142040279449631</v>
      </c>
      <c r="E119" s="131">
        <f>+INDEX('Charges_Including Slice and LS'!$X$4:$X$138,MATCH($A119,'Charges_Including Slice and LS'!$AA$4:$AA$138,0),1)/1000</f>
        <v>1.96224</v>
      </c>
      <c r="F119" s="131">
        <f>+SUM(E$5:E119)</f>
        <v>58147.134750799174</v>
      </c>
      <c r="H119" s="397" t="str">
        <f>+INDEX(Charges_NonSlice!$C$4:$C$138,MATCH($A119,Charges_NonSlice!$AA$4:$AA$138,0),1)</f>
        <v>Consolidated Irrigation District #19</v>
      </c>
      <c r="I119" s="121">
        <f>+INDEX(Charges_NonSlice!$Z$4:$Z$138,MATCH($A119,Charges_NonSlice!$AA$4:$AA$138,0),1)</f>
        <v>1.3425087595296592E-2</v>
      </c>
      <c r="J119" s="172">
        <f>+INDEX(Charges_NonSlice!$Y$4:$Y$138,MATCH($A119,Charges_NonSlice!$AA$4:$AA$138,0),1)</f>
        <v>51.142040279449631</v>
      </c>
      <c r="K119" s="396">
        <f>+INDEX(Charges_NonSlice!$X$4:$X$138,MATCH($A119,Charges_NonSlice!$AA$4:$AA$138,0),1)/1000</f>
        <v>1.96224</v>
      </c>
      <c r="L119" s="131">
        <f>+SUM(K$5:K119)</f>
        <v>44315.389990235504</v>
      </c>
      <c r="N119" s="397" t="str">
        <f ca="1">+INDEX('Charges_NonSlice &amp; Excl LS'!$C$4:$C$138,MATCH($A119,'Charges_NonSlice &amp; Excl LS'!$AA$4:$AA$138,0),1)</f>
        <v>Nespelem Valley Elec Coop</v>
      </c>
      <c r="O119" s="121">
        <f ca="1">+INDEX('Charges_NonSlice &amp; Excl LS'!$Z$4:$Z$138,MATCH($A119,'Charges_NonSlice &amp; Excl LS'!$AA$4:$AA$138,0),1)</f>
        <v>2.8099929830230103E-2</v>
      </c>
      <c r="P119" s="172">
        <f ca="1">+INDEX('Charges_NonSlice &amp; Excl LS'!$Y$4:$Y$138,MATCH($A119,'Charges_NonSlice &amp; Excl LS'!$AA$4:$AA$138,0),1)</f>
        <v>32.255489842252913</v>
      </c>
      <c r="Q119" s="396">
        <f ca="1">+INDEX('Charges_NonSlice &amp; Excl LS'!$X$4:$X$138,MATCH($A119,'Charges_NonSlice &amp; Excl LS'!$AA$4:$AA$138,0),1)/1000</f>
        <v>50.695347904968003</v>
      </c>
      <c r="R119" s="131">
        <f ca="1">+SUM(Q$5:Q119)</f>
        <v>44783.393071857863</v>
      </c>
      <c r="T119" s="397" t="str">
        <f>+INDEX(Charges_NonSlice!$C$4:$C$138,MATCH($A119,Charges_NonSlice!$AA$4:$AA$138,0),1)</f>
        <v>Consolidated Irrigation District #19</v>
      </c>
      <c r="U119" s="121">
        <f t="shared" si="4"/>
        <v>0.21681241219211378</v>
      </c>
      <c r="V119" s="172">
        <f>+INDEX(Charges_NonSlice!$Y$4:$Y$138,MATCH($A119,Charges_NonSlice!$AA$4:$AA$138,0),1)</f>
        <v>51.142040279449631</v>
      </c>
      <c r="W119" s="162">
        <f t="shared" si="3"/>
        <v>42.029518902848913</v>
      </c>
      <c r="Y119" s="126" t="s">
        <v>135</v>
      </c>
      <c r="Z119" s="127">
        <v>34.278446689028534</v>
      </c>
    </row>
    <row r="120" spans="1:26">
      <c r="A120">
        <f t="shared" si="5"/>
        <v>116</v>
      </c>
      <c r="B120" s="138" t="str">
        <f>+INDEX('Charges_Including Slice and LS'!$C$4:$C$138,MATCH($A120,'Charges_Including Slice and LS'!$AA$4:$AA$138,0),1)</f>
        <v>Harney Elec Coop</v>
      </c>
      <c r="C120" s="121">
        <f>+INDEX('Charges_Including Slice and LS'!$Z$4:$Z$138,MATCH($A120,'Charges_Including Slice and LS'!$AA$4:$AA$138,0),1)</f>
        <v>4.7265133621543498E-3</v>
      </c>
      <c r="D120" s="107">
        <f>+INDEX('Charges_Including Slice and LS'!$Y$4:$Y$138,MATCH($A120,'Charges_Including Slice and LS'!$AA$4:$AA$138,0),1)</f>
        <v>26.977852127887104</v>
      </c>
      <c r="E120" s="131">
        <f>+INDEX('Charges_Including Slice and LS'!$X$4:$X$138,MATCH($A120,'Charges_Including Slice and LS'!$AA$4:$AA$138,0),1)/1000</f>
        <v>196.11011999999999</v>
      </c>
      <c r="F120" s="131">
        <f>+SUM(E$5:E120)</f>
        <v>58343.244870799172</v>
      </c>
      <c r="H120" s="397" t="str">
        <f>+INDEX(Charges_NonSlice!$C$4:$C$138,MATCH($A120,Charges_NonSlice!$AA$4:$AA$138,0),1)</f>
        <v>Harney Elec Coop</v>
      </c>
      <c r="I120" s="121">
        <f>+INDEX(Charges_NonSlice!$Z$4:$Z$138,MATCH($A120,Charges_NonSlice!$AA$4:$AA$138,0),1)</f>
        <v>4.7265133621543498E-3</v>
      </c>
      <c r="J120" s="172">
        <f>+INDEX(Charges_NonSlice!$Y$4:$Y$138,MATCH($A120,Charges_NonSlice!$AA$4:$AA$138,0),1)</f>
        <v>26.977852127887104</v>
      </c>
      <c r="K120" s="396">
        <f>+INDEX(Charges_NonSlice!$X$4:$X$138,MATCH($A120,Charges_NonSlice!$AA$4:$AA$138,0),1)/1000</f>
        <v>196.11011999999999</v>
      </c>
      <c r="L120" s="131">
        <f>+SUM(K$5:K120)</f>
        <v>44511.500110235502</v>
      </c>
      <c r="N120" s="397" t="str">
        <f ca="1">+INDEX('Charges_NonSlice &amp; Excl LS'!$C$4:$C$138,MATCH($A120,'Charges_NonSlice &amp; Excl LS'!$AA$4:$AA$138,0),1)</f>
        <v>Asotin County PUD #1</v>
      </c>
      <c r="O120" s="121">
        <f ca="1">+INDEX('Charges_NonSlice &amp; Excl LS'!$Z$4:$Z$138,MATCH($A120,'Charges_NonSlice &amp; Excl LS'!$AA$4:$AA$138,0),1)</f>
        <v>2.6689956690916301E-2</v>
      </c>
      <c r="P120" s="172">
        <f ca="1">+INDEX('Charges_NonSlice &amp; Excl LS'!$Y$4:$Y$138,MATCH($A120,'Charges_NonSlice &amp; Excl LS'!$AA$4:$AA$138,0),1)</f>
        <v>44.407798849476869</v>
      </c>
      <c r="Q120" s="396">
        <f ca="1">+INDEX('Charges_NonSlice &amp; Excl LS'!$X$4:$X$138,MATCH($A120,'Charges_NonSlice &amp; Excl LS'!$AA$4:$AA$138,0),1)/1000</f>
        <v>4.939952297951999</v>
      </c>
      <c r="R120" s="131">
        <f ca="1">+SUM(Q$5:Q120)</f>
        <v>44788.333024155814</v>
      </c>
      <c r="T120" s="397" t="str">
        <f>+INDEX(Charges_NonSlice!$C$4:$C$138,MATCH($A120,Charges_NonSlice!$AA$4:$AA$138,0),1)</f>
        <v>Harney Elec Coop</v>
      </c>
      <c r="U120" s="121">
        <f t="shared" si="4"/>
        <v>9.6460888353746554E-3</v>
      </c>
      <c r="V120" s="172">
        <f>+INDEX(Charges_NonSlice!$Y$4:$Y$138,MATCH($A120,Charges_NonSlice!$AA$4:$AA$138,0),1)</f>
        <v>26.977852127887104</v>
      </c>
      <c r="W120" s="162">
        <f t="shared" si="3"/>
        <v>26.720107596322208</v>
      </c>
      <c r="Y120" s="126" t="s">
        <v>123</v>
      </c>
      <c r="Z120" s="127">
        <v>34.975664627692069</v>
      </c>
    </row>
    <row r="121" spans="1:26">
      <c r="A121">
        <f t="shared" si="5"/>
        <v>117</v>
      </c>
      <c r="B121" s="138" t="str">
        <f>+INDEX('Charges_Including Slice and LS'!$C$4:$C$138,MATCH($A121,'Charges_Including Slice and LS'!$AA$4:$AA$138,0),1)</f>
        <v>Asotin County PUD #1</v>
      </c>
      <c r="C121" s="121">
        <f>+INDEX('Charges_Including Slice and LS'!$Z$4:$Z$138,MATCH($A121,'Charges_Including Slice and LS'!$AA$4:$AA$138,0),1)</f>
        <v>4.0043759629013742E-3</v>
      </c>
      <c r="D121" s="107">
        <f>+INDEX('Charges_Including Slice and LS'!$Y$4:$Y$138,MATCH($A121,'Charges_Including Slice and LS'!$AA$4:$AA$138,0),1)</f>
        <v>42.621206866640158</v>
      </c>
      <c r="E121" s="131">
        <f>+INDEX('Charges_Including Slice and LS'!$X$4:$X$138,MATCH($A121,'Charges_Including Slice and LS'!$AA$4:$AA$138,0),1)/1000</f>
        <v>4.9406399999999993</v>
      </c>
      <c r="F121" s="131">
        <f>+SUM(E$5:E121)</f>
        <v>58348.185510799172</v>
      </c>
      <c r="H121" s="397" t="str">
        <f>+INDEX(Charges_NonSlice!$C$4:$C$138,MATCH($A121,Charges_NonSlice!$AA$4:$AA$138,0),1)</f>
        <v>Asotin County PUD #1</v>
      </c>
      <c r="I121" s="121">
        <f>+INDEX(Charges_NonSlice!$Z$4:$Z$138,MATCH($A121,Charges_NonSlice!$AA$4:$AA$138,0),1)</f>
        <v>4.0043759629013742E-3</v>
      </c>
      <c r="J121" s="172">
        <f>+INDEX(Charges_NonSlice!$Y$4:$Y$138,MATCH($A121,Charges_NonSlice!$AA$4:$AA$138,0),1)</f>
        <v>42.621206866640158</v>
      </c>
      <c r="K121" s="396">
        <f>+INDEX(Charges_NonSlice!$X$4:$X$138,MATCH($A121,Charges_NonSlice!$AA$4:$AA$138,0),1)/1000</f>
        <v>4.9406399999999993</v>
      </c>
      <c r="L121" s="131">
        <f>+SUM(K$5:K121)</f>
        <v>44516.440750235502</v>
      </c>
      <c r="N121" s="397" t="str">
        <f ca="1">+INDEX('Charges_NonSlice &amp; Excl LS'!$C$4:$C$138,MATCH($A121,'Charges_NonSlice &amp; Excl LS'!$AA$4:$AA$138,0),1)</f>
        <v>Yakama Power</v>
      </c>
      <c r="O121" s="121">
        <f ca="1">+INDEX('Charges_NonSlice &amp; Excl LS'!$Z$4:$Z$138,MATCH($A121,'Charges_NonSlice &amp; Excl LS'!$AA$4:$AA$138,0),1)</f>
        <v>-3.0602465447891174E-2</v>
      </c>
      <c r="P121" s="172">
        <f ca="1">+INDEX('Charges_NonSlice &amp; Excl LS'!$Y$4:$Y$138,MATCH($A121,'Charges_NonSlice &amp; Excl LS'!$AA$4:$AA$138,0),1)</f>
        <v>34.779081361851269</v>
      </c>
      <c r="Q121" s="396">
        <f ca="1">+INDEX('Charges_NonSlice &amp; Excl LS'!$X$4:$X$138,MATCH($A121,'Charges_NonSlice &amp; Excl LS'!$AA$4:$AA$138,0),1)/1000</f>
        <v>145.46091064536</v>
      </c>
      <c r="R121" s="131">
        <f ca="1">+SUM(Q$5:Q121)</f>
        <v>44933.793934801171</v>
      </c>
      <c r="T121" s="397" t="str">
        <f>+INDEX(Charges_NonSlice!$C$4:$C$138,MATCH($A121,Charges_NonSlice!$AA$4:$AA$138,0),1)</f>
        <v>Asotin County PUD #1</v>
      </c>
      <c r="U121" s="121">
        <f t="shared" si="4"/>
        <v>0.17629759722487615</v>
      </c>
      <c r="V121" s="172">
        <f>+INDEX(Charges_NonSlice!$Y$4:$Y$138,MATCH($A121,Charges_NonSlice!$AA$4:$AA$138,0),1)</f>
        <v>42.621206866640158</v>
      </c>
      <c r="W121" s="162">
        <f t="shared" si="3"/>
        <v>36.233353674437659</v>
      </c>
      <c r="Y121" s="126" t="s">
        <v>20</v>
      </c>
      <c r="Z121" s="127">
        <v>37.039005615324591</v>
      </c>
    </row>
    <row r="122" spans="1:26">
      <c r="A122">
        <f t="shared" si="5"/>
        <v>118</v>
      </c>
      <c r="B122" s="138" t="str">
        <f>+INDEX('Charges_Including Slice and LS'!$C$4:$C$138,MATCH($A122,'Charges_Including Slice and LS'!$AA$4:$AA$138,0),1)</f>
        <v>Yakama Power</v>
      </c>
      <c r="C122" s="121">
        <f>+INDEX('Charges_Including Slice and LS'!$Z$4:$Z$138,MATCH($A122,'Charges_Including Slice and LS'!$AA$4:$AA$138,0),1)</f>
        <v>-4.2533240043217235E-2</v>
      </c>
      <c r="D122" s="107">
        <f>+INDEX('Charges_Including Slice and LS'!$Y$4:$Y$138,MATCH($A122,'Charges_Including Slice and LS'!$AA$4:$AA$138,0),1)</f>
        <v>34.62928551948464</v>
      </c>
      <c r="E122" s="131">
        <f>+INDEX('Charges_Including Slice and LS'!$X$4:$X$138,MATCH($A122,'Charges_Including Slice and LS'!$AA$4:$AA$138,0),1)/1000</f>
        <v>145.46227312214879</v>
      </c>
      <c r="F122" s="131">
        <f>+SUM(E$5:E122)</f>
        <v>58493.647783921318</v>
      </c>
      <c r="H122" s="397" t="str">
        <f>+INDEX(Charges_NonSlice!$C$4:$C$138,MATCH($A122,Charges_NonSlice!$AA$4:$AA$138,0),1)</f>
        <v>Yakama Power</v>
      </c>
      <c r="I122" s="121">
        <f>+INDEX(Charges_NonSlice!$Z$4:$Z$138,MATCH($A122,Charges_NonSlice!$AA$4:$AA$138,0),1)</f>
        <v>-4.2533240043217235E-2</v>
      </c>
      <c r="J122" s="172">
        <f>+INDEX(Charges_NonSlice!$Y$4:$Y$138,MATCH($A122,Charges_NonSlice!$AA$4:$AA$138,0),1)</f>
        <v>34.62928551948464</v>
      </c>
      <c r="K122" s="396">
        <f>+INDEX(Charges_NonSlice!$X$4:$X$138,MATCH($A122,Charges_NonSlice!$AA$4:$AA$138,0),1)/1000</f>
        <v>145.46227312214879</v>
      </c>
      <c r="L122" s="131">
        <f>+SUM(K$5:K122)</f>
        <v>44661.903023357649</v>
      </c>
      <c r="N122" s="397" t="str">
        <f ca="1">+INDEX('Charges_NonSlice &amp; Excl LS'!$C$4:$C$138,MATCH($A122,'Charges_NonSlice &amp; Excl LS'!$AA$4:$AA$138,0),1)</f>
        <v>Consolidated Irrigation District #19</v>
      </c>
      <c r="O122" s="121">
        <f ca="1">+INDEX('Charges_NonSlice &amp; Excl LS'!$Z$4:$Z$138,MATCH($A122,'Charges_NonSlice &amp; Excl LS'!$AA$4:$AA$138,0),1)</f>
        <v>-3.2246690807469752E-2</v>
      </c>
      <c r="P122" s="172">
        <f ca="1">+INDEX('Charges_NonSlice &amp; Excl LS'!$Y$4:$Y$138,MATCH($A122,'Charges_NonSlice &amp; Excl LS'!$AA$4:$AA$138,0),1)</f>
        <v>51.00056192581237</v>
      </c>
      <c r="Q122" s="396">
        <f ca="1">+INDEX('Charges_NonSlice &amp; Excl LS'!$X$4:$X$138,MATCH($A122,'Charges_NonSlice &amp; Excl LS'!$AA$4:$AA$138,0),1)/1000</f>
        <v>1.9650302860079998</v>
      </c>
      <c r="R122" s="131">
        <f ca="1">+SUM(Q$5:Q122)</f>
        <v>44935.758965087181</v>
      </c>
      <c r="T122" s="397" t="str">
        <f>+INDEX(Charges_NonSlice!$C$4:$C$138,MATCH($A122,Charges_NonSlice!$AA$4:$AA$138,0),1)</f>
        <v>Yakama Power</v>
      </c>
      <c r="U122" s="121">
        <f t="shared" si="4"/>
        <v>1.023496874402996E-2</v>
      </c>
      <c r="V122" s="172">
        <f>+INDEX(Charges_NonSlice!$Y$4:$Y$138,MATCH($A122,Charges_NonSlice!$AA$4:$AA$138,0),1)</f>
        <v>34.62928551948464</v>
      </c>
      <c r="W122" s="162">
        <f t="shared" si="3"/>
        <v>34.278446689028534</v>
      </c>
      <c r="Y122" s="126" t="s">
        <v>102</v>
      </c>
      <c r="Z122" s="127">
        <v>35.581325896340886</v>
      </c>
    </row>
    <row r="123" spans="1:26">
      <c r="B123" s="138"/>
      <c r="C123" s="121"/>
      <c r="D123" s="107"/>
      <c r="E123" s="131"/>
      <c r="F123" s="131"/>
      <c r="H123" s="397"/>
      <c r="I123" s="121"/>
      <c r="J123" s="172"/>
      <c r="K123" s="396"/>
      <c r="L123" s="131"/>
      <c r="N123" s="397"/>
      <c r="O123" s="121"/>
      <c r="P123" s="107"/>
      <c r="Q123" s="131"/>
      <c r="R123" s="131"/>
      <c r="T123" s="138"/>
      <c r="U123" s="121"/>
      <c r="V123" s="107"/>
      <c r="W123" s="163"/>
      <c r="Y123" s="126"/>
      <c r="Z123" s="127"/>
    </row>
    <row r="124" spans="1:26">
      <c r="C124" s="121"/>
      <c r="D124" s="107"/>
      <c r="E124" s="75"/>
      <c r="F124" s="75"/>
      <c r="I124" s="121"/>
      <c r="J124" s="107"/>
      <c r="K124" s="75"/>
      <c r="L124" s="75"/>
      <c r="O124" s="121"/>
      <c r="P124" s="107"/>
      <c r="Q124" s="75"/>
      <c r="R124" s="75"/>
      <c r="U124" s="121"/>
      <c r="V124" s="107"/>
      <c r="Y124" s="126"/>
      <c r="Z124" s="127"/>
    </row>
    <row r="125" spans="1:26">
      <c r="Y125" s="126"/>
      <c r="Z125" s="127"/>
    </row>
    <row r="126" spans="1:26">
      <c r="C126" s="130"/>
      <c r="I126" s="130"/>
      <c r="O126" s="130"/>
      <c r="U126" s="130"/>
      <c r="Y126" s="126"/>
      <c r="Z126" s="127"/>
    </row>
    <row r="127" spans="1:26">
      <c r="Y127" s="126"/>
      <c r="Z127" s="127"/>
    </row>
    <row r="128" spans="1:26">
      <c r="Y128" s="126"/>
      <c r="Z128" s="127"/>
    </row>
    <row r="129" spans="25:26">
      <c r="Y129" s="126"/>
      <c r="Z129" s="127"/>
    </row>
    <row r="130" spans="25:26">
      <c r="Y130" s="126"/>
      <c r="Z130" s="127"/>
    </row>
    <row r="131" spans="25:26">
      <c r="Y131" s="126"/>
      <c r="Z131" s="127"/>
    </row>
    <row r="132" spans="25:26">
      <c r="Y132" s="126"/>
      <c r="Z132" s="127"/>
    </row>
    <row r="133" spans="25:26">
      <c r="Y133" s="126"/>
      <c r="Z133" s="127"/>
    </row>
    <row r="134" spans="25:26">
      <c r="Y134" s="126"/>
      <c r="Z134" s="127"/>
    </row>
    <row r="135" spans="25:26">
      <c r="Y135" s="126"/>
      <c r="Z135" s="127"/>
    </row>
    <row r="136" spans="25:26">
      <c r="Y136" s="126"/>
      <c r="Z136" s="127"/>
    </row>
    <row r="137" spans="25:26">
      <c r="Y137" s="122" t="s">
        <v>243</v>
      </c>
      <c r="Z137" s="128">
        <f>+AVERAGE(Z3:Z136)</f>
        <v>34.83645338645195</v>
      </c>
    </row>
    <row r="138" spans="25:26">
      <c r="Y138" s="123" t="s">
        <v>244</v>
      </c>
      <c r="Z138" s="128">
        <f>+MEDIAN(Z3:Z136)</f>
        <v>35.393544996521726</v>
      </c>
    </row>
    <row r="139" spans="25:26">
      <c r="Y139" s="123" t="s">
        <v>245</v>
      </c>
      <c r="Z139" s="124"/>
    </row>
    <row r="140" spans="25:26">
      <c r="Y140" s="124"/>
      <c r="Z140" s="124"/>
    </row>
    <row r="141" spans="25:26">
      <c r="Y141" s="124"/>
      <c r="Z141" s="124"/>
    </row>
    <row r="142" spans="25:26">
      <c r="Y142" s="124"/>
      <c r="Z142" s="124"/>
    </row>
    <row r="143" spans="25:26">
      <c r="Y143" s="124"/>
      <c r="Z143" s="124"/>
    </row>
    <row r="144" spans="25:26">
      <c r="Y144" s="124"/>
      <c r="Z144" s="124"/>
    </row>
    <row r="145" spans="25:26">
      <c r="Y145" s="124"/>
      <c r="Z145" s="124"/>
    </row>
    <row r="146" spans="25:26">
      <c r="Y146" s="124"/>
      <c r="Z146" s="124"/>
    </row>
    <row r="147" spans="25:26">
      <c r="Y147" s="124"/>
      <c r="Z147" s="124"/>
    </row>
    <row r="148" spans="25:26">
      <c r="Y148" s="124"/>
      <c r="Z148" s="124"/>
    </row>
    <row r="149" spans="25:26">
      <c r="Y149" s="124"/>
      <c r="Z149" s="124"/>
    </row>
    <row r="150" spans="25:26">
      <c r="Y150" s="124"/>
      <c r="Z150" s="124"/>
    </row>
    <row r="151" spans="25:26">
      <c r="Y151" s="124"/>
      <c r="Z151" s="124"/>
    </row>
    <row r="152" spans="25:26">
      <c r="Y152" s="124"/>
      <c r="Z152" s="124"/>
    </row>
    <row r="153" spans="25:26">
      <c r="Y153" s="124"/>
      <c r="Z153" s="124"/>
    </row>
    <row r="154" spans="25:26">
      <c r="Y154" s="124"/>
      <c r="Z154" s="124"/>
    </row>
    <row r="155" spans="25:26">
      <c r="Y155" s="124"/>
      <c r="Z155" s="124"/>
    </row>
    <row r="156" spans="25:26">
      <c r="Y156" s="124"/>
      <c r="Z156" s="124"/>
    </row>
    <row r="157" spans="25:26">
      <c r="Y157" s="124"/>
      <c r="Z157" s="124"/>
    </row>
    <row r="158" spans="25:26">
      <c r="Y158" s="124"/>
      <c r="Z158" s="124"/>
    </row>
    <row r="159" spans="25:26">
      <c r="Y159" s="124"/>
      <c r="Z159" s="124"/>
    </row>
    <row r="160" spans="25:26">
      <c r="Y160" s="124"/>
      <c r="Z160" s="124"/>
    </row>
    <row r="161" spans="25:26">
      <c r="Y161" s="124"/>
      <c r="Z161" s="124"/>
    </row>
    <row r="162" spans="25:26">
      <c r="Y162" s="124"/>
      <c r="Z162" s="124"/>
    </row>
    <row r="163" spans="25:26">
      <c r="Y163" s="124"/>
      <c r="Z163" s="124"/>
    </row>
    <row r="164" spans="25:26">
      <c r="Y164" s="124"/>
      <c r="Z164" s="12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7"/>
  </sheetPr>
  <dimension ref="A2:Q122"/>
  <sheetViews>
    <sheetView workbookViewId="0">
      <pane xSplit="2" ySplit="3" topLeftCell="F58" activePane="bottomRight" state="frozen"/>
      <selection activeCell="B86" sqref="B86"/>
      <selection pane="topRight" activeCell="B86" sqref="B86"/>
      <selection pane="bottomLeft" activeCell="B86" sqref="B86"/>
      <selection pane="bottomRight" activeCell="J71" sqref="J71"/>
    </sheetView>
  </sheetViews>
  <sheetFormatPr defaultRowHeight="15"/>
  <cols>
    <col min="2" max="2" width="35.42578125" customWidth="1"/>
    <col min="3" max="10" width="15.85546875" style="107" customWidth="1"/>
    <col min="11" max="11" width="12.28515625" style="107" customWidth="1"/>
    <col min="12" max="16" width="15.85546875" style="107" customWidth="1"/>
    <col min="17" max="17" width="14.5703125" style="107" customWidth="1"/>
  </cols>
  <sheetData>
    <row r="2" spans="1:17">
      <c r="C2" s="106" t="s">
        <v>233</v>
      </c>
      <c r="D2" s="106"/>
      <c r="E2" s="106"/>
      <c r="L2" s="106" t="s">
        <v>237</v>
      </c>
      <c r="M2" s="106"/>
    </row>
    <row r="3" spans="1:17" ht="69" customHeight="1" thickBot="1">
      <c r="C3" s="108" t="s">
        <v>232</v>
      </c>
      <c r="D3" s="108"/>
      <c r="E3" s="108"/>
      <c r="F3" s="108" t="s">
        <v>240</v>
      </c>
      <c r="G3" s="108"/>
      <c r="H3" s="108" t="s">
        <v>238</v>
      </c>
      <c r="I3" s="108"/>
      <c r="J3" s="108" t="s">
        <v>239</v>
      </c>
      <c r="K3" s="108" t="s">
        <v>242</v>
      </c>
      <c r="L3" s="108" t="s">
        <v>232</v>
      </c>
      <c r="M3" s="108"/>
      <c r="N3" s="108" t="s">
        <v>240</v>
      </c>
      <c r="O3" s="108"/>
      <c r="P3" s="108" t="s">
        <v>239</v>
      </c>
    </row>
    <row r="4" spans="1:17">
      <c r="A4">
        <f>IF(VLOOKUP(B4,TOCA_current!$B$2:$AG$137,32,FALSE)=0,0,1)</f>
        <v>0</v>
      </c>
      <c r="B4" t="s">
        <v>35</v>
      </c>
      <c r="C4" s="107" t="str">
        <f>IF(A4=1,VLOOKUP($B4,Outputs!$B:$F,2,FALSE),"")</f>
        <v/>
      </c>
      <c r="D4" s="107">
        <f>IF(A4=0,VLOOKUP($B4,Outputs!$B:$F,2,FALSE),"")</f>
        <v>5.6784053578918137E-2</v>
      </c>
      <c r="E4" s="112"/>
      <c r="F4" s="113" t="str">
        <f>IF(A4=1,VLOOKUP($B4,Outputs!$H:$L,2,FALSE),"")</f>
        <v/>
      </c>
      <c r="G4" s="114">
        <f>IF(A4=0,VLOOKUP($B4,Outputs!$H:$L,2,FALSE),"")</f>
        <v>5.6784053578918137E-2</v>
      </c>
      <c r="J4" s="109">
        <f ca="1">VLOOKUP($B4,Outputs!$N:$R,2,FALSE)</f>
        <v>5.5345470774911976E-2</v>
      </c>
      <c r="K4" s="109">
        <f>+VLOOKUP(B4,Outputs!T:U,2,FALSE)</f>
        <v>0.16114366520033951</v>
      </c>
      <c r="L4" s="107" t="str">
        <f>IF($A4=1,VLOOKUP($B4,Outputs!$B:$F,3,FALSE),"")</f>
        <v/>
      </c>
      <c r="M4" s="107">
        <f>IF($A4=0,VLOOKUP($B4,Outputs!$B:$F,3,FALSE),"")</f>
        <v>41.146776208853645</v>
      </c>
      <c r="N4" s="107" t="str">
        <f>IF($A4=1,VLOOKUP($B4,Outputs!$H:$L,3,FALSE),"")</f>
        <v/>
      </c>
      <c r="O4" s="107">
        <f>IF($A4=0,VLOOKUP($B4,Outputs!$H:$L,3,FALSE),"")</f>
        <v>41.146776208853645</v>
      </c>
      <c r="P4" s="107" t="str">
        <f>IF($A4=1,VLOOKUP($B4,Outputs!$N:$R,3,FALSE),"")</f>
        <v/>
      </c>
      <c r="Q4" s="107">
        <f ca="1">IF($A4=0,VLOOKUP($B4,Outputs!$N:$R,3,FALSE),"")</f>
        <v>39.986290284524792</v>
      </c>
    </row>
    <row r="5" spans="1:17">
      <c r="A5" s="397">
        <f>IF(VLOOKUP(B5,TOCA_current!$B$2:$AG$137,32,FALSE)=0,0,1)</f>
        <v>0</v>
      </c>
      <c r="B5" t="s">
        <v>52</v>
      </c>
      <c r="C5" s="107" t="str">
        <f>IF(A5=1,VLOOKUP($B5,Outputs!$B:$F,2,FALSE),"")</f>
        <v/>
      </c>
      <c r="D5" s="107">
        <f>IF(A5=0,VLOOKUP($B5,Outputs!$B:$F,2,FALSE),"")</f>
        <v>1.3425087595296592E-2</v>
      </c>
      <c r="E5" s="115"/>
      <c r="F5" s="116" t="str">
        <f>IF(A5=1,VLOOKUP($B5,Outputs!$H:$L,2,FALSE),"")</f>
        <v/>
      </c>
      <c r="G5" s="117">
        <f>IF(A5=0,VLOOKUP($B5,Outputs!$H:$L,2,FALSE),"")</f>
        <v>1.3425087595296592E-2</v>
      </c>
      <c r="J5" s="110">
        <f ca="1">VLOOKUP($B5,Outputs!$N:$R,2,FALSE)</f>
        <v>-3.2246690807469752E-2</v>
      </c>
      <c r="K5" s="110">
        <f>+VLOOKUP(B5,Outputs!T:U,2,FALSE)</f>
        <v>0.21681241219211378</v>
      </c>
      <c r="L5" s="107" t="str">
        <f>IF($A5=1,VLOOKUP($B5,Outputs!$B:$F,3,FALSE),"")</f>
        <v/>
      </c>
      <c r="M5" s="107">
        <f>IF($A5=0,VLOOKUP($B5,Outputs!$B:$F,3,FALSE),"")</f>
        <v>51.142040279449631</v>
      </c>
      <c r="N5" s="107" t="str">
        <f>IF($A5=1,VLOOKUP($B5,Outputs!$H:$L,3,FALSE),"")</f>
        <v/>
      </c>
      <c r="O5" s="107">
        <f>IF($A5=0,VLOOKUP($B5,Outputs!$H:$L,3,FALSE),"")</f>
        <v>51.142040279449631</v>
      </c>
      <c r="P5" s="107" t="str">
        <f>IF($A5=1,VLOOKUP($B5,Outputs!$N:$R,3,FALSE),"")</f>
        <v/>
      </c>
      <c r="Q5" s="107">
        <f ca="1">IF($A5=0,VLOOKUP($B5,Outputs!$N:$R,3,FALSE),"")</f>
        <v>51.00056192581237</v>
      </c>
    </row>
    <row r="6" spans="1:17">
      <c r="A6" s="397">
        <f>IF(VLOOKUP(B6,TOCA_current!$B$2:$AG$137,32,FALSE)=0,0,1)</f>
        <v>0</v>
      </c>
      <c r="B6" t="s">
        <v>26</v>
      </c>
      <c r="C6" s="107" t="str">
        <f>IF(A6=1,VLOOKUP($B6,Outputs!$B:$F,2,FALSE),"")</f>
        <v/>
      </c>
      <c r="D6" s="107">
        <f>IF(A6=0,VLOOKUP($B6,Outputs!$B:$F,2,FALSE),"")</f>
        <v>5.126189009046711E-2</v>
      </c>
      <c r="E6" s="115"/>
      <c r="F6" s="116" t="str">
        <f>IF(A6=1,VLOOKUP($B6,Outputs!$H:$L,2,FALSE),"")</f>
        <v/>
      </c>
      <c r="G6" s="117">
        <f>IF(A6=0,VLOOKUP($B6,Outputs!$H:$L,2,FALSE),"")</f>
        <v>5.126189009046711E-2</v>
      </c>
      <c r="J6" s="110">
        <f ca="1">VLOOKUP($B6,Outputs!$N:$R,2,FALSE)</f>
        <v>4.3541720381195609E-2</v>
      </c>
      <c r="K6" s="110">
        <f>+VLOOKUP(B6,Outputs!T:U,2,FALSE)</f>
        <v>7.729628706277536E-2</v>
      </c>
      <c r="L6" s="107" t="str">
        <f>IF($A6=1,VLOOKUP($B6,Outputs!$B:$F,3,FALSE),"")</f>
        <v/>
      </c>
      <c r="M6" s="107">
        <f>IF($A6=0,VLOOKUP($B6,Outputs!$B:$F,3,FALSE),"")</f>
        <v>38.805830013016447</v>
      </c>
      <c r="N6" s="107" t="str">
        <f>IF($A6=1,VLOOKUP($B6,Outputs!$H:$L,3,FALSE),"")</f>
        <v/>
      </c>
      <c r="O6" s="107">
        <f>IF($A6=0,VLOOKUP($B6,Outputs!$H:$L,3,FALSE),"")</f>
        <v>38.805830013016447</v>
      </c>
      <c r="P6" s="107" t="str">
        <f>IF($A6=1,VLOOKUP($B6,Outputs!$N:$R,3,FALSE),"")</f>
        <v/>
      </c>
      <c r="Q6" s="107">
        <f ca="1">IF($A6=0,VLOOKUP($B6,Outputs!$N:$R,3,FALSE),"")</f>
        <v>38.284366321338638</v>
      </c>
    </row>
    <row r="7" spans="1:17">
      <c r="A7" s="397">
        <f>IF(VLOOKUP(B7,TOCA_current!$B$2:$AG$137,32,FALSE)=0,0,1)</f>
        <v>0</v>
      </c>
      <c r="B7" t="s">
        <v>16</v>
      </c>
      <c r="C7" s="107" t="str">
        <f>IF(A7=1,VLOOKUP($B7,Outputs!$B:$F,2,FALSE),"")</f>
        <v/>
      </c>
      <c r="D7" s="107">
        <f>IF(A7=0,VLOOKUP($B7,Outputs!$B:$F,2,FALSE),"")</f>
        <v>5.8879657181834855E-2</v>
      </c>
      <c r="E7" s="115"/>
      <c r="F7" s="116" t="str">
        <f>IF(A7=1,VLOOKUP($B7,Outputs!$H:$L,2,FALSE),"")</f>
        <v/>
      </c>
      <c r="G7" s="117">
        <f>IF(A7=0,VLOOKUP($B7,Outputs!$H:$L,2,FALSE),"")</f>
        <v>5.8879657181834855E-2</v>
      </c>
      <c r="J7" s="110">
        <f ca="1">VLOOKUP($B7,Outputs!$N:$R,2,FALSE)</f>
        <v>4.6735678743682466E-2</v>
      </c>
      <c r="K7" s="110">
        <f>+VLOOKUP(B7,Outputs!T:U,2,FALSE)</f>
        <v>9.2490881003451708E-2</v>
      </c>
      <c r="L7" s="107" t="str">
        <f>IF($A7=1,VLOOKUP($B7,Outputs!$B:$F,3,FALSE),"")</f>
        <v/>
      </c>
      <c r="M7" s="107">
        <f>IF($A7=0,VLOOKUP($B7,Outputs!$B:$F,3,FALSE),"")</f>
        <v>41.102287518389033</v>
      </c>
      <c r="N7" s="107" t="str">
        <f>IF($A7=1,VLOOKUP($B7,Outputs!$H:$L,3,FALSE),"")</f>
        <v/>
      </c>
      <c r="O7" s="107">
        <f>IF($A7=0,VLOOKUP($B7,Outputs!$H:$L,3,FALSE),"")</f>
        <v>41.102287518389033</v>
      </c>
      <c r="P7" s="107" t="str">
        <f>IF($A7=1,VLOOKUP($B7,Outputs!$N:$R,3,FALSE),"")</f>
        <v/>
      </c>
      <c r="Q7" s="107">
        <f ca="1">IF($A7=0,VLOOKUP($B7,Outputs!$N:$R,3,FALSE),"")</f>
        <v>40.061537048942562</v>
      </c>
    </row>
    <row r="8" spans="1:17">
      <c r="A8" s="397">
        <f>IF(VLOOKUP(B8,TOCA_current!$B$2:$AG$137,32,FALSE)=0,0,1)</f>
        <v>0</v>
      </c>
      <c r="B8" t="s">
        <v>123</v>
      </c>
      <c r="C8" s="107" t="str">
        <f>IF(A8=1,VLOOKUP($B8,Outputs!$B:$F,2,FALSE),"")</f>
        <v/>
      </c>
      <c r="D8" s="107">
        <f>IF(A8=0,VLOOKUP($B8,Outputs!$B:$F,2,FALSE),"")</f>
        <v>5.9794267339912777E-2</v>
      </c>
      <c r="E8" s="115"/>
      <c r="F8" s="116" t="str">
        <f>IF(A8=1,VLOOKUP($B8,Outputs!$H:$L,2,FALSE),"")</f>
        <v/>
      </c>
      <c r="G8" s="117">
        <f>IF(A8=0,VLOOKUP($B8,Outputs!$H:$L,2,FALSE),"")</f>
        <v>5.9794267339912777E-2</v>
      </c>
      <c r="J8" s="110">
        <f ca="1">VLOOKUP($B8,Outputs!$N:$R,2,FALSE)</f>
        <v>4.3286335204630398E-2</v>
      </c>
      <c r="K8" s="110">
        <f>+VLOOKUP(B8,Outputs!T:U,2,FALSE)</f>
        <v>0.13363759541951636</v>
      </c>
      <c r="L8" s="107" t="str">
        <f>IF($A8=1,VLOOKUP($B8,Outputs!$B:$F,3,FALSE),"")</f>
        <v/>
      </c>
      <c r="M8" s="107">
        <f>IF($A8=0,VLOOKUP($B8,Outputs!$B:$F,3,FALSE),"")</f>
        <v>39.649728346736275</v>
      </c>
      <c r="N8" s="107" t="str">
        <f>IF($A8=1,VLOOKUP($B8,Outputs!$H:$L,3,FALSE),"")</f>
        <v/>
      </c>
      <c r="O8" s="107">
        <f>IF($A8=0,VLOOKUP($B8,Outputs!$H:$L,3,FALSE),"")</f>
        <v>39.649728346736275</v>
      </c>
      <c r="P8" s="107" t="str">
        <f>IF($A8=1,VLOOKUP($B8,Outputs!$N:$R,3,FALSE),"")</f>
        <v/>
      </c>
      <c r="Q8" s="107">
        <f ca="1">IF($A8=0,VLOOKUP($B8,Outputs!$N:$R,3,FALSE),"")</f>
        <v>38.801110727144938</v>
      </c>
    </row>
    <row r="9" spans="1:17">
      <c r="A9" s="397">
        <f>IF(VLOOKUP(B9,TOCA_current!$B$2:$AG$137,32,FALSE)=0,0,1)</f>
        <v>0</v>
      </c>
      <c r="B9" t="s">
        <v>65</v>
      </c>
      <c r="C9" s="107" t="str">
        <f>IF(A9=1,VLOOKUP($B9,Outputs!$B:$F,2,FALSE),"")</f>
        <v/>
      </c>
      <c r="D9" s="107">
        <f>IF(A9=0,VLOOKUP($B9,Outputs!$B:$F,2,FALSE),"")</f>
        <v>5.3023826104613203E-2</v>
      </c>
      <c r="E9" s="115"/>
      <c r="F9" s="116" t="str">
        <f>IF(A9=1,VLOOKUP($B9,Outputs!$H:$L,2,FALSE),"")</f>
        <v/>
      </c>
      <c r="G9" s="117">
        <f>IF(A9=0,VLOOKUP($B9,Outputs!$H:$L,2,FALSE),"")</f>
        <v>5.3023826104613203E-2</v>
      </c>
      <c r="J9" s="110">
        <f ca="1">VLOOKUP($B9,Outputs!$N:$R,2,FALSE)</f>
        <v>4.3982434960579631E-2</v>
      </c>
      <c r="K9" s="110">
        <f>+VLOOKUP(B9,Outputs!T:U,2,FALSE)</f>
        <v>6.2052986451380576E-2</v>
      </c>
      <c r="L9" s="107" t="str">
        <f>IF($A9=1,VLOOKUP($B9,Outputs!$B:$F,3,FALSE),"")</f>
        <v/>
      </c>
      <c r="M9" s="107">
        <f>IF($A9=0,VLOOKUP($B9,Outputs!$B:$F,3,FALSE),"")</f>
        <v>39.071101544108409</v>
      </c>
      <c r="N9" s="107" t="str">
        <f>IF($A9=1,VLOOKUP($B9,Outputs!$H:$L,3,FALSE),"")</f>
        <v/>
      </c>
      <c r="O9" s="107">
        <f>IF($A9=0,VLOOKUP($B9,Outputs!$H:$L,3,FALSE),"")</f>
        <v>39.071101544108409</v>
      </c>
      <c r="P9" s="107" t="str">
        <f>IF($A9=1,VLOOKUP($B9,Outputs!$N:$R,3,FALSE),"")</f>
        <v/>
      </c>
      <c r="Q9" s="107">
        <f ca="1">IF($A9=0,VLOOKUP($B9,Outputs!$N:$R,3,FALSE),"")</f>
        <v>38.546336078139511</v>
      </c>
    </row>
    <row r="10" spans="1:17">
      <c r="A10" s="397">
        <f>IF(VLOOKUP(B10,TOCA_current!$B$2:$AG$137,32,FALSE)=0,0,1)</f>
        <v>0</v>
      </c>
      <c r="B10" t="s">
        <v>7</v>
      </c>
      <c r="C10" s="107" t="str">
        <f>IF(A10=1,VLOOKUP($B10,Outputs!$B:$F,2,FALSE),"")</f>
        <v/>
      </c>
      <c r="D10" s="107">
        <f>IF(A10=0,VLOOKUP($B10,Outputs!$B:$F,2,FALSE),"")</f>
        <v>7.175532759575276E-2</v>
      </c>
      <c r="E10" s="115"/>
      <c r="F10" s="116" t="str">
        <f>IF(A10=1,VLOOKUP($B10,Outputs!$H:$L,2,FALSE),"")</f>
        <v/>
      </c>
      <c r="G10" s="117">
        <f>IF(A10=0,VLOOKUP($B10,Outputs!$H:$L,2,FALSE),"")</f>
        <v>7.175532759575276E-2</v>
      </c>
      <c r="J10" s="110">
        <f ca="1">VLOOKUP($B10,Outputs!$N:$R,2,FALSE)</f>
        <v>6.1186688864842062E-2</v>
      </c>
      <c r="K10" s="110">
        <f>+VLOOKUP(B10,Outputs!T:U,2,FALSE)</f>
        <v>4.8278316720959946E-2</v>
      </c>
      <c r="L10" s="107" t="str">
        <f>IF($A10=1,VLOOKUP($B10,Outputs!$B:$F,3,FALSE),"")</f>
        <v/>
      </c>
      <c r="M10" s="107">
        <f>IF($A10=0,VLOOKUP($B10,Outputs!$B:$F,3,FALSE),"")</f>
        <v>37.117407388458034</v>
      </c>
      <c r="N10" s="107" t="str">
        <f>IF($A10=1,VLOOKUP($B10,Outputs!$H:$L,3,FALSE),"")</f>
        <v/>
      </c>
      <c r="O10" s="107">
        <f>IF($A10=0,VLOOKUP($B10,Outputs!$H:$L,3,FALSE),"")</f>
        <v>37.117407388458034</v>
      </c>
      <c r="P10" s="107" t="str">
        <f>IF($A10=1,VLOOKUP($B10,Outputs!$N:$R,3,FALSE),"")</f>
        <v/>
      </c>
      <c r="Q10" s="107">
        <f ca="1">IF($A10=0,VLOOKUP($B10,Outputs!$N:$R,3,FALSE),"")</f>
        <v>36.553277725194803</v>
      </c>
    </row>
    <row r="11" spans="1:17">
      <c r="A11" s="397">
        <f>IF(VLOOKUP(B11,TOCA_current!$B$2:$AG$137,32,FALSE)=0,0,1)</f>
        <v>0</v>
      </c>
      <c r="B11" t="s">
        <v>8</v>
      </c>
      <c r="C11" s="107" t="str">
        <f>IF(A11=1,VLOOKUP($B11,Outputs!$B:$F,2,FALSE),"")</f>
        <v/>
      </c>
      <c r="D11" s="107">
        <f>IF(A11=0,VLOOKUP($B11,Outputs!$B:$F,2,FALSE),"")</f>
        <v>4.0043759629013742E-3</v>
      </c>
      <c r="E11" s="115"/>
      <c r="F11" s="116" t="str">
        <f>IF(A11=1,VLOOKUP($B11,Outputs!$H:$L,2,FALSE),"")</f>
        <v/>
      </c>
      <c r="G11" s="117">
        <f>IF(A11=0,VLOOKUP($B11,Outputs!$H:$L,2,FALSE),"")</f>
        <v>4.0043759629013742E-3</v>
      </c>
      <c r="J11" s="110">
        <f ca="1">VLOOKUP($B11,Outputs!$N:$R,2,FALSE)</f>
        <v>2.6689956690916301E-2</v>
      </c>
      <c r="K11" s="110">
        <f>+VLOOKUP(B11,Outputs!T:U,2,FALSE)</f>
        <v>0.17629759722487615</v>
      </c>
      <c r="L11" s="107" t="str">
        <f>IF($A11=1,VLOOKUP($B11,Outputs!$B:$F,3,FALSE),"")</f>
        <v/>
      </c>
      <c r="M11" s="107">
        <f>IF($A11=0,VLOOKUP($B11,Outputs!$B:$F,3,FALSE),"")</f>
        <v>42.621206866640158</v>
      </c>
      <c r="N11" s="107" t="str">
        <f>IF($A11=1,VLOOKUP($B11,Outputs!$H:$L,3,FALSE),"")</f>
        <v/>
      </c>
      <c r="O11" s="107">
        <f>IF($A11=0,VLOOKUP($B11,Outputs!$H:$L,3,FALSE),"")</f>
        <v>42.621206866640158</v>
      </c>
      <c r="P11" s="107" t="str">
        <f>IF($A11=1,VLOOKUP($B11,Outputs!$N:$R,3,FALSE),"")</f>
        <v/>
      </c>
      <c r="Q11" s="107">
        <f ca="1">IF($A11=0,VLOOKUP($B11,Outputs!$N:$R,3,FALSE),"")</f>
        <v>44.407798849476869</v>
      </c>
    </row>
    <row r="12" spans="1:17">
      <c r="A12" s="397">
        <f>IF(VLOOKUP(B12,TOCA_current!$B$2:$AG$137,32,FALSE)=0,0,1)</f>
        <v>0</v>
      </c>
      <c r="B12" t="s">
        <v>124</v>
      </c>
      <c r="C12" s="107" t="str">
        <f>IF(A12=1,VLOOKUP($B12,Outputs!$B:$F,2,FALSE),"")</f>
        <v/>
      </c>
      <c r="D12" s="107">
        <f>IF(A12=0,VLOOKUP($B12,Outputs!$B:$F,2,FALSE),"")</f>
        <v>4.734845853643721E-2</v>
      </c>
      <c r="E12" s="115"/>
      <c r="F12" s="116" t="str">
        <f>IF(A12=1,VLOOKUP($B12,Outputs!$H:$L,2,FALSE),"")</f>
        <v/>
      </c>
      <c r="G12" s="117">
        <f>IF(A12=0,VLOOKUP($B12,Outputs!$H:$L,2,FALSE),"")</f>
        <v>4.734845853643721E-2</v>
      </c>
      <c r="J12" s="110">
        <f ca="1">VLOOKUP($B12,Outputs!$N:$R,2,FALSE)</f>
        <v>4.4503654167864851E-2</v>
      </c>
      <c r="K12" s="110">
        <f>+VLOOKUP(B12,Outputs!T:U,2,FALSE)</f>
        <v>5.7910064300826791E-2</v>
      </c>
      <c r="L12" s="107" t="str">
        <f>IF($A12=1,VLOOKUP($B12,Outputs!$B:$F,3,FALSE),"")</f>
        <v/>
      </c>
      <c r="M12" s="107">
        <f>IF($A12=0,VLOOKUP($B12,Outputs!$B:$F,3,FALSE),"")</f>
        <v>38.210827811646851</v>
      </c>
      <c r="N12" s="107" t="str">
        <f>IF($A12=1,VLOOKUP($B12,Outputs!$H:$L,3,FALSE),"")</f>
        <v/>
      </c>
      <c r="O12" s="107">
        <f>IF($A12=0,VLOOKUP($B12,Outputs!$H:$L,3,FALSE),"")</f>
        <v>38.210827811646851</v>
      </c>
      <c r="P12" s="107" t="str">
        <f>IF($A12=1,VLOOKUP($B12,Outputs!$N:$R,3,FALSE),"")</f>
        <v/>
      </c>
      <c r="Q12" s="107">
        <f ca="1">IF($A12=0,VLOOKUP($B12,Outputs!$N:$R,3,FALSE),"")</f>
        <v>38.237875262158447</v>
      </c>
    </row>
    <row r="13" spans="1:17">
      <c r="A13" s="397">
        <f>IF(VLOOKUP(B13,TOCA_current!$B$2:$AG$137,32,FALSE)=0,0,1)</f>
        <v>0</v>
      </c>
      <c r="B13" t="s">
        <v>27</v>
      </c>
      <c r="C13" s="107" t="str">
        <f>IF(A13=1,VLOOKUP($B13,Outputs!$B:$F,2,FALSE),"")</f>
        <v/>
      </c>
      <c r="D13" s="107">
        <f>IF(A13=0,VLOOKUP($B13,Outputs!$B:$F,2,FALSE),"")</f>
        <v>4.9508385477905259E-2</v>
      </c>
      <c r="E13" s="115"/>
      <c r="F13" s="116" t="str">
        <f>IF(A13=1,VLOOKUP($B13,Outputs!$H:$L,2,FALSE),"")</f>
        <v/>
      </c>
      <c r="G13" s="117">
        <f>IF(A13=0,VLOOKUP($B13,Outputs!$H:$L,2,FALSE),"")</f>
        <v>4.9508385477905259E-2</v>
      </c>
      <c r="J13" s="110">
        <f ca="1">VLOOKUP($B13,Outputs!$N:$R,2,FALSE)</f>
        <v>4.1755003762504031E-2</v>
      </c>
      <c r="K13" s="110">
        <f>+VLOOKUP(B13,Outputs!T:U,2,FALSE)</f>
        <v>4.5560362198475479E-2</v>
      </c>
      <c r="L13" s="107" t="str">
        <f>IF($A13=1,VLOOKUP($B13,Outputs!$B:$F,3,FALSE),"")</f>
        <v/>
      </c>
      <c r="M13" s="107">
        <f>IF($A13=0,VLOOKUP($B13,Outputs!$B:$F,3,FALSE),"")</f>
        <v>38.063739649978956</v>
      </c>
      <c r="N13" s="107" t="str">
        <f>IF($A13=1,VLOOKUP($B13,Outputs!$H:$L,3,FALSE),"")</f>
        <v/>
      </c>
      <c r="O13" s="107">
        <f>IF($A13=0,VLOOKUP($B13,Outputs!$H:$L,3,FALSE),"")</f>
        <v>38.063739649978956</v>
      </c>
      <c r="P13" s="107" t="str">
        <f>IF($A13=1,VLOOKUP($B13,Outputs!$N:$R,3,FALSE),"")</f>
        <v/>
      </c>
      <c r="Q13" s="107">
        <f ca="1">IF($A13=0,VLOOKUP($B13,Outputs!$N:$R,3,FALSE),"")</f>
        <v>37.445048386190741</v>
      </c>
    </row>
    <row r="14" spans="1:17">
      <c r="A14" s="397">
        <f>IF(VLOOKUP(B14,TOCA_current!$B$2:$AG$137,32,FALSE)=0,0,1)</f>
        <v>0</v>
      </c>
      <c r="B14" t="s">
        <v>119</v>
      </c>
      <c r="C14" s="107" t="str">
        <f>IF(A14=1,VLOOKUP($B14,Outputs!$B:$F,2,FALSE),"")</f>
        <v/>
      </c>
      <c r="D14" s="107">
        <f>IF(A14=0,VLOOKUP($B14,Outputs!$B:$F,2,FALSE),"")</f>
        <v>6.0226895852710349E-2</v>
      </c>
      <c r="E14" s="115"/>
      <c r="F14" s="116" t="str">
        <f>IF(A14=1,VLOOKUP($B14,Outputs!$H:$L,2,FALSE),"")</f>
        <v/>
      </c>
      <c r="G14" s="117">
        <f>IF(A14=0,VLOOKUP($B14,Outputs!$H:$L,2,FALSE),"")</f>
        <v>6.0226895852710349E-2</v>
      </c>
      <c r="J14" s="110">
        <f ca="1">VLOOKUP($B14,Outputs!$N:$R,2,FALSE)</f>
        <v>4.5994401807098143E-2</v>
      </c>
      <c r="K14" s="110">
        <f>+VLOOKUP(B14,Outputs!T:U,2,FALSE)</f>
        <v>8.1326496059485498E-2</v>
      </c>
      <c r="L14" s="107" t="str">
        <f>IF($A14=1,VLOOKUP($B14,Outputs!$B:$F,3,FALSE),"")</f>
        <v/>
      </c>
      <c r="M14" s="107">
        <f>IF($A14=0,VLOOKUP($B14,Outputs!$B:$F,3,FALSE),"")</f>
        <v>37.773952214469112</v>
      </c>
      <c r="N14" s="107" t="str">
        <f>IF($A14=1,VLOOKUP($B14,Outputs!$H:$L,3,FALSE),"")</f>
        <v/>
      </c>
      <c r="O14" s="107">
        <f>IF($A14=0,VLOOKUP($B14,Outputs!$H:$L,3,FALSE),"")</f>
        <v>37.773952214469112</v>
      </c>
      <c r="P14" s="107" t="str">
        <f>IF($A14=1,VLOOKUP($B14,Outputs!$N:$R,3,FALSE),"")</f>
        <v/>
      </c>
      <c r="Q14" s="107">
        <f ca="1">IF($A14=0,VLOOKUP($B14,Outputs!$N:$R,3,FALSE),"")</f>
        <v>36.7863703071042</v>
      </c>
    </row>
    <row r="15" spans="1:17">
      <c r="A15" s="397">
        <f>IF(VLOOKUP(B15,TOCA_current!$B$2:$AG$137,32,FALSE)=0,0,1)</f>
        <v>0</v>
      </c>
      <c r="B15" t="s">
        <v>43</v>
      </c>
      <c r="C15" s="107" t="str">
        <f>IF(A15=1,VLOOKUP($B15,Outputs!$B:$F,2,FALSE),"")</f>
        <v/>
      </c>
      <c r="D15" s="107">
        <f>IF(A15=0,VLOOKUP($B15,Outputs!$B:$F,2,FALSE),"")</f>
        <v>5.4125436745247502E-2</v>
      </c>
      <c r="E15" s="115"/>
      <c r="F15" s="116" t="str">
        <f>IF(A15=1,VLOOKUP($B15,Outputs!$H:$L,2,FALSE),"")</f>
        <v/>
      </c>
      <c r="G15" s="117">
        <f>IF(A15=0,VLOOKUP($B15,Outputs!$H:$L,2,FALSE),"")</f>
        <v>5.4125436745247502E-2</v>
      </c>
      <c r="J15" s="110">
        <f ca="1">VLOOKUP($B15,Outputs!$N:$R,2,FALSE)</f>
        <v>4.2442258361022438E-2</v>
      </c>
      <c r="K15" s="110">
        <f>+VLOOKUP(B15,Outputs!T:U,2,FALSE)</f>
        <v>2.1305845346243135E-2</v>
      </c>
      <c r="L15" s="107" t="str">
        <f>IF($A15=1,VLOOKUP($B15,Outputs!$B:$F,3,FALSE),"")</f>
        <v/>
      </c>
      <c r="M15" s="107">
        <f>IF($A15=0,VLOOKUP($B15,Outputs!$B:$F,3,FALSE),"")</f>
        <v>38.807849850075655</v>
      </c>
      <c r="N15" s="107" t="str">
        <f>IF($A15=1,VLOOKUP($B15,Outputs!$H:$L,3,FALSE),"")</f>
        <v/>
      </c>
      <c r="O15" s="107">
        <f>IF($A15=0,VLOOKUP($B15,Outputs!$H:$L,3,FALSE),"")</f>
        <v>38.807849850075655</v>
      </c>
      <c r="P15" s="107" t="str">
        <f>IF($A15=1,VLOOKUP($B15,Outputs!$N:$R,3,FALSE),"")</f>
        <v/>
      </c>
      <c r="Q15" s="107">
        <f ca="1">IF($A15=0,VLOOKUP($B15,Outputs!$N:$R,3,FALSE),"")</f>
        <v>38.046960544741957</v>
      </c>
    </row>
    <row r="16" spans="1:17">
      <c r="A16" s="397">
        <f>IF(VLOOKUP(B16,TOCA_current!$B$2:$AG$137,32,FALSE)=0,0,1)</f>
        <v>0</v>
      </c>
      <c r="B16" t="s">
        <v>22</v>
      </c>
      <c r="C16" s="107" t="str">
        <f>IF(A16=1,VLOOKUP($B16,Outputs!$B:$F,2,FALSE),"")</f>
        <v/>
      </c>
      <c r="D16" s="107">
        <f>IF(A16=0,VLOOKUP($B16,Outputs!$B:$F,2,FALSE),"")</f>
        <v>4.5454125796055012E-2</v>
      </c>
      <c r="E16" s="115"/>
      <c r="F16" s="116" t="str">
        <f>IF(A16=1,VLOOKUP($B16,Outputs!$H:$L,2,FALSE),"")</f>
        <v/>
      </c>
      <c r="G16" s="117">
        <f>IF(A16=0,VLOOKUP($B16,Outputs!$H:$L,2,FALSE),"")</f>
        <v>4.5454125796055012E-2</v>
      </c>
      <c r="J16" s="110">
        <f ca="1">VLOOKUP($B16,Outputs!$N:$R,2,FALSE)</f>
        <v>3.0388121045026213E-2</v>
      </c>
      <c r="K16" s="110">
        <f>+VLOOKUP(B16,Outputs!T:U,2,FALSE)</f>
        <v>-1.8664466433812144E-2</v>
      </c>
      <c r="L16" s="107" t="str">
        <f>IF($A16=1,VLOOKUP($B16,Outputs!$B:$F,3,FALSE),"")</f>
        <v/>
      </c>
      <c r="M16" s="107">
        <f>IF($A16=0,VLOOKUP($B16,Outputs!$B:$F,3,FALSE),"")</f>
        <v>37.081531927834149</v>
      </c>
      <c r="N16" s="107" t="str">
        <f>IF($A16=1,VLOOKUP($B16,Outputs!$H:$L,3,FALSE),"")</f>
        <v/>
      </c>
      <c r="O16" s="107">
        <f>IF($A16=0,VLOOKUP($B16,Outputs!$H:$L,3,FALSE),"")</f>
        <v>37.081531927834149</v>
      </c>
      <c r="P16" s="107" t="str">
        <f>IF($A16=1,VLOOKUP($B16,Outputs!$N:$R,3,FALSE),"")</f>
        <v/>
      </c>
      <c r="Q16" s="107">
        <f ca="1">IF($A16=0,VLOOKUP($B16,Outputs!$N:$R,3,FALSE),"")</f>
        <v>36.460120686594458</v>
      </c>
    </row>
    <row r="17" spans="1:17">
      <c r="A17" s="397">
        <f>IF(VLOOKUP(B17,TOCA_current!$B$2:$AG$137,32,FALSE)=0,0,1)</f>
        <v>0</v>
      </c>
      <c r="B17" t="s">
        <v>107</v>
      </c>
      <c r="C17" s="107" t="str">
        <f>IF(A17=1,VLOOKUP($B17,Outputs!$B:$F,2,FALSE),"")</f>
        <v/>
      </c>
      <c r="D17" s="107">
        <f>IF(A17=0,VLOOKUP($B17,Outputs!$B:$F,2,FALSE),"")</f>
        <v>4.3346935521793473E-2</v>
      </c>
      <c r="E17" s="115"/>
      <c r="F17" s="116" t="str">
        <f>IF(A17=1,VLOOKUP($B17,Outputs!$H:$L,2,FALSE),"")</f>
        <v/>
      </c>
      <c r="G17" s="117">
        <f>IF(A17=0,VLOOKUP($B17,Outputs!$H:$L,2,FALSE),"")</f>
        <v>4.3346935521793473E-2</v>
      </c>
      <c r="J17" s="110">
        <f ca="1">VLOOKUP($B17,Outputs!$N:$R,2,FALSE)</f>
        <v>4.6000498139178177E-2</v>
      </c>
      <c r="K17" s="110">
        <f>+VLOOKUP(B17,Outputs!T:U,2,FALSE)</f>
        <v>3.9442516690951557E-2</v>
      </c>
      <c r="L17" s="107" t="str">
        <f>IF($A17=1,VLOOKUP($B17,Outputs!$B:$F,3,FALSE),"")</f>
        <v/>
      </c>
      <c r="M17" s="107">
        <f>IF($A17=0,VLOOKUP($B17,Outputs!$B:$F,3,FALSE),"")</f>
        <v>33.503434406845457</v>
      </c>
      <c r="N17" s="107" t="str">
        <f>IF($A17=1,VLOOKUP($B17,Outputs!$H:$L,3,FALSE),"")</f>
        <v/>
      </c>
      <c r="O17" s="107">
        <f>IF($A17=0,VLOOKUP($B17,Outputs!$H:$L,3,FALSE),"")</f>
        <v>33.503434406845457</v>
      </c>
      <c r="P17" s="107" t="str">
        <f>IF($A17=1,VLOOKUP($B17,Outputs!$N:$R,3,FALSE),"")</f>
        <v/>
      </c>
      <c r="Q17" s="107">
        <f ca="1">IF($A17=0,VLOOKUP($B17,Outputs!$N:$R,3,FALSE),"")</f>
        <v>33.78059121080183</v>
      </c>
    </row>
    <row r="18" spans="1:17">
      <c r="A18" s="397">
        <f>IF(VLOOKUP(B18,TOCA_current!$B$2:$AG$137,32,FALSE)=0,0,1)</f>
        <v>0</v>
      </c>
      <c r="B18" t="s">
        <v>57</v>
      </c>
      <c r="C18" s="107" t="str">
        <f>IF(A18=1,VLOOKUP($B18,Outputs!$B:$F,2,FALSE),"")</f>
        <v/>
      </c>
      <c r="D18" s="107">
        <f>IF(A18=0,VLOOKUP($B18,Outputs!$B:$F,2,FALSE),"")</f>
        <v>4.0714947344018038E-2</v>
      </c>
      <c r="E18" s="115"/>
      <c r="F18" s="116" t="str">
        <f>IF(A18=1,VLOOKUP($B18,Outputs!$H:$L,2,FALSE),"")</f>
        <v/>
      </c>
      <c r="G18" s="117">
        <f>IF(A18=0,VLOOKUP($B18,Outputs!$H:$L,2,FALSE),"")</f>
        <v>4.0714947344018038E-2</v>
      </c>
      <c r="J18" s="110">
        <f ca="1">VLOOKUP($B18,Outputs!$N:$R,2,FALSE)</f>
        <v>4.6260271442996242E-2</v>
      </c>
      <c r="K18" s="110">
        <f>+VLOOKUP(B18,Outputs!T:U,2,FALSE)</f>
        <v>0.10421228975955033</v>
      </c>
      <c r="L18" s="107" t="str">
        <f>IF($A18=1,VLOOKUP($B18,Outputs!$B:$F,3,FALSE),"")</f>
        <v/>
      </c>
      <c r="M18" s="107">
        <f>IF($A18=0,VLOOKUP($B18,Outputs!$B:$F,3,FALSE),"")</f>
        <v>34.977612683748973</v>
      </c>
      <c r="N18" s="107" t="str">
        <f>IF($A18=1,VLOOKUP($B18,Outputs!$H:$L,3,FALSE),"")</f>
        <v/>
      </c>
      <c r="O18" s="107">
        <f>IF($A18=0,VLOOKUP($B18,Outputs!$H:$L,3,FALSE),"")</f>
        <v>34.977612683748973</v>
      </c>
      <c r="P18" s="107" t="str">
        <f>IF($A18=1,VLOOKUP($B18,Outputs!$N:$R,3,FALSE),"")</f>
        <v/>
      </c>
      <c r="Q18" s="107">
        <f ca="1">IF($A18=0,VLOOKUP($B18,Outputs!$N:$R,3,FALSE),"")</f>
        <v>35.250261129680368</v>
      </c>
    </row>
    <row r="19" spans="1:17">
      <c r="A19" s="397">
        <f>IF(VLOOKUP(B19,TOCA_current!$B$2:$AG$137,32,FALSE)=0,0,1)</f>
        <v>0</v>
      </c>
      <c r="B19" t="s">
        <v>61</v>
      </c>
      <c r="C19" s="107" t="str">
        <f>IF(A19=1,VLOOKUP($B19,Outputs!$B:$F,2,FALSE),"")</f>
        <v/>
      </c>
      <c r="D19" s="107">
        <f>IF(A19=0,VLOOKUP($B19,Outputs!$B:$F,2,FALSE),"")</f>
        <v>5.6369503451939584E-2</v>
      </c>
      <c r="E19" s="115"/>
      <c r="F19" s="116" t="str">
        <f>IF(A19=1,VLOOKUP($B19,Outputs!$H:$L,2,FALSE),"")</f>
        <v/>
      </c>
      <c r="G19" s="117">
        <f>IF(A19=0,VLOOKUP($B19,Outputs!$H:$L,2,FALSE),"")</f>
        <v>5.6369503451939584E-2</v>
      </c>
      <c r="J19" s="110">
        <f ca="1">VLOOKUP($B19,Outputs!$N:$R,2,FALSE)</f>
        <v>4.7428601002217033E-2</v>
      </c>
      <c r="K19" s="110">
        <f>+VLOOKUP(B19,Outputs!T:U,2,FALSE)</f>
        <v>3.5166167994625797E-2</v>
      </c>
      <c r="L19" s="107" t="str">
        <f>IF($A19=1,VLOOKUP($B19,Outputs!$B:$F,3,FALSE),"")</f>
        <v/>
      </c>
      <c r="M19" s="107">
        <f>IF($A19=0,VLOOKUP($B19,Outputs!$B:$F,3,FALSE),"")</f>
        <v>37.856845406650962</v>
      </c>
      <c r="N19" s="107" t="str">
        <f>IF($A19=1,VLOOKUP($B19,Outputs!$H:$L,3,FALSE),"")</f>
        <v/>
      </c>
      <c r="O19" s="107">
        <f>IF($A19=0,VLOOKUP($B19,Outputs!$H:$L,3,FALSE),"")</f>
        <v>37.856845406650962</v>
      </c>
      <c r="P19" s="107" t="str">
        <f>IF($A19=1,VLOOKUP($B19,Outputs!$N:$R,3,FALSE),"")</f>
        <v/>
      </c>
      <c r="Q19" s="107">
        <f ca="1">IF($A19=0,VLOOKUP($B19,Outputs!$N:$R,3,FALSE),"")</f>
        <v>37.226521300030811</v>
      </c>
    </row>
    <row r="20" spans="1:17">
      <c r="A20" s="397">
        <f>IF(VLOOKUP(B20,TOCA_current!$B$2:$AG$137,32,FALSE)=0,0,1)</f>
        <v>0</v>
      </c>
      <c r="B20" t="s">
        <v>25</v>
      </c>
      <c r="C20" s="107" t="str">
        <f>IF(A20=1,VLOOKUP($B20,Outputs!$B:$F,2,FALSE),"")</f>
        <v/>
      </c>
      <c r="D20" s="107">
        <f>IF(A20=0,VLOOKUP($B20,Outputs!$B:$F,2,FALSE),"")</f>
        <v>5.3492879805552951E-2</v>
      </c>
      <c r="E20" s="115"/>
      <c r="F20" s="116" t="str">
        <f>IF(A20=1,VLOOKUP($B20,Outputs!$H:$L,2,FALSE),"")</f>
        <v/>
      </c>
      <c r="G20" s="117">
        <f>IF(A20=0,VLOOKUP($B20,Outputs!$H:$L,2,FALSE),"")</f>
        <v>5.3492879805552951E-2</v>
      </c>
      <c r="J20" s="110">
        <f ca="1">VLOOKUP($B20,Outputs!$N:$R,2,FALSE)</f>
        <v>4.3882526207966309E-2</v>
      </c>
      <c r="K20" s="110">
        <f>+VLOOKUP(B20,Outputs!T:U,2,FALSE)</f>
        <v>6.1481889711731075E-2</v>
      </c>
      <c r="L20" s="107" t="str">
        <f>IF($A20=1,VLOOKUP($B20,Outputs!$B:$F,3,FALSE),"")</f>
        <v/>
      </c>
      <c r="M20" s="107">
        <f>IF($A20=0,VLOOKUP($B20,Outputs!$B:$F,3,FALSE),"")</f>
        <v>38.3335687305524</v>
      </c>
      <c r="N20" s="107" t="str">
        <f>IF($A20=1,VLOOKUP($B20,Outputs!$H:$L,3,FALSE),"")</f>
        <v/>
      </c>
      <c r="O20" s="107">
        <f>IF($A20=0,VLOOKUP($B20,Outputs!$H:$L,3,FALSE),"")</f>
        <v>38.3335687305524</v>
      </c>
      <c r="P20" s="107" t="str">
        <f>IF($A20=1,VLOOKUP($B20,Outputs!$N:$R,3,FALSE),"")</f>
        <v/>
      </c>
      <c r="Q20" s="107">
        <f ca="1">IF($A20=0,VLOOKUP($B20,Outputs!$N:$R,3,FALSE),"")</f>
        <v>37.6084614516936</v>
      </c>
    </row>
    <row r="21" spans="1:17">
      <c r="A21" s="397">
        <f>IF(VLOOKUP(B21,TOCA_current!$B$2:$AG$137,32,FALSE)=0,0,1)</f>
        <v>0</v>
      </c>
      <c r="B21" t="s">
        <v>41</v>
      </c>
      <c r="C21" s="107" t="str">
        <f>IF(A21=1,VLOOKUP($B21,Outputs!$B:$F,2,FALSE),"")</f>
        <v/>
      </c>
      <c r="D21" s="107">
        <f>IF(A21=0,VLOOKUP($B21,Outputs!$B:$F,2,FALSE),"")</f>
        <v>4.7636392277422779E-2</v>
      </c>
      <c r="E21" s="115"/>
      <c r="F21" s="116" t="str">
        <f>IF(A21=1,VLOOKUP($B21,Outputs!$H:$L,2,FALSE),"")</f>
        <v/>
      </c>
      <c r="G21" s="117">
        <f>IF(A21=0,VLOOKUP($B21,Outputs!$H:$L,2,FALSE),"")</f>
        <v>4.7636392277422779E-2</v>
      </c>
      <c r="J21" s="110">
        <f ca="1">VLOOKUP($B21,Outputs!$N:$R,2,FALSE)</f>
        <v>4.0049625163070944E-2</v>
      </c>
      <c r="K21" s="110">
        <f>+VLOOKUP(B21,Outputs!T:U,2,FALSE)</f>
        <v>5.5772312293424386E-2</v>
      </c>
      <c r="L21" s="107" t="str">
        <f>IF($A21=1,VLOOKUP($B21,Outputs!$B:$F,3,FALSE),"")</f>
        <v/>
      </c>
      <c r="M21" s="107">
        <f>IF($A21=0,VLOOKUP($B21,Outputs!$B:$F,3,FALSE),"")</f>
        <v>38.548059760463744</v>
      </c>
      <c r="N21" s="107" t="str">
        <f>IF($A21=1,VLOOKUP($B21,Outputs!$H:$L,3,FALSE),"")</f>
        <v/>
      </c>
      <c r="O21" s="107">
        <f>IF($A21=0,VLOOKUP($B21,Outputs!$H:$L,3,FALSE),"")</f>
        <v>38.548059760463744</v>
      </c>
      <c r="P21" s="107" t="str">
        <f>IF($A21=1,VLOOKUP($B21,Outputs!$N:$R,3,FALSE),"")</f>
        <v/>
      </c>
      <c r="Q21" s="107">
        <f ca="1">IF($A21=0,VLOOKUP($B21,Outputs!$N:$R,3,FALSE),"")</f>
        <v>38.026248024552245</v>
      </c>
    </row>
    <row r="22" spans="1:17">
      <c r="A22" s="397">
        <f>IF(VLOOKUP(B22,TOCA_current!$B$2:$AG$137,32,FALSE)=0,0,1)</f>
        <v>0</v>
      </c>
      <c r="B22" t="s">
        <v>49</v>
      </c>
      <c r="C22" s="107" t="str">
        <f>IF(A22=1,VLOOKUP($B22,Outputs!$B:$F,2,FALSE),"")</f>
        <v/>
      </c>
      <c r="D22" s="107">
        <f>IF(A22=0,VLOOKUP($B22,Outputs!$B:$F,2,FALSE),"")</f>
        <v>4.8189283131027327E-2</v>
      </c>
      <c r="E22" s="115"/>
      <c r="F22" s="116" t="str">
        <f>IF(A22=1,VLOOKUP($B22,Outputs!$H:$L,2,FALSE),"")</f>
        <v/>
      </c>
      <c r="G22" s="117">
        <f>IF(A22=0,VLOOKUP($B22,Outputs!$H:$L,2,FALSE),"")</f>
        <v>4.8189283131027327E-2</v>
      </c>
      <c r="J22" s="110">
        <f ca="1">VLOOKUP($B22,Outputs!$N:$R,2,FALSE)</f>
        <v>4.5346276972284695E-2</v>
      </c>
      <c r="K22" s="110">
        <f>+VLOOKUP(B22,Outputs!T:U,2,FALSE)</f>
        <v>0.10536896579896693</v>
      </c>
      <c r="L22" s="107" t="str">
        <f>IF($A22=1,VLOOKUP($B22,Outputs!$B:$F,3,FALSE),"")</f>
        <v/>
      </c>
      <c r="M22" s="107">
        <f>IF($A22=0,VLOOKUP($B22,Outputs!$B:$F,3,FALSE),"")</f>
        <v>34.122231499634431</v>
      </c>
      <c r="N22" s="107" t="str">
        <f>IF($A22=1,VLOOKUP($B22,Outputs!$H:$L,3,FALSE),"")</f>
        <v/>
      </c>
      <c r="O22" s="107">
        <f>IF($A22=0,VLOOKUP($B22,Outputs!$H:$L,3,FALSE),"")</f>
        <v>34.122231499634431</v>
      </c>
      <c r="P22" s="107" t="str">
        <f>IF($A22=1,VLOOKUP($B22,Outputs!$N:$R,3,FALSE),"")</f>
        <v/>
      </c>
      <c r="Q22" s="107">
        <f ca="1">IF($A22=0,VLOOKUP($B22,Outputs!$N:$R,3,FALSE),"")</f>
        <v>33.967674175406216</v>
      </c>
    </row>
    <row r="23" spans="1:17">
      <c r="A23" s="397">
        <f>IF(VLOOKUP(B23,TOCA_current!$B$2:$AG$137,32,FALSE)=0,0,1)</f>
        <v>0</v>
      </c>
      <c r="B23" t="s">
        <v>58</v>
      </c>
      <c r="C23" s="107" t="str">
        <f>IF(A23=1,VLOOKUP($B23,Outputs!$B:$F,2,FALSE),"")</f>
        <v/>
      </c>
      <c r="D23" s="107">
        <f>IF(A23=0,VLOOKUP($B23,Outputs!$B:$F,2,FALSE),"")</f>
        <v>5.7904160202564503E-2</v>
      </c>
      <c r="E23" s="115"/>
      <c r="F23" s="116" t="str">
        <f>IF(A23=1,VLOOKUP($B23,Outputs!$H:$L,2,FALSE),"")</f>
        <v/>
      </c>
      <c r="G23" s="117">
        <f>IF(A23=0,VLOOKUP($B23,Outputs!$H:$L,2,FALSE),"")</f>
        <v>5.7904160202564503E-2</v>
      </c>
      <c r="J23" s="110">
        <f ca="1">VLOOKUP($B23,Outputs!$N:$R,2,FALSE)</f>
        <v>4.8199048439456028E-2</v>
      </c>
      <c r="K23" s="110">
        <f>+VLOOKUP(B23,Outputs!T:U,2,FALSE)</f>
        <v>4.8453531712860709E-2</v>
      </c>
      <c r="L23" s="107" t="str">
        <f>IF($A23=1,VLOOKUP($B23,Outputs!$B:$F,3,FALSE),"")</f>
        <v/>
      </c>
      <c r="M23" s="107">
        <f>IF($A23=0,VLOOKUP($B23,Outputs!$B:$F,3,FALSE),"")</f>
        <v>39.207660495869355</v>
      </c>
      <c r="N23" s="107" t="str">
        <f>IF($A23=1,VLOOKUP($B23,Outputs!$H:$L,3,FALSE),"")</f>
        <v/>
      </c>
      <c r="O23" s="107">
        <f>IF($A23=0,VLOOKUP($B23,Outputs!$H:$L,3,FALSE),"")</f>
        <v>39.207660495869355</v>
      </c>
      <c r="P23" s="107" t="str">
        <f>IF($A23=1,VLOOKUP($B23,Outputs!$N:$R,3,FALSE),"")</f>
        <v/>
      </c>
      <c r="Q23" s="107">
        <f ca="1">IF($A23=0,VLOOKUP($B23,Outputs!$N:$R,3,FALSE),"")</f>
        <v>38.439903209269303</v>
      </c>
    </row>
    <row r="24" spans="1:17">
      <c r="A24" s="397">
        <f>IF(VLOOKUP(B24,TOCA_current!$B$2:$AG$137,32,FALSE)=0,0,1)</f>
        <v>0</v>
      </c>
      <c r="B24" t="s">
        <v>31</v>
      </c>
      <c r="C24" s="107" t="str">
        <f>IF(A24=1,VLOOKUP($B24,Outputs!$B:$F,2,FALSE),"")</f>
        <v/>
      </c>
      <c r="D24" s="107">
        <f>IF(A24=0,VLOOKUP($B24,Outputs!$B:$F,2,FALSE),"")</f>
        <v>5.2295024593795425E-2</v>
      </c>
      <c r="E24" s="115"/>
      <c r="F24" s="116" t="str">
        <f>IF(A24=1,VLOOKUP($B24,Outputs!$H:$L,2,FALSE),"")</f>
        <v/>
      </c>
      <c r="G24" s="117">
        <f>IF(A24=0,VLOOKUP($B24,Outputs!$H:$L,2,FALSE),"")</f>
        <v>5.2295024593795425E-2</v>
      </c>
      <c r="J24" s="110">
        <f ca="1">VLOOKUP($B24,Outputs!$N:$R,2,FALSE)</f>
        <v>4.1235409941160248E-2</v>
      </c>
      <c r="K24" s="110">
        <f>+VLOOKUP(B24,Outputs!T:U,2,FALSE)</f>
        <v>4.6344701348388861E-2</v>
      </c>
      <c r="L24" s="107" t="str">
        <f>IF($A24=1,VLOOKUP($B24,Outputs!$B:$F,3,FALSE),"")</f>
        <v/>
      </c>
      <c r="M24" s="107">
        <f>IF($A24=0,VLOOKUP($B24,Outputs!$B:$F,3,FALSE),"")</f>
        <v>39.929552264657566</v>
      </c>
      <c r="N24" s="107" t="str">
        <f>IF($A24=1,VLOOKUP($B24,Outputs!$H:$L,3,FALSE),"")</f>
        <v/>
      </c>
      <c r="O24" s="107">
        <f>IF($A24=0,VLOOKUP($B24,Outputs!$H:$L,3,FALSE),"")</f>
        <v>39.929552264657566</v>
      </c>
      <c r="P24" s="107" t="str">
        <f>IF($A24=1,VLOOKUP($B24,Outputs!$N:$R,3,FALSE),"")</f>
        <v/>
      </c>
      <c r="Q24" s="107">
        <f ca="1">IF($A24=0,VLOOKUP($B24,Outputs!$N:$R,3,FALSE),"")</f>
        <v>38.982792575565909</v>
      </c>
    </row>
    <row r="25" spans="1:17">
      <c r="A25" s="397">
        <f>IF(VLOOKUP(B25,TOCA_current!$B$2:$AG$137,32,FALSE)=0,0,1)</f>
        <v>0</v>
      </c>
      <c r="B25" t="s">
        <v>42</v>
      </c>
      <c r="C25" s="107" t="str">
        <f>IF(A25=1,VLOOKUP($B25,Outputs!$B:$F,2,FALSE),"")</f>
        <v/>
      </c>
      <c r="D25" s="107">
        <f>IF(A25=0,VLOOKUP($B25,Outputs!$B:$F,2,FALSE),"")</f>
        <v>4.4500110419016137E-2</v>
      </c>
      <c r="E25" s="115"/>
      <c r="F25" s="116" t="str">
        <f>IF(A25=1,VLOOKUP($B25,Outputs!$H:$L,2,FALSE),"")</f>
        <v/>
      </c>
      <c r="G25" s="117">
        <f>IF(A25=0,VLOOKUP($B25,Outputs!$H:$L,2,FALSE),"")</f>
        <v>4.4500110419016137E-2</v>
      </c>
      <c r="J25" s="110">
        <f ca="1">VLOOKUP($B25,Outputs!$N:$R,2,FALSE)</f>
        <v>4.2402085183187353E-2</v>
      </c>
      <c r="K25" s="110">
        <f>+VLOOKUP(B25,Outputs!T:U,2,FALSE)</f>
        <v>5.325772251965577E-2</v>
      </c>
      <c r="L25" s="107" t="str">
        <f>IF($A25=1,VLOOKUP($B25,Outputs!$B:$F,3,FALSE),"")</f>
        <v/>
      </c>
      <c r="M25" s="107">
        <f>IF($A25=0,VLOOKUP($B25,Outputs!$B:$F,3,FALSE),"")</f>
        <v>38.157903688198523</v>
      </c>
      <c r="N25" s="107" t="str">
        <f>IF($A25=1,VLOOKUP($B25,Outputs!$H:$L,3,FALSE),"")</f>
        <v/>
      </c>
      <c r="O25" s="107">
        <f>IF($A25=0,VLOOKUP($B25,Outputs!$H:$L,3,FALSE),"")</f>
        <v>38.157903688198523</v>
      </c>
      <c r="P25" s="107" t="str">
        <f>IF($A25=1,VLOOKUP($B25,Outputs!$N:$R,3,FALSE),"")</f>
        <v/>
      </c>
      <c r="Q25" s="107">
        <f ca="1">IF($A25=0,VLOOKUP($B25,Outputs!$N:$R,3,FALSE),"")</f>
        <v>37.856416313855298</v>
      </c>
    </row>
    <row r="26" spans="1:17">
      <c r="A26" s="397">
        <f>IF(VLOOKUP(B26,TOCA_current!$B$2:$AG$137,32,FALSE)=0,0,1)</f>
        <v>0</v>
      </c>
      <c r="B26" t="s">
        <v>37</v>
      </c>
      <c r="C26" s="107" t="str">
        <f>IF(A26=1,VLOOKUP($B26,Outputs!$B:$F,2,FALSE),"")</f>
        <v/>
      </c>
      <c r="D26" s="107">
        <f>IF(A26=0,VLOOKUP($B26,Outputs!$B:$F,2,FALSE),"")</f>
        <v>5.0567691797188674E-2</v>
      </c>
      <c r="E26" s="115"/>
      <c r="F26" s="116" t="str">
        <f>IF(A26=1,VLOOKUP($B26,Outputs!$H:$L,2,FALSE),"")</f>
        <v/>
      </c>
      <c r="G26" s="117">
        <f>IF(A26=0,VLOOKUP($B26,Outputs!$H:$L,2,FALSE),"")</f>
        <v>5.0567691797188674E-2</v>
      </c>
      <c r="J26" s="110">
        <f ca="1">VLOOKUP($B26,Outputs!$N:$R,2,FALSE)</f>
        <v>4.3038431263584059E-2</v>
      </c>
      <c r="K26" s="110">
        <f>+VLOOKUP(B26,Outputs!T:U,2,FALSE)</f>
        <v>3.6755609418271495E-2</v>
      </c>
      <c r="L26" s="107" t="str">
        <f>IF($A26=1,VLOOKUP($B26,Outputs!$B:$F,3,FALSE),"")</f>
        <v/>
      </c>
      <c r="M26" s="107">
        <f>IF($A26=0,VLOOKUP($B26,Outputs!$B:$F,3,FALSE),"")</f>
        <v>38.56401173798659</v>
      </c>
      <c r="N26" s="107" t="str">
        <f>IF($A26=1,VLOOKUP($B26,Outputs!$H:$L,3,FALSE),"")</f>
        <v/>
      </c>
      <c r="O26" s="107">
        <f>IF($A26=0,VLOOKUP($B26,Outputs!$H:$L,3,FALSE),"")</f>
        <v>38.56401173798659</v>
      </c>
      <c r="P26" s="107" t="str">
        <f>IF($A26=1,VLOOKUP($B26,Outputs!$N:$R,3,FALSE),"")</f>
        <v/>
      </c>
      <c r="Q26" s="107">
        <f ca="1">IF($A26=0,VLOOKUP($B26,Outputs!$N:$R,3,FALSE),"")</f>
        <v>37.995620279960271</v>
      </c>
    </row>
    <row r="27" spans="1:17">
      <c r="A27" s="397">
        <f>IF(VLOOKUP(B27,TOCA_current!$B$2:$AG$137,32,FALSE)=0,0,1)</f>
        <v>0</v>
      </c>
      <c r="B27" t="s">
        <v>134</v>
      </c>
      <c r="C27" s="107" t="str">
        <f>IF(A27=1,VLOOKUP($B27,Outputs!$B:$F,2,FALSE),"")</f>
        <v/>
      </c>
      <c r="D27" s="107">
        <f>IF(A27=0,VLOOKUP($B27,Outputs!$B:$F,2,FALSE),"")</f>
        <v>4.3681435138267277E-2</v>
      </c>
      <c r="E27" s="115"/>
      <c r="F27" s="116" t="str">
        <f>IF(A27=1,VLOOKUP($B27,Outputs!$H:$L,2,FALSE),"")</f>
        <v/>
      </c>
      <c r="G27" s="117">
        <f>IF(A27=0,VLOOKUP($B27,Outputs!$H:$L,2,FALSE),"")</f>
        <v>4.3681435138267277E-2</v>
      </c>
      <c r="J27" s="110">
        <f ca="1">VLOOKUP($B27,Outputs!$N:$R,2,FALSE)</f>
        <v>4.4319704139932421E-2</v>
      </c>
      <c r="K27" s="110">
        <f>+VLOOKUP(B27,Outputs!T:U,2,FALSE)</f>
        <v>6.8150126268859967E-2</v>
      </c>
      <c r="L27" s="107" t="str">
        <f>IF($A27=1,VLOOKUP($B27,Outputs!$B:$F,3,FALSE),"")</f>
        <v/>
      </c>
      <c r="M27" s="107">
        <f>IF($A27=0,VLOOKUP($B27,Outputs!$B:$F,3,FALSE),"")</f>
        <v>38.287921105840702</v>
      </c>
      <c r="N27" s="107" t="str">
        <f>IF($A27=1,VLOOKUP($B27,Outputs!$H:$L,3,FALSE),"")</f>
        <v/>
      </c>
      <c r="O27" s="107">
        <f>IF($A27=0,VLOOKUP($B27,Outputs!$H:$L,3,FALSE),"")</f>
        <v>38.287921105840702</v>
      </c>
      <c r="P27" s="107" t="str">
        <f>IF($A27=1,VLOOKUP($B27,Outputs!$N:$R,3,FALSE),"")</f>
        <v/>
      </c>
      <c r="Q27" s="107">
        <f ca="1">IF($A27=0,VLOOKUP($B27,Outputs!$N:$R,3,FALSE),"")</f>
        <v>38.272964262958531</v>
      </c>
    </row>
    <row r="28" spans="1:17">
      <c r="A28" s="397">
        <f>IF(VLOOKUP(B28,TOCA_current!$B$2:$AG$137,32,FALSE)=0,0,1)</f>
        <v>0</v>
      </c>
      <c r="B28" t="s">
        <v>120</v>
      </c>
      <c r="C28" s="107" t="str">
        <f>IF(A28=1,VLOOKUP($B28,Outputs!$B:$F,2,FALSE),"")</f>
        <v/>
      </c>
      <c r="D28" s="107">
        <f>IF(A28=0,VLOOKUP($B28,Outputs!$B:$F,2,FALSE),"")</f>
        <v>5.1640292264401921E-2</v>
      </c>
      <c r="E28" s="115"/>
      <c r="F28" s="116" t="str">
        <f>IF(A28=1,VLOOKUP($B28,Outputs!$H:$L,2,FALSE),"")</f>
        <v/>
      </c>
      <c r="G28" s="117">
        <f>IF(A28=0,VLOOKUP($B28,Outputs!$H:$L,2,FALSE),"")</f>
        <v>5.1640292264401921E-2</v>
      </c>
      <c r="J28" s="110">
        <f ca="1">VLOOKUP($B28,Outputs!$N:$R,2,FALSE)</f>
        <v>4.3589641946689128E-2</v>
      </c>
      <c r="K28" s="110">
        <f>+VLOOKUP(B28,Outputs!T:U,2,FALSE)</f>
        <v>6.2552307569589738E-2</v>
      </c>
      <c r="L28" s="107" t="str">
        <f>IF($A28=1,VLOOKUP($B28,Outputs!$B:$F,3,FALSE),"")</f>
        <v/>
      </c>
      <c r="M28" s="107">
        <f>IF($A28=0,VLOOKUP($B28,Outputs!$B:$F,3,FALSE),"")</f>
        <v>39.70737623669396</v>
      </c>
      <c r="N28" s="107" t="str">
        <f>IF($A28=1,VLOOKUP($B28,Outputs!$H:$L,3,FALSE),"")</f>
        <v/>
      </c>
      <c r="O28" s="107">
        <f>IF($A28=0,VLOOKUP($B28,Outputs!$H:$L,3,FALSE),"")</f>
        <v>39.70737623669396</v>
      </c>
      <c r="P28" s="107" t="str">
        <f>IF($A28=1,VLOOKUP($B28,Outputs!$N:$R,3,FALSE),"")</f>
        <v/>
      </c>
      <c r="Q28" s="107">
        <f ca="1">IF($A28=0,VLOOKUP($B28,Outputs!$N:$R,3,FALSE),"")</f>
        <v>39.060126109840049</v>
      </c>
    </row>
    <row r="29" spans="1:17">
      <c r="A29" s="397">
        <f>IF(VLOOKUP(B29,TOCA_current!$B$2:$AG$137,32,FALSE)=0,0,1)</f>
        <v>0</v>
      </c>
      <c r="B29" t="s">
        <v>30</v>
      </c>
      <c r="C29" s="107" t="str">
        <f>IF(A29=1,VLOOKUP($B29,Outputs!$B:$F,2,FALSE),"")</f>
        <v/>
      </c>
      <c r="D29" s="107">
        <f>IF(A29=0,VLOOKUP($B29,Outputs!$B:$F,2,FALSE),"")</f>
        <v>1.7502851967159172E-2</v>
      </c>
      <c r="E29" s="115"/>
      <c r="F29" s="116" t="str">
        <f>IF(A29=1,VLOOKUP($B29,Outputs!$H:$L,2,FALSE),"")</f>
        <v/>
      </c>
      <c r="G29" s="117">
        <f>IF(A29=0,VLOOKUP($B29,Outputs!$H:$L,2,FALSE),"")</f>
        <v>1.7502851967159172E-2</v>
      </c>
      <c r="J29" s="110">
        <f ca="1">VLOOKUP($B29,Outputs!$N:$R,2,FALSE)</f>
        <v>4.2199759878010688E-2</v>
      </c>
      <c r="K29" s="110">
        <f>+VLOOKUP(B29,Outputs!T:U,2,FALSE)</f>
        <v>-6.2265808590046157E-2</v>
      </c>
      <c r="L29" s="107" t="str">
        <f>IF($A29=1,VLOOKUP($B29,Outputs!$B:$F,3,FALSE),"")</f>
        <v/>
      </c>
      <c r="M29" s="107">
        <f>IF($A29=0,VLOOKUP($B29,Outputs!$B:$F,3,FALSE),"")</f>
        <v>37.569856739718361</v>
      </c>
      <c r="N29" s="107" t="str">
        <f>IF($A29=1,VLOOKUP($B29,Outputs!$H:$L,3,FALSE),"")</f>
        <v/>
      </c>
      <c r="O29" s="107">
        <f>IF($A29=0,VLOOKUP($B29,Outputs!$H:$L,3,FALSE),"")</f>
        <v>37.569856739718361</v>
      </c>
      <c r="P29" s="107" t="str">
        <f>IF($A29=1,VLOOKUP($B29,Outputs!$N:$R,3,FALSE),"")</f>
        <v/>
      </c>
      <c r="Q29" s="107">
        <f ca="1">IF($A29=0,VLOOKUP($B29,Outputs!$N:$R,3,FALSE),"")</f>
        <v>37.060311989454647</v>
      </c>
    </row>
    <row r="30" spans="1:17">
      <c r="A30" s="397">
        <f>IF(VLOOKUP(B30,TOCA_current!$B$2:$AG$137,32,FALSE)=0,0,1)</f>
        <v>0</v>
      </c>
      <c r="B30" t="s">
        <v>129</v>
      </c>
      <c r="C30" s="107" t="str">
        <f>IF(A30=1,VLOOKUP($B30,Outputs!$B:$F,2,FALSE),"")</f>
        <v/>
      </c>
      <c r="D30" s="107">
        <f>IF(A30=0,VLOOKUP($B30,Outputs!$B:$F,2,FALSE),"")</f>
        <v>6.3405843094528347E-2</v>
      </c>
      <c r="E30" s="115"/>
      <c r="F30" s="116" t="str">
        <f>IF(A30=1,VLOOKUP($B30,Outputs!$H:$L,2,FALSE),"")</f>
        <v/>
      </c>
      <c r="G30" s="117">
        <f>IF(A30=0,VLOOKUP($B30,Outputs!$H:$L,2,FALSE),"")</f>
        <v>6.3405843094528347E-2</v>
      </c>
      <c r="J30" s="110">
        <f ca="1">VLOOKUP($B30,Outputs!$N:$R,2,FALSE)</f>
        <v>5.2094511549118656E-2</v>
      </c>
      <c r="K30" s="110">
        <f>+VLOOKUP(B30,Outputs!T:U,2,FALSE)</f>
        <v>7.9784995800390668E-2</v>
      </c>
      <c r="L30" s="107" t="str">
        <f>IF($A30=1,VLOOKUP($B30,Outputs!$B:$F,3,FALSE),"")</f>
        <v/>
      </c>
      <c r="M30" s="107">
        <f>IF($A30=0,VLOOKUP($B30,Outputs!$B:$F,3,FALSE),"")</f>
        <v>36.698158748597685</v>
      </c>
      <c r="N30" s="107" t="str">
        <f>IF($A30=1,VLOOKUP($B30,Outputs!$H:$L,3,FALSE),"")</f>
        <v/>
      </c>
      <c r="O30" s="107">
        <f>IF($A30=0,VLOOKUP($B30,Outputs!$H:$L,3,FALSE),"")</f>
        <v>36.698158748597685</v>
      </c>
      <c r="P30" s="107" t="str">
        <f>IF($A30=1,VLOOKUP($B30,Outputs!$N:$R,3,FALSE),"")</f>
        <v/>
      </c>
      <c r="Q30" s="107">
        <f ca="1">IF($A30=0,VLOOKUP($B30,Outputs!$N:$R,3,FALSE),"")</f>
        <v>35.971807400441442</v>
      </c>
    </row>
    <row r="31" spans="1:17">
      <c r="A31" s="397">
        <f>IF(VLOOKUP(B31,TOCA_current!$B$2:$AG$137,32,FALSE)=0,0,1)</f>
        <v>0</v>
      </c>
      <c r="B31" t="s">
        <v>70</v>
      </c>
      <c r="C31" s="107" t="str">
        <f>IF(A31=1,VLOOKUP($B31,Outputs!$B:$F,2,FALSE),"")</f>
        <v/>
      </c>
      <c r="D31" s="107">
        <f>IF(A31=0,VLOOKUP($B31,Outputs!$B:$F,2,FALSE),"")</f>
        <v>6.0342463233277632E-2</v>
      </c>
      <c r="E31" s="115"/>
      <c r="F31" s="116" t="str">
        <f>IF(A31=1,VLOOKUP($B31,Outputs!$H:$L,2,FALSE),"")</f>
        <v/>
      </c>
      <c r="G31" s="117">
        <f>IF(A31=0,VLOOKUP($B31,Outputs!$H:$L,2,FALSE),"")</f>
        <v>6.0342463233277632E-2</v>
      </c>
      <c r="J31" s="110">
        <f ca="1">VLOOKUP($B31,Outputs!$N:$R,2,FALSE)</f>
        <v>4.4206188065802524E-2</v>
      </c>
      <c r="K31" s="110">
        <f>+VLOOKUP(B31,Outputs!T:U,2,FALSE)</f>
        <v>0.10969441239593025</v>
      </c>
      <c r="L31" s="107" t="str">
        <f>IF($A31=1,VLOOKUP($B31,Outputs!$B:$F,3,FALSE),"")</f>
        <v/>
      </c>
      <c r="M31" s="107">
        <f>IF($A31=0,VLOOKUP($B31,Outputs!$B:$F,3,FALSE),"")</f>
        <v>39.724674846991427</v>
      </c>
      <c r="N31" s="107" t="str">
        <f>IF($A31=1,VLOOKUP($B31,Outputs!$H:$L,3,FALSE),"")</f>
        <v/>
      </c>
      <c r="O31" s="107">
        <f>IF($A31=0,VLOOKUP($B31,Outputs!$H:$L,3,FALSE),"")</f>
        <v>39.724674846991427</v>
      </c>
      <c r="P31" s="107" t="str">
        <f>IF($A31=1,VLOOKUP($B31,Outputs!$N:$R,3,FALSE),"")</f>
        <v/>
      </c>
      <c r="Q31" s="107">
        <f ca="1">IF($A31=0,VLOOKUP($B31,Outputs!$N:$R,3,FALSE),"")</f>
        <v>38.595695486889056</v>
      </c>
    </row>
    <row r="32" spans="1:17">
      <c r="A32" s="397">
        <f>IF(VLOOKUP(B32,TOCA_current!$B$2:$AG$137,32,FALSE)=0,0,1)</f>
        <v>0</v>
      </c>
      <c r="B32" t="s">
        <v>20</v>
      </c>
      <c r="C32" s="107" t="str">
        <f>IF(A32=1,VLOOKUP($B32,Outputs!$B:$F,2,FALSE),"")</f>
        <v/>
      </c>
      <c r="D32" s="107">
        <f>IF(A32=0,VLOOKUP($B32,Outputs!$B:$F,2,FALSE),"")</f>
        <v>6.2866037615217918E-2</v>
      </c>
      <c r="E32" s="115"/>
      <c r="F32" s="116" t="str">
        <f>IF(A32=1,VLOOKUP($B32,Outputs!$H:$L,2,FALSE),"")</f>
        <v/>
      </c>
      <c r="G32" s="117">
        <f>IF(A32=0,VLOOKUP($B32,Outputs!$H:$L,2,FALSE),"")</f>
        <v>6.2866037615217918E-2</v>
      </c>
      <c r="J32" s="110">
        <f ca="1">VLOOKUP($B32,Outputs!$N:$R,2,FALSE)</f>
        <v>4.05005238428639E-2</v>
      </c>
      <c r="K32" s="110">
        <f>+VLOOKUP(B32,Outputs!T:U,2,FALSE)</f>
        <v>0.11169624402065814</v>
      </c>
      <c r="L32" s="107" t="str">
        <f>IF($A32=1,VLOOKUP($B32,Outputs!$B:$F,3,FALSE),"")</f>
        <v/>
      </c>
      <c r="M32" s="107">
        <f>IF($A32=0,VLOOKUP($B32,Outputs!$B:$F,3,FALSE),"")</f>
        <v>41.176123424816417</v>
      </c>
      <c r="N32" s="107" t="str">
        <f>IF($A32=1,VLOOKUP($B32,Outputs!$H:$L,3,FALSE),"")</f>
        <v/>
      </c>
      <c r="O32" s="107">
        <f>IF($A32=0,VLOOKUP($B32,Outputs!$H:$L,3,FALSE),"")</f>
        <v>41.176123424816417</v>
      </c>
      <c r="P32" s="107" t="str">
        <f>IF($A32=1,VLOOKUP($B32,Outputs!$N:$R,3,FALSE),"")</f>
        <v/>
      </c>
      <c r="Q32" s="107">
        <f ca="1">IF($A32=0,VLOOKUP($B32,Outputs!$N:$R,3,FALSE),"")</f>
        <v>38.862123482556569</v>
      </c>
    </row>
    <row r="33" spans="1:17">
      <c r="A33" s="397">
        <f>IF(VLOOKUP(B33,TOCA_current!$B$2:$AG$137,32,FALSE)=0,0,1)</f>
        <v>0</v>
      </c>
      <c r="B33" t="s">
        <v>92</v>
      </c>
      <c r="C33" s="107" t="str">
        <f>IF(A33=1,VLOOKUP($B33,Outputs!$B:$F,2,FALSE),"")</f>
        <v/>
      </c>
      <c r="D33" s="107">
        <f>IF(A33=0,VLOOKUP($B33,Outputs!$B:$F,2,FALSE),"")</f>
        <v>3.5615061836198558E-2</v>
      </c>
      <c r="E33" s="115"/>
      <c r="F33" s="116" t="str">
        <f>IF(A33=1,VLOOKUP($B33,Outputs!$H:$L,2,FALSE),"")</f>
        <v/>
      </c>
      <c r="G33" s="117">
        <f>IF(A33=0,VLOOKUP($B33,Outputs!$H:$L,2,FALSE),"")</f>
        <v>3.5615061836198558E-2</v>
      </c>
      <c r="J33" s="110">
        <f ca="1">VLOOKUP($B33,Outputs!$N:$R,2,FALSE)</f>
        <v>2.8099929830230103E-2</v>
      </c>
      <c r="K33" s="110">
        <f>+VLOOKUP(B33,Outputs!T:U,2,FALSE)</f>
        <v>-1.5814495053040334E-3</v>
      </c>
      <c r="L33" s="107" t="str">
        <f>IF($A33=1,VLOOKUP($B33,Outputs!$B:$F,3,FALSE),"")</f>
        <v/>
      </c>
      <c r="M33" s="107">
        <f>IF($A33=0,VLOOKUP($B33,Outputs!$B:$F,3,FALSE),"")</f>
        <v>32.359478815813702</v>
      </c>
      <c r="N33" s="107" t="str">
        <f>IF($A33=1,VLOOKUP($B33,Outputs!$H:$L,3,FALSE),"")</f>
        <v/>
      </c>
      <c r="O33" s="107">
        <f>IF($A33=0,VLOOKUP($B33,Outputs!$H:$L,3,FALSE),"")</f>
        <v>32.359478815813702</v>
      </c>
      <c r="P33" s="107" t="str">
        <f>IF($A33=1,VLOOKUP($B33,Outputs!$N:$R,3,FALSE),"")</f>
        <v/>
      </c>
      <c r="Q33" s="107">
        <f ca="1">IF($A33=0,VLOOKUP($B33,Outputs!$N:$R,3,FALSE),"")</f>
        <v>32.255489842252913</v>
      </c>
    </row>
    <row r="34" spans="1:17">
      <c r="A34" s="397">
        <f>IF(VLOOKUP(B34,TOCA_current!$B$2:$AG$137,32,FALSE)=0,0,1)</f>
        <v>0</v>
      </c>
      <c r="B34" t="s">
        <v>63</v>
      </c>
      <c r="C34" s="107" t="str">
        <f>IF(A34=1,VLOOKUP($B34,Outputs!$B:$F,2,FALSE),"")</f>
        <v/>
      </c>
      <c r="D34" s="107">
        <f>IF(A34=0,VLOOKUP($B34,Outputs!$B:$F,2,FALSE),"")</f>
        <v>4.3787764972972321E-2</v>
      </c>
      <c r="E34" s="115"/>
      <c r="F34" s="116" t="str">
        <f>IF(A34=1,VLOOKUP($B34,Outputs!$H:$L,2,FALSE),"")</f>
        <v/>
      </c>
      <c r="G34" s="117">
        <f>IF(A34=0,VLOOKUP($B34,Outputs!$H:$L,2,FALSE),"")</f>
        <v>4.3787764972972321E-2</v>
      </c>
      <c r="J34" s="110">
        <f ca="1">VLOOKUP($B34,Outputs!$N:$R,2,FALSE)</f>
        <v>4.2863133028096814E-2</v>
      </c>
      <c r="K34" s="110">
        <f>+VLOOKUP(B34,Outputs!T:U,2,FALSE)</f>
        <v>5.0562662368305311E-2</v>
      </c>
      <c r="L34" s="107" t="str">
        <f>IF($A34=1,VLOOKUP($B34,Outputs!$B:$F,3,FALSE),"")</f>
        <v/>
      </c>
      <c r="M34" s="107">
        <f>IF($A34=0,VLOOKUP($B34,Outputs!$B:$F,3,FALSE),"")</f>
        <v>38.545155872965537</v>
      </c>
      <c r="N34" s="107" t="str">
        <f>IF($A34=1,VLOOKUP($B34,Outputs!$H:$L,3,FALSE),"")</f>
        <v/>
      </c>
      <c r="O34" s="107">
        <f>IF($A34=0,VLOOKUP($B34,Outputs!$H:$L,3,FALSE),"")</f>
        <v>38.545155872965537</v>
      </c>
      <c r="P34" s="107" t="str">
        <f>IF($A34=1,VLOOKUP($B34,Outputs!$N:$R,3,FALSE),"")</f>
        <v/>
      </c>
      <c r="Q34" s="107">
        <f ca="1">IF($A34=0,VLOOKUP($B34,Outputs!$N:$R,3,FALSE),"")</f>
        <v>38.242295856900114</v>
      </c>
    </row>
    <row r="35" spans="1:17">
      <c r="A35" s="397">
        <f>IF(VLOOKUP(B35,TOCA_current!$B$2:$AG$137,32,FALSE)=0,0,1)</f>
        <v>0</v>
      </c>
      <c r="B35" t="s">
        <v>74</v>
      </c>
      <c r="C35" s="107" t="str">
        <f>IF(A35=1,VLOOKUP($B35,Outputs!$B:$F,2,FALSE),"")</f>
        <v/>
      </c>
      <c r="D35" s="107">
        <f>IF(A35=0,VLOOKUP($B35,Outputs!$B:$F,2,FALSE),"")</f>
        <v>4.9844720871603965E-2</v>
      </c>
      <c r="E35" s="115"/>
      <c r="F35" s="116" t="str">
        <f>IF(A35=1,VLOOKUP($B35,Outputs!$H:$L,2,FALSE),"")</f>
        <v/>
      </c>
      <c r="G35" s="117">
        <f>IF(A35=0,VLOOKUP($B35,Outputs!$H:$L,2,FALSE),"")</f>
        <v>4.9844720871603965E-2</v>
      </c>
      <c r="J35" s="110">
        <f ca="1">VLOOKUP($B35,Outputs!$N:$R,2,FALSE)</f>
        <v>3.9179336694748997E-2</v>
      </c>
      <c r="K35" s="110">
        <f>+VLOOKUP(B35,Outputs!T:U,2,FALSE)</f>
        <v>5.7122960183908722E-2</v>
      </c>
      <c r="L35" s="107" t="str">
        <f>IF($A35=1,VLOOKUP($B35,Outputs!$B:$F,3,FALSE),"")</f>
        <v/>
      </c>
      <c r="M35" s="107">
        <f>IF($A35=0,VLOOKUP($B35,Outputs!$B:$F,3,FALSE),"")</f>
        <v>36.29323555046134</v>
      </c>
      <c r="N35" s="107" t="str">
        <f>IF($A35=1,VLOOKUP($B35,Outputs!$H:$L,3,FALSE),"")</f>
        <v/>
      </c>
      <c r="O35" s="107">
        <f>IF($A35=0,VLOOKUP($B35,Outputs!$H:$L,3,FALSE),"")</f>
        <v>36.29323555046134</v>
      </c>
      <c r="P35" s="107" t="str">
        <f>IF($A35=1,VLOOKUP($B35,Outputs!$N:$R,3,FALSE),"")</f>
        <v/>
      </c>
      <c r="Q35" s="107">
        <f ca="1">IF($A35=0,VLOOKUP($B35,Outputs!$N:$R,3,FALSE),"")</f>
        <v>35.576735275785161</v>
      </c>
    </row>
    <row r="36" spans="1:17">
      <c r="A36" s="397">
        <f>IF(VLOOKUP(B36,TOCA_current!$B$2:$AG$137,32,FALSE)=0,0,1)</f>
        <v>0</v>
      </c>
      <c r="B36" t="s">
        <v>138</v>
      </c>
      <c r="C36" s="107" t="str">
        <f>IF(A36=1,VLOOKUP($B36,Outputs!$B:$F,2,FALSE),"")</f>
        <v/>
      </c>
      <c r="D36" s="107">
        <f>IF(A36=0,VLOOKUP($B36,Outputs!$B:$F,2,FALSE),"")</f>
        <v>4.9466121064649871E-2</v>
      </c>
      <c r="E36" s="115"/>
      <c r="F36" s="116" t="str">
        <f>IF(A36=1,VLOOKUP($B36,Outputs!$H:$L,2,FALSE),"")</f>
        <v/>
      </c>
      <c r="G36" s="117">
        <f>IF(A36=0,VLOOKUP($B36,Outputs!$H:$L,2,FALSE),"")</f>
        <v>4.9466121064649871E-2</v>
      </c>
      <c r="J36" s="110">
        <f ca="1">VLOOKUP($B36,Outputs!$N:$R,2,FALSE)</f>
        <v>4.3006866483401539E-2</v>
      </c>
      <c r="K36" s="110">
        <f>+VLOOKUP(B36,Outputs!T:U,2,FALSE)</f>
        <v>5.4124896725946225E-2</v>
      </c>
      <c r="L36" s="107" t="str">
        <f>IF($A36=1,VLOOKUP($B36,Outputs!$B:$F,3,FALSE),"")</f>
        <v/>
      </c>
      <c r="M36" s="107">
        <f>IF($A36=0,VLOOKUP($B36,Outputs!$B:$F,3,FALSE),"")</f>
        <v>37.355653012104426</v>
      </c>
      <c r="N36" s="107" t="str">
        <f>IF($A36=1,VLOOKUP($B36,Outputs!$H:$L,3,FALSE),"")</f>
        <v/>
      </c>
      <c r="O36" s="107">
        <f>IF($A36=0,VLOOKUP($B36,Outputs!$H:$L,3,FALSE),"")</f>
        <v>37.355653012104426</v>
      </c>
      <c r="P36" s="107" t="str">
        <f>IF($A36=1,VLOOKUP($B36,Outputs!$N:$R,3,FALSE),"")</f>
        <v/>
      </c>
      <c r="Q36" s="107">
        <f ca="1">IF($A36=0,VLOOKUP($B36,Outputs!$N:$R,3,FALSE),"")</f>
        <v>36.721048243403089</v>
      </c>
    </row>
    <row r="37" spans="1:17">
      <c r="A37" s="397">
        <f>IF(VLOOKUP(B37,TOCA_current!$B$2:$AG$137,32,FALSE)=0,0,1)</f>
        <v>0</v>
      </c>
      <c r="B37" t="s">
        <v>113</v>
      </c>
      <c r="C37" s="107" t="str">
        <f>IF(A37=1,VLOOKUP($B37,Outputs!$B:$F,2,FALSE),"")</f>
        <v/>
      </c>
      <c r="D37" s="107">
        <f>IF(A37=0,VLOOKUP($B37,Outputs!$B:$F,2,FALSE),"")</f>
        <v>2.9644206212160462E-2</v>
      </c>
      <c r="E37" s="115"/>
      <c r="F37" s="116" t="str">
        <f>IF(A37=1,VLOOKUP($B37,Outputs!$H:$L,2,FALSE),"")</f>
        <v/>
      </c>
      <c r="G37" s="117">
        <f>IF(A37=0,VLOOKUP($B37,Outputs!$H:$L,2,FALSE),"")</f>
        <v>2.9644206212160462E-2</v>
      </c>
      <c r="J37" s="110">
        <f ca="1">VLOOKUP($B37,Outputs!$N:$R,2,FALSE)</f>
        <v>4.8781240250259525E-2</v>
      </c>
      <c r="K37" s="110">
        <f>+VLOOKUP(B37,Outputs!T:U,2,FALSE)</f>
        <v>3.4392699616218048E-2</v>
      </c>
      <c r="L37" s="107" t="str">
        <f>IF($A37=1,VLOOKUP($B37,Outputs!$B:$F,3,FALSE),"")</f>
        <v/>
      </c>
      <c r="M37" s="107">
        <f>IF($A37=0,VLOOKUP($B37,Outputs!$B:$F,3,FALSE),"")</f>
        <v>31.093313548668796</v>
      </c>
      <c r="N37" s="107" t="str">
        <f>IF($A37=1,VLOOKUP($B37,Outputs!$H:$L,3,FALSE),"")</f>
        <v/>
      </c>
      <c r="O37" s="107">
        <f>IF($A37=0,VLOOKUP($B37,Outputs!$H:$L,3,FALSE),"")</f>
        <v>31.093313548668796</v>
      </c>
      <c r="P37" s="107" t="str">
        <f>IF($A37=1,VLOOKUP($B37,Outputs!$N:$R,3,FALSE),"")</f>
        <v/>
      </c>
      <c r="Q37" s="107">
        <f ca="1">IF($A37=0,VLOOKUP($B37,Outputs!$N:$R,3,FALSE),"")</f>
        <v>32.272429349535308</v>
      </c>
    </row>
    <row r="38" spans="1:17">
      <c r="A38" s="397">
        <f>IF(VLOOKUP(B38,TOCA_current!$B$2:$AG$137,32,FALSE)=0,0,1)</f>
        <v>0</v>
      </c>
      <c r="B38" t="s">
        <v>33</v>
      </c>
      <c r="C38" s="107" t="str">
        <f>IF(A38=1,VLOOKUP($B38,Outputs!$B:$F,2,FALSE),"")</f>
        <v/>
      </c>
      <c r="D38" s="107">
        <f>IF(A38=0,VLOOKUP($B38,Outputs!$B:$F,2,FALSE),"")</f>
        <v>4.9642291876446309E-2</v>
      </c>
      <c r="E38" s="115"/>
      <c r="F38" s="116" t="str">
        <f>IF(A38=1,VLOOKUP($B38,Outputs!$H:$L,2,FALSE),"")</f>
        <v/>
      </c>
      <c r="G38" s="117">
        <f>IF(A38=0,VLOOKUP($B38,Outputs!$H:$L,2,FALSE),"")</f>
        <v>4.9642291876446309E-2</v>
      </c>
      <c r="J38" s="110">
        <f ca="1">VLOOKUP($B38,Outputs!$N:$R,2,FALSE)</f>
        <v>4.2439895399423583E-2</v>
      </c>
      <c r="K38" s="110">
        <f>+VLOOKUP(B38,Outputs!T:U,2,FALSE)</f>
        <v>5.2199862674715103E-2</v>
      </c>
      <c r="L38" s="107" t="str">
        <f>IF($A38=1,VLOOKUP($B38,Outputs!$B:$F,3,FALSE),"")</f>
        <v/>
      </c>
      <c r="M38" s="107">
        <f>IF($A38=0,VLOOKUP($B38,Outputs!$B:$F,3,FALSE),"")</f>
        <v>38.274892709200444</v>
      </c>
      <c r="N38" s="107" t="str">
        <f>IF($A38=1,VLOOKUP($B38,Outputs!$H:$L,3,FALSE),"")</f>
        <v/>
      </c>
      <c r="O38" s="107">
        <f>IF($A38=0,VLOOKUP($B38,Outputs!$H:$L,3,FALSE),"")</f>
        <v>38.274892709200444</v>
      </c>
      <c r="P38" s="107" t="str">
        <f>IF($A38=1,VLOOKUP($B38,Outputs!$N:$R,3,FALSE),"")</f>
        <v/>
      </c>
      <c r="Q38" s="107">
        <f ca="1">IF($A38=0,VLOOKUP($B38,Outputs!$N:$R,3,FALSE),"")</f>
        <v>37.58412889875531</v>
      </c>
    </row>
    <row r="39" spans="1:17">
      <c r="A39" s="397">
        <f>IF(VLOOKUP(B39,TOCA_current!$B$2:$AG$137,32,FALSE)=0,0,1)</f>
        <v>0</v>
      </c>
      <c r="B39" t="s">
        <v>18</v>
      </c>
      <c r="C39" s="107" t="str">
        <f>IF(A39=1,VLOOKUP($B39,Outputs!$B:$F,2,FALSE),"")</f>
        <v/>
      </c>
      <c r="D39" s="107">
        <f>IF(A39=0,VLOOKUP($B39,Outputs!$B:$F,2,FALSE),"")</f>
        <v>5.1290126885538356E-2</v>
      </c>
      <c r="E39" s="115"/>
      <c r="F39" s="116" t="str">
        <f>IF(A39=1,VLOOKUP($B39,Outputs!$H:$L,2,FALSE),"")</f>
        <v/>
      </c>
      <c r="G39" s="117">
        <f>IF(A39=0,VLOOKUP($B39,Outputs!$H:$L,2,FALSE),"")</f>
        <v>5.1290126885538356E-2</v>
      </c>
      <c r="J39" s="110">
        <f ca="1">VLOOKUP($B39,Outputs!$N:$R,2,FALSE)</f>
        <v>4.4957498670859235E-2</v>
      </c>
      <c r="K39" s="110">
        <f>+VLOOKUP(B39,Outputs!T:U,2,FALSE)</f>
        <v>5.4371423578624345E-2</v>
      </c>
      <c r="L39" s="107" t="str">
        <f>IF($A39=1,VLOOKUP($B39,Outputs!$B:$F,3,FALSE),"")</f>
        <v/>
      </c>
      <c r="M39" s="107">
        <f>IF($A39=0,VLOOKUP($B39,Outputs!$B:$F,3,FALSE),"")</f>
        <v>38.621884713034703</v>
      </c>
      <c r="N39" s="107" t="str">
        <f>IF($A39=1,VLOOKUP($B39,Outputs!$H:$L,3,FALSE),"")</f>
        <v/>
      </c>
      <c r="O39" s="107">
        <f>IF($A39=0,VLOOKUP($B39,Outputs!$H:$L,3,FALSE),"")</f>
        <v>38.621884713034703</v>
      </c>
      <c r="P39" s="107" t="str">
        <f>IF($A39=1,VLOOKUP($B39,Outputs!$N:$R,3,FALSE),"")</f>
        <v/>
      </c>
      <c r="Q39" s="107">
        <f ca="1">IF($A39=0,VLOOKUP($B39,Outputs!$N:$R,3,FALSE),"")</f>
        <v>38.051666225020298</v>
      </c>
    </row>
    <row r="40" spans="1:17">
      <c r="A40" s="397">
        <f>IF(VLOOKUP(B40,TOCA_current!$B$2:$AG$137,32,FALSE)=0,0,1)</f>
        <v>0</v>
      </c>
      <c r="B40" t="s">
        <v>36</v>
      </c>
      <c r="C40" s="107" t="str">
        <f>IF(A40=1,VLOOKUP($B40,Outputs!$B:$F,2,FALSE),"")</f>
        <v/>
      </c>
      <c r="D40" s="107">
        <f>IF(A40=0,VLOOKUP($B40,Outputs!$B:$F,2,FALSE),"")</f>
        <v>5.1180350222315596E-2</v>
      </c>
      <c r="E40" s="115"/>
      <c r="F40" s="116" t="str">
        <f>IF(A40=1,VLOOKUP($B40,Outputs!$H:$L,2,FALSE),"")</f>
        <v/>
      </c>
      <c r="G40" s="117">
        <f>IF(A40=0,VLOOKUP($B40,Outputs!$H:$L,2,FALSE),"")</f>
        <v>5.1180350222315596E-2</v>
      </c>
      <c r="J40" s="110">
        <f ca="1">VLOOKUP($B40,Outputs!$N:$R,2,FALSE)</f>
        <v>4.2540644117066387E-2</v>
      </c>
      <c r="K40" s="110">
        <f>+VLOOKUP(B40,Outputs!T:U,2,FALSE)</f>
        <v>6.0673643935742705E-2</v>
      </c>
      <c r="L40" s="107" t="str">
        <f>IF($A40=1,VLOOKUP($B40,Outputs!$B:$F,3,FALSE),"")</f>
        <v/>
      </c>
      <c r="M40" s="107">
        <f>IF($A40=0,VLOOKUP($B40,Outputs!$B:$F,3,FALSE),"")</f>
        <v>38.419150523544708</v>
      </c>
      <c r="N40" s="107" t="str">
        <f>IF($A40=1,VLOOKUP($B40,Outputs!$H:$L,3,FALSE),"")</f>
        <v/>
      </c>
      <c r="O40" s="107">
        <f>IF($A40=0,VLOOKUP($B40,Outputs!$H:$L,3,FALSE),"")</f>
        <v>38.419150523544708</v>
      </c>
      <c r="P40" s="107" t="str">
        <f>IF($A40=1,VLOOKUP($B40,Outputs!$N:$R,3,FALSE),"")</f>
        <v/>
      </c>
      <c r="Q40" s="107">
        <f ca="1">IF($A40=0,VLOOKUP($B40,Outputs!$N:$R,3,FALSE),"")</f>
        <v>37.771517752193965</v>
      </c>
    </row>
    <row r="41" spans="1:17">
      <c r="A41" s="397">
        <f>IF(VLOOKUP(B41,TOCA_current!$B$2:$AG$137,32,FALSE)=0,0,1)</f>
        <v>0</v>
      </c>
      <c r="B41" t="s">
        <v>19</v>
      </c>
      <c r="C41" s="107" t="str">
        <f>IF(A41=1,VLOOKUP($B41,Outputs!$B:$F,2,FALSE),"")</f>
        <v/>
      </c>
      <c r="D41" s="107">
        <f>IF(A41=0,VLOOKUP($B41,Outputs!$B:$F,2,FALSE),"")</f>
        <v>4.9464773453938626E-2</v>
      </c>
      <c r="E41" s="115"/>
      <c r="F41" s="116" t="str">
        <f>IF(A41=1,VLOOKUP($B41,Outputs!$H:$L,2,FALSE),"")</f>
        <v/>
      </c>
      <c r="G41" s="117">
        <f>IF(A41=0,VLOOKUP($B41,Outputs!$H:$L,2,FALSE),"")</f>
        <v>4.9464773453938626E-2</v>
      </c>
      <c r="J41" s="110">
        <f ca="1">VLOOKUP($B41,Outputs!$N:$R,2,FALSE)</f>
        <v>4.3100317518482714E-2</v>
      </c>
      <c r="K41" s="110">
        <f>+VLOOKUP(B41,Outputs!T:U,2,FALSE)</f>
        <v>6.9842564741644075E-2</v>
      </c>
      <c r="L41" s="107" t="str">
        <f>IF($A41=1,VLOOKUP($B41,Outputs!$B:$F,3,FALSE),"")</f>
        <v/>
      </c>
      <c r="M41" s="107">
        <f>IF($A41=0,VLOOKUP($B41,Outputs!$B:$F,3,FALSE),"")</f>
        <v>38.019623023156889</v>
      </c>
      <c r="N41" s="107" t="str">
        <f>IF($A41=1,VLOOKUP($B41,Outputs!$H:$L,3,FALSE),"")</f>
        <v/>
      </c>
      <c r="O41" s="107">
        <f>IF($A41=0,VLOOKUP($B41,Outputs!$H:$L,3,FALSE),"")</f>
        <v>38.019623023156889</v>
      </c>
      <c r="P41" s="107" t="str">
        <f>IF($A41=1,VLOOKUP($B41,Outputs!$N:$R,3,FALSE),"")</f>
        <v/>
      </c>
      <c r="Q41" s="107">
        <f ca="1">IF($A41=0,VLOOKUP($B41,Outputs!$N:$R,3,FALSE),"")</f>
        <v>37.593384949472004</v>
      </c>
    </row>
    <row r="42" spans="1:17">
      <c r="A42" s="397">
        <f>IF(VLOOKUP(B42,TOCA_current!$B$2:$AG$137,32,FALSE)=0,0,1)</f>
        <v>0</v>
      </c>
      <c r="B42" t="s">
        <v>86</v>
      </c>
      <c r="C42" s="107" t="str">
        <f>IF(A42=1,VLOOKUP($B42,Outputs!$B:$F,2,FALSE),"")</f>
        <v/>
      </c>
      <c r="D42" s="107">
        <f>IF(A42=0,VLOOKUP($B42,Outputs!$B:$F,2,FALSE),"")</f>
        <v>5.8293123052621798E-2</v>
      </c>
      <c r="E42" s="115"/>
      <c r="F42" s="116" t="str">
        <f>IF(A42=1,VLOOKUP($B42,Outputs!$H:$L,2,FALSE),"")</f>
        <v/>
      </c>
      <c r="G42" s="117">
        <f>IF(A42=0,VLOOKUP($B42,Outputs!$H:$L,2,FALSE),"")</f>
        <v>5.8293123052621798E-2</v>
      </c>
      <c r="J42" s="110">
        <f ca="1">VLOOKUP($B42,Outputs!$N:$R,2,FALSE)</f>
        <v>4.7596038524862667E-2</v>
      </c>
      <c r="K42" s="110">
        <f>+VLOOKUP(B42,Outputs!T:U,2,FALSE)</f>
        <v>4.7422579675368892E-2</v>
      </c>
      <c r="L42" s="107" t="str">
        <f>IF($A42=1,VLOOKUP($B42,Outputs!$B:$F,3,FALSE),"")</f>
        <v/>
      </c>
      <c r="M42" s="107">
        <f>IF($A42=0,VLOOKUP($B42,Outputs!$B:$F,3,FALSE),"")</f>
        <v>35.998961608225862</v>
      </c>
      <c r="N42" s="107" t="str">
        <f>IF($A42=1,VLOOKUP($B42,Outputs!$H:$L,3,FALSE),"")</f>
        <v/>
      </c>
      <c r="O42" s="107">
        <f>IF($A42=0,VLOOKUP($B42,Outputs!$H:$L,3,FALSE),"")</f>
        <v>35.998961608225862</v>
      </c>
      <c r="P42" s="107" t="str">
        <f>IF($A42=1,VLOOKUP($B42,Outputs!$N:$R,3,FALSE),"")</f>
        <v/>
      </c>
      <c r="Q42" s="107">
        <f ca="1">IF($A42=0,VLOOKUP($B42,Outputs!$N:$R,3,FALSE),"")</f>
        <v>35.296389052349532</v>
      </c>
    </row>
    <row r="43" spans="1:17">
      <c r="A43" s="397">
        <f>IF(VLOOKUP(B43,TOCA_current!$B$2:$AG$137,32,FALSE)=0,0,1)</f>
        <v>0</v>
      </c>
      <c r="B43" t="s">
        <v>40</v>
      </c>
      <c r="C43" s="107" t="str">
        <f>IF(A43=1,VLOOKUP($B43,Outputs!$B:$F,2,FALSE),"")</f>
        <v/>
      </c>
      <c r="D43" s="107">
        <f>IF(A43=0,VLOOKUP($B43,Outputs!$B:$F,2,FALSE),"")</f>
        <v>4.9500477881759153E-2</v>
      </c>
      <c r="E43" s="115"/>
      <c r="F43" s="116" t="str">
        <f>IF(A43=1,VLOOKUP($B43,Outputs!$H:$L,2,FALSE),"")</f>
        <v/>
      </c>
      <c r="G43" s="117">
        <f>IF(A43=0,VLOOKUP($B43,Outputs!$H:$L,2,FALSE),"")</f>
        <v>4.9500477881759153E-2</v>
      </c>
      <c r="J43" s="110">
        <f ca="1">VLOOKUP($B43,Outputs!$N:$R,2,FALSE)</f>
        <v>4.1345382871131334E-2</v>
      </c>
      <c r="K43" s="110">
        <f>+VLOOKUP(B43,Outputs!T:U,2,FALSE)</f>
        <v>8.3087771514488429E-2</v>
      </c>
      <c r="L43" s="107" t="str">
        <f>IF($A43=1,VLOOKUP($B43,Outputs!$B:$F,3,FALSE),"")</f>
        <v/>
      </c>
      <c r="M43" s="107">
        <f>IF($A43=0,VLOOKUP($B43,Outputs!$B:$F,3,FALSE),"")</f>
        <v>38.923392656178429</v>
      </c>
      <c r="N43" s="107" t="str">
        <f>IF($A43=1,VLOOKUP($B43,Outputs!$H:$L,3,FALSE),"")</f>
        <v/>
      </c>
      <c r="O43" s="107">
        <f>IF($A43=0,VLOOKUP($B43,Outputs!$H:$L,3,FALSE),"")</f>
        <v>38.923392656178429</v>
      </c>
      <c r="P43" s="107" t="str">
        <f>IF($A43=1,VLOOKUP($B43,Outputs!$N:$R,3,FALSE),"")</f>
        <v/>
      </c>
      <c r="Q43" s="107">
        <f ca="1">IF($A43=0,VLOOKUP($B43,Outputs!$N:$R,3,FALSE),"")</f>
        <v>38.352601351612577</v>
      </c>
    </row>
    <row r="44" spans="1:17">
      <c r="A44" s="397">
        <f>IF(VLOOKUP(B44,TOCA_current!$B$2:$AG$137,32,FALSE)=0,0,1)</f>
        <v>0</v>
      </c>
      <c r="B44" t="s">
        <v>84</v>
      </c>
      <c r="C44" s="107" t="str">
        <f>IF(A44=1,VLOOKUP($B44,Outputs!$B:$F,2,FALSE),"")</f>
        <v/>
      </c>
      <c r="D44" s="107">
        <f>IF(A44=0,VLOOKUP($B44,Outputs!$B:$F,2,FALSE),"")</f>
        <v>2.7722223863294371E-2</v>
      </c>
      <c r="E44" s="115"/>
      <c r="F44" s="116" t="str">
        <f>IF(A44=1,VLOOKUP($B44,Outputs!$H:$L,2,FALSE),"")</f>
        <v/>
      </c>
      <c r="G44" s="117">
        <f>IF(A44=0,VLOOKUP($B44,Outputs!$H:$L,2,FALSE),"")</f>
        <v>2.7722223863294371E-2</v>
      </c>
      <c r="J44" s="110">
        <f ca="1">VLOOKUP($B44,Outputs!$N:$R,2,FALSE)</f>
        <v>4.5487139102331396E-2</v>
      </c>
      <c r="K44" s="110">
        <f>+VLOOKUP(B44,Outputs!T:U,2,FALSE)</f>
        <v>4.6815304700363658E-2</v>
      </c>
      <c r="L44" s="107" t="str">
        <f>IF($A44=1,VLOOKUP($B44,Outputs!$B:$F,3,FALSE),"")</f>
        <v/>
      </c>
      <c r="M44" s="107">
        <f>IF($A44=0,VLOOKUP($B44,Outputs!$B:$F,3,FALSE),"")</f>
        <v>29.164964288318156</v>
      </c>
      <c r="N44" s="107" t="str">
        <f>IF($A44=1,VLOOKUP($B44,Outputs!$H:$L,3,FALSE),"")</f>
        <v/>
      </c>
      <c r="O44" s="107">
        <f>IF($A44=0,VLOOKUP($B44,Outputs!$H:$L,3,FALSE),"")</f>
        <v>29.164964288318156</v>
      </c>
      <c r="P44" s="107" t="str">
        <f>IF($A44=1,VLOOKUP($B44,Outputs!$N:$R,3,FALSE),"")</f>
        <v/>
      </c>
      <c r="Q44" s="107">
        <f ca="1">IF($A44=0,VLOOKUP($B44,Outputs!$N:$R,3,FALSE),"")</f>
        <v>30.133428769608059</v>
      </c>
    </row>
    <row r="45" spans="1:17">
      <c r="A45" s="397">
        <f>IF(VLOOKUP(B45,TOCA_current!$B$2:$AG$137,32,FALSE)=0,0,1)</f>
        <v>0</v>
      </c>
      <c r="B45" t="s">
        <v>77</v>
      </c>
      <c r="C45" s="107" t="str">
        <f>IF(A45=1,VLOOKUP($B45,Outputs!$B:$F,2,FALSE),"")</f>
        <v/>
      </c>
      <c r="D45" s="107">
        <f>IF(A45=0,VLOOKUP($B45,Outputs!$B:$F,2,FALSE),"")</f>
        <v>5.3725946259070456E-2</v>
      </c>
      <c r="E45" s="115"/>
      <c r="F45" s="116" t="str">
        <f>IF(A45=1,VLOOKUP($B45,Outputs!$H:$L,2,FALSE),"")</f>
        <v/>
      </c>
      <c r="G45" s="117">
        <f>IF(A45=0,VLOOKUP($B45,Outputs!$H:$L,2,FALSE),"")</f>
        <v>5.3725946259070456E-2</v>
      </c>
      <c r="J45" s="110">
        <f ca="1">VLOOKUP($B45,Outputs!$N:$R,2,FALSE)</f>
        <v>4.4367246524456963E-2</v>
      </c>
      <c r="K45" s="110">
        <f>+VLOOKUP(B45,Outputs!T:U,2,FALSE)</f>
        <v>0.11844584286819959</v>
      </c>
      <c r="L45" s="107" t="str">
        <f>IF($A45=1,VLOOKUP($B45,Outputs!$B:$F,3,FALSE),"")</f>
        <v/>
      </c>
      <c r="M45" s="107">
        <f>IF($A45=0,VLOOKUP($B45,Outputs!$B:$F,3,FALSE),"")</f>
        <v>37.167483774397041</v>
      </c>
      <c r="N45" s="107" t="str">
        <f>IF($A45=1,VLOOKUP($B45,Outputs!$H:$L,3,FALSE),"")</f>
        <v/>
      </c>
      <c r="O45" s="107">
        <f>IF($A45=0,VLOOKUP($B45,Outputs!$H:$L,3,FALSE),"")</f>
        <v>37.167483774397041</v>
      </c>
      <c r="P45" s="107" t="str">
        <f>IF($A45=1,VLOOKUP($B45,Outputs!$N:$R,3,FALSE),"")</f>
        <v/>
      </c>
      <c r="Q45" s="107">
        <f ca="1">IF($A45=0,VLOOKUP($B45,Outputs!$N:$R,3,FALSE),"")</f>
        <v>36.50235058689902</v>
      </c>
    </row>
    <row r="46" spans="1:17">
      <c r="A46" s="397">
        <f>IF(VLOOKUP(B46,TOCA_current!$B$2:$AG$137,32,FALSE)=0,0,1)</f>
        <v>0</v>
      </c>
      <c r="B46" t="s">
        <v>135</v>
      </c>
      <c r="C46" s="107" t="str">
        <f>IF(A46=1,VLOOKUP($B46,Outputs!$B:$F,2,FALSE),"")</f>
        <v/>
      </c>
      <c r="D46" s="107">
        <f>IF(A46=0,VLOOKUP($B46,Outputs!$B:$F,2,FALSE),"")</f>
        <v>-4.2533240043217235E-2</v>
      </c>
      <c r="E46" s="115"/>
      <c r="F46" s="116" t="str">
        <f>IF(A46=1,VLOOKUP($B46,Outputs!$H:$L,2,FALSE),"")</f>
        <v/>
      </c>
      <c r="G46" s="117">
        <f>IF(A46=0,VLOOKUP($B46,Outputs!$H:$L,2,FALSE),"")</f>
        <v>-4.2533240043217235E-2</v>
      </c>
      <c r="J46" s="110">
        <f ca="1">VLOOKUP($B46,Outputs!$N:$R,2,FALSE)</f>
        <v>-3.0602465447891174E-2</v>
      </c>
      <c r="K46" s="110">
        <f>+VLOOKUP(B46,Outputs!T:U,2,FALSE)</f>
        <v>1.023496874402996E-2</v>
      </c>
      <c r="L46" s="107" t="str">
        <f>IF($A46=1,VLOOKUP($B46,Outputs!$B:$F,3,FALSE),"")</f>
        <v/>
      </c>
      <c r="M46" s="107">
        <f>IF($A46=0,VLOOKUP($B46,Outputs!$B:$F,3,FALSE),"")</f>
        <v>34.62928551948464</v>
      </c>
      <c r="N46" s="107" t="str">
        <f>IF($A46=1,VLOOKUP($B46,Outputs!$H:$L,3,FALSE),"")</f>
        <v/>
      </c>
      <c r="O46" s="107">
        <f>IF($A46=0,VLOOKUP($B46,Outputs!$H:$L,3,FALSE),"")</f>
        <v>34.62928551948464</v>
      </c>
      <c r="P46" s="107" t="str">
        <f>IF($A46=1,VLOOKUP($B46,Outputs!$N:$R,3,FALSE),"")</f>
        <v/>
      </c>
      <c r="Q46" s="107">
        <f ca="1">IF($A46=0,VLOOKUP($B46,Outputs!$N:$R,3,FALSE),"")</f>
        <v>34.779081361851269</v>
      </c>
    </row>
    <row r="47" spans="1:17">
      <c r="A47" s="397">
        <f>IF(VLOOKUP(B47,TOCA_current!$B$2:$AG$137,32,FALSE)=0,0,1)</f>
        <v>0</v>
      </c>
      <c r="B47" t="s">
        <v>34</v>
      </c>
      <c r="C47" s="107" t="str">
        <f>IF(A47=1,VLOOKUP($B47,Outputs!$B:$F,2,FALSE),"")</f>
        <v/>
      </c>
      <c r="D47" s="107">
        <f>IF(A47=0,VLOOKUP($B47,Outputs!$B:$F,2,FALSE),"")</f>
        <v>5.3828992145806609E-2</v>
      </c>
      <c r="E47" s="115"/>
      <c r="F47" s="116" t="str">
        <f>IF(A47=1,VLOOKUP($B47,Outputs!$H:$L,2,FALSE),"")</f>
        <v/>
      </c>
      <c r="G47" s="117">
        <f>IF(A47=0,VLOOKUP($B47,Outputs!$H:$L,2,FALSE),"")</f>
        <v>5.3828992145806609E-2</v>
      </c>
      <c r="J47" s="110">
        <f ca="1">VLOOKUP($B47,Outputs!$N:$R,2,FALSE)</f>
        <v>4.4112462287826781E-2</v>
      </c>
      <c r="K47" s="110">
        <f>+VLOOKUP(B47,Outputs!T:U,2,FALSE)</f>
        <v>7.0763769290874023E-2</v>
      </c>
      <c r="L47" s="107" t="str">
        <f>IF($A47=1,VLOOKUP($B47,Outputs!$B:$F,3,FALSE),"")</f>
        <v/>
      </c>
      <c r="M47" s="107">
        <f>IF($A47=0,VLOOKUP($B47,Outputs!$B:$F,3,FALSE),"")</f>
        <v>39.373381419180632</v>
      </c>
      <c r="N47" s="107" t="str">
        <f>IF($A47=1,VLOOKUP($B47,Outputs!$H:$L,3,FALSE),"")</f>
        <v/>
      </c>
      <c r="O47" s="107">
        <f>IF($A47=0,VLOOKUP($B47,Outputs!$H:$L,3,FALSE),"")</f>
        <v>39.373381419180632</v>
      </c>
      <c r="P47" s="107" t="str">
        <f>IF($A47=1,VLOOKUP($B47,Outputs!$N:$R,3,FALSE),"")</f>
        <v/>
      </c>
      <c r="Q47" s="107">
        <f ca="1">IF($A47=0,VLOOKUP($B47,Outputs!$N:$R,3,FALSE),"")</f>
        <v>38.231276838399204</v>
      </c>
    </row>
    <row r="48" spans="1:17">
      <c r="A48" s="397">
        <f>IF(VLOOKUP(B48,TOCA_current!$B$2:$AG$137,32,FALSE)=0,0,1)</f>
        <v>0</v>
      </c>
      <c r="B48" t="s">
        <v>95</v>
      </c>
      <c r="C48" s="107" t="str">
        <f>IF(A48=1,VLOOKUP($B48,Outputs!$B:$F,2,FALSE),"")</f>
        <v/>
      </c>
      <c r="D48" s="107">
        <f>IF(A48=0,VLOOKUP($B48,Outputs!$B:$F,2,FALSE),"")</f>
        <v>5.6945470749116156E-2</v>
      </c>
      <c r="E48" s="115"/>
      <c r="F48" s="116" t="str">
        <f>IF(A48=1,VLOOKUP($B48,Outputs!$H:$L,2,FALSE),"")</f>
        <v/>
      </c>
      <c r="G48" s="117">
        <f>IF(A48=0,VLOOKUP($B48,Outputs!$H:$L,2,FALSE),"")</f>
        <v>5.6945470749116156E-2</v>
      </c>
      <c r="J48" s="110">
        <f ca="1">VLOOKUP($B48,Outputs!$N:$R,2,FALSE)</f>
        <v>4.4793767999481239E-2</v>
      </c>
      <c r="K48" s="110">
        <f>+VLOOKUP(B48,Outputs!T:U,2,FALSE)</f>
        <v>6.4344251813559294E-2</v>
      </c>
      <c r="L48" s="107" t="str">
        <f>IF($A48=1,VLOOKUP($B48,Outputs!$B:$F,3,FALSE),"")</f>
        <v/>
      </c>
      <c r="M48" s="107">
        <f>IF($A48=0,VLOOKUP($B48,Outputs!$B:$F,3,FALSE),"")</f>
        <v>36.709348038615317</v>
      </c>
      <c r="N48" s="107" t="str">
        <f>IF($A48=1,VLOOKUP($B48,Outputs!$H:$L,3,FALSE),"")</f>
        <v/>
      </c>
      <c r="O48" s="107">
        <f>IF($A48=0,VLOOKUP($B48,Outputs!$H:$L,3,FALSE),"")</f>
        <v>36.709348038615317</v>
      </c>
      <c r="P48" s="107" t="str">
        <f>IF($A48=1,VLOOKUP($B48,Outputs!$N:$R,3,FALSE),"")</f>
        <v/>
      </c>
      <c r="Q48" s="107">
        <f ca="1">IF($A48=0,VLOOKUP($B48,Outputs!$N:$R,3,FALSE),"")</f>
        <v>35.998777462605005</v>
      </c>
    </row>
    <row r="49" spans="1:17">
      <c r="A49" s="397">
        <f>IF(VLOOKUP(B49,TOCA_current!$B$2:$AG$137,32,FALSE)=0,0,1)</f>
        <v>0</v>
      </c>
      <c r="B49" t="s">
        <v>117</v>
      </c>
      <c r="C49" s="107" t="str">
        <f>IF(A49=1,VLOOKUP($B49,Outputs!$B:$F,2,FALSE),"")</f>
        <v/>
      </c>
      <c r="D49" s="107">
        <f>IF(A49=0,VLOOKUP($B49,Outputs!$B:$F,2,FALSE),"")</f>
        <v>4.981663136809833E-2</v>
      </c>
      <c r="E49" s="115"/>
      <c r="F49" s="116" t="str">
        <f>IF(A49=1,VLOOKUP($B49,Outputs!$H:$L,2,FALSE),"")</f>
        <v/>
      </c>
      <c r="G49" s="117">
        <f>IF(A49=0,VLOOKUP($B49,Outputs!$H:$L,2,FALSE),"")</f>
        <v>4.981663136809833E-2</v>
      </c>
      <c r="J49" s="110">
        <f ca="1">VLOOKUP($B49,Outputs!$N:$R,2,FALSE)</f>
        <v>4.5209596893748608E-2</v>
      </c>
      <c r="K49" s="110">
        <f>+VLOOKUP(B49,Outputs!T:U,2,FALSE)</f>
        <v>9.1704808537112825E-2</v>
      </c>
      <c r="L49" s="107" t="str">
        <f>IF($A49=1,VLOOKUP($B49,Outputs!$B:$F,3,FALSE),"")</f>
        <v/>
      </c>
      <c r="M49" s="107">
        <f>IF($A49=0,VLOOKUP($B49,Outputs!$B:$F,3,FALSE),"")</f>
        <v>38.184379006048957</v>
      </c>
      <c r="N49" s="107" t="str">
        <f>IF($A49=1,VLOOKUP($B49,Outputs!$H:$L,3,FALSE),"")</f>
        <v/>
      </c>
      <c r="O49" s="107">
        <f>IF($A49=0,VLOOKUP($B49,Outputs!$H:$L,3,FALSE),"")</f>
        <v>38.184379006048957</v>
      </c>
      <c r="P49" s="107" t="str">
        <f>IF($A49=1,VLOOKUP($B49,Outputs!$N:$R,3,FALSE),"")</f>
        <v/>
      </c>
      <c r="Q49" s="107">
        <f ca="1">IF($A49=0,VLOOKUP($B49,Outputs!$N:$R,3,FALSE),"")</f>
        <v>37.210951768614123</v>
      </c>
    </row>
    <row r="50" spans="1:17">
      <c r="A50" s="397">
        <f>IF(VLOOKUP(B50,TOCA_current!$B$2:$AG$137,32,FALSE)=0,0,1)</f>
        <v>0</v>
      </c>
      <c r="B50" t="s">
        <v>66</v>
      </c>
      <c r="C50" s="107" t="str">
        <f>IF(A50=1,VLOOKUP($B50,Outputs!$B:$F,2,FALSE),"")</f>
        <v/>
      </c>
      <c r="D50" s="107">
        <f>IF(A50=0,VLOOKUP($B50,Outputs!$B:$F,2,FALSE),"")</f>
        <v>6.1105709266038755E-2</v>
      </c>
      <c r="E50" s="115"/>
      <c r="F50" s="116" t="str">
        <f>IF(A50=1,VLOOKUP($B50,Outputs!$H:$L,2,FALSE),"")</f>
        <v/>
      </c>
      <c r="G50" s="117">
        <f>IF(A50=0,VLOOKUP($B50,Outputs!$H:$L,2,FALSE),"")</f>
        <v>6.1105709266038755E-2</v>
      </c>
      <c r="J50" s="110">
        <f ca="1">VLOOKUP($B50,Outputs!$N:$R,2,FALSE)</f>
        <v>5.3986205938941205E-2</v>
      </c>
      <c r="K50" s="110">
        <f>+VLOOKUP(B50,Outputs!T:U,2,FALSE)</f>
        <v>6.2080213377076809E-2</v>
      </c>
      <c r="L50" s="107" t="str">
        <f>IF($A50=1,VLOOKUP($B50,Outputs!$B:$F,3,FALSE),"")</f>
        <v/>
      </c>
      <c r="M50" s="107">
        <f>IF($A50=0,VLOOKUP($B50,Outputs!$B:$F,3,FALSE),"")</f>
        <v>35.013926110994703</v>
      </c>
      <c r="N50" s="107" t="str">
        <f>IF($A50=1,VLOOKUP($B50,Outputs!$H:$L,3,FALSE),"")</f>
        <v/>
      </c>
      <c r="O50" s="107">
        <f>IF($A50=0,VLOOKUP($B50,Outputs!$H:$L,3,FALSE),"")</f>
        <v>35.013926110994703</v>
      </c>
      <c r="P50" s="107" t="str">
        <f>IF($A50=1,VLOOKUP($B50,Outputs!$N:$R,3,FALSE),"")</f>
        <v/>
      </c>
      <c r="Q50" s="107">
        <f ca="1">IF($A50=0,VLOOKUP($B50,Outputs!$N:$R,3,FALSE),"")</f>
        <v>34.402307702158716</v>
      </c>
    </row>
    <row r="51" spans="1:17">
      <c r="A51" s="397">
        <f>IF(VLOOKUP(B51,TOCA_current!$B$2:$AG$137,32,FALSE)=0,0,1)</f>
        <v>0</v>
      </c>
      <c r="B51" t="s">
        <v>48</v>
      </c>
      <c r="C51" s="107" t="str">
        <f>IF(A51=1,VLOOKUP($B51,Outputs!$B:$F,2,FALSE),"")</f>
        <v/>
      </c>
      <c r="D51" s="107">
        <f>IF(A51=0,VLOOKUP($B51,Outputs!$B:$F,2,FALSE),"")</f>
        <v>6.8353165663822768E-2</v>
      </c>
      <c r="E51" s="115"/>
      <c r="F51" s="116" t="str">
        <f>IF(A51=1,VLOOKUP($B51,Outputs!$H:$L,2,FALSE),"")</f>
        <v/>
      </c>
      <c r="G51" s="117">
        <f>IF(A51=0,VLOOKUP($B51,Outputs!$H:$L,2,FALSE),"")</f>
        <v>6.8353165663822768E-2</v>
      </c>
      <c r="J51" s="110">
        <f ca="1">VLOOKUP($B51,Outputs!$N:$R,2,FALSE)</f>
        <v>3.2369405514871358E-2</v>
      </c>
      <c r="K51" s="110">
        <f>+VLOOKUP(B51,Outputs!T:U,2,FALSE)</f>
        <v>0.1501262154738483</v>
      </c>
      <c r="L51" s="107" t="str">
        <f>IF($A51=1,VLOOKUP($B51,Outputs!$B:$F,3,FALSE),"")</f>
        <v/>
      </c>
      <c r="M51" s="107">
        <f>IF($A51=0,VLOOKUP($B51,Outputs!$B:$F,3,FALSE),"")</f>
        <v>34.438562178965171</v>
      </c>
      <c r="N51" s="107" t="str">
        <f>IF($A51=1,VLOOKUP($B51,Outputs!$H:$L,3,FALSE),"")</f>
        <v/>
      </c>
      <c r="O51" s="107">
        <f>IF($A51=0,VLOOKUP($B51,Outputs!$H:$L,3,FALSE),"")</f>
        <v>34.438562178965171</v>
      </c>
      <c r="P51" s="107" t="str">
        <f>IF($A51=1,VLOOKUP($B51,Outputs!$N:$R,3,FALSE),"")</f>
        <v/>
      </c>
      <c r="Q51" s="107">
        <f ca="1">IF($A51=0,VLOOKUP($B51,Outputs!$N:$R,3,FALSE),"")</f>
        <v>33.524487245922934</v>
      </c>
    </row>
    <row r="52" spans="1:17">
      <c r="A52" s="397">
        <f>IF(VLOOKUP(B52,TOCA_current!$B$2:$AG$137,32,FALSE)=0,0,1)</f>
        <v>0</v>
      </c>
      <c r="B52" t="s">
        <v>136</v>
      </c>
      <c r="C52" s="107" t="str">
        <f>IF(A52=1,VLOOKUP($B52,Outputs!$B:$F,2,FALSE),"")</f>
        <v/>
      </c>
      <c r="D52" s="107">
        <f>IF(A52=0,VLOOKUP($B52,Outputs!$B:$F,2,FALSE),"")</f>
        <v>4.6019800713200665E-2</v>
      </c>
      <c r="E52" s="115"/>
      <c r="F52" s="116" t="str">
        <f>IF(A52=1,VLOOKUP($B52,Outputs!$H:$L,2,FALSE),"")</f>
        <v/>
      </c>
      <c r="G52" s="117">
        <f>IF(A52=0,VLOOKUP($B52,Outputs!$H:$L,2,FALSE),"")</f>
        <v>4.6019800713200665E-2</v>
      </c>
      <c r="J52" s="110">
        <f ca="1">VLOOKUP($B52,Outputs!$N:$R,2,FALSE)</f>
        <v>4.2850961320106795E-2</v>
      </c>
      <c r="K52" s="110">
        <f>+VLOOKUP(B52,Outputs!T:U,2,FALSE)</f>
        <v>5.5092979723656565E-2</v>
      </c>
      <c r="L52" s="107" t="str">
        <f>IF($A52=1,VLOOKUP($B52,Outputs!$B:$F,3,FALSE),"")</f>
        <v/>
      </c>
      <c r="M52" s="107">
        <f>IF($A52=0,VLOOKUP($B52,Outputs!$B:$F,3,FALSE),"")</f>
        <v>38.207984794067336</v>
      </c>
      <c r="N52" s="107" t="str">
        <f>IF($A52=1,VLOOKUP($B52,Outputs!$H:$L,3,FALSE),"")</f>
        <v/>
      </c>
      <c r="O52" s="107">
        <f>IF($A52=0,VLOOKUP($B52,Outputs!$H:$L,3,FALSE),"")</f>
        <v>38.207984794067336</v>
      </c>
      <c r="P52" s="107" t="str">
        <f>IF($A52=1,VLOOKUP($B52,Outputs!$N:$R,3,FALSE),"")</f>
        <v/>
      </c>
      <c r="Q52" s="107">
        <f ca="1">IF($A52=0,VLOOKUP($B52,Outputs!$N:$R,3,FALSE),"")</f>
        <v>37.772109096063318</v>
      </c>
    </row>
    <row r="53" spans="1:17">
      <c r="A53" s="397">
        <f>IF(VLOOKUP(B53,TOCA_current!$B$2:$AG$137,32,FALSE)=0,0,1)</f>
        <v>0</v>
      </c>
      <c r="B53" t="s">
        <v>73</v>
      </c>
      <c r="C53" s="107" t="str">
        <f>IF(A53=1,VLOOKUP($B53,Outputs!$B:$F,2,FALSE),"")</f>
        <v/>
      </c>
      <c r="D53" s="107">
        <f>IF(A53=0,VLOOKUP($B53,Outputs!$B:$F,2,FALSE),"")</f>
        <v>5.443754382587862E-2</v>
      </c>
      <c r="E53" s="115"/>
      <c r="F53" s="116" t="str">
        <f>IF(A53=1,VLOOKUP($B53,Outputs!$H:$L,2,FALSE),"")</f>
        <v/>
      </c>
      <c r="G53" s="117">
        <f>IF(A53=0,VLOOKUP($B53,Outputs!$H:$L,2,FALSE),"")</f>
        <v>5.443754382587862E-2</v>
      </c>
      <c r="J53" s="110">
        <f ca="1">VLOOKUP($B53,Outputs!$N:$R,2,FALSE)</f>
        <v>4.4426344416493652E-2</v>
      </c>
      <c r="K53" s="110">
        <f>+VLOOKUP(B53,Outputs!T:U,2,FALSE)</f>
        <v>9.5941022382898034E-2</v>
      </c>
      <c r="L53" s="107" t="str">
        <f>IF($A53=1,VLOOKUP($B53,Outputs!$B:$F,3,FALSE),"")</f>
        <v/>
      </c>
      <c r="M53" s="107">
        <f>IF($A53=0,VLOOKUP($B53,Outputs!$B:$F,3,FALSE),"")</f>
        <v>38.943959887676115</v>
      </c>
      <c r="N53" s="107" t="str">
        <f>IF($A53=1,VLOOKUP($B53,Outputs!$H:$L,3,FALSE),"")</f>
        <v/>
      </c>
      <c r="O53" s="107">
        <f>IF($A53=0,VLOOKUP($B53,Outputs!$H:$L,3,FALSE),"")</f>
        <v>38.943959887676115</v>
      </c>
      <c r="P53" s="107" t="str">
        <f>IF($A53=1,VLOOKUP($B53,Outputs!$N:$R,3,FALSE),"")</f>
        <v/>
      </c>
      <c r="Q53" s="107">
        <f ca="1">IF($A53=0,VLOOKUP($B53,Outputs!$N:$R,3,FALSE),"")</f>
        <v>37.974968488138693</v>
      </c>
    </row>
    <row r="54" spans="1:17">
      <c r="A54" s="397">
        <f>IF(VLOOKUP(B54,TOCA_current!$B$2:$AG$137,32,FALSE)=0,0,1)</f>
        <v>0</v>
      </c>
      <c r="B54" t="s">
        <v>130</v>
      </c>
      <c r="C54" s="107" t="str">
        <f>IF(A54=1,VLOOKUP($B54,Outputs!$B:$F,2,FALSE),"")</f>
        <v/>
      </c>
      <c r="D54" s="107">
        <f>IF(A54=0,VLOOKUP($B54,Outputs!$B:$F,2,FALSE),"")</f>
        <v>4.9276827336409035E-2</v>
      </c>
      <c r="E54" s="115"/>
      <c r="F54" s="116" t="str">
        <f>IF(A54=1,VLOOKUP($B54,Outputs!$H:$L,2,FALSE),"")</f>
        <v/>
      </c>
      <c r="G54" s="117">
        <f>IF(A54=0,VLOOKUP($B54,Outputs!$H:$L,2,FALSE),"")</f>
        <v>4.9276827336409035E-2</v>
      </c>
      <c r="J54" s="110">
        <f ca="1">VLOOKUP($B54,Outputs!$N:$R,2,FALSE)</f>
        <v>4.1377085652177556E-2</v>
      </c>
      <c r="K54" s="110">
        <f>+VLOOKUP(B54,Outputs!T:U,2,FALSE)</f>
        <v>1.980630679692541E-2</v>
      </c>
      <c r="L54" s="107" t="str">
        <f>IF($A54=1,VLOOKUP($B54,Outputs!$B:$F,3,FALSE),"")</f>
        <v/>
      </c>
      <c r="M54" s="107">
        <f>IF($A54=0,VLOOKUP($B54,Outputs!$B:$F,3,FALSE),"")</f>
        <v>36.079849504866495</v>
      </c>
      <c r="N54" s="107" t="str">
        <f>IF($A54=1,VLOOKUP($B54,Outputs!$H:$L,3,FALSE),"")</f>
        <v/>
      </c>
      <c r="O54" s="107">
        <f>IF($A54=0,VLOOKUP($B54,Outputs!$H:$L,3,FALSE),"")</f>
        <v>36.079849504866495</v>
      </c>
      <c r="P54" s="107" t="str">
        <f>IF($A54=1,VLOOKUP($B54,Outputs!$N:$R,3,FALSE),"")</f>
        <v/>
      </c>
      <c r="Q54" s="107">
        <f ca="1">IF($A54=0,VLOOKUP($B54,Outputs!$N:$R,3,FALSE),"")</f>
        <v>35.618367737748549</v>
      </c>
    </row>
    <row r="55" spans="1:17">
      <c r="A55" s="397">
        <f>IF(VLOOKUP(B55,TOCA_current!$B$2:$AG$137,32,FALSE)=0,0,1)</f>
        <v>0</v>
      </c>
      <c r="B55" t="s">
        <v>21</v>
      </c>
      <c r="C55" s="107" t="str">
        <f>IF(A55=1,VLOOKUP($B55,Outputs!$B:$F,2,FALSE),"")</f>
        <v/>
      </c>
      <c r="D55" s="107">
        <f>IF(A55=0,VLOOKUP($B55,Outputs!$B:$F,2,FALSE),"")</f>
        <v>4.8359702080006617E-2</v>
      </c>
      <c r="E55" s="115"/>
      <c r="F55" s="116" t="str">
        <f>IF(A55=1,VLOOKUP($B55,Outputs!$H:$L,2,FALSE),"")</f>
        <v/>
      </c>
      <c r="G55" s="117">
        <f>IF(A55=0,VLOOKUP($B55,Outputs!$H:$L,2,FALSE),"")</f>
        <v>4.8359702080006617E-2</v>
      </c>
      <c r="J55" s="110">
        <f ca="1">VLOOKUP($B55,Outputs!$N:$R,2,FALSE)</f>
        <v>4.1982424902671567E-2</v>
      </c>
      <c r="K55" s="110">
        <f>+VLOOKUP(B55,Outputs!T:U,2,FALSE)</f>
        <v>5.0762356074436799E-2</v>
      </c>
      <c r="L55" s="107" t="str">
        <f>IF($A55=1,VLOOKUP($B55,Outputs!$B:$F,3,FALSE),"")</f>
        <v/>
      </c>
      <c r="M55" s="107">
        <f>IF($A55=0,VLOOKUP($B55,Outputs!$B:$F,3,FALSE),"")</f>
        <v>38.064756161864146</v>
      </c>
      <c r="N55" s="107" t="str">
        <f>IF($A55=1,VLOOKUP($B55,Outputs!$H:$L,3,FALSE),"")</f>
        <v/>
      </c>
      <c r="O55" s="107">
        <f>IF($A55=0,VLOOKUP($B55,Outputs!$H:$L,3,FALSE),"")</f>
        <v>38.064756161864146</v>
      </c>
      <c r="P55" s="107" t="str">
        <f>IF($A55=1,VLOOKUP($B55,Outputs!$N:$R,3,FALSE),"")</f>
        <v/>
      </c>
      <c r="Q55" s="107">
        <f ca="1">IF($A55=0,VLOOKUP($B55,Outputs!$N:$R,3,FALSE),"")</f>
        <v>37.504199557622783</v>
      </c>
    </row>
    <row r="56" spans="1:17">
      <c r="A56" s="397">
        <f>IF(VLOOKUP(B56,TOCA_current!$B$2:$AG$137,32,FALSE)=0,0,1)</f>
        <v>0</v>
      </c>
      <c r="B56" t="s">
        <v>101</v>
      </c>
      <c r="C56" s="107" t="str">
        <f>IF(A56=1,VLOOKUP($B56,Outputs!$B:$F,2,FALSE),"")</f>
        <v/>
      </c>
      <c r="D56" s="107">
        <f>IF(A56=0,VLOOKUP($B56,Outputs!$B:$F,2,FALSE),"")</f>
        <v>5.4942662503735029E-2</v>
      </c>
      <c r="E56" s="115"/>
      <c r="F56" s="116" t="str">
        <f>IF(A56=1,VLOOKUP($B56,Outputs!$H:$L,2,FALSE),"")</f>
        <v/>
      </c>
      <c r="G56" s="117">
        <f>IF(A56=0,VLOOKUP($B56,Outputs!$H:$L,2,FALSE),"")</f>
        <v>5.4942662503735029E-2</v>
      </c>
      <c r="J56" s="110">
        <f ca="1">VLOOKUP($B56,Outputs!$N:$R,2,FALSE)</f>
        <v>4.6209432669052045E-2</v>
      </c>
      <c r="K56" s="110">
        <f>+VLOOKUP(B56,Outputs!T:U,2,FALSE)</f>
        <v>6.762128228204789E-2</v>
      </c>
      <c r="L56" s="107" t="str">
        <f>IF($A56=1,VLOOKUP($B56,Outputs!$B:$F,3,FALSE),"")</f>
        <v/>
      </c>
      <c r="M56" s="107">
        <f>IF($A56=0,VLOOKUP($B56,Outputs!$B:$F,3,FALSE),"")</f>
        <v>38.638190621371294</v>
      </c>
      <c r="N56" s="107" t="str">
        <f>IF($A56=1,VLOOKUP($B56,Outputs!$H:$L,3,FALSE),"")</f>
        <v/>
      </c>
      <c r="O56" s="107">
        <f>IF($A56=0,VLOOKUP($B56,Outputs!$H:$L,3,FALSE),"")</f>
        <v>38.638190621371294</v>
      </c>
      <c r="P56" s="107" t="str">
        <f>IF($A56=1,VLOOKUP($B56,Outputs!$N:$R,3,FALSE),"")</f>
        <v/>
      </c>
      <c r="Q56" s="107">
        <f ca="1">IF($A56=0,VLOOKUP($B56,Outputs!$N:$R,3,FALSE),"")</f>
        <v>37.985802504206653</v>
      </c>
    </row>
    <row r="57" spans="1:17">
      <c r="A57" s="397">
        <f>IF(VLOOKUP(B57,TOCA_current!$B$2:$AG$137,32,FALSE)=0,0,1)</f>
        <v>0</v>
      </c>
      <c r="B57" t="s">
        <v>115</v>
      </c>
      <c r="C57" s="107" t="str">
        <f>IF(A57=1,VLOOKUP($B57,Outputs!$B:$F,2,FALSE),"")</f>
        <v/>
      </c>
      <c r="D57" s="107">
        <f>IF(A57=0,VLOOKUP($B57,Outputs!$B:$F,2,FALSE),"")</f>
        <v>2.4486599903849937E-2</v>
      </c>
      <c r="E57" s="115"/>
      <c r="F57" s="116" t="str">
        <f>IF(A57=1,VLOOKUP($B57,Outputs!$H:$L,2,FALSE),"")</f>
        <v/>
      </c>
      <c r="G57" s="117">
        <f>IF(A57=0,VLOOKUP($B57,Outputs!$H:$L,2,FALSE),"")</f>
        <v>2.4486599903849937E-2</v>
      </c>
      <c r="J57" s="110">
        <f ca="1">VLOOKUP($B57,Outputs!$N:$R,2,FALSE)</f>
        <v>4.1016249324201032E-2</v>
      </c>
      <c r="K57" s="110">
        <f>+VLOOKUP(B57,Outputs!T:U,2,FALSE)</f>
        <v>6.2334832101042403E-2</v>
      </c>
      <c r="L57" s="107" t="str">
        <f>IF($A57=1,VLOOKUP($B57,Outputs!$B:$F,3,FALSE),"")</f>
        <v/>
      </c>
      <c r="M57" s="107">
        <f>IF($A57=0,VLOOKUP($B57,Outputs!$B:$F,3,FALSE),"")</f>
        <v>30.872990351146452</v>
      </c>
      <c r="N57" s="107" t="str">
        <f>IF($A57=1,VLOOKUP($B57,Outputs!$H:$L,3,FALSE),"")</f>
        <v/>
      </c>
      <c r="O57" s="107">
        <f>IF($A57=0,VLOOKUP($B57,Outputs!$H:$L,3,FALSE),"")</f>
        <v>30.872990351146452</v>
      </c>
      <c r="P57" s="107" t="str">
        <f>IF($A57=1,VLOOKUP($B57,Outputs!$N:$R,3,FALSE),"")</f>
        <v/>
      </c>
      <c r="Q57" s="107">
        <f ca="1">IF($A57=0,VLOOKUP($B57,Outputs!$N:$R,3,FALSE),"")</f>
        <v>31.706573427210415</v>
      </c>
    </row>
    <row r="58" spans="1:17">
      <c r="A58" s="397">
        <f>IF(VLOOKUP(B58,TOCA_current!$B$2:$AG$137,32,FALSE)=0,0,1)</f>
        <v>0</v>
      </c>
      <c r="B58" t="s">
        <v>111</v>
      </c>
      <c r="C58" s="107" t="str">
        <f>IF(A58=1,VLOOKUP($B58,Outputs!$B:$F,2,FALSE),"")</f>
        <v/>
      </c>
      <c r="D58" s="107">
        <f>IF(A58=0,VLOOKUP($B58,Outputs!$B:$F,2,FALSE),"")</f>
        <v>6.7881995062330169E-2</v>
      </c>
      <c r="E58" s="115"/>
      <c r="F58" s="116" t="str">
        <f>IF(A58=1,VLOOKUP($B58,Outputs!$H:$L,2,FALSE),"")</f>
        <v/>
      </c>
      <c r="G58" s="117">
        <f>IF(A58=0,VLOOKUP($B58,Outputs!$H:$L,2,FALSE),"")</f>
        <v>6.7881995062330169E-2</v>
      </c>
      <c r="J58" s="110">
        <f ca="1">VLOOKUP($B58,Outputs!$N:$R,2,FALSE)</f>
        <v>5.9102021851874027E-2</v>
      </c>
      <c r="K58" s="110">
        <f>+VLOOKUP(B58,Outputs!T:U,2,FALSE)</f>
        <v>5.9065145160319021E-2</v>
      </c>
      <c r="L58" s="107" t="str">
        <f>IF($A58=1,VLOOKUP($B58,Outputs!$B:$F,3,FALSE),"")</f>
        <v/>
      </c>
      <c r="M58" s="107">
        <f>IF($A58=0,VLOOKUP($B58,Outputs!$B:$F,3,FALSE),"")</f>
        <v>36.775008627807708</v>
      </c>
      <c r="N58" s="107" t="str">
        <f>IF($A58=1,VLOOKUP($B58,Outputs!$H:$L,3,FALSE),"")</f>
        <v/>
      </c>
      <c r="O58" s="107">
        <f>IF($A58=0,VLOOKUP($B58,Outputs!$H:$L,3,FALSE),"")</f>
        <v>36.775008627807708</v>
      </c>
      <c r="P58" s="107" t="str">
        <f>IF($A58=1,VLOOKUP($B58,Outputs!$N:$R,3,FALSE),"")</f>
        <v/>
      </c>
      <c r="Q58" s="107">
        <f ca="1">IF($A58=0,VLOOKUP($B58,Outputs!$N:$R,3,FALSE),"")</f>
        <v>36.089040083710266</v>
      </c>
    </row>
    <row r="59" spans="1:17">
      <c r="A59" s="397">
        <f>IF(VLOOKUP(B59,TOCA_current!$B$2:$AG$137,32,FALSE)=0,0,1)</f>
        <v>0</v>
      </c>
      <c r="B59" t="s">
        <v>24</v>
      </c>
      <c r="C59" s="107" t="str">
        <f>IF(A59=1,VLOOKUP($B59,Outputs!$B:$F,2,FALSE),"")</f>
        <v/>
      </c>
      <c r="D59" s="107">
        <f>IF(A59=0,VLOOKUP($B59,Outputs!$B:$F,2,FALSE),"")</f>
        <v>6.6667723707924953E-2</v>
      </c>
      <c r="E59" s="115"/>
      <c r="F59" s="116" t="str">
        <f>IF(A59=1,VLOOKUP($B59,Outputs!$H:$L,2,FALSE),"")</f>
        <v/>
      </c>
      <c r="G59" s="117">
        <f>IF(A59=0,VLOOKUP($B59,Outputs!$H:$L,2,FALSE),"")</f>
        <v>6.6667723707924953E-2</v>
      </c>
      <c r="J59" s="110">
        <f ca="1">VLOOKUP($B59,Outputs!$N:$R,2,FALSE)</f>
        <v>4.0681615576358784E-2</v>
      </c>
      <c r="K59" s="110">
        <f>+VLOOKUP(B59,Outputs!T:U,2,FALSE)</f>
        <v>8.9242146599281424E-2</v>
      </c>
      <c r="L59" s="107" t="str">
        <f>IF($A59=1,VLOOKUP($B59,Outputs!$B:$F,3,FALSE),"")</f>
        <v/>
      </c>
      <c r="M59" s="107">
        <f>IF($A59=0,VLOOKUP($B59,Outputs!$B:$F,3,FALSE),"")</f>
        <v>40.09647552223867</v>
      </c>
      <c r="N59" s="107" t="str">
        <f>IF($A59=1,VLOOKUP($B59,Outputs!$H:$L,3,FALSE),"")</f>
        <v/>
      </c>
      <c r="O59" s="107">
        <f>IF($A59=0,VLOOKUP($B59,Outputs!$H:$L,3,FALSE),"")</f>
        <v>40.09647552223867</v>
      </c>
      <c r="P59" s="107" t="str">
        <f>IF($A59=1,VLOOKUP($B59,Outputs!$N:$R,3,FALSE),"")</f>
        <v/>
      </c>
      <c r="Q59" s="107">
        <f ca="1">IF($A59=0,VLOOKUP($B59,Outputs!$N:$R,3,FALSE),"")</f>
        <v>38.857222590511675</v>
      </c>
    </row>
    <row r="60" spans="1:17">
      <c r="A60" s="397">
        <f>IF(VLOOKUP(B60,TOCA_current!$B$2:$AG$137,32,FALSE)=0,0,1)</f>
        <v>0</v>
      </c>
      <c r="B60" t="s">
        <v>137</v>
      </c>
      <c r="C60" s="107" t="str">
        <f>IF(A60=1,VLOOKUP($B60,Outputs!$B:$F,2,FALSE),"")</f>
        <v/>
      </c>
      <c r="D60" s="107">
        <f>IF(A60=0,VLOOKUP($B60,Outputs!$B:$F,2,FALSE),"")</f>
        <v>3.8871701116223845E-2</v>
      </c>
      <c r="E60" s="115"/>
      <c r="F60" s="116" t="str">
        <f>IF(A60=1,VLOOKUP($B60,Outputs!$H:$L,2,FALSE),"")</f>
        <v/>
      </c>
      <c r="G60" s="117">
        <f>IF(A60=0,VLOOKUP($B60,Outputs!$H:$L,2,FALSE),"")</f>
        <v>3.8871701116223845E-2</v>
      </c>
      <c r="J60" s="110">
        <f ca="1">VLOOKUP($B60,Outputs!$N:$R,2,FALSE)</f>
        <v>3.9344405703798123E-2</v>
      </c>
      <c r="K60" s="110">
        <f>+VLOOKUP(B60,Outputs!T:U,2,FALSE)</f>
        <v>4.4608013861787699E-2</v>
      </c>
      <c r="L60" s="107" t="str">
        <f>IF($A60=1,VLOOKUP($B60,Outputs!$B:$F,3,FALSE),"")</f>
        <v/>
      </c>
      <c r="M60" s="107">
        <f>IF($A60=0,VLOOKUP($B60,Outputs!$B:$F,3,FALSE),"")</f>
        <v>37.656676980197922</v>
      </c>
      <c r="N60" s="107" t="str">
        <f>IF($A60=1,VLOOKUP($B60,Outputs!$H:$L,3,FALSE),"")</f>
        <v/>
      </c>
      <c r="O60" s="107">
        <f>IF($A60=0,VLOOKUP($B60,Outputs!$H:$L,3,FALSE),"")</f>
        <v>37.656676980197922</v>
      </c>
      <c r="P60" s="107" t="str">
        <f>IF($A60=1,VLOOKUP($B60,Outputs!$N:$R,3,FALSE),"")</f>
        <v/>
      </c>
      <c r="Q60" s="107">
        <f ca="1">IF($A60=0,VLOOKUP($B60,Outputs!$N:$R,3,FALSE),"")</f>
        <v>37.913325239615084</v>
      </c>
    </row>
    <row r="61" spans="1:17">
      <c r="A61" s="397">
        <f>IF(VLOOKUP(B61,TOCA_current!$B$2:$AG$137,32,FALSE)=0,0,1)</f>
        <v>0</v>
      </c>
      <c r="B61" t="s">
        <v>106</v>
      </c>
      <c r="C61" s="107" t="str">
        <f>IF(A61=1,VLOOKUP($B61,Outputs!$B:$F,2,FALSE),"")</f>
        <v/>
      </c>
      <c r="D61" s="107">
        <f>IF(A61=0,VLOOKUP($B61,Outputs!$B:$F,2,FALSE),"")</f>
        <v>4.6111172007150536E-2</v>
      </c>
      <c r="E61" s="115"/>
      <c r="F61" s="116" t="str">
        <f>IF(A61=1,VLOOKUP($B61,Outputs!$H:$L,2,FALSE),"")</f>
        <v/>
      </c>
      <c r="G61" s="117">
        <f>IF(A61=0,VLOOKUP($B61,Outputs!$H:$L,2,FALSE),"")</f>
        <v>4.6111172007150536E-2</v>
      </c>
      <c r="J61" s="110">
        <f ca="1">VLOOKUP($B61,Outputs!$N:$R,2,FALSE)</f>
        <v>4.0530469914287257E-2</v>
      </c>
      <c r="K61" s="110">
        <f>+VLOOKUP(B61,Outputs!T:U,2,FALSE)</f>
        <v>4.6057565269465028E-2</v>
      </c>
      <c r="L61" s="107" t="str">
        <f>IF($A61=1,VLOOKUP($B61,Outputs!$B:$F,3,FALSE),"")</f>
        <v/>
      </c>
      <c r="M61" s="107">
        <f>IF($A61=0,VLOOKUP($B61,Outputs!$B:$F,3,FALSE),"")</f>
        <v>35.972161615369458</v>
      </c>
      <c r="N61" s="107" t="str">
        <f>IF($A61=1,VLOOKUP($B61,Outputs!$H:$L,3,FALSE),"")</f>
        <v/>
      </c>
      <c r="O61" s="107">
        <f>IF($A61=0,VLOOKUP($B61,Outputs!$H:$L,3,FALSE),"")</f>
        <v>35.972161615369458</v>
      </c>
      <c r="P61" s="107" t="str">
        <f>IF($A61=1,VLOOKUP($B61,Outputs!$N:$R,3,FALSE),"")</f>
        <v/>
      </c>
      <c r="Q61" s="107">
        <f ca="1">IF($A61=0,VLOOKUP($B61,Outputs!$N:$R,3,FALSE),"")</f>
        <v>35.658624212098914</v>
      </c>
    </row>
    <row r="62" spans="1:17">
      <c r="A62" s="397">
        <f>IF(VLOOKUP(B62,TOCA_current!$B$2:$AG$137,32,FALSE)=0,0,1)</f>
        <v>0</v>
      </c>
      <c r="B62" t="s">
        <v>128</v>
      </c>
      <c r="C62" s="107" t="str">
        <f>IF(A62=1,VLOOKUP($B62,Outputs!$B:$F,2,FALSE),"")</f>
        <v/>
      </c>
      <c r="D62" s="107">
        <f>IF(A62=0,VLOOKUP($B62,Outputs!$B:$F,2,FALSE),"")</f>
        <v>3.3134630262394271E-2</v>
      </c>
      <c r="E62" s="115"/>
      <c r="F62" s="116" t="str">
        <f>IF(A62=1,VLOOKUP($B62,Outputs!$H:$L,2,FALSE),"")</f>
        <v/>
      </c>
      <c r="G62" s="117">
        <f>IF(A62=0,VLOOKUP($B62,Outputs!$H:$L,2,FALSE),"")</f>
        <v>3.3134630262394271E-2</v>
      </c>
      <c r="J62" s="110">
        <f ca="1">VLOOKUP($B62,Outputs!$N:$R,2,FALSE)</f>
        <v>4.1114731803831239E-2</v>
      </c>
      <c r="K62" s="110">
        <f>+VLOOKUP(B62,Outputs!T:U,2,FALSE)</f>
        <v>5.3965108381611948E-2</v>
      </c>
      <c r="L62" s="107" t="str">
        <f>IF($A62=1,VLOOKUP($B62,Outputs!$B:$F,3,FALSE),"")</f>
        <v/>
      </c>
      <c r="M62" s="107">
        <f>IF($A62=0,VLOOKUP($B62,Outputs!$B:$F,3,FALSE),"")</f>
        <v>32.364270050218892</v>
      </c>
      <c r="N62" s="107" t="str">
        <f>IF($A62=1,VLOOKUP($B62,Outputs!$H:$L,3,FALSE),"")</f>
        <v/>
      </c>
      <c r="O62" s="107">
        <f>IF($A62=0,VLOOKUP($B62,Outputs!$H:$L,3,FALSE),"")</f>
        <v>32.364270050218892</v>
      </c>
      <c r="P62" s="107" t="str">
        <f>IF($A62=1,VLOOKUP($B62,Outputs!$N:$R,3,FALSE),"")</f>
        <v/>
      </c>
      <c r="Q62" s="107">
        <f ca="1">IF($A62=0,VLOOKUP($B62,Outputs!$N:$R,3,FALSE),"")</f>
        <v>32.929931838358193</v>
      </c>
    </row>
    <row r="63" spans="1:17">
      <c r="A63" s="397">
        <f>IF(VLOOKUP(B63,TOCA_current!$B$2:$AG$137,32,FALSE)=0,0,1)</f>
        <v>0</v>
      </c>
      <c r="B63" t="s">
        <v>125</v>
      </c>
      <c r="C63" s="107" t="str">
        <f>IF(A63=1,VLOOKUP($B63,Outputs!$B:$F,2,FALSE),"")</f>
        <v/>
      </c>
      <c r="D63" s="107">
        <f>IF(A63=0,VLOOKUP($B63,Outputs!$B:$F,2,FALSE),"")</f>
        <v>4.9250589154254509E-2</v>
      </c>
      <c r="E63" s="115"/>
      <c r="F63" s="116" t="str">
        <f>IF(A63=1,VLOOKUP($B63,Outputs!$H:$L,2,FALSE),"")</f>
        <v/>
      </c>
      <c r="G63" s="117">
        <f>IF(A63=0,VLOOKUP($B63,Outputs!$H:$L,2,FALSE),"")</f>
        <v>4.9250589154254509E-2</v>
      </c>
      <c r="J63" s="110">
        <f ca="1">VLOOKUP($B63,Outputs!$N:$R,2,FALSE)</f>
        <v>4.4317543905916308E-2</v>
      </c>
      <c r="K63" s="110">
        <f>+VLOOKUP(B63,Outputs!T:U,2,FALSE)</f>
        <v>3.2731742913203243E-2</v>
      </c>
      <c r="L63" s="107" t="str">
        <f>IF($A63=1,VLOOKUP($B63,Outputs!$B:$F,3,FALSE),"")</f>
        <v/>
      </c>
      <c r="M63" s="107">
        <f>IF($A63=0,VLOOKUP($B63,Outputs!$B:$F,3,FALSE),"")</f>
        <v>37.215500273096843</v>
      </c>
      <c r="N63" s="107" t="str">
        <f>IF($A63=1,VLOOKUP($B63,Outputs!$H:$L,3,FALSE),"")</f>
        <v/>
      </c>
      <c r="O63" s="107">
        <f>IF($A63=0,VLOOKUP($B63,Outputs!$H:$L,3,FALSE),"")</f>
        <v>37.215500273096843</v>
      </c>
      <c r="P63" s="107" t="str">
        <f>IF($A63=1,VLOOKUP($B63,Outputs!$N:$R,3,FALSE),"")</f>
        <v/>
      </c>
      <c r="Q63" s="107">
        <f ca="1">IF($A63=0,VLOOKUP($B63,Outputs!$N:$R,3,FALSE),"")</f>
        <v>36.947346334163129</v>
      </c>
    </row>
    <row r="64" spans="1:17">
      <c r="A64" s="397">
        <f>IF(VLOOKUP(B64,TOCA_current!$B$2:$AG$137,32,FALSE)=0,0,1)</f>
        <v>0</v>
      </c>
      <c r="B64" t="s">
        <v>13</v>
      </c>
      <c r="C64" s="107" t="str">
        <f>IF(A64=1,VLOOKUP($B64,Outputs!$B:$F,2,FALSE),"")</f>
        <v/>
      </c>
      <c r="D64" s="107">
        <f>IF(A64=0,VLOOKUP($B64,Outputs!$B:$F,2,FALSE),"")</f>
        <v>2.6402967266843325E-2</v>
      </c>
      <c r="E64" s="115"/>
      <c r="F64" s="116" t="str">
        <f>IF(A64=1,VLOOKUP($B64,Outputs!$H:$L,2,FALSE),"")</f>
        <v/>
      </c>
      <c r="G64" s="117">
        <f>IF(A64=0,VLOOKUP($B64,Outputs!$H:$L,2,FALSE),"")</f>
        <v>2.6402967266843325E-2</v>
      </c>
      <c r="J64" s="110">
        <f ca="1">VLOOKUP($B64,Outputs!$N:$R,2,FALSE)</f>
        <v>4.2140019476717971E-2</v>
      </c>
      <c r="K64" s="110">
        <f>+VLOOKUP(B64,Outputs!T:U,2,FALSE)</f>
        <v>1.9794470223620797E-2</v>
      </c>
      <c r="L64" s="107" t="str">
        <f>IF($A64=1,VLOOKUP($B64,Outputs!$B:$F,3,FALSE),"")</f>
        <v/>
      </c>
      <c r="M64" s="107">
        <f>IF($A64=0,VLOOKUP($B64,Outputs!$B:$F,3,FALSE),"")</f>
        <v>38.009413917587331</v>
      </c>
      <c r="N64" s="107" t="str">
        <f>IF($A64=1,VLOOKUP($B64,Outputs!$H:$L,3,FALSE),"")</f>
        <v/>
      </c>
      <c r="O64" s="107">
        <f>IF($A64=0,VLOOKUP($B64,Outputs!$H:$L,3,FALSE),"")</f>
        <v>38.009413917587331</v>
      </c>
      <c r="P64" s="107" t="str">
        <f>IF($A64=1,VLOOKUP($B64,Outputs!$N:$R,3,FALSE),"")</f>
        <v/>
      </c>
      <c r="Q64" s="107">
        <f ca="1">IF($A64=0,VLOOKUP($B64,Outputs!$N:$R,3,FALSE),"")</f>
        <v>37.436496270511832</v>
      </c>
    </row>
    <row r="65" spans="1:17">
      <c r="A65" s="397">
        <f>IF(VLOOKUP(B65,TOCA_current!$B$2:$AG$137,32,FALSE)=0,0,1)</f>
        <v>0</v>
      </c>
      <c r="B65" t="s">
        <v>17</v>
      </c>
      <c r="C65" s="107" t="str">
        <f>IF(A65=1,VLOOKUP($B65,Outputs!$B:$F,2,FALSE),"")</f>
        <v/>
      </c>
      <c r="D65" s="107">
        <f>IF(A65=0,VLOOKUP($B65,Outputs!$B:$F,2,FALSE),"")</f>
        <v>4.7454690640837072E-2</v>
      </c>
      <c r="E65" s="115"/>
      <c r="F65" s="116" t="str">
        <f>IF(A65=1,VLOOKUP($B65,Outputs!$H:$L,2,FALSE),"")</f>
        <v/>
      </c>
      <c r="G65" s="117">
        <f>IF(A65=0,VLOOKUP($B65,Outputs!$H:$L,2,FALSE),"")</f>
        <v>4.7454690640837072E-2</v>
      </c>
      <c r="J65" s="110">
        <f ca="1">VLOOKUP($B65,Outputs!$N:$R,2,FALSE)</f>
        <v>4.183656039756322E-2</v>
      </c>
      <c r="K65" s="110">
        <f>+VLOOKUP(B65,Outputs!T:U,2,FALSE)</f>
        <v>5.8073124606458526E-2</v>
      </c>
      <c r="L65" s="107" t="str">
        <f>IF($A65=1,VLOOKUP($B65,Outputs!$B:$F,3,FALSE),"")</f>
        <v/>
      </c>
      <c r="M65" s="107">
        <f>IF($A65=0,VLOOKUP($B65,Outputs!$B:$F,3,FALSE),"")</f>
        <v>38.682024343608227</v>
      </c>
      <c r="N65" s="107" t="str">
        <f>IF($A65=1,VLOOKUP($B65,Outputs!$H:$L,3,FALSE),"")</f>
        <v/>
      </c>
      <c r="O65" s="107">
        <f>IF($A65=0,VLOOKUP($B65,Outputs!$H:$L,3,FALSE),"")</f>
        <v>38.682024343608227</v>
      </c>
      <c r="P65" s="107" t="str">
        <f>IF($A65=1,VLOOKUP($B65,Outputs!$N:$R,3,FALSE),"")</f>
        <v/>
      </c>
      <c r="Q65" s="107">
        <f ca="1">IF($A65=0,VLOOKUP($B65,Outputs!$N:$R,3,FALSE),"")</f>
        <v>38.003520390829962</v>
      </c>
    </row>
    <row r="66" spans="1:17">
      <c r="A66" s="397">
        <f>IF(VLOOKUP(B66,TOCA_current!$B$2:$AG$137,32,FALSE)=0,0,1)</f>
        <v>0</v>
      </c>
      <c r="B66" t="s">
        <v>72</v>
      </c>
      <c r="C66" s="107" t="str">
        <f>IF(A66=1,VLOOKUP($B66,Outputs!$B:$F,2,FALSE),"")</f>
        <v/>
      </c>
      <c r="D66" s="107">
        <f>IF(A66=0,VLOOKUP($B66,Outputs!$B:$F,2,FALSE),"")</f>
        <v>4.7265133621543498E-3</v>
      </c>
      <c r="E66" s="115"/>
      <c r="F66" s="116" t="str">
        <f>IF(A66=1,VLOOKUP($B66,Outputs!$H:$L,2,FALSE),"")</f>
        <v/>
      </c>
      <c r="G66" s="117">
        <f>IF(A66=0,VLOOKUP($B66,Outputs!$H:$L,2,FALSE),"")</f>
        <v>4.7265133621543498E-3</v>
      </c>
      <c r="J66" s="110">
        <f ca="1">VLOOKUP($B66,Outputs!$N:$R,2,FALSE)</f>
        <v>4.5397874269875689E-2</v>
      </c>
      <c r="K66" s="110">
        <f>+VLOOKUP(B66,Outputs!T:U,2,FALSE)</f>
        <v>9.6460888353746554E-3</v>
      </c>
      <c r="L66" s="107" t="str">
        <f>IF($A66=1,VLOOKUP($B66,Outputs!$B:$F,3,FALSE),"")</f>
        <v/>
      </c>
      <c r="M66" s="107">
        <f>IF($A66=0,VLOOKUP($B66,Outputs!$B:$F,3,FALSE),"")</f>
        <v>26.977852127887104</v>
      </c>
      <c r="N66" s="107" t="str">
        <f>IF($A66=1,VLOOKUP($B66,Outputs!$H:$L,3,FALSE),"")</f>
        <v/>
      </c>
      <c r="O66" s="107">
        <f>IF($A66=0,VLOOKUP($B66,Outputs!$H:$L,3,FALSE),"")</f>
        <v>26.977852127887104</v>
      </c>
      <c r="P66" s="107" t="str">
        <f>IF($A66=1,VLOOKUP($B66,Outputs!$N:$R,3,FALSE),"")</f>
        <v/>
      </c>
      <c r="Q66" s="107">
        <f ca="1">IF($A66=0,VLOOKUP($B66,Outputs!$N:$R,3,FALSE),"")</f>
        <v>29.04419636311528</v>
      </c>
    </row>
    <row r="67" spans="1:17">
      <c r="A67" s="397">
        <f>IF(VLOOKUP(B67,TOCA_current!$B$2:$AG$137,32,FALSE)=0,0,1)</f>
        <v>0</v>
      </c>
      <c r="B67" t="s">
        <v>69</v>
      </c>
      <c r="C67" s="107" t="str">
        <f>IF(A67=1,VLOOKUP($B67,Outputs!$B:$F,2,FALSE),"")</f>
        <v/>
      </c>
      <c r="D67" s="107">
        <f>IF(A67=0,VLOOKUP($B67,Outputs!$B:$F,2,FALSE),"")</f>
        <v>4.860896710799345E-2</v>
      </c>
      <c r="E67" s="115"/>
      <c r="F67" s="116" t="str">
        <f>IF(A67=1,VLOOKUP($B67,Outputs!$H:$L,2,FALSE),"")</f>
        <v/>
      </c>
      <c r="G67" s="117">
        <f>IF(A67=0,VLOOKUP($B67,Outputs!$H:$L,2,FALSE),"")</f>
        <v>4.860896710799345E-2</v>
      </c>
      <c r="J67" s="110">
        <f ca="1">VLOOKUP($B67,Outputs!$N:$R,2,FALSE)</f>
        <v>5.1718641172364473E-2</v>
      </c>
      <c r="K67" s="110">
        <f>+VLOOKUP(B67,Outputs!T:U,2,FALSE)</f>
        <v>6.5242297229240354E-2</v>
      </c>
      <c r="L67" s="107" t="str">
        <f>IF($A67=1,VLOOKUP($B67,Outputs!$B:$F,3,FALSE),"")</f>
        <v/>
      </c>
      <c r="M67" s="107">
        <f>IF($A67=0,VLOOKUP($B67,Outputs!$B:$F,3,FALSE),"")</f>
        <v>35.796975037397715</v>
      </c>
      <c r="N67" s="107" t="str">
        <f>IF($A67=1,VLOOKUP($B67,Outputs!$H:$L,3,FALSE),"")</f>
        <v/>
      </c>
      <c r="O67" s="107">
        <f>IF($A67=0,VLOOKUP($B67,Outputs!$H:$L,3,FALSE),"")</f>
        <v>35.796975037397715</v>
      </c>
      <c r="P67" s="107" t="str">
        <f>IF($A67=1,VLOOKUP($B67,Outputs!$N:$R,3,FALSE),"")</f>
        <v/>
      </c>
      <c r="Q67" s="107">
        <f ca="1">IF($A67=0,VLOOKUP($B67,Outputs!$N:$R,3,FALSE),"")</f>
        <v>35.49901330733578</v>
      </c>
    </row>
    <row r="68" spans="1:17">
      <c r="A68" s="397">
        <f>IF(VLOOKUP(B68,TOCA_current!$B$2:$AG$137,32,FALSE)=0,0,1)</f>
        <v>0</v>
      </c>
      <c r="B68" t="s">
        <v>28</v>
      </c>
      <c r="C68" s="107" t="str">
        <f>IF(A68=1,VLOOKUP($B68,Outputs!$B:$F,2,FALSE),"")</f>
        <v/>
      </c>
      <c r="D68" s="107">
        <f>IF(A68=0,VLOOKUP($B68,Outputs!$B:$F,2,FALSE),"")</f>
        <v>4.6886936839704463E-2</v>
      </c>
      <c r="E68" s="115"/>
      <c r="F68" s="116" t="str">
        <f>IF(A68=1,VLOOKUP($B68,Outputs!$H:$L,2,FALSE),"")</f>
        <v/>
      </c>
      <c r="G68" s="117">
        <f>IF(A68=0,VLOOKUP($B68,Outputs!$H:$L,2,FALSE),"")</f>
        <v>4.6886936839704463E-2</v>
      </c>
      <c r="J68" s="110">
        <f ca="1">VLOOKUP($B68,Outputs!$N:$R,2,FALSE)</f>
        <v>4.2382800264472657E-2</v>
      </c>
      <c r="K68" s="110">
        <f>+VLOOKUP(B68,Outputs!T:U,2,FALSE)</f>
        <v>3.4430418343613933E-2</v>
      </c>
      <c r="L68" s="107" t="str">
        <f>IF($A68=1,VLOOKUP($B68,Outputs!$B:$F,3,FALSE),"")</f>
        <v/>
      </c>
      <c r="M68" s="107">
        <f>IF($A68=0,VLOOKUP($B68,Outputs!$B:$F,3,FALSE),"")</f>
        <v>38.331814227567683</v>
      </c>
      <c r="N68" s="107" t="str">
        <f>IF($A68=1,VLOOKUP($B68,Outputs!$H:$L,3,FALSE),"")</f>
        <v/>
      </c>
      <c r="O68" s="107">
        <f>IF($A68=0,VLOOKUP($B68,Outputs!$H:$L,3,FALSE),"")</f>
        <v>38.331814227567683</v>
      </c>
      <c r="P68" s="107" t="str">
        <f>IF($A68=1,VLOOKUP($B68,Outputs!$N:$R,3,FALSE),"")</f>
        <v/>
      </c>
      <c r="Q68" s="107">
        <f ca="1">IF($A68=0,VLOOKUP($B68,Outputs!$N:$R,3,FALSE),"")</f>
        <v>37.726975393380528</v>
      </c>
    </row>
    <row r="69" spans="1:17">
      <c r="A69" s="397">
        <f>IF(VLOOKUP(B69,TOCA_current!$B$2:$AG$137,32,FALSE)=0,0,1)</f>
        <v>0</v>
      </c>
      <c r="B69" t="s">
        <v>23</v>
      </c>
      <c r="C69" s="107" t="str">
        <f>IF(A69=1,VLOOKUP($B69,Outputs!$B:$F,2,FALSE),"")</f>
        <v/>
      </c>
      <c r="D69" s="107">
        <f>IF(A69=0,VLOOKUP($B69,Outputs!$B:$F,2,FALSE),"")</f>
        <v>8.3910702224163414E-2</v>
      </c>
      <c r="E69" s="115"/>
      <c r="F69" s="116" t="str">
        <f>IF(A69=1,VLOOKUP($B69,Outputs!$H:$L,2,FALSE),"")</f>
        <v/>
      </c>
      <c r="G69" s="117">
        <f>IF(A69=0,VLOOKUP($B69,Outputs!$H:$L,2,FALSE),"")</f>
        <v>8.3910702224163414E-2</v>
      </c>
      <c r="J69" s="110">
        <f ca="1">VLOOKUP($B69,Outputs!$N:$R,2,FALSE)</f>
        <v>4.3953954023971453E-2</v>
      </c>
      <c r="K69" s="110">
        <f>+VLOOKUP(B69,Outputs!T:U,2,FALSE)</f>
        <v>7.0791493690331331E-2</v>
      </c>
      <c r="L69" s="107" t="str">
        <f>IF($A69=1,VLOOKUP($B69,Outputs!$B:$F,3,FALSE),"")</f>
        <v/>
      </c>
      <c r="M69" s="107">
        <f>IF($A69=0,VLOOKUP($B69,Outputs!$B:$F,3,FALSE),"")</f>
        <v>39.767787915239182</v>
      </c>
      <c r="N69" s="107" t="str">
        <f>IF($A69=1,VLOOKUP($B69,Outputs!$H:$L,3,FALSE),"")</f>
        <v/>
      </c>
      <c r="O69" s="107">
        <f>IF($A69=0,VLOOKUP($B69,Outputs!$H:$L,3,FALSE),"")</f>
        <v>39.767787915239182</v>
      </c>
      <c r="P69" s="107" t="str">
        <f>IF($A69=1,VLOOKUP($B69,Outputs!$N:$R,3,FALSE),"")</f>
        <v/>
      </c>
      <c r="Q69" s="107">
        <f ca="1">IF($A69=0,VLOOKUP($B69,Outputs!$N:$R,3,FALSE),"")</f>
        <v>37.676089678269456</v>
      </c>
    </row>
    <row r="70" spans="1:17">
      <c r="A70" s="397">
        <f>IF(VLOOKUP(B70,TOCA_current!$B$2:$AG$137,32,FALSE)=0,0,1)</f>
        <v>0</v>
      </c>
      <c r="B70" t="s">
        <v>29</v>
      </c>
      <c r="C70" s="107" t="str">
        <f>IF(A70=1,VLOOKUP($B70,Outputs!$B:$F,2,FALSE),"")</f>
        <v/>
      </c>
      <c r="D70" s="107">
        <f>IF(A70=0,VLOOKUP($B70,Outputs!$B:$F,2,FALSE),"")</f>
        <v>4.7821128830615844E-2</v>
      </c>
      <c r="E70" s="115"/>
      <c r="F70" s="116" t="str">
        <f>IF(A70=1,VLOOKUP($B70,Outputs!$H:$L,2,FALSE),"")</f>
        <v/>
      </c>
      <c r="G70" s="117">
        <f>IF(A70=0,VLOOKUP($B70,Outputs!$H:$L,2,FALSE),"")</f>
        <v>4.7821128830615844E-2</v>
      </c>
      <c r="J70" s="110">
        <f ca="1">VLOOKUP($B70,Outputs!$N:$R,2,FALSE)</f>
        <v>4.1659463166263636E-2</v>
      </c>
      <c r="K70" s="110">
        <f>+VLOOKUP(B70,Outputs!T:U,2,FALSE)</f>
        <v>7.6644792684032792E-2</v>
      </c>
      <c r="L70" s="107" t="str">
        <f>IF($A70=1,VLOOKUP($B70,Outputs!$B:$F,3,FALSE),"")</f>
        <v/>
      </c>
      <c r="M70" s="107">
        <f>IF($A70=0,VLOOKUP($B70,Outputs!$B:$F,3,FALSE),"")</f>
        <v>39.460916853791353</v>
      </c>
      <c r="N70" s="107" t="str">
        <f>IF($A70=1,VLOOKUP($B70,Outputs!$H:$L,3,FALSE),"")</f>
        <v/>
      </c>
      <c r="O70" s="107">
        <f>IF($A70=0,VLOOKUP($B70,Outputs!$H:$L,3,FALSE),"")</f>
        <v>39.460916853791353</v>
      </c>
      <c r="P70" s="107" t="str">
        <f>IF($A70=1,VLOOKUP($B70,Outputs!$N:$R,3,FALSE),"")</f>
        <v/>
      </c>
      <c r="Q70" s="107">
        <f ca="1">IF($A70=0,VLOOKUP($B70,Outputs!$N:$R,3,FALSE),"")</f>
        <v>38.842625943524425</v>
      </c>
    </row>
    <row r="71" spans="1:17">
      <c r="A71" s="397">
        <f>IF(VLOOKUP(B71,TOCA_current!$B$2:$AG$137,32,FALSE)=0,0,1)</f>
        <v>0</v>
      </c>
      <c r="B71" t="s">
        <v>102</v>
      </c>
      <c r="C71" s="107" t="str">
        <f>IF(A71=1,VLOOKUP($B71,Outputs!$B:$F,2,FALSE),"")</f>
        <v/>
      </c>
      <c r="D71" s="107">
        <v>0</v>
      </c>
      <c r="E71" s="115"/>
      <c r="F71" s="116" t="str">
        <f>IF(A71=1,VLOOKUP($B71,Outputs!$H:$L,2,FALSE),"")</f>
        <v/>
      </c>
      <c r="G71" s="117"/>
      <c r="J71" s="110" t="e">
        <f ca="1">VLOOKUP($B71,Outputs!$N:$R,2,FALSE)</f>
        <v>#N/A</v>
      </c>
      <c r="K71" s="110" t="e">
        <f>+VLOOKUP(B71,Outputs!T:U,2,FALSE)</f>
        <v>#N/A</v>
      </c>
      <c r="L71" s="107" t="str">
        <f>IF($A71=1,VLOOKUP($B71,Outputs!$B:$F,3,FALSE),"")</f>
        <v/>
      </c>
      <c r="M71" s="107" t="e">
        <f>IF($A71=0,VLOOKUP($B71,Outputs!$B:$F,3,FALSE),"")</f>
        <v>#N/A</v>
      </c>
      <c r="N71" s="107" t="str">
        <f>IF($A71=1,VLOOKUP($B71,Outputs!$H:$L,3,FALSE),"")</f>
        <v/>
      </c>
      <c r="O71" s="107" t="e">
        <f>IF($A71=0,VLOOKUP($B71,Outputs!$H:$L,3,FALSE),"")</f>
        <v>#N/A</v>
      </c>
      <c r="P71" s="107" t="str">
        <f>IF($A71=1,VLOOKUP($B71,Outputs!$N:$R,3,FALSE),"")</f>
        <v/>
      </c>
      <c r="Q71" s="107" t="e">
        <f ca="1">IF($A71=0,VLOOKUP($B71,Outputs!$N:$R,3,FALSE),"")</f>
        <v>#N/A</v>
      </c>
    </row>
    <row r="72" spans="1:17">
      <c r="A72" s="397">
        <f>IF(VLOOKUP(B72,TOCA_current!$B$2:$AG$137,32,FALSE)=0,0,1)</f>
        <v>0</v>
      </c>
      <c r="B72" t="s">
        <v>91</v>
      </c>
      <c r="C72" s="107" t="str">
        <f>IF(A72=1,VLOOKUP($B72,Outputs!$B:$F,2,FALSE),"")</f>
        <v/>
      </c>
      <c r="D72" s="107">
        <f>IF(A72=0,VLOOKUP($B72,Outputs!$B:$F,2,FALSE),"")</f>
        <v>4.8044175430222102E-2</v>
      </c>
      <c r="E72" s="115"/>
      <c r="F72" s="116" t="str">
        <f>IF(A72=1,VLOOKUP($B72,Outputs!$H:$L,2,FALSE),"")</f>
        <v/>
      </c>
      <c r="G72" s="117">
        <f>IF(A72=0,VLOOKUP($B72,Outputs!$H:$L,2,FALSE),"")</f>
        <v>4.8044175430222102E-2</v>
      </c>
      <c r="J72" s="110">
        <f ca="1">VLOOKUP($B72,Outputs!$N:$R,2,FALSE)</f>
        <v>4.1395766944461183E-2</v>
      </c>
      <c r="K72" s="110">
        <f>+VLOOKUP(B72,Outputs!T:U,2,FALSE)</f>
        <v>4.413695654667249E-2</v>
      </c>
      <c r="L72" s="107" t="str">
        <f>IF($A72=1,VLOOKUP($B72,Outputs!$B:$F,3,FALSE),"")</f>
        <v/>
      </c>
      <c r="M72" s="107">
        <f>IF($A72=0,VLOOKUP($B72,Outputs!$B:$F,3,FALSE),"")</f>
        <v>38.410522710033575</v>
      </c>
      <c r="N72" s="107" t="str">
        <f>IF($A72=1,VLOOKUP($B72,Outputs!$H:$L,3,FALSE),"")</f>
        <v/>
      </c>
      <c r="O72" s="107">
        <f>IF($A72=0,VLOOKUP($B72,Outputs!$H:$L,3,FALSE),"")</f>
        <v>38.410522710033575</v>
      </c>
      <c r="P72" s="107" t="str">
        <f>IF($A72=1,VLOOKUP($B72,Outputs!$N:$R,3,FALSE),"")</f>
        <v/>
      </c>
      <c r="Q72" s="107">
        <f ca="1">IF($A72=0,VLOOKUP($B72,Outputs!$N:$R,3,FALSE),"")</f>
        <v>37.887381272844834</v>
      </c>
    </row>
    <row r="73" spans="1:17">
      <c r="A73" s="397">
        <f>IF(VLOOKUP(B73,TOCA_current!$B$2:$AG$137,32,FALSE)=0,0,1)</f>
        <v>0</v>
      </c>
      <c r="B73" t="s">
        <v>133</v>
      </c>
      <c r="C73" s="107" t="str">
        <f>IF(A73=1,VLOOKUP($B73,Outputs!$B:$F,2,FALSE),"")</f>
        <v/>
      </c>
      <c r="D73" s="107">
        <f>IF(A73=0,VLOOKUP($B73,Outputs!$B:$F,2,FALSE),"")</f>
        <v>4.6034846594706691E-2</v>
      </c>
      <c r="E73" s="115"/>
      <c r="F73" s="116" t="str">
        <f>IF(A73=1,VLOOKUP($B73,Outputs!$H:$L,2,FALSE),"")</f>
        <v/>
      </c>
      <c r="G73" s="117">
        <f>IF(A73=0,VLOOKUP($B73,Outputs!$H:$L,2,FALSE),"")</f>
        <v>4.6034846594706691E-2</v>
      </c>
      <c r="J73" s="110">
        <f ca="1">VLOOKUP($B73,Outputs!$N:$R,2,FALSE)</f>
        <v>4.4592496997808886E-2</v>
      </c>
      <c r="K73" s="110">
        <f>+VLOOKUP(B73,Outputs!T:U,2,FALSE)</f>
        <v>4.7131391118830246E-2</v>
      </c>
      <c r="L73" s="107" t="str">
        <f>IF($A73=1,VLOOKUP($B73,Outputs!$B:$F,3,FALSE),"")</f>
        <v/>
      </c>
      <c r="M73" s="107">
        <f>IF($A73=0,VLOOKUP($B73,Outputs!$B:$F,3,FALSE),"")</f>
        <v>36.642438695252039</v>
      </c>
      <c r="N73" s="107" t="str">
        <f>IF($A73=1,VLOOKUP($B73,Outputs!$H:$L,3,FALSE),"")</f>
        <v/>
      </c>
      <c r="O73" s="107">
        <f>IF($A73=0,VLOOKUP($B73,Outputs!$H:$L,3,FALSE),"")</f>
        <v>36.642438695252039</v>
      </c>
      <c r="P73" s="107" t="str">
        <f>IF($A73=1,VLOOKUP($B73,Outputs!$N:$R,3,FALSE),"")</f>
        <v/>
      </c>
      <c r="Q73" s="107">
        <f ca="1">IF($A73=0,VLOOKUP($B73,Outputs!$N:$R,3,FALSE),"")</f>
        <v>36.765374026596774</v>
      </c>
    </row>
    <row r="74" spans="1:17">
      <c r="A74" s="397">
        <f>IF(VLOOKUP(B74,TOCA_current!$B$2:$AG$137,32,FALSE)=0,0,1)</f>
        <v>0</v>
      </c>
      <c r="B74" t="s">
        <v>90</v>
      </c>
      <c r="C74" s="107" t="str">
        <f>IF(A74=1,VLOOKUP($B74,Outputs!$B:$F,2,FALSE),"")</f>
        <v/>
      </c>
      <c r="D74" s="107">
        <f>IF(A74=0,VLOOKUP($B74,Outputs!$B:$F,2,FALSE),"")</f>
        <v>4.5307527673636772E-2</v>
      </c>
      <c r="E74" s="115"/>
      <c r="F74" s="116" t="str">
        <f>IF(A74=1,VLOOKUP($B74,Outputs!$H:$L,2,FALSE),"")</f>
        <v/>
      </c>
      <c r="G74" s="117">
        <f>IF(A74=0,VLOOKUP($B74,Outputs!$H:$L,2,FALSE),"")</f>
        <v>4.5307527673636772E-2</v>
      </c>
      <c r="J74" s="110">
        <f ca="1">VLOOKUP($B74,Outputs!$N:$R,2,FALSE)</f>
        <v>3.8718079354859242E-2</v>
      </c>
      <c r="K74" s="110">
        <f>+VLOOKUP(B74,Outputs!T:U,2,FALSE)</f>
        <v>4.5913661612384082E-2</v>
      </c>
      <c r="L74" s="107" t="str">
        <f>IF($A74=1,VLOOKUP($B74,Outputs!$B:$F,3,FALSE),"")</f>
        <v/>
      </c>
      <c r="M74" s="107">
        <f>IF($A74=0,VLOOKUP($B74,Outputs!$B:$F,3,FALSE),"")</f>
        <v>36.595711510402431</v>
      </c>
      <c r="N74" s="107" t="str">
        <f>IF($A74=1,VLOOKUP($B74,Outputs!$H:$L,3,FALSE),"")</f>
        <v/>
      </c>
      <c r="O74" s="107">
        <f>IF($A74=0,VLOOKUP($B74,Outputs!$H:$L,3,FALSE),"")</f>
        <v>36.595711510402431</v>
      </c>
      <c r="P74" s="107" t="str">
        <f>IF($A74=1,VLOOKUP($B74,Outputs!$N:$R,3,FALSE),"")</f>
        <v/>
      </c>
      <c r="Q74" s="107">
        <f ca="1">IF($A74=0,VLOOKUP($B74,Outputs!$N:$R,3,FALSE),"")</f>
        <v>36.170244322915593</v>
      </c>
    </row>
    <row r="75" spans="1:17">
      <c r="A75" s="397">
        <f>IF(VLOOKUP(B75,TOCA_current!$B$2:$AG$137,32,FALSE)=0,0,1)</f>
        <v>0</v>
      </c>
      <c r="B75" t="s">
        <v>127</v>
      </c>
      <c r="C75" s="107" t="str">
        <f>IF(A75=1,VLOOKUP($B75,Outputs!$B:$F,2,FALSE),"")</f>
        <v/>
      </c>
      <c r="D75" s="107">
        <f>IF(A75=0,VLOOKUP($B75,Outputs!$B:$F,2,FALSE),"")</f>
        <v>4.8846895560599402E-2</v>
      </c>
      <c r="E75" s="115"/>
      <c r="F75" s="116" t="str">
        <f>IF(A75=1,VLOOKUP($B75,Outputs!$H:$L,2,FALSE),"")</f>
        <v/>
      </c>
      <c r="G75" s="117">
        <f>IF(A75=0,VLOOKUP($B75,Outputs!$H:$L,2,FALSE),"")</f>
        <v>4.8846895560599402E-2</v>
      </c>
      <c r="J75" s="110">
        <f ca="1">VLOOKUP($B75,Outputs!$N:$R,2,FALSE)</f>
        <v>4.1498849685795314E-2</v>
      </c>
      <c r="K75" s="110">
        <f>+VLOOKUP(B75,Outputs!T:U,2,FALSE)</f>
        <v>7.0222808428273886E-2</v>
      </c>
      <c r="L75" s="107" t="str">
        <f>IF($A75=1,VLOOKUP($B75,Outputs!$B:$F,3,FALSE),"")</f>
        <v/>
      </c>
      <c r="M75" s="107">
        <f>IF($A75=0,VLOOKUP($B75,Outputs!$B:$F,3,FALSE),"")</f>
        <v>38.881756683370241</v>
      </c>
      <c r="N75" s="107" t="str">
        <f>IF($A75=1,VLOOKUP($B75,Outputs!$H:$L,3,FALSE),"")</f>
        <v/>
      </c>
      <c r="O75" s="107">
        <f>IF($A75=0,VLOOKUP($B75,Outputs!$H:$L,3,FALSE),"")</f>
        <v>38.881756683370241</v>
      </c>
      <c r="P75" s="107" t="str">
        <f>IF($A75=1,VLOOKUP($B75,Outputs!$N:$R,3,FALSE),"")</f>
        <v/>
      </c>
      <c r="Q75" s="107">
        <f ca="1">IF($A75=0,VLOOKUP($B75,Outputs!$N:$R,3,FALSE),"")</f>
        <v>38.234313829284432</v>
      </c>
    </row>
    <row r="76" spans="1:17">
      <c r="A76" s="397">
        <f>IF(VLOOKUP(B76,TOCA_current!$B$2:$AG$137,32,FALSE)=0,0,1)</f>
        <v>0</v>
      </c>
      <c r="B76" t="s">
        <v>126</v>
      </c>
      <c r="C76" s="107" t="str">
        <f>IF(A76=1,VLOOKUP($B76,Outputs!$B:$F,2,FALSE),"")</f>
        <v/>
      </c>
      <c r="D76" s="107">
        <f>IF(A76=0,VLOOKUP($B76,Outputs!$B:$F,2,FALSE),"")</f>
        <v>6.0157194807881398E-2</v>
      </c>
      <c r="E76" s="115"/>
      <c r="F76" s="116" t="str">
        <f>IF(A76=1,VLOOKUP($B76,Outputs!$H:$L,2,FALSE),"")</f>
        <v/>
      </c>
      <c r="G76" s="117">
        <f>IF(A76=0,VLOOKUP($B76,Outputs!$H:$L,2,FALSE),"")</f>
        <v>6.0157194807881398E-2</v>
      </c>
      <c r="J76" s="110">
        <f ca="1">VLOOKUP($B76,Outputs!$N:$R,2,FALSE)</f>
        <v>5.0544745448693758E-2</v>
      </c>
      <c r="K76" s="110">
        <f>+VLOOKUP(B76,Outputs!T:U,2,FALSE)</f>
        <v>2.4660921585944351E-2</v>
      </c>
      <c r="L76" s="107" t="str">
        <f>IF($A76=1,VLOOKUP($B76,Outputs!$B:$F,3,FALSE),"")</f>
        <v/>
      </c>
      <c r="M76" s="107">
        <f>IF($A76=0,VLOOKUP($B76,Outputs!$B:$F,3,FALSE),"")</f>
        <v>36.85485294640025</v>
      </c>
      <c r="N76" s="107" t="str">
        <f>IF($A76=1,VLOOKUP($B76,Outputs!$H:$L,3,FALSE),"")</f>
        <v/>
      </c>
      <c r="O76" s="107">
        <f>IF($A76=0,VLOOKUP($B76,Outputs!$H:$L,3,FALSE),"")</f>
        <v>36.85485294640025</v>
      </c>
      <c r="P76" s="107" t="str">
        <f>IF($A76=1,VLOOKUP($B76,Outputs!$N:$R,3,FALSE),"")</f>
        <v/>
      </c>
      <c r="Q76" s="107">
        <f ca="1">IF($A76=0,VLOOKUP($B76,Outputs!$N:$R,3,FALSE),"")</f>
        <v>36.282493519321861</v>
      </c>
    </row>
    <row r="77" spans="1:17">
      <c r="A77" s="397">
        <f>IF(VLOOKUP(B77,TOCA_current!$B$2:$AG$137,32,FALSE)=0,0,1)</f>
        <v>0</v>
      </c>
      <c r="B77" t="s">
        <v>122</v>
      </c>
      <c r="C77" s="107" t="str">
        <f>IF(A77=1,VLOOKUP($B77,Outputs!$B:$F,2,FALSE),"")</f>
        <v/>
      </c>
      <c r="D77" s="107">
        <f>IF(A77=0,VLOOKUP($B77,Outputs!$B:$F,2,FALSE),"")</f>
        <v>3.7785151930806116E-2</v>
      </c>
      <c r="E77" s="115"/>
      <c r="F77" s="116" t="str">
        <f>IF(A77=1,VLOOKUP($B77,Outputs!$H:$L,2,FALSE),"")</f>
        <v/>
      </c>
      <c r="G77" s="117">
        <f>IF(A77=0,VLOOKUP($B77,Outputs!$H:$L,2,FALSE),"")</f>
        <v>3.7785151930806116E-2</v>
      </c>
      <c r="J77" s="110">
        <f ca="1">VLOOKUP($B77,Outputs!$N:$R,2,FALSE)</f>
        <v>4.3735050130586185E-2</v>
      </c>
      <c r="K77" s="110">
        <f>+VLOOKUP(B77,Outputs!T:U,2,FALSE)</f>
        <v>4.7198345242477568E-2</v>
      </c>
      <c r="L77" s="107" t="str">
        <f>IF($A77=1,VLOOKUP($B77,Outputs!$B:$F,3,FALSE),"")</f>
        <v/>
      </c>
      <c r="M77" s="107">
        <f>IF($A77=0,VLOOKUP($B77,Outputs!$B:$F,3,FALSE),"")</f>
        <v>33.969965268644351</v>
      </c>
      <c r="N77" s="107" t="str">
        <f>IF($A77=1,VLOOKUP($B77,Outputs!$H:$L,3,FALSE),"")</f>
        <v/>
      </c>
      <c r="O77" s="107">
        <f>IF($A77=0,VLOOKUP($B77,Outputs!$H:$L,3,FALSE),"")</f>
        <v>33.969965268644351</v>
      </c>
      <c r="P77" s="107" t="str">
        <f>IF($A77=1,VLOOKUP($B77,Outputs!$N:$R,3,FALSE),"")</f>
        <v/>
      </c>
      <c r="Q77" s="107">
        <f ca="1">IF($A77=0,VLOOKUP($B77,Outputs!$N:$R,3,FALSE),"")</f>
        <v>34.378852001463194</v>
      </c>
    </row>
    <row r="78" spans="1:17">
      <c r="A78" s="397">
        <f>IF(VLOOKUP(B78,TOCA_current!$B$2:$AG$137,32,FALSE)=0,0,1)</f>
        <v>0</v>
      </c>
      <c r="B78" t="s">
        <v>104</v>
      </c>
      <c r="C78" s="107" t="str">
        <f>IF(A78=1,VLOOKUP($B78,Outputs!$B:$F,2,FALSE),"")</f>
        <v/>
      </c>
      <c r="D78" s="107">
        <f>IF(A78=0,VLOOKUP($B78,Outputs!$B:$F,2,FALSE),"")</f>
        <v>4.7371453708598077E-2</v>
      </c>
      <c r="E78" s="115"/>
      <c r="F78" s="116" t="str">
        <f>IF(A78=1,VLOOKUP($B78,Outputs!$H:$L,2,FALSE),"")</f>
        <v/>
      </c>
      <c r="G78" s="117">
        <f>IF(A78=0,VLOOKUP($B78,Outputs!$H:$L,2,FALSE),"")</f>
        <v>4.7371453708598077E-2</v>
      </c>
      <c r="J78" s="110">
        <f ca="1">VLOOKUP($B78,Outputs!$N:$R,2,FALSE)</f>
        <v>4.1569553751688221E-2</v>
      </c>
      <c r="K78" s="110">
        <f>+VLOOKUP(B78,Outputs!T:U,2,FALSE)</f>
        <v>3.1394122927452361E-2</v>
      </c>
      <c r="L78" s="107" t="str">
        <f>IF($A78=1,VLOOKUP($B78,Outputs!$B:$F,3,FALSE),"")</f>
        <v/>
      </c>
      <c r="M78" s="107">
        <f>IF($A78=0,VLOOKUP($B78,Outputs!$B:$F,3,FALSE),"")</f>
        <v>37.344997395560291</v>
      </c>
      <c r="N78" s="107" t="str">
        <f>IF($A78=1,VLOOKUP($B78,Outputs!$H:$L,3,FALSE),"")</f>
        <v/>
      </c>
      <c r="O78" s="107">
        <f>IF($A78=0,VLOOKUP($B78,Outputs!$H:$L,3,FALSE),"")</f>
        <v>37.344997395560291</v>
      </c>
      <c r="P78" s="107" t="str">
        <f>IF($A78=1,VLOOKUP($B78,Outputs!$N:$R,3,FALSE),"")</f>
        <v/>
      </c>
      <c r="Q78" s="107">
        <f ca="1">IF($A78=0,VLOOKUP($B78,Outputs!$N:$R,3,FALSE),"")</f>
        <v>37.010641253003179</v>
      </c>
    </row>
    <row r="79" spans="1:17">
      <c r="A79" s="397">
        <f>IF(VLOOKUP(B79,TOCA_current!$B$2:$AG$137,32,FALSE)=0,0,1)</f>
        <v>0</v>
      </c>
      <c r="B79" t="s">
        <v>109</v>
      </c>
      <c r="C79" s="107" t="str">
        <f>IF(A79=1,VLOOKUP($B79,Outputs!$B:$F,2,FALSE),"")</f>
        <v/>
      </c>
      <c r="D79" s="107">
        <f>IF(A79=0,VLOOKUP($B79,Outputs!$B:$F,2,FALSE),"")</f>
        <v>4.6273305199727721E-2</v>
      </c>
      <c r="E79" s="115"/>
      <c r="F79" s="116" t="str">
        <f>IF(A79=1,VLOOKUP($B79,Outputs!$H:$L,2,FALSE),"")</f>
        <v/>
      </c>
      <c r="G79" s="117">
        <f>IF(A79=0,VLOOKUP($B79,Outputs!$H:$L,2,FALSE),"")</f>
        <v>4.6273305199727721E-2</v>
      </c>
      <c r="J79" s="110">
        <f ca="1">VLOOKUP($B79,Outputs!$N:$R,2,FALSE)</f>
        <v>4.0632782605194831E-2</v>
      </c>
      <c r="K79" s="110">
        <f>+VLOOKUP(B79,Outputs!T:U,2,FALSE)</f>
        <v>4.1008180433786734E-2</v>
      </c>
      <c r="L79" s="107" t="str">
        <f>IF($A79=1,VLOOKUP($B79,Outputs!$B:$F,3,FALSE),"")</f>
        <v/>
      </c>
      <c r="M79" s="107">
        <f>IF($A79=0,VLOOKUP($B79,Outputs!$B:$F,3,FALSE),"")</f>
        <v>32.626810560467128</v>
      </c>
      <c r="N79" s="107" t="str">
        <f>IF($A79=1,VLOOKUP($B79,Outputs!$H:$L,3,FALSE),"")</f>
        <v/>
      </c>
      <c r="O79" s="107">
        <f>IF($A79=0,VLOOKUP($B79,Outputs!$H:$L,3,FALSE),"")</f>
        <v>32.626810560467128</v>
      </c>
      <c r="P79" s="107" t="str">
        <f>IF($A79=1,VLOOKUP($B79,Outputs!$N:$R,3,FALSE),"")</f>
        <v/>
      </c>
      <c r="Q79" s="107">
        <f ca="1">IF($A79=0,VLOOKUP($B79,Outputs!$N:$R,3,FALSE),"")</f>
        <v>32.587432784495604</v>
      </c>
    </row>
    <row r="80" spans="1:17">
      <c r="A80" s="397">
        <f>IF(VLOOKUP(B80,TOCA_current!$B$2:$AG$137,32,FALSE)=0,0,1)</f>
        <v>0</v>
      </c>
      <c r="B80" t="s">
        <v>59</v>
      </c>
      <c r="C80" s="107" t="str">
        <f>IF(A80=1,VLOOKUP($B80,Outputs!$B:$F,2,FALSE),"")</f>
        <v/>
      </c>
      <c r="D80" s="107">
        <f>IF(A80=0,VLOOKUP($B80,Outputs!$B:$F,2,FALSE),"")</f>
        <v>5.6967176280829701E-2</v>
      </c>
      <c r="E80" s="115"/>
      <c r="F80" s="116" t="str">
        <f>IF(A80=1,VLOOKUP($B80,Outputs!$H:$L,2,FALSE),"")</f>
        <v/>
      </c>
      <c r="G80" s="117">
        <f>IF(A80=0,VLOOKUP($B80,Outputs!$H:$L,2,FALSE),"")</f>
        <v>5.6967176280829701E-2</v>
      </c>
      <c r="J80" s="110">
        <f ca="1">VLOOKUP($B80,Outputs!$N:$R,2,FALSE)</f>
        <v>4.6720160855619745E-2</v>
      </c>
      <c r="K80" s="110">
        <f>+VLOOKUP(B80,Outputs!T:U,2,FALSE)</f>
        <v>7.1312289638824744E-2</v>
      </c>
      <c r="L80" s="107" t="str">
        <f>IF($A80=1,VLOOKUP($B80,Outputs!$B:$F,3,FALSE),"")</f>
        <v/>
      </c>
      <c r="M80" s="107">
        <f>IF($A80=0,VLOOKUP($B80,Outputs!$B:$F,3,FALSE),"")</f>
        <v>39.229295154682653</v>
      </c>
      <c r="N80" s="107" t="str">
        <f>IF($A80=1,VLOOKUP($B80,Outputs!$H:$L,3,FALSE),"")</f>
        <v/>
      </c>
      <c r="O80" s="107">
        <f>IF($A80=0,VLOOKUP($B80,Outputs!$H:$L,3,FALSE),"")</f>
        <v>39.229295154682653</v>
      </c>
      <c r="P80" s="107" t="str">
        <f>IF($A80=1,VLOOKUP($B80,Outputs!$N:$R,3,FALSE),"")</f>
        <v/>
      </c>
      <c r="Q80" s="107">
        <f ca="1">IF($A80=0,VLOOKUP($B80,Outputs!$N:$R,3,FALSE),"")</f>
        <v>38.546476174232566</v>
      </c>
    </row>
    <row r="81" spans="1:17">
      <c r="A81" s="397">
        <f>IF(VLOOKUP(B81,TOCA_current!$B$2:$AG$137,32,FALSE)=0,0,1)</f>
        <v>0</v>
      </c>
      <c r="B81" t="s">
        <v>80</v>
      </c>
      <c r="C81" s="107" t="str">
        <f>IF(A81=1,VLOOKUP($B81,Outputs!$B:$F,2,FALSE),"")</f>
        <v/>
      </c>
      <c r="D81" s="107">
        <f>IF(A81=0,VLOOKUP($B81,Outputs!$B:$F,2,FALSE),"")</f>
        <v>5.0285783129084383E-2</v>
      </c>
      <c r="E81" s="115"/>
      <c r="F81" s="116" t="str">
        <f>IF(A81=1,VLOOKUP($B81,Outputs!$H:$L,2,FALSE),"")</f>
        <v/>
      </c>
      <c r="G81" s="117">
        <f>IF(A81=0,VLOOKUP($B81,Outputs!$H:$L,2,FALSE),"")</f>
        <v>5.0285783129084383E-2</v>
      </c>
      <c r="J81" s="110">
        <f ca="1">VLOOKUP($B81,Outputs!$N:$R,2,FALSE)</f>
        <v>4.4383830537384386E-2</v>
      </c>
      <c r="K81" s="110">
        <f>+VLOOKUP(B81,Outputs!T:U,2,FALSE)</f>
        <v>5.9510327506618665E-2</v>
      </c>
      <c r="L81" s="107" t="str">
        <f>IF($A81=1,VLOOKUP($B81,Outputs!$B:$F,3,FALSE),"")</f>
        <v/>
      </c>
      <c r="M81" s="107">
        <f>IF($A81=0,VLOOKUP($B81,Outputs!$B:$F,3,FALSE),"")</f>
        <v>38.406630427576637</v>
      </c>
      <c r="N81" s="107" t="str">
        <f>IF($A81=1,VLOOKUP($B81,Outputs!$H:$L,3,FALSE),"")</f>
        <v/>
      </c>
      <c r="O81" s="107">
        <f>IF($A81=0,VLOOKUP($B81,Outputs!$H:$L,3,FALSE),"")</f>
        <v>38.406630427576637</v>
      </c>
      <c r="P81" s="107" t="str">
        <f>IF($A81=1,VLOOKUP($B81,Outputs!$N:$R,3,FALSE),"")</f>
        <v/>
      </c>
      <c r="Q81" s="107">
        <f ca="1">IF($A81=0,VLOOKUP($B81,Outputs!$N:$R,3,FALSE),"")</f>
        <v>37.863431254047732</v>
      </c>
    </row>
    <row r="82" spans="1:17">
      <c r="A82" s="397">
        <f>IF(VLOOKUP(B82,TOCA_current!$B$2:$AG$137,32,FALSE)=0,0,1)</f>
        <v>0</v>
      </c>
      <c r="B82" t="s">
        <v>78</v>
      </c>
      <c r="C82" s="107" t="str">
        <f>IF(A82=1,VLOOKUP($B82,Outputs!$B:$F,2,FALSE),"")</f>
        <v/>
      </c>
      <c r="D82" s="107">
        <f>IF(A82=0,VLOOKUP($B82,Outputs!$B:$F,2,FALSE),"")</f>
        <v>3.9013322894584368E-2</v>
      </c>
      <c r="E82" s="115"/>
      <c r="F82" s="116" t="str">
        <f>IF(A82=1,VLOOKUP($B82,Outputs!$H:$L,2,FALSE),"")</f>
        <v/>
      </c>
      <c r="G82" s="117">
        <f>IF(A82=0,VLOOKUP($B82,Outputs!$H:$L,2,FALSE),"")</f>
        <v>3.9013322894584368E-2</v>
      </c>
      <c r="J82" s="110">
        <f ca="1">VLOOKUP($B82,Outputs!$N:$R,2,FALSE)</f>
        <v>3.2278040031060724E-2</v>
      </c>
      <c r="K82" s="110">
        <f>+VLOOKUP(B82,Outputs!T:U,2,FALSE)</f>
        <v>0.1411943476881421</v>
      </c>
      <c r="L82" s="107" t="str">
        <f>IF($A82=1,VLOOKUP($B82,Outputs!$B:$F,3,FALSE),"")</f>
        <v/>
      </c>
      <c r="M82" s="107">
        <f>IF($A82=0,VLOOKUP($B82,Outputs!$B:$F,3,FALSE),"")</f>
        <v>34.620015787075154</v>
      </c>
      <c r="N82" s="107" t="str">
        <f>IF($A82=1,VLOOKUP($B82,Outputs!$H:$L,3,FALSE),"")</f>
        <v/>
      </c>
      <c r="O82" s="107">
        <f>IF($A82=0,VLOOKUP($B82,Outputs!$H:$L,3,FALSE),"")</f>
        <v>34.620015787075154</v>
      </c>
      <c r="P82" s="107" t="str">
        <f>IF($A82=1,VLOOKUP($B82,Outputs!$N:$R,3,FALSE),"")</f>
        <v/>
      </c>
      <c r="Q82" s="107">
        <f ca="1">IF($A82=0,VLOOKUP($B82,Outputs!$N:$R,3,FALSE),"")</f>
        <v>33.999026831878268</v>
      </c>
    </row>
    <row r="83" spans="1:17">
      <c r="A83" s="397">
        <f>IF(VLOOKUP(B83,TOCA_current!$B$2:$AG$137,32,FALSE)=0,0,1)</f>
        <v>1</v>
      </c>
      <c r="B83" t="s">
        <v>100</v>
      </c>
      <c r="C83" s="107">
        <f>IF(A83=1,VLOOKUP($B83,Outputs!$B:$F,2,FALSE),"")</f>
        <v>4.8113098464468207E-2</v>
      </c>
      <c r="D83" s="107" t="str">
        <f>IF(A83=0,VLOOKUP($B83,Outputs!$B:$F,2,FALSE),"")</f>
        <v/>
      </c>
      <c r="E83" s="115"/>
      <c r="F83" s="116">
        <f>IF(A83=1,VLOOKUP($B83,Outputs!$H:$L,2,FALSE),"")</f>
        <v>6.502400004976483E-2</v>
      </c>
      <c r="G83" s="117" t="str">
        <f>IF(A83=0,VLOOKUP($B83,Outputs!$H:$L,2,FALSE),"")</f>
        <v/>
      </c>
      <c r="J83" s="110">
        <f ca="1">VLOOKUP($B83,Outputs!$N:$R,2,FALSE)</f>
        <v>4.7511037968354118E-2</v>
      </c>
      <c r="K83" s="110">
        <f>+VLOOKUP(B83,Outputs!T:U,2,FALSE)</f>
        <v>6.5042460633643273E-2</v>
      </c>
      <c r="L83" s="107">
        <f>IF($A83=1,VLOOKUP($B83,Outputs!$B:$F,3,FALSE),"")</f>
        <v>39.656058668457653</v>
      </c>
      <c r="M83" s="107" t="str">
        <f>IF($A83=0,VLOOKUP($B83,Outputs!$B:$F,3,FALSE),"")</f>
        <v/>
      </c>
      <c r="N83" s="107">
        <f>IF($A83=1,VLOOKUP($B83,Outputs!$H:$L,3,FALSE),"")</f>
        <v>36.654464510196959</v>
      </c>
      <c r="O83" s="107" t="str">
        <f>IF($A83=0,VLOOKUP($B83,Outputs!$H:$L,3,FALSE),"")</f>
        <v/>
      </c>
      <c r="P83" s="107">
        <f ca="1">IF($A83=1,VLOOKUP($B83,Outputs!$N:$R,3,FALSE),"")</f>
        <v>35.987622065440313</v>
      </c>
      <c r="Q83" s="107" t="str">
        <f>IF($A83=0,VLOOKUP($B83,Outputs!$N:$R,3,FALSE),"")</f>
        <v/>
      </c>
    </row>
    <row r="84" spans="1:17">
      <c r="A84" s="397">
        <f>IF(VLOOKUP(B84,TOCA_current!$B$2:$AG$137,32,FALSE)=0,0,1)</f>
        <v>0</v>
      </c>
      <c r="B84" t="s">
        <v>89</v>
      </c>
      <c r="C84" s="107" t="str">
        <f>IF(A84=1,VLOOKUP($B84,Outputs!$B:$F,2,FALSE),"")</f>
        <v/>
      </c>
      <c r="D84" s="107">
        <f>IF(A84=0,VLOOKUP($B84,Outputs!$B:$F,2,FALSE),"")</f>
        <v>5.3080928727231136E-2</v>
      </c>
      <c r="E84" s="115"/>
      <c r="F84" s="116" t="str">
        <f>IF(A84=1,VLOOKUP($B84,Outputs!$H:$L,2,FALSE),"")</f>
        <v/>
      </c>
      <c r="G84" s="117">
        <f>IF(A84=0,VLOOKUP($B84,Outputs!$H:$L,2,FALSE),"")</f>
        <v>5.3080928727231136E-2</v>
      </c>
      <c r="J84" s="110">
        <f ca="1">VLOOKUP($B84,Outputs!$N:$R,2,FALSE)</f>
        <v>3.7257758195489238E-2</v>
      </c>
      <c r="K84" s="110">
        <f>+VLOOKUP(B84,Outputs!T:U,2,FALSE)</f>
        <v>5.5084907963591112E-2</v>
      </c>
      <c r="L84" s="107" t="str">
        <f>IF($A84=1,VLOOKUP($B84,Outputs!$B:$F,3,FALSE),"")</f>
        <v/>
      </c>
      <c r="M84" s="107">
        <f>IF($A84=0,VLOOKUP($B84,Outputs!$B:$F,3,FALSE),"")</f>
        <v>36.289680540679434</v>
      </c>
      <c r="N84" s="107" t="str">
        <f>IF($A84=1,VLOOKUP($B84,Outputs!$H:$L,3,FALSE),"")</f>
        <v/>
      </c>
      <c r="O84" s="107">
        <f>IF($A84=0,VLOOKUP($B84,Outputs!$H:$L,3,FALSE),"")</f>
        <v>36.289680540679434</v>
      </c>
      <c r="P84" s="107" t="str">
        <f>IF($A84=1,VLOOKUP($B84,Outputs!$N:$R,3,FALSE),"")</f>
        <v/>
      </c>
      <c r="Q84" s="107">
        <f ca="1">IF($A84=0,VLOOKUP($B84,Outputs!$N:$R,3,FALSE),"")</f>
        <v>35.384661104083953</v>
      </c>
    </row>
    <row r="85" spans="1:17">
      <c r="A85" s="397">
        <f>IF(VLOOKUP(B85,TOCA_current!$B$2:$AG$137,32,FALSE)=0,0,1)</f>
        <v>0</v>
      </c>
      <c r="B85" t="s">
        <v>51</v>
      </c>
      <c r="C85" s="107" t="str">
        <f>IF(A85=1,VLOOKUP($B85,Outputs!$B:$F,2,FALSE),"")</f>
        <v/>
      </c>
      <c r="D85" s="107">
        <f>IF(A85=0,VLOOKUP($B85,Outputs!$B:$F,2,FALSE),"")</f>
        <v>1.8014214151025776E-2</v>
      </c>
      <c r="E85" s="115"/>
      <c r="F85" s="116" t="str">
        <f>IF(A85=1,VLOOKUP($B85,Outputs!$H:$L,2,FALSE),"")</f>
        <v/>
      </c>
      <c r="G85" s="117">
        <f>IF(A85=0,VLOOKUP($B85,Outputs!$H:$L,2,FALSE),"")</f>
        <v>1.8014214151025776E-2</v>
      </c>
      <c r="J85" s="110">
        <f ca="1">VLOOKUP($B85,Outputs!$N:$R,2,FALSE)</f>
        <v>3.7788956786441917E-2</v>
      </c>
      <c r="K85" s="110">
        <f>+VLOOKUP(B85,Outputs!T:U,2,FALSE)</f>
        <v>9.0016020023109267E-3</v>
      </c>
      <c r="L85" s="107" t="str">
        <f>IF($A85=1,VLOOKUP($B85,Outputs!$B:$F,3,FALSE),"")</f>
        <v/>
      </c>
      <c r="M85" s="107">
        <f>IF($A85=0,VLOOKUP($B85,Outputs!$B:$F,3,FALSE),"")</f>
        <v>29.445616159535046</v>
      </c>
      <c r="N85" s="107" t="str">
        <f>IF($A85=1,VLOOKUP($B85,Outputs!$H:$L,3,FALSE),"")</f>
        <v/>
      </c>
      <c r="O85" s="107">
        <f>IF($A85=0,VLOOKUP($B85,Outputs!$H:$L,3,FALSE),"")</f>
        <v>29.445616159535046</v>
      </c>
      <c r="P85" s="107" t="str">
        <f>IF($A85=1,VLOOKUP($B85,Outputs!$N:$R,3,FALSE),"")</f>
        <v/>
      </c>
      <c r="Q85" s="107">
        <f ca="1">IF($A85=0,VLOOKUP($B85,Outputs!$N:$R,3,FALSE),"")</f>
        <v>30.452203950522545</v>
      </c>
    </row>
    <row r="86" spans="1:17">
      <c r="A86" s="397">
        <f>IF(VLOOKUP(B86,TOCA_current!$B$2:$AG$137,32,FALSE)=0,0,1)</f>
        <v>0</v>
      </c>
      <c r="B86" t="s">
        <v>108</v>
      </c>
      <c r="C86" s="107" t="str">
        <f>IF(A86=1,VLOOKUP($B86,Outputs!$B:$F,2,FALSE),"")</f>
        <v/>
      </c>
      <c r="D86" s="107">
        <f>IF(A86=0,VLOOKUP($B86,Outputs!$B:$F,2,FALSE),"")</f>
        <v>5.0054876932702941E-2</v>
      </c>
      <c r="E86" s="115"/>
      <c r="F86" s="116" t="str">
        <f>IF(A86=1,VLOOKUP($B86,Outputs!$H:$L,2,FALSE),"")</f>
        <v/>
      </c>
      <c r="G86" s="117">
        <f>IF(A86=0,VLOOKUP($B86,Outputs!$H:$L,2,FALSE),"")</f>
        <v>5.0054876932702941E-2</v>
      </c>
      <c r="J86" s="110">
        <f ca="1">VLOOKUP($B86,Outputs!$N:$R,2,FALSE)</f>
        <v>4.3948619573353984E-2</v>
      </c>
      <c r="K86" s="110">
        <f>+VLOOKUP(B86,Outputs!T:U,2,FALSE)</f>
        <v>5.5422430775696974E-2</v>
      </c>
      <c r="L86" s="107" t="str">
        <f>IF($A86=1,VLOOKUP($B86,Outputs!$B:$F,3,FALSE),"")</f>
        <v/>
      </c>
      <c r="M86" s="107">
        <f>IF($A86=0,VLOOKUP($B86,Outputs!$B:$F,3,FALSE),"")</f>
        <v>38.695088345612653</v>
      </c>
      <c r="N86" s="107" t="str">
        <f>IF($A86=1,VLOOKUP($B86,Outputs!$H:$L,3,FALSE),"")</f>
        <v/>
      </c>
      <c r="O86" s="107">
        <f>IF($A86=0,VLOOKUP($B86,Outputs!$H:$L,3,FALSE),"")</f>
        <v>38.695088345612653</v>
      </c>
      <c r="P86" s="107" t="str">
        <f>IF($A86=1,VLOOKUP($B86,Outputs!$N:$R,3,FALSE),"")</f>
        <v/>
      </c>
      <c r="Q86" s="107">
        <f ca="1">IF($A86=0,VLOOKUP($B86,Outputs!$N:$R,3,FALSE),"")</f>
        <v>38.111535586235014</v>
      </c>
    </row>
    <row r="87" spans="1:17">
      <c r="A87" s="397">
        <f>IF(VLOOKUP(B87,TOCA_current!$B$2:$AG$137,32,FALSE)=0,0,1)</f>
        <v>0</v>
      </c>
      <c r="B87" t="s">
        <v>139</v>
      </c>
      <c r="C87" s="107" t="str">
        <f>IF(A87=1,VLOOKUP($B87,Outputs!$B:$F,2,FALSE),"")</f>
        <v/>
      </c>
      <c r="D87" s="107">
        <f>IF(A87=0,VLOOKUP($B87,Outputs!$B:$F,2,FALSE),"")</f>
        <v>5.1521817024703154E-2</v>
      </c>
      <c r="E87" s="115"/>
      <c r="F87" s="116" t="str">
        <f>IF(A87=1,VLOOKUP($B87,Outputs!$H:$L,2,FALSE),"")</f>
        <v/>
      </c>
      <c r="G87" s="117">
        <f>IF(A87=0,VLOOKUP($B87,Outputs!$H:$L,2,FALSE),"")</f>
        <v>5.1521817024703154E-2</v>
      </c>
      <c r="J87" s="110">
        <f ca="1">VLOOKUP($B87,Outputs!$N:$R,2,FALSE)</f>
        <v>3.9552893086220953E-2</v>
      </c>
      <c r="K87" s="110">
        <f>+VLOOKUP(B87,Outputs!T:U,2,FALSE)</f>
        <v>6.3763127447734602E-2</v>
      </c>
      <c r="L87" s="107" t="str">
        <f>IF($A87=1,VLOOKUP($B87,Outputs!$B:$F,3,FALSE),"")</f>
        <v/>
      </c>
      <c r="M87" s="107">
        <f>IF($A87=0,VLOOKUP($B87,Outputs!$B:$F,3,FALSE),"")</f>
        <v>39.335542638198049</v>
      </c>
      <c r="N87" s="107" t="str">
        <f>IF($A87=1,VLOOKUP($B87,Outputs!$H:$L,3,FALSE),"")</f>
        <v/>
      </c>
      <c r="O87" s="107">
        <f>IF($A87=0,VLOOKUP($B87,Outputs!$H:$L,3,FALSE),"")</f>
        <v>39.335542638198049</v>
      </c>
      <c r="P87" s="107" t="str">
        <f>IF($A87=1,VLOOKUP($B87,Outputs!$N:$R,3,FALSE),"")</f>
        <v/>
      </c>
      <c r="Q87" s="107">
        <f ca="1">IF($A87=0,VLOOKUP($B87,Outputs!$N:$R,3,FALSE),"")</f>
        <v>38.693172032343426</v>
      </c>
    </row>
    <row r="88" spans="1:17">
      <c r="A88" s="397">
        <f>IF(VLOOKUP(B88,TOCA_current!$B$2:$AG$137,32,FALSE)=0,0,1)</f>
        <v>0</v>
      </c>
      <c r="B88" t="s">
        <v>88</v>
      </c>
      <c r="C88" s="107" t="str">
        <f>IF(A88=1,VLOOKUP($B88,Outputs!$B:$F,2,FALSE),"")</f>
        <v/>
      </c>
      <c r="D88" s="107">
        <f>IF(A88=0,VLOOKUP($B88,Outputs!$B:$F,2,FALSE),"")</f>
        <v>4.8621317731773583E-2</v>
      </c>
      <c r="E88" s="115"/>
      <c r="F88" s="116" t="str">
        <f>IF(A88=1,VLOOKUP($B88,Outputs!$H:$L,2,FALSE),"")</f>
        <v/>
      </c>
      <c r="G88" s="117">
        <f>IF(A88=0,VLOOKUP($B88,Outputs!$H:$L,2,FALSE),"")</f>
        <v>4.8621317731773583E-2</v>
      </c>
      <c r="J88" s="110">
        <f ca="1">VLOOKUP($B88,Outputs!$N:$R,2,FALSE)</f>
        <v>4.4041208396775944E-2</v>
      </c>
      <c r="K88" s="110">
        <f>+VLOOKUP(B88,Outputs!T:U,2,FALSE)</f>
        <v>7.0780457096947025E-2</v>
      </c>
      <c r="L88" s="107" t="str">
        <f>IF($A88=1,VLOOKUP($B88,Outputs!$B:$F,3,FALSE),"")</f>
        <v/>
      </c>
      <c r="M88" s="107">
        <f>IF($A88=0,VLOOKUP($B88,Outputs!$B:$F,3,FALSE),"")</f>
        <v>35.047119113881358</v>
      </c>
      <c r="N88" s="107" t="str">
        <f>IF($A88=1,VLOOKUP($B88,Outputs!$H:$L,3,FALSE),"")</f>
        <v/>
      </c>
      <c r="O88" s="107">
        <f>IF($A88=0,VLOOKUP($B88,Outputs!$H:$L,3,FALSE),"")</f>
        <v>35.047119113881358</v>
      </c>
      <c r="P88" s="107" t="str">
        <f>IF($A88=1,VLOOKUP($B88,Outputs!$N:$R,3,FALSE),"")</f>
        <v/>
      </c>
      <c r="Q88" s="107">
        <f ca="1">IF($A88=0,VLOOKUP($B88,Outputs!$N:$R,3,FALSE),"")</f>
        <v>34.79736302373761</v>
      </c>
    </row>
    <row r="89" spans="1:17">
      <c r="A89" s="397">
        <f>IF(VLOOKUP(B89,TOCA_current!$B$2:$AG$137,32,FALSE)=0,0,1)</f>
        <v>1</v>
      </c>
      <c r="B89" t="s">
        <v>97</v>
      </c>
      <c r="C89" s="107">
        <f>IF(A89=1,VLOOKUP($B89,Outputs!$B:$F,2,FALSE),"")</f>
        <v>5.203057285048085E-2</v>
      </c>
      <c r="D89" s="107" t="str">
        <f>IF(A89=0,VLOOKUP($B89,Outputs!$B:$F,2,FALSE),"")</f>
        <v/>
      </c>
      <c r="E89" s="115"/>
      <c r="F89" s="116">
        <f>IF(A89=1,VLOOKUP($B89,Outputs!$H:$L,2,FALSE),"")</f>
        <v>7.3709831627048583E-2</v>
      </c>
      <c r="G89" s="117" t="str">
        <f>IF(A89=0,VLOOKUP($B89,Outputs!$H:$L,2,FALSE),"")</f>
        <v/>
      </c>
      <c r="J89" s="110">
        <f ca="1">VLOOKUP($B89,Outputs!$N:$R,2,FALSE)</f>
        <v>5.2202051881906075E-2</v>
      </c>
      <c r="K89" s="110">
        <f>+VLOOKUP(B89,Outputs!T:U,2,FALSE)</f>
        <v>7.3714261907603662E-2</v>
      </c>
      <c r="L89" s="107">
        <f>IF($A89=1,VLOOKUP($B89,Outputs!$B:$F,3,FALSE),"")</f>
        <v>38.076608188242048</v>
      </c>
      <c r="M89" s="107" t="str">
        <f>IF($A89=0,VLOOKUP($B89,Outputs!$B:$F,3,FALSE),"")</f>
        <v/>
      </c>
      <c r="N89" s="107">
        <f>IF($A89=1,VLOOKUP($B89,Outputs!$H:$L,3,FALSE),"")</f>
        <v>33.283911483274018</v>
      </c>
      <c r="O89" s="107" t="str">
        <f>IF($A89=0,VLOOKUP($B89,Outputs!$H:$L,3,FALSE),"")</f>
        <v/>
      </c>
      <c r="P89" s="107">
        <f ca="1">IF($A89=1,VLOOKUP($B89,Outputs!$N:$R,3,FALSE),"")</f>
        <v>32.285371399950094</v>
      </c>
      <c r="Q89" s="107" t="str">
        <f>IF($A89=0,VLOOKUP($B89,Outputs!$N:$R,3,FALSE),"")</f>
        <v/>
      </c>
    </row>
    <row r="90" spans="1:17">
      <c r="A90" s="397">
        <f>IF(VLOOKUP(B90,TOCA_current!$B$2:$AG$137,32,FALSE)=0,0,1)</f>
        <v>0</v>
      </c>
      <c r="B90" t="s">
        <v>79</v>
      </c>
      <c r="C90" s="107" t="str">
        <f>IF(A90=1,VLOOKUP($B90,Outputs!$B:$F,2,FALSE),"")</f>
        <v/>
      </c>
      <c r="D90" s="107">
        <f>IF(A90=0,VLOOKUP($B90,Outputs!$B:$F,2,FALSE),"")</f>
        <v>4.9892829675388883E-2</v>
      </c>
      <c r="E90" s="115"/>
      <c r="F90" s="116" t="str">
        <f>IF(A90=1,VLOOKUP($B90,Outputs!$H:$L,2,FALSE),"")</f>
        <v/>
      </c>
      <c r="G90" s="117">
        <f>IF(A90=0,VLOOKUP($B90,Outputs!$H:$L,2,FALSE),"")</f>
        <v>4.9892829675388883E-2</v>
      </c>
      <c r="J90" s="110">
        <f ca="1">VLOOKUP($B90,Outputs!$N:$R,2,FALSE)</f>
        <v>4.1283895945496203E-2</v>
      </c>
      <c r="K90" s="110">
        <f>+VLOOKUP(B90,Outputs!T:U,2,FALSE)</f>
        <v>5.3928184859203698E-2</v>
      </c>
      <c r="L90" s="107" t="str">
        <f>IF($A90=1,VLOOKUP($B90,Outputs!$B:$F,3,FALSE),"")</f>
        <v/>
      </c>
      <c r="M90" s="107">
        <f>IF($A90=0,VLOOKUP($B90,Outputs!$B:$F,3,FALSE),"")</f>
        <v>36.312038208695164</v>
      </c>
      <c r="N90" s="107" t="str">
        <f>IF($A90=1,VLOOKUP($B90,Outputs!$H:$L,3,FALSE),"")</f>
        <v/>
      </c>
      <c r="O90" s="107">
        <f>IF($A90=0,VLOOKUP($B90,Outputs!$H:$L,3,FALSE),"")</f>
        <v>36.312038208695164</v>
      </c>
      <c r="P90" s="107" t="str">
        <f>IF($A90=1,VLOOKUP($B90,Outputs!$N:$R,3,FALSE),"")</f>
        <v/>
      </c>
      <c r="Q90" s="107">
        <f ca="1">IF($A90=0,VLOOKUP($B90,Outputs!$N:$R,3,FALSE),"")</f>
        <v>35.697388539498107</v>
      </c>
    </row>
    <row r="91" spans="1:17" s="138" customFormat="1">
      <c r="A91" s="397">
        <f>IF(VLOOKUP(B91,TOCA_current!$B$2:$AG$137,32,FALSE)=0,0,1)</f>
        <v>0</v>
      </c>
      <c r="B91" s="138" t="s">
        <v>118</v>
      </c>
      <c r="C91" s="107" t="str">
        <f>IF(A91=1,VLOOKUP($B91,Outputs!$B:$F,2,FALSE),"")</f>
        <v/>
      </c>
      <c r="D91" s="107">
        <f>IF(A91=0,VLOOKUP($B91,Outputs!$B:$F,2,FALSE),"")</f>
        <v>5.2398102858942197E-2</v>
      </c>
      <c r="E91" s="115"/>
      <c r="F91" s="116" t="str">
        <f>IF(A91=1,VLOOKUP($B91,Outputs!$H:$L,2,FALSE),"")</f>
        <v/>
      </c>
      <c r="G91" s="117">
        <f>IF(A91=0,VLOOKUP($B91,Outputs!$H:$L,2,FALSE),"")</f>
        <v>5.2398102858942197E-2</v>
      </c>
      <c r="H91" s="107"/>
      <c r="I91" s="107"/>
      <c r="J91" s="110">
        <f ca="1">VLOOKUP($B91,Outputs!$N:$R,2,FALSE)</f>
        <v>4.5451557623561512E-2</v>
      </c>
      <c r="K91" s="110">
        <f>+VLOOKUP(B91,Outputs!T:U,2,FALSE)</f>
        <v>5.59331520891031E-2</v>
      </c>
      <c r="L91" s="107" t="str">
        <f>IF($A91=1,VLOOKUP($B91,Outputs!$B:$F,3,FALSE),"")</f>
        <v/>
      </c>
      <c r="M91" s="107">
        <f>IF($A91=0,VLOOKUP($B91,Outputs!$B:$F,3,FALSE),"")</f>
        <v>38.270267566127366</v>
      </c>
      <c r="N91" s="107" t="str">
        <f>IF($A91=1,VLOOKUP($B91,Outputs!$H:$L,3,FALSE),"")</f>
        <v/>
      </c>
      <c r="O91" s="107">
        <f>IF($A91=0,VLOOKUP($B91,Outputs!$H:$L,3,FALSE),"")</f>
        <v>38.270267566127366</v>
      </c>
      <c r="P91" s="107" t="str">
        <f>IF($A91=1,VLOOKUP($B91,Outputs!$N:$R,3,FALSE),"")</f>
        <v/>
      </c>
      <c r="Q91" s="107">
        <f ca="1">IF($A91=0,VLOOKUP($B91,Outputs!$N:$R,3,FALSE),"")</f>
        <v>37.729316094273329</v>
      </c>
    </row>
    <row r="92" spans="1:17">
      <c r="A92" s="397">
        <f>IF(VLOOKUP(B92,TOCA_current!$B$2:$AG$137,32,FALSE)=0,0,1)</f>
        <v>1</v>
      </c>
      <c r="B92" t="s">
        <v>60</v>
      </c>
      <c r="C92" s="107">
        <f>IF(A92=1,VLOOKUP($B92,Outputs!$B:$F,2,FALSE),"")</f>
        <v>4.9041350185698551E-2</v>
      </c>
      <c r="D92" s="107" t="str">
        <f>IF(A92=0,VLOOKUP($B92,Outputs!$B:$F,2,FALSE),"")</f>
        <v/>
      </c>
      <c r="E92" s="115"/>
      <c r="F92" s="116">
        <f>IF(A92=1,VLOOKUP($B92,Outputs!$H:$L,2,FALSE),"")</f>
        <v>6.5804081483126664E-2</v>
      </c>
      <c r="G92" s="117" t="str">
        <f>IF(A92=0,VLOOKUP($B92,Outputs!$H:$L,2,FALSE),"")</f>
        <v/>
      </c>
      <c r="J92" s="110">
        <f ca="1">VLOOKUP($B92,Outputs!$N:$R,2,FALSE)</f>
        <v>5.1881665222593701E-2</v>
      </c>
      <c r="K92" s="110">
        <f>+VLOOKUP(B92,Outputs!T:U,2,FALSE)</f>
        <v>5.5598907077517357E-2</v>
      </c>
      <c r="L92" s="107">
        <f>IF($A92=1,VLOOKUP($B92,Outputs!$B:$F,3,FALSE),"")</f>
        <v>37.423561443844029</v>
      </c>
      <c r="M92" s="107" t="str">
        <f>IF($A92=0,VLOOKUP($B92,Outputs!$B:$F,3,FALSE),"")</f>
        <v/>
      </c>
      <c r="N92" s="107">
        <f>IF($A92=1,VLOOKUP($B92,Outputs!$H:$L,3,FALSE),"")</f>
        <v>34.587684423737826</v>
      </c>
      <c r="O92" s="107" t="str">
        <f>IF($A92=0,VLOOKUP($B92,Outputs!$H:$L,3,FALSE),"")</f>
        <v/>
      </c>
      <c r="P92" s="107">
        <f ca="1">IF($A92=1,VLOOKUP($B92,Outputs!$N:$R,3,FALSE),"")</f>
        <v>34.088343596701463</v>
      </c>
      <c r="Q92" s="107" t="str">
        <f>IF($A92=0,VLOOKUP($B92,Outputs!$N:$R,3,FALSE),"")</f>
        <v/>
      </c>
    </row>
    <row r="93" spans="1:17">
      <c r="A93" s="397">
        <f>IF(VLOOKUP(B93,TOCA_current!$B$2:$AG$137,32,FALSE)=0,0,1)</f>
        <v>0</v>
      </c>
      <c r="B93" t="s">
        <v>50</v>
      </c>
      <c r="C93" s="107" t="str">
        <f>IF(A93=1,VLOOKUP($B93,Outputs!$B:$F,2,FALSE),"")</f>
        <v/>
      </c>
      <c r="D93" s="107">
        <f>IF(A93=0,VLOOKUP($B93,Outputs!$B:$F,2,FALSE),"")</f>
        <v>4.6049644620740349E-2</v>
      </c>
      <c r="E93" s="115"/>
      <c r="F93" s="116" t="str">
        <f>IF(A93=1,VLOOKUP($B93,Outputs!$H:$L,2,FALSE),"")</f>
        <v/>
      </c>
      <c r="G93" s="117">
        <f>IF(A93=0,VLOOKUP($B93,Outputs!$H:$L,2,FALSE),"")</f>
        <v>4.6049644620740349E-2</v>
      </c>
      <c r="J93" s="110">
        <f ca="1">VLOOKUP($B93,Outputs!$N:$R,2,FALSE)</f>
        <v>4.1094100012290483E-2</v>
      </c>
      <c r="K93" s="110">
        <f>+VLOOKUP(B93,Outputs!T:U,2,FALSE)</f>
        <v>5.3189864103897921E-2</v>
      </c>
      <c r="L93" s="107" t="str">
        <f>IF($A93=1,VLOOKUP($B93,Outputs!$B:$F,3,FALSE),"")</f>
        <v/>
      </c>
      <c r="M93" s="107">
        <f>IF($A93=0,VLOOKUP($B93,Outputs!$B:$F,3,FALSE),"")</f>
        <v>38.83950916411753</v>
      </c>
      <c r="N93" s="107" t="str">
        <f>IF($A93=1,VLOOKUP($B93,Outputs!$H:$L,3,FALSE),"")</f>
        <v/>
      </c>
      <c r="O93" s="107">
        <f>IF($A93=0,VLOOKUP($B93,Outputs!$H:$L,3,FALSE),"")</f>
        <v>38.83950916411753</v>
      </c>
      <c r="P93" s="107" t="str">
        <f>IF($A93=1,VLOOKUP($B93,Outputs!$N:$R,3,FALSE),"")</f>
        <v/>
      </c>
      <c r="Q93" s="107">
        <f ca="1">IF($A93=0,VLOOKUP($B93,Outputs!$N:$R,3,FALSE),"")</f>
        <v>38.436410011395282</v>
      </c>
    </row>
    <row r="94" spans="1:17">
      <c r="A94" s="397">
        <f>IF(VLOOKUP(B94,TOCA_current!$B$2:$AG$137,32,FALSE)=0,0,1)</f>
        <v>0</v>
      </c>
      <c r="B94" t="s">
        <v>11</v>
      </c>
      <c r="C94" s="107" t="str">
        <f>IF(A94=1,VLOOKUP($B94,Outputs!$B:$F,2,FALSE),"")</f>
        <v/>
      </c>
      <c r="D94" s="107">
        <f>IF(A94=0,VLOOKUP($B94,Outputs!$B:$F,2,FALSE),"")</f>
        <v>1.9851147369402078E-2</v>
      </c>
      <c r="E94" s="115"/>
      <c r="F94" s="116" t="str">
        <f>IF(A94=1,VLOOKUP($B94,Outputs!$H:$L,2,FALSE),"")</f>
        <v/>
      </c>
      <c r="G94" s="117">
        <f>IF(A94=0,VLOOKUP($B94,Outputs!$H:$L,2,FALSE),"")</f>
        <v>1.9851147369402078E-2</v>
      </c>
      <c r="J94" s="110">
        <f ca="1">VLOOKUP($B94,Outputs!$N:$R,2,FALSE)</f>
        <v>4.0921129528611586E-2</v>
      </c>
      <c r="K94" s="110">
        <f>+VLOOKUP(B94,Outputs!T:U,2,FALSE)</f>
        <v>1.9878915301076772E-2</v>
      </c>
      <c r="L94" s="107" t="str">
        <f>IF($A94=1,VLOOKUP($B94,Outputs!$B:$F,3,FALSE),"")</f>
        <v/>
      </c>
      <c r="M94" s="107">
        <f>IF($A94=0,VLOOKUP($B94,Outputs!$B:$F,3,FALSE),"")</f>
        <v>29.041532326450458</v>
      </c>
      <c r="N94" s="107" t="str">
        <f>IF($A94=1,VLOOKUP($B94,Outputs!$H:$L,3,FALSE),"")</f>
        <v/>
      </c>
      <c r="O94" s="107">
        <f>IF($A94=0,VLOOKUP($B94,Outputs!$H:$L,3,FALSE),"")</f>
        <v>29.041532326450458</v>
      </c>
      <c r="P94" s="107" t="str">
        <f>IF($A94=1,VLOOKUP($B94,Outputs!$N:$R,3,FALSE),"")</f>
        <v/>
      </c>
      <c r="Q94" s="107">
        <f ca="1">IF($A94=0,VLOOKUP($B94,Outputs!$N:$R,3,FALSE),"")</f>
        <v>30.147989047013802</v>
      </c>
    </row>
    <row r="95" spans="1:17">
      <c r="A95" s="397">
        <f>IF(VLOOKUP(B95,TOCA_current!$B$2:$AG$137,32,FALSE)=0,0,1)</f>
        <v>0</v>
      </c>
      <c r="B95" t="s">
        <v>94</v>
      </c>
      <c r="C95" s="107" t="str">
        <f>IF(A95=1,VLOOKUP($B95,Outputs!$B:$F,2,FALSE),"")</f>
        <v/>
      </c>
      <c r="D95" s="107">
        <f>IF(A95=0,VLOOKUP($B95,Outputs!$B:$F,2,FALSE),"")</f>
        <v>4.5229983639093696E-2</v>
      </c>
      <c r="E95" s="115"/>
      <c r="F95" s="116" t="str">
        <f>IF(A95=1,VLOOKUP($B95,Outputs!$H:$L,2,FALSE),"")</f>
        <v/>
      </c>
      <c r="G95" s="117">
        <f>IF(A95=0,VLOOKUP($B95,Outputs!$H:$L,2,FALSE),"")</f>
        <v>4.5229983639093696E-2</v>
      </c>
      <c r="J95" s="110">
        <f ca="1">VLOOKUP($B95,Outputs!$N:$R,2,FALSE)</f>
        <v>4.7511037968357359E-2</v>
      </c>
      <c r="K95" s="110">
        <f>+VLOOKUP(B95,Outputs!T:U,2,FALSE)</f>
        <v>4.5528855012484382E-2</v>
      </c>
      <c r="L95" s="107" t="str">
        <f>IF($A95=1,VLOOKUP($B95,Outputs!$B:$F,3,FALSE),"")</f>
        <v/>
      </c>
      <c r="M95" s="107">
        <f>IF($A95=0,VLOOKUP($B95,Outputs!$B:$F,3,FALSE),"")</f>
        <v>36.33329126223974</v>
      </c>
      <c r="N95" s="107" t="str">
        <f>IF($A95=1,VLOOKUP($B95,Outputs!$H:$L,3,FALSE),"")</f>
        <v/>
      </c>
      <c r="O95" s="107">
        <f>IF($A95=0,VLOOKUP($B95,Outputs!$H:$L,3,FALSE),"")</f>
        <v>36.33329126223974</v>
      </c>
      <c r="P95" s="107" t="str">
        <f>IF($A95=1,VLOOKUP($B95,Outputs!$N:$R,3,FALSE),"")</f>
        <v/>
      </c>
      <c r="Q95" s="107">
        <f ca="1">IF($A95=0,VLOOKUP($B95,Outputs!$N:$R,3,FALSE),"")</f>
        <v>35.987622065440313</v>
      </c>
    </row>
    <row r="96" spans="1:17">
      <c r="A96" s="397">
        <f>IF(VLOOKUP(B96,TOCA_current!$B$2:$AG$137,32,FALSE)=0,0,1)</f>
        <v>0</v>
      </c>
      <c r="B96" t="s">
        <v>10</v>
      </c>
      <c r="C96" s="107" t="str">
        <f>IF(A96=1,VLOOKUP($B96,Outputs!$B:$F,2,FALSE),"")</f>
        <v/>
      </c>
      <c r="D96" s="107">
        <f>IF(A96=0,VLOOKUP($B96,Outputs!$B:$F,2,FALSE),"")</f>
        <v>3.9286961095428286E-2</v>
      </c>
      <c r="E96" s="115"/>
      <c r="F96" s="116" t="str">
        <f>IF(A96=1,VLOOKUP($B96,Outputs!$H:$L,2,FALSE),"")</f>
        <v/>
      </c>
      <c r="G96" s="117">
        <f>IF(A96=0,VLOOKUP($B96,Outputs!$H:$L,2,FALSE),"")</f>
        <v>3.9286961095428286E-2</v>
      </c>
      <c r="J96" s="110">
        <f ca="1">VLOOKUP($B96,Outputs!$N:$R,2,FALSE)</f>
        <v>4.9284855604446877E-2</v>
      </c>
      <c r="K96" s="110">
        <f>+VLOOKUP(B96,Outputs!T:U,2,FALSE)</f>
        <v>4.185871755343773E-2</v>
      </c>
      <c r="L96" s="107" t="str">
        <f>IF($A96=1,VLOOKUP($B96,Outputs!$B:$F,3,FALSE),"")</f>
        <v/>
      </c>
      <c r="M96" s="107">
        <f>IF($A96=0,VLOOKUP($B96,Outputs!$B:$F,3,FALSE),"")</f>
        <v>33.277549362186022</v>
      </c>
      <c r="N96" s="107" t="str">
        <f>IF($A96=1,VLOOKUP($B96,Outputs!$H:$L,3,FALSE),"")</f>
        <v/>
      </c>
      <c r="O96" s="107">
        <f>IF($A96=0,VLOOKUP($B96,Outputs!$H:$L,3,FALSE),"")</f>
        <v>33.277549362186022</v>
      </c>
      <c r="P96" s="107" t="str">
        <f>IF($A96=1,VLOOKUP($B96,Outputs!$N:$R,3,FALSE),"")</f>
        <v/>
      </c>
      <c r="Q96" s="107">
        <f ca="1">IF($A96=0,VLOOKUP($B96,Outputs!$N:$R,3,FALSE),"")</f>
        <v>33.224123059027214</v>
      </c>
    </row>
    <row r="97" spans="1:17">
      <c r="A97" s="397">
        <f>IF(VLOOKUP(B97,TOCA_current!$B$2:$AG$137,32,FALSE)=0,0,1)</f>
        <v>0</v>
      </c>
      <c r="B97" t="s">
        <v>103</v>
      </c>
      <c r="C97" s="107" t="str">
        <f>IF(A97=1,VLOOKUP($B97,Outputs!$B:$F,2,FALSE),"")</f>
        <v/>
      </c>
      <c r="D97" s="107">
        <f>IF(A97=0,VLOOKUP($B97,Outputs!$B:$F,2,FALSE),"")</f>
        <v>5.0659768698291252E-2</v>
      </c>
      <c r="E97" s="115"/>
      <c r="F97" s="116" t="str">
        <f>IF(A97=1,VLOOKUP($B97,Outputs!$H:$L,2,FALSE),"")</f>
        <v/>
      </c>
      <c r="G97" s="117">
        <f>IF(A97=0,VLOOKUP($B97,Outputs!$H:$L,2,FALSE),"")</f>
        <v>5.0659768698291252E-2</v>
      </c>
      <c r="J97" s="110">
        <f ca="1">VLOOKUP($B97,Outputs!$N:$R,2,FALSE)</f>
        <v>4.6457772327192288E-2</v>
      </c>
      <c r="K97" s="110">
        <f>+VLOOKUP(B97,Outputs!T:U,2,FALSE)</f>
        <v>7.317827536306587E-2</v>
      </c>
      <c r="L97" s="107" t="str">
        <f>IF($A97=1,VLOOKUP($B97,Outputs!$B:$F,3,FALSE),"")</f>
        <v/>
      </c>
      <c r="M97" s="107">
        <f>IF($A97=0,VLOOKUP($B97,Outputs!$B:$F,3,FALSE),"")</f>
        <v>39.542610802601295</v>
      </c>
      <c r="N97" s="107" t="str">
        <f>IF($A97=1,VLOOKUP($B97,Outputs!$H:$L,3,FALSE),"")</f>
        <v/>
      </c>
      <c r="O97" s="107">
        <f>IF($A97=0,VLOOKUP($B97,Outputs!$H:$L,3,FALSE),"")</f>
        <v>39.542610802601295</v>
      </c>
      <c r="P97" s="107" t="str">
        <f>IF($A97=1,VLOOKUP($B97,Outputs!$N:$R,3,FALSE),"")</f>
        <v/>
      </c>
      <c r="Q97" s="107">
        <f ca="1">IF($A97=0,VLOOKUP($B97,Outputs!$N:$R,3,FALSE),"")</f>
        <v>38.868553820419223</v>
      </c>
    </row>
    <row r="98" spans="1:17">
      <c r="A98" s="397">
        <f>IF(VLOOKUP(B98,TOCA_current!$B$2:$AG$137,32,FALSE)=0,0,1)</f>
        <v>0</v>
      </c>
      <c r="B98" t="s">
        <v>99</v>
      </c>
      <c r="C98" s="107" t="str">
        <f>IF(A98=1,VLOOKUP($B98,Outputs!$B:$F,2,FALSE),"")</f>
        <v/>
      </c>
      <c r="D98" s="107">
        <f>IF(A98=0,VLOOKUP($B98,Outputs!$B:$F,2,FALSE),"")</f>
        <v>4.6140525415232059E-2</v>
      </c>
      <c r="E98" s="115"/>
      <c r="F98" s="116" t="str">
        <f>IF(A98=1,VLOOKUP($B98,Outputs!$H:$L,2,FALSE),"")</f>
        <v/>
      </c>
      <c r="G98" s="117">
        <f>IF(A98=0,VLOOKUP($B98,Outputs!$H:$L,2,FALSE),"")</f>
        <v>4.6140525415232059E-2</v>
      </c>
      <c r="J98" s="110">
        <f ca="1">VLOOKUP($B98,Outputs!$N:$R,2,FALSE)</f>
        <v>4.2975073610992232E-2</v>
      </c>
      <c r="K98" s="110">
        <f>+VLOOKUP(B98,Outputs!T:U,2,FALSE)</f>
        <v>8.2830144381970561E-2</v>
      </c>
      <c r="L98" s="107" t="str">
        <f>IF($A98=1,VLOOKUP($B98,Outputs!$B:$F,3,FALSE),"")</f>
        <v/>
      </c>
      <c r="M98" s="107">
        <f>IF($A98=0,VLOOKUP($B98,Outputs!$B:$F,3,FALSE),"")</f>
        <v>35.868303558623474</v>
      </c>
      <c r="N98" s="107" t="str">
        <f>IF($A98=1,VLOOKUP($B98,Outputs!$H:$L,3,FALSE),"")</f>
        <v/>
      </c>
      <c r="O98" s="107">
        <f>IF($A98=0,VLOOKUP($B98,Outputs!$H:$L,3,FALSE),"")</f>
        <v>35.868303558623474</v>
      </c>
      <c r="P98" s="107" t="str">
        <f>IF($A98=1,VLOOKUP($B98,Outputs!$N:$R,3,FALSE),"")</f>
        <v/>
      </c>
      <c r="Q98" s="107">
        <f ca="1">IF($A98=0,VLOOKUP($B98,Outputs!$N:$R,3,FALSE),"")</f>
        <v>35.588169110766387</v>
      </c>
    </row>
    <row r="99" spans="1:17">
      <c r="A99" s="397">
        <f>IF(VLOOKUP(B99,TOCA_current!$B$2:$AG$137,32,FALSE)=0,0,1)</f>
        <v>0</v>
      </c>
      <c r="B99" t="s">
        <v>44</v>
      </c>
      <c r="C99" s="107" t="str">
        <f>IF(A99=1,VLOOKUP($B99,Outputs!$B:$F,2,FALSE),"")</f>
        <v/>
      </c>
      <c r="D99" s="107">
        <f>IF(A99=0,VLOOKUP($B99,Outputs!$B:$F,2,FALSE),"")</f>
        <v>4.6236530585700431E-2</v>
      </c>
      <c r="E99" s="115"/>
      <c r="F99" s="116" t="str">
        <f>IF(A99=1,VLOOKUP($B99,Outputs!$H:$L,2,FALSE),"")</f>
        <v/>
      </c>
      <c r="G99" s="117">
        <f>IF(A99=0,VLOOKUP($B99,Outputs!$H:$L,2,FALSE),"")</f>
        <v>4.6236530585700431E-2</v>
      </c>
      <c r="J99" s="110">
        <f ca="1">VLOOKUP($B99,Outputs!$N:$R,2,FALSE)</f>
        <v>4.36352725279247E-2</v>
      </c>
      <c r="K99" s="110">
        <f>+VLOOKUP(B99,Outputs!T:U,2,FALSE)</f>
        <v>7.8937003978983844E-2</v>
      </c>
      <c r="L99" s="107" t="str">
        <f>IF($A99=1,VLOOKUP($B99,Outputs!$B:$F,3,FALSE),"")</f>
        <v/>
      </c>
      <c r="M99" s="107">
        <f>IF($A99=0,VLOOKUP($B99,Outputs!$B:$F,3,FALSE),"")</f>
        <v>38.121161353882201</v>
      </c>
      <c r="N99" s="107" t="str">
        <f>IF($A99=1,VLOOKUP($B99,Outputs!$H:$L,3,FALSE),"")</f>
        <v/>
      </c>
      <c r="O99" s="107">
        <f>IF($A99=0,VLOOKUP($B99,Outputs!$H:$L,3,FALSE),"")</f>
        <v>38.121161353882201</v>
      </c>
      <c r="P99" s="107" t="str">
        <f>IF($A99=1,VLOOKUP($B99,Outputs!$N:$R,3,FALSE),"")</f>
        <v/>
      </c>
      <c r="Q99" s="107">
        <f ca="1">IF($A99=0,VLOOKUP($B99,Outputs!$N:$R,3,FALSE),"")</f>
        <v>37.154517467940146</v>
      </c>
    </row>
    <row r="100" spans="1:17">
      <c r="A100" s="397">
        <f>IF(VLOOKUP(B100,TOCA_current!$B$2:$AG$137,32,FALSE)=0,0,1)</f>
        <v>1</v>
      </c>
      <c r="B100" t="s">
        <v>75</v>
      </c>
      <c r="C100" s="107">
        <f>IF(A100=1,VLOOKUP($B100,Outputs!$B:$F,2,FALSE),"")</f>
        <v>6.0392009513099865E-2</v>
      </c>
      <c r="D100" s="107" t="str">
        <f>IF(A100=0,VLOOKUP($B100,Outputs!$B:$F,2,FALSE),"")</f>
        <v/>
      </c>
      <c r="E100" s="115"/>
      <c r="F100" s="116">
        <f>IF(A100=1,VLOOKUP($B100,Outputs!$H:$L,2,FALSE),"")</f>
        <v>5.9503304567774862E-2</v>
      </c>
      <c r="G100" s="117" t="str">
        <f>IF(A100=0,VLOOKUP($B100,Outputs!$H:$L,2,FALSE),"")</f>
        <v/>
      </c>
      <c r="J100" s="110">
        <f ca="1">VLOOKUP($B100,Outputs!$N:$R,2,FALSE)</f>
        <v>4.7511037968358122E-2</v>
      </c>
      <c r="K100" s="110">
        <f>+VLOOKUP(B100,Outputs!T:U,2,FALSE)</f>
        <v>5.9624097589028535E-2</v>
      </c>
      <c r="L100" s="107">
        <f>IF($A100=1,VLOOKUP($B100,Outputs!$B:$F,3,FALSE),"")</f>
        <v>39.587326681811199</v>
      </c>
      <c r="M100" s="107" t="str">
        <f>IF($A100=0,VLOOKUP($B100,Outputs!$B:$F,3,FALSE),"")</f>
        <v/>
      </c>
      <c r="N100" s="107">
        <f>IF($A100=1,VLOOKUP($B100,Outputs!$H:$L,3,FALSE),"")</f>
        <v>36.370721775188962</v>
      </c>
      <c r="O100" s="107" t="str">
        <f>IF($A100=0,VLOOKUP($B100,Outputs!$H:$L,3,FALSE),"")</f>
        <v/>
      </c>
      <c r="P100" s="107">
        <f ca="1">IF($A100=1,VLOOKUP($B100,Outputs!$N:$R,3,FALSE),"")</f>
        <v>35.98762206544032</v>
      </c>
      <c r="Q100" s="107" t="str">
        <f>IF($A100=0,VLOOKUP($B100,Outputs!$N:$R,3,FALSE),"")</f>
        <v/>
      </c>
    </row>
    <row r="101" spans="1:17">
      <c r="A101" s="397">
        <f>IF(VLOOKUP(B101,TOCA_current!$B$2:$AG$137,32,FALSE)=0,0,1)</f>
        <v>0</v>
      </c>
      <c r="B101" t="s">
        <v>87</v>
      </c>
      <c r="C101" s="107" t="str">
        <f>IF(A101=1,VLOOKUP($B101,Outputs!$B:$F,2,FALSE),"")</f>
        <v/>
      </c>
      <c r="D101" s="107">
        <f>IF(A101=0,VLOOKUP($B101,Outputs!$B:$F,2,FALSE),"")</f>
        <v>5.236258498255375E-2</v>
      </c>
      <c r="E101" s="115"/>
      <c r="F101" s="116" t="str">
        <f>IF(A101=1,VLOOKUP($B101,Outputs!$H:$L,2,FALSE),"")</f>
        <v/>
      </c>
      <c r="G101" s="117">
        <f>IF(A101=0,VLOOKUP($B101,Outputs!$H:$L,2,FALSE),"")</f>
        <v>5.236258498255375E-2</v>
      </c>
      <c r="J101" s="110">
        <f ca="1">VLOOKUP($B101,Outputs!$N:$R,2,FALSE)</f>
        <v>4.2234714333620187E-2</v>
      </c>
      <c r="K101" s="110">
        <f>+VLOOKUP(B101,Outputs!T:U,2,FALSE)</f>
        <v>5.437634045592632E-2</v>
      </c>
      <c r="L101" s="107" t="str">
        <f>IF($A101=1,VLOOKUP($B101,Outputs!$B:$F,3,FALSE),"")</f>
        <v/>
      </c>
      <c r="M101" s="107">
        <f>IF($A101=0,VLOOKUP($B101,Outputs!$B:$F,3,FALSE),"")</f>
        <v>36.450130236839563</v>
      </c>
      <c r="N101" s="107" t="str">
        <f>IF($A101=1,VLOOKUP($B101,Outputs!$H:$L,3,FALSE),"")</f>
        <v/>
      </c>
      <c r="O101" s="107">
        <f>IF($A101=0,VLOOKUP($B101,Outputs!$H:$L,3,FALSE),"")</f>
        <v>36.450130236839563</v>
      </c>
      <c r="P101" s="107" t="str">
        <f>IF($A101=1,VLOOKUP($B101,Outputs!$N:$R,3,FALSE),"")</f>
        <v/>
      </c>
      <c r="Q101" s="107">
        <f ca="1">IF($A101=0,VLOOKUP($B101,Outputs!$N:$R,3,FALSE),"")</f>
        <v>35.769885042297325</v>
      </c>
    </row>
    <row r="102" spans="1:17">
      <c r="A102" s="397">
        <f>IF(VLOOKUP(B102,TOCA_current!$B$2:$AG$137,32,FALSE)=0,0,1)</f>
        <v>0</v>
      </c>
      <c r="B102" t="s">
        <v>32</v>
      </c>
      <c r="C102" s="107" t="str">
        <f>IF(A102=1,VLOOKUP($B102,Outputs!$B:$F,2,FALSE),"")</f>
        <v/>
      </c>
      <c r="D102" s="107">
        <f>IF(A102=0,VLOOKUP($B102,Outputs!$B:$F,2,FALSE),"")</f>
        <v>2.318916695110973E-2</v>
      </c>
      <c r="E102" s="115"/>
      <c r="F102" s="116" t="str">
        <f>IF(A102=1,VLOOKUP($B102,Outputs!$H:$L,2,FALSE),"")</f>
        <v/>
      </c>
      <c r="G102" s="117">
        <f>IF(A102=0,VLOOKUP($B102,Outputs!$H:$L,2,FALSE),"")</f>
        <v>2.318916695110973E-2</v>
      </c>
      <c r="J102" s="110">
        <f ca="1">VLOOKUP($B102,Outputs!$N:$R,2,FALSE)</f>
        <v>4.2215377429668237E-2</v>
      </c>
      <c r="K102" s="110">
        <f>+VLOOKUP(B102,Outputs!T:U,2,FALSE)</f>
        <v>7.9850960636070001E-2</v>
      </c>
      <c r="L102" s="107" t="str">
        <f>IF($A102=1,VLOOKUP($B102,Outputs!$B:$F,3,FALSE),"")</f>
        <v/>
      </c>
      <c r="M102" s="107">
        <f>IF($A102=0,VLOOKUP($B102,Outputs!$B:$F,3,FALSE),"")</f>
        <v>38.426860236323122</v>
      </c>
      <c r="N102" s="107" t="str">
        <f>IF($A102=1,VLOOKUP($B102,Outputs!$H:$L,3,FALSE),"")</f>
        <v/>
      </c>
      <c r="O102" s="107">
        <f>IF($A102=0,VLOOKUP($B102,Outputs!$H:$L,3,FALSE),"")</f>
        <v>38.426860236323122</v>
      </c>
      <c r="P102" s="107" t="str">
        <f>IF($A102=1,VLOOKUP($B102,Outputs!$N:$R,3,FALSE),"")</f>
        <v/>
      </c>
      <c r="Q102" s="107">
        <f ca="1">IF($A102=0,VLOOKUP($B102,Outputs!$N:$R,3,FALSE),"")</f>
        <v>38.063827966326208</v>
      </c>
    </row>
    <row r="103" spans="1:17">
      <c r="A103" s="397">
        <f>IF(VLOOKUP(B103,TOCA_current!$B$2:$AG$137,32,FALSE)=0,0,1)</f>
        <v>0</v>
      </c>
      <c r="B103" t="s">
        <v>38</v>
      </c>
      <c r="C103" s="107" t="str">
        <f>IF(A103=1,VLOOKUP($B103,Outputs!$B:$F,2,FALSE),"")</f>
        <v/>
      </c>
      <c r="D103" s="107">
        <f>IF(A103=0,VLOOKUP($B103,Outputs!$B:$F,2,FALSE),"")</f>
        <v>5.7975681473632301E-2</v>
      </c>
      <c r="E103" s="115"/>
      <c r="F103" s="116" t="str">
        <f>IF(A103=1,VLOOKUP($B103,Outputs!$H:$L,2,FALSE),"")</f>
        <v/>
      </c>
      <c r="G103" s="117">
        <f>IF(A103=0,VLOOKUP($B103,Outputs!$H:$L,2,FALSE),"")</f>
        <v>5.7975681473632301E-2</v>
      </c>
      <c r="J103" s="110">
        <f ca="1">VLOOKUP($B103,Outputs!$N:$R,2,FALSE)</f>
        <v>5.2714334090117367E-2</v>
      </c>
      <c r="K103" s="110">
        <f>+VLOOKUP(B103,Outputs!T:U,2,FALSE)</f>
        <v>6.1509001467480173E-2</v>
      </c>
      <c r="L103" s="107" t="str">
        <f>IF($A103=1,VLOOKUP($B103,Outputs!$B:$F,3,FALSE),"")</f>
        <v/>
      </c>
      <c r="M103" s="107">
        <f>IF($A103=0,VLOOKUP($B103,Outputs!$B:$F,3,FALSE),"")</f>
        <v>36.799666666798068</v>
      </c>
      <c r="N103" s="107" t="str">
        <f>IF($A103=1,VLOOKUP($B103,Outputs!$H:$L,3,FALSE),"")</f>
        <v/>
      </c>
      <c r="O103" s="107">
        <f>IF($A103=0,VLOOKUP($B103,Outputs!$H:$L,3,FALSE),"")</f>
        <v>36.799666666798068</v>
      </c>
      <c r="P103" s="107" t="str">
        <f>IF($A103=1,VLOOKUP($B103,Outputs!$N:$R,3,FALSE),"")</f>
        <v/>
      </c>
      <c r="Q103" s="107">
        <f ca="1">IF($A103=0,VLOOKUP($B103,Outputs!$N:$R,3,FALSE),"")</f>
        <v>36.341547698539124</v>
      </c>
    </row>
    <row r="104" spans="1:17">
      <c r="A104" s="397">
        <f>IF(VLOOKUP(B104,TOCA_current!$B$2:$AG$137,32,FALSE)=0,0,1)</f>
        <v>0</v>
      </c>
      <c r="B104" t="s">
        <v>85</v>
      </c>
      <c r="C104" s="107" t="str">
        <f>IF(A104=1,VLOOKUP($B104,Outputs!$B:$F,2,FALSE),"")</f>
        <v/>
      </c>
      <c r="D104" s="107">
        <f>IF(A104=0,VLOOKUP($B104,Outputs!$B:$F,2,FALSE),"")</f>
        <v>6.0446847293756045E-2</v>
      </c>
      <c r="E104" s="115"/>
      <c r="F104" s="116" t="str">
        <f>IF(A104=1,VLOOKUP($B104,Outputs!$H:$L,2,FALSE),"")</f>
        <v/>
      </c>
      <c r="G104" s="117">
        <f>IF(A104=0,VLOOKUP($B104,Outputs!$H:$L,2,FALSE),"")</f>
        <v>6.0446847293756045E-2</v>
      </c>
      <c r="J104" s="110">
        <f ca="1">VLOOKUP($B104,Outputs!$N:$R,2,FALSE)</f>
        <v>4.6330088375569241E-2</v>
      </c>
      <c r="K104" s="110">
        <f>+VLOOKUP(B104,Outputs!T:U,2,FALSE)</f>
        <v>8.4034915542129829E-2</v>
      </c>
      <c r="L104" s="107" t="str">
        <f>IF($A104=1,VLOOKUP($B104,Outputs!$B:$F,3,FALSE),"")</f>
        <v/>
      </c>
      <c r="M104" s="107">
        <f>IF($A104=0,VLOOKUP($B104,Outputs!$B:$F,3,FALSE),"")</f>
        <v>36.824506414997551</v>
      </c>
      <c r="N104" s="107" t="str">
        <f>IF($A104=1,VLOOKUP($B104,Outputs!$H:$L,3,FALSE),"")</f>
        <v/>
      </c>
      <c r="O104" s="107">
        <f>IF($A104=0,VLOOKUP($B104,Outputs!$H:$L,3,FALSE),"")</f>
        <v>36.824506414997551</v>
      </c>
      <c r="P104" s="107" t="str">
        <f>IF($A104=1,VLOOKUP($B104,Outputs!$N:$R,3,FALSE),"")</f>
        <v/>
      </c>
      <c r="Q104" s="107">
        <f ca="1">IF($A104=0,VLOOKUP($B104,Outputs!$N:$R,3,FALSE),"")</f>
        <v>35.973616848540615</v>
      </c>
    </row>
    <row r="105" spans="1:17">
      <c r="A105" s="397">
        <f>IF(VLOOKUP(B105,TOCA_current!$B$2:$AG$137,32,FALSE)=0,0,1)</f>
        <v>1</v>
      </c>
      <c r="B105" t="s">
        <v>46</v>
      </c>
      <c r="C105" s="107">
        <f>IF(A105=1,VLOOKUP($B105,Outputs!$B:$F,2,FALSE),"")</f>
        <v>4.4599209049663191E-2</v>
      </c>
      <c r="D105" s="107" t="str">
        <f>IF(A105=0,VLOOKUP($B105,Outputs!$B:$F,2,FALSE),"")</f>
        <v/>
      </c>
      <c r="E105" s="115"/>
      <c r="F105" s="116">
        <f>IF(A105=1,VLOOKUP($B105,Outputs!$H:$L,2,FALSE),"")</f>
        <v>5.7373944321207127E-2</v>
      </c>
      <c r="G105" s="117" t="str">
        <f>IF(A105=0,VLOOKUP($B105,Outputs!$H:$L,2,FALSE),"")</f>
        <v/>
      </c>
      <c r="J105" s="110">
        <f ca="1">VLOOKUP($B105,Outputs!$N:$R,2,FALSE)</f>
        <v>4.751103796835876E-2</v>
      </c>
      <c r="K105" s="110">
        <f>+VLOOKUP(B105,Outputs!T:U,2,FALSE)</f>
        <v>5.741203482754198E-2</v>
      </c>
      <c r="L105" s="107">
        <f>IF($A105=1,VLOOKUP($B105,Outputs!$B:$F,3,FALSE),"")</f>
        <v>39.623243725176614</v>
      </c>
      <c r="M105" s="107" t="str">
        <f>IF($A105=0,VLOOKUP($B105,Outputs!$B:$F,3,FALSE),"")</f>
        <v/>
      </c>
      <c r="N105" s="107">
        <f>IF($A105=1,VLOOKUP($B105,Outputs!$H:$L,3,FALSE),"")</f>
        <v>36.236672626909666</v>
      </c>
      <c r="O105" s="107" t="str">
        <f>IF($A105=0,VLOOKUP($B105,Outputs!$H:$L,3,FALSE),"")</f>
        <v/>
      </c>
      <c r="P105" s="107">
        <f ca="1">IF($A105=1,VLOOKUP($B105,Outputs!$N:$R,3,FALSE),"")</f>
        <v>35.98762206544032</v>
      </c>
      <c r="Q105" s="107" t="str">
        <f>IF($A105=0,VLOOKUP($B105,Outputs!$N:$R,3,FALSE),"")</f>
        <v/>
      </c>
    </row>
    <row r="106" spans="1:17">
      <c r="A106" s="397">
        <f>IF(VLOOKUP(B106,TOCA_current!$B$2:$AG$137,32,FALSE)=0,0,1)</f>
        <v>0</v>
      </c>
      <c r="B106" t="s">
        <v>131</v>
      </c>
      <c r="C106" s="107" t="str">
        <f>IF(A106=1,VLOOKUP($B106,Outputs!$B:$F,2,FALSE),"")</f>
        <v/>
      </c>
      <c r="D106" s="107">
        <f>IF(A106=0,VLOOKUP($B106,Outputs!$B:$F,2,FALSE),"")</f>
        <v>3.6460293459106285E-2</v>
      </c>
      <c r="E106" s="115"/>
      <c r="F106" s="116" t="str">
        <f>IF(A106=1,VLOOKUP($B106,Outputs!$H:$L,2,FALSE),"")</f>
        <v/>
      </c>
      <c r="G106" s="117">
        <f>IF(A106=0,VLOOKUP($B106,Outputs!$H:$L,2,FALSE),"")</f>
        <v>3.6460293459106285E-2</v>
      </c>
      <c r="J106" s="110">
        <f ca="1">VLOOKUP($B106,Outputs!$N:$R,2,FALSE)</f>
        <v>3.9604973088429307E-2</v>
      </c>
      <c r="K106" s="110">
        <f>+VLOOKUP(B106,Outputs!T:U,2,FALSE)</f>
        <v>4.4809539907913365E-2</v>
      </c>
      <c r="L106" s="107" t="str">
        <f>IF($A106=1,VLOOKUP($B106,Outputs!$B:$F,3,FALSE),"")</f>
        <v/>
      </c>
      <c r="M106" s="107">
        <f>IF($A106=0,VLOOKUP($B106,Outputs!$B:$F,3,FALSE),"")</f>
        <v>35.111710780965154</v>
      </c>
      <c r="N106" s="107" t="str">
        <f>IF($A106=1,VLOOKUP($B106,Outputs!$H:$L,3,FALSE),"")</f>
        <v/>
      </c>
      <c r="O106" s="107">
        <f>IF($A106=0,VLOOKUP($B106,Outputs!$H:$L,3,FALSE),"")</f>
        <v>35.111710780965154</v>
      </c>
      <c r="P106" s="107" t="str">
        <f>IF($A106=1,VLOOKUP($B106,Outputs!$N:$R,3,FALSE),"")</f>
        <v/>
      </c>
      <c r="Q106" s="107">
        <f ca="1">IF($A106=0,VLOOKUP($B106,Outputs!$N:$R,3,FALSE),"")</f>
        <v>34.728144567509815</v>
      </c>
    </row>
    <row r="107" spans="1:17">
      <c r="A107" s="397">
        <f>IF(VLOOKUP(B107,TOCA_current!$B$2:$AG$137,32,FALSE)=0,0,1)</f>
        <v>0</v>
      </c>
      <c r="B107" t="s">
        <v>114</v>
      </c>
      <c r="C107" s="107" t="str">
        <f>IF(A107=1,VLOOKUP($B107,Outputs!$B:$F,2,FALSE),"")</f>
        <v/>
      </c>
      <c r="D107" s="107">
        <f>IF(A107=0,VLOOKUP($B107,Outputs!$B:$F,2,FALSE),"")</f>
        <v>4.9389524829965392E-2</v>
      </c>
      <c r="E107" s="115"/>
      <c r="F107" s="116" t="str">
        <f>IF(A107=1,VLOOKUP($B107,Outputs!$H:$L,2,FALSE),"")</f>
        <v/>
      </c>
      <c r="G107" s="117">
        <f>IF(A107=0,VLOOKUP($B107,Outputs!$H:$L,2,FALSE),"")</f>
        <v>4.9389524829965392E-2</v>
      </c>
      <c r="J107" s="110">
        <f ca="1">VLOOKUP($B107,Outputs!$N:$R,2,FALSE)</f>
        <v>4.0734838981016659E-2</v>
      </c>
      <c r="K107" s="110">
        <f>+VLOOKUP(B107,Outputs!T:U,2,FALSE)</f>
        <v>5.7391119374585298E-2</v>
      </c>
      <c r="L107" s="107" t="str">
        <f>IF($A107=1,VLOOKUP($B107,Outputs!$B:$F,3,FALSE),"")</f>
        <v/>
      </c>
      <c r="M107" s="107">
        <f>IF($A107=0,VLOOKUP($B107,Outputs!$B:$F,3,FALSE),"")</f>
        <v>38.152966574311655</v>
      </c>
      <c r="N107" s="107" t="str">
        <f>IF($A107=1,VLOOKUP($B107,Outputs!$H:$L,3,FALSE),"")</f>
        <v/>
      </c>
      <c r="O107" s="107">
        <f>IF($A107=0,VLOOKUP($B107,Outputs!$H:$L,3,FALSE),"")</f>
        <v>38.152966574311655</v>
      </c>
      <c r="P107" s="107" t="str">
        <f>IF($A107=1,VLOOKUP($B107,Outputs!$N:$R,3,FALSE),"")</f>
        <v/>
      </c>
      <c r="Q107" s="107">
        <f ca="1">IF($A107=0,VLOOKUP($B107,Outputs!$N:$R,3,FALSE),"")</f>
        <v>37.59513950225314</v>
      </c>
    </row>
    <row r="108" spans="1:17">
      <c r="A108" s="397">
        <f>IF(VLOOKUP(B108,TOCA_current!$B$2:$AG$137,32,FALSE)=0,0,1)</f>
        <v>0</v>
      </c>
      <c r="B108" t="s">
        <v>39</v>
      </c>
      <c r="C108" s="107" t="str">
        <f>IF(A108=1,VLOOKUP($B108,Outputs!$B:$F,2,FALSE),"")</f>
        <v/>
      </c>
      <c r="D108" s="107">
        <f>IF(A108=0,VLOOKUP($B108,Outputs!$B:$F,2,FALSE),"")</f>
        <v>4.8012717667834437E-2</v>
      </c>
      <c r="E108" s="115"/>
      <c r="F108" s="116" t="str">
        <f>IF(A108=1,VLOOKUP($B108,Outputs!$H:$L,2,FALSE),"")</f>
        <v/>
      </c>
      <c r="G108" s="117">
        <f>IF(A108=0,VLOOKUP($B108,Outputs!$H:$L,2,FALSE),"")</f>
        <v>4.8012717667834437E-2</v>
      </c>
      <c r="J108" s="110">
        <f ca="1">VLOOKUP($B108,Outputs!$N:$R,2,FALSE)</f>
        <v>4.1917664614336853E-2</v>
      </c>
      <c r="K108" s="110">
        <f>+VLOOKUP(B108,Outputs!T:U,2,FALSE)</f>
        <v>6.0941177235981581E-2</v>
      </c>
      <c r="L108" s="107" t="str">
        <f>IF($A108=1,VLOOKUP($B108,Outputs!$B:$F,3,FALSE),"")</f>
        <v/>
      </c>
      <c r="M108" s="107">
        <f>IF($A108=0,VLOOKUP($B108,Outputs!$B:$F,3,FALSE),"")</f>
        <v>38.335335104096998</v>
      </c>
      <c r="N108" s="107" t="str">
        <f>IF($A108=1,VLOOKUP($B108,Outputs!$H:$L,3,FALSE),"")</f>
        <v/>
      </c>
      <c r="O108" s="107">
        <f>IF($A108=0,VLOOKUP($B108,Outputs!$H:$L,3,FALSE),"")</f>
        <v>38.335335104096998</v>
      </c>
      <c r="P108" s="107" t="str">
        <f>IF($A108=1,VLOOKUP($B108,Outputs!$N:$R,3,FALSE),"")</f>
        <v/>
      </c>
      <c r="Q108" s="107">
        <f ca="1">IF($A108=0,VLOOKUP($B108,Outputs!$N:$R,3,FALSE),"")</f>
        <v>37.853626963271665</v>
      </c>
    </row>
    <row r="109" spans="1:17">
      <c r="A109" s="397">
        <f>IF(VLOOKUP(B109,TOCA_current!$B$2:$AG$137,32,FALSE)=0,0,1)</f>
        <v>0</v>
      </c>
      <c r="B109" t="s">
        <v>76</v>
      </c>
      <c r="C109" s="107" t="str">
        <f>IF(A109=1,VLOOKUP($B109,Outputs!$B:$F,2,FALSE),"")</f>
        <v/>
      </c>
      <c r="D109" s="107">
        <f>IF(A109=0,VLOOKUP($B109,Outputs!$B:$F,2,FALSE),"")</f>
        <v>4.9197776184108255E-2</v>
      </c>
      <c r="E109" s="115"/>
      <c r="F109" s="116" t="str">
        <f>IF(A109=1,VLOOKUP($B109,Outputs!$H:$L,2,FALSE),"")</f>
        <v/>
      </c>
      <c r="G109" s="117">
        <f>IF(A109=0,VLOOKUP($B109,Outputs!$H:$L,2,FALSE),"")</f>
        <v>4.9197776184108255E-2</v>
      </c>
      <c r="J109" s="110">
        <f ca="1">VLOOKUP($B109,Outputs!$N:$R,2,FALSE)</f>
        <v>4.1547877507259467E-2</v>
      </c>
      <c r="K109" s="110">
        <f>+VLOOKUP(B109,Outputs!T:U,2,FALSE)</f>
        <v>8.0431680630637326E-2</v>
      </c>
      <c r="L109" s="107" t="str">
        <f>IF($A109=1,VLOOKUP($B109,Outputs!$B:$F,3,FALSE),"")</f>
        <v/>
      </c>
      <c r="M109" s="107">
        <f>IF($A109=0,VLOOKUP($B109,Outputs!$B:$F,3,FALSE),"")</f>
        <v>35.799089669202012</v>
      </c>
      <c r="N109" s="107" t="str">
        <f>IF($A109=1,VLOOKUP($B109,Outputs!$H:$L,3,FALSE),"")</f>
        <v/>
      </c>
      <c r="O109" s="107">
        <f>IF($A109=0,VLOOKUP($B109,Outputs!$H:$L,3,FALSE),"")</f>
        <v>35.799089669202012</v>
      </c>
      <c r="P109" s="107" t="str">
        <f>IF($A109=1,VLOOKUP($B109,Outputs!$N:$R,3,FALSE),"")</f>
        <v/>
      </c>
      <c r="Q109" s="107">
        <f ca="1">IF($A109=0,VLOOKUP($B109,Outputs!$N:$R,3,FALSE),"")</f>
        <v>35.076873897776501</v>
      </c>
    </row>
    <row r="110" spans="1:17">
      <c r="A110" s="397">
        <f>IF(VLOOKUP(B110,TOCA_current!$B$2:$AG$137,32,FALSE)=0,0,1)</f>
        <v>1</v>
      </c>
      <c r="B110" t="s">
        <v>82</v>
      </c>
      <c r="C110" s="107">
        <f>IF(A110=1,VLOOKUP($B110,Outputs!$B:$F,2,FALSE),"")</f>
        <v>4.8367421270526068E-2</v>
      </c>
      <c r="D110" s="107" t="str">
        <f>IF(A110=0,VLOOKUP($B110,Outputs!$B:$F,2,FALSE),"")</f>
        <v/>
      </c>
      <c r="E110" s="115"/>
      <c r="F110" s="116">
        <f>IF(A110=1,VLOOKUP($B110,Outputs!$H:$L,2,FALSE),"")</f>
        <v>6.5765725507158868E-2</v>
      </c>
      <c r="G110" s="117" t="str">
        <f>IF(A110=0,VLOOKUP($B110,Outputs!$H:$L,2,FALSE),"")</f>
        <v/>
      </c>
      <c r="J110" s="110">
        <f ca="1">VLOOKUP($B110,Outputs!$N:$R,2,FALSE)</f>
        <v>5.0388744856814327E-2</v>
      </c>
      <c r="K110" s="110">
        <f>+VLOOKUP(B110,Outputs!T:U,2,FALSE)</f>
        <v>5.8824102296539449E-2</v>
      </c>
      <c r="L110" s="107">
        <f>IF($A110=1,VLOOKUP($B110,Outputs!$B:$F,3,FALSE),"")</f>
        <v>37.858285727770422</v>
      </c>
      <c r="M110" s="107" t="str">
        <f>IF($A110=0,VLOOKUP($B110,Outputs!$B:$F,3,FALSE),"")</f>
        <v/>
      </c>
      <c r="N110" s="107">
        <f>IF($A110=1,VLOOKUP($B110,Outputs!$H:$L,3,FALSE),"")</f>
        <v>34.51091817832053</v>
      </c>
      <c r="O110" s="107" t="str">
        <f>IF($A110=0,VLOOKUP($B110,Outputs!$H:$L,3,FALSE),"")</f>
        <v/>
      </c>
      <c r="P110" s="107">
        <f ca="1">IF($A110=1,VLOOKUP($B110,Outputs!$N:$R,3,FALSE),"")</f>
        <v>34.026492770901612</v>
      </c>
      <c r="Q110" s="107" t="str">
        <f>IF($A110=0,VLOOKUP($B110,Outputs!$N:$R,3,FALSE),"")</f>
        <v/>
      </c>
    </row>
    <row r="111" spans="1:17">
      <c r="A111" s="397">
        <f>IF(VLOOKUP(B111,TOCA_current!$B$2:$AG$137,32,FALSE)=0,0,1)</f>
        <v>1</v>
      </c>
      <c r="B111" t="s">
        <v>68</v>
      </c>
      <c r="C111" s="107">
        <f>IF(A111=1,VLOOKUP($B111,Outputs!$B:$F,2,FALSE),"")</f>
        <v>4.5512627187566101E-2</v>
      </c>
      <c r="D111" s="107" t="str">
        <f>IF(A111=0,VLOOKUP($B111,Outputs!$B:$F,2,FALSE),"")</f>
        <v/>
      </c>
      <c r="E111" s="115"/>
      <c r="F111" s="116">
        <f>IF(A111=1,VLOOKUP($B111,Outputs!$H:$L,2,FALSE),"")</f>
        <v>5.2773529640208761E-2</v>
      </c>
      <c r="G111" s="117" t="str">
        <f>IF(A111=0,VLOOKUP($B111,Outputs!$H:$L,2,FALSE),"")</f>
        <v/>
      </c>
      <c r="J111" s="110">
        <f ca="1">VLOOKUP($B111,Outputs!$N:$R,2,FALSE)</f>
        <v>4.9996229943777414E-2</v>
      </c>
      <c r="K111" s="110">
        <f>+VLOOKUP(B111,Outputs!T:U,2,FALSE)</f>
        <v>5.2775081662099321E-2</v>
      </c>
      <c r="L111" s="107">
        <f>IF($A111=1,VLOOKUP($B111,Outputs!$B:$F,3,FALSE),"")</f>
        <v>37.654641209234228</v>
      </c>
      <c r="M111" s="107" t="str">
        <f>IF($A111=0,VLOOKUP($B111,Outputs!$B:$F,3,FALSE),"")</f>
        <v/>
      </c>
      <c r="N111" s="107">
        <f>IF($A111=1,VLOOKUP($B111,Outputs!$H:$L,3,FALSE),"")</f>
        <v>33.885768348601744</v>
      </c>
      <c r="O111" s="107" t="str">
        <f>IF($A111=0,VLOOKUP($B111,Outputs!$H:$L,3,FALSE),"")</f>
        <v/>
      </c>
      <c r="P111" s="107">
        <f ca="1">IF($A111=1,VLOOKUP($B111,Outputs!$N:$R,3,FALSE),"")</f>
        <v>33.921516777904742</v>
      </c>
      <c r="Q111" s="107" t="str">
        <f>IF($A111=0,VLOOKUP($B111,Outputs!$N:$R,3,FALSE),"")</f>
        <v/>
      </c>
    </row>
    <row r="112" spans="1:17">
      <c r="A112" s="397">
        <f>IF(VLOOKUP(B112,TOCA_current!$B$2:$AG$137,32,FALSE)=0,0,1)</f>
        <v>1</v>
      </c>
      <c r="B112" t="s">
        <v>71</v>
      </c>
      <c r="C112" s="107">
        <f>IF(A112=1,VLOOKUP($B112,Outputs!$B:$F,2,FALSE),"")</f>
        <v>4.7023775490294017E-2</v>
      </c>
      <c r="D112" s="107" t="str">
        <f>IF(A112=0,VLOOKUP($B112,Outputs!$B:$F,2,FALSE),"")</f>
        <v/>
      </c>
      <c r="E112" s="115"/>
      <c r="F112" s="116">
        <f>IF(A112=1,VLOOKUP($B112,Outputs!$H:$L,2,FALSE),"")</f>
        <v>5.9871226345604045E-2</v>
      </c>
      <c r="G112" s="117" t="str">
        <f>IF(A112=0,VLOOKUP($B112,Outputs!$H:$L,2,FALSE),"")</f>
        <v/>
      </c>
      <c r="J112" s="110">
        <f ca="1">VLOOKUP($B112,Outputs!$N:$R,2,FALSE)</f>
        <v>4.7511037968354389E-2</v>
      </c>
      <c r="K112" s="110">
        <f>+VLOOKUP(B112,Outputs!T:U,2,FALSE)</f>
        <v>5.9869106079758705E-2</v>
      </c>
      <c r="L112" s="107">
        <f>IF($A112=1,VLOOKUP($B112,Outputs!$B:$F,3,FALSE),"")</f>
        <v>39.296340993893573</v>
      </c>
      <c r="M112" s="107" t="str">
        <f>IF($A112=0,VLOOKUP($B112,Outputs!$B:$F,3,FALSE),"")</f>
        <v/>
      </c>
      <c r="N112" s="107">
        <f>IF($A112=1,VLOOKUP($B112,Outputs!$H:$L,3,FALSE),"")</f>
        <v>36.394398978260746</v>
      </c>
      <c r="O112" s="107" t="str">
        <f>IF($A112=0,VLOOKUP($B112,Outputs!$H:$L,3,FALSE),"")</f>
        <v/>
      </c>
      <c r="P112" s="107">
        <f ca="1">IF($A112=1,VLOOKUP($B112,Outputs!$N:$R,3,FALSE),"")</f>
        <v>35.987622065440313</v>
      </c>
      <c r="Q112" s="107" t="str">
        <f>IF($A112=0,VLOOKUP($B112,Outputs!$N:$R,3,FALSE),"")</f>
        <v/>
      </c>
    </row>
    <row r="113" spans="1:17">
      <c r="A113" s="397">
        <f>IF(VLOOKUP(B113,TOCA_current!$B$2:$AG$137,32,FALSE)=0,0,1)</f>
        <v>0</v>
      </c>
      <c r="B113" t="s">
        <v>15</v>
      </c>
      <c r="C113" s="107" t="str">
        <f>IF(A113=1,VLOOKUP($B113,Outputs!$B:$F,2,FALSE),"")</f>
        <v/>
      </c>
      <c r="D113" s="107">
        <f>IF(A113=0,VLOOKUP($B113,Outputs!$B:$F,2,FALSE),"")</f>
        <v>4.9537912739837209E-2</v>
      </c>
      <c r="E113" s="115"/>
      <c r="F113" s="116" t="str">
        <f>IF(A113=1,VLOOKUP($B113,Outputs!$H:$L,2,FALSE),"")</f>
        <v/>
      </c>
      <c r="G113" s="117">
        <f>IF(A113=0,VLOOKUP($B113,Outputs!$H:$L,2,FALSE),"")</f>
        <v>4.9537912739837209E-2</v>
      </c>
      <c r="J113" s="110">
        <f ca="1">VLOOKUP($B113,Outputs!$N:$R,2,FALSE)</f>
        <v>4.4101384501228198E-2</v>
      </c>
      <c r="K113" s="110">
        <f>+VLOOKUP(B113,Outputs!T:U,2,FALSE)</f>
        <v>5.18846237520727E-2</v>
      </c>
      <c r="L113" s="107" t="str">
        <f>IF($A113=1,VLOOKUP($B113,Outputs!$B:$F,3,FALSE),"")</f>
        <v/>
      </c>
      <c r="M113" s="107">
        <f>IF($A113=0,VLOOKUP($B113,Outputs!$B:$F,3,FALSE),"")</f>
        <v>37.553125586624091</v>
      </c>
      <c r="N113" s="107" t="str">
        <f>IF($A113=1,VLOOKUP($B113,Outputs!$H:$L,3,FALSE),"")</f>
        <v/>
      </c>
      <c r="O113" s="107">
        <f>IF($A113=0,VLOOKUP($B113,Outputs!$H:$L,3,FALSE),"")</f>
        <v>37.553125586624091</v>
      </c>
      <c r="P113" s="107" t="str">
        <f>IF($A113=1,VLOOKUP($B113,Outputs!$N:$R,3,FALSE),"")</f>
        <v/>
      </c>
      <c r="Q113" s="107">
        <f ca="1">IF($A113=0,VLOOKUP($B113,Outputs!$N:$R,3,FALSE),"")</f>
        <v>37.258225208384346</v>
      </c>
    </row>
    <row r="114" spans="1:17">
      <c r="A114" s="397">
        <f>IF(VLOOKUP(B114,TOCA_current!$B$2:$AG$137,32,FALSE)=0,0,1)</f>
        <v>0</v>
      </c>
      <c r="B114" t="s">
        <v>67</v>
      </c>
      <c r="C114" s="107" t="str">
        <f>IF(A114=1,VLOOKUP($B114,Outputs!$B:$F,2,FALSE),"")</f>
        <v/>
      </c>
      <c r="D114" s="107">
        <f>IF(A114=0,VLOOKUP($B114,Outputs!$B:$F,2,FALSE),"")</f>
        <v>5.6954836321639668E-2</v>
      </c>
      <c r="E114" s="115"/>
      <c r="F114" s="116" t="str">
        <f>IF(A114=1,VLOOKUP($B114,Outputs!$H:$L,2,FALSE),"")</f>
        <v/>
      </c>
      <c r="G114" s="117">
        <f>IF(A114=0,VLOOKUP($B114,Outputs!$H:$L,2,FALSE),"")</f>
        <v>5.6954836321639668E-2</v>
      </c>
      <c r="J114" s="110">
        <f ca="1">VLOOKUP($B114,Outputs!$N:$R,2,FALSE)</f>
        <v>4.0686383415350871E-2</v>
      </c>
      <c r="K114" s="110">
        <f>+VLOOKUP(B114,Outputs!T:U,2,FALSE)</f>
        <v>7.3682462383962255E-2</v>
      </c>
      <c r="L114" s="107" t="str">
        <f>IF($A114=1,VLOOKUP($B114,Outputs!$B:$F,3,FALSE),"")</f>
        <v/>
      </c>
      <c r="M114" s="107">
        <f>IF($A114=0,VLOOKUP($B114,Outputs!$B:$F,3,FALSE),"")</f>
        <v>40.031050005350309</v>
      </c>
      <c r="N114" s="107" t="str">
        <f>IF($A114=1,VLOOKUP($B114,Outputs!$H:$L,3,FALSE),"")</f>
        <v/>
      </c>
      <c r="O114" s="107">
        <f>IF($A114=0,VLOOKUP($B114,Outputs!$H:$L,3,FALSE),"")</f>
        <v>40.031050005350309</v>
      </c>
      <c r="P114" s="107" t="str">
        <f>IF($A114=1,VLOOKUP($B114,Outputs!$N:$R,3,FALSE),"")</f>
        <v/>
      </c>
      <c r="Q114" s="107">
        <f ca="1">IF($A114=0,VLOOKUP($B114,Outputs!$N:$R,3,FALSE),"")</f>
        <v>39.117123289572405</v>
      </c>
    </row>
    <row r="115" spans="1:17">
      <c r="A115" s="397">
        <f>IF(VLOOKUP(B115,TOCA_current!$B$2:$AG$137,32,FALSE)=0,0,1)</f>
        <v>1</v>
      </c>
      <c r="B115" t="s">
        <v>9</v>
      </c>
      <c r="C115" s="107">
        <f>IF(A115=1,VLOOKUP($B115,Outputs!$B:$F,2,FALSE),"")</f>
        <v>4.4471154388429301E-2</v>
      </c>
      <c r="D115" s="107" t="str">
        <f>IF(A115=0,VLOOKUP($B115,Outputs!$B:$F,2,FALSE),"")</f>
        <v/>
      </c>
      <c r="E115" s="115"/>
      <c r="F115" s="116">
        <f>IF(A115=1,VLOOKUP($B115,Outputs!$H:$L,2,FALSE),"")</f>
        <v>5.0674028582994524E-2</v>
      </c>
      <c r="G115" s="117" t="str">
        <f>IF(A115=0,VLOOKUP($B115,Outputs!$H:$L,2,FALSE),"")</f>
        <v/>
      </c>
      <c r="J115" s="110">
        <f ca="1">VLOOKUP($B115,Outputs!$N:$R,2,FALSE)</f>
        <v>5.2320546065085134E-2</v>
      </c>
      <c r="K115" s="110">
        <f>+VLOOKUP(B115,Outputs!T:U,2,FALSE)</f>
        <v>5.0677849918093543E-2</v>
      </c>
      <c r="L115" s="107">
        <f>IF($A115=1,VLOOKUP($B115,Outputs!$B:$F,3,FALSE),"")</f>
        <v>36.533595569845382</v>
      </c>
      <c r="M115" s="107" t="str">
        <f>IF($A115=0,VLOOKUP($B115,Outputs!$B:$F,3,FALSE),"")</f>
        <v/>
      </c>
      <c r="N115" s="107">
        <f>IF($A115=1,VLOOKUP($B115,Outputs!$H:$L,3,FALSE),"")</f>
        <v>31.553082129035317</v>
      </c>
      <c r="O115" s="107" t="str">
        <f>IF($A115=0,VLOOKUP($B115,Outputs!$H:$L,3,FALSE),"")</f>
        <v/>
      </c>
      <c r="P115" s="107">
        <f ca="1">IF($A115=1,VLOOKUP($B115,Outputs!$N:$R,3,FALSE),"")</f>
        <v>31.917939696328713</v>
      </c>
      <c r="Q115" s="107" t="str">
        <f>IF($A115=0,VLOOKUP($B115,Outputs!$N:$R,3,FALSE),"")</f>
        <v/>
      </c>
    </row>
    <row r="116" spans="1:17">
      <c r="A116" s="397">
        <f>IF(VLOOKUP(B116,TOCA_current!$B$2:$AG$137,32,FALSE)=0,0,1)</f>
        <v>1</v>
      </c>
      <c r="B116" t="s">
        <v>62</v>
      </c>
      <c r="C116" s="107">
        <f>IF(A116=1,VLOOKUP($B116,Outputs!$B:$F,2,FALSE),"")</f>
        <v>4.5602882289425439E-2</v>
      </c>
      <c r="D116" s="107" t="str">
        <f>IF(A116=0,VLOOKUP($B116,Outputs!$B:$F,2,FALSE),"")</f>
        <v/>
      </c>
      <c r="E116" s="115"/>
      <c r="F116" s="116">
        <f>IF(A116=1,VLOOKUP($B116,Outputs!$H:$L,2,FALSE),"")</f>
        <v>5.963067708375025E-2</v>
      </c>
      <c r="G116" s="117" t="str">
        <f>IF(A116=0,VLOOKUP($B116,Outputs!$H:$L,2,FALSE),"")</f>
        <v/>
      </c>
      <c r="J116" s="110">
        <f ca="1">VLOOKUP($B116,Outputs!$N:$R,2,FALSE)</f>
        <v>4.7511037968351121E-2</v>
      </c>
      <c r="K116" s="110">
        <f>+VLOOKUP(B116,Outputs!T:U,2,FALSE)</f>
        <v>5.9670903771364747E-2</v>
      </c>
      <c r="L116" s="107">
        <f>IF($A116=1,VLOOKUP($B116,Outputs!$B:$F,3,FALSE),"")</f>
        <v>39.332912195874876</v>
      </c>
      <c r="M116" s="107" t="str">
        <f>IF($A116=0,VLOOKUP($B116,Outputs!$B:$F,3,FALSE),"")</f>
        <v/>
      </c>
      <c r="N116" s="107">
        <f>IF($A116=1,VLOOKUP($B116,Outputs!$H:$L,3,FALSE),"")</f>
        <v>36.475351618768372</v>
      </c>
      <c r="O116" s="107" t="str">
        <f>IF($A116=0,VLOOKUP($B116,Outputs!$H:$L,3,FALSE),"")</f>
        <v/>
      </c>
      <c r="P116" s="107">
        <f ca="1">IF($A116=1,VLOOKUP($B116,Outputs!$N:$R,3,FALSE),"")</f>
        <v>35.987622065440327</v>
      </c>
      <c r="Q116" s="107" t="str">
        <f>IF($A116=0,VLOOKUP($B116,Outputs!$N:$R,3,FALSE),"")</f>
        <v/>
      </c>
    </row>
    <row r="117" spans="1:17">
      <c r="A117" s="397">
        <f>IF(VLOOKUP(B117,TOCA_current!$B$2:$AG$137,32,FALSE)=0,0,1)</f>
        <v>1</v>
      </c>
      <c r="B117" t="s">
        <v>45</v>
      </c>
      <c r="C117" s="107">
        <f>IF(A117=1,VLOOKUP($B117,Outputs!$B:$F,2,FALSE),"")</f>
        <v>4.7741787028266813E-2</v>
      </c>
      <c r="D117" s="107" t="str">
        <f>IF(A117=0,VLOOKUP($B117,Outputs!$B:$F,2,FALSE),"")</f>
        <v/>
      </c>
      <c r="E117" s="115"/>
      <c r="F117" s="116">
        <f>IF(A117=1,VLOOKUP($B117,Outputs!$H:$L,2,FALSE),"")</f>
        <v>6.1000050635547698E-2</v>
      </c>
      <c r="G117" s="117" t="str">
        <f>IF(A117=0,VLOOKUP($B117,Outputs!$H:$L,2,FALSE),"")</f>
        <v/>
      </c>
      <c r="J117" s="110">
        <f ca="1">VLOOKUP($B117,Outputs!$N:$R,2,FALSE)</f>
        <v>4.7511037968359031E-2</v>
      </c>
      <c r="K117" s="110">
        <f>+VLOOKUP(B117,Outputs!T:U,2,FALSE)</f>
        <v>6.0986913815558319E-2</v>
      </c>
      <c r="L117" s="107">
        <f>IF($A117=1,VLOOKUP($B117,Outputs!$B:$F,3,FALSE),"")</f>
        <v>39.203537570318296</v>
      </c>
      <c r="M117" s="107" t="str">
        <f>IF($A117=0,VLOOKUP($B117,Outputs!$B:$F,3,FALSE),"")</f>
        <v/>
      </c>
      <c r="N117" s="107">
        <f>IF($A117=1,VLOOKUP($B117,Outputs!$H:$L,3,FALSE),"")</f>
        <v>36.410797069804936</v>
      </c>
      <c r="O117" s="107" t="str">
        <f>IF($A117=0,VLOOKUP($B117,Outputs!$H:$L,3,FALSE),"")</f>
        <v/>
      </c>
      <c r="P117" s="107">
        <f ca="1">IF($A117=1,VLOOKUP($B117,Outputs!$N:$R,3,FALSE),"")</f>
        <v>35.987622065440313</v>
      </c>
      <c r="Q117" s="107" t="str">
        <f>IF($A117=0,VLOOKUP($B117,Outputs!$N:$R,3,FALSE),"")</f>
        <v/>
      </c>
    </row>
    <row r="118" spans="1:17">
      <c r="A118" s="397">
        <f>IF(VLOOKUP(B118,TOCA_current!$B$2:$AG$137,32,FALSE)=0,0,1)</f>
        <v>1</v>
      </c>
      <c r="B118" t="s">
        <v>116</v>
      </c>
      <c r="C118" s="107">
        <f>IF(A118=1,VLOOKUP($B118,Outputs!$B:$F,2,FALSE),"")</f>
        <v>4.658082470749636E-2</v>
      </c>
      <c r="D118" s="107" t="str">
        <f>IF(A118=0,VLOOKUP($B118,Outputs!$B:$F,2,FALSE),"")</f>
        <v/>
      </c>
      <c r="E118" s="115"/>
      <c r="F118" s="116">
        <f>IF(A118=1,VLOOKUP($B118,Outputs!$H:$L,2,FALSE),"")</f>
        <v>6.0185006573978184E-2</v>
      </c>
      <c r="G118" s="117" t="str">
        <f>IF(A118=0,VLOOKUP($B118,Outputs!$H:$L,2,FALSE),"")</f>
        <v/>
      </c>
      <c r="J118" s="110">
        <f ca="1">VLOOKUP($B118,Outputs!$N:$R,2,FALSE)</f>
        <v>4.7511037968351162E-2</v>
      </c>
      <c r="K118" s="110">
        <f>+VLOOKUP(B118,Outputs!T:U,2,FALSE)</f>
        <v>6.0127720456846223E-2</v>
      </c>
      <c r="L118" s="107">
        <f>IF($A118=1,VLOOKUP($B118,Outputs!$B:$F,3,FALSE),"")</f>
        <v>39.403002514375949</v>
      </c>
      <c r="M118" s="107" t="str">
        <f>IF($A118=0,VLOOKUP($B118,Outputs!$B:$F,3,FALSE),"")</f>
        <v/>
      </c>
      <c r="N118" s="107">
        <f>IF($A118=1,VLOOKUP($B118,Outputs!$H:$L,3,FALSE),"")</f>
        <v>36.363555034479475</v>
      </c>
      <c r="O118" s="107" t="str">
        <f>IF($A118=0,VLOOKUP($B118,Outputs!$H:$L,3,FALSE),"")</f>
        <v/>
      </c>
      <c r="P118" s="107">
        <f ca="1">IF($A118=1,VLOOKUP($B118,Outputs!$N:$R,3,FALSE),"")</f>
        <v>35.98762206544032</v>
      </c>
      <c r="Q118" s="107" t="str">
        <f>IF($A118=0,VLOOKUP($B118,Outputs!$N:$R,3,FALSE),"")</f>
        <v/>
      </c>
    </row>
    <row r="119" spans="1:17">
      <c r="A119" s="397">
        <f>IF(VLOOKUP(B119,TOCA_current!$B$2:$AG$137,32,FALSE)=0,0,1)</f>
        <v>0</v>
      </c>
      <c r="B119" t="s">
        <v>140</v>
      </c>
      <c r="C119" s="107" t="str">
        <f>IF(A119=1,VLOOKUP($B119,Outputs!$B:$F,2,FALSE),"")</f>
        <v/>
      </c>
      <c r="D119" s="107">
        <f>IF(A119=0,VLOOKUP($B119,Outputs!$B:$F,2,FALSE),"")</f>
        <v>4.2420682684360944E-2</v>
      </c>
      <c r="E119" s="115"/>
      <c r="F119" s="116" t="str">
        <f>IF(A119=1,VLOOKUP($B119,Outputs!$H:$L,2,FALSE),"")</f>
        <v/>
      </c>
      <c r="G119" s="117">
        <f>IF(A119=0,VLOOKUP($B119,Outputs!$H:$L,2,FALSE),"")</f>
        <v>4.2420682684360944E-2</v>
      </c>
      <c r="J119" s="110">
        <f ca="1">VLOOKUP($B119,Outputs!$N:$R,2,FALSE)</f>
        <v>4.1275896966846054E-2</v>
      </c>
      <c r="K119" s="110">
        <f>+VLOOKUP(B119,Outputs!T:U,2,FALSE)</f>
        <v>-4.4335758570806183E-2</v>
      </c>
      <c r="L119" s="107" t="str">
        <f>IF($A119=1,VLOOKUP($B119,Outputs!$B:$F,3,FALSE),"")</f>
        <v/>
      </c>
      <c r="M119" s="107">
        <f>IF($A119=0,VLOOKUP($B119,Outputs!$B:$F,3,FALSE),"")</f>
        <v>32.717322342048149</v>
      </c>
      <c r="N119" s="107" t="str">
        <f>IF($A119=1,VLOOKUP($B119,Outputs!$H:$L,3,FALSE),"")</f>
        <v/>
      </c>
      <c r="O119" s="107">
        <f>IF($A119=0,VLOOKUP($B119,Outputs!$H:$L,3,FALSE),"")</f>
        <v>32.717322342048149</v>
      </c>
      <c r="P119" s="107" t="str">
        <f>IF($A119=1,VLOOKUP($B119,Outputs!$N:$R,3,FALSE),"")</f>
        <v/>
      </c>
      <c r="Q119" s="107">
        <f ca="1">IF($A119=0,VLOOKUP($B119,Outputs!$N:$R,3,FALSE),"")</f>
        <v>32.610230001218191</v>
      </c>
    </row>
    <row r="120" spans="1:17">
      <c r="A120" s="397">
        <f>IF(VLOOKUP(B120,TOCA_current!$B$2:$AG$137,32,FALSE)=0,0,1)</f>
        <v>0</v>
      </c>
      <c r="B120" t="s">
        <v>110</v>
      </c>
      <c r="C120" s="107" t="str">
        <f>IF(A120=1,VLOOKUP($B120,Outputs!$B:$F,2,FALSE),"")</f>
        <v/>
      </c>
      <c r="D120" s="107">
        <f>IF(A120=0,VLOOKUP($B120,Outputs!$B:$F,2,FALSE),"")</f>
        <v>7.4326852013117284E-2</v>
      </c>
      <c r="E120" s="115"/>
      <c r="F120" s="116" t="str">
        <f>IF(A120=1,VLOOKUP($B120,Outputs!$H:$L,2,FALSE),"")</f>
        <v/>
      </c>
      <c r="G120" s="117">
        <f>IF(A120=0,VLOOKUP($B120,Outputs!$H:$L,2,FALSE),"")</f>
        <v>7.4326852013117284E-2</v>
      </c>
      <c r="J120" s="110">
        <f ca="1">VLOOKUP($B120,Outputs!$N:$R,2,FALSE)</f>
        <v>4.751103796835654E-2</v>
      </c>
      <c r="K120" s="110">
        <f>+VLOOKUP(B120,Outputs!T:U,2,FALSE)</f>
        <v>8.0050702142280938E-2</v>
      </c>
      <c r="L120" s="107" t="str">
        <f>IF($A120=1,VLOOKUP($B120,Outputs!$B:$F,3,FALSE),"")</f>
        <v/>
      </c>
      <c r="M120" s="107">
        <f>IF($A120=0,VLOOKUP($B120,Outputs!$B:$F,3,FALSE),"")</f>
        <v>38.086501502131171</v>
      </c>
      <c r="N120" s="107" t="str">
        <f>IF($A120=1,VLOOKUP($B120,Outputs!$H:$L,3,FALSE),"")</f>
        <v/>
      </c>
      <c r="O120" s="107">
        <f>IF($A120=0,VLOOKUP($B120,Outputs!$H:$L,3,FALSE),"")</f>
        <v>38.086501502131171</v>
      </c>
      <c r="P120" s="107" t="str">
        <f>IF($A120=1,VLOOKUP($B120,Outputs!$N:$R,3,FALSE),"")</f>
        <v/>
      </c>
      <c r="Q120" s="107">
        <f ca="1">IF($A120=0,VLOOKUP($B120,Outputs!$N:$R,3,FALSE),"")</f>
        <v>35.987622065440313</v>
      </c>
    </row>
    <row r="121" spans="1:17">
      <c r="A121" s="397">
        <f>IF(VLOOKUP(B121,TOCA_current!$B$2:$AG$137,32,FALSE)=0,0,1)</f>
        <v>1</v>
      </c>
      <c r="B121" t="s">
        <v>55</v>
      </c>
      <c r="C121" s="107">
        <f>IF(A121=1,VLOOKUP($B121,Outputs!$B:$F,2,FALSE),"")</f>
        <v>4.572607163960174E-2</v>
      </c>
      <c r="D121" s="107" t="str">
        <f>IF(A121=0,VLOOKUP($B121,Outputs!$B:$F,2,FALSE),"")</f>
        <v/>
      </c>
      <c r="E121" s="115"/>
      <c r="F121" s="116">
        <f>IF(A121=1,VLOOKUP($B121,Outputs!$H:$L,2,FALSE),"")</f>
        <v>5.4577026677398388E-2</v>
      </c>
      <c r="G121" s="117" t="str">
        <f>IF(A121=0,VLOOKUP($B121,Outputs!$H:$L,2,FALSE),"")</f>
        <v/>
      </c>
      <c r="J121" s="110">
        <f ca="1">VLOOKUP($B121,Outputs!$N:$R,2,FALSE)</f>
        <v>4.7511037968352925E-2</v>
      </c>
      <c r="K121" s="110">
        <f>+VLOOKUP(B121,Outputs!T:U,2,FALSE)</f>
        <v>5.4577060436671099E-2</v>
      </c>
      <c r="L121" s="107">
        <f>IF($A121=1,VLOOKUP($B121,Outputs!$B:$F,3,FALSE),"")</f>
        <v>39.085462647622975</v>
      </c>
      <c r="M121" s="107" t="str">
        <f>IF($A121=0,VLOOKUP($B121,Outputs!$B:$F,3,FALSE),"")</f>
        <v/>
      </c>
      <c r="N121" s="107">
        <f>IF($A121=1,VLOOKUP($B121,Outputs!$H:$L,3,FALSE),"")</f>
        <v>36.110212297346493</v>
      </c>
      <c r="O121" s="107" t="str">
        <f>IF($A121=0,VLOOKUP($B121,Outputs!$H:$L,3,FALSE),"")</f>
        <v/>
      </c>
      <c r="P121" s="107">
        <f ca="1">IF($A121=1,VLOOKUP($B121,Outputs!$N:$R,3,FALSE),"")</f>
        <v>35.98762206544032</v>
      </c>
      <c r="Q121" s="107" t="str">
        <f>IF($A121=0,VLOOKUP($B121,Outputs!$N:$R,3,FALSE),"")</f>
        <v/>
      </c>
    </row>
    <row r="122" spans="1:17" ht="15.75" thickBot="1">
      <c r="A122" s="397">
        <f>IF(VLOOKUP(B122,TOCA_current!$B$2:$AG$137,32,FALSE)=0,0,1)</f>
        <v>1</v>
      </c>
      <c r="B122" t="s">
        <v>112</v>
      </c>
      <c r="C122" s="107">
        <f>IF(A122=1,VLOOKUP($B122,Outputs!$B:$F,2,FALSE),"")</f>
        <v>4.7378673818599504E-2</v>
      </c>
      <c r="D122" s="107" t="str">
        <f>IF(A122=0,VLOOKUP($B122,Outputs!$B:$F,2,FALSE),"")</f>
        <v/>
      </c>
      <c r="E122" s="118"/>
      <c r="F122" s="119">
        <f>IF(A122=1,VLOOKUP($B122,Outputs!$H:$L,2,FALSE),"")</f>
        <v>5.8933405439394404E-2</v>
      </c>
      <c r="G122" s="120" t="str">
        <f>IF(A122=0,VLOOKUP($B122,Outputs!$H:$L,2,FALSE),"")</f>
        <v/>
      </c>
      <c r="J122" s="111">
        <f ca="1">VLOOKUP($B122,Outputs!$N:$R,2,FALSE)</f>
        <v>4.7511037968354673E-2</v>
      </c>
      <c r="K122" s="111">
        <f>+VLOOKUP(B122,Outputs!T:U,2,FALSE)</f>
        <v>5.8933512277311806E-2</v>
      </c>
      <c r="L122" s="107">
        <f>IF($A122=1,VLOOKUP($B122,Outputs!$B:$F,3,FALSE),"")</f>
        <v>39.07638921591434</v>
      </c>
      <c r="M122" s="107" t="str">
        <f>IF($A122=0,VLOOKUP($B122,Outputs!$B:$F,3,FALSE),"")</f>
        <v/>
      </c>
      <c r="N122" s="107">
        <f>IF($A122=1,VLOOKUP($B122,Outputs!$H:$L,3,FALSE),"")</f>
        <v>36.378148659354828</v>
      </c>
      <c r="O122" s="107" t="str">
        <f>IF($A122=0,VLOOKUP($B122,Outputs!$H:$L,3,FALSE),"")</f>
        <v/>
      </c>
      <c r="P122" s="107">
        <f ca="1">IF($A122=1,VLOOKUP($B122,Outputs!$N:$R,3,FALSE),"")</f>
        <v>35.98762206544032</v>
      </c>
      <c r="Q122" s="107" t="str">
        <f>IF($A122=0,VLOOKUP($B122,Outputs!$N:$R,3,FALSE),"")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F87D683DDE499BA8FCA1E46A8DBD" ma:contentTypeVersion="0" ma:contentTypeDescription="Create a new document." ma:contentTypeScope="" ma:versionID="2ffc98c1ec6caa8422d730fe54b18d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3E135C-A2B8-4FD7-9DCF-E8C9A355B532}"/>
</file>

<file path=customXml/itemProps2.xml><?xml version="1.0" encoding="utf-8"?>
<ds:datastoreItem xmlns:ds="http://schemas.openxmlformats.org/officeDocument/2006/customXml" ds:itemID="{B32F5EC3-166B-449C-9B12-4BA46B6D78D0}"/>
</file>

<file path=customXml/itemProps3.xml><?xml version="1.0" encoding="utf-8"?>
<ds:datastoreItem xmlns:ds="http://schemas.openxmlformats.org/officeDocument/2006/customXml" ds:itemID="{77FE692A-FD7D-4948-83BE-793E808AA9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Charts</vt:lpstr>
      </vt:variant>
      <vt:variant>
        <vt:i4>3</vt:i4>
      </vt:variant>
    </vt:vector>
  </HeadingPairs>
  <TitlesOfParts>
    <vt:vector size="23" baseType="lpstr">
      <vt:lpstr>Init</vt:lpstr>
      <vt:lpstr>TOCA_previous</vt:lpstr>
      <vt:lpstr>TOCA_current</vt:lpstr>
      <vt:lpstr>LS_previous</vt:lpstr>
      <vt:lpstr>LS_current</vt:lpstr>
      <vt:lpstr>Demand_previous</vt:lpstr>
      <vt:lpstr>Demand_current</vt:lpstr>
      <vt:lpstr>Rates_previous</vt:lpstr>
      <vt:lpstr>Rates_current</vt:lpstr>
      <vt:lpstr>IRD</vt:lpstr>
      <vt:lpstr>REP_previous</vt:lpstr>
      <vt:lpstr>REP_current</vt:lpstr>
      <vt:lpstr>RT1SC</vt:lpstr>
      <vt:lpstr>Staging Table</vt:lpstr>
      <vt:lpstr>LS_Demand_Rates_Restatement</vt:lpstr>
      <vt:lpstr>Charges_Including Slice and LS</vt:lpstr>
      <vt:lpstr>Charges_NonSlice</vt:lpstr>
      <vt:lpstr>Charges_NonSlice &amp; Excl LS</vt:lpstr>
      <vt:lpstr>Outputs</vt:lpstr>
      <vt:lpstr>Restatement</vt:lpstr>
      <vt:lpstr>NonSlice Chart</vt:lpstr>
      <vt:lpstr>NonSlice Chart Effective</vt:lpstr>
      <vt:lpstr>NonSlice - Ordered Chart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 Stiffler - PSR6</dc:creator>
  <cp:lastModifiedBy>ETraetow</cp:lastModifiedBy>
  <cp:lastPrinted>2017-06-14T16:50:12Z</cp:lastPrinted>
  <dcterms:created xsi:type="dcterms:W3CDTF">2013-06-26T17:49:16Z</dcterms:created>
  <dcterms:modified xsi:type="dcterms:W3CDTF">2017-07-24T22:43:50Z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0x01010047E4F87D683DDE499BA8FCA1E46A8DBD</vt:lpwstr>
  </property>
</Properties>
</file>